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Default Extension="xml" ContentType="application/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worksheets/sheet89.xml" ContentType="application/vnd.openxmlformats-officedocument.spreadsheetml.worksheet+xml"/>
  <Override PartName="/xl/worksheets/sheet98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8.xml" ContentType="application/vnd.openxmlformats-officedocument.spreadsheetml.worksheet+xml"/>
  <Override PartName="/xl/worksheets/sheet87.xml" ContentType="application/vnd.openxmlformats-officedocument.spreadsheetml.worksheet+xml"/>
  <Override PartName="/xl/worksheets/sheet96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worksheets/sheet85.xml" ContentType="application/vnd.openxmlformats-officedocument.spreadsheetml.worksheet+xml"/>
  <Override PartName="/xl/worksheets/sheet94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83.xml" ContentType="application/vnd.openxmlformats-officedocument.spreadsheetml.worksheet+xml"/>
  <Override PartName="/xl/worksheets/sheet92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Override PartName="/xl/worksheets/sheet81.xml" ContentType="application/vnd.openxmlformats-officedocument.spreadsheetml.worksheet+xml"/>
  <Override PartName="/xl/worksheets/sheet90.xml" ContentType="application/vnd.openxmlformats-officedocument.spreadsheetml.worksheet+xml"/>
  <Override PartName="/xl/worksheets/sheet100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99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9.xml" ContentType="application/vnd.openxmlformats-officedocument.spreadsheetml.worksheet+xml"/>
  <Override PartName="/xl/worksheets/sheet88.xml" ContentType="application/vnd.openxmlformats-officedocument.spreadsheetml.worksheet+xml"/>
  <Override PartName="/xl/worksheets/sheet97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95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93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20" windowWidth="19155" windowHeight="8475" tabRatio="943" firstSheet="1" activeTab="4"/>
  </bookViews>
  <sheets>
    <sheet name="deelnameformulier" sheetId="1" state="hidden" r:id="rId1"/>
    <sheet name="Spelregels" sheetId="23" r:id="rId2"/>
    <sheet name="voorspellingen overzicht" sheetId="24" r:id="rId3"/>
    <sheet name="ranglijst" sheetId="22" r:id="rId4"/>
    <sheet name="Uitslag" sheetId="2" r:id="rId5"/>
    <sheet name="1" sheetId="3" r:id="rId6"/>
    <sheet name="2" sheetId="4" r:id="rId7"/>
    <sheet name="3" sheetId="5" r:id="rId8"/>
    <sheet name="4" sheetId="6" r:id="rId9"/>
    <sheet name="5" sheetId="7" r:id="rId10"/>
    <sheet name="6" sheetId="8" r:id="rId11"/>
    <sheet name="7" sheetId="19" r:id="rId12"/>
    <sheet name="8" sheetId="20" r:id="rId13"/>
    <sheet name="9" sheetId="21" r:id="rId14"/>
    <sheet name="10" sheetId="25" r:id="rId15"/>
    <sheet name="11" sheetId="26" r:id="rId16"/>
    <sheet name="12" sheetId="27" r:id="rId17"/>
    <sheet name="13" sheetId="28" r:id="rId18"/>
    <sheet name="14" sheetId="29" r:id="rId19"/>
    <sheet name="15" sheetId="30" r:id="rId20"/>
    <sheet name="16" sheetId="31" r:id="rId21"/>
    <sheet name="17" sheetId="32" r:id="rId22"/>
    <sheet name="18" sheetId="33" r:id="rId23"/>
    <sheet name="19" sheetId="34" r:id="rId24"/>
    <sheet name="20" sheetId="35" r:id="rId25"/>
    <sheet name="21" sheetId="36" r:id="rId26"/>
    <sheet name="22" sheetId="37" r:id="rId27"/>
    <sheet name="23" sheetId="38" r:id="rId28"/>
    <sheet name="24" sheetId="39" r:id="rId29"/>
    <sheet name="25" sheetId="40" r:id="rId30"/>
    <sheet name="26" sheetId="41" r:id="rId31"/>
    <sheet name="27" sheetId="42" r:id="rId32"/>
    <sheet name="28" sheetId="43" r:id="rId33"/>
    <sheet name="29" sheetId="44" r:id="rId34"/>
    <sheet name="30" sheetId="45" r:id="rId35"/>
    <sheet name="31" sheetId="46" r:id="rId36"/>
    <sheet name="32" sheetId="47" r:id="rId37"/>
    <sheet name="33" sheetId="48" r:id="rId38"/>
    <sheet name="34" sheetId="49" r:id="rId39"/>
    <sheet name="35" sheetId="50" r:id="rId40"/>
    <sheet name="36" sheetId="51" r:id="rId41"/>
    <sheet name="37" sheetId="52" r:id="rId42"/>
    <sheet name="38" sheetId="53" r:id="rId43"/>
    <sheet name="39" sheetId="54" r:id="rId44"/>
    <sheet name="40" sheetId="55" r:id="rId45"/>
    <sheet name="41" sheetId="56" r:id="rId46"/>
    <sheet name="42" sheetId="57" r:id="rId47"/>
    <sheet name="43" sheetId="58" r:id="rId48"/>
    <sheet name="44" sheetId="59" r:id="rId49"/>
    <sheet name="45" sheetId="60" r:id="rId50"/>
    <sheet name="46" sheetId="61" r:id="rId51"/>
    <sheet name="47" sheetId="62" r:id="rId52"/>
    <sheet name="48" sheetId="63" r:id="rId53"/>
    <sheet name="49" sheetId="64" r:id="rId54"/>
    <sheet name="50" sheetId="65" r:id="rId55"/>
    <sheet name="51" sheetId="66" r:id="rId56"/>
    <sheet name="52" sheetId="67" r:id="rId57"/>
    <sheet name="53" sheetId="68" r:id="rId58"/>
    <sheet name="54" sheetId="69" r:id="rId59"/>
    <sheet name="55" sheetId="70" r:id="rId60"/>
    <sheet name="56" sheetId="71" r:id="rId61"/>
    <sheet name="57" sheetId="72" r:id="rId62"/>
    <sheet name="58" sheetId="73" r:id="rId63"/>
    <sheet name="59" sheetId="74" r:id="rId64"/>
    <sheet name="60" sheetId="75" r:id="rId65"/>
    <sheet name="61" sheetId="76" r:id="rId66"/>
    <sheet name="62" sheetId="77" r:id="rId67"/>
    <sheet name="63" sheetId="78" r:id="rId68"/>
    <sheet name="64" sheetId="79" r:id="rId69"/>
    <sheet name="65" sheetId="80" r:id="rId70"/>
    <sheet name="66" sheetId="81" r:id="rId71"/>
    <sheet name="67" sheetId="82" r:id="rId72"/>
    <sheet name="68" sheetId="83" r:id="rId73"/>
    <sheet name="69" sheetId="84" r:id="rId74"/>
    <sheet name="70" sheetId="85" r:id="rId75"/>
    <sheet name="71" sheetId="86" r:id="rId76"/>
    <sheet name="72" sheetId="87" r:id="rId77"/>
    <sheet name="73" sheetId="88" r:id="rId78"/>
    <sheet name="74" sheetId="89" r:id="rId79"/>
    <sheet name="75" sheetId="90" r:id="rId80"/>
    <sheet name="76" sheetId="91" r:id="rId81"/>
    <sheet name="77" sheetId="92" r:id="rId82"/>
    <sheet name="78" sheetId="93" r:id="rId83"/>
    <sheet name="79" sheetId="94" r:id="rId84"/>
    <sheet name="80" sheetId="95" r:id="rId85"/>
    <sheet name="81" sheetId="96" r:id="rId86"/>
    <sheet name="82" sheetId="97" r:id="rId87"/>
    <sheet name="83" sheetId="98" r:id="rId88"/>
    <sheet name="84" sheetId="99" r:id="rId89"/>
    <sheet name="85" sheetId="100" r:id="rId90"/>
    <sheet name="86" sheetId="101" r:id="rId91"/>
    <sheet name="87" sheetId="102" r:id="rId92"/>
    <sheet name="88" sheetId="103" r:id="rId93"/>
    <sheet name="89" sheetId="104" r:id="rId94"/>
    <sheet name="90" sheetId="105" r:id="rId95"/>
    <sheet name="91" sheetId="106" r:id="rId96"/>
    <sheet name="92" sheetId="107" r:id="rId97"/>
    <sheet name="93" sheetId="108" r:id="rId98"/>
    <sheet name="94" sheetId="109" r:id="rId99"/>
    <sheet name="95" sheetId="110" r:id="rId100"/>
  </sheets>
  <externalReferences>
    <externalReference r:id="rId101"/>
    <externalReference r:id="rId102"/>
  </externalReferences>
  <calcPr calcId="125725"/>
</workbook>
</file>

<file path=xl/calcChain.xml><?xml version="1.0" encoding="utf-8"?>
<calcChain xmlns="http://schemas.openxmlformats.org/spreadsheetml/2006/main">
  <c r="F77" i="2"/>
  <c r="R1" i="24"/>
  <c r="P1"/>
  <c r="N1"/>
  <c r="L1"/>
  <c r="J1"/>
  <c r="H1"/>
  <c r="F1"/>
  <c r="D1"/>
  <c r="AC66" i="4"/>
  <c r="J23" i="22"/>
  <c r="J31"/>
  <c r="J54"/>
  <c r="J36"/>
  <c r="J19"/>
  <c r="J22"/>
  <c r="J12"/>
  <c r="J9"/>
  <c r="J56"/>
  <c r="J17"/>
  <c r="J33"/>
  <c r="J6"/>
  <c r="J21"/>
  <c r="J48"/>
  <c r="J3"/>
  <c r="J15"/>
  <c r="J78"/>
  <c r="J14"/>
  <c r="J18"/>
  <c r="J40"/>
  <c r="J25"/>
  <c r="J47"/>
  <c r="J10"/>
  <c r="J79"/>
  <c r="J32"/>
  <c r="J27"/>
  <c r="J63"/>
  <c r="J53"/>
  <c r="J58"/>
  <c r="J69"/>
  <c r="J87"/>
  <c r="J42"/>
  <c r="J5"/>
  <c r="J7"/>
  <c r="J74"/>
  <c r="J94"/>
  <c r="J96"/>
  <c r="J34"/>
  <c r="J57"/>
  <c r="J46"/>
  <c r="J24"/>
  <c r="J4"/>
  <c r="J13"/>
  <c r="J86"/>
  <c r="J59"/>
  <c r="J38"/>
  <c r="J26"/>
  <c r="J50"/>
  <c r="J55"/>
  <c r="J84"/>
  <c r="J76"/>
  <c r="J64"/>
  <c r="J88"/>
  <c r="J52"/>
  <c r="J83"/>
  <c r="J35"/>
  <c r="J72"/>
  <c r="J71"/>
  <c r="J70"/>
  <c r="J93"/>
  <c r="J28"/>
  <c r="J77"/>
  <c r="J20"/>
  <c r="J43"/>
  <c r="J39"/>
  <c r="J73"/>
  <c r="J92"/>
  <c r="J37"/>
  <c r="J60"/>
  <c r="J82"/>
  <c r="J16"/>
  <c r="J62"/>
  <c r="J45"/>
  <c r="J90"/>
  <c r="J68"/>
  <c r="J89"/>
  <c r="J66"/>
  <c r="J41"/>
  <c r="J65"/>
  <c r="J51"/>
  <c r="J75"/>
  <c r="J67"/>
  <c r="J81"/>
  <c r="J8"/>
  <c r="J61"/>
  <c r="J30"/>
  <c r="J80"/>
  <c r="J11"/>
  <c r="J29"/>
  <c r="J95"/>
  <c r="J91"/>
  <c r="J85"/>
  <c r="J44"/>
  <c r="J49"/>
  <c r="F66" i="94"/>
  <c r="F72" s="1"/>
  <c r="D66"/>
  <c r="F65"/>
  <c r="D65"/>
  <c r="D72" s="1"/>
  <c r="D78" s="1"/>
  <c r="F82" s="1"/>
  <c r="F64"/>
  <c r="D64"/>
  <c r="F70" s="1"/>
  <c r="F63"/>
  <c r="D63"/>
  <c r="D70" s="1"/>
  <c r="D77" s="1"/>
  <c r="D86" s="1"/>
  <c r="F62"/>
  <c r="F73" s="1"/>
  <c r="D62"/>
  <c r="F61"/>
  <c r="D61"/>
  <c r="D73" s="1"/>
  <c r="F78" s="1"/>
  <c r="F86" s="1"/>
  <c r="F60"/>
  <c r="D60"/>
  <c r="F71" s="1"/>
  <c r="F77" s="1"/>
  <c r="D82" s="1"/>
  <c r="F59"/>
  <c r="D59"/>
  <c r="D71" s="1"/>
  <c r="C77" i="22"/>
  <c r="L55" i="109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S18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L55" i="108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Q12"/>
  <c r="P12"/>
  <c r="R12" s="1"/>
  <c r="L12"/>
  <c r="S22" s="1"/>
  <c r="K12"/>
  <c r="S21" s="1"/>
  <c r="J12"/>
  <c r="Q11"/>
  <c r="P11"/>
  <c r="R11" s="1"/>
  <c r="L11"/>
  <c r="S18" s="1"/>
  <c r="K11"/>
  <c r="S17" s="1"/>
  <c r="J11"/>
  <c r="Q10"/>
  <c r="P10"/>
  <c r="R10" s="1"/>
  <c r="L10"/>
  <c r="S16" s="1"/>
  <c r="K10"/>
  <c r="S15" s="1"/>
  <c r="J10"/>
  <c r="Q9"/>
  <c r="P9"/>
  <c r="R9" s="1"/>
  <c r="L9"/>
  <c r="S12" s="1"/>
  <c r="K9"/>
  <c r="S11" s="1"/>
  <c r="J9"/>
  <c r="L8"/>
  <c r="S10" s="1"/>
  <c r="K8"/>
  <c r="S9" s="1"/>
  <c r="J8"/>
  <c r="L55" i="107" l="1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S18" s="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X98" i="110"/>
  <c r="X97"/>
  <c r="X96"/>
  <c r="X95"/>
  <c r="X94"/>
  <c r="X93"/>
  <c r="X92"/>
  <c r="E92"/>
  <c r="X91"/>
  <c r="E91"/>
  <c r="X90"/>
  <c r="E90"/>
  <c r="X89"/>
  <c r="E89"/>
  <c r="X88"/>
  <c r="X87"/>
  <c r="AD86"/>
  <c r="AH86" s="1"/>
  <c r="AC86"/>
  <c r="X86"/>
  <c r="F86"/>
  <c r="D86"/>
  <c r="X85"/>
  <c r="X84"/>
  <c r="X83"/>
  <c r="AD82"/>
  <c r="AH82" s="1"/>
  <c r="AC82"/>
  <c r="X82"/>
  <c r="F82"/>
  <c r="D82"/>
  <c r="X81"/>
  <c r="X80"/>
  <c r="X79"/>
  <c r="AD78"/>
  <c r="AH78" s="1"/>
  <c r="AC78"/>
  <c r="X78"/>
  <c r="F78"/>
  <c r="D78"/>
  <c r="AD77"/>
  <c r="AH77" s="1"/>
  <c r="AC77"/>
  <c r="X77"/>
  <c r="F77"/>
  <c r="D77"/>
  <c r="X76"/>
  <c r="X75"/>
  <c r="X74"/>
  <c r="AD73"/>
  <c r="AH73" s="1"/>
  <c r="AC73"/>
  <c r="X73"/>
  <c r="F73"/>
  <c r="D73"/>
  <c r="AD72"/>
  <c r="AH72" s="1"/>
  <c r="AC72"/>
  <c r="X72"/>
  <c r="F72"/>
  <c r="D72"/>
  <c r="AD71"/>
  <c r="AH71" s="1"/>
  <c r="AC71"/>
  <c r="X71"/>
  <c r="F71"/>
  <c r="D71"/>
  <c r="AD70"/>
  <c r="AH70" s="1"/>
  <c r="AC70"/>
  <c r="X70"/>
  <c r="F70"/>
  <c r="D70"/>
  <c r="X69"/>
  <c r="BA68"/>
  <c r="BB68" s="1"/>
  <c r="AZ68"/>
  <c r="X68"/>
  <c r="BA67"/>
  <c r="BB67" s="1"/>
  <c r="AZ67"/>
  <c r="X67"/>
  <c r="BA66"/>
  <c r="BB66" s="1"/>
  <c r="AZ66"/>
  <c r="AD66"/>
  <c r="AH66" s="1"/>
  <c r="AC66"/>
  <c r="AA66"/>
  <c r="Z66"/>
  <c r="X66"/>
  <c r="F66"/>
  <c r="D66"/>
  <c r="BA65"/>
  <c r="BB65" s="1"/>
  <c r="AZ65"/>
  <c r="AD65"/>
  <c r="AH65" s="1"/>
  <c r="AC65"/>
  <c r="AA65"/>
  <c r="Z65"/>
  <c r="X65"/>
  <c r="F65"/>
  <c r="D65"/>
  <c r="BA64"/>
  <c r="BB64" s="1"/>
  <c r="AZ64"/>
  <c r="AD64"/>
  <c r="AH64" s="1"/>
  <c r="AC64"/>
  <c r="AA64"/>
  <c r="Z64"/>
  <c r="X64"/>
  <c r="F64"/>
  <c r="D64"/>
  <c r="BA63"/>
  <c r="BB63" s="1"/>
  <c r="AZ63"/>
  <c r="AD63"/>
  <c r="AH63" s="1"/>
  <c r="AC63"/>
  <c r="AA63"/>
  <c r="Z63"/>
  <c r="X63"/>
  <c r="F63"/>
  <c r="D63"/>
  <c r="BA62"/>
  <c r="BB62" s="1"/>
  <c r="AZ62"/>
  <c r="AD62"/>
  <c r="AH62" s="1"/>
  <c r="AC62"/>
  <c r="AA62"/>
  <c r="Z62"/>
  <c r="X62"/>
  <c r="F62"/>
  <c r="D62"/>
  <c r="BA61"/>
  <c r="BB61" s="1"/>
  <c r="AZ61"/>
  <c r="AD61"/>
  <c r="AH61" s="1"/>
  <c r="AC61"/>
  <c r="AA61"/>
  <c r="Z61"/>
  <c r="X61"/>
  <c r="F61"/>
  <c r="D61"/>
  <c r="BA60"/>
  <c r="BB60" s="1"/>
  <c r="AZ60"/>
  <c r="AD60"/>
  <c r="AH60" s="1"/>
  <c r="AC60"/>
  <c r="AA60"/>
  <c r="Z60"/>
  <c r="X60"/>
  <c r="F60"/>
  <c r="D60"/>
  <c r="BA59"/>
  <c r="BB59" s="1"/>
  <c r="AZ59"/>
  <c r="AD59"/>
  <c r="AH59" s="1"/>
  <c r="AC59"/>
  <c r="AA59"/>
  <c r="Z59"/>
  <c r="X59"/>
  <c r="F59"/>
  <c r="D59"/>
  <c r="BA58"/>
  <c r="AZ58"/>
  <c r="AA58"/>
  <c r="Z58"/>
  <c r="X58"/>
  <c r="AD55"/>
  <c r="AH55" s="1"/>
  <c r="AC55"/>
  <c r="L55"/>
  <c r="K55"/>
  <c r="J55"/>
  <c r="AO54"/>
  <c r="AM54" s="1"/>
  <c r="AD54"/>
  <c r="AH54" s="1"/>
  <c r="AC54"/>
  <c r="V54"/>
  <c r="Q54"/>
  <c r="P54"/>
  <c r="R54" s="1"/>
  <c r="L54"/>
  <c r="K54"/>
  <c r="J54"/>
  <c r="AO53"/>
  <c r="AM53" s="1"/>
  <c r="AD53"/>
  <c r="AK53" s="1"/>
  <c r="AC53"/>
  <c r="V53"/>
  <c r="Q53"/>
  <c r="P53"/>
  <c r="R53" s="1"/>
  <c r="L53"/>
  <c r="K53"/>
  <c r="J53"/>
  <c r="AO52"/>
  <c r="AM52" s="1"/>
  <c r="AD52"/>
  <c r="AC52"/>
  <c r="V52"/>
  <c r="Q52"/>
  <c r="P52"/>
  <c r="R52" s="1"/>
  <c r="L52"/>
  <c r="K52"/>
  <c r="J52"/>
  <c r="AO51"/>
  <c r="AM51" s="1"/>
  <c r="AD51"/>
  <c r="AC51"/>
  <c r="V51"/>
  <c r="Q51"/>
  <c r="P51"/>
  <c r="R51" s="1"/>
  <c r="L51"/>
  <c r="K51"/>
  <c r="J51"/>
  <c r="AD50"/>
  <c r="AC50"/>
  <c r="L50"/>
  <c r="K50"/>
  <c r="J50"/>
  <c r="AD49"/>
  <c r="AH49" s="1"/>
  <c r="AC49"/>
  <c r="L49"/>
  <c r="K49"/>
  <c r="J49"/>
  <c r="AO48"/>
  <c r="AM48" s="1"/>
  <c r="AD48"/>
  <c r="AC48"/>
  <c r="AL48" s="1"/>
  <c r="V48"/>
  <c r="Q48"/>
  <c r="P48"/>
  <c r="R48" s="1"/>
  <c r="L48"/>
  <c r="K48"/>
  <c r="J48"/>
  <c r="AO47"/>
  <c r="AM47" s="1"/>
  <c r="AD47"/>
  <c r="AC47"/>
  <c r="V47"/>
  <c r="Q47"/>
  <c r="P47"/>
  <c r="R47" s="1"/>
  <c r="L47"/>
  <c r="K47"/>
  <c r="J47"/>
  <c r="AO46"/>
  <c r="AM46" s="1"/>
  <c r="AD46"/>
  <c r="AC46"/>
  <c r="V46"/>
  <c r="Q46"/>
  <c r="P46"/>
  <c r="R46" s="1"/>
  <c r="L46"/>
  <c r="K46"/>
  <c r="J46"/>
  <c r="AO45"/>
  <c r="AM45" s="1"/>
  <c r="AD45"/>
  <c r="AK45" s="1"/>
  <c r="AC45"/>
  <c r="V45"/>
  <c r="Q45"/>
  <c r="P45"/>
  <c r="R45" s="1"/>
  <c r="L45"/>
  <c r="K45"/>
  <c r="J45"/>
  <c r="AD44"/>
  <c r="AC44"/>
  <c r="L44"/>
  <c r="K44"/>
  <c r="J44"/>
  <c r="AD43"/>
  <c r="AH43" s="1"/>
  <c r="AC43"/>
  <c r="L43"/>
  <c r="K43"/>
  <c r="J43"/>
  <c r="AO42"/>
  <c r="AM42" s="1"/>
  <c r="AD42"/>
  <c r="AC42"/>
  <c r="V42"/>
  <c r="Q42"/>
  <c r="P42"/>
  <c r="R42" s="1"/>
  <c r="L42"/>
  <c r="K42"/>
  <c r="J42"/>
  <c r="AO41"/>
  <c r="AM41" s="1"/>
  <c r="AD41"/>
  <c r="AC41"/>
  <c r="V41"/>
  <c r="Q41"/>
  <c r="P41"/>
  <c r="R41" s="1"/>
  <c r="L41"/>
  <c r="K41"/>
  <c r="J41"/>
  <c r="AO40"/>
  <c r="AM40" s="1"/>
  <c r="AD40"/>
  <c r="AC40"/>
  <c r="V40"/>
  <c r="Q40"/>
  <c r="P40"/>
  <c r="R40" s="1"/>
  <c r="L40"/>
  <c r="K40"/>
  <c r="J40"/>
  <c r="AO39"/>
  <c r="AM39" s="1"/>
  <c r="AD39"/>
  <c r="AC39"/>
  <c r="V39"/>
  <c r="Q39"/>
  <c r="P39"/>
  <c r="R39" s="1"/>
  <c r="L39"/>
  <c r="K39"/>
  <c r="J39"/>
  <c r="AD38"/>
  <c r="AC38"/>
  <c r="L38"/>
  <c r="K38"/>
  <c r="S54" s="1"/>
  <c r="J38"/>
  <c r="AD37"/>
  <c r="AH37" s="1"/>
  <c r="AC37"/>
  <c r="L37"/>
  <c r="K37"/>
  <c r="J37"/>
  <c r="AO36"/>
  <c r="AM36" s="1"/>
  <c r="AD36"/>
  <c r="AC36"/>
  <c r="V36"/>
  <c r="Q36"/>
  <c r="P36"/>
  <c r="R36" s="1"/>
  <c r="L36"/>
  <c r="K36"/>
  <c r="S42" s="1"/>
  <c r="J36"/>
  <c r="AO35"/>
  <c r="AM35" s="1"/>
  <c r="AD35"/>
  <c r="AC35"/>
  <c r="V35"/>
  <c r="Q35"/>
  <c r="P35"/>
  <c r="R35" s="1"/>
  <c r="L35"/>
  <c r="K35"/>
  <c r="J35"/>
  <c r="AO34"/>
  <c r="AM34" s="1"/>
  <c r="AD34"/>
  <c r="AC34"/>
  <c r="V34"/>
  <c r="Q34"/>
  <c r="P34"/>
  <c r="R34" s="1"/>
  <c r="L34"/>
  <c r="K34"/>
  <c r="J34"/>
  <c r="AO33"/>
  <c r="AM33" s="1"/>
  <c r="AD33"/>
  <c r="AC33"/>
  <c r="V33"/>
  <c r="Q33"/>
  <c r="P33"/>
  <c r="R33" s="1"/>
  <c r="L33"/>
  <c r="K33"/>
  <c r="J33"/>
  <c r="AD32"/>
  <c r="AC32"/>
  <c r="L32"/>
  <c r="K32"/>
  <c r="J32"/>
  <c r="AD31"/>
  <c r="AH31" s="1"/>
  <c r="AC31"/>
  <c r="L31"/>
  <c r="K31"/>
  <c r="J31"/>
  <c r="AO30"/>
  <c r="AM30" s="1"/>
  <c r="AD30"/>
  <c r="AC30"/>
  <c r="V30"/>
  <c r="Q30"/>
  <c r="P30"/>
  <c r="R30" s="1"/>
  <c r="L30"/>
  <c r="K30"/>
  <c r="J30"/>
  <c r="AO29"/>
  <c r="AM29" s="1"/>
  <c r="AD29"/>
  <c r="AC29"/>
  <c r="V29"/>
  <c r="Q29"/>
  <c r="P29"/>
  <c r="R29" s="1"/>
  <c r="L29"/>
  <c r="K29"/>
  <c r="J29"/>
  <c r="AO28"/>
  <c r="AM28" s="1"/>
  <c r="AD28"/>
  <c r="AC28"/>
  <c r="V28"/>
  <c r="Q28"/>
  <c r="P28"/>
  <c r="R28" s="1"/>
  <c r="L28"/>
  <c r="K28"/>
  <c r="J28"/>
  <c r="AO27"/>
  <c r="AM27" s="1"/>
  <c r="AD27"/>
  <c r="AC27"/>
  <c r="V27"/>
  <c r="Q27"/>
  <c r="P27"/>
  <c r="R27" s="1"/>
  <c r="L27"/>
  <c r="K27"/>
  <c r="J27"/>
  <c r="AD26"/>
  <c r="AC26"/>
  <c r="L26"/>
  <c r="K26"/>
  <c r="J26"/>
  <c r="AD25"/>
  <c r="AH25" s="1"/>
  <c r="AC25"/>
  <c r="L25"/>
  <c r="K25"/>
  <c r="J25"/>
  <c r="AO24"/>
  <c r="AM24" s="1"/>
  <c r="AD24"/>
  <c r="AC24"/>
  <c r="V24"/>
  <c r="Q24"/>
  <c r="P24"/>
  <c r="R24" s="1"/>
  <c r="L24"/>
  <c r="K24"/>
  <c r="S53" s="1"/>
  <c r="J24"/>
  <c r="AO23"/>
  <c r="AM23" s="1"/>
  <c r="AD23"/>
  <c r="AC23"/>
  <c r="V23"/>
  <c r="Q23"/>
  <c r="P23"/>
  <c r="R23" s="1"/>
  <c r="L23"/>
  <c r="K23"/>
  <c r="J23"/>
  <c r="AO22"/>
  <c r="AM22" s="1"/>
  <c r="AD22"/>
  <c r="AC22"/>
  <c r="V22"/>
  <c r="Q22"/>
  <c r="P22"/>
  <c r="L22"/>
  <c r="S52" s="1"/>
  <c r="K22"/>
  <c r="S51" s="1"/>
  <c r="J22"/>
  <c r="AO21"/>
  <c r="AM21" s="1"/>
  <c r="AD21"/>
  <c r="AH21" s="1"/>
  <c r="AC21"/>
  <c r="AG21" s="1"/>
  <c r="V21"/>
  <c r="Q21"/>
  <c r="P21"/>
  <c r="R21" s="1"/>
  <c r="L21"/>
  <c r="K21"/>
  <c r="S47" s="1"/>
  <c r="J21"/>
  <c r="AD20"/>
  <c r="AH20" s="1"/>
  <c r="AC20"/>
  <c r="L20"/>
  <c r="K20"/>
  <c r="S41" s="1"/>
  <c r="J20"/>
  <c r="AD19"/>
  <c r="AH19" s="1"/>
  <c r="AC19"/>
  <c r="L19"/>
  <c r="S46" s="1"/>
  <c r="K19"/>
  <c r="S45" s="1"/>
  <c r="J19"/>
  <c r="AO18"/>
  <c r="AM18" s="1"/>
  <c r="AD18"/>
  <c r="AH18" s="1"/>
  <c r="AC18"/>
  <c r="V18"/>
  <c r="Q18"/>
  <c r="P18"/>
  <c r="L18"/>
  <c r="S40" s="1"/>
  <c r="K18"/>
  <c r="S39" s="1"/>
  <c r="J18"/>
  <c r="AO17"/>
  <c r="AM17" s="1"/>
  <c r="AD17"/>
  <c r="AH17" s="1"/>
  <c r="AC17"/>
  <c r="AG17" s="1"/>
  <c r="V17"/>
  <c r="Q17"/>
  <c r="P17"/>
  <c r="R17" s="1"/>
  <c r="L17"/>
  <c r="K17"/>
  <c r="S35" s="1"/>
  <c r="J17"/>
  <c r="AO16"/>
  <c r="AM16" s="1"/>
  <c r="AD16"/>
  <c r="AH16" s="1"/>
  <c r="AC16"/>
  <c r="V16"/>
  <c r="Q16"/>
  <c r="P16"/>
  <c r="L16"/>
  <c r="S34" s="1"/>
  <c r="K16"/>
  <c r="S33" s="1"/>
  <c r="J16"/>
  <c r="AO15"/>
  <c r="AM15" s="1"/>
  <c r="AD15"/>
  <c r="AH15" s="1"/>
  <c r="AC15"/>
  <c r="V15"/>
  <c r="Q15"/>
  <c r="P15"/>
  <c r="R15" s="1"/>
  <c r="L15"/>
  <c r="S24" s="1"/>
  <c r="K15"/>
  <c r="S23" s="1"/>
  <c r="J15"/>
  <c r="AD14"/>
  <c r="AH14" s="1"/>
  <c r="AC14"/>
  <c r="L14"/>
  <c r="S30" s="1"/>
  <c r="K14"/>
  <c r="S29" s="1"/>
  <c r="J14"/>
  <c r="AD13"/>
  <c r="AC13"/>
  <c r="L13"/>
  <c r="S28" s="1"/>
  <c r="K13"/>
  <c r="S27" s="1"/>
  <c r="J13"/>
  <c r="AO12"/>
  <c r="AM12" s="1"/>
  <c r="AD12"/>
  <c r="AH12" s="1"/>
  <c r="AC12"/>
  <c r="V12"/>
  <c r="Q12"/>
  <c r="P12"/>
  <c r="R12" s="1"/>
  <c r="L12"/>
  <c r="S22" s="1"/>
  <c r="K12"/>
  <c r="S21" s="1"/>
  <c r="J12"/>
  <c r="AO11"/>
  <c r="AM11" s="1"/>
  <c r="AD11"/>
  <c r="AH11" s="1"/>
  <c r="AC11"/>
  <c r="V11"/>
  <c r="Q11"/>
  <c r="P11"/>
  <c r="R11" s="1"/>
  <c r="L11"/>
  <c r="S18" s="1"/>
  <c r="K11"/>
  <c r="S17" s="1"/>
  <c r="J11"/>
  <c r="AO10"/>
  <c r="AM10" s="1"/>
  <c r="AD10"/>
  <c r="AH10" s="1"/>
  <c r="AC10"/>
  <c r="V10"/>
  <c r="Q10"/>
  <c r="P10"/>
  <c r="R10" s="1"/>
  <c r="L10"/>
  <c r="S16" s="1"/>
  <c r="K10"/>
  <c r="S15" s="1"/>
  <c r="J10"/>
  <c r="AO9"/>
  <c r="AM9" s="1"/>
  <c r="AD9"/>
  <c r="AH9" s="1"/>
  <c r="AC9"/>
  <c r="V9"/>
  <c r="Q9"/>
  <c r="P9"/>
  <c r="R9" s="1"/>
  <c r="L9"/>
  <c r="S12" s="1"/>
  <c r="K9"/>
  <c r="S11" s="1"/>
  <c r="J9"/>
  <c r="AD8"/>
  <c r="AH8" s="1"/>
  <c r="AC8"/>
  <c r="L8"/>
  <c r="S10" s="1"/>
  <c r="K8"/>
  <c r="S9" s="1"/>
  <c r="J8"/>
  <c r="U3"/>
  <c r="N3"/>
  <c r="X98" i="109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X77"/>
  <c r="X76"/>
  <c r="X75"/>
  <c r="X74"/>
  <c r="AD73"/>
  <c r="AH73" s="1"/>
  <c r="AC73"/>
  <c r="X73"/>
  <c r="AD72"/>
  <c r="AH72" s="1"/>
  <c r="AC72"/>
  <c r="X72"/>
  <c r="AD71"/>
  <c r="AH71" s="1"/>
  <c r="AC71"/>
  <c r="X71"/>
  <c r="AD70"/>
  <c r="AH70" s="1"/>
  <c r="AC70"/>
  <c r="X70"/>
  <c r="X69"/>
  <c r="AZ68"/>
  <c r="X68"/>
  <c r="AZ67"/>
  <c r="X67"/>
  <c r="AZ66"/>
  <c r="AD66"/>
  <c r="AH66" s="1"/>
  <c r="AC66"/>
  <c r="X66"/>
  <c r="AZ65"/>
  <c r="AD65"/>
  <c r="AH65" s="1"/>
  <c r="AC65"/>
  <c r="AK65" s="1"/>
  <c r="X65"/>
  <c r="AZ64"/>
  <c r="AD64"/>
  <c r="AH64" s="1"/>
  <c r="AC64"/>
  <c r="X64"/>
  <c r="AZ63"/>
  <c r="AD63"/>
  <c r="AH63" s="1"/>
  <c r="AC63"/>
  <c r="X63"/>
  <c r="AZ62"/>
  <c r="AD62"/>
  <c r="AH62" s="1"/>
  <c r="AC62"/>
  <c r="X62"/>
  <c r="AZ61"/>
  <c r="AD61"/>
  <c r="AH61" s="1"/>
  <c r="AC61"/>
  <c r="Z61"/>
  <c r="D61" s="1"/>
  <c r="D73" s="1"/>
  <c r="F78" s="1"/>
  <c r="F86" s="1"/>
  <c r="E90" s="1"/>
  <c r="X61"/>
  <c r="AZ60"/>
  <c r="AD60"/>
  <c r="AH60" s="1"/>
  <c r="AC60"/>
  <c r="X60"/>
  <c r="AZ59"/>
  <c r="AD59"/>
  <c r="AH59" s="1"/>
  <c r="AC59"/>
  <c r="Z59"/>
  <c r="D59" s="1"/>
  <c r="D71" s="1"/>
  <c r="F77" s="1"/>
  <c r="D86" s="1"/>
  <c r="E89" s="1"/>
  <c r="X59"/>
  <c r="AZ58"/>
  <c r="BA67" s="1"/>
  <c r="BB67" s="1"/>
  <c r="AA58"/>
  <c r="Z58"/>
  <c r="X58"/>
  <c r="AD55"/>
  <c r="AH55" s="1"/>
  <c r="AC55"/>
  <c r="AO54"/>
  <c r="AM54" s="1"/>
  <c r="AD54"/>
  <c r="AH54" s="1"/>
  <c r="AC54"/>
  <c r="V54"/>
  <c r="AO53"/>
  <c r="AM53" s="1"/>
  <c r="AD53"/>
  <c r="AH53" s="1"/>
  <c r="AC53"/>
  <c r="V53"/>
  <c r="AA64" s="1"/>
  <c r="F64" s="1"/>
  <c r="AO52"/>
  <c r="AM52" s="1"/>
  <c r="AD52"/>
  <c r="AH52" s="1"/>
  <c r="AC52"/>
  <c r="V52"/>
  <c r="AO51"/>
  <c r="AM51" s="1"/>
  <c r="AD51"/>
  <c r="AC51"/>
  <c r="V51"/>
  <c r="Z66" s="1"/>
  <c r="D66" s="1"/>
  <c r="AD50"/>
  <c r="AC50"/>
  <c r="AD49"/>
  <c r="AH49" s="1"/>
  <c r="AC49"/>
  <c r="AO48"/>
  <c r="AM48" s="1"/>
  <c r="AD48"/>
  <c r="AC48"/>
  <c r="V48"/>
  <c r="AO47"/>
  <c r="AM47" s="1"/>
  <c r="AD47"/>
  <c r="AC47"/>
  <c r="V47"/>
  <c r="AO46"/>
  <c r="AM46" s="1"/>
  <c r="AD46"/>
  <c r="AC46"/>
  <c r="V46"/>
  <c r="AA66" s="1"/>
  <c r="F66" s="1"/>
  <c r="F72" s="1"/>
  <c r="AO45"/>
  <c r="AM45" s="1"/>
  <c r="AD45"/>
  <c r="AC45"/>
  <c r="V45"/>
  <c r="Z64" s="1"/>
  <c r="D64" s="1"/>
  <c r="F70" s="1"/>
  <c r="D77" s="1"/>
  <c r="D82" s="1"/>
  <c r="E91" s="1"/>
  <c r="AD44"/>
  <c r="AC44"/>
  <c r="AL44" s="1"/>
  <c r="AD43"/>
  <c r="AH43" s="1"/>
  <c r="AC43"/>
  <c r="AO42"/>
  <c r="AM42" s="1"/>
  <c r="AD42"/>
  <c r="AC42"/>
  <c r="V42"/>
  <c r="AA63" s="1"/>
  <c r="F63" s="1"/>
  <c r="AO41"/>
  <c r="AM41" s="1"/>
  <c r="AD41"/>
  <c r="AC41"/>
  <c r="V41"/>
  <c r="AO40"/>
  <c r="AM40" s="1"/>
  <c r="AD40"/>
  <c r="AC40"/>
  <c r="V40"/>
  <c r="AO39"/>
  <c r="AM39" s="1"/>
  <c r="AD39"/>
  <c r="AC39"/>
  <c r="V39"/>
  <c r="Z65" s="1"/>
  <c r="D65" s="1"/>
  <c r="D72" s="1"/>
  <c r="D78" s="1"/>
  <c r="F82" s="1"/>
  <c r="E92" s="1"/>
  <c r="AD38"/>
  <c r="AC38"/>
  <c r="AD37"/>
  <c r="AH37" s="1"/>
  <c r="AC37"/>
  <c r="AO36"/>
  <c r="AM36" s="1"/>
  <c r="AD36"/>
  <c r="AC36"/>
  <c r="V36"/>
  <c r="AO35"/>
  <c r="AM35" s="1"/>
  <c r="AD35"/>
  <c r="AC35"/>
  <c r="AL35" s="1"/>
  <c r="V35"/>
  <c r="Z63" s="1"/>
  <c r="D63" s="1"/>
  <c r="D70" s="1"/>
  <c r="AO34"/>
  <c r="AM34" s="1"/>
  <c r="AD34"/>
  <c r="AC34"/>
  <c r="V34"/>
  <c r="AA65" s="1"/>
  <c r="F65" s="1"/>
  <c r="AO33"/>
  <c r="AM33" s="1"/>
  <c r="AD33"/>
  <c r="AC33"/>
  <c r="V33"/>
  <c r="AD32"/>
  <c r="AC32"/>
  <c r="AD31"/>
  <c r="AH31" s="1"/>
  <c r="AC31"/>
  <c r="AO30"/>
  <c r="AM30" s="1"/>
  <c r="AD30"/>
  <c r="AC30"/>
  <c r="V30"/>
  <c r="Z62" s="1"/>
  <c r="D62" s="1"/>
  <c r="F73" s="1"/>
  <c r="AO29"/>
  <c r="AM29" s="1"/>
  <c r="AD29"/>
  <c r="AC29"/>
  <c r="V29"/>
  <c r="AA60" s="1"/>
  <c r="F60" s="1"/>
  <c r="F71" s="1"/>
  <c r="AO28"/>
  <c r="AM28" s="1"/>
  <c r="AD28"/>
  <c r="AC28"/>
  <c r="V28"/>
  <c r="AO27"/>
  <c r="AM27" s="1"/>
  <c r="AD27"/>
  <c r="AC27"/>
  <c r="AG27" s="1"/>
  <c r="V27"/>
  <c r="AD26"/>
  <c r="AH26" s="1"/>
  <c r="AC26"/>
  <c r="AD25"/>
  <c r="AH25" s="1"/>
  <c r="AC25"/>
  <c r="AO24"/>
  <c r="AM24" s="1"/>
  <c r="AD24"/>
  <c r="AH24" s="1"/>
  <c r="AC24"/>
  <c r="V24"/>
  <c r="AA62" s="1"/>
  <c r="F62" s="1"/>
  <c r="AO23"/>
  <c r="AM23" s="1"/>
  <c r="AD23"/>
  <c r="AH23" s="1"/>
  <c r="AC23"/>
  <c r="AG23" s="1"/>
  <c r="V23"/>
  <c r="Z60" s="1"/>
  <c r="D60" s="1"/>
  <c r="AO22"/>
  <c r="AM22" s="1"/>
  <c r="AD22"/>
  <c r="AH22" s="1"/>
  <c r="AC22"/>
  <c r="V22"/>
  <c r="AO21"/>
  <c r="AM21" s="1"/>
  <c r="AD21"/>
  <c r="AH21" s="1"/>
  <c r="AC21"/>
  <c r="AG21" s="1"/>
  <c r="V21"/>
  <c r="AD20"/>
  <c r="AH20" s="1"/>
  <c r="AC20"/>
  <c r="AD19"/>
  <c r="AC19"/>
  <c r="AL19" s="1"/>
  <c r="AO18"/>
  <c r="AM18" s="1"/>
  <c r="AD18"/>
  <c r="AH18" s="1"/>
  <c r="AC18"/>
  <c r="V18"/>
  <c r="AO17"/>
  <c r="AM17" s="1"/>
  <c r="AD17"/>
  <c r="AH17" s="1"/>
  <c r="AC17"/>
  <c r="V17"/>
  <c r="AO16"/>
  <c r="AM16" s="1"/>
  <c r="AD16"/>
  <c r="AH16" s="1"/>
  <c r="AC16"/>
  <c r="V16"/>
  <c r="AA59" s="1"/>
  <c r="F59" s="1"/>
  <c r="AO15"/>
  <c r="AM15" s="1"/>
  <c r="AD15"/>
  <c r="AH15" s="1"/>
  <c r="AC15"/>
  <c r="V15"/>
  <c r="AD14"/>
  <c r="AH14" s="1"/>
  <c r="AC14"/>
  <c r="AD13"/>
  <c r="AC13"/>
  <c r="AL13" s="1"/>
  <c r="AO12"/>
  <c r="AM12" s="1"/>
  <c r="AD12"/>
  <c r="AH12" s="1"/>
  <c r="AC12"/>
  <c r="V12"/>
  <c r="AO11"/>
  <c r="AM11" s="1"/>
  <c r="AD11"/>
  <c r="AH11" s="1"/>
  <c r="AC11"/>
  <c r="V11"/>
  <c r="AO10"/>
  <c r="AM10" s="1"/>
  <c r="AD10"/>
  <c r="AH10" s="1"/>
  <c r="AC10"/>
  <c r="V10"/>
  <c r="AA61" s="1"/>
  <c r="F61" s="1"/>
  <c r="AO9"/>
  <c r="AM9" s="1"/>
  <c r="AD9"/>
  <c r="AH9" s="1"/>
  <c r="AC9"/>
  <c r="V9"/>
  <c r="AD8"/>
  <c r="AH8" s="1"/>
  <c r="AC8"/>
  <c r="N3"/>
  <c r="C74" i="22" s="1"/>
  <c r="X98" i="108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AG78" s="1"/>
  <c r="X78"/>
  <c r="AD77"/>
  <c r="AH77" s="1"/>
  <c r="AC77"/>
  <c r="X77"/>
  <c r="X76"/>
  <c r="X75"/>
  <c r="X74"/>
  <c r="AD73"/>
  <c r="AH73" s="1"/>
  <c r="AC73"/>
  <c r="X73"/>
  <c r="AD72"/>
  <c r="AH72" s="1"/>
  <c r="AC72"/>
  <c r="AG72" s="1"/>
  <c r="X72"/>
  <c r="AD71"/>
  <c r="AH71" s="1"/>
  <c r="AC71"/>
  <c r="X71"/>
  <c r="AD70"/>
  <c r="AH70" s="1"/>
  <c r="AC70"/>
  <c r="AG70" s="1"/>
  <c r="X70"/>
  <c r="X69"/>
  <c r="AZ68"/>
  <c r="X68"/>
  <c r="AZ67"/>
  <c r="X67"/>
  <c r="AZ66"/>
  <c r="AD66"/>
  <c r="AH66" s="1"/>
  <c r="AC66"/>
  <c r="X66"/>
  <c r="AZ65"/>
  <c r="AD65"/>
  <c r="AH65" s="1"/>
  <c r="AC65"/>
  <c r="X65"/>
  <c r="AZ64"/>
  <c r="AD64"/>
  <c r="AH64" s="1"/>
  <c r="AC64"/>
  <c r="AL64" s="1"/>
  <c r="X64"/>
  <c r="AZ63"/>
  <c r="AD63"/>
  <c r="AH63" s="1"/>
  <c r="AC63"/>
  <c r="X63"/>
  <c r="AZ62"/>
  <c r="AD62"/>
  <c r="AH62" s="1"/>
  <c r="AC62"/>
  <c r="X62"/>
  <c r="AZ61"/>
  <c r="AD61"/>
  <c r="AH61" s="1"/>
  <c r="AC61"/>
  <c r="X61"/>
  <c r="AZ60"/>
  <c r="AD60"/>
  <c r="AH60" s="1"/>
  <c r="AC60"/>
  <c r="X60"/>
  <c r="AZ59"/>
  <c r="AD59"/>
  <c r="AH59" s="1"/>
  <c r="AC59"/>
  <c r="X59"/>
  <c r="AZ58"/>
  <c r="AA58"/>
  <c r="Z58"/>
  <c r="X58"/>
  <c r="AD55"/>
  <c r="AH55" s="1"/>
  <c r="AC55"/>
  <c r="AG55" s="1"/>
  <c r="AO54"/>
  <c r="AM54" s="1"/>
  <c r="AD54"/>
  <c r="AH54" s="1"/>
  <c r="AC54"/>
  <c r="V54"/>
  <c r="AO53"/>
  <c r="AM53" s="1"/>
  <c r="AD53"/>
  <c r="AH53" s="1"/>
  <c r="AC53"/>
  <c r="V53"/>
  <c r="Z66" s="1"/>
  <c r="D66" s="1"/>
  <c r="F72" s="1"/>
  <c r="AO52"/>
  <c r="AM52" s="1"/>
  <c r="AD52"/>
  <c r="AH52" s="1"/>
  <c r="AC52"/>
  <c r="V52"/>
  <c r="AO51"/>
  <c r="AM51" s="1"/>
  <c r="AD51"/>
  <c r="AH51" s="1"/>
  <c r="AC51"/>
  <c r="V51"/>
  <c r="AA64" s="1"/>
  <c r="F64" s="1"/>
  <c r="AD50"/>
  <c r="AH50" s="1"/>
  <c r="AC50"/>
  <c r="AD49"/>
  <c r="AH49" s="1"/>
  <c r="AC49"/>
  <c r="AG49" s="1"/>
  <c r="AO48"/>
  <c r="AM48" s="1"/>
  <c r="AD48"/>
  <c r="AH48" s="1"/>
  <c r="AC48"/>
  <c r="V48"/>
  <c r="AO47"/>
  <c r="AM47" s="1"/>
  <c r="AD47"/>
  <c r="AH47" s="1"/>
  <c r="AC47"/>
  <c r="V47"/>
  <c r="AO46"/>
  <c r="AM46" s="1"/>
  <c r="AD46"/>
  <c r="AH46" s="1"/>
  <c r="AC46"/>
  <c r="V46"/>
  <c r="AA66" s="1"/>
  <c r="F66" s="1"/>
  <c r="AO45"/>
  <c r="AM45" s="1"/>
  <c r="AD45"/>
  <c r="AH45" s="1"/>
  <c r="AC45"/>
  <c r="V45"/>
  <c r="Z64" s="1"/>
  <c r="D64" s="1"/>
  <c r="F70" s="1"/>
  <c r="AD44"/>
  <c r="AH44" s="1"/>
  <c r="AC44"/>
  <c r="AD43"/>
  <c r="AH43" s="1"/>
  <c r="AC43"/>
  <c r="AG43" s="1"/>
  <c r="AO42"/>
  <c r="AM42" s="1"/>
  <c r="AD42"/>
  <c r="AH42" s="1"/>
  <c r="AC42"/>
  <c r="V42"/>
  <c r="AA63" s="1"/>
  <c r="F63" s="1"/>
  <c r="AO41"/>
  <c r="AM41" s="1"/>
  <c r="AD41"/>
  <c r="AH41" s="1"/>
  <c r="AC41"/>
  <c r="V41"/>
  <c r="AO40"/>
  <c r="AM40" s="1"/>
  <c r="AD40"/>
  <c r="AH40" s="1"/>
  <c r="AC40"/>
  <c r="V40"/>
  <c r="AO39"/>
  <c r="AM39" s="1"/>
  <c r="AD39"/>
  <c r="AH39" s="1"/>
  <c r="AC39"/>
  <c r="V39"/>
  <c r="Z65" s="1"/>
  <c r="D65" s="1"/>
  <c r="D72" s="1"/>
  <c r="D78" s="1"/>
  <c r="F86" s="1"/>
  <c r="E89" s="1"/>
  <c r="AD38"/>
  <c r="AH38" s="1"/>
  <c r="AC38"/>
  <c r="AD37"/>
  <c r="AH37" s="1"/>
  <c r="AC37"/>
  <c r="AG37" s="1"/>
  <c r="AO36"/>
  <c r="AM36" s="1"/>
  <c r="AD36"/>
  <c r="AH36" s="1"/>
  <c r="AC36"/>
  <c r="V36"/>
  <c r="AO35"/>
  <c r="AM35" s="1"/>
  <c r="AD35"/>
  <c r="AH35" s="1"/>
  <c r="AC35"/>
  <c r="V35"/>
  <c r="Z63" s="1"/>
  <c r="D63" s="1"/>
  <c r="D70" s="1"/>
  <c r="D77" s="1"/>
  <c r="D82" s="1"/>
  <c r="E91" s="1"/>
  <c r="AO34"/>
  <c r="AM34" s="1"/>
  <c r="AD34"/>
  <c r="AH34" s="1"/>
  <c r="AC34"/>
  <c r="V34"/>
  <c r="AA65" s="1"/>
  <c r="F65" s="1"/>
  <c r="AO33"/>
  <c r="AM33" s="1"/>
  <c r="AD33"/>
  <c r="AH33" s="1"/>
  <c r="AC33"/>
  <c r="V33"/>
  <c r="AD32"/>
  <c r="AH32" s="1"/>
  <c r="AC32"/>
  <c r="AD31"/>
  <c r="AH31" s="1"/>
  <c r="AC31"/>
  <c r="AG31" s="1"/>
  <c r="AO30"/>
  <c r="AM30" s="1"/>
  <c r="AD30"/>
  <c r="AH30" s="1"/>
  <c r="AC30"/>
  <c r="V30"/>
  <c r="AO29"/>
  <c r="AM29" s="1"/>
  <c r="AD29"/>
  <c r="AH29" s="1"/>
  <c r="AC29"/>
  <c r="V29"/>
  <c r="Z62" s="1"/>
  <c r="D62" s="1"/>
  <c r="F73" s="1"/>
  <c r="AO28"/>
  <c r="AM28" s="1"/>
  <c r="AD28"/>
  <c r="AH28" s="1"/>
  <c r="AC28"/>
  <c r="V28"/>
  <c r="AO27"/>
  <c r="AM27" s="1"/>
  <c r="AD27"/>
  <c r="AH27" s="1"/>
  <c r="AC27"/>
  <c r="V27"/>
  <c r="AA60" s="1"/>
  <c r="F60" s="1"/>
  <c r="F71" s="1"/>
  <c r="AD26"/>
  <c r="AH26" s="1"/>
  <c r="AC26"/>
  <c r="AD25"/>
  <c r="AH25" s="1"/>
  <c r="AC25"/>
  <c r="AG25" s="1"/>
  <c r="AO24"/>
  <c r="AM24" s="1"/>
  <c r="AD24"/>
  <c r="AH24" s="1"/>
  <c r="AC24"/>
  <c r="V24"/>
  <c r="AO23"/>
  <c r="AM23" s="1"/>
  <c r="AD23"/>
  <c r="AC23"/>
  <c r="V23"/>
  <c r="AA62" s="1"/>
  <c r="F62" s="1"/>
  <c r="AO22"/>
  <c r="AM22" s="1"/>
  <c r="AD22"/>
  <c r="AC22"/>
  <c r="V22"/>
  <c r="AO21"/>
  <c r="AM21" s="1"/>
  <c r="AD21"/>
  <c r="AC21"/>
  <c r="V21"/>
  <c r="Z60" s="1"/>
  <c r="D60" s="1"/>
  <c r="AD20"/>
  <c r="AC20"/>
  <c r="AD19"/>
  <c r="AH19" s="1"/>
  <c r="AC19"/>
  <c r="AL19" s="1"/>
  <c r="AO18"/>
  <c r="AM18" s="1"/>
  <c r="AD18"/>
  <c r="AC18"/>
  <c r="V18"/>
  <c r="AA59" s="1"/>
  <c r="F59" s="1"/>
  <c r="AO17"/>
  <c r="AM17" s="1"/>
  <c r="AD17"/>
  <c r="AC17"/>
  <c r="V17"/>
  <c r="AO16"/>
  <c r="AM16" s="1"/>
  <c r="AD16"/>
  <c r="AC16"/>
  <c r="V16"/>
  <c r="AO15"/>
  <c r="AM15" s="1"/>
  <c r="AD15"/>
  <c r="AC15"/>
  <c r="V15"/>
  <c r="Z61" s="1"/>
  <c r="D61" s="1"/>
  <c r="AD14"/>
  <c r="AC14"/>
  <c r="AD13"/>
  <c r="AH13" s="1"/>
  <c r="AC13"/>
  <c r="AO12"/>
  <c r="AM12" s="1"/>
  <c r="AD12"/>
  <c r="AC12"/>
  <c r="V12"/>
  <c r="AO11"/>
  <c r="AM11" s="1"/>
  <c r="AD11"/>
  <c r="AC11"/>
  <c r="V11"/>
  <c r="AO10"/>
  <c r="AM10" s="1"/>
  <c r="AD10"/>
  <c r="AC10"/>
  <c r="V10"/>
  <c r="AA61" s="1"/>
  <c r="F61" s="1"/>
  <c r="D73" s="1"/>
  <c r="F78" s="1"/>
  <c r="F82" s="1"/>
  <c r="E92" s="1"/>
  <c r="AO9"/>
  <c r="AM9" s="1"/>
  <c r="AD9"/>
  <c r="AC9"/>
  <c r="AG9" s="1"/>
  <c r="V9"/>
  <c r="Z59" s="1"/>
  <c r="D59" s="1"/>
  <c r="D71" s="1"/>
  <c r="F77" s="1"/>
  <c r="D86" s="1"/>
  <c r="E90" s="1"/>
  <c r="AD8"/>
  <c r="AC8"/>
  <c r="N3"/>
  <c r="L55" i="106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S18" s="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L55" i="105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S45"/>
  <c r="Q45"/>
  <c r="P45"/>
  <c r="R45" s="1"/>
  <c r="L45"/>
  <c r="K45"/>
  <c r="J45"/>
  <c r="L44"/>
  <c r="K44"/>
  <c r="S30" s="1"/>
  <c r="J44"/>
  <c r="L43"/>
  <c r="K43"/>
  <c r="J43"/>
  <c r="Q42"/>
  <c r="P42"/>
  <c r="R42" s="1"/>
  <c r="L42"/>
  <c r="K42"/>
  <c r="S12" s="1"/>
  <c r="J42"/>
  <c r="Q41"/>
  <c r="P41"/>
  <c r="R41" s="1"/>
  <c r="L41"/>
  <c r="K41"/>
  <c r="J41"/>
  <c r="Q40"/>
  <c r="P40"/>
  <c r="R40" s="1"/>
  <c r="L40"/>
  <c r="K40"/>
  <c r="S18" s="1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S35"/>
  <c r="Q35"/>
  <c r="P35"/>
  <c r="R35" s="1"/>
  <c r="L35"/>
  <c r="S47" s="1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S24" s="1"/>
  <c r="J30"/>
  <c r="Q29"/>
  <c r="P29"/>
  <c r="R29" s="1"/>
  <c r="L29"/>
  <c r="K29"/>
  <c r="J29"/>
  <c r="Q28"/>
  <c r="P28"/>
  <c r="R28" s="1"/>
  <c r="L28"/>
  <c r="K28"/>
  <c r="J28"/>
  <c r="S27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S23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J21"/>
  <c r="L20"/>
  <c r="K20"/>
  <c r="S41" s="1"/>
  <c r="J20"/>
  <c r="L19"/>
  <c r="S46" s="1"/>
  <c r="K19"/>
  <c r="J19"/>
  <c r="Q18"/>
  <c r="P18"/>
  <c r="R18" s="1"/>
  <c r="L18"/>
  <c r="S40" s="1"/>
  <c r="K18"/>
  <c r="S39" s="1"/>
  <c r="J18"/>
  <c r="S17"/>
  <c r="Q17"/>
  <c r="P17"/>
  <c r="R17" s="1"/>
  <c r="L17"/>
  <c r="K17"/>
  <c r="J17"/>
  <c r="Q16"/>
  <c r="P16"/>
  <c r="R16" s="1"/>
  <c r="L16"/>
  <c r="S34" s="1"/>
  <c r="K16"/>
  <c r="S33" s="1"/>
  <c r="J16"/>
  <c r="Q15"/>
  <c r="P15"/>
  <c r="R15" s="1"/>
  <c r="L15"/>
  <c r="K15"/>
  <c r="J15"/>
  <c r="L14"/>
  <c r="K14"/>
  <c r="S29" s="1"/>
  <c r="J14"/>
  <c r="L13"/>
  <c r="S28" s="1"/>
  <c r="K13"/>
  <c r="J13"/>
  <c r="Q12"/>
  <c r="P12"/>
  <c r="R12" s="1"/>
  <c r="L12"/>
  <c r="S22" s="1"/>
  <c r="K12"/>
  <c r="S21" s="1"/>
  <c r="J12"/>
  <c r="S11"/>
  <c r="Q11"/>
  <c r="P11"/>
  <c r="R11" s="1"/>
  <c r="L11"/>
  <c r="K11"/>
  <c r="J11"/>
  <c r="Q10"/>
  <c r="P10"/>
  <c r="R10" s="1"/>
  <c r="L10"/>
  <c r="S16" s="1"/>
  <c r="K10"/>
  <c r="S15" s="1"/>
  <c r="J10"/>
  <c r="Q9"/>
  <c r="P9"/>
  <c r="R9" s="1"/>
  <c r="L9"/>
  <c r="K9"/>
  <c r="J9"/>
  <c r="L8"/>
  <c r="S10" s="1"/>
  <c r="K8"/>
  <c r="S9" s="1"/>
  <c r="J8"/>
  <c r="C97" i="22"/>
  <c r="C98"/>
  <c r="C99"/>
  <c r="C100"/>
  <c r="C101"/>
  <c r="C102"/>
  <c r="C61"/>
  <c r="C90"/>
  <c r="C65"/>
  <c r="C70"/>
  <c r="C83"/>
  <c r="C84"/>
  <c r="C69"/>
  <c r="C76"/>
  <c r="C66"/>
  <c r="C16"/>
  <c r="C87"/>
  <c r="C75"/>
  <c r="C52"/>
  <c r="C19"/>
  <c r="C37"/>
  <c r="C7"/>
  <c r="L55" i="104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S18" s="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L55" i="103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S18" s="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L55" i="102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S24" s="1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K15"/>
  <c r="S23" s="1"/>
  <c r="J15"/>
  <c r="L14"/>
  <c r="S30" s="1"/>
  <c r="K14"/>
  <c r="S29" s="1"/>
  <c r="J14"/>
  <c r="L13"/>
  <c r="S28" s="1"/>
  <c r="K13"/>
  <c r="S27" s="1"/>
  <c r="J13"/>
  <c r="Q12"/>
  <c r="P12"/>
  <c r="R12" s="1"/>
  <c r="L12"/>
  <c r="S22" s="1"/>
  <c r="K12"/>
  <c r="S21" s="1"/>
  <c r="J12"/>
  <c r="Q11"/>
  <c r="P11"/>
  <c r="R11" s="1"/>
  <c r="L11"/>
  <c r="S18" s="1"/>
  <c r="K11"/>
  <c r="S17" s="1"/>
  <c r="J11"/>
  <c r="Q10"/>
  <c r="P10"/>
  <c r="R10" s="1"/>
  <c r="L10"/>
  <c r="S16" s="1"/>
  <c r="K10"/>
  <c r="S15" s="1"/>
  <c r="J10"/>
  <c r="Q9"/>
  <c r="P9"/>
  <c r="R9" s="1"/>
  <c r="L9"/>
  <c r="S12" s="1"/>
  <c r="K9"/>
  <c r="S11" s="1"/>
  <c r="J9"/>
  <c r="L8"/>
  <c r="S10" s="1"/>
  <c r="K8"/>
  <c r="S9" s="1"/>
  <c r="J8"/>
  <c r="L55" i="101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S45"/>
  <c r="Q45"/>
  <c r="P45"/>
  <c r="R45" s="1"/>
  <c r="L45"/>
  <c r="K45"/>
  <c r="J45"/>
  <c r="L44"/>
  <c r="K44"/>
  <c r="S30" s="1"/>
  <c r="J44"/>
  <c r="L43"/>
  <c r="K43"/>
  <c r="J43"/>
  <c r="Q42"/>
  <c r="P42"/>
  <c r="R42" s="1"/>
  <c r="L42"/>
  <c r="K42"/>
  <c r="S12" s="1"/>
  <c r="J42"/>
  <c r="Q41"/>
  <c r="P41"/>
  <c r="R41" s="1"/>
  <c r="L41"/>
  <c r="K41"/>
  <c r="J41"/>
  <c r="Q40"/>
  <c r="P40"/>
  <c r="R40" s="1"/>
  <c r="L40"/>
  <c r="K40"/>
  <c r="S18" s="1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S35"/>
  <c r="Q35"/>
  <c r="P35"/>
  <c r="R35" s="1"/>
  <c r="L35"/>
  <c r="S47" s="1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S24" s="1"/>
  <c r="J30"/>
  <c r="Q29"/>
  <c r="P29"/>
  <c r="R29" s="1"/>
  <c r="L29"/>
  <c r="K29"/>
  <c r="J29"/>
  <c r="Q28"/>
  <c r="P28"/>
  <c r="R28" s="1"/>
  <c r="L28"/>
  <c r="K28"/>
  <c r="J28"/>
  <c r="S27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S23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J21"/>
  <c r="L20"/>
  <c r="K20"/>
  <c r="S41" s="1"/>
  <c r="J20"/>
  <c r="L19"/>
  <c r="S46" s="1"/>
  <c r="K19"/>
  <c r="J19"/>
  <c r="Q18"/>
  <c r="P18"/>
  <c r="R18" s="1"/>
  <c r="L18"/>
  <c r="S40" s="1"/>
  <c r="K18"/>
  <c r="S39" s="1"/>
  <c r="J18"/>
  <c r="S17"/>
  <c r="Q17"/>
  <c r="P17"/>
  <c r="R17" s="1"/>
  <c r="L17"/>
  <c r="K17"/>
  <c r="J17"/>
  <c r="Q16"/>
  <c r="P16"/>
  <c r="R16" s="1"/>
  <c r="L16"/>
  <c r="S34" s="1"/>
  <c r="K16"/>
  <c r="S33" s="1"/>
  <c r="J16"/>
  <c r="Q15"/>
  <c r="P15"/>
  <c r="R15" s="1"/>
  <c r="L15"/>
  <c r="K15"/>
  <c r="J15"/>
  <c r="L14"/>
  <c r="K14"/>
  <c r="S29" s="1"/>
  <c r="J14"/>
  <c r="L13"/>
  <c r="S28" s="1"/>
  <c r="K13"/>
  <c r="J13"/>
  <c r="Q12"/>
  <c r="P12"/>
  <c r="R12" s="1"/>
  <c r="L12"/>
  <c r="S22" s="1"/>
  <c r="K12"/>
  <c r="S21" s="1"/>
  <c r="J12"/>
  <c r="S11"/>
  <c r="Q11"/>
  <c r="P11"/>
  <c r="R11" s="1"/>
  <c r="L11"/>
  <c r="K11"/>
  <c r="J11"/>
  <c r="Q10"/>
  <c r="P10"/>
  <c r="R10" s="1"/>
  <c r="L10"/>
  <c r="S16" s="1"/>
  <c r="K10"/>
  <c r="S15" s="1"/>
  <c r="J10"/>
  <c r="Q9"/>
  <c r="P9"/>
  <c r="R9" s="1"/>
  <c r="L9"/>
  <c r="K9"/>
  <c r="J9"/>
  <c r="L8"/>
  <c r="S10" s="1"/>
  <c r="K8"/>
  <c r="S9" s="1"/>
  <c r="J8"/>
  <c r="L55" i="100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Q12"/>
  <c r="P12"/>
  <c r="R12" s="1"/>
  <c r="L12"/>
  <c r="S22" s="1"/>
  <c r="K12"/>
  <c r="S21" s="1"/>
  <c r="J12"/>
  <c r="Q11"/>
  <c r="P11"/>
  <c r="R11" s="1"/>
  <c r="L11"/>
  <c r="S18" s="1"/>
  <c r="K11"/>
  <c r="S17" s="1"/>
  <c r="J11"/>
  <c r="Q10"/>
  <c r="P10"/>
  <c r="R10" s="1"/>
  <c r="L10"/>
  <c r="S16" s="1"/>
  <c r="K10"/>
  <c r="S15" s="1"/>
  <c r="J10"/>
  <c r="Q9"/>
  <c r="P9"/>
  <c r="R9" s="1"/>
  <c r="L9"/>
  <c r="S12" s="1"/>
  <c r="K9"/>
  <c r="S11" s="1"/>
  <c r="J9"/>
  <c r="L8"/>
  <c r="S10" s="1"/>
  <c r="K8"/>
  <c r="S9" s="1"/>
  <c r="J8"/>
  <c r="L55" i="99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S24" s="1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K15"/>
  <c r="S23" s="1"/>
  <c r="J15"/>
  <c r="L14"/>
  <c r="S30" s="1"/>
  <c r="K14"/>
  <c r="S29" s="1"/>
  <c r="J14"/>
  <c r="L13"/>
  <c r="S28" s="1"/>
  <c r="K13"/>
  <c r="S27" s="1"/>
  <c r="J13"/>
  <c r="Q12"/>
  <c r="P12"/>
  <c r="R12" s="1"/>
  <c r="L12"/>
  <c r="S22" s="1"/>
  <c r="K12"/>
  <c r="S21" s="1"/>
  <c r="J12"/>
  <c r="Q11"/>
  <c r="P11"/>
  <c r="R11" s="1"/>
  <c r="L11"/>
  <c r="S18" s="1"/>
  <c r="K11"/>
  <c r="S17" s="1"/>
  <c r="J11"/>
  <c r="Q10"/>
  <c r="P10"/>
  <c r="R10" s="1"/>
  <c r="L10"/>
  <c r="S16" s="1"/>
  <c r="K10"/>
  <c r="S15" s="1"/>
  <c r="J10"/>
  <c r="Q9"/>
  <c r="P9"/>
  <c r="R9" s="1"/>
  <c r="L9"/>
  <c r="S12" s="1"/>
  <c r="K9"/>
  <c r="S11" s="1"/>
  <c r="J9"/>
  <c r="L8"/>
  <c r="S10" s="1"/>
  <c r="K8"/>
  <c r="S9" s="1"/>
  <c r="J8"/>
  <c r="L55" i="98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S45"/>
  <c r="Q45"/>
  <c r="P45"/>
  <c r="R45" s="1"/>
  <c r="L45"/>
  <c r="K45"/>
  <c r="J45"/>
  <c r="L44"/>
  <c r="K44"/>
  <c r="S30" s="1"/>
  <c r="J44"/>
  <c r="L43"/>
  <c r="K43"/>
  <c r="J43"/>
  <c r="Q42"/>
  <c r="P42"/>
  <c r="R42" s="1"/>
  <c r="L42"/>
  <c r="K42"/>
  <c r="S12" s="1"/>
  <c r="J42"/>
  <c r="Q41"/>
  <c r="P41"/>
  <c r="R41" s="1"/>
  <c r="L41"/>
  <c r="K41"/>
  <c r="J41"/>
  <c r="Q40"/>
  <c r="P40"/>
  <c r="R40" s="1"/>
  <c r="L40"/>
  <c r="K40"/>
  <c r="S18" s="1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S35"/>
  <c r="Q35"/>
  <c r="P35"/>
  <c r="R35" s="1"/>
  <c r="L35"/>
  <c r="S47" s="1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S24" s="1"/>
  <c r="J30"/>
  <c r="Q29"/>
  <c r="P29"/>
  <c r="R29" s="1"/>
  <c r="L29"/>
  <c r="K29"/>
  <c r="J29"/>
  <c r="Q28"/>
  <c r="P28"/>
  <c r="R28" s="1"/>
  <c r="L28"/>
  <c r="K28"/>
  <c r="J28"/>
  <c r="S27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S23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J21"/>
  <c r="L20"/>
  <c r="K20"/>
  <c r="S41" s="1"/>
  <c r="J20"/>
  <c r="L19"/>
  <c r="S46" s="1"/>
  <c r="K19"/>
  <c r="J19"/>
  <c r="Q18"/>
  <c r="P18"/>
  <c r="R18" s="1"/>
  <c r="L18"/>
  <c r="S40" s="1"/>
  <c r="K18"/>
  <c r="S39" s="1"/>
  <c r="J18"/>
  <c r="S17"/>
  <c r="Q17"/>
  <c r="P17"/>
  <c r="R17" s="1"/>
  <c r="L17"/>
  <c r="K17"/>
  <c r="J17"/>
  <c r="Q16"/>
  <c r="P16"/>
  <c r="R16" s="1"/>
  <c r="L16"/>
  <c r="S34" s="1"/>
  <c r="K16"/>
  <c r="S33" s="1"/>
  <c r="J16"/>
  <c r="Q15"/>
  <c r="P15"/>
  <c r="R15" s="1"/>
  <c r="L15"/>
  <c r="K15"/>
  <c r="J15"/>
  <c r="L14"/>
  <c r="K14"/>
  <c r="S29" s="1"/>
  <c r="J14"/>
  <c r="L13"/>
  <c r="S28" s="1"/>
  <c r="K13"/>
  <c r="J13"/>
  <c r="Q12"/>
  <c r="P12"/>
  <c r="R12" s="1"/>
  <c r="L12"/>
  <c r="S22" s="1"/>
  <c r="K12"/>
  <c r="S21" s="1"/>
  <c r="J12"/>
  <c r="S11"/>
  <c r="Q11"/>
  <c r="P11"/>
  <c r="R11" s="1"/>
  <c r="L11"/>
  <c r="K11"/>
  <c r="J11"/>
  <c r="Q10"/>
  <c r="P10"/>
  <c r="R10" s="1"/>
  <c r="L10"/>
  <c r="S16" s="1"/>
  <c r="K10"/>
  <c r="S15" s="1"/>
  <c r="J10"/>
  <c r="Q9"/>
  <c r="P9"/>
  <c r="R9" s="1"/>
  <c r="L9"/>
  <c r="K9"/>
  <c r="J9"/>
  <c r="L8"/>
  <c r="S10" s="1"/>
  <c r="K8"/>
  <c r="S9" s="1"/>
  <c r="J8"/>
  <c r="L55" i="69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S18" s="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L55" i="97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S45"/>
  <c r="Q45"/>
  <c r="P45"/>
  <c r="R45" s="1"/>
  <c r="L45"/>
  <c r="K45"/>
  <c r="J45"/>
  <c r="L44"/>
  <c r="K44"/>
  <c r="S30" s="1"/>
  <c r="J44"/>
  <c r="L43"/>
  <c r="K43"/>
  <c r="J43"/>
  <c r="Q42"/>
  <c r="P42"/>
  <c r="R42" s="1"/>
  <c r="L42"/>
  <c r="K42"/>
  <c r="S12" s="1"/>
  <c r="J42"/>
  <c r="Q41"/>
  <c r="P41"/>
  <c r="R41" s="1"/>
  <c r="L41"/>
  <c r="K41"/>
  <c r="J41"/>
  <c r="Q40"/>
  <c r="P40"/>
  <c r="R40" s="1"/>
  <c r="L40"/>
  <c r="K40"/>
  <c r="S18" s="1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S35"/>
  <c r="Q35"/>
  <c r="P35"/>
  <c r="R35" s="1"/>
  <c r="L35"/>
  <c r="S47" s="1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S24" s="1"/>
  <c r="J30"/>
  <c r="Q29"/>
  <c r="P29"/>
  <c r="R29" s="1"/>
  <c r="L29"/>
  <c r="K29"/>
  <c r="J29"/>
  <c r="Q28"/>
  <c r="P28"/>
  <c r="R28" s="1"/>
  <c r="L28"/>
  <c r="K28"/>
  <c r="J28"/>
  <c r="S27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S23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J21"/>
  <c r="L20"/>
  <c r="K20"/>
  <c r="S41" s="1"/>
  <c r="J20"/>
  <c r="L19"/>
  <c r="S46" s="1"/>
  <c r="K19"/>
  <c r="J19"/>
  <c r="Q18"/>
  <c r="P18"/>
  <c r="R18" s="1"/>
  <c r="L18"/>
  <c r="S40" s="1"/>
  <c r="K18"/>
  <c r="S39" s="1"/>
  <c r="J18"/>
  <c r="S17"/>
  <c r="Q17"/>
  <c r="P17"/>
  <c r="R17" s="1"/>
  <c r="L17"/>
  <c r="K17"/>
  <c r="J17"/>
  <c r="Q16"/>
  <c r="P16"/>
  <c r="R16" s="1"/>
  <c r="L16"/>
  <c r="S34" s="1"/>
  <c r="K16"/>
  <c r="S33" s="1"/>
  <c r="J16"/>
  <c r="Q15"/>
  <c r="P15"/>
  <c r="R15" s="1"/>
  <c r="L15"/>
  <c r="K15"/>
  <c r="J15"/>
  <c r="L14"/>
  <c r="K14"/>
  <c r="S29" s="1"/>
  <c r="J14"/>
  <c r="L13"/>
  <c r="S28" s="1"/>
  <c r="K13"/>
  <c r="J13"/>
  <c r="Q12"/>
  <c r="P12"/>
  <c r="R12" s="1"/>
  <c r="L12"/>
  <c r="S22" s="1"/>
  <c r="K12"/>
  <c r="S21" s="1"/>
  <c r="J12"/>
  <c r="S11"/>
  <c r="Q11"/>
  <c r="P11"/>
  <c r="R11" s="1"/>
  <c r="L11"/>
  <c r="K11"/>
  <c r="J11"/>
  <c r="Q10"/>
  <c r="P10"/>
  <c r="R10" s="1"/>
  <c r="L10"/>
  <c r="S16" s="1"/>
  <c r="K10"/>
  <c r="S15" s="1"/>
  <c r="J10"/>
  <c r="Q9"/>
  <c r="P9"/>
  <c r="R9" s="1"/>
  <c r="L9"/>
  <c r="K9"/>
  <c r="J9"/>
  <c r="L8"/>
  <c r="S10" s="1"/>
  <c r="K8"/>
  <c r="S9" s="1"/>
  <c r="J8"/>
  <c r="L55" i="96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S18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L55" i="95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S45"/>
  <c r="Q45"/>
  <c r="P45"/>
  <c r="R45" s="1"/>
  <c r="L45"/>
  <c r="K45"/>
  <c r="J45"/>
  <c r="L44"/>
  <c r="K44"/>
  <c r="S30" s="1"/>
  <c r="J44"/>
  <c r="L43"/>
  <c r="K43"/>
  <c r="J43"/>
  <c r="Q42"/>
  <c r="P42"/>
  <c r="R42" s="1"/>
  <c r="L42"/>
  <c r="K42"/>
  <c r="S12" s="1"/>
  <c r="J42"/>
  <c r="Q41"/>
  <c r="P41"/>
  <c r="R41" s="1"/>
  <c r="L41"/>
  <c r="K41"/>
  <c r="J41"/>
  <c r="Q40"/>
  <c r="P40"/>
  <c r="R40" s="1"/>
  <c r="L40"/>
  <c r="K40"/>
  <c r="S18" s="1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S35"/>
  <c r="Q35"/>
  <c r="P35"/>
  <c r="R35" s="1"/>
  <c r="L35"/>
  <c r="S47" s="1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S24" s="1"/>
  <c r="J30"/>
  <c r="Q29"/>
  <c r="P29"/>
  <c r="R29" s="1"/>
  <c r="L29"/>
  <c r="K29"/>
  <c r="J29"/>
  <c r="Q28"/>
  <c r="P28"/>
  <c r="R28" s="1"/>
  <c r="L28"/>
  <c r="K28"/>
  <c r="J28"/>
  <c r="S27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S23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J21"/>
  <c r="L20"/>
  <c r="K20"/>
  <c r="S41" s="1"/>
  <c r="J20"/>
  <c r="L19"/>
  <c r="S46" s="1"/>
  <c r="K19"/>
  <c r="J19"/>
  <c r="Q18"/>
  <c r="P18"/>
  <c r="R18" s="1"/>
  <c r="L18"/>
  <c r="S40" s="1"/>
  <c r="K18"/>
  <c r="S39" s="1"/>
  <c r="J18"/>
  <c r="S17"/>
  <c r="Q17"/>
  <c r="P17"/>
  <c r="R17" s="1"/>
  <c r="L17"/>
  <c r="K17"/>
  <c r="J17"/>
  <c r="Q16"/>
  <c r="P16"/>
  <c r="R16" s="1"/>
  <c r="L16"/>
  <c r="S34" s="1"/>
  <c r="K16"/>
  <c r="S33" s="1"/>
  <c r="J16"/>
  <c r="Q15"/>
  <c r="P15"/>
  <c r="R15" s="1"/>
  <c r="L15"/>
  <c r="K15"/>
  <c r="J15"/>
  <c r="L14"/>
  <c r="K14"/>
  <c r="S29" s="1"/>
  <c r="J14"/>
  <c r="L13"/>
  <c r="S28" s="1"/>
  <c r="K13"/>
  <c r="J13"/>
  <c r="Q12"/>
  <c r="P12"/>
  <c r="R12" s="1"/>
  <c r="L12"/>
  <c r="S22" s="1"/>
  <c r="K12"/>
  <c r="S21" s="1"/>
  <c r="J12"/>
  <c r="S11"/>
  <c r="Q11"/>
  <c r="P11"/>
  <c r="R11" s="1"/>
  <c r="L11"/>
  <c r="K11"/>
  <c r="J11"/>
  <c r="Q10"/>
  <c r="P10"/>
  <c r="R10" s="1"/>
  <c r="L10"/>
  <c r="S16" s="1"/>
  <c r="K10"/>
  <c r="S15" s="1"/>
  <c r="J10"/>
  <c r="Q9"/>
  <c r="P9"/>
  <c r="R9" s="1"/>
  <c r="L9"/>
  <c r="K9"/>
  <c r="J9"/>
  <c r="L8"/>
  <c r="S10" s="1"/>
  <c r="K8"/>
  <c r="S9" s="1"/>
  <c r="J8"/>
  <c r="L55" i="94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S45"/>
  <c r="Q45"/>
  <c r="P45"/>
  <c r="R45" s="1"/>
  <c r="L45"/>
  <c r="K45"/>
  <c r="J45"/>
  <c r="L44"/>
  <c r="K44"/>
  <c r="S30" s="1"/>
  <c r="J44"/>
  <c r="L43"/>
  <c r="K43"/>
  <c r="J43"/>
  <c r="Q42"/>
  <c r="P42"/>
  <c r="R42" s="1"/>
  <c r="L42"/>
  <c r="K42"/>
  <c r="S12" s="1"/>
  <c r="J42"/>
  <c r="Q41"/>
  <c r="P41"/>
  <c r="R41" s="1"/>
  <c r="L41"/>
  <c r="K41"/>
  <c r="J41"/>
  <c r="Q40"/>
  <c r="P40"/>
  <c r="R40" s="1"/>
  <c r="L40"/>
  <c r="K40"/>
  <c r="S18" s="1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S35"/>
  <c r="Q35"/>
  <c r="P35"/>
  <c r="R35" s="1"/>
  <c r="L35"/>
  <c r="S47" s="1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S24" s="1"/>
  <c r="J30"/>
  <c r="Q29"/>
  <c r="P29"/>
  <c r="R29" s="1"/>
  <c r="L29"/>
  <c r="K29"/>
  <c r="J29"/>
  <c r="Q28"/>
  <c r="P28"/>
  <c r="R28" s="1"/>
  <c r="L28"/>
  <c r="K28"/>
  <c r="J28"/>
  <c r="S27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S23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J21"/>
  <c r="L20"/>
  <c r="K20"/>
  <c r="S41" s="1"/>
  <c r="J20"/>
  <c r="L19"/>
  <c r="S46" s="1"/>
  <c r="K19"/>
  <c r="J19"/>
  <c r="Q18"/>
  <c r="P18"/>
  <c r="R18" s="1"/>
  <c r="L18"/>
  <c r="S40" s="1"/>
  <c r="K18"/>
  <c r="S39" s="1"/>
  <c r="J18"/>
  <c r="S17"/>
  <c r="Q17"/>
  <c r="P17"/>
  <c r="R17" s="1"/>
  <c r="L17"/>
  <c r="K17"/>
  <c r="J17"/>
  <c r="Q16"/>
  <c r="P16"/>
  <c r="R16" s="1"/>
  <c r="L16"/>
  <c r="S34" s="1"/>
  <c r="K16"/>
  <c r="S33" s="1"/>
  <c r="J16"/>
  <c r="Q15"/>
  <c r="P15"/>
  <c r="R15" s="1"/>
  <c r="L15"/>
  <c r="K15"/>
  <c r="J15"/>
  <c r="L14"/>
  <c r="K14"/>
  <c r="S29" s="1"/>
  <c r="J14"/>
  <c r="L13"/>
  <c r="S28" s="1"/>
  <c r="K13"/>
  <c r="J13"/>
  <c r="Q12"/>
  <c r="P12"/>
  <c r="R12" s="1"/>
  <c r="L12"/>
  <c r="S22" s="1"/>
  <c r="K12"/>
  <c r="S21" s="1"/>
  <c r="J12"/>
  <c r="S11"/>
  <c r="Q11"/>
  <c r="P11"/>
  <c r="R11" s="1"/>
  <c r="L11"/>
  <c r="K11"/>
  <c r="J11"/>
  <c r="Q10"/>
  <c r="P10"/>
  <c r="R10" s="1"/>
  <c r="L10"/>
  <c r="S16" s="1"/>
  <c r="K10"/>
  <c r="S15" s="1"/>
  <c r="J10"/>
  <c r="Q9"/>
  <c r="P9"/>
  <c r="R9" s="1"/>
  <c r="L9"/>
  <c r="K9"/>
  <c r="J9"/>
  <c r="L8"/>
  <c r="S10" s="1"/>
  <c r="K8"/>
  <c r="S9" s="1"/>
  <c r="J8"/>
  <c r="L55" i="42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S45"/>
  <c r="Q45"/>
  <c r="P45"/>
  <c r="R45" s="1"/>
  <c r="L45"/>
  <c r="K45"/>
  <c r="J45"/>
  <c r="L44"/>
  <c r="K44"/>
  <c r="S30" s="1"/>
  <c r="J44"/>
  <c r="L43"/>
  <c r="K43"/>
  <c r="J43"/>
  <c r="Q42"/>
  <c r="P42"/>
  <c r="R42" s="1"/>
  <c r="L42"/>
  <c r="K42"/>
  <c r="S12" s="1"/>
  <c r="J42"/>
  <c r="Q41"/>
  <c r="P41"/>
  <c r="R41" s="1"/>
  <c r="L41"/>
  <c r="K41"/>
  <c r="J41"/>
  <c r="Q40"/>
  <c r="P40"/>
  <c r="R40" s="1"/>
  <c r="L40"/>
  <c r="K40"/>
  <c r="S18" s="1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S35"/>
  <c r="Q35"/>
  <c r="P35"/>
  <c r="R35" s="1"/>
  <c r="L35"/>
  <c r="S47" s="1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S24" s="1"/>
  <c r="J30"/>
  <c r="Q29"/>
  <c r="P29"/>
  <c r="R29" s="1"/>
  <c r="L29"/>
  <c r="K29"/>
  <c r="J29"/>
  <c r="Q28"/>
  <c r="P28"/>
  <c r="R28" s="1"/>
  <c r="L28"/>
  <c r="K28"/>
  <c r="J28"/>
  <c r="S27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S23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J21"/>
  <c r="L20"/>
  <c r="K20"/>
  <c r="S41" s="1"/>
  <c r="J20"/>
  <c r="L19"/>
  <c r="S46" s="1"/>
  <c r="K19"/>
  <c r="J19"/>
  <c r="Q18"/>
  <c r="P18"/>
  <c r="R18" s="1"/>
  <c r="L18"/>
  <c r="S40" s="1"/>
  <c r="K18"/>
  <c r="S39" s="1"/>
  <c r="J18"/>
  <c r="S17"/>
  <c r="Q17"/>
  <c r="P17"/>
  <c r="R17" s="1"/>
  <c r="L17"/>
  <c r="K17"/>
  <c r="J17"/>
  <c r="Q16"/>
  <c r="P16"/>
  <c r="R16" s="1"/>
  <c r="L16"/>
  <c r="S34" s="1"/>
  <c r="K16"/>
  <c r="S33" s="1"/>
  <c r="J16"/>
  <c r="Q15"/>
  <c r="P15"/>
  <c r="R15" s="1"/>
  <c r="L15"/>
  <c r="K15"/>
  <c r="J15"/>
  <c r="L14"/>
  <c r="K14"/>
  <c r="S29" s="1"/>
  <c r="J14"/>
  <c r="L13"/>
  <c r="S28" s="1"/>
  <c r="K13"/>
  <c r="J13"/>
  <c r="Q12"/>
  <c r="P12"/>
  <c r="R12" s="1"/>
  <c r="L12"/>
  <c r="S22" s="1"/>
  <c r="K12"/>
  <c r="S21" s="1"/>
  <c r="J12"/>
  <c r="S11"/>
  <c r="Q11"/>
  <c r="P11"/>
  <c r="R11" s="1"/>
  <c r="L11"/>
  <c r="K11"/>
  <c r="J11"/>
  <c r="Q10"/>
  <c r="P10"/>
  <c r="R10" s="1"/>
  <c r="L10"/>
  <c r="S16" s="1"/>
  <c r="K10"/>
  <c r="S15" s="1"/>
  <c r="J10"/>
  <c r="Q9"/>
  <c r="P9"/>
  <c r="R9" s="1"/>
  <c r="L9"/>
  <c r="K9"/>
  <c r="J9"/>
  <c r="L8"/>
  <c r="S10" s="1"/>
  <c r="K8"/>
  <c r="S9" s="1"/>
  <c r="J8"/>
  <c r="L55" i="93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S18" s="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L55" i="92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S18" s="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L55" i="91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S18" s="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L55" i="71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S18" s="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L55" i="90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S45"/>
  <c r="Q45"/>
  <c r="P45"/>
  <c r="R45" s="1"/>
  <c r="L45"/>
  <c r="K45"/>
  <c r="J45"/>
  <c r="L44"/>
  <c r="K44"/>
  <c r="S30" s="1"/>
  <c r="J44"/>
  <c r="L43"/>
  <c r="K43"/>
  <c r="J43"/>
  <c r="Q42"/>
  <c r="P42"/>
  <c r="R42" s="1"/>
  <c r="L42"/>
  <c r="K42"/>
  <c r="S12" s="1"/>
  <c r="J42"/>
  <c r="Q41"/>
  <c r="P41"/>
  <c r="R41" s="1"/>
  <c r="L41"/>
  <c r="K41"/>
  <c r="J41"/>
  <c r="Q40"/>
  <c r="P40"/>
  <c r="R40" s="1"/>
  <c r="L40"/>
  <c r="K40"/>
  <c r="S18" s="1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S35"/>
  <c r="Q35"/>
  <c r="P35"/>
  <c r="R35" s="1"/>
  <c r="L35"/>
  <c r="S47" s="1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S24" s="1"/>
  <c r="J30"/>
  <c r="Q29"/>
  <c r="P29"/>
  <c r="R29" s="1"/>
  <c r="L29"/>
  <c r="K29"/>
  <c r="J29"/>
  <c r="Q28"/>
  <c r="P28"/>
  <c r="R28" s="1"/>
  <c r="L28"/>
  <c r="K28"/>
  <c r="J28"/>
  <c r="S27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S23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J21"/>
  <c r="L20"/>
  <c r="K20"/>
  <c r="S41" s="1"/>
  <c r="J20"/>
  <c r="L19"/>
  <c r="S46" s="1"/>
  <c r="K19"/>
  <c r="J19"/>
  <c r="Q18"/>
  <c r="P18"/>
  <c r="R18" s="1"/>
  <c r="L18"/>
  <c r="S40" s="1"/>
  <c r="K18"/>
  <c r="S39" s="1"/>
  <c r="J18"/>
  <c r="S17"/>
  <c r="Q17"/>
  <c r="P17"/>
  <c r="R17" s="1"/>
  <c r="L17"/>
  <c r="K17"/>
  <c r="J17"/>
  <c r="Q16"/>
  <c r="P16"/>
  <c r="R16" s="1"/>
  <c r="L16"/>
  <c r="S34" s="1"/>
  <c r="K16"/>
  <c r="S33" s="1"/>
  <c r="J16"/>
  <c r="Q15"/>
  <c r="P15"/>
  <c r="R15" s="1"/>
  <c r="L15"/>
  <c r="K15"/>
  <c r="J15"/>
  <c r="L14"/>
  <c r="K14"/>
  <c r="S29" s="1"/>
  <c r="J14"/>
  <c r="L13"/>
  <c r="S28" s="1"/>
  <c r="K13"/>
  <c r="J13"/>
  <c r="Q12"/>
  <c r="P12"/>
  <c r="R12" s="1"/>
  <c r="L12"/>
  <c r="S22" s="1"/>
  <c r="K12"/>
  <c r="S21" s="1"/>
  <c r="J12"/>
  <c r="S11"/>
  <c r="Q11"/>
  <c r="P11"/>
  <c r="R11" s="1"/>
  <c r="L11"/>
  <c r="K11"/>
  <c r="J11"/>
  <c r="Q10"/>
  <c r="P10"/>
  <c r="R10" s="1"/>
  <c r="L10"/>
  <c r="S16" s="1"/>
  <c r="K10"/>
  <c r="S15" s="1"/>
  <c r="J10"/>
  <c r="Q9"/>
  <c r="P9"/>
  <c r="R9" s="1"/>
  <c r="L9"/>
  <c r="K9"/>
  <c r="J9"/>
  <c r="L8"/>
  <c r="S10" s="1"/>
  <c r="K8"/>
  <c r="S9" s="1"/>
  <c r="J8"/>
  <c r="L55" i="89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S24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S42" s="1"/>
  <c r="K20"/>
  <c r="S41" s="1"/>
  <c r="J20"/>
  <c r="L19"/>
  <c r="S46" s="1"/>
  <c r="K19"/>
  <c r="S45" s="1"/>
  <c r="J19"/>
  <c r="S18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K15"/>
  <c r="S23" s="1"/>
  <c r="J15"/>
  <c r="L14"/>
  <c r="S30" s="1"/>
  <c r="K14"/>
  <c r="S29" s="1"/>
  <c r="J14"/>
  <c r="L13"/>
  <c r="S28" s="1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L55" i="88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S18" s="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L55" i="87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S24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S42" s="1"/>
  <c r="K20"/>
  <c r="S41" s="1"/>
  <c r="J20"/>
  <c r="L19"/>
  <c r="S46" s="1"/>
  <c r="K19"/>
  <c r="S45" s="1"/>
  <c r="J19"/>
  <c r="S18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K15"/>
  <c r="S23" s="1"/>
  <c r="J15"/>
  <c r="L14"/>
  <c r="S30" s="1"/>
  <c r="K14"/>
  <c r="S29" s="1"/>
  <c r="J14"/>
  <c r="L13"/>
  <c r="S28" s="1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L55" i="86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S18" s="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L55" i="84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S45"/>
  <c r="Q45"/>
  <c r="P45"/>
  <c r="R45" s="1"/>
  <c r="L45"/>
  <c r="K45"/>
  <c r="J45"/>
  <c r="L44"/>
  <c r="K44"/>
  <c r="S30" s="1"/>
  <c r="J44"/>
  <c r="L43"/>
  <c r="K43"/>
  <c r="J43"/>
  <c r="Q42"/>
  <c r="P42"/>
  <c r="R42" s="1"/>
  <c r="L42"/>
  <c r="K42"/>
  <c r="S12" s="1"/>
  <c r="J42"/>
  <c r="Q41"/>
  <c r="P41"/>
  <c r="R41" s="1"/>
  <c r="L41"/>
  <c r="K41"/>
  <c r="J41"/>
  <c r="Q40"/>
  <c r="P40"/>
  <c r="R40" s="1"/>
  <c r="L40"/>
  <c r="K40"/>
  <c r="S18" s="1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S35"/>
  <c r="Q35"/>
  <c r="P35"/>
  <c r="R35" s="1"/>
  <c r="L35"/>
  <c r="S47" s="1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S24" s="1"/>
  <c r="J30"/>
  <c r="Q29"/>
  <c r="P29"/>
  <c r="R29" s="1"/>
  <c r="L29"/>
  <c r="K29"/>
  <c r="J29"/>
  <c r="Q28"/>
  <c r="P28"/>
  <c r="R28" s="1"/>
  <c r="L28"/>
  <c r="K28"/>
  <c r="J28"/>
  <c r="S27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S23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J21"/>
  <c r="L20"/>
  <c r="K20"/>
  <c r="S41" s="1"/>
  <c r="J20"/>
  <c r="L19"/>
  <c r="S46" s="1"/>
  <c r="K19"/>
  <c r="J19"/>
  <c r="Q18"/>
  <c r="P18"/>
  <c r="R18" s="1"/>
  <c r="L18"/>
  <c r="S40" s="1"/>
  <c r="K18"/>
  <c r="S39" s="1"/>
  <c r="J18"/>
  <c r="S17"/>
  <c r="Q17"/>
  <c r="P17"/>
  <c r="R17" s="1"/>
  <c r="L17"/>
  <c r="K17"/>
  <c r="J17"/>
  <c r="Q16"/>
  <c r="P16"/>
  <c r="R16" s="1"/>
  <c r="L16"/>
  <c r="S34" s="1"/>
  <c r="K16"/>
  <c r="S33" s="1"/>
  <c r="J16"/>
  <c r="Q15"/>
  <c r="P15"/>
  <c r="R15" s="1"/>
  <c r="L15"/>
  <c r="K15"/>
  <c r="J15"/>
  <c r="L14"/>
  <c r="K14"/>
  <c r="S29" s="1"/>
  <c r="J14"/>
  <c r="L13"/>
  <c r="S28" s="1"/>
  <c r="K13"/>
  <c r="J13"/>
  <c r="Q12"/>
  <c r="P12"/>
  <c r="R12" s="1"/>
  <c r="L12"/>
  <c r="S22" s="1"/>
  <c r="K12"/>
  <c r="S21" s="1"/>
  <c r="J12"/>
  <c r="S11"/>
  <c r="Q11"/>
  <c r="P11"/>
  <c r="R11" s="1"/>
  <c r="L11"/>
  <c r="K11"/>
  <c r="J11"/>
  <c r="Q10"/>
  <c r="P10"/>
  <c r="R10" s="1"/>
  <c r="L10"/>
  <c r="S16" s="1"/>
  <c r="K10"/>
  <c r="S15" s="1"/>
  <c r="J10"/>
  <c r="Q9"/>
  <c r="P9"/>
  <c r="R9" s="1"/>
  <c r="L9"/>
  <c r="K9"/>
  <c r="J9"/>
  <c r="L8"/>
  <c r="S10" s="1"/>
  <c r="K8"/>
  <c r="S9" s="1"/>
  <c r="J8"/>
  <c r="L55" i="85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S18" s="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L55" i="83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S18" s="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L55" i="82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S18" s="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L55" i="81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S45"/>
  <c r="Q45"/>
  <c r="P45"/>
  <c r="R45" s="1"/>
  <c r="L45"/>
  <c r="K45"/>
  <c r="J45"/>
  <c r="L44"/>
  <c r="K44"/>
  <c r="S30" s="1"/>
  <c r="J44"/>
  <c r="L43"/>
  <c r="K43"/>
  <c r="J43"/>
  <c r="Q42"/>
  <c r="P42"/>
  <c r="R42" s="1"/>
  <c r="L42"/>
  <c r="K42"/>
  <c r="S12" s="1"/>
  <c r="J42"/>
  <c r="Q41"/>
  <c r="P41"/>
  <c r="R41" s="1"/>
  <c r="L41"/>
  <c r="K41"/>
  <c r="J41"/>
  <c r="Q40"/>
  <c r="P40"/>
  <c r="R40" s="1"/>
  <c r="L40"/>
  <c r="K40"/>
  <c r="S18" s="1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S35"/>
  <c r="Q35"/>
  <c r="P35"/>
  <c r="R35" s="1"/>
  <c r="L35"/>
  <c r="S47" s="1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S24" s="1"/>
  <c r="J30"/>
  <c r="Q29"/>
  <c r="P29"/>
  <c r="R29" s="1"/>
  <c r="L29"/>
  <c r="K29"/>
  <c r="J29"/>
  <c r="Q28"/>
  <c r="P28"/>
  <c r="R28" s="1"/>
  <c r="L28"/>
  <c r="K28"/>
  <c r="J28"/>
  <c r="S27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S23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J21"/>
  <c r="L20"/>
  <c r="K20"/>
  <c r="S41" s="1"/>
  <c r="J20"/>
  <c r="L19"/>
  <c r="S46" s="1"/>
  <c r="K19"/>
  <c r="J19"/>
  <c r="Q18"/>
  <c r="P18"/>
  <c r="R18" s="1"/>
  <c r="L18"/>
  <c r="S40" s="1"/>
  <c r="K18"/>
  <c r="S39" s="1"/>
  <c r="J18"/>
  <c r="S17"/>
  <c r="Q17"/>
  <c r="P17"/>
  <c r="R17" s="1"/>
  <c r="L17"/>
  <c r="K17"/>
  <c r="J17"/>
  <c r="Q16"/>
  <c r="P16"/>
  <c r="R16" s="1"/>
  <c r="L16"/>
  <c r="S34" s="1"/>
  <c r="K16"/>
  <c r="S33" s="1"/>
  <c r="J16"/>
  <c r="Q15"/>
  <c r="P15"/>
  <c r="R15" s="1"/>
  <c r="L15"/>
  <c r="K15"/>
  <c r="J15"/>
  <c r="L14"/>
  <c r="K14"/>
  <c r="S29" s="1"/>
  <c r="J14"/>
  <c r="L13"/>
  <c r="S28" s="1"/>
  <c r="K13"/>
  <c r="J13"/>
  <c r="Q12"/>
  <c r="P12"/>
  <c r="R12" s="1"/>
  <c r="L12"/>
  <c r="S22" s="1"/>
  <c r="K12"/>
  <c r="S21" s="1"/>
  <c r="J12"/>
  <c r="S11"/>
  <c r="Q11"/>
  <c r="P11"/>
  <c r="R11" s="1"/>
  <c r="L11"/>
  <c r="K11"/>
  <c r="J11"/>
  <c r="Q10"/>
  <c r="P10"/>
  <c r="R10" s="1"/>
  <c r="L10"/>
  <c r="S16" s="1"/>
  <c r="K10"/>
  <c r="S15" s="1"/>
  <c r="J10"/>
  <c r="Q9"/>
  <c r="P9"/>
  <c r="R9" s="1"/>
  <c r="L9"/>
  <c r="K9"/>
  <c r="J9"/>
  <c r="L8"/>
  <c r="S10" s="1"/>
  <c r="K8"/>
  <c r="S9" s="1"/>
  <c r="J8"/>
  <c r="L55" i="79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S18" s="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L55" i="77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S45"/>
  <c r="Q45"/>
  <c r="P45"/>
  <c r="R45" s="1"/>
  <c r="L45"/>
  <c r="K45"/>
  <c r="J45"/>
  <c r="L44"/>
  <c r="K44"/>
  <c r="S30" s="1"/>
  <c r="J44"/>
  <c r="L43"/>
  <c r="K43"/>
  <c r="J43"/>
  <c r="Q42"/>
  <c r="P42"/>
  <c r="R42" s="1"/>
  <c r="L42"/>
  <c r="K42"/>
  <c r="S12" s="1"/>
  <c r="J42"/>
  <c r="Q41"/>
  <c r="P41"/>
  <c r="R41" s="1"/>
  <c r="L41"/>
  <c r="K41"/>
  <c r="J41"/>
  <c r="Q40"/>
  <c r="P40"/>
  <c r="R40" s="1"/>
  <c r="L40"/>
  <c r="K40"/>
  <c r="S18" s="1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S35"/>
  <c r="Q35"/>
  <c r="P35"/>
  <c r="R35" s="1"/>
  <c r="L35"/>
  <c r="S47" s="1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S24" s="1"/>
  <c r="J30"/>
  <c r="Q29"/>
  <c r="P29"/>
  <c r="R29" s="1"/>
  <c r="L29"/>
  <c r="K29"/>
  <c r="J29"/>
  <c r="Q28"/>
  <c r="P28"/>
  <c r="R28" s="1"/>
  <c r="L28"/>
  <c r="K28"/>
  <c r="J28"/>
  <c r="S27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S23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J21"/>
  <c r="L20"/>
  <c r="K20"/>
  <c r="S41" s="1"/>
  <c r="J20"/>
  <c r="L19"/>
  <c r="S46" s="1"/>
  <c r="K19"/>
  <c r="J19"/>
  <c r="Q18"/>
  <c r="P18"/>
  <c r="R18" s="1"/>
  <c r="L18"/>
  <c r="S40" s="1"/>
  <c r="K18"/>
  <c r="S39" s="1"/>
  <c r="J18"/>
  <c r="S17"/>
  <c r="Q17"/>
  <c r="P17"/>
  <c r="R17" s="1"/>
  <c r="L17"/>
  <c r="K17"/>
  <c r="J17"/>
  <c r="Q16"/>
  <c r="P16"/>
  <c r="R16" s="1"/>
  <c r="L16"/>
  <c r="S34" s="1"/>
  <c r="K16"/>
  <c r="S33" s="1"/>
  <c r="J16"/>
  <c r="Q15"/>
  <c r="P15"/>
  <c r="R15" s="1"/>
  <c r="L15"/>
  <c r="K15"/>
  <c r="J15"/>
  <c r="L14"/>
  <c r="K14"/>
  <c r="S29" s="1"/>
  <c r="J14"/>
  <c r="L13"/>
  <c r="S28" s="1"/>
  <c r="K13"/>
  <c r="J13"/>
  <c r="Q12"/>
  <c r="P12"/>
  <c r="R12" s="1"/>
  <c r="L12"/>
  <c r="S22" s="1"/>
  <c r="K12"/>
  <c r="S21" s="1"/>
  <c r="J12"/>
  <c r="S11"/>
  <c r="Q11"/>
  <c r="P11"/>
  <c r="R11" s="1"/>
  <c r="L11"/>
  <c r="K11"/>
  <c r="J11"/>
  <c r="Q10"/>
  <c r="P10"/>
  <c r="R10" s="1"/>
  <c r="L10"/>
  <c r="S16" s="1"/>
  <c r="K10"/>
  <c r="S15" s="1"/>
  <c r="J10"/>
  <c r="Q9"/>
  <c r="P9"/>
  <c r="R9" s="1"/>
  <c r="L9"/>
  <c r="K9"/>
  <c r="J9"/>
  <c r="L8"/>
  <c r="S10" s="1"/>
  <c r="K8"/>
  <c r="S9" s="1"/>
  <c r="J8"/>
  <c r="X98" i="107"/>
  <c r="X97"/>
  <c r="X96"/>
  <c r="X95"/>
  <c r="X94"/>
  <c r="X93"/>
  <c r="X92"/>
  <c r="X91"/>
  <c r="X90"/>
  <c r="X89"/>
  <c r="X88"/>
  <c r="X87"/>
  <c r="AD86"/>
  <c r="AH86" s="1"/>
  <c r="AC86"/>
  <c r="AG86" s="1"/>
  <c r="X86"/>
  <c r="X85"/>
  <c r="X84"/>
  <c r="X83"/>
  <c r="AD82"/>
  <c r="AH82" s="1"/>
  <c r="AC82"/>
  <c r="AG82" s="1"/>
  <c r="X82"/>
  <c r="X81"/>
  <c r="X80"/>
  <c r="X79"/>
  <c r="AD78"/>
  <c r="AH78" s="1"/>
  <c r="AC78"/>
  <c r="AG78" s="1"/>
  <c r="X78"/>
  <c r="AD77"/>
  <c r="AH77" s="1"/>
  <c r="AC77"/>
  <c r="X77"/>
  <c r="X76"/>
  <c r="X75"/>
  <c r="X74"/>
  <c r="AD73"/>
  <c r="AH73" s="1"/>
  <c r="AC73"/>
  <c r="X73"/>
  <c r="AD72"/>
  <c r="AH72" s="1"/>
  <c r="AC72"/>
  <c r="AG72" s="1"/>
  <c r="X72"/>
  <c r="AD71"/>
  <c r="AH71" s="1"/>
  <c r="AC71"/>
  <c r="X71"/>
  <c r="AD70"/>
  <c r="AH70" s="1"/>
  <c r="AC70"/>
  <c r="AG70" s="1"/>
  <c r="X70"/>
  <c r="X69"/>
  <c r="AZ68"/>
  <c r="X68"/>
  <c r="AZ67"/>
  <c r="X67"/>
  <c r="AZ66"/>
  <c r="AD66"/>
  <c r="AC66"/>
  <c r="X66"/>
  <c r="AZ65"/>
  <c r="AD65"/>
  <c r="AH65" s="1"/>
  <c r="AC65"/>
  <c r="X65"/>
  <c r="AZ64"/>
  <c r="AD64"/>
  <c r="AC64"/>
  <c r="X64"/>
  <c r="AZ63"/>
  <c r="AD63"/>
  <c r="AH63" s="1"/>
  <c r="AC63"/>
  <c r="X63"/>
  <c r="AZ62"/>
  <c r="AD62"/>
  <c r="AH62" s="1"/>
  <c r="AC62"/>
  <c r="X62"/>
  <c r="AZ61"/>
  <c r="AD61"/>
  <c r="AH61" s="1"/>
  <c r="AC61"/>
  <c r="X61"/>
  <c r="AZ60"/>
  <c r="AD60"/>
  <c r="AC60"/>
  <c r="X60"/>
  <c r="AZ59"/>
  <c r="AD59"/>
  <c r="AH59" s="1"/>
  <c r="AC59"/>
  <c r="X59"/>
  <c r="AZ58"/>
  <c r="BA63" s="1"/>
  <c r="BB63" s="1"/>
  <c r="AA58"/>
  <c r="Z58"/>
  <c r="X58"/>
  <c r="AD55"/>
  <c r="AH55" s="1"/>
  <c r="AC55"/>
  <c r="AG55" s="1"/>
  <c r="AO54"/>
  <c r="AM54" s="1"/>
  <c r="AD54"/>
  <c r="AH54" s="1"/>
  <c r="AC54"/>
  <c r="V54"/>
  <c r="AO53"/>
  <c r="AM53" s="1"/>
  <c r="AD53"/>
  <c r="AH53" s="1"/>
  <c r="AC53"/>
  <c r="V53"/>
  <c r="AO52"/>
  <c r="AM52" s="1"/>
  <c r="AH52"/>
  <c r="AD52"/>
  <c r="AC52"/>
  <c r="AL52" s="1"/>
  <c r="V52"/>
  <c r="AA64" s="1"/>
  <c r="F64" s="1"/>
  <c r="AO51"/>
  <c r="AM51" s="1"/>
  <c r="AD51"/>
  <c r="AH51" s="1"/>
  <c r="AC51"/>
  <c r="V51"/>
  <c r="Z66" s="1"/>
  <c r="D66" s="1"/>
  <c r="AD50"/>
  <c r="AH50" s="1"/>
  <c r="AC50"/>
  <c r="AD49"/>
  <c r="AH49" s="1"/>
  <c r="AC49"/>
  <c r="AG49" s="1"/>
  <c r="AO48"/>
  <c r="AM48" s="1"/>
  <c r="AD48"/>
  <c r="AH48" s="1"/>
  <c r="AC48"/>
  <c r="V48"/>
  <c r="AO47"/>
  <c r="AM47" s="1"/>
  <c r="AD47"/>
  <c r="AH47" s="1"/>
  <c r="AC47"/>
  <c r="V47"/>
  <c r="AO46"/>
  <c r="AM46" s="1"/>
  <c r="AD46"/>
  <c r="AH46" s="1"/>
  <c r="AC46"/>
  <c r="V46"/>
  <c r="AA66" s="1"/>
  <c r="F66" s="1"/>
  <c r="F72" s="1"/>
  <c r="AO45"/>
  <c r="AM45" s="1"/>
  <c r="AD45"/>
  <c r="AH45" s="1"/>
  <c r="AC45"/>
  <c r="V45"/>
  <c r="Z64" s="1"/>
  <c r="D64" s="1"/>
  <c r="F70" s="1"/>
  <c r="D77" s="1"/>
  <c r="D82" s="1"/>
  <c r="E91" s="1"/>
  <c r="AD44"/>
  <c r="AC44"/>
  <c r="AD43"/>
  <c r="AH43" s="1"/>
  <c r="AC43"/>
  <c r="AG43" s="1"/>
  <c r="AO42"/>
  <c r="AM42" s="1"/>
  <c r="AD42"/>
  <c r="AH42" s="1"/>
  <c r="AC42"/>
  <c r="V42"/>
  <c r="AA63" s="1"/>
  <c r="F63" s="1"/>
  <c r="AO41"/>
  <c r="AM41" s="1"/>
  <c r="AD41"/>
  <c r="AH41" s="1"/>
  <c r="AC41"/>
  <c r="V41"/>
  <c r="AO40"/>
  <c r="AM40" s="1"/>
  <c r="AD40"/>
  <c r="AH40" s="1"/>
  <c r="AC40"/>
  <c r="V40"/>
  <c r="AO39"/>
  <c r="AM39" s="1"/>
  <c r="AD39"/>
  <c r="AH39" s="1"/>
  <c r="AC39"/>
  <c r="V39"/>
  <c r="Z65" s="1"/>
  <c r="D65" s="1"/>
  <c r="D72" s="1"/>
  <c r="D78" s="1"/>
  <c r="F82" s="1"/>
  <c r="E92" s="1"/>
  <c r="AD38"/>
  <c r="AH38" s="1"/>
  <c r="AC38"/>
  <c r="AD37"/>
  <c r="AH37" s="1"/>
  <c r="AC37"/>
  <c r="AG37" s="1"/>
  <c r="AO36"/>
  <c r="AM36" s="1"/>
  <c r="AD36"/>
  <c r="AH36" s="1"/>
  <c r="AC36"/>
  <c r="V36"/>
  <c r="AO35"/>
  <c r="AM35" s="1"/>
  <c r="AD35"/>
  <c r="AH35" s="1"/>
  <c r="AC35"/>
  <c r="V35"/>
  <c r="Z63" s="1"/>
  <c r="D63" s="1"/>
  <c r="D70" s="1"/>
  <c r="AO34"/>
  <c r="AM34" s="1"/>
  <c r="AD34"/>
  <c r="AH34" s="1"/>
  <c r="AC34"/>
  <c r="V34"/>
  <c r="AA65" s="1"/>
  <c r="F65" s="1"/>
  <c r="AO33"/>
  <c r="AM33" s="1"/>
  <c r="AH33"/>
  <c r="AD33"/>
  <c r="AC33"/>
  <c r="AL33" s="1"/>
  <c r="V33"/>
  <c r="AD32"/>
  <c r="AC32"/>
  <c r="AD31"/>
  <c r="AH31" s="1"/>
  <c r="AC31"/>
  <c r="AG31" s="1"/>
  <c r="AO30"/>
  <c r="AM30" s="1"/>
  <c r="AD30"/>
  <c r="AH30" s="1"/>
  <c r="AC30"/>
  <c r="V30"/>
  <c r="AA60" s="1"/>
  <c r="F60" s="1"/>
  <c r="F71" s="1"/>
  <c r="AO29"/>
  <c r="AM29" s="1"/>
  <c r="AD29"/>
  <c r="AH29" s="1"/>
  <c r="AC29"/>
  <c r="V29"/>
  <c r="Z62" s="1"/>
  <c r="D62" s="1"/>
  <c r="F73" s="1"/>
  <c r="AO28"/>
  <c r="AM28" s="1"/>
  <c r="AD28"/>
  <c r="AH28" s="1"/>
  <c r="AC28"/>
  <c r="V28"/>
  <c r="AO27"/>
  <c r="AM27" s="1"/>
  <c r="AD27"/>
  <c r="AH27" s="1"/>
  <c r="AC27"/>
  <c r="V27"/>
  <c r="AD26"/>
  <c r="AH26" s="1"/>
  <c r="AC26"/>
  <c r="AD25"/>
  <c r="AC25"/>
  <c r="AG25" s="1"/>
  <c r="AO24"/>
  <c r="AM24" s="1"/>
  <c r="AD24"/>
  <c r="AH24" s="1"/>
  <c r="AC24"/>
  <c r="V24"/>
  <c r="AO23"/>
  <c r="AM23" s="1"/>
  <c r="AD23"/>
  <c r="AH23" s="1"/>
  <c r="AC23"/>
  <c r="AG23" s="1"/>
  <c r="V23"/>
  <c r="Z60" s="1"/>
  <c r="D60" s="1"/>
  <c r="AO22"/>
  <c r="AM22" s="1"/>
  <c r="AD22"/>
  <c r="AH22" s="1"/>
  <c r="AC22"/>
  <c r="V22"/>
  <c r="AA62" s="1"/>
  <c r="F62" s="1"/>
  <c r="AO21"/>
  <c r="AM21" s="1"/>
  <c r="AD21"/>
  <c r="AH21" s="1"/>
  <c r="AC21"/>
  <c r="AG21" s="1"/>
  <c r="V21"/>
  <c r="AD20"/>
  <c r="AH20" s="1"/>
  <c r="AC20"/>
  <c r="AD19"/>
  <c r="AH19" s="1"/>
  <c r="AC19"/>
  <c r="AO18"/>
  <c r="AM18" s="1"/>
  <c r="AD18"/>
  <c r="AH18" s="1"/>
  <c r="AC18"/>
  <c r="V18"/>
  <c r="AO17"/>
  <c r="AM17" s="1"/>
  <c r="AD17"/>
  <c r="AH17" s="1"/>
  <c r="AC17"/>
  <c r="AG17" s="1"/>
  <c r="V17"/>
  <c r="AO16"/>
  <c r="AM16" s="1"/>
  <c r="AD16"/>
  <c r="AH16" s="1"/>
  <c r="AC16"/>
  <c r="AL16" s="1"/>
  <c r="V16"/>
  <c r="Z61" s="1"/>
  <c r="D61" s="1"/>
  <c r="D73" s="1"/>
  <c r="F78" s="1"/>
  <c r="F86" s="1"/>
  <c r="E90" s="1"/>
  <c r="AO15"/>
  <c r="AM15" s="1"/>
  <c r="AD15"/>
  <c r="AH15" s="1"/>
  <c r="AC15"/>
  <c r="AG15" s="1"/>
  <c r="V15"/>
  <c r="AA59" s="1"/>
  <c r="F59" s="1"/>
  <c r="AD14"/>
  <c r="AH14" s="1"/>
  <c r="AC14"/>
  <c r="AD13"/>
  <c r="AH13" s="1"/>
  <c r="AC13"/>
  <c r="AO12"/>
  <c r="AM12" s="1"/>
  <c r="AD12"/>
  <c r="AH12" s="1"/>
  <c r="AC12"/>
  <c r="V12"/>
  <c r="AA61" s="1"/>
  <c r="F61" s="1"/>
  <c r="AO11"/>
  <c r="AM11" s="1"/>
  <c r="AD11"/>
  <c r="AH11" s="1"/>
  <c r="AC11"/>
  <c r="AG11" s="1"/>
  <c r="V11"/>
  <c r="AO10"/>
  <c r="AM10" s="1"/>
  <c r="AD10"/>
  <c r="AH10" s="1"/>
  <c r="AC10"/>
  <c r="V10"/>
  <c r="AO9"/>
  <c r="AM9" s="1"/>
  <c r="AD9"/>
  <c r="AH9" s="1"/>
  <c r="AC9"/>
  <c r="AG9" s="1"/>
  <c r="V9"/>
  <c r="Z59" s="1"/>
  <c r="D59" s="1"/>
  <c r="D71" s="1"/>
  <c r="F77" s="1"/>
  <c r="D86" s="1"/>
  <c r="E89" s="1"/>
  <c r="AD8"/>
  <c r="AH8" s="1"/>
  <c r="AC8"/>
  <c r="N3"/>
  <c r="C53" i="22" s="1"/>
  <c r="X98" i="106"/>
  <c r="X97"/>
  <c r="X96"/>
  <c r="X95"/>
  <c r="X94"/>
  <c r="X93"/>
  <c r="X92"/>
  <c r="X91"/>
  <c r="X90"/>
  <c r="X89"/>
  <c r="X88"/>
  <c r="X87"/>
  <c r="AD86"/>
  <c r="AH86" s="1"/>
  <c r="AC86"/>
  <c r="AG86" s="1"/>
  <c r="X86"/>
  <c r="X85"/>
  <c r="X84"/>
  <c r="X83"/>
  <c r="AD82"/>
  <c r="AH82" s="1"/>
  <c r="AC82"/>
  <c r="AG82" s="1"/>
  <c r="X82"/>
  <c r="X81"/>
  <c r="X80"/>
  <c r="X79"/>
  <c r="AD78"/>
  <c r="AH78" s="1"/>
  <c r="AC78"/>
  <c r="AG78" s="1"/>
  <c r="X78"/>
  <c r="AD77"/>
  <c r="AC77"/>
  <c r="X77"/>
  <c r="X76"/>
  <c r="X75"/>
  <c r="X74"/>
  <c r="AD73"/>
  <c r="AC73"/>
  <c r="X73"/>
  <c r="AD72"/>
  <c r="AH72" s="1"/>
  <c r="AC72"/>
  <c r="AG72" s="1"/>
  <c r="X72"/>
  <c r="AD71"/>
  <c r="AH71" s="1"/>
  <c r="AC71"/>
  <c r="AL71" s="1"/>
  <c r="X71"/>
  <c r="AD70"/>
  <c r="AH70" s="1"/>
  <c r="AC70"/>
  <c r="AG70" s="1"/>
  <c r="X70"/>
  <c r="X69"/>
  <c r="AZ68"/>
  <c r="X68"/>
  <c r="AZ67"/>
  <c r="X67"/>
  <c r="AZ66"/>
  <c r="AD66"/>
  <c r="AH66" s="1"/>
  <c r="AC66"/>
  <c r="X66"/>
  <c r="AZ65"/>
  <c r="AD65"/>
  <c r="AH65" s="1"/>
  <c r="AC65"/>
  <c r="X65"/>
  <c r="AZ64"/>
  <c r="AD64"/>
  <c r="AC64"/>
  <c r="X64"/>
  <c r="AZ63"/>
  <c r="AD63"/>
  <c r="AH63" s="1"/>
  <c r="AC63"/>
  <c r="X63"/>
  <c r="AZ62"/>
  <c r="AD62"/>
  <c r="AH62" s="1"/>
  <c r="AC62"/>
  <c r="X62"/>
  <c r="AZ61"/>
  <c r="AD61"/>
  <c r="AH61" s="1"/>
  <c r="AC61"/>
  <c r="X61"/>
  <c r="AZ60"/>
  <c r="AD60"/>
  <c r="AC60"/>
  <c r="X60"/>
  <c r="AZ59"/>
  <c r="AD59"/>
  <c r="AH59" s="1"/>
  <c r="AC59"/>
  <c r="X59"/>
  <c r="AZ58"/>
  <c r="BA67" s="1"/>
  <c r="BB67" s="1"/>
  <c r="AA58"/>
  <c r="Z58"/>
  <c r="X58"/>
  <c r="AD55"/>
  <c r="AH55" s="1"/>
  <c r="AC55"/>
  <c r="AG55" s="1"/>
  <c r="AO54"/>
  <c r="AM54" s="1"/>
  <c r="AD54"/>
  <c r="AH54" s="1"/>
  <c r="AC54"/>
  <c r="V54"/>
  <c r="AO53"/>
  <c r="AM53" s="1"/>
  <c r="AD53"/>
  <c r="AH53" s="1"/>
  <c r="AC53"/>
  <c r="V53"/>
  <c r="AA64" s="1"/>
  <c r="F64" s="1"/>
  <c r="AO52"/>
  <c r="AM52" s="1"/>
  <c r="AH52"/>
  <c r="AD52"/>
  <c r="AC52"/>
  <c r="AK52" s="1"/>
  <c r="V52"/>
  <c r="AO51"/>
  <c r="AM51" s="1"/>
  <c r="AD51"/>
  <c r="AH51" s="1"/>
  <c r="AC51"/>
  <c r="V51"/>
  <c r="Z66" s="1"/>
  <c r="D66" s="1"/>
  <c r="F72" s="1"/>
  <c r="AD50"/>
  <c r="AH50" s="1"/>
  <c r="AC50"/>
  <c r="AD49"/>
  <c r="AH49" s="1"/>
  <c r="AC49"/>
  <c r="AO48"/>
  <c r="AM48" s="1"/>
  <c r="AD48"/>
  <c r="AH48" s="1"/>
  <c r="AC48"/>
  <c r="V48"/>
  <c r="AO47"/>
  <c r="AM47" s="1"/>
  <c r="AD47"/>
  <c r="AC47"/>
  <c r="V47"/>
  <c r="AA66" s="1"/>
  <c r="F66" s="1"/>
  <c r="AO46"/>
  <c r="AM46" s="1"/>
  <c r="AD46"/>
  <c r="AC46"/>
  <c r="V46"/>
  <c r="AO45"/>
  <c r="AM45" s="1"/>
  <c r="AD45"/>
  <c r="AC45"/>
  <c r="V45"/>
  <c r="Z64" s="1"/>
  <c r="D64" s="1"/>
  <c r="F70" s="1"/>
  <c r="D77" s="1"/>
  <c r="D82" s="1"/>
  <c r="E91" s="1"/>
  <c r="AD44"/>
  <c r="AC44"/>
  <c r="AD43"/>
  <c r="AH43" s="1"/>
  <c r="AC43"/>
  <c r="AO42"/>
  <c r="AM42" s="1"/>
  <c r="AD42"/>
  <c r="AC42"/>
  <c r="V42"/>
  <c r="AA63" s="1"/>
  <c r="F63" s="1"/>
  <c r="AO41"/>
  <c r="AM41" s="1"/>
  <c r="AD41"/>
  <c r="AC41"/>
  <c r="V41"/>
  <c r="AO40"/>
  <c r="AM40" s="1"/>
  <c r="AD40"/>
  <c r="AC40"/>
  <c r="V40"/>
  <c r="AO39"/>
  <c r="AM39" s="1"/>
  <c r="AD39"/>
  <c r="AC39"/>
  <c r="V39"/>
  <c r="Z65" s="1"/>
  <c r="D65" s="1"/>
  <c r="D72" s="1"/>
  <c r="D78" s="1"/>
  <c r="F82" s="1"/>
  <c r="E92" s="1"/>
  <c r="AD38"/>
  <c r="AC38"/>
  <c r="AD37"/>
  <c r="AH37" s="1"/>
  <c r="AC37"/>
  <c r="AO36"/>
  <c r="AM36" s="1"/>
  <c r="AD36"/>
  <c r="AC36"/>
  <c r="V36"/>
  <c r="AO35"/>
  <c r="AM35" s="1"/>
  <c r="AD35"/>
  <c r="AC35"/>
  <c r="V35"/>
  <c r="AA65" s="1"/>
  <c r="F65" s="1"/>
  <c r="AO34"/>
  <c r="AM34" s="1"/>
  <c r="AD34"/>
  <c r="AC34"/>
  <c r="V34"/>
  <c r="AO33"/>
  <c r="AM33" s="1"/>
  <c r="AD33"/>
  <c r="AC33"/>
  <c r="V33"/>
  <c r="Z63" s="1"/>
  <c r="D63" s="1"/>
  <c r="D70" s="1"/>
  <c r="AD32"/>
  <c r="AC32"/>
  <c r="AD31"/>
  <c r="AH31" s="1"/>
  <c r="AC31"/>
  <c r="AO30"/>
  <c r="AM30" s="1"/>
  <c r="AD30"/>
  <c r="AC30"/>
  <c r="V30"/>
  <c r="AA60" s="1"/>
  <c r="F60" s="1"/>
  <c r="AO29"/>
  <c r="AM29" s="1"/>
  <c r="AD29"/>
  <c r="AC29"/>
  <c r="V29"/>
  <c r="AO28"/>
  <c r="AM28" s="1"/>
  <c r="AD28"/>
  <c r="AC28"/>
  <c r="V28"/>
  <c r="AO27"/>
  <c r="AM27" s="1"/>
  <c r="AD27"/>
  <c r="AC27"/>
  <c r="V27"/>
  <c r="Z62" s="1"/>
  <c r="D62" s="1"/>
  <c r="F73" s="1"/>
  <c r="F78" s="1"/>
  <c r="F86" s="1"/>
  <c r="E90" s="1"/>
  <c r="AD26"/>
  <c r="AC26"/>
  <c r="AD25"/>
  <c r="AH25" s="1"/>
  <c r="AC25"/>
  <c r="AO24"/>
  <c r="AM24" s="1"/>
  <c r="AD24"/>
  <c r="AC24"/>
  <c r="V24"/>
  <c r="Z60" s="1"/>
  <c r="D60" s="1"/>
  <c r="F71" s="1"/>
  <c r="AO23"/>
  <c r="AM23" s="1"/>
  <c r="AD23"/>
  <c r="AC23"/>
  <c r="V23"/>
  <c r="AO22"/>
  <c r="AM22" s="1"/>
  <c r="AD22"/>
  <c r="AC22"/>
  <c r="V22"/>
  <c r="AO21"/>
  <c r="AM21" s="1"/>
  <c r="AD21"/>
  <c r="AC21"/>
  <c r="V21"/>
  <c r="AA62" s="1"/>
  <c r="F62" s="1"/>
  <c r="AD20"/>
  <c r="AC20"/>
  <c r="AD19"/>
  <c r="AH19" s="1"/>
  <c r="AC19"/>
  <c r="AO18"/>
  <c r="AM18" s="1"/>
  <c r="AD18"/>
  <c r="AC18"/>
  <c r="V18"/>
  <c r="AO17"/>
  <c r="AM17" s="1"/>
  <c r="AD17"/>
  <c r="AC17"/>
  <c r="V17"/>
  <c r="Z61" s="1"/>
  <c r="D61" s="1"/>
  <c r="AO16"/>
  <c r="AM16" s="1"/>
  <c r="AD16"/>
  <c r="AC16"/>
  <c r="V16"/>
  <c r="AA59" s="1"/>
  <c r="F59" s="1"/>
  <c r="AO15"/>
  <c r="AM15" s="1"/>
  <c r="AD15"/>
  <c r="AC15"/>
  <c r="AL15" s="1"/>
  <c r="V15"/>
  <c r="AD14"/>
  <c r="AC14"/>
  <c r="AD13"/>
  <c r="AH13" s="1"/>
  <c r="AC13"/>
  <c r="AO12"/>
  <c r="AM12" s="1"/>
  <c r="AD12"/>
  <c r="AC12"/>
  <c r="V12"/>
  <c r="AO11"/>
  <c r="AM11" s="1"/>
  <c r="AD11"/>
  <c r="AC11"/>
  <c r="V11"/>
  <c r="AA61" s="1"/>
  <c r="F61" s="1"/>
  <c r="D73" s="1"/>
  <c r="AO10"/>
  <c r="AM10" s="1"/>
  <c r="AD10"/>
  <c r="AC10"/>
  <c r="V10"/>
  <c r="AO9"/>
  <c r="AM9" s="1"/>
  <c r="AD9"/>
  <c r="AC9"/>
  <c r="AG9" s="1"/>
  <c r="V9"/>
  <c r="Z59" s="1"/>
  <c r="D59" s="1"/>
  <c r="D71" s="1"/>
  <c r="F77" s="1"/>
  <c r="D86" s="1"/>
  <c r="E89" s="1"/>
  <c r="AD8"/>
  <c r="AC8"/>
  <c r="N3"/>
  <c r="C42" i="22" s="1"/>
  <c r="X98" i="105"/>
  <c r="X97"/>
  <c r="X96"/>
  <c r="X95"/>
  <c r="X94"/>
  <c r="X93"/>
  <c r="X92"/>
  <c r="X91"/>
  <c r="X90"/>
  <c r="X89"/>
  <c r="X88"/>
  <c r="X87"/>
  <c r="AD86"/>
  <c r="AC86"/>
  <c r="X86"/>
  <c r="X85"/>
  <c r="X84"/>
  <c r="X83"/>
  <c r="AD82"/>
  <c r="AC82"/>
  <c r="X82"/>
  <c r="X81"/>
  <c r="X80"/>
  <c r="X79"/>
  <c r="AD78"/>
  <c r="AC78"/>
  <c r="X78"/>
  <c r="AD77"/>
  <c r="AH77" s="1"/>
  <c r="AC77"/>
  <c r="X77"/>
  <c r="X76"/>
  <c r="X75"/>
  <c r="X74"/>
  <c r="AD73"/>
  <c r="AH73" s="1"/>
  <c r="AC73"/>
  <c r="X73"/>
  <c r="AD72"/>
  <c r="AC72"/>
  <c r="AL72" s="1"/>
  <c r="X72"/>
  <c r="AD71"/>
  <c r="AH71" s="1"/>
  <c r="AC71"/>
  <c r="X71"/>
  <c r="AD70"/>
  <c r="AC70"/>
  <c r="X70"/>
  <c r="X69"/>
  <c r="AZ68"/>
  <c r="BA58" s="1"/>
  <c r="X68"/>
  <c r="AZ67"/>
  <c r="X67"/>
  <c r="AZ66"/>
  <c r="AD66"/>
  <c r="AH66" s="1"/>
  <c r="AC66"/>
  <c r="X66"/>
  <c r="AZ65"/>
  <c r="AD65"/>
  <c r="AH65" s="1"/>
  <c r="AC65"/>
  <c r="Z65"/>
  <c r="D65" s="1"/>
  <c r="D72" s="1"/>
  <c r="D78" s="1"/>
  <c r="F82" s="1"/>
  <c r="E92" s="1"/>
  <c r="X65"/>
  <c r="AZ64"/>
  <c r="AD64"/>
  <c r="AH64" s="1"/>
  <c r="AC64"/>
  <c r="Z64"/>
  <c r="D64" s="1"/>
  <c r="F70" s="1"/>
  <c r="D77" s="1"/>
  <c r="D86" s="1"/>
  <c r="E89" s="1"/>
  <c r="X64"/>
  <c r="AZ63"/>
  <c r="AD63"/>
  <c r="AH63" s="1"/>
  <c r="AC63"/>
  <c r="X63"/>
  <c r="AZ62"/>
  <c r="AD62"/>
  <c r="AH62" s="1"/>
  <c r="AC62"/>
  <c r="X62"/>
  <c r="AZ61"/>
  <c r="AD61"/>
  <c r="AH61" s="1"/>
  <c r="AC61"/>
  <c r="X61"/>
  <c r="AZ60"/>
  <c r="AD60"/>
  <c r="AH60" s="1"/>
  <c r="AC60"/>
  <c r="X60"/>
  <c r="AZ59"/>
  <c r="BA59" s="1"/>
  <c r="BB59" s="1"/>
  <c r="AD59"/>
  <c r="AH59" s="1"/>
  <c r="AC59"/>
  <c r="AL59" s="1"/>
  <c r="X59"/>
  <c r="AZ58"/>
  <c r="BA67" s="1"/>
  <c r="BB67" s="1"/>
  <c r="AA58"/>
  <c r="Z58"/>
  <c r="X58"/>
  <c r="AD55"/>
  <c r="AC55"/>
  <c r="AO54"/>
  <c r="AM54" s="1"/>
  <c r="AD54"/>
  <c r="AH54" s="1"/>
  <c r="AC54"/>
  <c r="V54"/>
  <c r="Z66" s="1"/>
  <c r="D66" s="1"/>
  <c r="AO53"/>
  <c r="AM53" s="1"/>
  <c r="AD53"/>
  <c r="AH53" s="1"/>
  <c r="AC53"/>
  <c r="V53"/>
  <c r="AO52"/>
  <c r="AM52" s="1"/>
  <c r="AD52"/>
  <c r="AH52" s="1"/>
  <c r="AC52"/>
  <c r="V52"/>
  <c r="AA64" s="1"/>
  <c r="F64" s="1"/>
  <c r="AO51"/>
  <c r="AM51" s="1"/>
  <c r="AD51"/>
  <c r="AH51" s="1"/>
  <c r="AC51"/>
  <c r="V51"/>
  <c r="AD50"/>
  <c r="AH50" s="1"/>
  <c r="AC50"/>
  <c r="AD49"/>
  <c r="AC49"/>
  <c r="AO48"/>
  <c r="AM48" s="1"/>
  <c r="AD48"/>
  <c r="AH48" s="1"/>
  <c r="AC48"/>
  <c r="V48"/>
  <c r="AO47"/>
  <c r="AM47" s="1"/>
  <c r="AD47"/>
  <c r="AH47" s="1"/>
  <c r="AC47"/>
  <c r="V47"/>
  <c r="AO46"/>
  <c r="AM46" s="1"/>
  <c r="AD46"/>
  <c r="AH46" s="1"/>
  <c r="AC46"/>
  <c r="V46"/>
  <c r="AA66" s="1"/>
  <c r="F66" s="1"/>
  <c r="F72" s="1"/>
  <c r="AO45"/>
  <c r="AM45" s="1"/>
  <c r="AD45"/>
  <c r="AH45" s="1"/>
  <c r="AC45"/>
  <c r="V45"/>
  <c r="AH44"/>
  <c r="AD44"/>
  <c r="AC44"/>
  <c r="AL44" s="1"/>
  <c r="AD43"/>
  <c r="AC43"/>
  <c r="AO42"/>
  <c r="AM42" s="1"/>
  <c r="AD42"/>
  <c r="AH42" s="1"/>
  <c r="AC42"/>
  <c r="V42"/>
  <c r="AA63" s="1"/>
  <c r="F63" s="1"/>
  <c r="AO41"/>
  <c r="AM41" s="1"/>
  <c r="AD41"/>
  <c r="AH41" s="1"/>
  <c r="AC41"/>
  <c r="AL41" s="1"/>
  <c r="V41"/>
  <c r="AO40"/>
  <c r="AM40" s="1"/>
  <c r="AD40"/>
  <c r="AH40" s="1"/>
  <c r="AC40"/>
  <c r="V40"/>
  <c r="AO39"/>
  <c r="AM39" s="1"/>
  <c r="AD39"/>
  <c r="AH39" s="1"/>
  <c r="AC39"/>
  <c r="V39"/>
  <c r="AD38"/>
  <c r="AH38" s="1"/>
  <c r="AC38"/>
  <c r="AD37"/>
  <c r="AH37" s="1"/>
  <c r="AC37"/>
  <c r="AG37" s="1"/>
  <c r="AO36"/>
  <c r="AM36" s="1"/>
  <c r="AD36"/>
  <c r="AH36" s="1"/>
  <c r="AC36"/>
  <c r="V36"/>
  <c r="AO35"/>
  <c r="AM35" s="1"/>
  <c r="AD35"/>
  <c r="AH35" s="1"/>
  <c r="AC35"/>
  <c r="V35"/>
  <c r="Z63" s="1"/>
  <c r="D63" s="1"/>
  <c r="D70" s="1"/>
  <c r="AO34"/>
  <c r="AM34" s="1"/>
  <c r="AD34"/>
  <c r="AH34" s="1"/>
  <c r="AC34"/>
  <c r="V34"/>
  <c r="AA65" s="1"/>
  <c r="F65" s="1"/>
  <c r="AO33"/>
  <c r="AM33" s="1"/>
  <c r="AD33"/>
  <c r="AH33" s="1"/>
  <c r="AC33"/>
  <c r="V33"/>
  <c r="AD32"/>
  <c r="AH32" s="1"/>
  <c r="AC32"/>
  <c r="AD31"/>
  <c r="AH31" s="1"/>
  <c r="AC31"/>
  <c r="AG31" s="1"/>
  <c r="AO30"/>
  <c r="AM30" s="1"/>
  <c r="AD30"/>
  <c r="AH30" s="1"/>
  <c r="AC30"/>
  <c r="V30"/>
  <c r="AA60" s="1"/>
  <c r="F60" s="1"/>
  <c r="F71" s="1"/>
  <c r="F77" s="1"/>
  <c r="D82" s="1"/>
  <c r="E91" s="1"/>
  <c r="AO29"/>
  <c r="AM29" s="1"/>
  <c r="AD29"/>
  <c r="AH29" s="1"/>
  <c r="AC29"/>
  <c r="V29"/>
  <c r="Z62" s="1"/>
  <c r="D62" s="1"/>
  <c r="F73" s="1"/>
  <c r="AO28"/>
  <c r="AM28" s="1"/>
  <c r="AD28"/>
  <c r="AH28" s="1"/>
  <c r="AC28"/>
  <c r="V28"/>
  <c r="AO27"/>
  <c r="AM27" s="1"/>
  <c r="AD27"/>
  <c r="AH27" s="1"/>
  <c r="AC27"/>
  <c r="V27"/>
  <c r="AD26"/>
  <c r="AH26" s="1"/>
  <c r="AC26"/>
  <c r="AD25"/>
  <c r="AH25" s="1"/>
  <c r="AC25"/>
  <c r="AO24"/>
  <c r="AM24" s="1"/>
  <c r="AD24"/>
  <c r="AH24" s="1"/>
  <c r="AC24"/>
  <c r="V24"/>
  <c r="AA62" s="1"/>
  <c r="F62" s="1"/>
  <c r="AO23"/>
  <c r="AM23" s="1"/>
  <c r="AD23"/>
  <c r="AH23" s="1"/>
  <c r="AC23"/>
  <c r="V23"/>
  <c r="AO22"/>
  <c r="AM22" s="1"/>
  <c r="AD22"/>
  <c r="AH22" s="1"/>
  <c r="AC22"/>
  <c r="V22"/>
  <c r="Z60" s="1"/>
  <c r="D60" s="1"/>
  <c r="AO21"/>
  <c r="AM21" s="1"/>
  <c r="AD21"/>
  <c r="AH21" s="1"/>
  <c r="AC21"/>
  <c r="V21"/>
  <c r="AD20"/>
  <c r="AH20" s="1"/>
  <c r="AC20"/>
  <c r="AD19"/>
  <c r="AH19" s="1"/>
  <c r="AC19"/>
  <c r="AK19" s="1"/>
  <c r="AO18"/>
  <c r="AM18" s="1"/>
  <c r="AD18"/>
  <c r="AH18" s="1"/>
  <c r="AC18"/>
  <c r="V18"/>
  <c r="AO17"/>
  <c r="AM17" s="1"/>
  <c r="AD17"/>
  <c r="AH17" s="1"/>
  <c r="AC17"/>
  <c r="V17"/>
  <c r="AO16"/>
  <c r="AM16" s="1"/>
  <c r="AD16"/>
  <c r="AH16" s="1"/>
  <c r="AC16"/>
  <c r="V16"/>
  <c r="AA59" s="1"/>
  <c r="F59" s="1"/>
  <c r="D71" s="1"/>
  <c r="AO15"/>
  <c r="AM15" s="1"/>
  <c r="AD15"/>
  <c r="AH15" s="1"/>
  <c r="AC15"/>
  <c r="V15"/>
  <c r="Z61" s="1"/>
  <c r="D61" s="1"/>
  <c r="D73" s="1"/>
  <c r="F78" s="1"/>
  <c r="F86" s="1"/>
  <c r="E90" s="1"/>
  <c r="AD14"/>
  <c r="AH14" s="1"/>
  <c r="AC14"/>
  <c r="AD13"/>
  <c r="AH13" s="1"/>
  <c r="AC13"/>
  <c r="AO12"/>
  <c r="AM12" s="1"/>
  <c r="AD12"/>
  <c r="AH12" s="1"/>
  <c r="AC12"/>
  <c r="V12"/>
  <c r="AA61" s="1"/>
  <c r="F61" s="1"/>
  <c r="AO11"/>
  <c r="AM11" s="1"/>
  <c r="AD11"/>
  <c r="AH11" s="1"/>
  <c r="AC11"/>
  <c r="V11"/>
  <c r="AO10"/>
  <c r="AM10" s="1"/>
  <c r="AD10"/>
  <c r="AH10" s="1"/>
  <c r="AC10"/>
  <c r="V10"/>
  <c r="AO9"/>
  <c r="AM9" s="1"/>
  <c r="AD9"/>
  <c r="AH9" s="1"/>
  <c r="AC9"/>
  <c r="AG9" s="1"/>
  <c r="V9"/>
  <c r="Z59" s="1"/>
  <c r="D59" s="1"/>
  <c r="AD8"/>
  <c r="AH8" s="1"/>
  <c r="AC8"/>
  <c r="N3"/>
  <c r="C80" i="22" s="1"/>
  <c r="X98" i="104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AL78" s="1"/>
  <c r="X78"/>
  <c r="AD77"/>
  <c r="AH77" s="1"/>
  <c r="AC77"/>
  <c r="X77"/>
  <c r="X76"/>
  <c r="X75"/>
  <c r="X74"/>
  <c r="AD73"/>
  <c r="AH73" s="1"/>
  <c r="AC73"/>
  <c r="X73"/>
  <c r="AD72"/>
  <c r="AH72" s="1"/>
  <c r="AC72"/>
  <c r="X72"/>
  <c r="AD71"/>
  <c r="AH71" s="1"/>
  <c r="AC71"/>
  <c r="X71"/>
  <c r="AD70"/>
  <c r="AH70" s="1"/>
  <c r="AC70"/>
  <c r="X70"/>
  <c r="X69"/>
  <c r="AZ68"/>
  <c r="BA63" s="1"/>
  <c r="BB63" s="1"/>
  <c r="X68"/>
  <c r="AZ67"/>
  <c r="X67"/>
  <c r="AZ66"/>
  <c r="AD66"/>
  <c r="AH66" s="1"/>
  <c r="AC66"/>
  <c r="X66"/>
  <c r="AZ65"/>
  <c r="AD65"/>
  <c r="AH65" s="1"/>
  <c r="AC65"/>
  <c r="AK65" s="1"/>
  <c r="X65"/>
  <c r="AZ64"/>
  <c r="AD64"/>
  <c r="AH64" s="1"/>
  <c r="AC64"/>
  <c r="AK64" s="1"/>
  <c r="X64"/>
  <c r="AZ63"/>
  <c r="AD63"/>
  <c r="AH63" s="1"/>
  <c r="AC63"/>
  <c r="AK63" s="1"/>
  <c r="X63"/>
  <c r="BA62"/>
  <c r="BB62" s="1"/>
  <c r="AZ62"/>
  <c r="AD62"/>
  <c r="AH62" s="1"/>
  <c r="AC62"/>
  <c r="AK62" s="1"/>
  <c r="X62"/>
  <c r="BA61"/>
  <c r="BB61" s="1"/>
  <c r="AZ61"/>
  <c r="AD61"/>
  <c r="AH61" s="1"/>
  <c r="AC61"/>
  <c r="AK61" s="1"/>
  <c r="X61"/>
  <c r="BA60"/>
  <c r="BB60" s="1"/>
  <c r="AZ60"/>
  <c r="AD60"/>
  <c r="AH60" s="1"/>
  <c r="AC60"/>
  <c r="X60"/>
  <c r="BA59"/>
  <c r="BB59" s="1"/>
  <c r="AZ59"/>
  <c r="BA64" s="1"/>
  <c r="BB64" s="1"/>
  <c r="AD59"/>
  <c r="AH59" s="1"/>
  <c r="AC59"/>
  <c r="X59"/>
  <c r="BA58"/>
  <c r="AZ58"/>
  <c r="BA67" s="1"/>
  <c r="BB67" s="1"/>
  <c r="AA58"/>
  <c r="Z58"/>
  <c r="X58"/>
  <c r="AD55"/>
  <c r="AH55" s="1"/>
  <c r="AC55"/>
  <c r="AO54"/>
  <c r="AM54" s="1"/>
  <c r="AD54"/>
  <c r="AH54" s="1"/>
  <c r="AC54"/>
  <c r="V54"/>
  <c r="AA64" s="1"/>
  <c r="F64" s="1"/>
  <c r="AO53"/>
  <c r="AM53" s="1"/>
  <c r="AH53"/>
  <c r="AD53"/>
  <c r="AC53"/>
  <c r="AK53" s="1"/>
  <c r="V53"/>
  <c r="Z66" s="1"/>
  <c r="D66" s="1"/>
  <c r="AO52"/>
  <c r="AM52" s="1"/>
  <c r="AD52"/>
  <c r="AH52" s="1"/>
  <c r="AC52"/>
  <c r="V52"/>
  <c r="AO51"/>
  <c r="AM51" s="1"/>
  <c r="AD51"/>
  <c r="AH51" s="1"/>
  <c r="AC51"/>
  <c r="V51"/>
  <c r="AD50"/>
  <c r="AH50" s="1"/>
  <c r="AC50"/>
  <c r="AD49"/>
  <c r="AH49" s="1"/>
  <c r="AC49"/>
  <c r="AO48"/>
  <c r="AM48" s="1"/>
  <c r="AD48"/>
  <c r="AH48" s="1"/>
  <c r="AC48"/>
  <c r="V48"/>
  <c r="AO47"/>
  <c r="AM47" s="1"/>
  <c r="AD47"/>
  <c r="AH47" s="1"/>
  <c r="AC47"/>
  <c r="V47"/>
  <c r="AO46"/>
  <c r="AM46" s="1"/>
  <c r="AD46"/>
  <c r="AH46" s="1"/>
  <c r="AC46"/>
  <c r="V46"/>
  <c r="AA66" s="1"/>
  <c r="F66" s="1"/>
  <c r="F72" s="1"/>
  <c r="D78" s="1"/>
  <c r="F82" s="1"/>
  <c r="E92" s="1"/>
  <c r="AO45"/>
  <c r="AM45" s="1"/>
  <c r="AD45"/>
  <c r="AH45" s="1"/>
  <c r="AC45"/>
  <c r="V45"/>
  <c r="Z64" s="1"/>
  <c r="D64" s="1"/>
  <c r="F70" s="1"/>
  <c r="AD44"/>
  <c r="AH44" s="1"/>
  <c r="AC44"/>
  <c r="AD43"/>
  <c r="AH43" s="1"/>
  <c r="AC43"/>
  <c r="AO42"/>
  <c r="AM42" s="1"/>
  <c r="AD42"/>
  <c r="AH42" s="1"/>
  <c r="AC42"/>
  <c r="V42"/>
  <c r="AA63" s="1"/>
  <c r="F63" s="1"/>
  <c r="AO41"/>
  <c r="AM41" s="1"/>
  <c r="AD41"/>
  <c r="AH41" s="1"/>
  <c r="AC41"/>
  <c r="AK41" s="1"/>
  <c r="V41"/>
  <c r="AO40"/>
  <c r="AM40" s="1"/>
  <c r="AD40"/>
  <c r="AH40" s="1"/>
  <c r="AC40"/>
  <c r="V40"/>
  <c r="AO39"/>
  <c r="AM39" s="1"/>
  <c r="AD39"/>
  <c r="AH39" s="1"/>
  <c r="AC39"/>
  <c r="V39"/>
  <c r="Z65" s="1"/>
  <c r="D65" s="1"/>
  <c r="D72" s="1"/>
  <c r="AD38"/>
  <c r="AH38" s="1"/>
  <c r="AC38"/>
  <c r="AD37"/>
  <c r="AH37" s="1"/>
  <c r="AC37"/>
  <c r="AO36"/>
  <c r="AM36" s="1"/>
  <c r="AD36"/>
  <c r="AH36" s="1"/>
  <c r="AC36"/>
  <c r="V36"/>
  <c r="AO35"/>
  <c r="AM35" s="1"/>
  <c r="AD35"/>
  <c r="AH35" s="1"/>
  <c r="AC35"/>
  <c r="V35"/>
  <c r="Z63" s="1"/>
  <c r="D63" s="1"/>
  <c r="D70" s="1"/>
  <c r="D77" s="1"/>
  <c r="D82" s="1"/>
  <c r="E91" s="1"/>
  <c r="AO34"/>
  <c r="AM34" s="1"/>
  <c r="AD34"/>
  <c r="AH34" s="1"/>
  <c r="AC34"/>
  <c r="V34"/>
  <c r="AA65" s="1"/>
  <c r="F65" s="1"/>
  <c r="AO33"/>
  <c r="AM33" s="1"/>
  <c r="AD33"/>
  <c r="AH33" s="1"/>
  <c r="AC33"/>
  <c r="V33"/>
  <c r="AD32"/>
  <c r="AH32" s="1"/>
  <c r="AC32"/>
  <c r="AK32" s="1"/>
  <c r="AD31"/>
  <c r="AH31" s="1"/>
  <c r="AC31"/>
  <c r="AO30"/>
  <c r="AM30" s="1"/>
  <c r="AD30"/>
  <c r="AH30" s="1"/>
  <c r="AC30"/>
  <c r="V30"/>
  <c r="Z62" s="1"/>
  <c r="D62" s="1"/>
  <c r="F73" s="1"/>
  <c r="AO29"/>
  <c r="AM29" s="1"/>
  <c r="AD29"/>
  <c r="AH29" s="1"/>
  <c r="AC29"/>
  <c r="V29"/>
  <c r="AA60" s="1"/>
  <c r="F60" s="1"/>
  <c r="F71" s="1"/>
  <c r="AO28"/>
  <c r="AM28" s="1"/>
  <c r="AD28"/>
  <c r="AH28" s="1"/>
  <c r="AC28"/>
  <c r="V28"/>
  <c r="AO27"/>
  <c r="AM27" s="1"/>
  <c r="AD27"/>
  <c r="AH27" s="1"/>
  <c r="AC27"/>
  <c r="V27"/>
  <c r="AD26"/>
  <c r="AH26" s="1"/>
  <c r="AC26"/>
  <c r="AD25"/>
  <c r="AH25" s="1"/>
  <c r="AC25"/>
  <c r="AO24"/>
  <c r="AM24" s="1"/>
  <c r="AD24"/>
  <c r="AH24" s="1"/>
  <c r="AC24"/>
  <c r="V24"/>
  <c r="AO23"/>
  <c r="AM23" s="1"/>
  <c r="AD23"/>
  <c r="AH23" s="1"/>
  <c r="AC23"/>
  <c r="V23"/>
  <c r="AA62" s="1"/>
  <c r="F62" s="1"/>
  <c r="AO22"/>
  <c r="AM22" s="1"/>
  <c r="AD22"/>
  <c r="AH22" s="1"/>
  <c r="AC22"/>
  <c r="V22"/>
  <c r="AO21"/>
  <c r="AM21" s="1"/>
  <c r="AD21"/>
  <c r="AH21" s="1"/>
  <c r="AC21"/>
  <c r="V21"/>
  <c r="Z60" s="1"/>
  <c r="D60" s="1"/>
  <c r="AD20"/>
  <c r="AH20" s="1"/>
  <c r="AC20"/>
  <c r="AD19"/>
  <c r="AH19" s="1"/>
  <c r="AC19"/>
  <c r="AO18"/>
  <c r="AM18" s="1"/>
  <c r="AD18"/>
  <c r="AH18" s="1"/>
  <c r="AC18"/>
  <c r="V18"/>
  <c r="AO17"/>
  <c r="AM17" s="1"/>
  <c r="AH17"/>
  <c r="AD17"/>
  <c r="AC17"/>
  <c r="AK17" s="1"/>
  <c r="V17"/>
  <c r="AO16"/>
  <c r="AM16" s="1"/>
  <c r="AD16"/>
  <c r="AH16" s="1"/>
  <c r="AC16"/>
  <c r="V16"/>
  <c r="AA59" s="1"/>
  <c r="F59" s="1"/>
  <c r="AO15"/>
  <c r="AM15" s="1"/>
  <c r="AD15"/>
  <c r="AH15" s="1"/>
  <c r="AC15"/>
  <c r="V15"/>
  <c r="Z61" s="1"/>
  <c r="D61" s="1"/>
  <c r="D73" s="1"/>
  <c r="F78" s="1"/>
  <c r="F86" s="1"/>
  <c r="E90" s="1"/>
  <c r="AD14"/>
  <c r="AH14" s="1"/>
  <c r="AC14"/>
  <c r="AD13"/>
  <c r="AH13" s="1"/>
  <c r="AC13"/>
  <c r="AO12"/>
  <c r="AM12" s="1"/>
  <c r="AD12"/>
  <c r="AH12" s="1"/>
  <c r="AC12"/>
  <c r="V12"/>
  <c r="AO11"/>
  <c r="AM11" s="1"/>
  <c r="AD11"/>
  <c r="AH11" s="1"/>
  <c r="AC11"/>
  <c r="V11"/>
  <c r="AA61" s="1"/>
  <c r="F61" s="1"/>
  <c r="AO10"/>
  <c r="AM10" s="1"/>
  <c r="AD10"/>
  <c r="AH10" s="1"/>
  <c r="AC10"/>
  <c r="V10"/>
  <c r="AO9"/>
  <c r="AM9" s="1"/>
  <c r="AD9"/>
  <c r="AH9" s="1"/>
  <c r="AC9"/>
  <c r="V9"/>
  <c r="Z59" s="1"/>
  <c r="D59" s="1"/>
  <c r="D71" s="1"/>
  <c r="F77" s="1"/>
  <c r="D86" s="1"/>
  <c r="E89" s="1"/>
  <c r="AD8"/>
  <c r="AH8" s="1"/>
  <c r="AC8"/>
  <c r="N3"/>
  <c r="C78" i="22" s="1"/>
  <c r="X98" i="103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X77"/>
  <c r="X76"/>
  <c r="X75"/>
  <c r="X74"/>
  <c r="AD73"/>
  <c r="AH73" s="1"/>
  <c r="AC73"/>
  <c r="X73"/>
  <c r="AD72"/>
  <c r="AH72" s="1"/>
  <c r="AC72"/>
  <c r="X72"/>
  <c r="AD71"/>
  <c r="AH71" s="1"/>
  <c r="AC71"/>
  <c r="X71"/>
  <c r="AD70"/>
  <c r="AH70" s="1"/>
  <c r="AC70"/>
  <c r="X70"/>
  <c r="X69"/>
  <c r="AZ68"/>
  <c r="X68"/>
  <c r="AZ67"/>
  <c r="X67"/>
  <c r="AZ66"/>
  <c r="AD66"/>
  <c r="AH66" s="1"/>
  <c r="AC66"/>
  <c r="X66"/>
  <c r="AZ65"/>
  <c r="AD65"/>
  <c r="AH65" s="1"/>
  <c r="AC65"/>
  <c r="X65"/>
  <c r="AZ64"/>
  <c r="AD64"/>
  <c r="AH64" s="1"/>
  <c r="AC64"/>
  <c r="X64"/>
  <c r="AZ63"/>
  <c r="AD63"/>
  <c r="AH63" s="1"/>
  <c r="AC63"/>
  <c r="X63"/>
  <c r="AZ62"/>
  <c r="AD62"/>
  <c r="AH62" s="1"/>
  <c r="AC62"/>
  <c r="X62"/>
  <c r="AZ61"/>
  <c r="AD61"/>
  <c r="AH61" s="1"/>
  <c r="AC61"/>
  <c r="X61"/>
  <c r="AZ60"/>
  <c r="AD60"/>
  <c r="AH60" s="1"/>
  <c r="AC60"/>
  <c r="X60"/>
  <c r="AZ59"/>
  <c r="AD59"/>
  <c r="AH59" s="1"/>
  <c r="AC59"/>
  <c r="X59"/>
  <c r="AZ58"/>
  <c r="BA67" s="1"/>
  <c r="BB67" s="1"/>
  <c r="AA58"/>
  <c r="Z58"/>
  <c r="X58"/>
  <c r="AD55"/>
  <c r="AH55" s="1"/>
  <c r="AC55"/>
  <c r="AO54"/>
  <c r="AM54" s="1"/>
  <c r="AD54"/>
  <c r="AH54" s="1"/>
  <c r="AC54"/>
  <c r="V54"/>
  <c r="AA64" s="1"/>
  <c r="F64" s="1"/>
  <c r="AO53"/>
  <c r="AM53" s="1"/>
  <c r="AD53"/>
  <c r="AH53" s="1"/>
  <c r="AC53"/>
  <c r="V53"/>
  <c r="AO52"/>
  <c r="AM52" s="1"/>
  <c r="AD52"/>
  <c r="AH52" s="1"/>
  <c r="AC52"/>
  <c r="V52"/>
  <c r="AO51"/>
  <c r="AM51" s="1"/>
  <c r="AD51"/>
  <c r="AH51" s="1"/>
  <c r="AC51"/>
  <c r="V51"/>
  <c r="Z66" s="1"/>
  <c r="D66" s="1"/>
  <c r="F72" s="1"/>
  <c r="D78" s="1"/>
  <c r="F82" s="1"/>
  <c r="E92" s="1"/>
  <c r="AD50"/>
  <c r="AH50" s="1"/>
  <c r="AC50"/>
  <c r="AD49"/>
  <c r="AH49" s="1"/>
  <c r="AC49"/>
  <c r="AO48"/>
  <c r="AM48" s="1"/>
  <c r="AD48"/>
  <c r="AH48" s="1"/>
  <c r="AC48"/>
  <c r="V48"/>
  <c r="AO47"/>
  <c r="AM47" s="1"/>
  <c r="AD47"/>
  <c r="AH47" s="1"/>
  <c r="AC47"/>
  <c r="V47"/>
  <c r="AO46"/>
  <c r="AM46" s="1"/>
  <c r="AD46"/>
  <c r="AH46" s="1"/>
  <c r="AC46"/>
  <c r="V46"/>
  <c r="AA66" s="1"/>
  <c r="F66" s="1"/>
  <c r="AO45"/>
  <c r="AM45" s="1"/>
  <c r="AD45"/>
  <c r="AH45" s="1"/>
  <c r="AC45"/>
  <c r="V45"/>
  <c r="Z64" s="1"/>
  <c r="D64" s="1"/>
  <c r="F70" s="1"/>
  <c r="D77" s="1"/>
  <c r="D86" s="1"/>
  <c r="E89" s="1"/>
  <c r="AD44"/>
  <c r="AH44" s="1"/>
  <c r="AC44"/>
  <c r="AD43"/>
  <c r="AH43" s="1"/>
  <c r="AC43"/>
  <c r="AO42"/>
  <c r="AM42" s="1"/>
  <c r="AD42"/>
  <c r="AH42" s="1"/>
  <c r="AC42"/>
  <c r="V42"/>
  <c r="AA63" s="1"/>
  <c r="F63" s="1"/>
  <c r="D70" s="1"/>
  <c r="AO41"/>
  <c r="AM41" s="1"/>
  <c r="AD41"/>
  <c r="AH41" s="1"/>
  <c r="AC41"/>
  <c r="V41"/>
  <c r="AO40"/>
  <c r="AM40" s="1"/>
  <c r="AD40"/>
  <c r="AH40" s="1"/>
  <c r="AC40"/>
  <c r="V40"/>
  <c r="AO39"/>
  <c r="AM39" s="1"/>
  <c r="AD39"/>
  <c r="AH39" s="1"/>
  <c r="AC39"/>
  <c r="V39"/>
  <c r="Z65" s="1"/>
  <c r="D65" s="1"/>
  <c r="D72" s="1"/>
  <c r="AD38"/>
  <c r="AH38" s="1"/>
  <c r="AC38"/>
  <c r="AD37"/>
  <c r="AH37" s="1"/>
  <c r="AC37"/>
  <c r="AO36"/>
  <c r="AM36" s="1"/>
  <c r="AD36"/>
  <c r="AH36" s="1"/>
  <c r="AC36"/>
  <c r="V36"/>
  <c r="AO35"/>
  <c r="AM35" s="1"/>
  <c r="AD35"/>
  <c r="AH35" s="1"/>
  <c r="AC35"/>
  <c r="V35"/>
  <c r="Z63" s="1"/>
  <c r="D63" s="1"/>
  <c r="AO34"/>
  <c r="AM34" s="1"/>
  <c r="AD34"/>
  <c r="AH34" s="1"/>
  <c r="AC34"/>
  <c r="V34"/>
  <c r="AA65" s="1"/>
  <c r="F65" s="1"/>
  <c r="AO33"/>
  <c r="AM33" s="1"/>
  <c r="AD33"/>
  <c r="AH33" s="1"/>
  <c r="AC33"/>
  <c r="AL33" s="1"/>
  <c r="V33"/>
  <c r="AD32"/>
  <c r="AH32" s="1"/>
  <c r="AC32"/>
  <c r="AD31"/>
  <c r="AH31" s="1"/>
  <c r="AC31"/>
  <c r="AO30"/>
  <c r="AM30" s="1"/>
  <c r="AD30"/>
  <c r="AH30" s="1"/>
  <c r="AC30"/>
  <c r="V30"/>
  <c r="Z62" s="1"/>
  <c r="D62" s="1"/>
  <c r="F73" s="1"/>
  <c r="AO29"/>
  <c r="AM29" s="1"/>
  <c r="AD29"/>
  <c r="AH29" s="1"/>
  <c r="AC29"/>
  <c r="V29"/>
  <c r="AO28"/>
  <c r="AM28" s="1"/>
  <c r="AD28"/>
  <c r="AH28" s="1"/>
  <c r="AC28"/>
  <c r="V28"/>
  <c r="AO27"/>
  <c r="AM27" s="1"/>
  <c r="AD27"/>
  <c r="AH27" s="1"/>
  <c r="AC27"/>
  <c r="V27"/>
  <c r="AA60" s="1"/>
  <c r="F60" s="1"/>
  <c r="F71" s="1"/>
  <c r="AD26"/>
  <c r="AH26" s="1"/>
  <c r="AC26"/>
  <c r="AD25"/>
  <c r="AH25" s="1"/>
  <c r="AC25"/>
  <c r="AO24"/>
  <c r="AM24" s="1"/>
  <c r="AD24"/>
  <c r="AH24" s="1"/>
  <c r="AC24"/>
  <c r="V24"/>
  <c r="AO23"/>
  <c r="AM23" s="1"/>
  <c r="AD23"/>
  <c r="AH23" s="1"/>
  <c r="AC23"/>
  <c r="V23"/>
  <c r="Z60" s="1"/>
  <c r="D60" s="1"/>
  <c r="AO22"/>
  <c r="AM22" s="1"/>
  <c r="AD22"/>
  <c r="AH22" s="1"/>
  <c r="AC22"/>
  <c r="V22"/>
  <c r="AO21"/>
  <c r="AM21" s="1"/>
  <c r="AD21"/>
  <c r="AH21" s="1"/>
  <c r="AC21"/>
  <c r="AL21" s="1"/>
  <c r="V21"/>
  <c r="AA62" s="1"/>
  <c r="F62" s="1"/>
  <c r="AD20"/>
  <c r="AH20" s="1"/>
  <c r="AC20"/>
  <c r="AD19"/>
  <c r="AH19" s="1"/>
  <c r="AC19"/>
  <c r="AO18"/>
  <c r="AM18" s="1"/>
  <c r="AD18"/>
  <c r="AH18" s="1"/>
  <c r="AC18"/>
  <c r="V18"/>
  <c r="AO17"/>
  <c r="AM17" s="1"/>
  <c r="AD17"/>
  <c r="AH17" s="1"/>
  <c r="AC17"/>
  <c r="AL17" s="1"/>
  <c r="V17"/>
  <c r="AA59" s="1"/>
  <c r="F59" s="1"/>
  <c r="AO16"/>
  <c r="AM16" s="1"/>
  <c r="AD16"/>
  <c r="AH16" s="1"/>
  <c r="AC16"/>
  <c r="V16"/>
  <c r="AO15"/>
  <c r="AM15" s="1"/>
  <c r="AD15"/>
  <c r="AH15" s="1"/>
  <c r="AC15"/>
  <c r="V15"/>
  <c r="Z61" s="1"/>
  <c r="D61" s="1"/>
  <c r="D73" s="1"/>
  <c r="F78" s="1"/>
  <c r="F86" s="1"/>
  <c r="E90" s="1"/>
  <c r="AD14"/>
  <c r="AH14" s="1"/>
  <c r="AC14"/>
  <c r="AD13"/>
  <c r="AH13" s="1"/>
  <c r="AC13"/>
  <c r="AO12"/>
  <c r="AM12" s="1"/>
  <c r="AD12"/>
  <c r="AH12" s="1"/>
  <c r="AC12"/>
  <c r="V12"/>
  <c r="AO11"/>
  <c r="AM11" s="1"/>
  <c r="AD11"/>
  <c r="AH11" s="1"/>
  <c r="AC11"/>
  <c r="V11"/>
  <c r="AA61" s="1"/>
  <c r="F61" s="1"/>
  <c r="AO10"/>
  <c r="AM10" s="1"/>
  <c r="AD10"/>
  <c r="AH10" s="1"/>
  <c r="AC10"/>
  <c r="V10"/>
  <c r="AO9"/>
  <c r="AM9" s="1"/>
  <c r="Q3" s="1"/>
  <c r="F27" i="22" s="1"/>
  <c r="AD9" i="103"/>
  <c r="AH9" s="1"/>
  <c r="AC9"/>
  <c r="AG9" s="1"/>
  <c r="V9"/>
  <c r="Z59" s="1"/>
  <c r="D59" s="1"/>
  <c r="D71" s="1"/>
  <c r="F77" s="1"/>
  <c r="D82" s="1"/>
  <c r="E91" s="1"/>
  <c r="AD8"/>
  <c r="AH8" s="1"/>
  <c r="AC8"/>
  <c r="N3"/>
  <c r="C27" i="22" s="1"/>
  <c r="X98" i="102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X77"/>
  <c r="X76"/>
  <c r="X75"/>
  <c r="X74"/>
  <c r="AD73"/>
  <c r="AH73" s="1"/>
  <c r="AC73"/>
  <c r="X73"/>
  <c r="AD72"/>
  <c r="AH72" s="1"/>
  <c r="AC72"/>
  <c r="X72"/>
  <c r="AD71"/>
  <c r="AH71" s="1"/>
  <c r="AC71"/>
  <c r="X71"/>
  <c r="AD70"/>
  <c r="AH70" s="1"/>
  <c r="AC70"/>
  <c r="X70"/>
  <c r="X69"/>
  <c r="AZ68"/>
  <c r="X68"/>
  <c r="AZ67"/>
  <c r="X67"/>
  <c r="AZ66"/>
  <c r="AD66"/>
  <c r="AH66" s="1"/>
  <c r="AC66"/>
  <c r="X66"/>
  <c r="AZ65"/>
  <c r="AD65"/>
  <c r="AH65" s="1"/>
  <c r="AC65"/>
  <c r="X65"/>
  <c r="AZ64"/>
  <c r="AD64"/>
  <c r="AH64" s="1"/>
  <c r="AC64"/>
  <c r="X64"/>
  <c r="AZ63"/>
  <c r="AD63"/>
  <c r="AH63" s="1"/>
  <c r="AC63"/>
  <c r="X63"/>
  <c r="AZ62"/>
  <c r="AD62"/>
  <c r="AH62" s="1"/>
  <c r="AC62"/>
  <c r="X62"/>
  <c r="AZ61"/>
  <c r="AD61"/>
  <c r="AH61" s="1"/>
  <c r="AC61"/>
  <c r="X61"/>
  <c r="AZ60"/>
  <c r="AD60"/>
  <c r="AH60" s="1"/>
  <c r="AC60"/>
  <c r="X60"/>
  <c r="AZ59"/>
  <c r="AD59"/>
  <c r="AH59" s="1"/>
  <c r="AC59"/>
  <c r="X59"/>
  <c r="AZ58"/>
  <c r="BA68" s="1"/>
  <c r="BB68" s="1"/>
  <c r="AA58"/>
  <c r="Z58"/>
  <c r="X58"/>
  <c r="AD55"/>
  <c r="AH55" s="1"/>
  <c r="AC55"/>
  <c r="AO54"/>
  <c r="AM54" s="1"/>
  <c r="AD54"/>
  <c r="AH54" s="1"/>
  <c r="AC54"/>
  <c r="V54"/>
  <c r="AO53"/>
  <c r="AM53" s="1"/>
  <c r="AD53"/>
  <c r="AH53" s="1"/>
  <c r="AC53"/>
  <c r="V53"/>
  <c r="AA64" s="1"/>
  <c r="F64" s="1"/>
  <c r="AO52"/>
  <c r="AM52" s="1"/>
  <c r="AD52"/>
  <c r="AH52" s="1"/>
  <c r="AC52"/>
  <c r="V52"/>
  <c r="AO51"/>
  <c r="AM51" s="1"/>
  <c r="AD51"/>
  <c r="AH51" s="1"/>
  <c r="AC51"/>
  <c r="V51"/>
  <c r="Z66" s="1"/>
  <c r="D66" s="1"/>
  <c r="F72" s="1"/>
  <c r="AD50"/>
  <c r="AH50" s="1"/>
  <c r="AC50"/>
  <c r="AD49"/>
  <c r="AH49" s="1"/>
  <c r="AC49"/>
  <c r="AO48"/>
  <c r="AM48" s="1"/>
  <c r="AD48"/>
  <c r="AH48" s="1"/>
  <c r="AC48"/>
  <c r="V48"/>
  <c r="AO47"/>
  <c r="AM47" s="1"/>
  <c r="AD47"/>
  <c r="AH47" s="1"/>
  <c r="AC47"/>
  <c r="V47"/>
  <c r="AO46"/>
  <c r="AM46" s="1"/>
  <c r="AD46"/>
  <c r="AH46" s="1"/>
  <c r="AC46"/>
  <c r="V46"/>
  <c r="AA66" s="1"/>
  <c r="F66" s="1"/>
  <c r="AO45"/>
  <c r="AM45" s="1"/>
  <c r="AD45"/>
  <c r="AH45" s="1"/>
  <c r="AC45"/>
  <c r="V45"/>
  <c r="Z64" s="1"/>
  <c r="D64" s="1"/>
  <c r="F70" s="1"/>
  <c r="AD44"/>
  <c r="AH44" s="1"/>
  <c r="AC44"/>
  <c r="AD43"/>
  <c r="AH43" s="1"/>
  <c r="AC43"/>
  <c r="AO42"/>
  <c r="AM42" s="1"/>
  <c r="AD42"/>
  <c r="AH42" s="1"/>
  <c r="AC42"/>
  <c r="AK42" s="1"/>
  <c r="V42"/>
  <c r="AA63" s="1"/>
  <c r="F63" s="1"/>
  <c r="AO41"/>
  <c r="AM41" s="1"/>
  <c r="AD41"/>
  <c r="AH41" s="1"/>
  <c r="AC41"/>
  <c r="V41"/>
  <c r="AO40"/>
  <c r="AM40" s="1"/>
  <c r="AD40"/>
  <c r="AH40" s="1"/>
  <c r="AC40"/>
  <c r="V40"/>
  <c r="AO39"/>
  <c r="AM39" s="1"/>
  <c r="AD39"/>
  <c r="AH39" s="1"/>
  <c r="AC39"/>
  <c r="V39"/>
  <c r="Z65" s="1"/>
  <c r="D65" s="1"/>
  <c r="D72" s="1"/>
  <c r="D78" s="1"/>
  <c r="F82" s="1"/>
  <c r="E91" s="1"/>
  <c r="AD38"/>
  <c r="AH38" s="1"/>
  <c r="AC38"/>
  <c r="AD37"/>
  <c r="AH37" s="1"/>
  <c r="AC37"/>
  <c r="AL37" s="1"/>
  <c r="AO36"/>
  <c r="AM36" s="1"/>
  <c r="AD36"/>
  <c r="AH36" s="1"/>
  <c r="AC36"/>
  <c r="AK36" s="1"/>
  <c r="V36"/>
  <c r="AO35"/>
  <c r="AM35" s="1"/>
  <c r="AD35"/>
  <c r="AH35" s="1"/>
  <c r="AC35"/>
  <c r="V35"/>
  <c r="Z63" s="1"/>
  <c r="D63" s="1"/>
  <c r="D70" s="1"/>
  <c r="D77" s="1"/>
  <c r="D82" s="1"/>
  <c r="E92" s="1"/>
  <c r="AO34"/>
  <c r="AM34" s="1"/>
  <c r="AD34"/>
  <c r="AH34" s="1"/>
  <c r="AC34"/>
  <c r="V34"/>
  <c r="AO33"/>
  <c r="AM33" s="1"/>
  <c r="AD33"/>
  <c r="AH33" s="1"/>
  <c r="AC33"/>
  <c r="V33"/>
  <c r="AA65" s="1"/>
  <c r="F65" s="1"/>
  <c r="AD32"/>
  <c r="AH32" s="1"/>
  <c r="AC32"/>
  <c r="AD31"/>
  <c r="AH31" s="1"/>
  <c r="AC31"/>
  <c r="AO30"/>
  <c r="AM30" s="1"/>
  <c r="AD30"/>
  <c r="AH30" s="1"/>
  <c r="AC30"/>
  <c r="AK30" s="1"/>
  <c r="V30"/>
  <c r="Z62" s="1"/>
  <c r="D62" s="1"/>
  <c r="F73" s="1"/>
  <c r="AO29"/>
  <c r="AM29" s="1"/>
  <c r="AD29"/>
  <c r="AH29" s="1"/>
  <c r="AC29"/>
  <c r="V29"/>
  <c r="AA60" s="1"/>
  <c r="F60" s="1"/>
  <c r="AO28"/>
  <c r="AM28" s="1"/>
  <c r="AD28"/>
  <c r="AH28" s="1"/>
  <c r="AC28"/>
  <c r="V28"/>
  <c r="AO27"/>
  <c r="AM27" s="1"/>
  <c r="AD27"/>
  <c r="AH27" s="1"/>
  <c r="AC27"/>
  <c r="V27"/>
  <c r="AD26"/>
  <c r="AH26" s="1"/>
  <c r="AC26"/>
  <c r="AD25"/>
  <c r="AH25" s="1"/>
  <c r="AC25"/>
  <c r="AO24"/>
  <c r="AM24" s="1"/>
  <c r="AD24"/>
  <c r="AH24" s="1"/>
  <c r="AC24"/>
  <c r="V24"/>
  <c r="AO23"/>
  <c r="AM23" s="1"/>
  <c r="AD23"/>
  <c r="AH23" s="1"/>
  <c r="AC23"/>
  <c r="V23"/>
  <c r="AO22"/>
  <c r="AM22" s="1"/>
  <c r="AD22"/>
  <c r="AH22" s="1"/>
  <c r="AC22"/>
  <c r="V22"/>
  <c r="AA62" s="1"/>
  <c r="F62" s="1"/>
  <c r="AO21"/>
  <c r="AM21" s="1"/>
  <c r="AD21"/>
  <c r="AH21" s="1"/>
  <c r="AC21"/>
  <c r="V21"/>
  <c r="Z60" s="1"/>
  <c r="D60" s="1"/>
  <c r="F71" s="1"/>
  <c r="AD20"/>
  <c r="AH20" s="1"/>
  <c r="AC20"/>
  <c r="AD19"/>
  <c r="AH19" s="1"/>
  <c r="AC19"/>
  <c r="AL19" s="1"/>
  <c r="AO18"/>
  <c r="AM18" s="1"/>
  <c r="AD18"/>
  <c r="AH18" s="1"/>
  <c r="AC18"/>
  <c r="AK18" s="1"/>
  <c r="V18"/>
  <c r="AO17"/>
  <c r="AM17" s="1"/>
  <c r="AD17"/>
  <c r="AH17" s="1"/>
  <c r="AC17"/>
  <c r="V17"/>
  <c r="AO16"/>
  <c r="AM16" s="1"/>
  <c r="AD16"/>
  <c r="AH16" s="1"/>
  <c r="AC16"/>
  <c r="V16"/>
  <c r="AA59" s="1"/>
  <c r="F59" s="1"/>
  <c r="AO15"/>
  <c r="AM15" s="1"/>
  <c r="AD15"/>
  <c r="AH15" s="1"/>
  <c r="AC15"/>
  <c r="V15"/>
  <c r="Z61" s="1"/>
  <c r="D61" s="1"/>
  <c r="D73" s="1"/>
  <c r="F78" s="1"/>
  <c r="F86" s="1"/>
  <c r="E90" s="1"/>
  <c r="AD14"/>
  <c r="AH14" s="1"/>
  <c r="AC14"/>
  <c r="AD13"/>
  <c r="AH13" s="1"/>
  <c r="AC13"/>
  <c r="AO12"/>
  <c r="AM12" s="1"/>
  <c r="AD12"/>
  <c r="AH12" s="1"/>
  <c r="AC12"/>
  <c r="V12"/>
  <c r="AO11"/>
  <c r="AM11" s="1"/>
  <c r="AD11"/>
  <c r="AH11" s="1"/>
  <c r="AC11"/>
  <c r="V11"/>
  <c r="AA61" s="1"/>
  <c r="F61" s="1"/>
  <c r="AO10"/>
  <c r="AM10" s="1"/>
  <c r="AD10"/>
  <c r="AH10" s="1"/>
  <c r="AC10"/>
  <c r="V10"/>
  <c r="AO9"/>
  <c r="AM9" s="1"/>
  <c r="AD9"/>
  <c r="AH9" s="1"/>
  <c r="AC9"/>
  <c r="V9"/>
  <c r="Z59" s="1"/>
  <c r="D59" s="1"/>
  <c r="D71" s="1"/>
  <c r="F77" s="1"/>
  <c r="D86" s="1"/>
  <c r="E89" s="1"/>
  <c r="AD8"/>
  <c r="AH8" s="1"/>
  <c r="AC8"/>
  <c r="N3"/>
  <c r="X98" i="101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X77"/>
  <c r="X76"/>
  <c r="X75"/>
  <c r="X74"/>
  <c r="AD73"/>
  <c r="AH73" s="1"/>
  <c r="AC73"/>
  <c r="X73"/>
  <c r="AD72"/>
  <c r="AH72" s="1"/>
  <c r="AC72"/>
  <c r="X72"/>
  <c r="AD71"/>
  <c r="AH71" s="1"/>
  <c r="AC71"/>
  <c r="X71"/>
  <c r="AD70"/>
  <c r="AH70" s="1"/>
  <c r="AC70"/>
  <c r="X70"/>
  <c r="X69"/>
  <c r="AZ68"/>
  <c r="X68"/>
  <c r="AZ67"/>
  <c r="X67"/>
  <c r="AZ66"/>
  <c r="AD66"/>
  <c r="AH66" s="1"/>
  <c r="AC66"/>
  <c r="AA66"/>
  <c r="F66" s="1"/>
  <c r="F72" s="1"/>
  <c r="Z66"/>
  <c r="D66" s="1"/>
  <c r="X66"/>
  <c r="AZ65"/>
  <c r="AD65"/>
  <c r="AH65" s="1"/>
  <c r="AC65"/>
  <c r="AA65"/>
  <c r="F65" s="1"/>
  <c r="Z65"/>
  <c r="D65" s="1"/>
  <c r="D72" s="1"/>
  <c r="D78" s="1"/>
  <c r="F86" s="1"/>
  <c r="E89" s="1"/>
  <c r="X65"/>
  <c r="AZ64"/>
  <c r="AD64"/>
  <c r="AH64" s="1"/>
  <c r="AC64"/>
  <c r="AA64"/>
  <c r="F64" s="1"/>
  <c r="F70" s="1"/>
  <c r="Z64"/>
  <c r="D64" s="1"/>
  <c r="X64"/>
  <c r="AZ63"/>
  <c r="AD63"/>
  <c r="AH63" s="1"/>
  <c r="AC63"/>
  <c r="AA63"/>
  <c r="F63" s="1"/>
  <c r="Z63"/>
  <c r="D63" s="1"/>
  <c r="D70" s="1"/>
  <c r="D77" s="1"/>
  <c r="D82" s="1"/>
  <c r="E92" s="1"/>
  <c r="X63"/>
  <c r="AZ62"/>
  <c r="AD62"/>
  <c r="AH62" s="1"/>
  <c r="AC62"/>
  <c r="AA62"/>
  <c r="F62" s="1"/>
  <c r="Z62"/>
  <c r="D62" s="1"/>
  <c r="F73" s="1"/>
  <c r="F78" s="1"/>
  <c r="F82" s="1"/>
  <c r="E91" s="1"/>
  <c r="X62"/>
  <c r="AZ61"/>
  <c r="AD61"/>
  <c r="AH61" s="1"/>
  <c r="AC61"/>
  <c r="AA61"/>
  <c r="F61" s="1"/>
  <c r="Z61"/>
  <c r="D61" s="1"/>
  <c r="D73" s="1"/>
  <c r="X61"/>
  <c r="AZ60"/>
  <c r="AD60"/>
  <c r="AH60" s="1"/>
  <c r="AC60"/>
  <c r="AA60"/>
  <c r="F60" s="1"/>
  <c r="Z60"/>
  <c r="D60" s="1"/>
  <c r="F71" s="1"/>
  <c r="X60"/>
  <c r="AZ59"/>
  <c r="AD59"/>
  <c r="AH59" s="1"/>
  <c r="AC59"/>
  <c r="AA59"/>
  <c r="F59" s="1"/>
  <c r="D71" s="1"/>
  <c r="F77" s="1"/>
  <c r="D86" s="1"/>
  <c r="E90" s="1"/>
  <c r="Z59"/>
  <c r="D59" s="1"/>
  <c r="X59"/>
  <c r="AZ58"/>
  <c r="BA68" s="1"/>
  <c r="BB68" s="1"/>
  <c r="AA58"/>
  <c r="Z58"/>
  <c r="X58"/>
  <c r="AD55"/>
  <c r="AH55" s="1"/>
  <c r="AC55"/>
  <c r="AO54"/>
  <c r="AM54" s="1"/>
  <c r="AD54"/>
  <c r="AH54" s="1"/>
  <c r="AC54"/>
  <c r="V54"/>
  <c r="AO53"/>
  <c r="AM53" s="1"/>
  <c r="AD53"/>
  <c r="AH53" s="1"/>
  <c r="AC53"/>
  <c r="V53"/>
  <c r="AO52"/>
  <c r="AM52" s="1"/>
  <c r="AD52"/>
  <c r="AH52" s="1"/>
  <c r="AC52"/>
  <c r="V52"/>
  <c r="AO51"/>
  <c r="AM51" s="1"/>
  <c r="AD51"/>
  <c r="AH51" s="1"/>
  <c r="AC51"/>
  <c r="V51"/>
  <c r="AD50"/>
  <c r="AH50" s="1"/>
  <c r="AC50"/>
  <c r="AD49"/>
  <c r="AH49" s="1"/>
  <c r="AC49"/>
  <c r="AO48"/>
  <c r="AM48" s="1"/>
  <c r="AD48"/>
  <c r="AH48" s="1"/>
  <c r="AC48"/>
  <c r="V48"/>
  <c r="AO47"/>
  <c r="AM47" s="1"/>
  <c r="AD47"/>
  <c r="AH47" s="1"/>
  <c r="AC47"/>
  <c r="V47"/>
  <c r="AO46"/>
  <c r="AM46" s="1"/>
  <c r="AD46"/>
  <c r="AH46" s="1"/>
  <c r="AC46"/>
  <c r="V46"/>
  <c r="AO45"/>
  <c r="AM45"/>
  <c r="AD45"/>
  <c r="AH45" s="1"/>
  <c r="AC45"/>
  <c r="V45"/>
  <c r="AD44"/>
  <c r="AH44" s="1"/>
  <c r="AC44"/>
  <c r="AD43"/>
  <c r="AH43" s="1"/>
  <c r="AC43"/>
  <c r="AO42"/>
  <c r="AM42" s="1"/>
  <c r="AD42"/>
  <c r="AH42" s="1"/>
  <c r="AC42"/>
  <c r="V42"/>
  <c r="AO41"/>
  <c r="AM41" s="1"/>
  <c r="AD41"/>
  <c r="AH41" s="1"/>
  <c r="AC41"/>
  <c r="V41"/>
  <c r="AO40"/>
  <c r="AM40" s="1"/>
  <c r="AD40"/>
  <c r="AH40" s="1"/>
  <c r="AC40"/>
  <c r="V40"/>
  <c r="AO39"/>
  <c r="AM39" s="1"/>
  <c r="AD39"/>
  <c r="AH39" s="1"/>
  <c r="AC39"/>
  <c r="AG39" s="1"/>
  <c r="V39"/>
  <c r="AD38"/>
  <c r="AH38" s="1"/>
  <c r="AC38"/>
  <c r="AD37"/>
  <c r="AH37" s="1"/>
  <c r="AC37"/>
  <c r="AO36"/>
  <c r="AM36" s="1"/>
  <c r="AD36"/>
  <c r="AH36" s="1"/>
  <c r="AC36"/>
  <c r="V36"/>
  <c r="AO35"/>
  <c r="AM35" s="1"/>
  <c r="AD35"/>
  <c r="AH35" s="1"/>
  <c r="AC35"/>
  <c r="AG35" s="1"/>
  <c r="V35"/>
  <c r="AO34"/>
  <c r="AM34" s="1"/>
  <c r="AD34"/>
  <c r="AH34" s="1"/>
  <c r="AC34"/>
  <c r="V34"/>
  <c r="AO33"/>
  <c r="AM33" s="1"/>
  <c r="AD33"/>
  <c r="AH33" s="1"/>
  <c r="AC33"/>
  <c r="AG33" s="1"/>
  <c r="V33"/>
  <c r="AD32"/>
  <c r="AH32" s="1"/>
  <c r="AC32"/>
  <c r="AD31"/>
  <c r="AH31" s="1"/>
  <c r="AC31"/>
  <c r="AO30"/>
  <c r="AM30" s="1"/>
  <c r="AD30"/>
  <c r="AH30" s="1"/>
  <c r="AC30"/>
  <c r="V30"/>
  <c r="AO29"/>
  <c r="AM29" s="1"/>
  <c r="AD29"/>
  <c r="AH29" s="1"/>
  <c r="AC29"/>
  <c r="AG29" s="1"/>
  <c r="V29"/>
  <c r="AO28"/>
  <c r="AM28" s="1"/>
  <c r="AD28"/>
  <c r="AH28" s="1"/>
  <c r="AC28"/>
  <c r="V28"/>
  <c r="AO27"/>
  <c r="AM27" s="1"/>
  <c r="AD27"/>
  <c r="AH27" s="1"/>
  <c r="AC27"/>
  <c r="AG27" s="1"/>
  <c r="V27"/>
  <c r="AD26"/>
  <c r="AH26" s="1"/>
  <c r="AC26"/>
  <c r="AD25"/>
  <c r="AH25" s="1"/>
  <c r="AC25"/>
  <c r="AO24"/>
  <c r="AM24" s="1"/>
  <c r="AD24"/>
  <c r="AH24" s="1"/>
  <c r="AC24"/>
  <c r="V24"/>
  <c r="AO23"/>
  <c r="AM23" s="1"/>
  <c r="AD23"/>
  <c r="AH23" s="1"/>
  <c r="AC23"/>
  <c r="AG23" s="1"/>
  <c r="V23"/>
  <c r="AO22"/>
  <c r="AM22" s="1"/>
  <c r="AD22"/>
  <c r="AH22" s="1"/>
  <c r="AC22"/>
  <c r="V22"/>
  <c r="AO21"/>
  <c r="AM21" s="1"/>
  <c r="AD21"/>
  <c r="AH21" s="1"/>
  <c r="AI21" s="1"/>
  <c r="AC21"/>
  <c r="AG21" s="1"/>
  <c r="V21"/>
  <c r="AD20"/>
  <c r="AH20" s="1"/>
  <c r="AC20"/>
  <c r="AD19"/>
  <c r="AH19" s="1"/>
  <c r="AC19"/>
  <c r="AO18"/>
  <c r="AM18" s="1"/>
  <c r="AD18"/>
  <c r="AH18" s="1"/>
  <c r="AC18"/>
  <c r="V18"/>
  <c r="AO17"/>
  <c r="AM17" s="1"/>
  <c r="AD17"/>
  <c r="AH17" s="1"/>
  <c r="AC17"/>
  <c r="AG17" s="1"/>
  <c r="V17"/>
  <c r="AO16"/>
  <c r="AM16" s="1"/>
  <c r="AD16"/>
  <c r="AH16" s="1"/>
  <c r="AC16"/>
  <c r="V16"/>
  <c r="AO15"/>
  <c r="AM15" s="1"/>
  <c r="AD15"/>
  <c r="AH15" s="1"/>
  <c r="AC15"/>
  <c r="AG15" s="1"/>
  <c r="V15"/>
  <c r="AD14"/>
  <c r="AH14" s="1"/>
  <c r="AC14"/>
  <c r="AD13"/>
  <c r="AH13" s="1"/>
  <c r="AC13"/>
  <c r="AO12"/>
  <c r="AM12" s="1"/>
  <c r="AD12"/>
  <c r="AH12" s="1"/>
  <c r="AC12"/>
  <c r="V12"/>
  <c r="AO11"/>
  <c r="AM11" s="1"/>
  <c r="AD11"/>
  <c r="AH11" s="1"/>
  <c r="AC11"/>
  <c r="AG11" s="1"/>
  <c r="V11"/>
  <c r="AO10"/>
  <c r="AM10" s="1"/>
  <c r="AD10"/>
  <c r="AH10" s="1"/>
  <c r="AC10"/>
  <c r="V10"/>
  <c r="AO9"/>
  <c r="AM9" s="1"/>
  <c r="AD9"/>
  <c r="AH9" s="1"/>
  <c r="AC9"/>
  <c r="AG9" s="1"/>
  <c r="V9"/>
  <c r="AD8"/>
  <c r="AH8" s="1"/>
  <c r="AC8"/>
  <c r="N3"/>
  <c r="X98" i="100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X77"/>
  <c r="X76"/>
  <c r="X75"/>
  <c r="X74"/>
  <c r="AD73"/>
  <c r="AH73" s="1"/>
  <c r="AC73"/>
  <c r="X73"/>
  <c r="AD72"/>
  <c r="AH72" s="1"/>
  <c r="AC72"/>
  <c r="X72"/>
  <c r="AD71"/>
  <c r="AH71" s="1"/>
  <c r="AC71"/>
  <c r="X71"/>
  <c r="AD70"/>
  <c r="AH70" s="1"/>
  <c r="AC70"/>
  <c r="X70"/>
  <c r="X69"/>
  <c r="AZ68"/>
  <c r="X68"/>
  <c r="AZ67"/>
  <c r="X67"/>
  <c r="AZ66"/>
  <c r="AD66"/>
  <c r="AH66" s="1"/>
  <c r="AC66"/>
  <c r="X66"/>
  <c r="AZ65"/>
  <c r="AD65"/>
  <c r="AH65" s="1"/>
  <c r="AC65"/>
  <c r="AL65" s="1"/>
  <c r="X65"/>
  <c r="AZ64"/>
  <c r="AD64"/>
  <c r="AH64" s="1"/>
  <c r="AC64"/>
  <c r="X64"/>
  <c r="AZ63"/>
  <c r="AD63"/>
  <c r="AC63"/>
  <c r="X63"/>
  <c r="AZ62"/>
  <c r="AD62"/>
  <c r="AH62" s="1"/>
  <c r="AC62"/>
  <c r="X62"/>
  <c r="AZ61"/>
  <c r="AD61"/>
  <c r="AC61"/>
  <c r="X61"/>
  <c r="AZ60"/>
  <c r="AD60"/>
  <c r="AC60"/>
  <c r="X60"/>
  <c r="AZ59"/>
  <c r="AD59"/>
  <c r="AC59"/>
  <c r="X59"/>
  <c r="AZ58"/>
  <c r="BA67" s="1"/>
  <c r="BB67" s="1"/>
  <c r="AA58"/>
  <c r="Z58"/>
  <c r="X58"/>
  <c r="AD55"/>
  <c r="AH55" s="1"/>
  <c r="AC55"/>
  <c r="AL55" s="1"/>
  <c r="AO54"/>
  <c r="AM54" s="1"/>
  <c r="AD54"/>
  <c r="AC54"/>
  <c r="V54"/>
  <c r="AO53"/>
  <c r="AM53" s="1"/>
  <c r="AD53"/>
  <c r="AK53" s="1"/>
  <c r="AC53"/>
  <c r="V53"/>
  <c r="AO52"/>
  <c r="AM52" s="1"/>
  <c r="AD52"/>
  <c r="AC52"/>
  <c r="V52"/>
  <c r="AA64" s="1"/>
  <c r="F64" s="1"/>
  <c r="AO51"/>
  <c r="AM51" s="1"/>
  <c r="AD51"/>
  <c r="AC51"/>
  <c r="V51"/>
  <c r="Z66" s="1"/>
  <c r="D66" s="1"/>
  <c r="F72" s="1"/>
  <c r="AD50"/>
  <c r="AC50"/>
  <c r="AD49"/>
  <c r="AH49" s="1"/>
  <c r="AC49"/>
  <c r="AO48"/>
  <c r="AM48" s="1"/>
  <c r="AD48"/>
  <c r="AC48"/>
  <c r="AL48" s="1"/>
  <c r="V48"/>
  <c r="AO47"/>
  <c r="AM47" s="1"/>
  <c r="AD47"/>
  <c r="AC47"/>
  <c r="V47"/>
  <c r="AO46"/>
  <c r="AM46" s="1"/>
  <c r="AD46"/>
  <c r="AC46"/>
  <c r="V46"/>
  <c r="Z64" s="1"/>
  <c r="D64" s="1"/>
  <c r="F70" s="1"/>
  <c r="AO45"/>
  <c r="AM45" s="1"/>
  <c r="AD45"/>
  <c r="AC45"/>
  <c r="AL45" s="1"/>
  <c r="V45"/>
  <c r="AA66" s="1"/>
  <c r="F66" s="1"/>
  <c r="AD44"/>
  <c r="AC44"/>
  <c r="AD43"/>
  <c r="AH43" s="1"/>
  <c r="AC43"/>
  <c r="AO42"/>
  <c r="AM42" s="1"/>
  <c r="AD42"/>
  <c r="AC42"/>
  <c r="V42"/>
  <c r="AA63" s="1"/>
  <c r="F63" s="1"/>
  <c r="AO41"/>
  <c r="AM41" s="1"/>
  <c r="AD41"/>
  <c r="AC41"/>
  <c r="V41"/>
  <c r="AO40"/>
  <c r="AM40" s="1"/>
  <c r="AD40"/>
  <c r="AC40"/>
  <c r="AL40" s="1"/>
  <c r="V40"/>
  <c r="AO39"/>
  <c r="AM39" s="1"/>
  <c r="AD39"/>
  <c r="AC39"/>
  <c r="AL39" s="1"/>
  <c r="V39"/>
  <c r="Z65" s="1"/>
  <c r="D65" s="1"/>
  <c r="D72" s="1"/>
  <c r="D78" s="1"/>
  <c r="F86" s="1"/>
  <c r="E89" s="1"/>
  <c r="AD38"/>
  <c r="AC38"/>
  <c r="AD37"/>
  <c r="AH37" s="1"/>
  <c r="AC37"/>
  <c r="AO36"/>
  <c r="AM36" s="1"/>
  <c r="AD36"/>
  <c r="AC36"/>
  <c r="V36"/>
  <c r="AO35"/>
  <c r="AM35" s="1"/>
  <c r="AD35"/>
  <c r="AC35"/>
  <c r="V35"/>
  <c r="Z63" s="1"/>
  <c r="D63" s="1"/>
  <c r="D70" s="1"/>
  <c r="D77" s="1"/>
  <c r="D82" s="1"/>
  <c r="E91" s="1"/>
  <c r="AO34"/>
  <c r="AM34" s="1"/>
  <c r="AD34"/>
  <c r="AC34"/>
  <c r="AL34" s="1"/>
  <c r="V34"/>
  <c r="AO33"/>
  <c r="AM33" s="1"/>
  <c r="AD33"/>
  <c r="AC33"/>
  <c r="AL33" s="1"/>
  <c r="V33"/>
  <c r="AA65" s="1"/>
  <c r="F65" s="1"/>
  <c r="AD32"/>
  <c r="AC32"/>
  <c r="AD31"/>
  <c r="AH31" s="1"/>
  <c r="AC31"/>
  <c r="AO30"/>
  <c r="AM30" s="1"/>
  <c r="AD30"/>
  <c r="AC30"/>
  <c r="AL30" s="1"/>
  <c r="V30"/>
  <c r="AA60" s="1"/>
  <c r="F60" s="1"/>
  <c r="F71" s="1"/>
  <c r="AO29"/>
  <c r="AM29" s="1"/>
  <c r="AD29"/>
  <c r="AC29"/>
  <c r="V29"/>
  <c r="Z62" s="1"/>
  <c r="D62" s="1"/>
  <c r="F73" s="1"/>
  <c r="AO28"/>
  <c r="AM28" s="1"/>
  <c r="AD28"/>
  <c r="AC28"/>
  <c r="V28"/>
  <c r="AO27"/>
  <c r="AM27" s="1"/>
  <c r="AD27"/>
  <c r="AC27"/>
  <c r="V27"/>
  <c r="AD26"/>
  <c r="AC26"/>
  <c r="AD25"/>
  <c r="AH25" s="1"/>
  <c r="AC25"/>
  <c r="AO24"/>
  <c r="AM24" s="1"/>
  <c r="AD24"/>
  <c r="AC24"/>
  <c r="V24"/>
  <c r="AA62" s="1"/>
  <c r="F62" s="1"/>
  <c r="AO23"/>
  <c r="AM23" s="1"/>
  <c r="AD23"/>
  <c r="AC23"/>
  <c r="V23"/>
  <c r="AO22"/>
  <c r="AM22" s="1"/>
  <c r="AD22"/>
  <c r="AC22"/>
  <c r="AL22" s="1"/>
  <c r="V22"/>
  <c r="AO21"/>
  <c r="AM21" s="1"/>
  <c r="AD21"/>
  <c r="AC21"/>
  <c r="AL21" s="1"/>
  <c r="V21"/>
  <c r="Z60" s="1"/>
  <c r="D60" s="1"/>
  <c r="AD20"/>
  <c r="AC20"/>
  <c r="AD19"/>
  <c r="AH19" s="1"/>
  <c r="AC19"/>
  <c r="AO18"/>
  <c r="AM18" s="1"/>
  <c r="AD18"/>
  <c r="AC18"/>
  <c r="AL18" s="1"/>
  <c r="V18"/>
  <c r="AO17"/>
  <c r="AM17" s="1"/>
  <c r="AD17"/>
  <c r="AC17"/>
  <c r="V17"/>
  <c r="AO16"/>
  <c r="AM16" s="1"/>
  <c r="AD16"/>
  <c r="AC16"/>
  <c r="V16"/>
  <c r="AA59" s="1"/>
  <c r="F59" s="1"/>
  <c r="AO15"/>
  <c r="AM15" s="1"/>
  <c r="AD15"/>
  <c r="AC15"/>
  <c r="AL15" s="1"/>
  <c r="V15"/>
  <c r="Z61" s="1"/>
  <c r="D61" s="1"/>
  <c r="D73" s="1"/>
  <c r="F78" s="1"/>
  <c r="F82" s="1"/>
  <c r="E92" s="1"/>
  <c r="AD14"/>
  <c r="AC14"/>
  <c r="AD13"/>
  <c r="AH13" s="1"/>
  <c r="AC13"/>
  <c r="AO12"/>
  <c r="AM12" s="1"/>
  <c r="AD12"/>
  <c r="AC12"/>
  <c r="V12"/>
  <c r="AO11"/>
  <c r="AM11" s="1"/>
  <c r="AD11"/>
  <c r="AC11"/>
  <c r="V11"/>
  <c r="AO10"/>
  <c r="AM10" s="1"/>
  <c r="AD10"/>
  <c r="AC10"/>
  <c r="V10"/>
  <c r="AA61" s="1"/>
  <c r="F61" s="1"/>
  <c r="AO9"/>
  <c r="AM9" s="1"/>
  <c r="AD9"/>
  <c r="AC9"/>
  <c r="AG9" s="1"/>
  <c r="V9"/>
  <c r="Z59" s="1"/>
  <c r="D59" s="1"/>
  <c r="D71" s="1"/>
  <c r="F77" s="1"/>
  <c r="D86" s="1"/>
  <c r="E90" s="1"/>
  <c r="AD8"/>
  <c r="AC8"/>
  <c r="N3"/>
  <c r="X98" i="99"/>
  <c r="X97"/>
  <c r="X96"/>
  <c r="X95"/>
  <c r="X94"/>
  <c r="X93"/>
  <c r="X92"/>
  <c r="X91"/>
  <c r="X90"/>
  <c r="X89"/>
  <c r="X88"/>
  <c r="X87"/>
  <c r="AD86"/>
  <c r="AC86"/>
  <c r="X86"/>
  <c r="X85"/>
  <c r="X84"/>
  <c r="X83"/>
  <c r="AD82"/>
  <c r="AC82"/>
  <c r="X82"/>
  <c r="X81"/>
  <c r="X80"/>
  <c r="X79"/>
  <c r="AD78"/>
  <c r="AC78"/>
  <c r="X78"/>
  <c r="AD77"/>
  <c r="AH77" s="1"/>
  <c r="AC77"/>
  <c r="X77"/>
  <c r="X76"/>
  <c r="X75"/>
  <c r="X74"/>
  <c r="AD73"/>
  <c r="AH73" s="1"/>
  <c r="AC73"/>
  <c r="X73"/>
  <c r="AD72"/>
  <c r="AC72"/>
  <c r="X72"/>
  <c r="AD71"/>
  <c r="AH71" s="1"/>
  <c r="AC71"/>
  <c r="X71"/>
  <c r="AD70"/>
  <c r="AC70"/>
  <c r="X70"/>
  <c r="X69"/>
  <c r="AZ68"/>
  <c r="X68"/>
  <c r="AZ67"/>
  <c r="X67"/>
  <c r="AZ66"/>
  <c r="AD66"/>
  <c r="AH66" s="1"/>
  <c r="AC66"/>
  <c r="X66"/>
  <c r="AZ65"/>
  <c r="AD65"/>
  <c r="AH65" s="1"/>
  <c r="AC65"/>
  <c r="X65"/>
  <c r="AZ64"/>
  <c r="AD64"/>
  <c r="AH64" s="1"/>
  <c r="AC64"/>
  <c r="Z64"/>
  <c r="D64" s="1"/>
  <c r="F70" s="1"/>
  <c r="D77" s="1"/>
  <c r="D82" s="1"/>
  <c r="E92" s="1"/>
  <c r="X64"/>
  <c r="AZ63"/>
  <c r="AD63"/>
  <c r="AH63" s="1"/>
  <c r="AC63"/>
  <c r="Z63"/>
  <c r="D63" s="1"/>
  <c r="X63"/>
  <c r="AZ62"/>
  <c r="AD62"/>
  <c r="AH62" s="1"/>
  <c r="AC62"/>
  <c r="X62"/>
  <c r="AZ61"/>
  <c r="AD61"/>
  <c r="AH61" s="1"/>
  <c r="AC61"/>
  <c r="Z61"/>
  <c r="D61" s="1"/>
  <c r="D73" s="1"/>
  <c r="F78" s="1"/>
  <c r="F82" s="1"/>
  <c r="E91" s="1"/>
  <c r="X61"/>
  <c r="AZ60"/>
  <c r="AD60"/>
  <c r="AH60" s="1"/>
  <c r="AC60"/>
  <c r="Z60"/>
  <c r="D60" s="1"/>
  <c r="X60"/>
  <c r="AZ59"/>
  <c r="AD59"/>
  <c r="AH59" s="1"/>
  <c r="AC59"/>
  <c r="Z59"/>
  <c r="D59" s="1"/>
  <c r="D71" s="1"/>
  <c r="F77" s="1"/>
  <c r="D86" s="1"/>
  <c r="E89" s="1"/>
  <c r="X59"/>
  <c r="AZ58"/>
  <c r="BA67" s="1"/>
  <c r="BB67" s="1"/>
  <c r="AA58"/>
  <c r="Z58"/>
  <c r="X58"/>
  <c r="AD55"/>
  <c r="AC55"/>
  <c r="AO54"/>
  <c r="AM54" s="1"/>
  <c r="AD54"/>
  <c r="AH54" s="1"/>
  <c r="AC54"/>
  <c r="V54"/>
  <c r="AO53"/>
  <c r="AM53" s="1"/>
  <c r="AD53"/>
  <c r="AH53" s="1"/>
  <c r="AC53"/>
  <c r="V53"/>
  <c r="AA64" s="1"/>
  <c r="F64" s="1"/>
  <c r="AO52"/>
  <c r="AM52" s="1"/>
  <c r="AD52"/>
  <c r="AH52" s="1"/>
  <c r="AC52"/>
  <c r="V52"/>
  <c r="AO51"/>
  <c r="AM51" s="1"/>
  <c r="AD51"/>
  <c r="AH51" s="1"/>
  <c r="AC51"/>
  <c r="AL51" s="1"/>
  <c r="V51"/>
  <c r="Z66" s="1"/>
  <c r="D66" s="1"/>
  <c r="F72" s="1"/>
  <c r="AD50"/>
  <c r="AH50" s="1"/>
  <c r="AC50"/>
  <c r="AL50" s="1"/>
  <c r="AD49"/>
  <c r="AC49"/>
  <c r="AO48"/>
  <c r="AM48" s="1"/>
  <c r="AD48"/>
  <c r="AH48" s="1"/>
  <c r="AC48"/>
  <c r="V48"/>
  <c r="AO47"/>
  <c r="AM47" s="1"/>
  <c r="AD47"/>
  <c r="AH47" s="1"/>
  <c r="AC47"/>
  <c r="V47"/>
  <c r="AO46"/>
  <c r="AM46" s="1"/>
  <c r="AD46"/>
  <c r="AH46" s="1"/>
  <c r="AC46"/>
  <c r="V46"/>
  <c r="AA66" s="1"/>
  <c r="F66" s="1"/>
  <c r="AO45"/>
  <c r="AM45" s="1"/>
  <c r="AD45"/>
  <c r="AH45" s="1"/>
  <c r="AC45"/>
  <c r="V45"/>
  <c r="AD44"/>
  <c r="AH44" s="1"/>
  <c r="AC44"/>
  <c r="AD43"/>
  <c r="AC43"/>
  <c r="AO42"/>
  <c r="AM42" s="1"/>
  <c r="AD42"/>
  <c r="AH42" s="1"/>
  <c r="AC42"/>
  <c r="V42"/>
  <c r="AO41"/>
  <c r="AM41" s="1"/>
  <c r="AD41"/>
  <c r="AH41" s="1"/>
  <c r="AC41"/>
  <c r="V41"/>
  <c r="AO40"/>
  <c r="AM40" s="1"/>
  <c r="AD40"/>
  <c r="AH40" s="1"/>
  <c r="AC40"/>
  <c r="V40"/>
  <c r="AA63" s="1"/>
  <c r="F63" s="1"/>
  <c r="D70" s="1"/>
  <c r="AO39"/>
  <c r="AM39" s="1"/>
  <c r="AH39"/>
  <c r="AD39"/>
  <c r="AC39"/>
  <c r="AL39" s="1"/>
  <c r="V39"/>
  <c r="Z65" s="1"/>
  <c r="D65" s="1"/>
  <c r="D72" s="1"/>
  <c r="D78" s="1"/>
  <c r="F86" s="1"/>
  <c r="E90" s="1"/>
  <c r="AD38"/>
  <c r="AH38" s="1"/>
  <c r="AC38"/>
  <c r="AD37"/>
  <c r="AC37"/>
  <c r="AO36"/>
  <c r="AM36" s="1"/>
  <c r="AD36"/>
  <c r="AH36" s="1"/>
  <c r="AC36"/>
  <c r="V36"/>
  <c r="AO35"/>
  <c r="AM35" s="1"/>
  <c r="AD35"/>
  <c r="AH35" s="1"/>
  <c r="AC35"/>
  <c r="V35"/>
  <c r="AO34"/>
  <c r="AM34" s="1"/>
  <c r="AD34"/>
  <c r="AH34" s="1"/>
  <c r="AC34"/>
  <c r="V34"/>
  <c r="AA65" s="1"/>
  <c r="F65" s="1"/>
  <c r="AO33"/>
  <c r="AM33" s="1"/>
  <c r="AD33"/>
  <c r="AH33" s="1"/>
  <c r="AC33"/>
  <c r="V33"/>
  <c r="AD32"/>
  <c r="AH32" s="1"/>
  <c r="AC32"/>
  <c r="AD31"/>
  <c r="AC31"/>
  <c r="AO30"/>
  <c r="AM30" s="1"/>
  <c r="AD30"/>
  <c r="AH30" s="1"/>
  <c r="AC30"/>
  <c r="V30"/>
  <c r="Z62" s="1"/>
  <c r="D62" s="1"/>
  <c r="F73" s="1"/>
  <c r="AO29"/>
  <c r="AM29" s="1"/>
  <c r="AD29"/>
  <c r="AH29" s="1"/>
  <c r="AC29"/>
  <c r="V29"/>
  <c r="AO28"/>
  <c r="AM28" s="1"/>
  <c r="AD28"/>
  <c r="AH28" s="1"/>
  <c r="AC28"/>
  <c r="V28"/>
  <c r="AA60" s="1"/>
  <c r="F60" s="1"/>
  <c r="F71" s="1"/>
  <c r="AO27"/>
  <c r="AM27" s="1"/>
  <c r="AD27"/>
  <c r="AH27" s="1"/>
  <c r="AC27"/>
  <c r="V27"/>
  <c r="AD26"/>
  <c r="AH26" s="1"/>
  <c r="AC26"/>
  <c r="AL26" s="1"/>
  <c r="AD25"/>
  <c r="AC25"/>
  <c r="AO24"/>
  <c r="AM24" s="1"/>
  <c r="AD24"/>
  <c r="AH24" s="1"/>
  <c r="AC24"/>
  <c r="V24"/>
  <c r="AO23"/>
  <c r="AM23" s="1"/>
  <c r="AD23"/>
  <c r="AH23" s="1"/>
  <c r="AC23"/>
  <c r="V23"/>
  <c r="AO22"/>
  <c r="AM22" s="1"/>
  <c r="AD22"/>
  <c r="AH22" s="1"/>
  <c r="AC22"/>
  <c r="V22"/>
  <c r="AO21"/>
  <c r="AM21" s="1"/>
  <c r="AD21"/>
  <c r="AH21" s="1"/>
  <c r="AC21"/>
  <c r="V21"/>
  <c r="AA62" s="1"/>
  <c r="F62" s="1"/>
  <c r="AD20"/>
  <c r="AH20" s="1"/>
  <c r="AC20"/>
  <c r="AD19"/>
  <c r="AK19" s="1"/>
  <c r="AC19"/>
  <c r="AO18"/>
  <c r="AM18" s="1"/>
  <c r="AD18"/>
  <c r="AH18" s="1"/>
  <c r="AC18"/>
  <c r="V18"/>
  <c r="AO17"/>
  <c r="AM17" s="1"/>
  <c r="AD17"/>
  <c r="AH17" s="1"/>
  <c r="AC17"/>
  <c r="V17"/>
  <c r="AO16"/>
  <c r="AM16" s="1"/>
  <c r="AD16"/>
  <c r="AH16" s="1"/>
  <c r="AC16"/>
  <c r="V16"/>
  <c r="AA59" s="1"/>
  <c r="F59" s="1"/>
  <c r="AO15"/>
  <c r="AM15" s="1"/>
  <c r="AH15"/>
  <c r="AD15"/>
  <c r="AC15"/>
  <c r="AL15" s="1"/>
  <c r="V15"/>
  <c r="AD14"/>
  <c r="AH14" s="1"/>
  <c r="AC14"/>
  <c r="AL14" s="1"/>
  <c r="AD13"/>
  <c r="AC13"/>
  <c r="AO12"/>
  <c r="AM12" s="1"/>
  <c r="AD12"/>
  <c r="AH12" s="1"/>
  <c r="AC12"/>
  <c r="V12"/>
  <c r="AO11"/>
  <c r="AM11" s="1"/>
  <c r="AD11"/>
  <c r="AH11" s="1"/>
  <c r="AC11"/>
  <c r="V11"/>
  <c r="AA61" s="1"/>
  <c r="F61" s="1"/>
  <c r="AO10"/>
  <c r="AM10" s="1"/>
  <c r="AD10"/>
  <c r="AH10" s="1"/>
  <c r="AC10"/>
  <c r="V10"/>
  <c r="AO9"/>
  <c r="AM9" s="1"/>
  <c r="AD9"/>
  <c r="AH9" s="1"/>
  <c r="AC9"/>
  <c r="V9"/>
  <c r="AD8"/>
  <c r="AH8" s="1"/>
  <c r="AC8"/>
  <c r="N3"/>
  <c r="X98" i="98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C77"/>
  <c r="X77"/>
  <c r="X76"/>
  <c r="X75"/>
  <c r="X74"/>
  <c r="AD73"/>
  <c r="AC73"/>
  <c r="X73"/>
  <c r="AD72"/>
  <c r="AH72" s="1"/>
  <c r="AC72"/>
  <c r="X72"/>
  <c r="AD71"/>
  <c r="AC71"/>
  <c r="X71"/>
  <c r="AD70"/>
  <c r="AH70" s="1"/>
  <c r="AC70"/>
  <c r="X70"/>
  <c r="X69"/>
  <c r="AZ68"/>
  <c r="X68"/>
  <c r="AZ67"/>
  <c r="X67"/>
  <c r="AZ66"/>
  <c r="AD66"/>
  <c r="AC66"/>
  <c r="Z66"/>
  <c r="D66" s="1"/>
  <c r="X66"/>
  <c r="AZ65"/>
  <c r="AD65"/>
  <c r="AC65"/>
  <c r="AA65"/>
  <c r="F65" s="1"/>
  <c r="D72" s="1"/>
  <c r="X65"/>
  <c r="AZ64"/>
  <c r="AD64"/>
  <c r="AC64"/>
  <c r="AL64" s="1"/>
  <c r="Z64"/>
  <c r="D64" s="1"/>
  <c r="X64"/>
  <c r="AZ63"/>
  <c r="AD63"/>
  <c r="AC63"/>
  <c r="AA63"/>
  <c r="F63" s="1"/>
  <c r="X63"/>
  <c r="AZ62"/>
  <c r="AD62"/>
  <c r="AC62"/>
  <c r="Z62"/>
  <c r="D62" s="1"/>
  <c r="F73" s="1"/>
  <c r="F78" s="1"/>
  <c r="F86" s="1"/>
  <c r="E90" s="1"/>
  <c r="X62"/>
  <c r="AZ61"/>
  <c r="AD61"/>
  <c r="AC61"/>
  <c r="AA61"/>
  <c r="F61" s="1"/>
  <c r="X61"/>
  <c r="AZ60"/>
  <c r="AD60"/>
  <c r="AC60"/>
  <c r="Z60"/>
  <c r="D60" s="1"/>
  <c r="X60"/>
  <c r="AZ59"/>
  <c r="AD59"/>
  <c r="AC59"/>
  <c r="X59"/>
  <c r="AZ58"/>
  <c r="BA68" s="1"/>
  <c r="BB68" s="1"/>
  <c r="AA58"/>
  <c r="Z58"/>
  <c r="X58"/>
  <c r="AD55"/>
  <c r="AH55" s="1"/>
  <c r="AC55"/>
  <c r="AO54"/>
  <c r="AM54" s="1"/>
  <c r="AD54"/>
  <c r="AC54"/>
  <c r="V54"/>
  <c r="AA64" s="1"/>
  <c r="F64" s="1"/>
  <c r="F70" s="1"/>
  <c r="AO53"/>
  <c r="AM53" s="1"/>
  <c r="AD53"/>
  <c r="AC53"/>
  <c r="V53"/>
  <c r="AO52"/>
  <c r="AM52" s="1"/>
  <c r="AD52"/>
  <c r="AC52"/>
  <c r="V52"/>
  <c r="AO51"/>
  <c r="AM51" s="1"/>
  <c r="AD51"/>
  <c r="AC51"/>
  <c r="V51"/>
  <c r="AD50"/>
  <c r="AC50"/>
  <c r="AD49"/>
  <c r="AH49" s="1"/>
  <c r="AC49"/>
  <c r="AO48"/>
  <c r="AM48" s="1"/>
  <c r="AD48"/>
  <c r="AC48"/>
  <c r="V48"/>
  <c r="AO47"/>
  <c r="AM47" s="1"/>
  <c r="AD47"/>
  <c r="AC47"/>
  <c r="AL47" s="1"/>
  <c r="V47"/>
  <c r="AO46"/>
  <c r="AM46" s="1"/>
  <c r="AD46"/>
  <c r="AC46"/>
  <c r="V46"/>
  <c r="AO45"/>
  <c r="AM45" s="1"/>
  <c r="AD45"/>
  <c r="AC45"/>
  <c r="V45"/>
  <c r="AA66" s="1"/>
  <c r="F66" s="1"/>
  <c r="F72" s="1"/>
  <c r="D78" s="1"/>
  <c r="F82" s="1"/>
  <c r="E92" s="1"/>
  <c r="AD44"/>
  <c r="AC44"/>
  <c r="AD43"/>
  <c r="AH43" s="1"/>
  <c r="AC43"/>
  <c r="AO42"/>
  <c r="AM42" s="1"/>
  <c r="AD42"/>
  <c r="AC42"/>
  <c r="V42"/>
  <c r="AO41"/>
  <c r="AM41" s="1"/>
  <c r="AD41"/>
  <c r="AC41"/>
  <c r="V41"/>
  <c r="AO40"/>
  <c r="AM40" s="1"/>
  <c r="AD40"/>
  <c r="AC40"/>
  <c r="V40"/>
  <c r="AO39"/>
  <c r="AM39" s="1"/>
  <c r="AD39"/>
  <c r="AC39"/>
  <c r="AL39" s="1"/>
  <c r="V39"/>
  <c r="Z65" s="1"/>
  <c r="D65" s="1"/>
  <c r="AD38"/>
  <c r="AC38"/>
  <c r="AD37"/>
  <c r="AH37" s="1"/>
  <c r="AC37"/>
  <c r="AO36"/>
  <c r="AM36" s="1"/>
  <c r="AD36"/>
  <c r="AC36"/>
  <c r="V36"/>
  <c r="AO35"/>
  <c r="AM35" s="1"/>
  <c r="AD35"/>
  <c r="AC35"/>
  <c r="V35"/>
  <c r="Z63" s="1"/>
  <c r="D63" s="1"/>
  <c r="D70" s="1"/>
  <c r="D77" s="1"/>
  <c r="D86" s="1"/>
  <c r="E89" s="1"/>
  <c r="AO34"/>
  <c r="AM34" s="1"/>
  <c r="AD34"/>
  <c r="AC34"/>
  <c r="V34"/>
  <c r="AO33"/>
  <c r="AM33" s="1"/>
  <c r="AD33"/>
  <c r="AC33"/>
  <c r="AL33" s="1"/>
  <c r="V33"/>
  <c r="AD32"/>
  <c r="AC32"/>
  <c r="AD31"/>
  <c r="AH31" s="1"/>
  <c r="AC31"/>
  <c r="AO30"/>
  <c r="AM30" s="1"/>
  <c r="AD30"/>
  <c r="AC30"/>
  <c r="V30"/>
  <c r="AA60" s="1"/>
  <c r="F60" s="1"/>
  <c r="F71" s="1"/>
  <c r="F77" s="1"/>
  <c r="D82" s="1"/>
  <c r="E91" s="1"/>
  <c r="AO29"/>
  <c r="AM29" s="1"/>
  <c r="AD29"/>
  <c r="AC29"/>
  <c r="V29"/>
  <c r="AO28"/>
  <c r="AM28" s="1"/>
  <c r="AD28"/>
  <c r="AC28"/>
  <c r="V28"/>
  <c r="AO27"/>
  <c r="AM27" s="1"/>
  <c r="AD27"/>
  <c r="AC27"/>
  <c r="V27"/>
  <c r="AD26"/>
  <c r="AC26"/>
  <c r="AD25"/>
  <c r="AH25" s="1"/>
  <c r="AC25"/>
  <c r="AO24"/>
  <c r="AM24" s="1"/>
  <c r="AD24"/>
  <c r="AC24"/>
  <c r="V24"/>
  <c r="AO23"/>
  <c r="AM23" s="1"/>
  <c r="AD23"/>
  <c r="AC23"/>
  <c r="V23"/>
  <c r="AO22"/>
  <c r="AM22" s="1"/>
  <c r="AD22"/>
  <c r="AH22" s="1"/>
  <c r="AC22"/>
  <c r="AG22" s="1"/>
  <c r="V22"/>
  <c r="AA62" s="1"/>
  <c r="F62" s="1"/>
  <c r="AO21"/>
  <c r="AM21" s="1"/>
  <c r="AD21"/>
  <c r="AH21" s="1"/>
  <c r="AC21"/>
  <c r="V21"/>
  <c r="AD20"/>
  <c r="AH20" s="1"/>
  <c r="AC20"/>
  <c r="AG20" s="1"/>
  <c r="AD19"/>
  <c r="AL19" s="1"/>
  <c r="AC19"/>
  <c r="AO18"/>
  <c r="AM18" s="1"/>
  <c r="AD18"/>
  <c r="AH18" s="1"/>
  <c r="AC18"/>
  <c r="AG18" s="1"/>
  <c r="V18"/>
  <c r="AO17"/>
  <c r="AM17" s="1"/>
  <c r="AD17"/>
  <c r="AH17" s="1"/>
  <c r="AC17"/>
  <c r="V17"/>
  <c r="AO16"/>
  <c r="AM16" s="1"/>
  <c r="AD16"/>
  <c r="AH16" s="1"/>
  <c r="AC16"/>
  <c r="AG16" s="1"/>
  <c r="V16"/>
  <c r="AA59" s="1"/>
  <c r="F59" s="1"/>
  <c r="AO15"/>
  <c r="AM15" s="1"/>
  <c r="AD15"/>
  <c r="AH15" s="1"/>
  <c r="AC15"/>
  <c r="AL15" s="1"/>
  <c r="V15"/>
  <c r="Z61" s="1"/>
  <c r="D61" s="1"/>
  <c r="D73" s="1"/>
  <c r="AD14"/>
  <c r="AH14" s="1"/>
  <c r="AC14"/>
  <c r="AG14" s="1"/>
  <c r="AD13"/>
  <c r="AH13" s="1"/>
  <c r="AC13"/>
  <c r="AO12"/>
  <c r="AM12" s="1"/>
  <c r="AD12"/>
  <c r="AH12" s="1"/>
  <c r="AC12"/>
  <c r="AG12" s="1"/>
  <c r="V12"/>
  <c r="AO11"/>
  <c r="AM11" s="1"/>
  <c r="AD11"/>
  <c r="AH11" s="1"/>
  <c r="AC11"/>
  <c r="V11"/>
  <c r="AO10"/>
  <c r="AM10" s="1"/>
  <c r="AD10"/>
  <c r="AH10" s="1"/>
  <c r="AC10"/>
  <c r="AG10" s="1"/>
  <c r="V10"/>
  <c r="AO9"/>
  <c r="AM9" s="1"/>
  <c r="AD9"/>
  <c r="AH9" s="1"/>
  <c r="AC9"/>
  <c r="AG9" s="1"/>
  <c r="V9"/>
  <c r="Z59" s="1"/>
  <c r="D59" s="1"/>
  <c r="D71" s="1"/>
  <c r="AD8"/>
  <c r="AH8" s="1"/>
  <c r="AC8"/>
  <c r="N3"/>
  <c r="X98" i="97"/>
  <c r="X97"/>
  <c r="X96"/>
  <c r="X95"/>
  <c r="X94"/>
  <c r="X93"/>
  <c r="X92"/>
  <c r="X91"/>
  <c r="X90"/>
  <c r="X89"/>
  <c r="X88"/>
  <c r="X87"/>
  <c r="AD86"/>
  <c r="AC86"/>
  <c r="X86"/>
  <c r="X85"/>
  <c r="X84"/>
  <c r="X83"/>
  <c r="AD82"/>
  <c r="AC82"/>
  <c r="X82"/>
  <c r="X81"/>
  <c r="X80"/>
  <c r="X79"/>
  <c r="AD78"/>
  <c r="AC78"/>
  <c r="X78"/>
  <c r="AD77"/>
  <c r="AH77" s="1"/>
  <c r="AC77"/>
  <c r="X77"/>
  <c r="X76"/>
  <c r="X75"/>
  <c r="X74"/>
  <c r="AD73"/>
  <c r="AH73" s="1"/>
  <c r="AC73"/>
  <c r="X73"/>
  <c r="AD72"/>
  <c r="AC72"/>
  <c r="X72"/>
  <c r="AD71"/>
  <c r="AH71" s="1"/>
  <c r="AC71"/>
  <c r="X71"/>
  <c r="AD70"/>
  <c r="AC70"/>
  <c r="X70"/>
  <c r="X69"/>
  <c r="AZ68"/>
  <c r="X68"/>
  <c r="AZ67"/>
  <c r="X67"/>
  <c r="AZ66"/>
  <c r="AD66"/>
  <c r="AH66" s="1"/>
  <c r="AC66"/>
  <c r="Z66"/>
  <c r="D66" s="1"/>
  <c r="F72" s="1"/>
  <c r="D78" s="1"/>
  <c r="F82" s="1"/>
  <c r="E92" s="1"/>
  <c r="X66"/>
  <c r="AZ65"/>
  <c r="AD65"/>
  <c r="AH65" s="1"/>
  <c r="AC65"/>
  <c r="Z65"/>
  <c r="D65" s="1"/>
  <c r="D72" s="1"/>
  <c r="X65"/>
  <c r="AZ64"/>
  <c r="AD64"/>
  <c r="AH64" s="1"/>
  <c r="AC64"/>
  <c r="Z64"/>
  <c r="D64" s="1"/>
  <c r="F70" s="1"/>
  <c r="D77" s="1"/>
  <c r="D82" s="1"/>
  <c r="E91" s="1"/>
  <c r="X64"/>
  <c r="AZ63"/>
  <c r="AD63"/>
  <c r="AH63" s="1"/>
  <c r="AC63"/>
  <c r="Z63"/>
  <c r="D63" s="1"/>
  <c r="D70" s="1"/>
  <c r="X63"/>
  <c r="AZ62"/>
  <c r="AD62"/>
  <c r="AH62" s="1"/>
  <c r="AC62"/>
  <c r="X62"/>
  <c r="AZ61"/>
  <c r="AD61"/>
  <c r="AH61" s="1"/>
  <c r="AC61"/>
  <c r="Z61"/>
  <c r="D61" s="1"/>
  <c r="D73" s="1"/>
  <c r="F78" s="1"/>
  <c r="F86" s="1"/>
  <c r="E90" s="1"/>
  <c r="X61"/>
  <c r="AZ60"/>
  <c r="AD60"/>
  <c r="AH60" s="1"/>
  <c r="AC60"/>
  <c r="X60"/>
  <c r="AZ59"/>
  <c r="AD59"/>
  <c r="AH59" s="1"/>
  <c r="AC59"/>
  <c r="Z59"/>
  <c r="D59" s="1"/>
  <c r="D71" s="1"/>
  <c r="F77" s="1"/>
  <c r="D86" s="1"/>
  <c r="E89" s="1"/>
  <c r="X59"/>
  <c r="AZ58"/>
  <c r="BA67" s="1"/>
  <c r="BB67" s="1"/>
  <c r="AA58"/>
  <c r="Z58"/>
  <c r="X58"/>
  <c r="AD55"/>
  <c r="AC55"/>
  <c r="AO54"/>
  <c r="AM54" s="1"/>
  <c r="AD54"/>
  <c r="AH54" s="1"/>
  <c r="AC54"/>
  <c r="V54"/>
  <c r="AA64" s="1"/>
  <c r="F64" s="1"/>
  <c r="AO53"/>
  <c r="AM53" s="1"/>
  <c r="AD53"/>
  <c r="AH53" s="1"/>
  <c r="AC53"/>
  <c r="V53"/>
  <c r="AO52"/>
  <c r="AM52" s="1"/>
  <c r="AH52"/>
  <c r="AD52"/>
  <c r="AC52"/>
  <c r="AL52" s="1"/>
  <c r="V52"/>
  <c r="AO51"/>
  <c r="AM51" s="1"/>
  <c r="AD51"/>
  <c r="AH51" s="1"/>
  <c r="AC51"/>
  <c r="V51"/>
  <c r="AD50"/>
  <c r="AH50" s="1"/>
  <c r="AC50"/>
  <c r="AD49"/>
  <c r="AC49"/>
  <c r="AO48"/>
  <c r="AM48" s="1"/>
  <c r="AD48"/>
  <c r="AH48" s="1"/>
  <c r="AC48"/>
  <c r="V48"/>
  <c r="AO47"/>
  <c r="AM47" s="1"/>
  <c r="AD47"/>
  <c r="AH47" s="1"/>
  <c r="AC47"/>
  <c r="V47"/>
  <c r="AO46"/>
  <c r="AM46" s="1"/>
  <c r="AD46"/>
  <c r="AH46" s="1"/>
  <c r="AC46"/>
  <c r="V46"/>
  <c r="AA66" s="1"/>
  <c r="F66" s="1"/>
  <c r="AO45"/>
  <c r="AM45" s="1"/>
  <c r="AD45"/>
  <c r="AH45" s="1"/>
  <c r="AC45"/>
  <c r="V45"/>
  <c r="AD44"/>
  <c r="AH44" s="1"/>
  <c r="AC44"/>
  <c r="AD43"/>
  <c r="AC43"/>
  <c r="AO42"/>
  <c r="AM42" s="1"/>
  <c r="AD42"/>
  <c r="AH42" s="1"/>
  <c r="AC42"/>
  <c r="V42"/>
  <c r="AO41"/>
  <c r="AM41" s="1"/>
  <c r="AD41"/>
  <c r="AH41" s="1"/>
  <c r="AC41"/>
  <c r="V41"/>
  <c r="AO40"/>
  <c r="AM40" s="1"/>
  <c r="AD40"/>
  <c r="AH40" s="1"/>
  <c r="AC40"/>
  <c r="V40"/>
  <c r="AA63" s="1"/>
  <c r="F63" s="1"/>
  <c r="AO39"/>
  <c r="AM39" s="1"/>
  <c r="AD39"/>
  <c r="AH39" s="1"/>
  <c r="AC39"/>
  <c r="V39"/>
  <c r="AD38"/>
  <c r="AH38" s="1"/>
  <c r="AC38"/>
  <c r="AD37"/>
  <c r="AC37"/>
  <c r="AO36"/>
  <c r="AM36" s="1"/>
  <c r="AD36"/>
  <c r="AH36" s="1"/>
  <c r="AC36"/>
  <c r="V36"/>
  <c r="AO35"/>
  <c r="AM35" s="1"/>
  <c r="AD35"/>
  <c r="AH35" s="1"/>
  <c r="AC35"/>
  <c r="V35"/>
  <c r="AO34"/>
  <c r="AM34" s="1"/>
  <c r="AD34"/>
  <c r="AH34" s="1"/>
  <c r="AC34"/>
  <c r="AL34" s="1"/>
  <c r="V34"/>
  <c r="AO33"/>
  <c r="AM33" s="1"/>
  <c r="AD33"/>
  <c r="AH33" s="1"/>
  <c r="AC33"/>
  <c r="V33"/>
  <c r="AA65" s="1"/>
  <c r="F65" s="1"/>
  <c r="AD32"/>
  <c r="AH32" s="1"/>
  <c r="AC32"/>
  <c r="AD31"/>
  <c r="AC31"/>
  <c r="AO30"/>
  <c r="AM30" s="1"/>
  <c r="AD30"/>
  <c r="AH30" s="1"/>
  <c r="AC30"/>
  <c r="V30"/>
  <c r="Z62" s="1"/>
  <c r="D62" s="1"/>
  <c r="F73" s="1"/>
  <c r="AO29"/>
  <c r="AM29" s="1"/>
  <c r="AD29"/>
  <c r="AH29" s="1"/>
  <c r="AC29"/>
  <c r="V29"/>
  <c r="AA60" s="1"/>
  <c r="F60" s="1"/>
  <c r="AO28"/>
  <c r="AM28" s="1"/>
  <c r="AD28"/>
  <c r="AH28" s="1"/>
  <c r="AC28"/>
  <c r="V28"/>
  <c r="AO27"/>
  <c r="AM27" s="1"/>
  <c r="AD27"/>
  <c r="AH27" s="1"/>
  <c r="AC27"/>
  <c r="V27"/>
  <c r="AD26"/>
  <c r="AH26" s="1"/>
  <c r="AC26"/>
  <c r="AD25"/>
  <c r="AC25"/>
  <c r="AO24"/>
  <c r="AM24" s="1"/>
  <c r="AD24"/>
  <c r="AH24" s="1"/>
  <c r="AC24"/>
  <c r="V24"/>
  <c r="AO23"/>
  <c r="AM23" s="1"/>
  <c r="AD23"/>
  <c r="AH23" s="1"/>
  <c r="AC23"/>
  <c r="V23"/>
  <c r="AA62" s="1"/>
  <c r="F62" s="1"/>
  <c r="AO22"/>
  <c r="AM22" s="1"/>
  <c r="AD22"/>
  <c r="AH22" s="1"/>
  <c r="AC22"/>
  <c r="AL22" s="1"/>
  <c r="V22"/>
  <c r="Z60" s="1"/>
  <c r="D60" s="1"/>
  <c r="F71" s="1"/>
  <c r="AO21"/>
  <c r="AM21" s="1"/>
  <c r="AD21"/>
  <c r="AH21" s="1"/>
  <c r="AC21"/>
  <c r="V21"/>
  <c r="AD20"/>
  <c r="AH20" s="1"/>
  <c r="AC20"/>
  <c r="AD19"/>
  <c r="AC19"/>
  <c r="AO18"/>
  <c r="AM18" s="1"/>
  <c r="AD18"/>
  <c r="AH18" s="1"/>
  <c r="AC18"/>
  <c r="V18"/>
  <c r="AO17"/>
  <c r="AM17" s="1"/>
  <c r="AD17"/>
  <c r="AH17" s="1"/>
  <c r="AC17"/>
  <c r="V17"/>
  <c r="AO16"/>
  <c r="AM16" s="1"/>
  <c r="AD16"/>
  <c r="AH16" s="1"/>
  <c r="AC16"/>
  <c r="V16"/>
  <c r="AA59" s="1"/>
  <c r="F59" s="1"/>
  <c r="AO15"/>
  <c r="AM15" s="1"/>
  <c r="AD15"/>
  <c r="AH15" s="1"/>
  <c r="AC15"/>
  <c r="V15"/>
  <c r="AD14"/>
  <c r="AH14" s="1"/>
  <c r="AC14"/>
  <c r="AD13"/>
  <c r="AC13"/>
  <c r="AO12"/>
  <c r="AM12" s="1"/>
  <c r="AD12"/>
  <c r="AH12" s="1"/>
  <c r="AC12"/>
  <c r="V12"/>
  <c r="AA61" s="1"/>
  <c r="F61" s="1"/>
  <c r="AO11"/>
  <c r="AM11" s="1"/>
  <c r="AD11"/>
  <c r="AH11" s="1"/>
  <c r="AC11"/>
  <c r="V11"/>
  <c r="AO10"/>
  <c r="AM10" s="1"/>
  <c r="AD10"/>
  <c r="AH10" s="1"/>
  <c r="AC10"/>
  <c r="V10"/>
  <c r="AO9"/>
  <c r="AM9" s="1"/>
  <c r="AD9"/>
  <c r="AH9" s="1"/>
  <c r="AC9"/>
  <c r="V9"/>
  <c r="AD8"/>
  <c r="AH8" s="1"/>
  <c r="AC8"/>
  <c r="N3"/>
  <c r="X98" i="96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X77"/>
  <c r="X76"/>
  <c r="X75"/>
  <c r="X74"/>
  <c r="AD73"/>
  <c r="AH73" s="1"/>
  <c r="AC73"/>
  <c r="X73"/>
  <c r="AD72"/>
  <c r="AH72" s="1"/>
  <c r="AC72"/>
  <c r="X72"/>
  <c r="AD71"/>
  <c r="AH71" s="1"/>
  <c r="AC71"/>
  <c r="X71"/>
  <c r="AD70"/>
  <c r="AH70" s="1"/>
  <c r="AC70"/>
  <c r="X70"/>
  <c r="X69"/>
  <c r="AZ68"/>
  <c r="X68"/>
  <c r="AZ67"/>
  <c r="X67"/>
  <c r="AZ66"/>
  <c r="AD66"/>
  <c r="AH66" s="1"/>
  <c r="AC66"/>
  <c r="AK66" s="1"/>
  <c r="X66"/>
  <c r="BA65"/>
  <c r="BB65" s="1"/>
  <c r="AZ65"/>
  <c r="AD65"/>
  <c r="AH65" s="1"/>
  <c r="AC65"/>
  <c r="AK65" s="1"/>
  <c r="X65"/>
  <c r="BA64"/>
  <c r="BB64" s="1"/>
  <c r="AZ64"/>
  <c r="AD64"/>
  <c r="AH64" s="1"/>
  <c r="AC64"/>
  <c r="AK64" s="1"/>
  <c r="X64"/>
  <c r="BA63"/>
  <c r="BB63" s="1"/>
  <c r="AZ63"/>
  <c r="AD63"/>
  <c r="AH63" s="1"/>
  <c r="AC63"/>
  <c r="X63"/>
  <c r="BA62"/>
  <c r="BB62" s="1"/>
  <c r="AZ62"/>
  <c r="AD62"/>
  <c r="AH62" s="1"/>
  <c r="AC62"/>
  <c r="AK62" s="1"/>
  <c r="X62"/>
  <c r="BA61"/>
  <c r="BB61" s="1"/>
  <c r="AZ61"/>
  <c r="AD61"/>
  <c r="AH61" s="1"/>
  <c r="AC61"/>
  <c r="X61"/>
  <c r="BA60"/>
  <c r="BB60" s="1"/>
  <c r="AZ60"/>
  <c r="AD60"/>
  <c r="AH60" s="1"/>
  <c r="AC60"/>
  <c r="X60"/>
  <c r="BA59"/>
  <c r="BB59" s="1"/>
  <c r="AZ59"/>
  <c r="BA66" s="1"/>
  <c r="BB66" s="1"/>
  <c r="AD59"/>
  <c r="AH59" s="1"/>
  <c r="AC59"/>
  <c r="X59"/>
  <c r="BA58"/>
  <c r="AZ58"/>
  <c r="BA67" s="1"/>
  <c r="BB67" s="1"/>
  <c r="AA58"/>
  <c r="Z58"/>
  <c r="X58"/>
  <c r="AD55"/>
  <c r="AH55" s="1"/>
  <c r="AC55"/>
  <c r="AO54"/>
  <c r="AM54" s="1"/>
  <c r="AD54"/>
  <c r="AH54" s="1"/>
  <c r="AC54"/>
  <c r="V54"/>
  <c r="AO53"/>
  <c r="AM53" s="1"/>
  <c r="AD53"/>
  <c r="AC53"/>
  <c r="V53"/>
  <c r="AA64" s="1"/>
  <c r="F64" s="1"/>
  <c r="AO52"/>
  <c r="AM52" s="1"/>
  <c r="AD52"/>
  <c r="AC52"/>
  <c r="V52"/>
  <c r="AO51"/>
  <c r="AM51" s="1"/>
  <c r="AD51"/>
  <c r="AC51"/>
  <c r="V51"/>
  <c r="Z66" s="1"/>
  <c r="D66" s="1"/>
  <c r="AD50"/>
  <c r="AK50" s="1"/>
  <c r="AC50"/>
  <c r="AD49"/>
  <c r="AH49" s="1"/>
  <c r="AC49"/>
  <c r="AL49" s="1"/>
  <c r="AO48"/>
  <c r="AM48" s="1"/>
  <c r="AD48"/>
  <c r="AC48"/>
  <c r="V48"/>
  <c r="AO47"/>
  <c r="AM47" s="1"/>
  <c r="AD47"/>
  <c r="AC47"/>
  <c r="V47"/>
  <c r="AO46"/>
  <c r="AM46" s="1"/>
  <c r="AD46"/>
  <c r="AC46"/>
  <c r="V46"/>
  <c r="AA66" s="1"/>
  <c r="F66" s="1"/>
  <c r="F72" s="1"/>
  <c r="AO45"/>
  <c r="AM45" s="1"/>
  <c r="AD45"/>
  <c r="AC45"/>
  <c r="V45"/>
  <c r="Z64" s="1"/>
  <c r="D64" s="1"/>
  <c r="F70" s="1"/>
  <c r="D77" s="1"/>
  <c r="D82" s="1"/>
  <c r="E92" s="1"/>
  <c r="AD44"/>
  <c r="AC44"/>
  <c r="AD43"/>
  <c r="AH43" s="1"/>
  <c r="AC43"/>
  <c r="AO42"/>
  <c r="AM42" s="1"/>
  <c r="AD42"/>
  <c r="AC42"/>
  <c r="V42"/>
  <c r="AA63" s="1"/>
  <c r="F63" s="1"/>
  <c r="AO41"/>
  <c r="AM41" s="1"/>
  <c r="AD41"/>
  <c r="AC41"/>
  <c r="V41"/>
  <c r="AO40"/>
  <c r="AM40" s="1"/>
  <c r="AD40"/>
  <c r="AK40" s="1"/>
  <c r="AC40"/>
  <c r="V40"/>
  <c r="AO39"/>
  <c r="AM39" s="1"/>
  <c r="AD39"/>
  <c r="AC39"/>
  <c r="V39"/>
  <c r="Z65" s="1"/>
  <c r="D65" s="1"/>
  <c r="D72" s="1"/>
  <c r="D78" s="1"/>
  <c r="F86" s="1"/>
  <c r="E90" s="1"/>
  <c r="AD38"/>
  <c r="AC38"/>
  <c r="AD37"/>
  <c r="AH37" s="1"/>
  <c r="AC37"/>
  <c r="AO36"/>
  <c r="AM36" s="1"/>
  <c r="AD36"/>
  <c r="AC36"/>
  <c r="V36"/>
  <c r="AO35"/>
  <c r="AM35" s="1"/>
  <c r="AD35"/>
  <c r="AC35"/>
  <c r="V35"/>
  <c r="AA65" s="1"/>
  <c r="F65" s="1"/>
  <c r="AO34"/>
  <c r="AM34"/>
  <c r="AD34"/>
  <c r="AC34"/>
  <c r="V34"/>
  <c r="AO33"/>
  <c r="AM33" s="1"/>
  <c r="AD33"/>
  <c r="AC33"/>
  <c r="V33"/>
  <c r="Z63" s="1"/>
  <c r="D63" s="1"/>
  <c r="D70" s="1"/>
  <c r="AD32"/>
  <c r="AH32" s="1"/>
  <c r="AC32"/>
  <c r="AD31"/>
  <c r="AH31" s="1"/>
  <c r="AC31"/>
  <c r="AO30"/>
  <c r="AM30" s="1"/>
  <c r="AD30"/>
  <c r="AH30" s="1"/>
  <c r="AC30"/>
  <c r="V30"/>
  <c r="Z62" s="1"/>
  <c r="D62" s="1"/>
  <c r="F73" s="1"/>
  <c r="AO29"/>
  <c r="AM29" s="1"/>
  <c r="AD29"/>
  <c r="AC29"/>
  <c r="AG29" s="1"/>
  <c r="V29"/>
  <c r="AA60" s="1"/>
  <c r="F60" s="1"/>
  <c r="AO28"/>
  <c r="AM28" s="1"/>
  <c r="AD28"/>
  <c r="AH28" s="1"/>
  <c r="AC28"/>
  <c r="V28"/>
  <c r="AO27"/>
  <c r="AM27" s="1"/>
  <c r="AD27"/>
  <c r="AC27"/>
  <c r="AG27" s="1"/>
  <c r="V27"/>
  <c r="AD26"/>
  <c r="AH26" s="1"/>
  <c r="AC26"/>
  <c r="AD25"/>
  <c r="AH25" s="1"/>
  <c r="AC25"/>
  <c r="AO24"/>
  <c r="AM24" s="1"/>
  <c r="AD24"/>
  <c r="AH24" s="1"/>
  <c r="AC24"/>
  <c r="V24"/>
  <c r="AO23"/>
  <c r="AM23" s="1"/>
  <c r="AD23"/>
  <c r="AC23"/>
  <c r="AG23" s="1"/>
  <c r="V23"/>
  <c r="Z60" s="1"/>
  <c r="D60" s="1"/>
  <c r="F71" s="1"/>
  <c r="AO22"/>
  <c r="AM22" s="1"/>
  <c r="AD22"/>
  <c r="AH22" s="1"/>
  <c r="AC22"/>
  <c r="V22"/>
  <c r="AO21"/>
  <c r="AM21" s="1"/>
  <c r="AD21"/>
  <c r="AC21"/>
  <c r="AG21" s="1"/>
  <c r="V21"/>
  <c r="AA62" s="1"/>
  <c r="F62" s="1"/>
  <c r="AD20"/>
  <c r="AH20" s="1"/>
  <c r="AC20"/>
  <c r="AD19"/>
  <c r="AH19" s="1"/>
  <c r="AC19"/>
  <c r="AO18"/>
  <c r="AM18" s="1"/>
  <c r="AD18"/>
  <c r="AH18" s="1"/>
  <c r="AC18"/>
  <c r="V18"/>
  <c r="AO17"/>
  <c r="AM17" s="1"/>
  <c r="AD17"/>
  <c r="AC17"/>
  <c r="AG17" s="1"/>
  <c r="V17"/>
  <c r="AO16"/>
  <c r="AM16" s="1"/>
  <c r="AD16"/>
  <c r="AH16" s="1"/>
  <c r="AC16"/>
  <c r="V16"/>
  <c r="AA59" s="1"/>
  <c r="F59" s="1"/>
  <c r="AO15"/>
  <c r="AM15" s="1"/>
  <c r="AD15"/>
  <c r="AH15" s="1"/>
  <c r="AC15"/>
  <c r="AG15" s="1"/>
  <c r="V15"/>
  <c r="Z61" s="1"/>
  <c r="D61" s="1"/>
  <c r="D73" s="1"/>
  <c r="F78" s="1"/>
  <c r="F82" s="1"/>
  <c r="E91" s="1"/>
  <c r="AD14"/>
  <c r="AH14" s="1"/>
  <c r="AC14"/>
  <c r="AG14" s="1"/>
  <c r="AD13"/>
  <c r="AH13" s="1"/>
  <c r="AC13"/>
  <c r="AO12"/>
  <c r="AM12" s="1"/>
  <c r="AD12"/>
  <c r="AH12" s="1"/>
  <c r="AC12"/>
  <c r="AG12" s="1"/>
  <c r="V12"/>
  <c r="AO11"/>
  <c r="AM11" s="1"/>
  <c r="AD11"/>
  <c r="AH11" s="1"/>
  <c r="AC11"/>
  <c r="V11"/>
  <c r="AO10"/>
  <c r="AM10" s="1"/>
  <c r="AD10"/>
  <c r="AH10" s="1"/>
  <c r="AC10"/>
  <c r="AG10" s="1"/>
  <c r="V10"/>
  <c r="AA61" s="1"/>
  <c r="F61" s="1"/>
  <c r="AO9"/>
  <c r="AM9" s="1"/>
  <c r="AD9"/>
  <c r="AH9" s="1"/>
  <c r="AC9"/>
  <c r="AG9" s="1"/>
  <c r="V9"/>
  <c r="Z59" s="1"/>
  <c r="D59" s="1"/>
  <c r="D71" s="1"/>
  <c r="F77" s="1"/>
  <c r="D86" s="1"/>
  <c r="E89" s="1"/>
  <c r="AD8"/>
  <c r="AH8" s="1"/>
  <c r="AC8"/>
  <c r="AG8" s="1"/>
  <c r="N3"/>
  <c r="X98" i="95"/>
  <c r="X97"/>
  <c r="X96"/>
  <c r="X95"/>
  <c r="X94"/>
  <c r="X93"/>
  <c r="X92"/>
  <c r="X91"/>
  <c r="X90"/>
  <c r="X89"/>
  <c r="X88"/>
  <c r="X87"/>
  <c r="AD86"/>
  <c r="AH86" s="1"/>
  <c r="AC86"/>
  <c r="AG86" s="1"/>
  <c r="X86"/>
  <c r="X85"/>
  <c r="X84"/>
  <c r="X83"/>
  <c r="AD82"/>
  <c r="AH82" s="1"/>
  <c r="AC82"/>
  <c r="AG82" s="1"/>
  <c r="X82"/>
  <c r="X81"/>
  <c r="X80"/>
  <c r="X79"/>
  <c r="AD78"/>
  <c r="AH78" s="1"/>
  <c r="AC78"/>
  <c r="AG78" s="1"/>
  <c r="X78"/>
  <c r="AD77"/>
  <c r="AH77" s="1"/>
  <c r="AC77"/>
  <c r="X77"/>
  <c r="X76"/>
  <c r="X75"/>
  <c r="X74"/>
  <c r="AD73"/>
  <c r="AH73" s="1"/>
  <c r="AC73"/>
  <c r="AL73" s="1"/>
  <c r="X73"/>
  <c r="AD72"/>
  <c r="AH72" s="1"/>
  <c r="AC72"/>
  <c r="AG72" s="1"/>
  <c r="X72"/>
  <c r="AD71"/>
  <c r="AC71"/>
  <c r="X71"/>
  <c r="AD70"/>
  <c r="AH70" s="1"/>
  <c r="AC70"/>
  <c r="AG70" s="1"/>
  <c r="X70"/>
  <c r="X69"/>
  <c r="AZ68"/>
  <c r="X68"/>
  <c r="AZ67"/>
  <c r="X67"/>
  <c r="AZ66"/>
  <c r="AD66"/>
  <c r="AC66"/>
  <c r="AA66"/>
  <c r="F66" s="1"/>
  <c r="F72" s="1"/>
  <c r="D78" s="1"/>
  <c r="F82" s="1"/>
  <c r="E91" s="1"/>
  <c r="X66"/>
  <c r="AZ65"/>
  <c r="AD65"/>
  <c r="AH65" s="1"/>
  <c r="AC65"/>
  <c r="AA65"/>
  <c r="F65" s="1"/>
  <c r="X65"/>
  <c r="AZ64"/>
  <c r="AD64"/>
  <c r="AH64" s="1"/>
  <c r="AC64"/>
  <c r="AL64" s="1"/>
  <c r="Z64"/>
  <c r="D64" s="1"/>
  <c r="F70" s="1"/>
  <c r="D77" s="1"/>
  <c r="D86" s="1"/>
  <c r="E90" s="1"/>
  <c r="X64"/>
  <c r="AZ63"/>
  <c r="AD63"/>
  <c r="AH63" s="1"/>
  <c r="AC63"/>
  <c r="X63"/>
  <c r="AZ62"/>
  <c r="AD62"/>
  <c r="AH62" s="1"/>
  <c r="AC62"/>
  <c r="AL62" s="1"/>
  <c r="AA62"/>
  <c r="F62" s="1"/>
  <c r="X62"/>
  <c r="AZ61"/>
  <c r="AD61"/>
  <c r="AH61" s="1"/>
  <c r="AC61"/>
  <c r="X61"/>
  <c r="AZ60"/>
  <c r="AD60"/>
  <c r="AH60" s="1"/>
  <c r="AC60"/>
  <c r="X60"/>
  <c r="AZ59"/>
  <c r="AD59"/>
  <c r="AH59" s="1"/>
  <c r="AC59"/>
  <c r="X59"/>
  <c r="AZ58"/>
  <c r="BA59" s="1"/>
  <c r="BB59" s="1"/>
  <c r="AA58"/>
  <c r="Z58"/>
  <c r="X58"/>
  <c r="AD55"/>
  <c r="AH55" s="1"/>
  <c r="AC55"/>
  <c r="AG55" s="1"/>
  <c r="AO54"/>
  <c r="AM54" s="1"/>
  <c r="AD54"/>
  <c r="AH54" s="1"/>
  <c r="AC54"/>
  <c r="V54"/>
  <c r="AO53"/>
  <c r="AM53" s="1"/>
  <c r="AD53"/>
  <c r="AH53" s="1"/>
  <c r="AC53"/>
  <c r="V53"/>
  <c r="AA64" s="1"/>
  <c r="F64" s="1"/>
  <c r="AO52"/>
  <c r="AM52" s="1"/>
  <c r="AD52"/>
  <c r="AH52" s="1"/>
  <c r="AC52"/>
  <c r="V52"/>
  <c r="AO51"/>
  <c r="AM51" s="1"/>
  <c r="AD51"/>
  <c r="AH51" s="1"/>
  <c r="AC51"/>
  <c r="V51"/>
  <c r="Z66" s="1"/>
  <c r="D66" s="1"/>
  <c r="AD50"/>
  <c r="AC50"/>
  <c r="AD49"/>
  <c r="AH49" s="1"/>
  <c r="AC49"/>
  <c r="AG49" s="1"/>
  <c r="AO48"/>
  <c r="AM48" s="1"/>
  <c r="AD48"/>
  <c r="AH48" s="1"/>
  <c r="AC48"/>
  <c r="V48"/>
  <c r="AO47"/>
  <c r="AM47" s="1"/>
  <c r="AD47"/>
  <c r="AH47" s="1"/>
  <c r="AC47"/>
  <c r="V47"/>
  <c r="AO46"/>
  <c r="AM46" s="1"/>
  <c r="AD46"/>
  <c r="AH46" s="1"/>
  <c r="AC46"/>
  <c r="V46"/>
  <c r="AO45"/>
  <c r="AM45" s="1"/>
  <c r="AD45"/>
  <c r="AH45" s="1"/>
  <c r="AC45"/>
  <c r="V45"/>
  <c r="AD44"/>
  <c r="AH44" s="1"/>
  <c r="AC44"/>
  <c r="AD43"/>
  <c r="AH43" s="1"/>
  <c r="AC43"/>
  <c r="AG43" s="1"/>
  <c r="AO42"/>
  <c r="AM42" s="1"/>
  <c r="AD42"/>
  <c r="AH42" s="1"/>
  <c r="AC42"/>
  <c r="V42"/>
  <c r="AA63" s="1"/>
  <c r="F63" s="1"/>
  <c r="AO41"/>
  <c r="AM41" s="1"/>
  <c r="AD41"/>
  <c r="AH41" s="1"/>
  <c r="AC41"/>
  <c r="V41"/>
  <c r="AO40"/>
  <c r="AM40" s="1"/>
  <c r="AD40"/>
  <c r="AH40" s="1"/>
  <c r="AC40"/>
  <c r="V40"/>
  <c r="AO39"/>
  <c r="AM39" s="1"/>
  <c r="AD39"/>
  <c r="AH39" s="1"/>
  <c r="AC39"/>
  <c r="V39"/>
  <c r="Z65" s="1"/>
  <c r="D65" s="1"/>
  <c r="D72" s="1"/>
  <c r="AD38"/>
  <c r="AH38" s="1"/>
  <c r="AC38"/>
  <c r="AD37"/>
  <c r="AH37" s="1"/>
  <c r="AC37"/>
  <c r="AO36"/>
  <c r="AM36" s="1"/>
  <c r="AH36"/>
  <c r="AD36"/>
  <c r="AC36"/>
  <c r="AK36" s="1"/>
  <c r="V36"/>
  <c r="AO35"/>
  <c r="AM35" s="1"/>
  <c r="AD35"/>
  <c r="AH35" s="1"/>
  <c r="AC35"/>
  <c r="V35"/>
  <c r="Z63" s="1"/>
  <c r="D63" s="1"/>
  <c r="D70" s="1"/>
  <c r="AO34"/>
  <c r="AM34" s="1"/>
  <c r="AD34"/>
  <c r="AH34" s="1"/>
  <c r="AC34"/>
  <c r="V34"/>
  <c r="AO33"/>
  <c r="AM33" s="1"/>
  <c r="AD33"/>
  <c r="AH33" s="1"/>
  <c r="AC33"/>
  <c r="V33"/>
  <c r="AD32"/>
  <c r="AH32" s="1"/>
  <c r="AC32"/>
  <c r="AD31"/>
  <c r="AH31" s="1"/>
  <c r="AC31"/>
  <c r="AO30"/>
  <c r="AM30" s="1"/>
  <c r="AD30"/>
  <c r="AH30" s="1"/>
  <c r="AC30"/>
  <c r="V30"/>
  <c r="Z62" s="1"/>
  <c r="D62" s="1"/>
  <c r="F73" s="1"/>
  <c r="F78" s="1"/>
  <c r="F86" s="1"/>
  <c r="E89" s="1"/>
  <c r="AO29"/>
  <c r="AM29" s="1"/>
  <c r="AD29"/>
  <c r="AH29" s="1"/>
  <c r="AC29"/>
  <c r="V29"/>
  <c r="AA60" s="1"/>
  <c r="F60" s="1"/>
  <c r="F71" s="1"/>
  <c r="AO28"/>
  <c r="AM28" s="1"/>
  <c r="AD28"/>
  <c r="AH28" s="1"/>
  <c r="AC28"/>
  <c r="V28"/>
  <c r="AO27"/>
  <c r="AM27" s="1"/>
  <c r="AD27"/>
  <c r="AH27" s="1"/>
  <c r="AC27"/>
  <c r="V27"/>
  <c r="AD26"/>
  <c r="AH26" s="1"/>
  <c r="AC26"/>
  <c r="AD25"/>
  <c r="AH25" s="1"/>
  <c r="AC25"/>
  <c r="AO24"/>
  <c r="AM24" s="1"/>
  <c r="AD24"/>
  <c r="AH24" s="1"/>
  <c r="AC24"/>
  <c r="AK24" s="1"/>
  <c r="V24"/>
  <c r="AO23"/>
  <c r="AM23" s="1"/>
  <c r="AD23"/>
  <c r="AH23" s="1"/>
  <c r="AC23"/>
  <c r="V23"/>
  <c r="AO22"/>
  <c r="AM22" s="1"/>
  <c r="AD22"/>
  <c r="AH22" s="1"/>
  <c r="AC22"/>
  <c r="V22"/>
  <c r="AO21"/>
  <c r="AM21" s="1"/>
  <c r="AD21"/>
  <c r="AH21" s="1"/>
  <c r="AC21"/>
  <c r="V21"/>
  <c r="Z60" s="1"/>
  <c r="D60" s="1"/>
  <c r="AD20"/>
  <c r="AH20" s="1"/>
  <c r="AC20"/>
  <c r="AD19"/>
  <c r="AH19" s="1"/>
  <c r="AC19"/>
  <c r="AL19" s="1"/>
  <c r="AO18"/>
  <c r="AM18" s="1"/>
  <c r="AD18"/>
  <c r="AH18" s="1"/>
  <c r="AC18"/>
  <c r="V18"/>
  <c r="AO17"/>
  <c r="AM17" s="1"/>
  <c r="AD17"/>
  <c r="AH17" s="1"/>
  <c r="AC17"/>
  <c r="V17"/>
  <c r="AO16"/>
  <c r="AM16" s="1"/>
  <c r="AD16"/>
  <c r="AH16" s="1"/>
  <c r="AC16"/>
  <c r="V16"/>
  <c r="AA59" s="1"/>
  <c r="F59" s="1"/>
  <c r="AO15"/>
  <c r="AM15" s="1"/>
  <c r="AD15"/>
  <c r="AH15" s="1"/>
  <c r="AC15"/>
  <c r="V15"/>
  <c r="Z61" s="1"/>
  <c r="D61" s="1"/>
  <c r="D73" s="1"/>
  <c r="AD14"/>
  <c r="AH14" s="1"/>
  <c r="AC14"/>
  <c r="AD13"/>
  <c r="AH13" s="1"/>
  <c r="AC13"/>
  <c r="AO12"/>
  <c r="AM12" s="1"/>
  <c r="AD12"/>
  <c r="AH12" s="1"/>
  <c r="AC12"/>
  <c r="AK12" s="1"/>
  <c r="V12"/>
  <c r="AO11"/>
  <c r="AM11" s="1"/>
  <c r="AD11"/>
  <c r="AH11" s="1"/>
  <c r="AC11"/>
  <c r="V11"/>
  <c r="AA61" s="1"/>
  <c r="F61" s="1"/>
  <c r="AO10"/>
  <c r="AM10" s="1"/>
  <c r="AD10"/>
  <c r="AH10" s="1"/>
  <c r="AC10"/>
  <c r="V10"/>
  <c r="AO9"/>
  <c r="AM9" s="1"/>
  <c r="AD9"/>
  <c r="AH9" s="1"/>
  <c r="AC9"/>
  <c r="V9"/>
  <c r="Z59" s="1"/>
  <c r="D59" s="1"/>
  <c r="D71" s="1"/>
  <c r="F77" s="1"/>
  <c r="D82" s="1"/>
  <c r="E92" s="1"/>
  <c r="AD8"/>
  <c r="AH8" s="1"/>
  <c r="AC8"/>
  <c r="N3"/>
  <c r="X98" i="94"/>
  <c r="X97"/>
  <c r="X96"/>
  <c r="X95"/>
  <c r="X94"/>
  <c r="X93"/>
  <c r="X92"/>
  <c r="E92"/>
  <c r="X91"/>
  <c r="E91"/>
  <c r="X90"/>
  <c r="E90"/>
  <c r="X89"/>
  <c r="E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X77"/>
  <c r="X76"/>
  <c r="X75"/>
  <c r="X74"/>
  <c r="AD73"/>
  <c r="AH73" s="1"/>
  <c r="AC73"/>
  <c r="X73"/>
  <c r="AD72"/>
  <c r="AH72" s="1"/>
  <c r="AC72"/>
  <c r="X72"/>
  <c r="AD71"/>
  <c r="AH71" s="1"/>
  <c r="AC71"/>
  <c r="X71"/>
  <c r="AD70"/>
  <c r="AH70" s="1"/>
  <c r="AC70"/>
  <c r="X70"/>
  <c r="X69"/>
  <c r="AZ68"/>
  <c r="X68"/>
  <c r="AZ67"/>
  <c r="X67"/>
  <c r="AZ66"/>
  <c r="AD66"/>
  <c r="AH66" s="1"/>
  <c r="AC66"/>
  <c r="Z66"/>
  <c r="X66"/>
  <c r="AZ65"/>
  <c r="AD65"/>
  <c r="AH65" s="1"/>
  <c r="AC65"/>
  <c r="X65"/>
  <c r="AZ64"/>
  <c r="AD64"/>
  <c r="AH64" s="1"/>
  <c r="AC64"/>
  <c r="X64"/>
  <c r="AZ63"/>
  <c r="AD63"/>
  <c r="AH63" s="1"/>
  <c r="AC63"/>
  <c r="AA63"/>
  <c r="X63"/>
  <c r="AZ62"/>
  <c r="AD62"/>
  <c r="AH62" s="1"/>
  <c r="AC62"/>
  <c r="Z62"/>
  <c r="X62"/>
  <c r="AZ61"/>
  <c r="AD61"/>
  <c r="AH61" s="1"/>
  <c r="AC61"/>
  <c r="X61"/>
  <c r="AZ60"/>
  <c r="AD60"/>
  <c r="AH60" s="1"/>
  <c r="AC60"/>
  <c r="Z60"/>
  <c r="X60"/>
  <c r="AZ59"/>
  <c r="AD59"/>
  <c r="AH59" s="1"/>
  <c r="AC59"/>
  <c r="X59"/>
  <c r="BA58"/>
  <c r="AZ58"/>
  <c r="AA58"/>
  <c r="Z58"/>
  <c r="X58"/>
  <c r="AD55"/>
  <c r="AH55" s="1"/>
  <c r="AC55"/>
  <c r="AO54"/>
  <c r="AM54" s="1"/>
  <c r="AD54"/>
  <c r="AH54" s="1"/>
  <c r="AC54"/>
  <c r="V54"/>
  <c r="AA64" s="1"/>
  <c r="AO53"/>
  <c r="AM53" s="1"/>
  <c r="AD53"/>
  <c r="AH53" s="1"/>
  <c r="AC53"/>
  <c r="V53"/>
  <c r="AO52"/>
  <c r="AM52" s="1"/>
  <c r="AD52"/>
  <c r="AH52" s="1"/>
  <c r="AC52"/>
  <c r="V52"/>
  <c r="AO51"/>
  <c r="AM51" s="1"/>
  <c r="AD51"/>
  <c r="AH51" s="1"/>
  <c r="AC51"/>
  <c r="V51"/>
  <c r="AD50"/>
  <c r="AH50" s="1"/>
  <c r="AC50"/>
  <c r="AD49"/>
  <c r="AH49" s="1"/>
  <c r="AC49"/>
  <c r="AO48"/>
  <c r="AM48" s="1"/>
  <c r="AD48"/>
  <c r="AH48" s="1"/>
  <c r="AC48"/>
  <c r="V48"/>
  <c r="AA66" s="1"/>
  <c r="AO47"/>
  <c r="AM47" s="1"/>
  <c r="AD47"/>
  <c r="AH47" s="1"/>
  <c r="AC47"/>
  <c r="V47"/>
  <c r="AO46"/>
  <c r="AM46" s="1"/>
  <c r="AD46"/>
  <c r="AH46" s="1"/>
  <c r="AC46"/>
  <c r="V46"/>
  <c r="AO45"/>
  <c r="AM45" s="1"/>
  <c r="AD45"/>
  <c r="AH45" s="1"/>
  <c r="AC45"/>
  <c r="V45"/>
  <c r="Z64" s="1"/>
  <c r="AD44"/>
  <c r="AH44" s="1"/>
  <c r="AC44"/>
  <c r="AG44" s="1"/>
  <c r="AD43"/>
  <c r="AC43"/>
  <c r="AO42"/>
  <c r="AM42" s="1"/>
  <c r="AD42"/>
  <c r="AH42" s="1"/>
  <c r="AC42"/>
  <c r="AG42" s="1"/>
  <c r="V42"/>
  <c r="AO41"/>
  <c r="AM41" s="1"/>
  <c r="AD41"/>
  <c r="AH41" s="1"/>
  <c r="AC41"/>
  <c r="V41"/>
  <c r="AO40"/>
  <c r="AM40"/>
  <c r="AD40"/>
  <c r="AH40" s="1"/>
  <c r="AC40"/>
  <c r="AG40" s="1"/>
  <c r="V40"/>
  <c r="AO39"/>
  <c r="AM39" s="1"/>
  <c r="AD39"/>
  <c r="AH39" s="1"/>
  <c r="AC39"/>
  <c r="V39"/>
  <c r="Z65" s="1"/>
  <c r="AD38"/>
  <c r="AH38" s="1"/>
  <c r="AC38"/>
  <c r="AG38" s="1"/>
  <c r="AD37"/>
  <c r="AH37" s="1"/>
  <c r="AC37"/>
  <c r="AO36"/>
  <c r="AM36" s="1"/>
  <c r="AD36"/>
  <c r="AH36" s="1"/>
  <c r="AC36"/>
  <c r="AG36" s="1"/>
  <c r="V36"/>
  <c r="AA65" s="1"/>
  <c r="AO35"/>
  <c r="AM35" s="1"/>
  <c r="AD35"/>
  <c r="AH35" s="1"/>
  <c r="AC35"/>
  <c r="AL35" s="1"/>
  <c r="V35"/>
  <c r="Z63" s="1"/>
  <c r="AO34"/>
  <c r="AM34" s="1"/>
  <c r="AD34"/>
  <c r="AH34" s="1"/>
  <c r="AC34"/>
  <c r="AG34" s="1"/>
  <c r="V34"/>
  <c r="AO33"/>
  <c r="AM33" s="1"/>
  <c r="AD33"/>
  <c r="AH33" s="1"/>
  <c r="AC33"/>
  <c r="V33"/>
  <c r="AD32"/>
  <c r="AH32" s="1"/>
  <c r="AC32"/>
  <c r="AG32" s="1"/>
  <c r="AD31"/>
  <c r="AC31"/>
  <c r="AO30"/>
  <c r="AM30" s="1"/>
  <c r="AD30"/>
  <c r="AH30" s="1"/>
  <c r="AC30"/>
  <c r="AG30" s="1"/>
  <c r="V30"/>
  <c r="AO29"/>
  <c r="AM29" s="1"/>
  <c r="AD29"/>
  <c r="AH29" s="1"/>
  <c r="AC29"/>
  <c r="V29"/>
  <c r="AO28"/>
  <c r="AM28" s="1"/>
  <c r="AD28"/>
  <c r="AH28" s="1"/>
  <c r="AC28"/>
  <c r="AG28" s="1"/>
  <c r="V28"/>
  <c r="AO27"/>
  <c r="AM27" s="1"/>
  <c r="AD27"/>
  <c r="AH27" s="1"/>
  <c r="AC27"/>
  <c r="V27"/>
  <c r="AA60" s="1"/>
  <c r="AD26"/>
  <c r="AH26" s="1"/>
  <c r="AC26"/>
  <c r="AG26" s="1"/>
  <c r="AD25"/>
  <c r="AH25" s="1"/>
  <c r="AC25"/>
  <c r="AO24"/>
  <c r="AM24" s="1"/>
  <c r="AD24"/>
  <c r="AH24" s="1"/>
  <c r="AC24"/>
  <c r="AG24" s="1"/>
  <c r="V24"/>
  <c r="AO23"/>
  <c r="AM23" s="1"/>
  <c r="AD23"/>
  <c r="AH23" s="1"/>
  <c r="AC23"/>
  <c r="V23"/>
  <c r="AO22"/>
  <c r="AM22" s="1"/>
  <c r="AD22"/>
  <c r="AH22" s="1"/>
  <c r="AC22"/>
  <c r="AG22" s="1"/>
  <c r="V22"/>
  <c r="AA62" s="1"/>
  <c r="AO21"/>
  <c r="AM21" s="1"/>
  <c r="AD21"/>
  <c r="AH21" s="1"/>
  <c r="AC21"/>
  <c r="AL21" s="1"/>
  <c r="V21"/>
  <c r="AD20"/>
  <c r="AH20" s="1"/>
  <c r="AC20"/>
  <c r="AD19"/>
  <c r="AC19"/>
  <c r="AO18"/>
  <c r="AM18" s="1"/>
  <c r="AD18"/>
  <c r="AH18" s="1"/>
  <c r="AC18"/>
  <c r="V18"/>
  <c r="AO17"/>
  <c r="AM17" s="1"/>
  <c r="AD17"/>
  <c r="AH17" s="1"/>
  <c r="AC17"/>
  <c r="AL17" s="1"/>
  <c r="V17"/>
  <c r="AO16"/>
  <c r="AM16" s="1"/>
  <c r="AD16"/>
  <c r="AH16" s="1"/>
  <c r="AC16"/>
  <c r="V16"/>
  <c r="Z61" s="1"/>
  <c r="AO15"/>
  <c r="AM15" s="1"/>
  <c r="AD15"/>
  <c r="AH15" s="1"/>
  <c r="AC15"/>
  <c r="V15"/>
  <c r="AA59" s="1"/>
  <c r="AD14"/>
  <c r="AH14" s="1"/>
  <c r="AC14"/>
  <c r="AD13"/>
  <c r="AH13" s="1"/>
  <c r="AC13"/>
  <c r="AO12"/>
  <c r="AM12" s="1"/>
  <c r="AD12"/>
  <c r="AH12" s="1"/>
  <c r="AC12"/>
  <c r="V12"/>
  <c r="AO11"/>
  <c r="AM11" s="1"/>
  <c r="AD11"/>
  <c r="AH11" s="1"/>
  <c r="AC11"/>
  <c r="V11"/>
  <c r="AA61" s="1"/>
  <c r="AO10"/>
  <c r="AM10" s="1"/>
  <c r="AD10"/>
  <c r="AH10" s="1"/>
  <c r="AC10"/>
  <c r="V10"/>
  <c r="AO9"/>
  <c r="AM9" s="1"/>
  <c r="AD9"/>
  <c r="AH9" s="1"/>
  <c r="AC9"/>
  <c r="AG9" s="1"/>
  <c r="V9"/>
  <c r="Z59" s="1"/>
  <c r="AD8"/>
  <c r="AH8" s="1"/>
  <c r="AC8"/>
  <c r="U3"/>
  <c r="N3"/>
  <c r="X98" i="93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X77"/>
  <c r="X76"/>
  <c r="X75"/>
  <c r="X74"/>
  <c r="AD73"/>
  <c r="AH73" s="1"/>
  <c r="AC73"/>
  <c r="X73"/>
  <c r="AD72"/>
  <c r="AH72" s="1"/>
  <c r="AC72"/>
  <c r="X72"/>
  <c r="AD71"/>
  <c r="AH71" s="1"/>
  <c r="AC71"/>
  <c r="X71"/>
  <c r="AD70"/>
  <c r="AH70" s="1"/>
  <c r="AC70"/>
  <c r="X70"/>
  <c r="X69"/>
  <c r="AZ68"/>
  <c r="X68"/>
  <c r="AZ67"/>
  <c r="X67"/>
  <c r="AZ66"/>
  <c r="AD66"/>
  <c r="AH66" s="1"/>
  <c r="AC66"/>
  <c r="X66"/>
  <c r="AZ65"/>
  <c r="AH65"/>
  <c r="AD65"/>
  <c r="AC65"/>
  <c r="AK65" s="1"/>
  <c r="X65"/>
  <c r="AZ64"/>
  <c r="AD64"/>
  <c r="AH64" s="1"/>
  <c r="AC64"/>
  <c r="AK64" s="1"/>
  <c r="X64"/>
  <c r="BA63"/>
  <c r="BB63" s="1"/>
  <c r="AZ63"/>
  <c r="AD63"/>
  <c r="AH63" s="1"/>
  <c r="AC63"/>
  <c r="AK63" s="1"/>
  <c r="X63"/>
  <c r="BA62"/>
  <c r="BB62" s="1"/>
  <c r="AZ62"/>
  <c r="AD62"/>
  <c r="AH62" s="1"/>
  <c r="AC62"/>
  <c r="X62"/>
  <c r="BA61"/>
  <c r="BB61" s="1"/>
  <c r="AZ61"/>
  <c r="AD61"/>
  <c r="AH61" s="1"/>
  <c r="AC61"/>
  <c r="X61"/>
  <c r="BA60"/>
  <c r="BB60" s="1"/>
  <c r="AZ60"/>
  <c r="AD60"/>
  <c r="AH60" s="1"/>
  <c r="AC60"/>
  <c r="AK60" s="1"/>
  <c r="X60"/>
  <c r="BA59"/>
  <c r="BB59" s="1"/>
  <c r="AZ59"/>
  <c r="AD59"/>
  <c r="AH59" s="1"/>
  <c r="AC59"/>
  <c r="X59"/>
  <c r="BA58"/>
  <c r="AZ58"/>
  <c r="AA58"/>
  <c r="Z58"/>
  <c r="X58"/>
  <c r="AD55"/>
  <c r="AH55" s="1"/>
  <c r="AC55"/>
  <c r="AO54"/>
  <c r="AM54" s="1"/>
  <c r="AD54"/>
  <c r="AH54" s="1"/>
  <c r="AC54"/>
  <c r="V54"/>
  <c r="AO53"/>
  <c r="AM53" s="1"/>
  <c r="AD53"/>
  <c r="AH53" s="1"/>
  <c r="AC53"/>
  <c r="V53"/>
  <c r="AA64" s="1"/>
  <c r="F64" s="1"/>
  <c r="AO52"/>
  <c r="AM52" s="1"/>
  <c r="AD52"/>
  <c r="AH52" s="1"/>
  <c r="AC52"/>
  <c r="V52"/>
  <c r="AO51"/>
  <c r="AM51" s="1"/>
  <c r="AD51"/>
  <c r="AH51" s="1"/>
  <c r="AC51"/>
  <c r="V51"/>
  <c r="Z66" s="1"/>
  <c r="D66" s="1"/>
  <c r="AD50"/>
  <c r="AH50" s="1"/>
  <c r="AC50"/>
  <c r="AD49"/>
  <c r="AH49" s="1"/>
  <c r="AC49"/>
  <c r="AO48"/>
  <c r="AM48" s="1"/>
  <c r="AD48"/>
  <c r="AH48" s="1"/>
  <c r="AC48"/>
  <c r="V48"/>
  <c r="AO47"/>
  <c r="AM47" s="1"/>
  <c r="AD47"/>
  <c r="AH47" s="1"/>
  <c r="AC47"/>
  <c r="V47"/>
  <c r="AO46"/>
  <c r="AM46" s="1"/>
  <c r="AD46"/>
  <c r="AH46" s="1"/>
  <c r="AC46"/>
  <c r="V46"/>
  <c r="AA66" s="1"/>
  <c r="F66" s="1"/>
  <c r="F72" s="1"/>
  <c r="AO45"/>
  <c r="AM45" s="1"/>
  <c r="AD45"/>
  <c r="AH45" s="1"/>
  <c r="AC45"/>
  <c r="V45"/>
  <c r="Z64" s="1"/>
  <c r="D64" s="1"/>
  <c r="F70" s="1"/>
  <c r="D77" s="1"/>
  <c r="D82" s="1"/>
  <c r="E92" s="1"/>
  <c r="AD44"/>
  <c r="AH44" s="1"/>
  <c r="AC44"/>
  <c r="AD43"/>
  <c r="AH43" s="1"/>
  <c r="AC43"/>
  <c r="AO42"/>
  <c r="AM42" s="1"/>
  <c r="AD42"/>
  <c r="AH42" s="1"/>
  <c r="AC42"/>
  <c r="V42"/>
  <c r="AA63" s="1"/>
  <c r="F63" s="1"/>
  <c r="AO41"/>
  <c r="AM41" s="1"/>
  <c r="AD41"/>
  <c r="AH41" s="1"/>
  <c r="AC41"/>
  <c r="V41"/>
  <c r="AO40"/>
  <c r="AM40" s="1"/>
  <c r="AD40"/>
  <c r="AH40" s="1"/>
  <c r="AC40"/>
  <c r="V40"/>
  <c r="AO39"/>
  <c r="AM39" s="1"/>
  <c r="AD39"/>
  <c r="AH39" s="1"/>
  <c r="AC39"/>
  <c r="V39"/>
  <c r="Z65" s="1"/>
  <c r="D65" s="1"/>
  <c r="D72" s="1"/>
  <c r="D78" s="1"/>
  <c r="F82" s="1"/>
  <c r="E91" s="1"/>
  <c r="AD38"/>
  <c r="AH38" s="1"/>
  <c r="AC38"/>
  <c r="AD37"/>
  <c r="AH37" s="1"/>
  <c r="AC37"/>
  <c r="AO36"/>
  <c r="AM36" s="1"/>
  <c r="AD36"/>
  <c r="AH36" s="1"/>
  <c r="AC36"/>
  <c r="V36"/>
  <c r="AO35"/>
  <c r="AM35" s="1"/>
  <c r="AD35"/>
  <c r="AH35" s="1"/>
  <c r="AC35"/>
  <c r="V35"/>
  <c r="Z63" s="1"/>
  <c r="D63" s="1"/>
  <c r="D70" s="1"/>
  <c r="AO34"/>
  <c r="AM34" s="1"/>
  <c r="AD34"/>
  <c r="AH34" s="1"/>
  <c r="AC34"/>
  <c r="V34"/>
  <c r="AO33"/>
  <c r="AM33" s="1"/>
  <c r="AD33"/>
  <c r="AH33" s="1"/>
  <c r="AC33"/>
  <c r="V33"/>
  <c r="AA65" s="1"/>
  <c r="F65" s="1"/>
  <c r="AD32"/>
  <c r="AH32" s="1"/>
  <c r="AC32"/>
  <c r="AK32" s="1"/>
  <c r="AD31"/>
  <c r="AH31" s="1"/>
  <c r="AC31"/>
  <c r="AO30"/>
  <c r="AM30" s="1"/>
  <c r="AD30"/>
  <c r="AH30" s="1"/>
  <c r="AC30"/>
  <c r="V30"/>
  <c r="Z62" s="1"/>
  <c r="D62" s="1"/>
  <c r="F73" s="1"/>
  <c r="AO29"/>
  <c r="AM29" s="1"/>
  <c r="AD29"/>
  <c r="AH29" s="1"/>
  <c r="AC29"/>
  <c r="V29"/>
  <c r="AA60" s="1"/>
  <c r="F60" s="1"/>
  <c r="F71" s="1"/>
  <c r="AO28"/>
  <c r="AM28" s="1"/>
  <c r="AD28"/>
  <c r="AH28" s="1"/>
  <c r="AC28"/>
  <c r="V28"/>
  <c r="AO27"/>
  <c r="AM27" s="1"/>
  <c r="AD27"/>
  <c r="AH27" s="1"/>
  <c r="AC27"/>
  <c r="V27"/>
  <c r="AD26"/>
  <c r="AH26" s="1"/>
  <c r="AC26"/>
  <c r="AD25"/>
  <c r="AH25" s="1"/>
  <c r="AC25"/>
  <c r="AO24"/>
  <c r="AM24" s="1"/>
  <c r="AD24"/>
  <c r="AH24" s="1"/>
  <c r="AC24"/>
  <c r="V24"/>
  <c r="AO23"/>
  <c r="AM23" s="1"/>
  <c r="AD23"/>
  <c r="AH23" s="1"/>
  <c r="AC23"/>
  <c r="V23"/>
  <c r="AO22"/>
  <c r="AM22" s="1"/>
  <c r="AD22"/>
  <c r="AH22" s="1"/>
  <c r="AC22"/>
  <c r="V22"/>
  <c r="AA62" s="1"/>
  <c r="F62" s="1"/>
  <c r="AO21"/>
  <c r="AM21" s="1"/>
  <c r="AD21"/>
  <c r="AH21" s="1"/>
  <c r="AC21"/>
  <c r="V21"/>
  <c r="Z60" s="1"/>
  <c r="D60" s="1"/>
  <c r="AH20"/>
  <c r="AD20"/>
  <c r="AC20"/>
  <c r="AK20" s="1"/>
  <c r="AD19"/>
  <c r="AH19" s="1"/>
  <c r="AC19"/>
  <c r="AO18"/>
  <c r="AM18" s="1"/>
  <c r="AD18"/>
  <c r="AH18" s="1"/>
  <c r="AC18"/>
  <c r="V18"/>
  <c r="AO17"/>
  <c r="AM17" s="1"/>
  <c r="AD17"/>
  <c r="AH17" s="1"/>
  <c r="AC17"/>
  <c r="V17"/>
  <c r="AO16"/>
  <c r="AM16" s="1"/>
  <c r="AD16"/>
  <c r="AH16" s="1"/>
  <c r="AC16"/>
  <c r="V16"/>
  <c r="AA59" s="1"/>
  <c r="F59" s="1"/>
  <c r="AO15"/>
  <c r="AM15" s="1"/>
  <c r="AD15"/>
  <c r="AH15" s="1"/>
  <c r="AC15"/>
  <c r="V15"/>
  <c r="Z61" s="1"/>
  <c r="D61" s="1"/>
  <c r="D73" s="1"/>
  <c r="F78" s="1"/>
  <c r="F86" s="1"/>
  <c r="E90" s="1"/>
  <c r="AD14"/>
  <c r="AH14" s="1"/>
  <c r="AC14"/>
  <c r="AD13"/>
  <c r="AH13" s="1"/>
  <c r="AC13"/>
  <c r="AO12"/>
  <c r="AM12" s="1"/>
  <c r="AD12"/>
  <c r="AH12" s="1"/>
  <c r="AC12"/>
  <c r="V12"/>
  <c r="AO11"/>
  <c r="AM11" s="1"/>
  <c r="AD11"/>
  <c r="AH11" s="1"/>
  <c r="AC11"/>
  <c r="V11"/>
  <c r="AA61" s="1"/>
  <c r="F61" s="1"/>
  <c r="AO10"/>
  <c r="AM10" s="1"/>
  <c r="AD10"/>
  <c r="AH10" s="1"/>
  <c r="AC10"/>
  <c r="V10"/>
  <c r="AO9"/>
  <c r="AM9" s="1"/>
  <c r="AD9"/>
  <c r="AH9" s="1"/>
  <c r="AC9"/>
  <c r="V9"/>
  <c r="Z59" s="1"/>
  <c r="D59" s="1"/>
  <c r="D71" s="1"/>
  <c r="F77" s="1"/>
  <c r="D86" s="1"/>
  <c r="E89" s="1"/>
  <c r="AD8"/>
  <c r="AH8" s="1"/>
  <c r="AC8"/>
  <c r="N3"/>
  <c r="X98" i="92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X77"/>
  <c r="X76"/>
  <c r="X75"/>
  <c r="X74"/>
  <c r="AD73"/>
  <c r="AH73" s="1"/>
  <c r="AC73"/>
  <c r="X73"/>
  <c r="AD72"/>
  <c r="AH72" s="1"/>
  <c r="AC72"/>
  <c r="X72"/>
  <c r="AD71"/>
  <c r="AH71" s="1"/>
  <c r="AC71"/>
  <c r="X71"/>
  <c r="AD70"/>
  <c r="AH70" s="1"/>
  <c r="AC70"/>
  <c r="X70"/>
  <c r="X69"/>
  <c r="AZ68"/>
  <c r="X68"/>
  <c r="AZ67"/>
  <c r="X67"/>
  <c r="AZ66"/>
  <c r="AD66"/>
  <c r="AH66" s="1"/>
  <c r="AC66"/>
  <c r="X66"/>
  <c r="AZ65"/>
  <c r="AD65"/>
  <c r="AH65" s="1"/>
  <c r="AC65"/>
  <c r="X65"/>
  <c r="AZ64"/>
  <c r="AD64"/>
  <c r="AH64" s="1"/>
  <c r="AC64"/>
  <c r="X64"/>
  <c r="AZ63"/>
  <c r="AD63"/>
  <c r="AH63" s="1"/>
  <c r="AC63"/>
  <c r="X63"/>
  <c r="AZ62"/>
  <c r="AD62"/>
  <c r="AH62" s="1"/>
  <c r="AC62"/>
  <c r="X62"/>
  <c r="AZ61"/>
  <c r="AD61"/>
  <c r="AH61" s="1"/>
  <c r="AC61"/>
  <c r="X61"/>
  <c r="AZ60"/>
  <c r="AD60"/>
  <c r="AH60" s="1"/>
  <c r="AC60"/>
  <c r="X60"/>
  <c r="AZ59"/>
  <c r="AD59"/>
  <c r="AH59" s="1"/>
  <c r="AC59"/>
  <c r="X59"/>
  <c r="AZ58"/>
  <c r="BA67" s="1"/>
  <c r="BB67" s="1"/>
  <c r="AA58"/>
  <c r="Z58"/>
  <c r="X58"/>
  <c r="AD55"/>
  <c r="AH55" s="1"/>
  <c r="AC55"/>
  <c r="AO54"/>
  <c r="AM54" s="1"/>
  <c r="AD54"/>
  <c r="AH54" s="1"/>
  <c r="AC54"/>
  <c r="V54"/>
  <c r="Z66" s="1"/>
  <c r="D66" s="1"/>
  <c r="F72" s="1"/>
  <c r="AO53"/>
  <c r="AM53" s="1"/>
  <c r="AD53"/>
  <c r="AH53" s="1"/>
  <c r="AC53"/>
  <c r="V53"/>
  <c r="AA64" s="1"/>
  <c r="F64" s="1"/>
  <c r="AO52"/>
  <c r="AM52" s="1"/>
  <c r="AD52"/>
  <c r="AH52" s="1"/>
  <c r="AC52"/>
  <c r="V52"/>
  <c r="AO51"/>
  <c r="AM51" s="1"/>
  <c r="AD51"/>
  <c r="AH51" s="1"/>
  <c r="AC51"/>
  <c r="V51"/>
  <c r="AD50"/>
  <c r="AH50" s="1"/>
  <c r="AC50"/>
  <c r="AD49"/>
  <c r="AH49" s="1"/>
  <c r="AC49"/>
  <c r="AO48"/>
  <c r="AM48" s="1"/>
  <c r="AD48"/>
  <c r="AH48" s="1"/>
  <c r="AC48"/>
  <c r="V48"/>
  <c r="AO47"/>
  <c r="AM47" s="1"/>
  <c r="AD47"/>
  <c r="AH47" s="1"/>
  <c r="AC47"/>
  <c r="V47"/>
  <c r="AO46"/>
  <c r="AM46" s="1"/>
  <c r="AD46"/>
  <c r="AH46" s="1"/>
  <c r="AC46"/>
  <c r="V46"/>
  <c r="AA66" s="1"/>
  <c r="F66" s="1"/>
  <c r="AO45"/>
  <c r="AM45" s="1"/>
  <c r="AD45"/>
  <c r="AH45" s="1"/>
  <c r="AC45"/>
  <c r="V45"/>
  <c r="Z64" s="1"/>
  <c r="D64" s="1"/>
  <c r="F70" s="1"/>
  <c r="D77" s="1"/>
  <c r="D86" s="1"/>
  <c r="E89" s="1"/>
  <c r="AD44"/>
  <c r="AH44" s="1"/>
  <c r="AC44"/>
  <c r="AD43"/>
  <c r="AH43" s="1"/>
  <c r="AC43"/>
  <c r="AO42"/>
  <c r="AM42" s="1"/>
  <c r="AD42"/>
  <c r="AH42" s="1"/>
  <c r="AC42"/>
  <c r="V42"/>
  <c r="Z65" s="1"/>
  <c r="D65" s="1"/>
  <c r="D72" s="1"/>
  <c r="D78" s="1"/>
  <c r="F82" s="1"/>
  <c r="E91" s="1"/>
  <c r="AO41"/>
  <c r="AM41" s="1"/>
  <c r="AD41"/>
  <c r="AH41" s="1"/>
  <c r="AC41"/>
  <c r="V41"/>
  <c r="AA63" s="1"/>
  <c r="F63" s="1"/>
  <c r="AO40"/>
  <c r="AM40" s="1"/>
  <c r="AD40"/>
  <c r="AH40" s="1"/>
  <c r="AC40"/>
  <c r="V40"/>
  <c r="AO39"/>
  <c r="AM39" s="1"/>
  <c r="AD39"/>
  <c r="AH39" s="1"/>
  <c r="AC39"/>
  <c r="V39"/>
  <c r="AD38"/>
  <c r="AH38" s="1"/>
  <c r="AC38"/>
  <c r="AD37"/>
  <c r="AH37" s="1"/>
  <c r="AC37"/>
  <c r="AO36"/>
  <c r="AM36" s="1"/>
  <c r="AD36"/>
  <c r="AH36" s="1"/>
  <c r="AC36"/>
  <c r="V36"/>
  <c r="AO35"/>
  <c r="AM35" s="1"/>
  <c r="AD35"/>
  <c r="AH35" s="1"/>
  <c r="AC35"/>
  <c r="V35"/>
  <c r="Z63" s="1"/>
  <c r="D63" s="1"/>
  <c r="D70" s="1"/>
  <c r="AO34"/>
  <c r="AM34" s="1"/>
  <c r="AD34"/>
  <c r="AH34" s="1"/>
  <c r="AC34"/>
  <c r="V34"/>
  <c r="AA65" s="1"/>
  <c r="F65" s="1"/>
  <c r="AO33"/>
  <c r="AM33" s="1"/>
  <c r="AD33"/>
  <c r="AH33" s="1"/>
  <c r="AC33"/>
  <c r="V33"/>
  <c r="AD32"/>
  <c r="AH32" s="1"/>
  <c r="AC32"/>
  <c r="AG32" s="1"/>
  <c r="AD31"/>
  <c r="AC31"/>
  <c r="AO30"/>
  <c r="AM30" s="1"/>
  <c r="AD30"/>
  <c r="AH30" s="1"/>
  <c r="AC30"/>
  <c r="AG30" s="1"/>
  <c r="V30"/>
  <c r="AA60" s="1"/>
  <c r="F60" s="1"/>
  <c r="AO29"/>
  <c r="AM29" s="1"/>
  <c r="AD29"/>
  <c r="AH29" s="1"/>
  <c r="AC29"/>
  <c r="V29"/>
  <c r="Z62" s="1"/>
  <c r="D62" s="1"/>
  <c r="AO28"/>
  <c r="AM28" s="1"/>
  <c r="AD28"/>
  <c r="AH28" s="1"/>
  <c r="AC28"/>
  <c r="AG28" s="1"/>
  <c r="V28"/>
  <c r="AO27"/>
  <c r="AM27" s="1"/>
  <c r="AD27"/>
  <c r="AH27" s="1"/>
  <c r="AC27"/>
  <c r="V27"/>
  <c r="AD26"/>
  <c r="AH26" s="1"/>
  <c r="AC26"/>
  <c r="AG26" s="1"/>
  <c r="AD25"/>
  <c r="AH25" s="1"/>
  <c r="AC25"/>
  <c r="AL25" s="1"/>
  <c r="AO24"/>
  <c r="AM24" s="1"/>
  <c r="AD24"/>
  <c r="AH24" s="1"/>
  <c r="AC24"/>
  <c r="AG24" s="1"/>
  <c r="V24"/>
  <c r="Z60" s="1"/>
  <c r="D60" s="1"/>
  <c r="F71" s="1"/>
  <c r="AO23"/>
  <c r="AM23" s="1"/>
  <c r="AD23"/>
  <c r="AH23" s="1"/>
  <c r="AC23"/>
  <c r="V23"/>
  <c r="AA62" s="1"/>
  <c r="F62" s="1"/>
  <c r="F73" s="1"/>
  <c r="AO22"/>
  <c r="AM22" s="1"/>
  <c r="AD22"/>
  <c r="AH22" s="1"/>
  <c r="AC22"/>
  <c r="AG22" s="1"/>
  <c r="V22"/>
  <c r="AO21"/>
  <c r="AM21" s="1"/>
  <c r="AD21"/>
  <c r="AH21" s="1"/>
  <c r="AC21"/>
  <c r="V21"/>
  <c r="AD20"/>
  <c r="AH20" s="1"/>
  <c r="AC20"/>
  <c r="AG20" s="1"/>
  <c r="AD19"/>
  <c r="AC19"/>
  <c r="AO18"/>
  <c r="AM18" s="1"/>
  <c r="AD18"/>
  <c r="AH18" s="1"/>
  <c r="AC18"/>
  <c r="AG18" s="1"/>
  <c r="V18"/>
  <c r="AO17"/>
  <c r="AM17" s="1"/>
  <c r="AD17"/>
  <c r="AH17" s="1"/>
  <c r="AC17"/>
  <c r="V17"/>
  <c r="AO16"/>
  <c r="AM16" s="1"/>
  <c r="AD16"/>
  <c r="AH16" s="1"/>
  <c r="AC16"/>
  <c r="V16"/>
  <c r="AA59" s="1"/>
  <c r="F59" s="1"/>
  <c r="AO15"/>
  <c r="AM15" s="1"/>
  <c r="AD15"/>
  <c r="AH15" s="1"/>
  <c r="AC15"/>
  <c r="V15"/>
  <c r="Z61" s="1"/>
  <c r="D61" s="1"/>
  <c r="D73" s="1"/>
  <c r="F78" s="1"/>
  <c r="F86" s="1"/>
  <c r="E90" s="1"/>
  <c r="AD14"/>
  <c r="AH14" s="1"/>
  <c r="AC14"/>
  <c r="AD13"/>
  <c r="AH13" s="1"/>
  <c r="AC13"/>
  <c r="AO12"/>
  <c r="AM12" s="1"/>
  <c r="AD12"/>
  <c r="AH12" s="1"/>
  <c r="AC12"/>
  <c r="V12"/>
  <c r="AA61" s="1"/>
  <c r="F61" s="1"/>
  <c r="AO11"/>
  <c r="AM11" s="1"/>
  <c r="AD11"/>
  <c r="AH11" s="1"/>
  <c r="AC11"/>
  <c r="V11"/>
  <c r="AO10"/>
  <c r="AM10" s="1"/>
  <c r="AD10"/>
  <c r="AH10" s="1"/>
  <c r="AC10"/>
  <c r="V10"/>
  <c r="AO9"/>
  <c r="AM9" s="1"/>
  <c r="AD9"/>
  <c r="AH9" s="1"/>
  <c r="AC9"/>
  <c r="AG9" s="1"/>
  <c r="V9"/>
  <c r="Z59" s="1"/>
  <c r="D59" s="1"/>
  <c r="D71" s="1"/>
  <c r="F77" s="1"/>
  <c r="D82" s="1"/>
  <c r="E92" s="1"/>
  <c r="AD8"/>
  <c r="AH8" s="1"/>
  <c r="AC8"/>
  <c r="N3"/>
  <c r="X98" i="91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X77"/>
  <c r="X76"/>
  <c r="X75"/>
  <c r="X74"/>
  <c r="AD73"/>
  <c r="AH73" s="1"/>
  <c r="AC73"/>
  <c r="X73"/>
  <c r="AD72"/>
  <c r="AH72" s="1"/>
  <c r="AC72"/>
  <c r="X72"/>
  <c r="AD71"/>
  <c r="AH71" s="1"/>
  <c r="AC71"/>
  <c r="X71"/>
  <c r="AD70"/>
  <c r="AH70" s="1"/>
  <c r="AC70"/>
  <c r="X70"/>
  <c r="X69"/>
  <c r="AZ68"/>
  <c r="X68"/>
  <c r="AZ67"/>
  <c r="X67"/>
  <c r="AZ66"/>
  <c r="AD66"/>
  <c r="AH66" s="1"/>
  <c r="AC66"/>
  <c r="X66"/>
  <c r="AZ65"/>
  <c r="AD65"/>
  <c r="AH65" s="1"/>
  <c r="AC65"/>
  <c r="X65"/>
  <c r="AZ64"/>
  <c r="AD64"/>
  <c r="AH64" s="1"/>
  <c r="AC64"/>
  <c r="X64"/>
  <c r="AZ63"/>
  <c r="AD63"/>
  <c r="AH63" s="1"/>
  <c r="AC63"/>
  <c r="X63"/>
  <c r="AZ62"/>
  <c r="AD62"/>
  <c r="AH62" s="1"/>
  <c r="AC62"/>
  <c r="X62"/>
  <c r="AZ61"/>
  <c r="AD61"/>
  <c r="AH61" s="1"/>
  <c r="AC61"/>
  <c r="AK61" s="1"/>
  <c r="X61"/>
  <c r="BA60"/>
  <c r="BB60" s="1"/>
  <c r="AZ60"/>
  <c r="AD60"/>
  <c r="AH60" s="1"/>
  <c r="AC60"/>
  <c r="X60"/>
  <c r="BA59"/>
  <c r="BB59" s="1"/>
  <c r="AZ59"/>
  <c r="AD59"/>
  <c r="AH59" s="1"/>
  <c r="AC59"/>
  <c r="X59"/>
  <c r="BA58"/>
  <c r="AZ58"/>
  <c r="BA67" s="1"/>
  <c r="BB67" s="1"/>
  <c r="AA58"/>
  <c r="Z58"/>
  <c r="X58"/>
  <c r="AD55"/>
  <c r="AH55" s="1"/>
  <c r="AC55"/>
  <c r="AO54"/>
  <c r="AM54" s="1"/>
  <c r="AD54"/>
  <c r="AH54" s="1"/>
  <c r="AC54"/>
  <c r="V54"/>
  <c r="AO53"/>
  <c r="AM53" s="1"/>
  <c r="AD53"/>
  <c r="AH53" s="1"/>
  <c r="AC53"/>
  <c r="V53"/>
  <c r="AA64" s="1"/>
  <c r="F64" s="1"/>
  <c r="F70" s="1"/>
  <c r="D77" s="1"/>
  <c r="D82" s="1"/>
  <c r="E92" s="1"/>
  <c r="AO52"/>
  <c r="AM52" s="1"/>
  <c r="AD52"/>
  <c r="AH52" s="1"/>
  <c r="AC52"/>
  <c r="V52"/>
  <c r="AO51"/>
  <c r="AM51" s="1"/>
  <c r="AD51"/>
  <c r="AH51" s="1"/>
  <c r="AC51"/>
  <c r="V51"/>
  <c r="Z66" s="1"/>
  <c r="D66" s="1"/>
  <c r="F72" s="1"/>
  <c r="D78" s="1"/>
  <c r="F82" s="1"/>
  <c r="E91" s="1"/>
  <c r="AD50"/>
  <c r="AH50" s="1"/>
  <c r="AC50"/>
  <c r="AD49"/>
  <c r="AH49" s="1"/>
  <c r="AC49"/>
  <c r="AO48"/>
  <c r="AM48" s="1"/>
  <c r="AD48"/>
  <c r="AH48" s="1"/>
  <c r="AC48"/>
  <c r="V48"/>
  <c r="AO47"/>
  <c r="AM47" s="1"/>
  <c r="AD47"/>
  <c r="AH47" s="1"/>
  <c r="AC47"/>
  <c r="V47"/>
  <c r="AA66" s="1"/>
  <c r="F66" s="1"/>
  <c r="AO46"/>
  <c r="AM46" s="1"/>
  <c r="AD46"/>
  <c r="AH46" s="1"/>
  <c r="AC46"/>
  <c r="V46"/>
  <c r="AO45"/>
  <c r="AM45" s="1"/>
  <c r="AD45"/>
  <c r="AH45" s="1"/>
  <c r="AC45"/>
  <c r="V45"/>
  <c r="Z64" s="1"/>
  <c r="D64" s="1"/>
  <c r="AD44"/>
  <c r="AH44" s="1"/>
  <c r="AC44"/>
  <c r="AD43"/>
  <c r="AH43" s="1"/>
  <c r="AC43"/>
  <c r="AO42"/>
  <c r="AM42" s="1"/>
  <c r="AD42"/>
  <c r="AH42" s="1"/>
  <c r="AC42"/>
  <c r="V42"/>
  <c r="AA63" s="1"/>
  <c r="F63" s="1"/>
  <c r="D70" s="1"/>
  <c r="AO41"/>
  <c r="AM41" s="1"/>
  <c r="AD41"/>
  <c r="AH41" s="1"/>
  <c r="AC41"/>
  <c r="V41"/>
  <c r="AO40"/>
  <c r="AM40" s="1"/>
  <c r="AD40"/>
  <c r="AH40" s="1"/>
  <c r="AC40"/>
  <c r="V40"/>
  <c r="AO39"/>
  <c r="AM39" s="1"/>
  <c r="AD39"/>
  <c r="AH39" s="1"/>
  <c r="AC39"/>
  <c r="V39"/>
  <c r="Z65" s="1"/>
  <c r="D65" s="1"/>
  <c r="AD38"/>
  <c r="AH38" s="1"/>
  <c r="AC38"/>
  <c r="AD37"/>
  <c r="AH37" s="1"/>
  <c r="AC37"/>
  <c r="AO36"/>
  <c r="AM36" s="1"/>
  <c r="AD36"/>
  <c r="AH36" s="1"/>
  <c r="AC36"/>
  <c r="V36"/>
  <c r="AO35"/>
  <c r="AM35" s="1"/>
  <c r="AD35"/>
  <c r="AH35" s="1"/>
  <c r="AC35"/>
  <c r="V35"/>
  <c r="AO34"/>
  <c r="AM34" s="1"/>
  <c r="AD34"/>
  <c r="AH34" s="1"/>
  <c r="AC34"/>
  <c r="V34"/>
  <c r="AA65" s="1"/>
  <c r="F65" s="1"/>
  <c r="D72" s="1"/>
  <c r="AO33"/>
  <c r="AM33" s="1"/>
  <c r="AH33"/>
  <c r="AD33"/>
  <c r="AC33"/>
  <c r="AK33" s="1"/>
  <c r="V33"/>
  <c r="Z63" s="1"/>
  <c r="D63" s="1"/>
  <c r="AD32"/>
  <c r="AH32" s="1"/>
  <c r="AC32"/>
  <c r="AD31"/>
  <c r="AH31" s="1"/>
  <c r="AC31"/>
  <c r="AO30"/>
  <c r="AM30" s="1"/>
  <c r="AD30"/>
  <c r="AH30" s="1"/>
  <c r="AC30"/>
  <c r="V30"/>
  <c r="AA60" s="1"/>
  <c r="F60" s="1"/>
  <c r="F71" s="1"/>
  <c r="F77" s="1"/>
  <c r="D86" s="1"/>
  <c r="E90" s="1"/>
  <c r="AO29"/>
  <c r="AM29" s="1"/>
  <c r="AD29"/>
  <c r="AH29" s="1"/>
  <c r="AC29"/>
  <c r="AK29" s="1"/>
  <c r="V29"/>
  <c r="Z62" s="1"/>
  <c r="D62" s="1"/>
  <c r="F73" s="1"/>
  <c r="F78" s="1"/>
  <c r="F86" s="1"/>
  <c r="E89" s="1"/>
  <c r="AO28"/>
  <c r="AM28" s="1"/>
  <c r="AD28"/>
  <c r="AH28" s="1"/>
  <c r="AC28"/>
  <c r="V28"/>
  <c r="AO27"/>
  <c r="AM27" s="1"/>
  <c r="AD27"/>
  <c r="AH27" s="1"/>
  <c r="AC27"/>
  <c r="V27"/>
  <c r="AD26"/>
  <c r="AH26" s="1"/>
  <c r="AC26"/>
  <c r="AD25"/>
  <c r="AH25" s="1"/>
  <c r="AC25"/>
  <c r="AO24"/>
  <c r="AM24" s="1"/>
  <c r="AD24"/>
  <c r="AH24" s="1"/>
  <c r="AC24"/>
  <c r="V24"/>
  <c r="AA62" s="1"/>
  <c r="F62" s="1"/>
  <c r="AO23"/>
  <c r="AM23" s="1"/>
  <c r="AD23"/>
  <c r="AH23" s="1"/>
  <c r="AC23"/>
  <c r="V23"/>
  <c r="AO22"/>
  <c r="AM22" s="1"/>
  <c r="AD22"/>
  <c r="AH22" s="1"/>
  <c r="AC22"/>
  <c r="V22"/>
  <c r="AO21"/>
  <c r="AM21" s="1"/>
  <c r="AH21"/>
  <c r="AD21"/>
  <c r="AC21"/>
  <c r="AK21" s="1"/>
  <c r="V21"/>
  <c r="Z60" s="1"/>
  <c r="D60" s="1"/>
  <c r="AD20"/>
  <c r="AH20" s="1"/>
  <c r="AC20"/>
  <c r="AK20" s="1"/>
  <c r="AD19"/>
  <c r="AH19" s="1"/>
  <c r="AC19"/>
  <c r="AO18"/>
  <c r="AM18" s="1"/>
  <c r="AD18"/>
  <c r="AH18" s="1"/>
  <c r="AC18"/>
  <c r="V18"/>
  <c r="AO17"/>
  <c r="AM17" s="1"/>
  <c r="AD17"/>
  <c r="AH17" s="1"/>
  <c r="AC17"/>
  <c r="AK17" s="1"/>
  <c r="V17"/>
  <c r="AO16"/>
  <c r="AM16" s="1"/>
  <c r="AD16"/>
  <c r="AH16" s="1"/>
  <c r="AC16"/>
  <c r="V16"/>
  <c r="Z61" s="1"/>
  <c r="D61" s="1"/>
  <c r="AO15"/>
  <c r="AM15" s="1"/>
  <c r="AD15"/>
  <c r="AH15" s="1"/>
  <c r="AC15"/>
  <c r="V15"/>
  <c r="AA59" s="1"/>
  <c r="F59" s="1"/>
  <c r="D71" s="1"/>
  <c r="AD14"/>
  <c r="AH14" s="1"/>
  <c r="AC14"/>
  <c r="AD13"/>
  <c r="AH13" s="1"/>
  <c r="AC13"/>
  <c r="AO12"/>
  <c r="AM12" s="1"/>
  <c r="AD12"/>
  <c r="AH12" s="1"/>
  <c r="AC12"/>
  <c r="V12"/>
  <c r="AO11"/>
  <c r="AM11" s="1"/>
  <c r="AD11"/>
  <c r="AH11" s="1"/>
  <c r="AC11"/>
  <c r="V11"/>
  <c r="AA61" s="1"/>
  <c r="F61" s="1"/>
  <c r="D73" s="1"/>
  <c r="AO10"/>
  <c r="AM10" s="1"/>
  <c r="AD10"/>
  <c r="AH10" s="1"/>
  <c r="AC10"/>
  <c r="V10"/>
  <c r="AO9"/>
  <c r="AM9" s="1"/>
  <c r="AD9"/>
  <c r="AH9" s="1"/>
  <c r="AC9"/>
  <c r="V9"/>
  <c r="Z59" s="1"/>
  <c r="D59" s="1"/>
  <c r="AD8"/>
  <c r="AH8" s="1"/>
  <c r="AC8"/>
  <c r="N3"/>
  <c r="X98" i="90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X77"/>
  <c r="X76"/>
  <c r="X75"/>
  <c r="X74"/>
  <c r="AD73"/>
  <c r="AH73" s="1"/>
  <c r="AC73"/>
  <c r="X73"/>
  <c r="AD72"/>
  <c r="AH72" s="1"/>
  <c r="AC72"/>
  <c r="X72"/>
  <c r="AD71"/>
  <c r="AH71" s="1"/>
  <c r="AC71"/>
  <c r="X71"/>
  <c r="AD70"/>
  <c r="AH70" s="1"/>
  <c r="AC70"/>
  <c r="X70"/>
  <c r="X69"/>
  <c r="AZ68"/>
  <c r="X68"/>
  <c r="AZ67"/>
  <c r="X67"/>
  <c r="AZ66"/>
  <c r="AD66"/>
  <c r="AH66" s="1"/>
  <c r="AC66"/>
  <c r="Z66"/>
  <c r="D66" s="1"/>
  <c r="X66"/>
  <c r="AZ65"/>
  <c r="AD65"/>
  <c r="AH65" s="1"/>
  <c r="AC65"/>
  <c r="AA65"/>
  <c r="F65" s="1"/>
  <c r="X65"/>
  <c r="AZ64"/>
  <c r="AD64"/>
  <c r="AH64" s="1"/>
  <c r="AC64"/>
  <c r="Z64"/>
  <c r="D64" s="1"/>
  <c r="F70" s="1"/>
  <c r="D77" s="1"/>
  <c r="D86" s="1"/>
  <c r="E89" s="1"/>
  <c r="X64"/>
  <c r="AZ63"/>
  <c r="AD63"/>
  <c r="AH63" s="1"/>
  <c r="AC63"/>
  <c r="AA63"/>
  <c r="F63" s="1"/>
  <c r="X63"/>
  <c r="AZ62"/>
  <c r="AD62"/>
  <c r="AH62" s="1"/>
  <c r="AC62"/>
  <c r="Z62"/>
  <c r="D62" s="1"/>
  <c r="F73" s="1"/>
  <c r="X62"/>
  <c r="AZ61"/>
  <c r="BA58" s="1"/>
  <c r="AD61"/>
  <c r="AH61" s="1"/>
  <c r="AC61"/>
  <c r="AA61"/>
  <c r="F61" s="1"/>
  <c r="X61"/>
  <c r="AZ60"/>
  <c r="AD60"/>
  <c r="AH60" s="1"/>
  <c r="AC60"/>
  <c r="Z60"/>
  <c r="D60" s="1"/>
  <c r="F71" s="1"/>
  <c r="X60"/>
  <c r="AZ59"/>
  <c r="AD59"/>
  <c r="AH59" s="1"/>
  <c r="AC59"/>
  <c r="AA59"/>
  <c r="F59" s="1"/>
  <c r="X59"/>
  <c r="AZ58"/>
  <c r="AA58"/>
  <c r="Z58"/>
  <c r="X58"/>
  <c r="AD55"/>
  <c r="AH55" s="1"/>
  <c r="AC55"/>
  <c r="AO54"/>
  <c r="AM54" s="1"/>
  <c r="AD54"/>
  <c r="AH54" s="1"/>
  <c r="AC54"/>
  <c r="V54"/>
  <c r="AO53"/>
  <c r="AM53" s="1"/>
  <c r="AD53"/>
  <c r="AH53" s="1"/>
  <c r="AC53"/>
  <c r="V53"/>
  <c r="AA64" s="1"/>
  <c r="F64" s="1"/>
  <c r="AO52"/>
  <c r="AM52" s="1"/>
  <c r="AD52"/>
  <c r="AH52" s="1"/>
  <c r="AC52"/>
  <c r="V52"/>
  <c r="AO51"/>
  <c r="AM51" s="1"/>
  <c r="AD51"/>
  <c r="AH51" s="1"/>
  <c r="AC51"/>
  <c r="AL51" s="1"/>
  <c r="V51"/>
  <c r="AD50"/>
  <c r="AH50" s="1"/>
  <c r="AC50"/>
  <c r="AD49"/>
  <c r="AH49" s="1"/>
  <c r="AC49"/>
  <c r="AO48"/>
  <c r="AM48" s="1"/>
  <c r="AD48"/>
  <c r="AH48" s="1"/>
  <c r="AC48"/>
  <c r="V48"/>
  <c r="AO47"/>
  <c r="AM47" s="1"/>
  <c r="AD47"/>
  <c r="AH47" s="1"/>
  <c r="AC47"/>
  <c r="V47"/>
  <c r="AO46"/>
  <c r="AM46" s="1"/>
  <c r="AD46"/>
  <c r="AH46" s="1"/>
  <c r="AC46"/>
  <c r="V46"/>
  <c r="AO45"/>
  <c r="AM45" s="1"/>
  <c r="AD45"/>
  <c r="AH45" s="1"/>
  <c r="AC45"/>
  <c r="V45"/>
  <c r="AA66" s="1"/>
  <c r="F66" s="1"/>
  <c r="F72" s="1"/>
  <c r="D78" s="1"/>
  <c r="F86" s="1"/>
  <c r="E90" s="1"/>
  <c r="AD44"/>
  <c r="AH44" s="1"/>
  <c r="AC44"/>
  <c r="AD43"/>
  <c r="AH43" s="1"/>
  <c r="AC43"/>
  <c r="AO42"/>
  <c r="AM42" s="1"/>
  <c r="AD42"/>
  <c r="AH42" s="1"/>
  <c r="AC42"/>
  <c r="V42"/>
  <c r="AO41"/>
  <c r="AM41" s="1"/>
  <c r="AD41"/>
  <c r="AH41" s="1"/>
  <c r="AC41"/>
  <c r="V41"/>
  <c r="AO40"/>
  <c r="AM40" s="1"/>
  <c r="AD40"/>
  <c r="AH40" s="1"/>
  <c r="AC40"/>
  <c r="V40"/>
  <c r="AO39"/>
  <c r="AM39" s="1"/>
  <c r="AD39"/>
  <c r="AH39" s="1"/>
  <c r="AC39"/>
  <c r="AL39" s="1"/>
  <c r="V39"/>
  <c r="Z65" s="1"/>
  <c r="D65" s="1"/>
  <c r="D72" s="1"/>
  <c r="AD38"/>
  <c r="AH38" s="1"/>
  <c r="AC38"/>
  <c r="AD37"/>
  <c r="AH37" s="1"/>
  <c r="AC37"/>
  <c r="AO36"/>
  <c r="AM36" s="1"/>
  <c r="AD36"/>
  <c r="AH36" s="1"/>
  <c r="AC36"/>
  <c r="V36"/>
  <c r="AO35"/>
  <c r="AM35" s="1"/>
  <c r="AD35"/>
  <c r="AH35" s="1"/>
  <c r="AC35"/>
  <c r="AL35" s="1"/>
  <c r="V35"/>
  <c r="Z63" s="1"/>
  <c r="D63" s="1"/>
  <c r="D70" s="1"/>
  <c r="AO34"/>
  <c r="AM34" s="1"/>
  <c r="AD34"/>
  <c r="AH34" s="1"/>
  <c r="AC34"/>
  <c r="V34"/>
  <c r="AO33"/>
  <c r="AM33" s="1"/>
  <c r="AD33"/>
  <c r="AH33" s="1"/>
  <c r="AC33"/>
  <c r="V33"/>
  <c r="AD32"/>
  <c r="AH32" s="1"/>
  <c r="AC32"/>
  <c r="AD31"/>
  <c r="AH31" s="1"/>
  <c r="AC31"/>
  <c r="AO30"/>
  <c r="AM30" s="1"/>
  <c r="AD30"/>
  <c r="AH30" s="1"/>
  <c r="AC30"/>
  <c r="V30"/>
  <c r="AO29"/>
  <c r="AM29" s="1"/>
  <c r="AD29"/>
  <c r="AH29" s="1"/>
  <c r="AC29"/>
  <c r="V29"/>
  <c r="AO28"/>
  <c r="AM28" s="1"/>
  <c r="AD28"/>
  <c r="AH28" s="1"/>
  <c r="AC28"/>
  <c r="V28"/>
  <c r="AO27"/>
  <c r="AM27" s="1"/>
  <c r="AD27"/>
  <c r="AH27" s="1"/>
  <c r="AC27"/>
  <c r="V27"/>
  <c r="AA60" s="1"/>
  <c r="F60" s="1"/>
  <c r="AD26"/>
  <c r="AH26" s="1"/>
  <c r="AC26"/>
  <c r="AD25"/>
  <c r="AH25" s="1"/>
  <c r="AC25"/>
  <c r="AO24"/>
  <c r="AM24" s="1"/>
  <c r="AD24"/>
  <c r="AH24" s="1"/>
  <c r="AC24"/>
  <c r="V24"/>
  <c r="AO23"/>
  <c r="AM23" s="1"/>
  <c r="AD23"/>
  <c r="AH23" s="1"/>
  <c r="AC23"/>
  <c r="V23"/>
  <c r="AO22"/>
  <c r="AM22" s="1"/>
  <c r="AD22"/>
  <c r="AH22" s="1"/>
  <c r="AC22"/>
  <c r="V22"/>
  <c r="AA62" s="1"/>
  <c r="F62" s="1"/>
  <c r="AO21"/>
  <c r="AM21" s="1"/>
  <c r="AD21"/>
  <c r="AH21" s="1"/>
  <c r="AC21"/>
  <c r="V21"/>
  <c r="AD20"/>
  <c r="AH20" s="1"/>
  <c r="AC20"/>
  <c r="AD19"/>
  <c r="AH19" s="1"/>
  <c r="AC19"/>
  <c r="AO18"/>
  <c r="AM18" s="1"/>
  <c r="AD18"/>
  <c r="AH18" s="1"/>
  <c r="AC18"/>
  <c r="V18"/>
  <c r="AO17"/>
  <c r="AM17" s="1"/>
  <c r="AD17"/>
  <c r="AH17" s="1"/>
  <c r="AC17"/>
  <c r="V17"/>
  <c r="AO16"/>
  <c r="AM16" s="1"/>
  <c r="AD16"/>
  <c r="AH16" s="1"/>
  <c r="AC16"/>
  <c r="V16"/>
  <c r="AO15"/>
  <c r="AM15" s="1"/>
  <c r="AD15"/>
  <c r="AH15" s="1"/>
  <c r="AC15"/>
  <c r="V15"/>
  <c r="Z61" s="1"/>
  <c r="D61" s="1"/>
  <c r="D73" s="1"/>
  <c r="F78" s="1"/>
  <c r="F82" s="1"/>
  <c r="E91" s="1"/>
  <c r="AD14"/>
  <c r="AH14" s="1"/>
  <c r="AC14"/>
  <c r="AD13"/>
  <c r="AH13" s="1"/>
  <c r="AC13"/>
  <c r="AO12"/>
  <c r="AM12" s="1"/>
  <c r="AD12"/>
  <c r="AH12" s="1"/>
  <c r="AC12"/>
  <c r="V12"/>
  <c r="AO11"/>
  <c r="AM11" s="1"/>
  <c r="AD11"/>
  <c r="AH11" s="1"/>
  <c r="AC11"/>
  <c r="V11"/>
  <c r="AO10"/>
  <c r="AM10" s="1"/>
  <c r="AD10"/>
  <c r="AH10" s="1"/>
  <c r="AC10"/>
  <c r="V10"/>
  <c r="AO9"/>
  <c r="AM9" s="1"/>
  <c r="Q3" s="1"/>
  <c r="F52" i="22" s="1"/>
  <c r="AD9" i="90"/>
  <c r="AH9" s="1"/>
  <c r="AC9"/>
  <c r="AG9" s="1"/>
  <c r="V9"/>
  <c r="Z59" s="1"/>
  <c r="D59" s="1"/>
  <c r="D71" s="1"/>
  <c r="F77" s="1"/>
  <c r="D82" s="1"/>
  <c r="E92" s="1"/>
  <c r="AD8"/>
  <c r="AH8" s="1"/>
  <c r="AC8"/>
  <c r="N3"/>
  <c r="X98" i="89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X77"/>
  <c r="X76"/>
  <c r="X75"/>
  <c r="X74"/>
  <c r="AD73"/>
  <c r="AH73" s="1"/>
  <c r="AC73"/>
  <c r="X73"/>
  <c r="AD72"/>
  <c r="AH72" s="1"/>
  <c r="AC72"/>
  <c r="X72"/>
  <c r="AD71"/>
  <c r="AH71" s="1"/>
  <c r="AC71"/>
  <c r="X71"/>
  <c r="AD70"/>
  <c r="AH70" s="1"/>
  <c r="AC70"/>
  <c r="X70"/>
  <c r="X69"/>
  <c r="AZ68"/>
  <c r="X68"/>
  <c r="AZ67"/>
  <c r="X67"/>
  <c r="AZ66"/>
  <c r="AD66"/>
  <c r="AH66" s="1"/>
  <c r="AC66"/>
  <c r="X66"/>
  <c r="AZ65"/>
  <c r="AD65"/>
  <c r="AH65" s="1"/>
  <c r="AC65"/>
  <c r="X65"/>
  <c r="AZ64"/>
  <c r="AD64"/>
  <c r="AH64" s="1"/>
  <c r="AC64"/>
  <c r="X64"/>
  <c r="AZ63"/>
  <c r="AD63"/>
  <c r="AH63" s="1"/>
  <c r="AC63"/>
  <c r="X63"/>
  <c r="AZ62"/>
  <c r="AD62"/>
  <c r="AH62" s="1"/>
  <c r="AC62"/>
  <c r="X62"/>
  <c r="AZ61"/>
  <c r="AD61"/>
  <c r="AH61" s="1"/>
  <c r="AC61"/>
  <c r="X61"/>
  <c r="AZ60"/>
  <c r="AD60"/>
  <c r="AH60" s="1"/>
  <c r="AC60"/>
  <c r="X60"/>
  <c r="AZ59"/>
  <c r="AD59"/>
  <c r="AH59" s="1"/>
  <c r="AC59"/>
  <c r="X59"/>
  <c r="AZ58"/>
  <c r="BA67" s="1"/>
  <c r="BB67" s="1"/>
  <c r="AA58"/>
  <c r="Z58"/>
  <c r="X58"/>
  <c r="AD55"/>
  <c r="AH55" s="1"/>
  <c r="AC55"/>
  <c r="AO54"/>
  <c r="AM54" s="1"/>
  <c r="AD54"/>
  <c r="AH54" s="1"/>
  <c r="AC54"/>
  <c r="V54"/>
  <c r="AA64" s="1"/>
  <c r="F64" s="1"/>
  <c r="AO53"/>
  <c r="AM53" s="1"/>
  <c r="AD53"/>
  <c r="AH53" s="1"/>
  <c r="AC53"/>
  <c r="V53"/>
  <c r="AO52"/>
  <c r="AM52" s="1"/>
  <c r="AD52"/>
  <c r="AH52" s="1"/>
  <c r="AC52"/>
  <c r="AL52" s="1"/>
  <c r="V52"/>
  <c r="AO51"/>
  <c r="AM51" s="1"/>
  <c r="AD51"/>
  <c r="AH51" s="1"/>
  <c r="AC51"/>
  <c r="V51"/>
  <c r="Z66" s="1"/>
  <c r="D66" s="1"/>
  <c r="AD50"/>
  <c r="AH50" s="1"/>
  <c r="AC50"/>
  <c r="AL50" s="1"/>
  <c r="AD49"/>
  <c r="AH49" s="1"/>
  <c r="AC49"/>
  <c r="AG49" s="1"/>
  <c r="AO48"/>
  <c r="AM48" s="1"/>
  <c r="AD48"/>
  <c r="AH48" s="1"/>
  <c r="AC48"/>
  <c r="V48"/>
  <c r="AO47"/>
  <c r="AM47" s="1"/>
  <c r="AD47"/>
  <c r="AH47" s="1"/>
  <c r="AC47"/>
  <c r="V47"/>
  <c r="AO46"/>
  <c r="AM46" s="1"/>
  <c r="AD46"/>
  <c r="AH46" s="1"/>
  <c r="AC46"/>
  <c r="V46"/>
  <c r="Z64" s="1"/>
  <c r="D64" s="1"/>
  <c r="F70" s="1"/>
  <c r="D77" s="1"/>
  <c r="D82" s="1"/>
  <c r="E91" s="1"/>
  <c r="AO45"/>
  <c r="AM45" s="1"/>
  <c r="AD45"/>
  <c r="AH45" s="1"/>
  <c r="AC45"/>
  <c r="V45"/>
  <c r="AA66" s="1"/>
  <c r="F66" s="1"/>
  <c r="F72" s="1"/>
  <c r="AD44"/>
  <c r="AC44"/>
  <c r="AD43"/>
  <c r="AH43" s="1"/>
  <c r="AC43"/>
  <c r="AG43" s="1"/>
  <c r="AO42"/>
  <c r="AM42" s="1"/>
  <c r="AD42"/>
  <c r="AH42" s="1"/>
  <c r="AC42"/>
  <c r="V42"/>
  <c r="AO41"/>
  <c r="AM41" s="1"/>
  <c r="AD41"/>
  <c r="AH41" s="1"/>
  <c r="AC41"/>
  <c r="V41"/>
  <c r="AO40"/>
  <c r="AM40" s="1"/>
  <c r="AD40"/>
  <c r="AH40" s="1"/>
  <c r="AC40"/>
  <c r="V40"/>
  <c r="AA63" s="1"/>
  <c r="F63" s="1"/>
  <c r="AO39"/>
  <c r="AM39" s="1"/>
  <c r="AD39"/>
  <c r="AH39" s="1"/>
  <c r="AC39"/>
  <c r="V39"/>
  <c r="Z65" s="1"/>
  <c r="D65" s="1"/>
  <c r="D72" s="1"/>
  <c r="D78" s="1"/>
  <c r="F82" s="1"/>
  <c r="E92" s="1"/>
  <c r="AD38"/>
  <c r="AH38" s="1"/>
  <c r="AC38"/>
  <c r="AD37"/>
  <c r="AH37" s="1"/>
  <c r="AC37"/>
  <c r="AG37" s="1"/>
  <c r="AO36"/>
  <c r="AM36" s="1"/>
  <c r="AD36"/>
  <c r="AH36" s="1"/>
  <c r="AC36"/>
  <c r="V36"/>
  <c r="AO35"/>
  <c r="AM35" s="1"/>
  <c r="AD35"/>
  <c r="AH35" s="1"/>
  <c r="AC35"/>
  <c r="V35"/>
  <c r="Z63" s="1"/>
  <c r="D63" s="1"/>
  <c r="D70" s="1"/>
  <c r="AO34"/>
  <c r="AM34" s="1"/>
  <c r="AD34"/>
  <c r="AH34" s="1"/>
  <c r="AC34"/>
  <c r="V34"/>
  <c r="AO33"/>
  <c r="AM33" s="1"/>
  <c r="AD33"/>
  <c r="AH33" s="1"/>
  <c r="AC33"/>
  <c r="V33"/>
  <c r="AA65" s="1"/>
  <c r="F65" s="1"/>
  <c r="AD32"/>
  <c r="AC32"/>
  <c r="AD31"/>
  <c r="AH31" s="1"/>
  <c r="AC31"/>
  <c r="AG31" s="1"/>
  <c r="AO30"/>
  <c r="AM30" s="1"/>
  <c r="AD30"/>
  <c r="AH30" s="1"/>
  <c r="AC30"/>
  <c r="V30"/>
  <c r="Z62" s="1"/>
  <c r="D62" s="1"/>
  <c r="F73" s="1"/>
  <c r="F78" s="1"/>
  <c r="F86" s="1"/>
  <c r="E90" s="1"/>
  <c r="AO29"/>
  <c r="AM29" s="1"/>
  <c r="AD29"/>
  <c r="AH29" s="1"/>
  <c r="AC29"/>
  <c r="V29"/>
  <c r="AO28"/>
  <c r="AM28" s="1"/>
  <c r="AD28"/>
  <c r="AH28" s="1"/>
  <c r="AC28"/>
  <c r="AL28" s="1"/>
  <c r="V28"/>
  <c r="AO27"/>
  <c r="AM27" s="1"/>
  <c r="AD27"/>
  <c r="AH27" s="1"/>
  <c r="AC27"/>
  <c r="V27"/>
  <c r="AA60" s="1"/>
  <c r="F60" s="1"/>
  <c r="F71" s="1"/>
  <c r="AD26"/>
  <c r="AH26" s="1"/>
  <c r="AC26"/>
  <c r="AD25"/>
  <c r="AH25" s="1"/>
  <c r="AC25"/>
  <c r="AG25" s="1"/>
  <c r="AO24"/>
  <c r="AM24" s="1"/>
  <c r="AD24"/>
  <c r="AH24" s="1"/>
  <c r="AC24"/>
  <c r="V24"/>
  <c r="AA62" s="1"/>
  <c r="F62" s="1"/>
  <c r="AO23"/>
  <c r="AM23" s="1"/>
  <c r="AD23"/>
  <c r="AH23" s="1"/>
  <c r="AC23"/>
  <c r="V23"/>
  <c r="AO22"/>
  <c r="AM22" s="1"/>
  <c r="AD22"/>
  <c r="AH22" s="1"/>
  <c r="AC22"/>
  <c r="AL22" s="1"/>
  <c r="V22"/>
  <c r="AO21"/>
  <c r="AM21" s="1"/>
  <c r="AD21"/>
  <c r="AH21" s="1"/>
  <c r="AC21"/>
  <c r="V21"/>
  <c r="Z60" s="1"/>
  <c r="D60" s="1"/>
  <c r="AD20"/>
  <c r="AH20" s="1"/>
  <c r="AC20"/>
  <c r="AD19"/>
  <c r="AC19"/>
  <c r="AO18"/>
  <c r="AM18" s="1"/>
  <c r="AD18"/>
  <c r="AH18" s="1"/>
  <c r="AC18"/>
  <c r="V18"/>
  <c r="AO17"/>
  <c r="AM17" s="1"/>
  <c r="AD17"/>
  <c r="AH17" s="1"/>
  <c r="AC17"/>
  <c r="V17"/>
  <c r="AO16"/>
  <c r="AM16" s="1"/>
  <c r="AH16"/>
  <c r="AD16"/>
  <c r="AC16"/>
  <c r="AL16" s="1"/>
  <c r="V16"/>
  <c r="Z61" s="1"/>
  <c r="D61" s="1"/>
  <c r="D73" s="1"/>
  <c r="AO15"/>
  <c r="AM15" s="1"/>
  <c r="AD15"/>
  <c r="AH15" s="1"/>
  <c r="AC15"/>
  <c r="V15"/>
  <c r="AA59" s="1"/>
  <c r="F59" s="1"/>
  <c r="AD14"/>
  <c r="AH14" s="1"/>
  <c r="AC14"/>
  <c r="AD13"/>
  <c r="AC13"/>
  <c r="AO12"/>
  <c r="AM12" s="1"/>
  <c r="AD12"/>
  <c r="AH12" s="1"/>
  <c r="AC12"/>
  <c r="V12"/>
  <c r="AO11"/>
  <c r="AM11" s="1"/>
  <c r="AD11"/>
  <c r="AH11" s="1"/>
  <c r="AC11"/>
  <c r="V11"/>
  <c r="AA61" s="1"/>
  <c r="F61" s="1"/>
  <c r="AO10"/>
  <c r="AM10" s="1"/>
  <c r="AD10"/>
  <c r="AH10" s="1"/>
  <c r="AC10"/>
  <c r="V10"/>
  <c r="AO9"/>
  <c r="AM9" s="1"/>
  <c r="AD9"/>
  <c r="AH9" s="1"/>
  <c r="AC9"/>
  <c r="V9"/>
  <c r="Z59" s="1"/>
  <c r="D59" s="1"/>
  <c r="D71" s="1"/>
  <c r="F77" s="1"/>
  <c r="D86" s="1"/>
  <c r="E89" s="1"/>
  <c r="AD8"/>
  <c r="AH8" s="1"/>
  <c r="AC8"/>
  <c r="N3"/>
  <c r="X98" i="88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C77"/>
  <c r="X77"/>
  <c r="X76"/>
  <c r="X75"/>
  <c r="X74"/>
  <c r="AD73"/>
  <c r="AC73"/>
  <c r="X73"/>
  <c r="AD72"/>
  <c r="AH72" s="1"/>
  <c r="AC72"/>
  <c r="X72"/>
  <c r="AD71"/>
  <c r="AC71"/>
  <c r="X71"/>
  <c r="AD70"/>
  <c r="AH70" s="1"/>
  <c r="AC70"/>
  <c r="X70"/>
  <c r="X69"/>
  <c r="AZ68"/>
  <c r="X68"/>
  <c r="AZ67"/>
  <c r="X67"/>
  <c r="AZ66"/>
  <c r="AD66"/>
  <c r="AC66"/>
  <c r="X66"/>
  <c r="AZ65"/>
  <c r="AD65"/>
  <c r="AC65"/>
  <c r="X65"/>
  <c r="AZ64"/>
  <c r="AD64"/>
  <c r="AC64"/>
  <c r="X64"/>
  <c r="AZ63"/>
  <c r="AD63"/>
  <c r="AC63"/>
  <c r="X63"/>
  <c r="AZ62"/>
  <c r="AD62"/>
  <c r="AC62"/>
  <c r="X62"/>
  <c r="AZ61"/>
  <c r="AD61"/>
  <c r="AC61"/>
  <c r="X61"/>
  <c r="AZ60"/>
  <c r="AD60"/>
  <c r="AC60"/>
  <c r="X60"/>
  <c r="AZ59"/>
  <c r="AD59"/>
  <c r="AC59"/>
  <c r="X59"/>
  <c r="AZ58"/>
  <c r="BA67" s="1"/>
  <c r="BB67" s="1"/>
  <c r="AA58"/>
  <c r="Z58"/>
  <c r="X58"/>
  <c r="AD55"/>
  <c r="AH55" s="1"/>
  <c r="AC55"/>
  <c r="AO54"/>
  <c r="AM54" s="1"/>
  <c r="AD54"/>
  <c r="AC54"/>
  <c r="V54"/>
  <c r="Z66" s="1"/>
  <c r="D66" s="1"/>
  <c r="AO53"/>
  <c r="AM53" s="1"/>
  <c r="AD53"/>
  <c r="AC53"/>
  <c r="V53"/>
  <c r="AA64" s="1"/>
  <c r="F64" s="1"/>
  <c r="AO52"/>
  <c r="AM52" s="1"/>
  <c r="AD52"/>
  <c r="AC52"/>
  <c r="V52"/>
  <c r="AO51"/>
  <c r="AM51" s="1"/>
  <c r="AD51"/>
  <c r="AC51"/>
  <c r="V51"/>
  <c r="AD50"/>
  <c r="AC50"/>
  <c r="AD49"/>
  <c r="AH49" s="1"/>
  <c r="AC49"/>
  <c r="AO48"/>
  <c r="AM48" s="1"/>
  <c r="AD48"/>
  <c r="AC48"/>
  <c r="V48"/>
  <c r="AO47"/>
  <c r="AM47" s="1"/>
  <c r="AD47"/>
  <c r="AC47"/>
  <c r="V47"/>
  <c r="AO46"/>
  <c r="AM46" s="1"/>
  <c r="AD46"/>
  <c r="AC46"/>
  <c r="V46"/>
  <c r="Z64" s="1"/>
  <c r="D64" s="1"/>
  <c r="F70" s="1"/>
  <c r="D77" s="1"/>
  <c r="D82" s="1"/>
  <c r="E91" s="1"/>
  <c r="AO45"/>
  <c r="AM45" s="1"/>
  <c r="AD45"/>
  <c r="AC45"/>
  <c r="V45"/>
  <c r="AA66" s="1"/>
  <c r="F66" s="1"/>
  <c r="F72" s="1"/>
  <c r="AD44"/>
  <c r="AC44"/>
  <c r="AD43"/>
  <c r="AH43" s="1"/>
  <c r="AC43"/>
  <c r="AO42"/>
  <c r="AM42" s="1"/>
  <c r="AD42"/>
  <c r="AC42"/>
  <c r="V42"/>
  <c r="AA63" s="1"/>
  <c r="F63" s="1"/>
  <c r="AO41"/>
  <c r="AM41" s="1"/>
  <c r="AD41"/>
  <c r="AC41"/>
  <c r="V41"/>
  <c r="AO40"/>
  <c r="AM40" s="1"/>
  <c r="AD40"/>
  <c r="AC40"/>
  <c r="V40"/>
  <c r="AO39"/>
  <c r="AM39" s="1"/>
  <c r="AD39"/>
  <c r="AC39"/>
  <c r="AL39" s="1"/>
  <c r="V39"/>
  <c r="Z65" s="1"/>
  <c r="D65" s="1"/>
  <c r="D72" s="1"/>
  <c r="D78" s="1"/>
  <c r="F82" s="1"/>
  <c r="E92" s="1"/>
  <c r="AD38"/>
  <c r="AC38"/>
  <c r="AD37"/>
  <c r="AH37" s="1"/>
  <c r="AC37"/>
  <c r="AO36"/>
  <c r="AM36" s="1"/>
  <c r="AD36"/>
  <c r="AC36"/>
  <c r="V36"/>
  <c r="AO35"/>
  <c r="AM35" s="1"/>
  <c r="AD35"/>
  <c r="AC35"/>
  <c r="AL35" s="1"/>
  <c r="V35"/>
  <c r="Z63" s="1"/>
  <c r="D63" s="1"/>
  <c r="D70" s="1"/>
  <c r="AO34"/>
  <c r="AM34" s="1"/>
  <c r="AD34"/>
  <c r="AC34"/>
  <c r="V34"/>
  <c r="AO33"/>
  <c r="AM33" s="1"/>
  <c r="AD33"/>
  <c r="AC33"/>
  <c r="V33"/>
  <c r="AA65" s="1"/>
  <c r="F65" s="1"/>
  <c r="AD32"/>
  <c r="AC32"/>
  <c r="AD31"/>
  <c r="AH31" s="1"/>
  <c r="AC31"/>
  <c r="AO30"/>
  <c r="AM30" s="1"/>
  <c r="AD30"/>
  <c r="AC30"/>
  <c r="V30"/>
  <c r="AA60" s="1"/>
  <c r="F60" s="1"/>
  <c r="F71" s="1"/>
  <c r="AO29"/>
  <c r="AM29" s="1"/>
  <c r="AD29"/>
  <c r="AC29"/>
  <c r="V29"/>
  <c r="Z62" s="1"/>
  <c r="D62" s="1"/>
  <c r="F73" s="1"/>
  <c r="AO28"/>
  <c r="AM28" s="1"/>
  <c r="AD28"/>
  <c r="AC28"/>
  <c r="V28"/>
  <c r="AO27"/>
  <c r="AM27" s="1"/>
  <c r="AD27"/>
  <c r="AC27"/>
  <c r="V27"/>
  <c r="AD26"/>
  <c r="AC26"/>
  <c r="AD25"/>
  <c r="AH25" s="1"/>
  <c r="AC25"/>
  <c r="AO24"/>
  <c r="AM24" s="1"/>
  <c r="AD24"/>
  <c r="AC24"/>
  <c r="V24"/>
  <c r="AO23"/>
  <c r="AM23" s="1"/>
  <c r="AD23"/>
  <c r="AC23"/>
  <c r="V23"/>
  <c r="AA62" s="1"/>
  <c r="F62" s="1"/>
  <c r="AO22"/>
  <c r="AM22" s="1"/>
  <c r="AD22"/>
  <c r="AC22"/>
  <c r="V22"/>
  <c r="AO21"/>
  <c r="AM21" s="1"/>
  <c r="AD21"/>
  <c r="AC21"/>
  <c r="AL21" s="1"/>
  <c r="V21"/>
  <c r="Z60" s="1"/>
  <c r="D60" s="1"/>
  <c r="AD20"/>
  <c r="AC20"/>
  <c r="AD19"/>
  <c r="AH19" s="1"/>
  <c r="AC19"/>
  <c r="AO18"/>
  <c r="AM18" s="1"/>
  <c r="AD18"/>
  <c r="AC18"/>
  <c r="V18"/>
  <c r="AO17"/>
  <c r="AM17" s="1"/>
  <c r="AD17"/>
  <c r="AC17"/>
  <c r="V17"/>
  <c r="AO16"/>
  <c r="AM16" s="1"/>
  <c r="AD16"/>
  <c r="AC16"/>
  <c r="AL16" s="1"/>
  <c r="V16"/>
  <c r="AA59" s="1"/>
  <c r="F59" s="1"/>
  <c r="D71" s="1"/>
  <c r="F77" s="1"/>
  <c r="D86" s="1"/>
  <c r="E89" s="1"/>
  <c r="AO15"/>
  <c r="AM15" s="1"/>
  <c r="AD15"/>
  <c r="AC15"/>
  <c r="AL15" s="1"/>
  <c r="V15"/>
  <c r="Z61" s="1"/>
  <c r="D61" s="1"/>
  <c r="D73" s="1"/>
  <c r="F78" s="1"/>
  <c r="F86" s="1"/>
  <c r="E90" s="1"/>
  <c r="AD14"/>
  <c r="AC14"/>
  <c r="AD13"/>
  <c r="AH13" s="1"/>
  <c r="AC13"/>
  <c r="AO12"/>
  <c r="AM12" s="1"/>
  <c r="AD12"/>
  <c r="AC12"/>
  <c r="V12"/>
  <c r="AO11"/>
  <c r="AM11" s="1"/>
  <c r="AD11"/>
  <c r="AC11"/>
  <c r="V11"/>
  <c r="AA61" s="1"/>
  <c r="F61" s="1"/>
  <c r="AO10"/>
  <c r="AM10" s="1"/>
  <c r="AD10"/>
  <c r="AC10"/>
  <c r="V10"/>
  <c r="AO9"/>
  <c r="AM9" s="1"/>
  <c r="AD9"/>
  <c r="AC9"/>
  <c r="AG9" s="1"/>
  <c r="V9"/>
  <c r="Z59" s="1"/>
  <c r="D59" s="1"/>
  <c r="AD8"/>
  <c r="AC8"/>
  <c r="N3"/>
  <c r="X98" i="87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C82"/>
  <c r="X82"/>
  <c r="X81"/>
  <c r="X80"/>
  <c r="X79"/>
  <c r="AD78"/>
  <c r="AH78" s="1"/>
  <c r="AC78"/>
  <c r="X78"/>
  <c r="AD77"/>
  <c r="AH77" s="1"/>
  <c r="AC77"/>
  <c r="X77"/>
  <c r="X76"/>
  <c r="X75"/>
  <c r="X74"/>
  <c r="AD73"/>
  <c r="AH73" s="1"/>
  <c r="AC73"/>
  <c r="X73"/>
  <c r="AD72"/>
  <c r="AH72" s="1"/>
  <c r="AC72"/>
  <c r="X72"/>
  <c r="AD71"/>
  <c r="AH71" s="1"/>
  <c r="AC71"/>
  <c r="X71"/>
  <c r="AD70"/>
  <c r="AH70" s="1"/>
  <c r="AC70"/>
  <c r="X70"/>
  <c r="X69"/>
  <c r="AZ68"/>
  <c r="X68"/>
  <c r="AZ67"/>
  <c r="X67"/>
  <c r="AZ66"/>
  <c r="AD66"/>
  <c r="AH66" s="1"/>
  <c r="AC66"/>
  <c r="X66"/>
  <c r="AZ65"/>
  <c r="AD65"/>
  <c r="AH65" s="1"/>
  <c r="AC65"/>
  <c r="X65"/>
  <c r="AZ64"/>
  <c r="AD64"/>
  <c r="AH64" s="1"/>
  <c r="AC64"/>
  <c r="X64"/>
  <c r="AZ63"/>
  <c r="AD63"/>
  <c r="AH63" s="1"/>
  <c r="AC63"/>
  <c r="X63"/>
  <c r="AZ62"/>
  <c r="AD62"/>
  <c r="AH62" s="1"/>
  <c r="AC62"/>
  <c r="X62"/>
  <c r="AZ61"/>
  <c r="AD61"/>
  <c r="AH61" s="1"/>
  <c r="AC61"/>
  <c r="X61"/>
  <c r="AZ60"/>
  <c r="AD60"/>
  <c r="AH60" s="1"/>
  <c r="AC60"/>
  <c r="X60"/>
  <c r="AZ59"/>
  <c r="AD59"/>
  <c r="AH59" s="1"/>
  <c r="AC59"/>
  <c r="X59"/>
  <c r="AZ58"/>
  <c r="BA67" s="1"/>
  <c r="BB67" s="1"/>
  <c r="AA58"/>
  <c r="Z58"/>
  <c r="X58"/>
  <c r="AD55"/>
  <c r="AC55"/>
  <c r="AO54"/>
  <c r="AM54" s="1"/>
  <c r="AD54"/>
  <c r="AH54" s="1"/>
  <c r="AC54"/>
  <c r="V54"/>
  <c r="AO53"/>
  <c r="AM53" s="1"/>
  <c r="AD53"/>
  <c r="AH53" s="1"/>
  <c r="AC53"/>
  <c r="V53"/>
  <c r="AA64" s="1"/>
  <c r="F64" s="1"/>
  <c r="AO52"/>
  <c r="AM52" s="1"/>
  <c r="AH52"/>
  <c r="AD52"/>
  <c r="AC52"/>
  <c r="AK52" s="1"/>
  <c r="V52"/>
  <c r="AO51"/>
  <c r="AM51" s="1"/>
  <c r="AD51"/>
  <c r="AH51" s="1"/>
  <c r="AC51"/>
  <c r="V51"/>
  <c r="Z66" s="1"/>
  <c r="D66" s="1"/>
  <c r="F72" s="1"/>
  <c r="D78" s="1"/>
  <c r="F82" s="1"/>
  <c r="E92" s="1"/>
  <c r="AD50"/>
  <c r="AH50" s="1"/>
  <c r="AC50"/>
  <c r="AD49"/>
  <c r="AH49" s="1"/>
  <c r="AC49"/>
  <c r="AO48"/>
  <c r="AM48" s="1"/>
  <c r="AD48"/>
  <c r="AH48" s="1"/>
  <c r="AC48"/>
  <c r="V48"/>
  <c r="AO47"/>
  <c r="AM47" s="1"/>
  <c r="AD47"/>
  <c r="AH47" s="1"/>
  <c r="AC47"/>
  <c r="V47"/>
  <c r="AO46"/>
  <c r="AM46" s="1"/>
  <c r="AD46"/>
  <c r="AH46" s="1"/>
  <c r="AC46"/>
  <c r="V46"/>
  <c r="AA66" s="1"/>
  <c r="F66" s="1"/>
  <c r="AO45"/>
  <c r="AM45" s="1"/>
  <c r="AD45"/>
  <c r="AH45" s="1"/>
  <c r="AC45"/>
  <c r="V45"/>
  <c r="Z64" s="1"/>
  <c r="D64" s="1"/>
  <c r="F70" s="1"/>
  <c r="D77" s="1"/>
  <c r="D86" s="1"/>
  <c r="E89" s="1"/>
  <c r="AD44"/>
  <c r="AH44" s="1"/>
  <c r="AC44"/>
  <c r="AD43"/>
  <c r="AC43"/>
  <c r="AO42"/>
  <c r="AM42" s="1"/>
  <c r="AD42"/>
  <c r="AH42" s="1"/>
  <c r="AC42"/>
  <c r="V42"/>
  <c r="AA63" s="1"/>
  <c r="F63" s="1"/>
  <c r="AO41"/>
  <c r="AM41" s="1"/>
  <c r="AD41"/>
  <c r="AH41" s="1"/>
  <c r="AC41"/>
  <c r="V41"/>
  <c r="AO40"/>
  <c r="AM40" s="1"/>
  <c r="AD40"/>
  <c r="AH40" s="1"/>
  <c r="AC40"/>
  <c r="V40"/>
  <c r="AO39"/>
  <c r="AM39" s="1"/>
  <c r="AD39"/>
  <c r="AH39" s="1"/>
  <c r="AC39"/>
  <c r="V39"/>
  <c r="Z65" s="1"/>
  <c r="D65" s="1"/>
  <c r="D72" s="1"/>
  <c r="AD38"/>
  <c r="AH38" s="1"/>
  <c r="AC38"/>
  <c r="AD37"/>
  <c r="AC37"/>
  <c r="AO36"/>
  <c r="AM36" s="1"/>
  <c r="AD36"/>
  <c r="AH36" s="1"/>
  <c r="AC36"/>
  <c r="V36"/>
  <c r="AO35"/>
  <c r="AM35" s="1"/>
  <c r="AD35"/>
  <c r="AH35" s="1"/>
  <c r="AC35"/>
  <c r="V35"/>
  <c r="Z63" s="1"/>
  <c r="D63" s="1"/>
  <c r="D70" s="1"/>
  <c r="AO34"/>
  <c r="AM34" s="1"/>
  <c r="AD34"/>
  <c r="AH34" s="1"/>
  <c r="AC34"/>
  <c r="V34"/>
  <c r="AO33"/>
  <c r="AM33" s="1"/>
  <c r="AD33"/>
  <c r="AH33" s="1"/>
  <c r="AC33"/>
  <c r="V33"/>
  <c r="AA65" s="1"/>
  <c r="F65" s="1"/>
  <c r="AD32"/>
  <c r="AH32" s="1"/>
  <c r="AC32"/>
  <c r="AD31"/>
  <c r="AH31" s="1"/>
  <c r="AC31"/>
  <c r="AO30"/>
  <c r="AM30" s="1"/>
  <c r="AD30"/>
  <c r="AH30" s="1"/>
  <c r="AC30"/>
  <c r="V30"/>
  <c r="AO29"/>
  <c r="AM29" s="1"/>
  <c r="AD29"/>
  <c r="AH29" s="1"/>
  <c r="AC29"/>
  <c r="V29"/>
  <c r="Z62" s="1"/>
  <c r="D62" s="1"/>
  <c r="F73" s="1"/>
  <c r="AO28"/>
  <c r="AM28" s="1"/>
  <c r="AD28"/>
  <c r="AH28" s="1"/>
  <c r="AC28"/>
  <c r="V28"/>
  <c r="AO27"/>
  <c r="AM27" s="1"/>
  <c r="AD27"/>
  <c r="AH27" s="1"/>
  <c r="AC27"/>
  <c r="V27"/>
  <c r="AA60" s="1"/>
  <c r="F60" s="1"/>
  <c r="F71" s="1"/>
  <c r="AD26"/>
  <c r="AH26" s="1"/>
  <c r="AC26"/>
  <c r="AD25"/>
  <c r="AC25"/>
  <c r="AO24"/>
  <c r="AM24" s="1"/>
  <c r="AD24"/>
  <c r="AH24" s="1"/>
  <c r="AC24"/>
  <c r="V24"/>
  <c r="AA62" s="1"/>
  <c r="F62" s="1"/>
  <c r="AO23"/>
  <c r="AM23" s="1"/>
  <c r="AD23"/>
  <c r="AH23" s="1"/>
  <c r="AC23"/>
  <c r="V23"/>
  <c r="AO22"/>
  <c r="AM22" s="1"/>
  <c r="AD22"/>
  <c r="AH22" s="1"/>
  <c r="AC22"/>
  <c r="V22"/>
  <c r="AO21"/>
  <c r="AM21" s="1"/>
  <c r="AD21"/>
  <c r="AH21" s="1"/>
  <c r="AC21"/>
  <c r="V21"/>
  <c r="Z60" s="1"/>
  <c r="D60" s="1"/>
  <c r="AD20"/>
  <c r="AH20" s="1"/>
  <c r="AC20"/>
  <c r="AD19"/>
  <c r="AH19" s="1"/>
  <c r="AC19"/>
  <c r="AL19" s="1"/>
  <c r="AO18"/>
  <c r="AM18" s="1"/>
  <c r="AD18"/>
  <c r="AH18" s="1"/>
  <c r="AC18"/>
  <c r="V18"/>
  <c r="AO17"/>
  <c r="AM17" s="1"/>
  <c r="AD17"/>
  <c r="AH17" s="1"/>
  <c r="AC17"/>
  <c r="V17"/>
  <c r="AA59" s="1"/>
  <c r="F59" s="1"/>
  <c r="AO16"/>
  <c r="AM16" s="1"/>
  <c r="AD16"/>
  <c r="AH16" s="1"/>
  <c r="AC16"/>
  <c r="V16"/>
  <c r="AO15"/>
  <c r="AM15" s="1"/>
  <c r="AD15"/>
  <c r="AH15" s="1"/>
  <c r="AC15"/>
  <c r="V15"/>
  <c r="Z61" s="1"/>
  <c r="D61" s="1"/>
  <c r="D73" s="1"/>
  <c r="F78" s="1"/>
  <c r="F86" s="1"/>
  <c r="E90" s="1"/>
  <c r="AD14"/>
  <c r="AH14" s="1"/>
  <c r="AC14"/>
  <c r="AD13"/>
  <c r="AH13" s="1"/>
  <c r="AC13"/>
  <c r="AO12"/>
  <c r="AM12" s="1"/>
  <c r="AD12"/>
  <c r="AH12" s="1"/>
  <c r="AC12"/>
  <c r="V12"/>
  <c r="AO11"/>
  <c r="AM11" s="1"/>
  <c r="AD11"/>
  <c r="AH11" s="1"/>
  <c r="AC11"/>
  <c r="V11"/>
  <c r="AA61" s="1"/>
  <c r="F61" s="1"/>
  <c r="AO10"/>
  <c r="AM10" s="1"/>
  <c r="AD10"/>
  <c r="AH10" s="1"/>
  <c r="AC10"/>
  <c r="V10"/>
  <c r="AO9"/>
  <c r="AM9" s="1"/>
  <c r="AD9"/>
  <c r="AH9" s="1"/>
  <c r="AC9"/>
  <c r="V9"/>
  <c r="Z59" s="1"/>
  <c r="D59" s="1"/>
  <c r="D71" s="1"/>
  <c r="F77" s="1"/>
  <c r="D82" s="1"/>
  <c r="E91" s="1"/>
  <c r="AD8"/>
  <c r="AH8" s="1"/>
  <c r="AC8"/>
  <c r="N3"/>
  <c r="C14" i="22"/>
  <c r="L55" i="76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S18" s="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L55" i="75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S45"/>
  <c r="Q45"/>
  <c r="P45"/>
  <c r="R45" s="1"/>
  <c r="L45"/>
  <c r="K45"/>
  <c r="J45"/>
  <c r="L44"/>
  <c r="K44"/>
  <c r="S30" s="1"/>
  <c r="J44"/>
  <c r="L43"/>
  <c r="K43"/>
  <c r="J43"/>
  <c r="Q42"/>
  <c r="P42"/>
  <c r="R42" s="1"/>
  <c r="L42"/>
  <c r="K42"/>
  <c r="S12" s="1"/>
  <c r="J42"/>
  <c r="Q41"/>
  <c r="P41"/>
  <c r="R41" s="1"/>
  <c r="L41"/>
  <c r="K41"/>
  <c r="J41"/>
  <c r="Q40"/>
  <c r="P40"/>
  <c r="R40" s="1"/>
  <c r="L40"/>
  <c r="K40"/>
  <c r="S18" s="1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S35"/>
  <c r="Q35"/>
  <c r="P35"/>
  <c r="R35" s="1"/>
  <c r="L35"/>
  <c r="S47" s="1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S24" s="1"/>
  <c r="J30"/>
  <c r="Q29"/>
  <c r="P29"/>
  <c r="R29" s="1"/>
  <c r="L29"/>
  <c r="K29"/>
  <c r="J29"/>
  <c r="Q28"/>
  <c r="P28"/>
  <c r="R28" s="1"/>
  <c r="L28"/>
  <c r="K28"/>
  <c r="J28"/>
  <c r="S27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S23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J21"/>
  <c r="L20"/>
  <c r="K20"/>
  <c r="S41" s="1"/>
  <c r="J20"/>
  <c r="L19"/>
  <c r="S46" s="1"/>
  <c r="K19"/>
  <c r="J19"/>
  <c r="Q18"/>
  <c r="P18"/>
  <c r="R18" s="1"/>
  <c r="L18"/>
  <c r="S40" s="1"/>
  <c r="K18"/>
  <c r="S39" s="1"/>
  <c r="J18"/>
  <c r="S17"/>
  <c r="Q17"/>
  <c r="P17"/>
  <c r="R17" s="1"/>
  <c r="L17"/>
  <c r="K17"/>
  <c r="J17"/>
  <c r="Q16"/>
  <c r="P16"/>
  <c r="R16" s="1"/>
  <c r="L16"/>
  <c r="S34" s="1"/>
  <c r="K16"/>
  <c r="S33" s="1"/>
  <c r="J16"/>
  <c r="Q15"/>
  <c r="P15"/>
  <c r="R15" s="1"/>
  <c r="L15"/>
  <c r="K15"/>
  <c r="J15"/>
  <c r="L14"/>
  <c r="K14"/>
  <c r="S29" s="1"/>
  <c r="J14"/>
  <c r="L13"/>
  <c r="S28" s="1"/>
  <c r="K13"/>
  <c r="J13"/>
  <c r="Q12"/>
  <c r="P12"/>
  <c r="R12" s="1"/>
  <c r="L12"/>
  <c r="S22" s="1"/>
  <c r="K12"/>
  <c r="S21" s="1"/>
  <c r="J12"/>
  <c r="S11"/>
  <c r="Q11"/>
  <c r="P11"/>
  <c r="R11" s="1"/>
  <c r="L11"/>
  <c r="K11"/>
  <c r="J11"/>
  <c r="Q10"/>
  <c r="P10"/>
  <c r="R10" s="1"/>
  <c r="L10"/>
  <c r="S16" s="1"/>
  <c r="K10"/>
  <c r="S15" s="1"/>
  <c r="J10"/>
  <c r="Q9"/>
  <c r="P9"/>
  <c r="R9" s="1"/>
  <c r="L9"/>
  <c r="K9"/>
  <c r="J9"/>
  <c r="L8"/>
  <c r="S10" s="1"/>
  <c r="K8"/>
  <c r="S9" s="1"/>
  <c r="J8"/>
  <c r="L55" i="74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Q12"/>
  <c r="P12"/>
  <c r="R12" s="1"/>
  <c r="L12"/>
  <c r="S22" s="1"/>
  <c r="K12"/>
  <c r="S21" s="1"/>
  <c r="J12"/>
  <c r="Q11"/>
  <c r="P11"/>
  <c r="R11" s="1"/>
  <c r="L11"/>
  <c r="S18" s="1"/>
  <c r="K11"/>
  <c r="S17" s="1"/>
  <c r="J11"/>
  <c r="Q10"/>
  <c r="P10"/>
  <c r="R10" s="1"/>
  <c r="L10"/>
  <c r="S16" s="1"/>
  <c r="K10"/>
  <c r="S15" s="1"/>
  <c r="J10"/>
  <c r="Q9"/>
  <c r="P9"/>
  <c r="R9" s="1"/>
  <c r="L9"/>
  <c r="S12" s="1"/>
  <c r="K9"/>
  <c r="S11" s="1"/>
  <c r="J9"/>
  <c r="L8"/>
  <c r="S10" s="1"/>
  <c r="K8"/>
  <c r="S9" s="1"/>
  <c r="J8"/>
  <c r="X98" i="86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X77"/>
  <c r="X76"/>
  <c r="X75"/>
  <c r="X74"/>
  <c r="AD73"/>
  <c r="AH73" s="1"/>
  <c r="AC73"/>
  <c r="X73"/>
  <c r="AD72"/>
  <c r="AH72" s="1"/>
  <c r="AC72"/>
  <c r="X72"/>
  <c r="AD71"/>
  <c r="AH71" s="1"/>
  <c r="AC71"/>
  <c r="X71"/>
  <c r="AD70"/>
  <c r="AH70" s="1"/>
  <c r="AC70"/>
  <c r="X70"/>
  <c r="X69"/>
  <c r="AZ68"/>
  <c r="X68"/>
  <c r="AZ67"/>
  <c r="X67"/>
  <c r="AZ66"/>
  <c r="AD66"/>
  <c r="AH66" s="1"/>
  <c r="AC66"/>
  <c r="X66"/>
  <c r="AZ65"/>
  <c r="AD65"/>
  <c r="AH65" s="1"/>
  <c r="AC65"/>
  <c r="X65"/>
  <c r="AZ64"/>
  <c r="AD64"/>
  <c r="AH64" s="1"/>
  <c r="AC64"/>
  <c r="X64"/>
  <c r="AZ63"/>
  <c r="AD63"/>
  <c r="AH63" s="1"/>
  <c r="AC63"/>
  <c r="X63"/>
  <c r="AZ62"/>
  <c r="AD62"/>
  <c r="AH62" s="1"/>
  <c r="AC62"/>
  <c r="X62"/>
  <c r="AZ61"/>
  <c r="AD61"/>
  <c r="AH61" s="1"/>
  <c r="AC61"/>
  <c r="X61"/>
  <c r="AZ60"/>
  <c r="AD60"/>
  <c r="AH60" s="1"/>
  <c r="AC60"/>
  <c r="X60"/>
  <c r="AZ59"/>
  <c r="BA61" s="1"/>
  <c r="BB61" s="1"/>
  <c r="AD59"/>
  <c r="AH59" s="1"/>
  <c r="AC59"/>
  <c r="AK59" s="1"/>
  <c r="X59"/>
  <c r="AZ58"/>
  <c r="BA68" s="1"/>
  <c r="BB68" s="1"/>
  <c r="AA58"/>
  <c r="Z58"/>
  <c r="X58"/>
  <c r="AD55"/>
  <c r="AH55" s="1"/>
  <c r="AC55"/>
  <c r="AO54"/>
  <c r="AM54" s="1"/>
  <c r="AD54"/>
  <c r="AH54" s="1"/>
  <c r="AC54"/>
  <c r="V54"/>
  <c r="AO53"/>
  <c r="AM53" s="1"/>
  <c r="AD53"/>
  <c r="AC53"/>
  <c r="V53"/>
  <c r="Z66" s="1"/>
  <c r="D66" s="1"/>
  <c r="AO52"/>
  <c r="AM52" s="1"/>
  <c r="AD52"/>
  <c r="AC52"/>
  <c r="V52"/>
  <c r="AO51"/>
  <c r="AM51"/>
  <c r="AD51"/>
  <c r="AC51"/>
  <c r="V51"/>
  <c r="AA64" s="1"/>
  <c r="F64" s="1"/>
  <c r="F70" s="1"/>
  <c r="AD50"/>
  <c r="AC50"/>
  <c r="AD49"/>
  <c r="AH49" s="1"/>
  <c r="AC49"/>
  <c r="AO48"/>
  <c r="AM48" s="1"/>
  <c r="AD48"/>
  <c r="AC48"/>
  <c r="V48"/>
  <c r="AO47"/>
  <c r="AM47" s="1"/>
  <c r="AD47"/>
  <c r="AC47"/>
  <c r="V47"/>
  <c r="AO46"/>
  <c r="AM46" s="1"/>
  <c r="AD46"/>
  <c r="AC46"/>
  <c r="V46"/>
  <c r="Z64" s="1"/>
  <c r="D64" s="1"/>
  <c r="AO45"/>
  <c r="AM45" s="1"/>
  <c r="AD45"/>
  <c r="AK45" s="1"/>
  <c r="AC45"/>
  <c r="V45"/>
  <c r="AA66" s="1"/>
  <c r="F66" s="1"/>
  <c r="F72" s="1"/>
  <c r="D78" s="1"/>
  <c r="F82" s="1"/>
  <c r="E91" s="1"/>
  <c r="AD44"/>
  <c r="AC44"/>
  <c r="AD43"/>
  <c r="AH43" s="1"/>
  <c r="AC43"/>
  <c r="AO42"/>
  <c r="AM42" s="1"/>
  <c r="AD42"/>
  <c r="AC42"/>
  <c r="V42"/>
  <c r="AO41"/>
  <c r="AM41" s="1"/>
  <c r="AD41"/>
  <c r="AC41"/>
  <c r="V41"/>
  <c r="AO40"/>
  <c r="AM40" s="1"/>
  <c r="AD40"/>
  <c r="AK40" s="1"/>
  <c r="AC40"/>
  <c r="V40"/>
  <c r="AA63" s="1"/>
  <c r="F63" s="1"/>
  <c r="AO39"/>
  <c r="AM39" s="1"/>
  <c r="AD39"/>
  <c r="AC39"/>
  <c r="V39"/>
  <c r="Z65" s="1"/>
  <c r="D65" s="1"/>
  <c r="D72" s="1"/>
  <c r="AD38"/>
  <c r="AH38" s="1"/>
  <c r="AC38"/>
  <c r="AG38" s="1"/>
  <c r="AD37"/>
  <c r="AC37"/>
  <c r="AO36"/>
  <c r="AM36" s="1"/>
  <c r="AD36"/>
  <c r="AH36" s="1"/>
  <c r="AC36"/>
  <c r="AG36" s="1"/>
  <c r="V36"/>
  <c r="AO35"/>
  <c r="AM35" s="1"/>
  <c r="AD35"/>
  <c r="AH35" s="1"/>
  <c r="AC35"/>
  <c r="V35"/>
  <c r="Z63" s="1"/>
  <c r="D63" s="1"/>
  <c r="D70" s="1"/>
  <c r="D77" s="1"/>
  <c r="D82" s="1"/>
  <c r="E92" s="1"/>
  <c r="AO34"/>
  <c r="AM34" s="1"/>
  <c r="AD34"/>
  <c r="AH34" s="1"/>
  <c r="AC34"/>
  <c r="AG34" s="1"/>
  <c r="V34"/>
  <c r="AO33"/>
  <c r="AM33" s="1"/>
  <c r="AD33"/>
  <c r="AH33" s="1"/>
  <c r="AC33"/>
  <c r="AL33" s="1"/>
  <c r="V33"/>
  <c r="AA65" s="1"/>
  <c r="F65" s="1"/>
  <c r="AD32"/>
  <c r="AH32" s="1"/>
  <c r="AC32"/>
  <c r="AG32" s="1"/>
  <c r="AD31"/>
  <c r="AH31" s="1"/>
  <c r="AC31"/>
  <c r="AO30"/>
  <c r="AM30" s="1"/>
  <c r="AD30"/>
  <c r="AH30" s="1"/>
  <c r="AC30"/>
  <c r="AG30" s="1"/>
  <c r="V30"/>
  <c r="AA60" s="1"/>
  <c r="F60" s="1"/>
  <c r="F71" s="1"/>
  <c r="AO29"/>
  <c r="AM29" s="1"/>
  <c r="AD29"/>
  <c r="AH29" s="1"/>
  <c r="AC29"/>
  <c r="V29"/>
  <c r="Z62" s="1"/>
  <c r="D62" s="1"/>
  <c r="F73" s="1"/>
  <c r="AO28"/>
  <c r="AM28" s="1"/>
  <c r="AD28"/>
  <c r="AH28" s="1"/>
  <c r="AC28"/>
  <c r="AG28" s="1"/>
  <c r="V28"/>
  <c r="AO27"/>
  <c r="AM27" s="1"/>
  <c r="AD27"/>
  <c r="AH27" s="1"/>
  <c r="AC27"/>
  <c r="V27"/>
  <c r="AD26"/>
  <c r="AH26" s="1"/>
  <c r="AC26"/>
  <c r="AG26" s="1"/>
  <c r="AD25"/>
  <c r="AC25"/>
  <c r="AO24"/>
  <c r="AM24" s="1"/>
  <c r="AD24"/>
  <c r="AH24" s="1"/>
  <c r="AC24"/>
  <c r="AG24" s="1"/>
  <c r="V24"/>
  <c r="AA62" s="1"/>
  <c r="F62" s="1"/>
  <c r="AO23"/>
  <c r="AM23" s="1"/>
  <c r="AD23"/>
  <c r="AH23" s="1"/>
  <c r="AC23"/>
  <c r="V23"/>
  <c r="AO22"/>
  <c r="AM22" s="1"/>
  <c r="AD22"/>
  <c r="AH22" s="1"/>
  <c r="AC22"/>
  <c r="AG22" s="1"/>
  <c r="V22"/>
  <c r="Z60" s="1"/>
  <c r="D60" s="1"/>
  <c r="AO21"/>
  <c r="AM21" s="1"/>
  <c r="AD21"/>
  <c r="AH21" s="1"/>
  <c r="AC21"/>
  <c r="V21"/>
  <c r="AD20"/>
  <c r="AH20" s="1"/>
  <c r="AC20"/>
  <c r="AG20" s="1"/>
  <c r="AD19"/>
  <c r="AH19" s="1"/>
  <c r="AC19"/>
  <c r="AO18"/>
  <c r="AM18" s="1"/>
  <c r="AD18"/>
  <c r="AH18" s="1"/>
  <c r="AC18"/>
  <c r="AG18" s="1"/>
  <c r="V18"/>
  <c r="AO17"/>
  <c r="AM17" s="1"/>
  <c r="AD17"/>
  <c r="AH17" s="1"/>
  <c r="AC17"/>
  <c r="V17"/>
  <c r="AO16"/>
  <c r="AM16" s="1"/>
  <c r="AD16"/>
  <c r="AC16"/>
  <c r="AG16" s="1"/>
  <c r="V16"/>
  <c r="AA59" s="1"/>
  <c r="F59" s="1"/>
  <c r="D71" s="1"/>
  <c r="F77" s="1"/>
  <c r="D86" s="1"/>
  <c r="E89" s="1"/>
  <c r="AO15"/>
  <c r="AM15" s="1"/>
  <c r="AD15"/>
  <c r="AH15" s="1"/>
  <c r="AC15"/>
  <c r="V15"/>
  <c r="Z61" s="1"/>
  <c r="D61" s="1"/>
  <c r="D73" s="1"/>
  <c r="F78" s="1"/>
  <c r="F86" s="1"/>
  <c r="E90" s="1"/>
  <c r="AD14"/>
  <c r="AC14"/>
  <c r="AD13"/>
  <c r="AH13" s="1"/>
  <c r="AC13"/>
  <c r="AG13" s="1"/>
  <c r="AO12"/>
  <c r="AM12" s="1"/>
  <c r="AD12"/>
  <c r="AH12" s="1"/>
  <c r="AC12"/>
  <c r="AL12" s="1"/>
  <c r="V12"/>
  <c r="AO11"/>
  <c r="AM11" s="1"/>
  <c r="AD11"/>
  <c r="AH11" s="1"/>
  <c r="AC11"/>
  <c r="V11"/>
  <c r="AA61" s="1"/>
  <c r="F61" s="1"/>
  <c r="AO10"/>
  <c r="AM10" s="1"/>
  <c r="AD10"/>
  <c r="AH10" s="1"/>
  <c r="AC10"/>
  <c r="V10"/>
  <c r="AO9"/>
  <c r="AM9" s="1"/>
  <c r="AD9"/>
  <c r="AH9" s="1"/>
  <c r="AC9"/>
  <c r="V9"/>
  <c r="Z59" s="1"/>
  <c r="D59" s="1"/>
  <c r="AD8"/>
  <c r="AH8" s="1"/>
  <c r="AC8"/>
  <c r="N3"/>
  <c r="C95" i="22" s="1"/>
  <c r="X98" i="85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X77"/>
  <c r="X76"/>
  <c r="X75"/>
  <c r="X74"/>
  <c r="AD73"/>
  <c r="AH73" s="1"/>
  <c r="AC73"/>
  <c r="X73"/>
  <c r="AD72"/>
  <c r="AH72" s="1"/>
  <c r="AC72"/>
  <c r="X72"/>
  <c r="AD71"/>
  <c r="AH71" s="1"/>
  <c r="AC71"/>
  <c r="X71"/>
  <c r="AD70"/>
  <c r="AH70" s="1"/>
  <c r="AC70"/>
  <c r="X70"/>
  <c r="X69"/>
  <c r="AZ68"/>
  <c r="X68"/>
  <c r="AZ67"/>
  <c r="X67"/>
  <c r="AZ66"/>
  <c r="AD66"/>
  <c r="AH66" s="1"/>
  <c r="AC66"/>
  <c r="AG66" s="1"/>
  <c r="X66"/>
  <c r="AZ65"/>
  <c r="AD65"/>
  <c r="AH65" s="1"/>
  <c r="AC65"/>
  <c r="AG65" s="1"/>
  <c r="X65"/>
  <c r="AZ64"/>
  <c r="AD64"/>
  <c r="AH64" s="1"/>
  <c r="AC64"/>
  <c r="AG64" s="1"/>
  <c r="X64"/>
  <c r="AZ63"/>
  <c r="AD63"/>
  <c r="AH63" s="1"/>
  <c r="AC63"/>
  <c r="AG63" s="1"/>
  <c r="X63"/>
  <c r="AZ62"/>
  <c r="AD62"/>
  <c r="AH62" s="1"/>
  <c r="AC62"/>
  <c r="AG62" s="1"/>
  <c r="X62"/>
  <c r="AZ61"/>
  <c r="AD61"/>
  <c r="AH61" s="1"/>
  <c r="AC61"/>
  <c r="AG61" s="1"/>
  <c r="X61"/>
  <c r="AZ60"/>
  <c r="AD60"/>
  <c r="AH60" s="1"/>
  <c r="AC60"/>
  <c r="AG60" s="1"/>
  <c r="X60"/>
  <c r="AZ59"/>
  <c r="AD59"/>
  <c r="AH59" s="1"/>
  <c r="AC59"/>
  <c r="AG59" s="1"/>
  <c r="X59"/>
  <c r="AZ58"/>
  <c r="BA67" s="1"/>
  <c r="BB67" s="1"/>
  <c r="AA58"/>
  <c r="Z58"/>
  <c r="X58"/>
  <c r="AH55"/>
  <c r="AD55"/>
  <c r="AC55"/>
  <c r="AL55" s="1"/>
  <c r="AO54"/>
  <c r="AM54" s="1"/>
  <c r="AD54"/>
  <c r="AH54" s="1"/>
  <c r="AC54"/>
  <c r="AG54" s="1"/>
  <c r="V54"/>
  <c r="AO53"/>
  <c r="AM53" s="1"/>
  <c r="AD53"/>
  <c r="AH53" s="1"/>
  <c r="AC53"/>
  <c r="V53"/>
  <c r="AA64" s="1"/>
  <c r="F64" s="1"/>
  <c r="AO52"/>
  <c r="AM52" s="1"/>
  <c r="AD52"/>
  <c r="AH52" s="1"/>
  <c r="AC52"/>
  <c r="AG52" s="1"/>
  <c r="V52"/>
  <c r="AO51"/>
  <c r="AM51" s="1"/>
  <c r="AD51"/>
  <c r="AH51" s="1"/>
  <c r="AC51"/>
  <c r="V51"/>
  <c r="Z66" s="1"/>
  <c r="D66" s="1"/>
  <c r="AD50"/>
  <c r="AH50" s="1"/>
  <c r="AC50"/>
  <c r="AG50" s="1"/>
  <c r="AD49"/>
  <c r="AC49"/>
  <c r="AO48"/>
  <c r="AM48" s="1"/>
  <c r="AD48"/>
  <c r="AH48" s="1"/>
  <c r="AC48"/>
  <c r="AG48" s="1"/>
  <c r="V48"/>
  <c r="AO47"/>
  <c r="AM47" s="1"/>
  <c r="AD47"/>
  <c r="AH47" s="1"/>
  <c r="AC47"/>
  <c r="V47"/>
  <c r="AO46"/>
  <c r="AM46" s="1"/>
  <c r="AD46"/>
  <c r="AH46" s="1"/>
  <c r="AC46"/>
  <c r="AG46" s="1"/>
  <c r="V46"/>
  <c r="AA66" s="1"/>
  <c r="F66" s="1"/>
  <c r="F72" s="1"/>
  <c r="AO45"/>
  <c r="AM45" s="1"/>
  <c r="AD45"/>
  <c r="AH45" s="1"/>
  <c r="AC45"/>
  <c r="V45"/>
  <c r="Z64" s="1"/>
  <c r="D64" s="1"/>
  <c r="F70" s="1"/>
  <c r="D77" s="1"/>
  <c r="D82" s="1"/>
  <c r="E91" s="1"/>
  <c r="AD44"/>
  <c r="AH44" s="1"/>
  <c r="AC44"/>
  <c r="AG44" s="1"/>
  <c r="AD43"/>
  <c r="AH43" s="1"/>
  <c r="AC43"/>
  <c r="AO42"/>
  <c r="AM42" s="1"/>
  <c r="AD42"/>
  <c r="AH42" s="1"/>
  <c r="AC42"/>
  <c r="V42"/>
  <c r="AA63" s="1"/>
  <c r="F63" s="1"/>
  <c r="AO41"/>
  <c r="AM41" s="1"/>
  <c r="AD41"/>
  <c r="AH41" s="1"/>
  <c r="AC41"/>
  <c r="V41"/>
  <c r="AO40"/>
  <c r="AM40" s="1"/>
  <c r="AD40"/>
  <c r="AH40" s="1"/>
  <c r="AC40"/>
  <c r="V40"/>
  <c r="AO39"/>
  <c r="AM39" s="1"/>
  <c r="AD39"/>
  <c r="AH39" s="1"/>
  <c r="AC39"/>
  <c r="V39"/>
  <c r="Z65" s="1"/>
  <c r="D65" s="1"/>
  <c r="D72" s="1"/>
  <c r="D78" s="1"/>
  <c r="F82" s="1"/>
  <c r="E92" s="1"/>
  <c r="AD38"/>
  <c r="AH38" s="1"/>
  <c r="AC38"/>
  <c r="AD37"/>
  <c r="AC37"/>
  <c r="AO36"/>
  <c r="AM36" s="1"/>
  <c r="AD36"/>
  <c r="AH36" s="1"/>
  <c r="AC36"/>
  <c r="V36"/>
  <c r="AO35"/>
  <c r="AM35" s="1"/>
  <c r="AD35"/>
  <c r="AH35" s="1"/>
  <c r="AC35"/>
  <c r="V35"/>
  <c r="Z63" s="1"/>
  <c r="D63" s="1"/>
  <c r="D70" s="1"/>
  <c r="AO34"/>
  <c r="AM34" s="1"/>
  <c r="AD34"/>
  <c r="AH34" s="1"/>
  <c r="AC34"/>
  <c r="V34"/>
  <c r="AO33"/>
  <c r="AM33" s="1"/>
  <c r="AD33"/>
  <c r="AH33" s="1"/>
  <c r="AC33"/>
  <c r="V33"/>
  <c r="AA65" s="1"/>
  <c r="F65" s="1"/>
  <c r="AD32"/>
  <c r="AH32" s="1"/>
  <c r="AC32"/>
  <c r="AD31"/>
  <c r="AC31"/>
  <c r="AO30"/>
  <c r="AM30" s="1"/>
  <c r="AD30"/>
  <c r="AH30" s="1"/>
  <c r="AC30"/>
  <c r="V30"/>
  <c r="Z62" s="1"/>
  <c r="D62" s="1"/>
  <c r="F73" s="1"/>
  <c r="AO29"/>
  <c r="AM29" s="1"/>
  <c r="AD29"/>
  <c r="AH29" s="1"/>
  <c r="AC29"/>
  <c r="V29"/>
  <c r="AA60" s="1"/>
  <c r="F60" s="1"/>
  <c r="F71" s="1"/>
  <c r="AO28"/>
  <c r="AM28" s="1"/>
  <c r="AD28"/>
  <c r="AH28" s="1"/>
  <c r="AC28"/>
  <c r="V28"/>
  <c r="AO27"/>
  <c r="AM27" s="1"/>
  <c r="AD27"/>
  <c r="AH27" s="1"/>
  <c r="AC27"/>
  <c r="V27"/>
  <c r="AD26"/>
  <c r="AH26" s="1"/>
  <c r="AC26"/>
  <c r="AD25"/>
  <c r="AC25"/>
  <c r="AO24"/>
  <c r="AM24" s="1"/>
  <c r="AD24"/>
  <c r="AH24" s="1"/>
  <c r="AC24"/>
  <c r="V24"/>
  <c r="AO23"/>
  <c r="AM23" s="1"/>
  <c r="AD23"/>
  <c r="AH23" s="1"/>
  <c r="AC23"/>
  <c r="V23"/>
  <c r="AA62" s="1"/>
  <c r="F62" s="1"/>
  <c r="AO22"/>
  <c r="AM22" s="1"/>
  <c r="AD22"/>
  <c r="AH22" s="1"/>
  <c r="AC22"/>
  <c r="V22"/>
  <c r="AO21"/>
  <c r="AM21" s="1"/>
  <c r="AD21"/>
  <c r="AH21" s="1"/>
  <c r="AC21"/>
  <c r="V21"/>
  <c r="Z60" s="1"/>
  <c r="D60" s="1"/>
  <c r="AD20"/>
  <c r="AH20" s="1"/>
  <c r="AC20"/>
  <c r="AD19"/>
  <c r="AC19"/>
  <c r="AO18"/>
  <c r="AM18" s="1"/>
  <c r="AD18"/>
  <c r="AH18" s="1"/>
  <c r="AC18"/>
  <c r="V18"/>
  <c r="AO17"/>
  <c r="AM17" s="1"/>
  <c r="AD17"/>
  <c r="AH17" s="1"/>
  <c r="AC17"/>
  <c r="V17"/>
  <c r="AO16"/>
  <c r="AM16" s="1"/>
  <c r="AD16"/>
  <c r="AH16" s="1"/>
  <c r="AC16"/>
  <c r="AL16" s="1"/>
  <c r="V16"/>
  <c r="AA59" s="1"/>
  <c r="F59" s="1"/>
  <c r="AO15"/>
  <c r="AM15" s="1"/>
  <c r="AD15"/>
  <c r="AH15" s="1"/>
  <c r="AC15"/>
  <c r="V15"/>
  <c r="Z61" s="1"/>
  <c r="D61" s="1"/>
  <c r="D73" s="1"/>
  <c r="F78" s="1"/>
  <c r="F86" s="1"/>
  <c r="E90" s="1"/>
  <c r="AD14"/>
  <c r="AH14" s="1"/>
  <c r="AC14"/>
  <c r="AD13"/>
  <c r="AC13"/>
  <c r="AO12"/>
  <c r="AM12" s="1"/>
  <c r="AD12"/>
  <c r="AH12" s="1"/>
  <c r="AC12"/>
  <c r="V12"/>
  <c r="AO11"/>
  <c r="AM11" s="1"/>
  <c r="AD11"/>
  <c r="AH11" s="1"/>
  <c r="AC11"/>
  <c r="V11"/>
  <c r="AO10"/>
  <c r="AM10" s="1"/>
  <c r="AD10"/>
  <c r="AH10" s="1"/>
  <c r="AC10"/>
  <c r="V10"/>
  <c r="AA61" s="1"/>
  <c r="F61" s="1"/>
  <c r="AO9"/>
  <c r="AM9" s="1"/>
  <c r="AD9"/>
  <c r="AH9" s="1"/>
  <c r="AC9"/>
  <c r="V9"/>
  <c r="Z59" s="1"/>
  <c r="D59" s="1"/>
  <c r="D71" s="1"/>
  <c r="F77" s="1"/>
  <c r="D86" s="1"/>
  <c r="E89" s="1"/>
  <c r="AD8"/>
  <c r="AH8" s="1"/>
  <c r="AC8"/>
  <c r="N3"/>
  <c r="C25" i="22" s="1"/>
  <c r="X98" i="84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C77"/>
  <c r="X77"/>
  <c r="X76"/>
  <c r="X75"/>
  <c r="X74"/>
  <c r="AD73"/>
  <c r="AC73"/>
  <c r="X73"/>
  <c r="AD72"/>
  <c r="AH72" s="1"/>
  <c r="AC72"/>
  <c r="X72"/>
  <c r="AD71"/>
  <c r="AC71"/>
  <c r="X71"/>
  <c r="AD70"/>
  <c r="AH70" s="1"/>
  <c r="AC70"/>
  <c r="X70"/>
  <c r="X69"/>
  <c r="AZ68"/>
  <c r="X68"/>
  <c r="AZ67"/>
  <c r="X67"/>
  <c r="AZ66"/>
  <c r="AD66"/>
  <c r="AC66"/>
  <c r="X66"/>
  <c r="AZ65"/>
  <c r="AD65"/>
  <c r="AC65"/>
  <c r="X65"/>
  <c r="AZ64"/>
  <c r="AD64"/>
  <c r="AC64"/>
  <c r="X64"/>
  <c r="AZ63"/>
  <c r="AD63"/>
  <c r="AC63"/>
  <c r="X63"/>
  <c r="AZ62"/>
  <c r="AD62"/>
  <c r="AC62"/>
  <c r="X62"/>
  <c r="AZ61"/>
  <c r="AD61"/>
  <c r="AC61"/>
  <c r="Z61"/>
  <c r="D61" s="1"/>
  <c r="D73" s="1"/>
  <c r="F78" s="1"/>
  <c r="F82" s="1"/>
  <c r="E92" s="1"/>
  <c r="X61"/>
  <c r="AZ60"/>
  <c r="AD60"/>
  <c r="AC60"/>
  <c r="X60"/>
  <c r="AZ59"/>
  <c r="BA58" s="1"/>
  <c r="BB58" s="1"/>
  <c r="AD59"/>
  <c r="AC59"/>
  <c r="Z59"/>
  <c r="D59" s="1"/>
  <c r="D71" s="1"/>
  <c r="F77" s="1"/>
  <c r="D86" s="1"/>
  <c r="E89" s="1"/>
  <c r="X59"/>
  <c r="AZ58"/>
  <c r="BA64" s="1"/>
  <c r="BB64" s="1"/>
  <c r="AA58"/>
  <c r="Z58"/>
  <c r="X58"/>
  <c r="AD55"/>
  <c r="AH55" s="1"/>
  <c r="AC55"/>
  <c r="AO54"/>
  <c r="AM54" s="1"/>
  <c r="AD54"/>
  <c r="AC54"/>
  <c r="AL54" s="1"/>
  <c r="V54"/>
  <c r="AO53"/>
  <c r="AM53" s="1"/>
  <c r="AD53"/>
  <c r="AC53"/>
  <c r="V53"/>
  <c r="AA64" s="1"/>
  <c r="F64" s="1"/>
  <c r="AO52"/>
  <c r="AM52" s="1"/>
  <c r="AD52"/>
  <c r="AC52"/>
  <c r="V52"/>
  <c r="AO51"/>
  <c r="AM51" s="1"/>
  <c r="AD51"/>
  <c r="AC51"/>
  <c r="V51"/>
  <c r="Z66" s="1"/>
  <c r="D66" s="1"/>
  <c r="AD50"/>
  <c r="AC50"/>
  <c r="AD49"/>
  <c r="AH49" s="1"/>
  <c r="AC49"/>
  <c r="AO48"/>
  <c r="AM48" s="1"/>
  <c r="AD48"/>
  <c r="AC48"/>
  <c r="AL48" s="1"/>
  <c r="V48"/>
  <c r="AO47"/>
  <c r="AM47" s="1"/>
  <c r="AD47"/>
  <c r="AC47"/>
  <c r="V47"/>
  <c r="AO46"/>
  <c r="AM46" s="1"/>
  <c r="AD46"/>
  <c r="AC46"/>
  <c r="V46"/>
  <c r="AA66" s="1"/>
  <c r="F66" s="1"/>
  <c r="F72" s="1"/>
  <c r="AO45"/>
  <c r="AM45" s="1"/>
  <c r="AD45"/>
  <c r="AC45"/>
  <c r="V45"/>
  <c r="Z64" s="1"/>
  <c r="D64" s="1"/>
  <c r="F70" s="1"/>
  <c r="D77" s="1"/>
  <c r="D82" s="1"/>
  <c r="E91" s="1"/>
  <c r="AD44"/>
  <c r="AC44"/>
  <c r="AD43"/>
  <c r="AH43" s="1"/>
  <c r="AC43"/>
  <c r="AO42"/>
  <c r="AM42" s="1"/>
  <c r="AD42"/>
  <c r="AC42"/>
  <c r="AL42" s="1"/>
  <c r="V42"/>
  <c r="AA63" s="1"/>
  <c r="F63" s="1"/>
  <c r="AO41"/>
  <c r="AM41" s="1"/>
  <c r="AD41"/>
  <c r="AC41"/>
  <c r="V41"/>
  <c r="AO40"/>
  <c r="AM40" s="1"/>
  <c r="AD40"/>
  <c r="AC40"/>
  <c r="AL40" s="1"/>
  <c r="V40"/>
  <c r="AO39"/>
  <c r="AM39" s="1"/>
  <c r="AD39"/>
  <c r="AC39"/>
  <c r="AL39" s="1"/>
  <c r="V39"/>
  <c r="Z65" s="1"/>
  <c r="D65" s="1"/>
  <c r="D72" s="1"/>
  <c r="D78" s="1"/>
  <c r="F86" s="1"/>
  <c r="E90" s="1"/>
  <c r="AD38"/>
  <c r="AC38"/>
  <c r="AD37"/>
  <c r="AH37" s="1"/>
  <c r="AC37"/>
  <c r="AO36"/>
  <c r="AM36" s="1"/>
  <c r="AD36"/>
  <c r="AC36"/>
  <c r="V36"/>
  <c r="AO35"/>
  <c r="AM35" s="1"/>
  <c r="AD35"/>
  <c r="AH35" s="1"/>
  <c r="AC35"/>
  <c r="AG35" s="1"/>
  <c r="V35"/>
  <c r="Z63" s="1"/>
  <c r="D63" s="1"/>
  <c r="D70" s="1"/>
  <c r="AO34"/>
  <c r="AM34" s="1"/>
  <c r="AD34"/>
  <c r="AH34" s="1"/>
  <c r="AC34"/>
  <c r="V34"/>
  <c r="AA65" s="1"/>
  <c r="F65" s="1"/>
  <c r="AO33"/>
  <c r="AM33" s="1"/>
  <c r="AD33"/>
  <c r="AH33" s="1"/>
  <c r="AC33"/>
  <c r="AG33" s="1"/>
  <c r="V33"/>
  <c r="AD32"/>
  <c r="AH32" s="1"/>
  <c r="AC32"/>
  <c r="AD31"/>
  <c r="AH31" s="1"/>
  <c r="AC31"/>
  <c r="AO30"/>
  <c r="AM30" s="1"/>
  <c r="AD30"/>
  <c r="AH30" s="1"/>
  <c r="AC30"/>
  <c r="V30"/>
  <c r="AO29"/>
  <c r="AM29" s="1"/>
  <c r="AD29"/>
  <c r="AH29" s="1"/>
  <c r="AC29"/>
  <c r="AG29" s="1"/>
  <c r="V29"/>
  <c r="Z62" s="1"/>
  <c r="D62" s="1"/>
  <c r="F73" s="1"/>
  <c r="AO28"/>
  <c r="AM28" s="1"/>
  <c r="AD28"/>
  <c r="AH28" s="1"/>
  <c r="AC28"/>
  <c r="V28"/>
  <c r="AA60" s="1"/>
  <c r="F60" s="1"/>
  <c r="AO27"/>
  <c r="AM27" s="1"/>
  <c r="AD27"/>
  <c r="AH27" s="1"/>
  <c r="AC27"/>
  <c r="AG27" s="1"/>
  <c r="V27"/>
  <c r="AD26"/>
  <c r="AH26" s="1"/>
  <c r="AC26"/>
  <c r="AD25"/>
  <c r="AH25" s="1"/>
  <c r="AC25"/>
  <c r="AO24"/>
  <c r="AM24" s="1"/>
  <c r="AD24"/>
  <c r="AH24" s="1"/>
  <c r="AC24"/>
  <c r="V24"/>
  <c r="AO23"/>
  <c r="AM23" s="1"/>
  <c r="AD23"/>
  <c r="AH23" s="1"/>
  <c r="AC23"/>
  <c r="AG23" s="1"/>
  <c r="V23"/>
  <c r="AA62" s="1"/>
  <c r="F62" s="1"/>
  <c r="AO22"/>
  <c r="AM22" s="1"/>
  <c r="AD22"/>
  <c r="AH22" s="1"/>
  <c r="AC22"/>
  <c r="V22"/>
  <c r="AO21"/>
  <c r="AM21" s="1"/>
  <c r="AD21"/>
  <c r="AH21" s="1"/>
  <c r="AC21"/>
  <c r="AG21" s="1"/>
  <c r="V21"/>
  <c r="Z60" s="1"/>
  <c r="D60" s="1"/>
  <c r="F71" s="1"/>
  <c r="AD20"/>
  <c r="AH20" s="1"/>
  <c r="AC20"/>
  <c r="AG20" s="1"/>
  <c r="AD19"/>
  <c r="AH19" s="1"/>
  <c r="AC19"/>
  <c r="AO18"/>
  <c r="AM18" s="1"/>
  <c r="AD18"/>
  <c r="AC18"/>
  <c r="V18"/>
  <c r="AO17"/>
  <c r="AM17" s="1"/>
  <c r="AD17"/>
  <c r="AC17"/>
  <c r="V17"/>
  <c r="AO16"/>
  <c r="AM16" s="1"/>
  <c r="AD16"/>
  <c r="AC16"/>
  <c r="V16"/>
  <c r="AA59" s="1"/>
  <c r="F59" s="1"/>
  <c r="AO15"/>
  <c r="AM15" s="1"/>
  <c r="AD15"/>
  <c r="AC15"/>
  <c r="V15"/>
  <c r="AD14"/>
  <c r="AC14"/>
  <c r="AD13"/>
  <c r="AH13" s="1"/>
  <c r="AC13"/>
  <c r="AO12"/>
  <c r="AM12" s="1"/>
  <c r="AD12"/>
  <c r="AC12"/>
  <c r="V12"/>
  <c r="AO11"/>
  <c r="AM11" s="1"/>
  <c r="AD11"/>
  <c r="AC11"/>
  <c r="V11"/>
  <c r="AA61" s="1"/>
  <c r="F61" s="1"/>
  <c r="AO10"/>
  <c r="AM10" s="1"/>
  <c r="AD10"/>
  <c r="AC10"/>
  <c r="V10"/>
  <c r="AO9"/>
  <c r="AM9" s="1"/>
  <c r="AD9"/>
  <c r="AC9"/>
  <c r="AG9" s="1"/>
  <c r="V9"/>
  <c r="AD8"/>
  <c r="AC8"/>
  <c r="N3"/>
  <c r="C39" i="22" s="1"/>
  <c r="X98" i="83"/>
  <c r="X97"/>
  <c r="X96"/>
  <c r="X95"/>
  <c r="X94"/>
  <c r="X93"/>
  <c r="X92"/>
  <c r="X91"/>
  <c r="X90"/>
  <c r="X89"/>
  <c r="X88"/>
  <c r="X87"/>
  <c r="AD86"/>
  <c r="AC86"/>
  <c r="X86"/>
  <c r="X85"/>
  <c r="X84"/>
  <c r="X83"/>
  <c r="AD82"/>
  <c r="AC82"/>
  <c r="X82"/>
  <c r="X81"/>
  <c r="X80"/>
  <c r="X79"/>
  <c r="AD78"/>
  <c r="AC78"/>
  <c r="X78"/>
  <c r="AD77"/>
  <c r="AH77" s="1"/>
  <c r="AC77"/>
  <c r="X77"/>
  <c r="X76"/>
  <c r="X75"/>
  <c r="X74"/>
  <c r="AD73"/>
  <c r="AH73" s="1"/>
  <c r="AC73"/>
  <c r="X73"/>
  <c r="AD72"/>
  <c r="AC72"/>
  <c r="AL72" s="1"/>
  <c r="X72"/>
  <c r="AD71"/>
  <c r="AH71" s="1"/>
  <c r="AC71"/>
  <c r="X71"/>
  <c r="AD70"/>
  <c r="AC70"/>
  <c r="X70"/>
  <c r="X69"/>
  <c r="AZ68"/>
  <c r="X68"/>
  <c r="AZ67"/>
  <c r="X67"/>
  <c r="AZ66"/>
  <c r="AD66"/>
  <c r="AH66" s="1"/>
  <c r="AC66"/>
  <c r="Z66"/>
  <c r="D66" s="1"/>
  <c r="F72" s="1"/>
  <c r="D78" s="1"/>
  <c r="F86" s="1"/>
  <c r="E90" s="1"/>
  <c r="X66"/>
  <c r="AZ65"/>
  <c r="AD65"/>
  <c r="AH65" s="1"/>
  <c r="AC65"/>
  <c r="AL65" s="1"/>
  <c r="Z65"/>
  <c r="D65" s="1"/>
  <c r="D72" s="1"/>
  <c r="X65"/>
  <c r="AZ64"/>
  <c r="AD64"/>
  <c r="AH64" s="1"/>
  <c r="AC64"/>
  <c r="Z64"/>
  <c r="D64" s="1"/>
  <c r="F70" s="1"/>
  <c r="D77" s="1"/>
  <c r="D86" s="1"/>
  <c r="E89" s="1"/>
  <c r="X64"/>
  <c r="AZ63"/>
  <c r="AD63"/>
  <c r="AH63" s="1"/>
  <c r="AC63"/>
  <c r="Z63"/>
  <c r="D63" s="1"/>
  <c r="D70" s="1"/>
  <c r="X63"/>
  <c r="AZ62"/>
  <c r="AD62"/>
  <c r="AH62" s="1"/>
  <c r="AC62"/>
  <c r="Z62"/>
  <c r="D62" s="1"/>
  <c r="F73" s="1"/>
  <c r="X62"/>
  <c r="AZ61"/>
  <c r="AD61"/>
  <c r="AH61" s="1"/>
  <c r="AC61"/>
  <c r="Z61"/>
  <c r="D61" s="1"/>
  <c r="D73" s="1"/>
  <c r="F78" s="1"/>
  <c r="F82" s="1"/>
  <c r="E92" s="1"/>
  <c r="X61"/>
  <c r="AZ60"/>
  <c r="AD60"/>
  <c r="AH60" s="1"/>
  <c r="AC60"/>
  <c r="Z60"/>
  <c r="D60" s="1"/>
  <c r="F71" s="1"/>
  <c r="X60"/>
  <c r="AZ59"/>
  <c r="AD59"/>
  <c r="AH59" s="1"/>
  <c r="AC59"/>
  <c r="Z59"/>
  <c r="D59" s="1"/>
  <c r="D71" s="1"/>
  <c r="F77" s="1"/>
  <c r="D82" s="1"/>
  <c r="E91" s="1"/>
  <c r="X59"/>
  <c r="AZ58"/>
  <c r="BA67" s="1"/>
  <c r="BB67" s="1"/>
  <c r="AA58"/>
  <c r="Z58"/>
  <c r="X58"/>
  <c r="AD55"/>
  <c r="AC55"/>
  <c r="AO54"/>
  <c r="AM54" s="1"/>
  <c r="AD54"/>
  <c r="AH54" s="1"/>
  <c r="AC54"/>
  <c r="V54"/>
  <c r="AO53"/>
  <c r="AM53" s="1"/>
  <c r="AD53"/>
  <c r="AH53" s="1"/>
  <c r="AC53"/>
  <c r="V53"/>
  <c r="AA64" s="1"/>
  <c r="F64" s="1"/>
  <c r="AO52"/>
  <c r="AM52" s="1"/>
  <c r="AH52"/>
  <c r="AD52"/>
  <c r="AC52"/>
  <c r="AL52" s="1"/>
  <c r="V52"/>
  <c r="AO51"/>
  <c r="AM51" s="1"/>
  <c r="AD51"/>
  <c r="AH51" s="1"/>
  <c r="AC51"/>
  <c r="V51"/>
  <c r="AD50"/>
  <c r="AH50" s="1"/>
  <c r="AC50"/>
  <c r="AD49"/>
  <c r="AC49"/>
  <c r="AO48"/>
  <c r="AM48" s="1"/>
  <c r="AD48"/>
  <c r="AH48" s="1"/>
  <c r="AC48"/>
  <c r="V48"/>
  <c r="AO47"/>
  <c r="AM47" s="1"/>
  <c r="AD47"/>
  <c r="AH47" s="1"/>
  <c r="AC47"/>
  <c r="V47"/>
  <c r="AO46"/>
  <c r="AM46" s="1"/>
  <c r="AD46"/>
  <c r="AH46" s="1"/>
  <c r="AC46"/>
  <c r="AL46" s="1"/>
  <c r="V46"/>
  <c r="AA66" s="1"/>
  <c r="F66" s="1"/>
  <c r="AO45"/>
  <c r="AM45" s="1"/>
  <c r="AD45"/>
  <c r="AH45" s="1"/>
  <c r="AC45"/>
  <c r="V45"/>
  <c r="AD44"/>
  <c r="AH44" s="1"/>
  <c r="AC44"/>
  <c r="AD43"/>
  <c r="AC43"/>
  <c r="AO42"/>
  <c r="AM42" s="1"/>
  <c r="AD42"/>
  <c r="AH42" s="1"/>
  <c r="AC42"/>
  <c r="V42"/>
  <c r="AA63" s="1"/>
  <c r="F63" s="1"/>
  <c r="AO41"/>
  <c r="AM41" s="1"/>
  <c r="AD41"/>
  <c r="AH41" s="1"/>
  <c r="AC41"/>
  <c r="V41"/>
  <c r="AO40"/>
  <c r="AM40" s="1"/>
  <c r="AH40"/>
  <c r="AD40"/>
  <c r="AC40"/>
  <c r="AL40" s="1"/>
  <c r="V40"/>
  <c r="AO39"/>
  <c r="AM39" s="1"/>
  <c r="AD39"/>
  <c r="AH39" s="1"/>
  <c r="AC39"/>
  <c r="V39"/>
  <c r="AD38"/>
  <c r="AH38" s="1"/>
  <c r="AC38"/>
  <c r="AD37"/>
  <c r="AC37"/>
  <c r="AO36"/>
  <c r="AM36" s="1"/>
  <c r="AD36"/>
  <c r="AH36" s="1"/>
  <c r="AC36"/>
  <c r="V36"/>
  <c r="AO35"/>
  <c r="AM35" s="1"/>
  <c r="AD35"/>
  <c r="AH35" s="1"/>
  <c r="AC35"/>
  <c r="V35"/>
  <c r="AO34"/>
  <c r="AM34" s="1"/>
  <c r="AD34"/>
  <c r="AH34" s="1"/>
  <c r="AC34"/>
  <c r="V34"/>
  <c r="AA65" s="1"/>
  <c r="F65" s="1"/>
  <c r="AO33"/>
  <c r="AM33" s="1"/>
  <c r="AD33"/>
  <c r="AH33" s="1"/>
  <c r="AC33"/>
  <c r="V33"/>
  <c r="AD32"/>
  <c r="AH32" s="1"/>
  <c r="AC32"/>
  <c r="AD31"/>
  <c r="AC31"/>
  <c r="AO30"/>
  <c r="AM30" s="1"/>
  <c r="AD30"/>
  <c r="AH30" s="1"/>
  <c r="AC30"/>
  <c r="V30"/>
  <c r="AA60" s="1"/>
  <c r="F60" s="1"/>
  <c r="AO29"/>
  <c r="AM29" s="1"/>
  <c r="AD29"/>
  <c r="AH29" s="1"/>
  <c r="AC29"/>
  <c r="V29"/>
  <c r="AO28"/>
  <c r="AM28" s="1"/>
  <c r="AD28"/>
  <c r="AH28" s="1"/>
  <c r="AC28"/>
  <c r="V28"/>
  <c r="AO27"/>
  <c r="AM27" s="1"/>
  <c r="AD27"/>
  <c r="AH27" s="1"/>
  <c r="AC27"/>
  <c r="V27"/>
  <c r="AD26"/>
  <c r="AH26" s="1"/>
  <c r="AC26"/>
  <c r="AD25"/>
  <c r="AC25"/>
  <c r="AO24"/>
  <c r="AM24" s="1"/>
  <c r="AD24"/>
  <c r="AH24" s="1"/>
  <c r="AC24"/>
  <c r="V24"/>
  <c r="AO23"/>
  <c r="AM23" s="1"/>
  <c r="AD23"/>
  <c r="AH23" s="1"/>
  <c r="AC23"/>
  <c r="V23"/>
  <c r="AA62" s="1"/>
  <c r="F62" s="1"/>
  <c r="AO22"/>
  <c r="AM22" s="1"/>
  <c r="AD22"/>
  <c r="AH22" s="1"/>
  <c r="AC22"/>
  <c r="V22"/>
  <c r="AO21"/>
  <c r="AM21" s="1"/>
  <c r="AD21"/>
  <c r="AH21" s="1"/>
  <c r="AC21"/>
  <c r="V21"/>
  <c r="AD20"/>
  <c r="AH20" s="1"/>
  <c r="AC20"/>
  <c r="AD19"/>
  <c r="AC19"/>
  <c r="AO18"/>
  <c r="AM18" s="1"/>
  <c r="AD18"/>
  <c r="AH18" s="1"/>
  <c r="AC18"/>
  <c r="V18"/>
  <c r="AO17"/>
  <c r="AM17" s="1"/>
  <c r="AD17"/>
  <c r="AH17" s="1"/>
  <c r="AC17"/>
  <c r="V17"/>
  <c r="AA59" s="1"/>
  <c r="F59" s="1"/>
  <c r="AO16"/>
  <c r="AM16" s="1"/>
  <c r="AD16"/>
  <c r="AH16" s="1"/>
  <c r="AC16"/>
  <c r="V16"/>
  <c r="AO15"/>
  <c r="AM15" s="1"/>
  <c r="AD15"/>
  <c r="AH15" s="1"/>
  <c r="AC15"/>
  <c r="V15"/>
  <c r="AD14"/>
  <c r="AH14" s="1"/>
  <c r="AC14"/>
  <c r="AD13"/>
  <c r="AC13"/>
  <c r="AO12"/>
  <c r="AM12" s="1"/>
  <c r="AD12"/>
  <c r="AH12" s="1"/>
  <c r="AC12"/>
  <c r="V12"/>
  <c r="AO11"/>
  <c r="AM11" s="1"/>
  <c r="AD11"/>
  <c r="AH11" s="1"/>
  <c r="AC11"/>
  <c r="V11"/>
  <c r="AA61" s="1"/>
  <c r="F61" s="1"/>
  <c r="AO10"/>
  <c r="AM10" s="1"/>
  <c r="AH10"/>
  <c r="AD10"/>
  <c r="AC10"/>
  <c r="AL10" s="1"/>
  <c r="V10"/>
  <c r="AO9"/>
  <c r="AM9" s="1"/>
  <c r="AD9"/>
  <c r="AH9" s="1"/>
  <c r="AC9"/>
  <c r="V9"/>
  <c r="AD8"/>
  <c r="AH8" s="1"/>
  <c r="AC8"/>
  <c r="N3"/>
  <c r="C21" i="22" s="1"/>
  <c r="X98" i="82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C77"/>
  <c r="X77"/>
  <c r="X76"/>
  <c r="X75"/>
  <c r="X74"/>
  <c r="AD73"/>
  <c r="AC73"/>
  <c r="X73"/>
  <c r="AD72"/>
  <c r="AH72" s="1"/>
  <c r="AC72"/>
  <c r="AL72" s="1"/>
  <c r="X72"/>
  <c r="AD71"/>
  <c r="AC71"/>
  <c r="X71"/>
  <c r="AD70"/>
  <c r="AH70" s="1"/>
  <c r="AC70"/>
  <c r="X70"/>
  <c r="X69"/>
  <c r="AZ68"/>
  <c r="X68"/>
  <c r="AZ67"/>
  <c r="X67"/>
  <c r="AZ66"/>
  <c r="AD66"/>
  <c r="AC66"/>
  <c r="X66"/>
  <c r="AZ65"/>
  <c r="AD65"/>
  <c r="AC65"/>
  <c r="X65"/>
  <c r="AZ64"/>
  <c r="AD64"/>
  <c r="AC64"/>
  <c r="X64"/>
  <c r="AZ63"/>
  <c r="AD63"/>
  <c r="AC63"/>
  <c r="X63"/>
  <c r="AZ62"/>
  <c r="AD62"/>
  <c r="AC62"/>
  <c r="X62"/>
  <c r="AZ61"/>
  <c r="AD61"/>
  <c r="AC61"/>
  <c r="X61"/>
  <c r="AZ60"/>
  <c r="AD60"/>
  <c r="AC60"/>
  <c r="X60"/>
  <c r="AZ59"/>
  <c r="AD59"/>
  <c r="AC59"/>
  <c r="X59"/>
  <c r="AZ58"/>
  <c r="BA67" s="1"/>
  <c r="BB67" s="1"/>
  <c r="AA58"/>
  <c r="Z58"/>
  <c r="X58"/>
  <c r="AH55"/>
  <c r="AD55"/>
  <c r="AC55"/>
  <c r="AL55" s="1"/>
  <c r="AO54"/>
  <c r="AM54" s="1"/>
  <c r="AD54"/>
  <c r="AC54"/>
  <c r="V54"/>
  <c r="AO53"/>
  <c r="AM53" s="1"/>
  <c r="AD53"/>
  <c r="AK53" s="1"/>
  <c r="AC53"/>
  <c r="V53"/>
  <c r="Z66" s="1"/>
  <c r="D66" s="1"/>
  <c r="AO52"/>
  <c r="AM52" s="1"/>
  <c r="AD52"/>
  <c r="AC52"/>
  <c r="V52"/>
  <c r="AO51"/>
  <c r="AM51" s="1"/>
  <c r="AD51"/>
  <c r="AC51"/>
  <c r="V51"/>
  <c r="AA64" s="1"/>
  <c r="F64" s="1"/>
  <c r="AD50"/>
  <c r="AC50"/>
  <c r="AD49"/>
  <c r="AH49" s="1"/>
  <c r="AC49"/>
  <c r="AO48"/>
  <c r="AM48" s="1"/>
  <c r="AD48"/>
  <c r="AC48"/>
  <c r="V48"/>
  <c r="AO47"/>
  <c r="AM47" s="1"/>
  <c r="AD47"/>
  <c r="AC47"/>
  <c r="V47"/>
  <c r="AO46"/>
  <c r="AM46" s="1"/>
  <c r="AD46"/>
  <c r="AC46"/>
  <c r="V46"/>
  <c r="Z64" s="1"/>
  <c r="D64" s="1"/>
  <c r="F70" s="1"/>
  <c r="D77" s="1"/>
  <c r="D82" s="1"/>
  <c r="E92" s="1"/>
  <c r="AO45"/>
  <c r="AM45" s="1"/>
  <c r="AD45"/>
  <c r="AC45"/>
  <c r="V45"/>
  <c r="AA66" s="1"/>
  <c r="F66" s="1"/>
  <c r="F72" s="1"/>
  <c r="AD44"/>
  <c r="AC44"/>
  <c r="AD43"/>
  <c r="AH43" s="1"/>
  <c r="AC43"/>
  <c r="AL43" s="1"/>
  <c r="AO42"/>
  <c r="AM42" s="1"/>
  <c r="AD42"/>
  <c r="AC42"/>
  <c r="V42"/>
  <c r="AA63" s="1"/>
  <c r="F63" s="1"/>
  <c r="AO41"/>
  <c r="AM41" s="1"/>
  <c r="AD41"/>
  <c r="AC41"/>
  <c r="V41"/>
  <c r="AO40"/>
  <c r="AM40" s="1"/>
  <c r="AD40"/>
  <c r="AC40"/>
  <c r="AL40" s="1"/>
  <c r="V40"/>
  <c r="AO39"/>
  <c r="AM39" s="1"/>
  <c r="AD39"/>
  <c r="AC39"/>
  <c r="V39"/>
  <c r="Z65" s="1"/>
  <c r="D65" s="1"/>
  <c r="D72" s="1"/>
  <c r="D78" s="1"/>
  <c r="F82" s="1"/>
  <c r="E91" s="1"/>
  <c r="AD38"/>
  <c r="AC38"/>
  <c r="AD37"/>
  <c r="AH37" s="1"/>
  <c r="AC37"/>
  <c r="AO36"/>
  <c r="AM36" s="1"/>
  <c r="AD36"/>
  <c r="AC36"/>
  <c r="V36"/>
  <c r="AA65" s="1"/>
  <c r="F65" s="1"/>
  <c r="AO35"/>
  <c r="AM35" s="1"/>
  <c r="AD35"/>
  <c r="AC35"/>
  <c r="V35"/>
  <c r="Z63" s="1"/>
  <c r="D63" s="1"/>
  <c r="D70" s="1"/>
  <c r="AO34"/>
  <c r="AM34" s="1"/>
  <c r="AD34"/>
  <c r="AC34"/>
  <c r="AL34" s="1"/>
  <c r="V34"/>
  <c r="AO33"/>
  <c r="AM33" s="1"/>
  <c r="AD33"/>
  <c r="AC33"/>
  <c r="V33"/>
  <c r="AD32"/>
  <c r="AC32"/>
  <c r="AD31"/>
  <c r="AH31" s="1"/>
  <c r="AC31"/>
  <c r="AL31" s="1"/>
  <c r="AO30"/>
  <c r="AM30" s="1"/>
  <c r="AD30"/>
  <c r="AC30"/>
  <c r="V30"/>
  <c r="AA60" s="1"/>
  <c r="F60" s="1"/>
  <c r="F71" s="1"/>
  <c r="AO29"/>
  <c r="AM29" s="1"/>
  <c r="AD29"/>
  <c r="AC29"/>
  <c r="V29"/>
  <c r="Z62" s="1"/>
  <c r="D62" s="1"/>
  <c r="F73" s="1"/>
  <c r="AO28"/>
  <c r="AM28" s="1"/>
  <c r="AD28"/>
  <c r="AC28"/>
  <c r="V28"/>
  <c r="AO27"/>
  <c r="AM27" s="1"/>
  <c r="AD27"/>
  <c r="AC27"/>
  <c r="V27"/>
  <c r="AD26"/>
  <c r="AC26"/>
  <c r="AD25"/>
  <c r="AH25" s="1"/>
  <c r="AC25"/>
  <c r="AO24"/>
  <c r="AM24" s="1"/>
  <c r="AD24"/>
  <c r="AC24"/>
  <c r="V24"/>
  <c r="AA62" s="1"/>
  <c r="F62" s="1"/>
  <c r="AO23"/>
  <c r="AM23" s="1"/>
  <c r="AD23"/>
  <c r="AC23"/>
  <c r="V23"/>
  <c r="AO22"/>
  <c r="AM22" s="1"/>
  <c r="AD22"/>
  <c r="AC22"/>
  <c r="V22"/>
  <c r="AO21"/>
  <c r="AM21" s="1"/>
  <c r="AD21"/>
  <c r="AC21"/>
  <c r="V21"/>
  <c r="Z60" s="1"/>
  <c r="D60" s="1"/>
  <c r="AD20"/>
  <c r="AC20"/>
  <c r="AD19"/>
  <c r="AH19" s="1"/>
  <c r="AC19"/>
  <c r="AO18"/>
  <c r="AM18" s="1"/>
  <c r="AD18"/>
  <c r="AH18" s="1"/>
  <c r="AC18"/>
  <c r="V18"/>
  <c r="AO17"/>
  <c r="AM17"/>
  <c r="AD17"/>
  <c r="AH17" s="1"/>
  <c r="AC17"/>
  <c r="AG17" s="1"/>
  <c r="V17"/>
  <c r="AA59" s="1"/>
  <c r="F59" s="1"/>
  <c r="AO16"/>
  <c r="AM16" s="1"/>
  <c r="AD16"/>
  <c r="AH16" s="1"/>
  <c r="AC16"/>
  <c r="AL16" s="1"/>
  <c r="V16"/>
  <c r="AO15"/>
  <c r="AM15" s="1"/>
  <c r="AD15"/>
  <c r="AH15" s="1"/>
  <c r="AC15"/>
  <c r="AG15" s="1"/>
  <c r="V15"/>
  <c r="Z61" s="1"/>
  <c r="D61" s="1"/>
  <c r="D73" s="1"/>
  <c r="F78" s="1"/>
  <c r="F86" s="1"/>
  <c r="E89" s="1"/>
  <c r="AD14"/>
  <c r="AH14" s="1"/>
  <c r="AC14"/>
  <c r="AL14" s="1"/>
  <c r="AD13"/>
  <c r="AH13" s="1"/>
  <c r="AC13"/>
  <c r="AO12"/>
  <c r="AM12" s="1"/>
  <c r="AD12"/>
  <c r="AH12" s="1"/>
  <c r="AC12"/>
  <c r="V12"/>
  <c r="AO11"/>
  <c r="AM11" s="1"/>
  <c r="AD11"/>
  <c r="AH11" s="1"/>
  <c r="AC11"/>
  <c r="AG11" s="1"/>
  <c r="V11"/>
  <c r="AO10"/>
  <c r="AM10"/>
  <c r="AD10"/>
  <c r="AH10" s="1"/>
  <c r="AC10"/>
  <c r="AL10" s="1"/>
  <c r="V10"/>
  <c r="AA61" s="1"/>
  <c r="F61" s="1"/>
  <c r="AO9"/>
  <c r="AM9" s="1"/>
  <c r="AD9"/>
  <c r="AH9" s="1"/>
  <c r="AC9"/>
  <c r="AG9" s="1"/>
  <c r="V9"/>
  <c r="Z59" s="1"/>
  <c r="D59" s="1"/>
  <c r="D71" s="1"/>
  <c r="F77" s="1"/>
  <c r="D86" s="1"/>
  <c r="E90" s="1"/>
  <c r="AD8"/>
  <c r="AH8" s="1"/>
  <c r="AC8"/>
  <c r="N3"/>
  <c r="C92" i="22" s="1"/>
  <c r="X98" i="81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X77"/>
  <c r="X76"/>
  <c r="X75"/>
  <c r="X74"/>
  <c r="AD73"/>
  <c r="AH73" s="1"/>
  <c r="AC73"/>
  <c r="X73"/>
  <c r="AD72"/>
  <c r="AH72" s="1"/>
  <c r="AC72"/>
  <c r="AL72" s="1"/>
  <c r="X72"/>
  <c r="AD71"/>
  <c r="AH71" s="1"/>
  <c r="AC71"/>
  <c r="X71"/>
  <c r="AD70"/>
  <c r="AH70" s="1"/>
  <c r="AC70"/>
  <c r="X70"/>
  <c r="X69"/>
  <c r="AZ68"/>
  <c r="X68"/>
  <c r="AZ67"/>
  <c r="X67"/>
  <c r="AZ66"/>
  <c r="AD66"/>
  <c r="AH66" s="1"/>
  <c r="AC66"/>
  <c r="X66"/>
  <c r="AZ65"/>
  <c r="AD65"/>
  <c r="AH65" s="1"/>
  <c r="AC65"/>
  <c r="AK65" s="1"/>
  <c r="X65"/>
  <c r="AZ64"/>
  <c r="AD64"/>
  <c r="AH64" s="1"/>
  <c r="AC64"/>
  <c r="X64"/>
  <c r="AZ63"/>
  <c r="AD63"/>
  <c r="AH63" s="1"/>
  <c r="AC63"/>
  <c r="AK63" s="1"/>
  <c r="X63"/>
  <c r="AZ62"/>
  <c r="AD62"/>
  <c r="AH62" s="1"/>
  <c r="AC62"/>
  <c r="X62"/>
  <c r="AZ61"/>
  <c r="AD61"/>
  <c r="AH61" s="1"/>
  <c r="AC61"/>
  <c r="X61"/>
  <c r="AZ60"/>
  <c r="AD60"/>
  <c r="AH60" s="1"/>
  <c r="AC60"/>
  <c r="X60"/>
  <c r="AZ59"/>
  <c r="BA63" s="1"/>
  <c r="BB63" s="1"/>
  <c r="AD59"/>
  <c r="AH59" s="1"/>
  <c r="AC59"/>
  <c r="AK59" s="1"/>
  <c r="X59"/>
  <c r="AZ58"/>
  <c r="BA64" s="1"/>
  <c r="BB64" s="1"/>
  <c r="AA58"/>
  <c r="Z58"/>
  <c r="X58"/>
  <c r="AD55"/>
  <c r="AH55" s="1"/>
  <c r="AC55"/>
  <c r="AO54"/>
  <c r="AM54" s="1"/>
  <c r="AD54"/>
  <c r="AH54" s="1"/>
  <c r="AC54"/>
  <c r="V54"/>
  <c r="AO53"/>
  <c r="AM53" s="1"/>
  <c r="AD53"/>
  <c r="AC53"/>
  <c r="V53"/>
  <c r="AA64" s="1"/>
  <c r="F64" s="1"/>
  <c r="AO52"/>
  <c r="AM52" s="1"/>
  <c r="AD52"/>
  <c r="AC52"/>
  <c r="V52"/>
  <c r="AO51"/>
  <c r="AM51" s="1"/>
  <c r="AD51"/>
  <c r="AC51"/>
  <c r="V51"/>
  <c r="Z66" s="1"/>
  <c r="D66" s="1"/>
  <c r="F72" s="1"/>
  <c r="D78" s="1"/>
  <c r="F86" s="1"/>
  <c r="E90" s="1"/>
  <c r="AD50"/>
  <c r="AK50" s="1"/>
  <c r="AC50"/>
  <c r="AD49"/>
  <c r="AH49" s="1"/>
  <c r="AC49"/>
  <c r="AO48"/>
  <c r="AM48" s="1"/>
  <c r="AD48"/>
  <c r="AC48"/>
  <c r="V48"/>
  <c r="AO47"/>
  <c r="AM47" s="1"/>
  <c r="AD47"/>
  <c r="AC47"/>
  <c r="V47"/>
  <c r="AO46"/>
  <c r="AM46" s="1"/>
  <c r="AD46"/>
  <c r="AC46"/>
  <c r="V46"/>
  <c r="AA66" s="1"/>
  <c r="F66" s="1"/>
  <c r="AO45"/>
  <c r="AM45" s="1"/>
  <c r="AD45"/>
  <c r="AK45" s="1"/>
  <c r="AC45"/>
  <c r="V45"/>
  <c r="Z64" s="1"/>
  <c r="D64" s="1"/>
  <c r="F70" s="1"/>
  <c r="D77" s="1"/>
  <c r="D86" s="1"/>
  <c r="E89" s="1"/>
  <c r="AD44"/>
  <c r="AC44"/>
  <c r="AD43"/>
  <c r="AH43" s="1"/>
  <c r="AC43"/>
  <c r="AO42"/>
  <c r="AM42" s="1"/>
  <c r="AD42"/>
  <c r="AC42"/>
  <c r="V42"/>
  <c r="AA63" s="1"/>
  <c r="F63" s="1"/>
  <c r="D70" s="1"/>
  <c r="AO41"/>
  <c r="AM41" s="1"/>
  <c r="AD41"/>
  <c r="AC41"/>
  <c r="V41"/>
  <c r="AO40"/>
  <c r="AM40" s="1"/>
  <c r="AD40"/>
  <c r="AK40" s="1"/>
  <c r="AC40"/>
  <c r="V40"/>
  <c r="AO39"/>
  <c r="AM39" s="1"/>
  <c r="AD39"/>
  <c r="AC39"/>
  <c r="V39"/>
  <c r="Z65" s="1"/>
  <c r="D65" s="1"/>
  <c r="D72" s="1"/>
  <c r="AD38"/>
  <c r="AC38"/>
  <c r="AD37"/>
  <c r="AH37" s="1"/>
  <c r="AC37"/>
  <c r="AL37" s="1"/>
  <c r="AO36"/>
  <c r="AM36" s="1"/>
  <c r="AD36"/>
  <c r="AC36"/>
  <c r="V36"/>
  <c r="AO35"/>
  <c r="AM35" s="1"/>
  <c r="AD35"/>
  <c r="AC35"/>
  <c r="V35"/>
  <c r="Z63" s="1"/>
  <c r="D63" s="1"/>
  <c r="AO34"/>
  <c r="AM34" s="1"/>
  <c r="AD34"/>
  <c r="AC34"/>
  <c r="V34"/>
  <c r="AA65" s="1"/>
  <c r="F65" s="1"/>
  <c r="AO33"/>
  <c r="AM33" s="1"/>
  <c r="AD33"/>
  <c r="AC33"/>
  <c r="V33"/>
  <c r="AD32"/>
  <c r="AC32"/>
  <c r="AD31"/>
  <c r="AH31" s="1"/>
  <c r="AC31"/>
  <c r="AO30"/>
  <c r="AM30" s="1"/>
  <c r="AD30"/>
  <c r="AC30"/>
  <c r="V30"/>
  <c r="AO29"/>
  <c r="AM29"/>
  <c r="AD29"/>
  <c r="AC29"/>
  <c r="V29"/>
  <c r="AA60" s="1"/>
  <c r="F60" s="1"/>
  <c r="AO28"/>
  <c r="AM28" s="1"/>
  <c r="AD28"/>
  <c r="AC28"/>
  <c r="V28"/>
  <c r="AO27"/>
  <c r="AM27" s="1"/>
  <c r="AD27"/>
  <c r="AC27"/>
  <c r="V27"/>
  <c r="Z62" s="1"/>
  <c r="D62" s="1"/>
  <c r="F73" s="1"/>
  <c r="AD26"/>
  <c r="AC26"/>
  <c r="AD25"/>
  <c r="AH25" s="1"/>
  <c r="AC25"/>
  <c r="AO24"/>
  <c r="AM24" s="1"/>
  <c r="AD24"/>
  <c r="AC24"/>
  <c r="V24"/>
  <c r="Z60" s="1"/>
  <c r="D60" s="1"/>
  <c r="F71" s="1"/>
  <c r="AO23"/>
  <c r="AM23" s="1"/>
  <c r="AD23"/>
  <c r="AC23"/>
  <c r="V23"/>
  <c r="AO22"/>
  <c r="AM22" s="1"/>
  <c r="AD22"/>
  <c r="AH22" s="1"/>
  <c r="AC22"/>
  <c r="V22"/>
  <c r="AA62" s="1"/>
  <c r="F62" s="1"/>
  <c r="AO21"/>
  <c r="AM21" s="1"/>
  <c r="AD21"/>
  <c r="AH21" s="1"/>
  <c r="AC21"/>
  <c r="AG21" s="1"/>
  <c r="V21"/>
  <c r="AD20"/>
  <c r="AH20" s="1"/>
  <c r="AC20"/>
  <c r="AD19"/>
  <c r="AH19" s="1"/>
  <c r="AC19"/>
  <c r="AO18"/>
  <c r="AM18" s="1"/>
  <c r="AD18"/>
  <c r="AH18" s="1"/>
  <c r="AC18"/>
  <c r="V18"/>
  <c r="AO17"/>
  <c r="AM17" s="1"/>
  <c r="AD17"/>
  <c r="AH17" s="1"/>
  <c r="AC17"/>
  <c r="AG17" s="1"/>
  <c r="V17"/>
  <c r="AO16"/>
  <c r="AM16" s="1"/>
  <c r="AD16"/>
  <c r="AH16" s="1"/>
  <c r="AC16"/>
  <c r="V16"/>
  <c r="Z61" s="1"/>
  <c r="D61" s="1"/>
  <c r="D73" s="1"/>
  <c r="F78" s="1"/>
  <c r="F82" s="1"/>
  <c r="E92" s="1"/>
  <c r="AO15"/>
  <c r="AM15" s="1"/>
  <c r="AD15"/>
  <c r="AH15" s="1"/>
  <c r="AC15"/>
  <c r="V15"/>
  <c r="AA59" s="1"/>
  <c r="F59" s="1"/>
  <c r="AD14"/>
  <c r="AH14" s="1"/>
  <c r="AC14"/>
  <c r="AD13"/>
  <c r="AC13"/>
  <c r="AO12"/>
  <c r="AM12" s="1"/>
  <c r="AD12"/>
  <c r="AH12" s="1"/>
  <c r="AC12"/>
  <c r="V12"/>
  <c r="AO11"/>
  <c r="AM11" s="1"/>
  <c r="AD11"/>
  <c r="AH11" s="1"/>
  <c r="AC11"/>
  <c r="V11"/>
  <c r="AA61" s="1"/>
  <c r="F61" s="1"/>
  <c r="AO10"/>
  <c r="AM10" s="1"/>
  <c r="AD10"/>
  <c r="AH10" s="1"/>
  <c r="AC10"/>
  <c r="V10"/>
  <c r="AO9"/>
  <c r="AM9" s="1"/>
  <c r="AD9"/>
  <c r="AH9" s="1"/>
  <c r="AC9"/>
  <c r="V9"/>
  <c r="Z59" s="1"/>
  <c r="D59" s="1"/>
  <c r="D71" s="1"/>
  <c r="F77" s="1"/>
  <c r="D82" s="1"/>
  <c r="E91" s="1"/>
  <c r="AD8"/>
  <c r="AH8" s="1"/>
  <c r="AC8"/>
  <c r="N3"/>
  <c r="C10" i="22" s="1"/>
  <c r="X98" i="80"/>
  <c r="X97"/>
  <c r="X96"/>
  <c r="X95"/>
  <c r="X94"/>
  <c r="X93"/>
  <c r="X92"/>
  <c r="E92"/>
  <c r="X91"/>
  <c r="E91"/>
  <c r="X90"/>
  <c r="E90"/>
  <c r="X89"/>
  <c r="E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X77"/>
  <c r="X76"/>
  <c r="X75"/>
  <c r="X74"/>
  <c r="AD73"/>
  <c r="AH73" s="1"/>
  <c r="AC73"/>
  <c r="X73"/>
  <c r="AD72"/>
  <c r="AH72" s="1"/>
  <c r="AC72"/>
  <c r="X72"/>
  <c r="AD71"/>
  <c r="AH71" s="1"/>
  <c r="AC71"/>
  <c r="X71"/>
  <c r="AD70"/>
  <c r="AH70" s="1"/>
  <c r="AC70"/>
  <c r="X70"/>
  <c r="X69"/>
  <c r="AZ68"/>
  <c r="X68"/>
  <c r="AZ67"/>
  <c r="X67"/>
  <c r="AZ66"/>
  <c r="AD66"/>
  <c r="AH66" s="1"/>
  <c r="AC66"/>
  <c r="X66"/>
  <c r="AZ65"/>
  <c r="AD65"/>
  <c r="AH65" s="1"/>
  <c r="AC65"/>
  <c r="X65"/>
  <c r="AZ64"/>
  <c r="AD64"/>
  <c r="AH64" s="1"/>
  <c r="AC64"/>
  <c r="X64"/>
  <c r="AZ63"/>
  <c r="AD63"/>
  <c r="AH63" s="1"/>
  <c r="AC63"/>
  <c r="X63"/>
  <c r="AZ62"/>
  <c r="AD62"/>
  <c r="AH62" s="1"/>
  <c r="AC62"/>
  <c r="X62"/>
  <c r="AZ61"/>
  <c r="AD61"/>
  <c r="AH61" s="1"/>
  <c r="AC61"/>
  <c r="X61"/>
  <c r="AZ60"/>
  <c r="AD60"/>
  <c r="AH60" s="1"/>
  <c r="AC60"/>
  <c r="X60"/>
  <c r="AZ59"/>
  <c r="AD59"/>
  <c r="AH59" s="1"/>
  <c r="AC59"/>
  <c r="X59"/>
  <c r="AZ58"/>
  <c r="BA67" s="1"/>
  <c r="BB67" s="1"/>
  <c r="AA58"/>
  <c r="Z58"/>
  <c r="X58"/>
  <c r="AD55"/>
  <c r="AH55" s="1"/>
  <c r="AC55"/>
  <c r="AO54"/>
  <c r="AM54" s="1"/>
  <c r="AD54"/>
  <c r="AH54" s="1"/>
  <c r="AC54"/>
  <c r="V54"/>
  <c r="AO53"/>
  <c r="AM53" s="1"/>
  <c r="AD53"/>
  <c r="AH53" s="1"/>
  <c r="AC53"/>
  <c r="V53"/>
  <c r="AA64" s="1"/>
  <c r="AO52"/>
  <c r="AM52" s="1"/>
  <c r="AD52"/>
  <c r="AH52" s="1"/>
  <c r="AC52"/>
  <c r="V52"/>
  <c r="AO51"/>
  <c r="AM51"/>
  <c r="AD51"/>
  <c r="AC51"/>
  <c r="V51"/>
  <c r="Z66" s="1"/>
  <c r="AD50"/>
  <c r="AC50"/>
  <c r="AD49"/>
  <c r="AH49" s="1"/>
  <c r="AC49"/>
  <c r="AO48"/>
  <c r="AM48" s="1"/>
  <c r="AD48"/>
  <c r="AC48"/>
  <c r="V48"/>
  <c r="AO47"/>
  <c r="AM47" s="1"/>
  <c r="AD47"/>
  <c r="AC47"/>
  <c r="V47"/>
  <c r="AO46"/>
  <c r="AM46" s="1"/>
  <c r="AD46"/>
  <c r="AC46"/>
  <c r="V46"/>
  <c r="AA66" s="1"/>
  <c r="AO45"/>
  <c r="AM45" s="1"/>
  <c r="AD45"/>
  <c r="AC45"/>
  <c r="V45"/>
  <c r="Z64" s="1"/>
  <c r="AD44"/>
  <c r="AC44"/>
  <c r="AD43"/>
  <c r="AH43" s="1"/>
  <c r="AC43"/>
  <c r="AO42"/>
  <c r="AM42" s="1"/>
  <c r="AD42"/>
  <c r="AC42"/>
  <c r="V42"/>
  <c r="AO41"/>
  <c r="AM41" s="1"/>
  <c r="AD41"/>
  <c r="AC41"/>
  <c r="V41"/>
  <c r="AO40"/>
  <c r="AM40" s="1"/>
  <c r="AD40"/>
  <c r="AC40"/>
  <c r="V40"/>
  <c r="AA63" s="1"/>
  <c r="AO39"/>
  <c r="AM39" s="1"/>
  <c r="AD39"/>
  <c r="AC39"/>
  <c r="V39"/>
  <c r="Z65" s="1"/>
  <c r="AD38"/>
  <c r="AK38" s="1"/>
  <c r="AC38"/>
  <c r="AD37"/>
  <c r="AH37" s="1"/>
  <c r="AC37"/>
  <c r="AL37" s="1"/>
  <c r="AO36"/>
  <c r="AM36" s="1"/>
  <c r="AD36"/>
  <c r="AC36"/>
  <c r="V36"/>
  <c r="AO35"/>
  <c r="AM35" s="1"/>
  <c r="AD35"/>
  <c r="AC35"/>
  <c r="V35"/>
  <c r="Z63" s="1"/>
  <c r="AO34"/>
  <c r="AM34"/>
  <c r="AD34"/>
  <c r="AC34"/>
  <c r="V34"/>
  <c r="AA65" s="1"/>
  <c r="AO33"/>
  <c r="AM33" s="1"/>
  <c r="AD33"/>
  <c r="AC33"/>
  <c r="V33"/>
  <c r="AD32"/>
  <c r="AC32"/>
  <c r="AD31"/>
  <c r="AH31" s="1"/>
  <c r="AC31"/>
  <c r="AO30"/>
  <c r="AM30" s="1"/>
  <c r="AD30"/>
  <c r="AC30"/>
  <c r="V30"/>
  <c r="Z62" s="1"/>
  <c r="AO29"/>
  <c r="AM29" s="1"/>
  <c r="AD29"/>
  <c r="AC29"/>
  <c r="V29"/>
  <c r="AA60" s="1"/>
  <c r="AO28"/>
  <c r="AM28" s="1"/>
  <c r="AD28"/>
  <c r="AC28"/>
  <c r="V28"/>
  <c r="AO27"/>
  <c r="AM27" s="1"/>
  <c r="AD27"/>
  <c r="AC27"/>
  <c r="AG27" s="1"/>
  <c r="V27"/>
  <c r="AD26"/>
  <c r="AH26" s="1"/>
  <c r="AC26"/>
  <c r="AD25"/>
  <c r="AH25" s="1"/>
  <c r="AC25"/>
  <c r="AO24"/>
  <c r="AM24" s="1"/>
  <c r="AD24"/>
  <c r="AH24" s="1"/>
  <c r="AC24"/>
  <c r="V24"/>
  <c r="AO23"/>
  <c r="AM23" s="1"/>
  <c r="AD23"/>
  <c r="AH23" s="1"/>
  <c r="AC23"/>
  <c r="AG23" s="1"/>
  <c r="V23"/>
  <c r="AA62" s="1"/>
  <c r="AO22"/>
  <c r="AM22" s="1"/>
  <c r="AD22"/>
  <c r="AH22" s="1"/>
  <c r="AC22"/>
  <c r="AG22" s="1"/>
  <c r="V22"/>
  <c r="Z60" s="1"/>
  <c r="AO21"/>
  <c r="AM21" s="1"/>
  <c r="AD21"/>
  <c r="AH21" s="1"/>
  <c r="AC21"/>
  <c r="AG21" s="1"/>
  <c r="V21"/>
  <c r="AD20"/>
  <c r="AH20" s="1"/>
  <c r="AC20"/>
  <c r="AD19"/>
  <c r="AH19" s="1"/>
  <c r="AC19"/>
  <c r="AO18"/>
  <c r="AM18" s="1"/>
  <c r="AD18"/>
  <c r="AH18" s="1"/>
  <c r="AC18"/>
  <c r="V18"/>
  <c r="AO17"/>
  <c r="AM17" s="1"/>
  <c r="AD17"/>
  <c r="AH17" s="1"/>
  <c r="AC17"/>
  <c r="V17"/>
  <c r="AO16"/>
  <c r="AM16" s="1"/>
  <c r="AD16"/>
  <c r="AH16" s="1"/>
  <c r="AC16"/>
  <c r="AL16" s="1"/>
  <c r="V16"/>
  <c r="Z61" s="1"/>
  <c r="AO15"/>
  <c r="AM15" s="1"/>
  <c r="AD15"/>
  <c r="AH15" s="1"/>
  <c r="AC15"/>
  <c r="V15"/>
  <c r="AA59" s="1"/>
  <c r="AD14"/>
  <c r="AH14" s="1"/>
  <c r="AC14"/>
  <c r="AD13"/>
  <c r="AH13" s="1"/>
  <c r="AC13"/>
  <c r="AO12"/>
  <c r="AM12" s="1"/>
  <c r="AD12"/>
  <c r="AH12" s="1"/>
  <c r="AC12"/>
  <c r="V12"/>
  <c r="AO11"/>
  <c r="AM11" s="1"/>
  <c r="AD11"/>
  <c r="AH11" s="1"/>
  <c r="AC11"/>
  <c r="V11"/>
  <c r="AO10"/>
  <c r="AM10" s="1"/>
  <c r="AD10"/>
  <c r="AH10" s="1"/>
  <c r="AC10"/>
  <c r="V10"/>
  <c r="AA61" s="1"/>
  <c r="AO9"/>
  <c r="AM9" s="1"/>
  <c r="AD9"/>
  <c r="AH9" s="1"/>
  <c r="AC9"/>
  <c r="AG9" s="1"/>
  <c r="V9"/>
  <c r="Z59" s="1"/>
  <c r="AD8"/>
  <c r="AH8" s="1"/>
  <c r="AC8"/>
  <c r="U3"/>
  <c r="N3"/>
  <c r="C64" i="22" s="1"/>
  <c r="X98" i="79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AL78" s="1"/>
  <c r="X78"/>
  <c r="AD77"/>
  <c r="AH77" s="1"/>
  <c r="AC77"/>
  <c r="X77"/>
  <c r="X76"/>
  <c r="X75"/>
  <c r="X74"/>
  <c r="AD73"/>
  <c r="AH73" s="1"/>
  <c r="AC73"/>
  <c r="X73"/>
  <c r="AD72"/>
  <c r="AH72" s="1"/>
  <c r="AC72"/>
  <c r="X72"/>
  <c r="AD71"/>
  <c r="AH71" s="1"/>
  <c r="AC71"/>
  <c r="X71"/>
  <c r="AD70"/>
  <c r="AH70" s="1"/>
  <c r="AC70"/>
  <c r="X70"/>
  <c r="X69"/>
  <c r="AZ68"/>
  <c r="X68"/>
  <c r="AZ67"/>
  <c r="X67"/>
  <c r="AZ66"/>
  <c r="AD66"/>
  <c r="AH66" s="1"/>
  <c r="AC66"/>
  <c r="AA66"/>
  <c r="F66" s="1"/>
  <c r="F72" s="1"/>
  <c r="D78" s="1"/>
  <c r="F82" s="1"/>
  <c r="E92" s="1"/>
  <c r="X66"/>
  <c r="AZ65"/>
  <c r="AD65"/>
  <c r="AH65" s="1"/>
  <c r="AC65"/>
  <c r="AA65"/>
  <c r="F65" s="1"/>
  <c r="X65"/>
  <c r="AZ64"/>
  <c r="AD64"/>
  <c r="AH64" s="1"/>
  <c r="AC64"/>
  <c r="AA64"/>
  <c r="F64" s="1"/>
  <c r="X64"/>
  <c r="AZ63"/>
  <c r="AD63"/>
  <c r="AH63" s="1"/>
  <c r="AC63"/>
  <c r="AA63"/>
  <c r="F63" s="1"/>
  <c r="X63"/>
  <c r="AZ62"/>
  <c r="AD62"/>
  <c r="AH62" s="1"/>
  <c r="AC62"/>
  <c r="X62"/>
  <c r="AZ61"/>
  <c r="AD61"/>
  <c r="AH61" s="1"/>
  <c r="AC61"/>
  <c r="X61"/>
  <c r="AZ60"/>
  <c r="AD60"/>
  <c r="AH60" s="1"/>
  <c r="AC60"/>
  <c r="AA60"/>
  <c r="F60" s="1"/>
  <c r="F71" s="1"/>
  <c r="X60"/>
  <c r="AZ59"/>
  <c r="AD59"/>
  <c r="AH59" s="1"/>
  <c r="AC59"/>
  <c r="AA59"/>
  <c r="F59" s="1"/>
  <c r="X59"/>
  <c r="AZ58"/>
  <c r="AA58"/>
  <c r="Z58"/>
  <c r="X58"/>
  <c r="AD55"/>
  <c r="AH55" s="1"/>
  <c r="AC55"/>
  <c r="AO54"/>
  <c r="AM54" s="1"/>
  <c r="AD54"/>
  <c r="AH54" s="1"/>
  <c r="AC54"/>
  <c r="V54"/>
  <c r="AO53"/>
  <c r="AM53" s="1"/>
  <c r="AD53"/>
  <c r="AH53" s="1"/>
  <c r="AC53"/>
  <c r="V53"/>
  <c r="Z66" s="1"/>
  <c r="D66" s="1"/>
  <c r="AO52"/>
  <c r="AM52" s="1"/>
  <c r="AD52"/>
  <c r="AH52" s="1"/>
  <c r="AC52"/>
  <c r="V52"/>
  <c r="AO51"/>
  <c r="AM51" s="1"/>
  <c r="AD51"/>
  <c r="AH51" s="1"/>
  <c r="AC51"/>
  <c r="V51"/>
  <c r="AD50"/>
  <c r="AH50" s="1"/>
  <c r="AC50"/>
  <c r="AD49"/>
  <c r="AH49" s="1"/>
  <c r="AC49"/>
  <c r="AO48"/>
  <c r="AM48" s="1"/>
  <c r="AD48"/>
  <c r="AH48" s="1"/>
  <c r="AC48"/>
  <c r="V48"/>
  <c r="AO47"/>
  <c r="AM47" s="1"/>
  <c r="AD47"/>
  <c r="AH47" s="1"/>
  <c r="AC47"/>
  <c r="AK47" s="1"/>
  <c r="V47"/>
  <c r="AO46"/>
  <c r="AM46" s="1"/>
  <c r="AD46"/>
  <c r="AH46" s="1"/>
  <c r="AC46"/>
  <c r="V46"/>
  <c r="AO45"/>
  <c r="AM45" s="1"/>
  <c r="AD45"/>
  <c r="AH45" s="1"/>
  <c r="AC45"/>
  <c r="V45"/>
  <c r="Z64" s="1"/>
  <c r="D64" s="1"/>
  <c r="F70" s="1"/>
  <c r="D77" s="1"/>
  <c r="D86" s="1"/>
  <c r="E89" s="1"/>
  <c r="AD44"/>
  <c r="AH44" s="1"/>
  <c r="AC44"/>
  <c r="AD43"/>
  <c r="AH43" s="1"/>
  <c r="AC43"/>
  <c r="AO42"/>
  <c r="AM42" s="1"/>
  <c r="AD42"/>
  <c r="AH42" s="1"/>
  <c r="AC42"/>
  <c r="V42"/>
  <c r="AO41"/>
  <c r="AM41" s="1"/>
  <c r="AD41"/>
  <c r="AH41" s="1"/>
  <c r="AC41"/>
  <c r="V41"/>
  <c r="AO40"/>
  <c r="AM40" s="1"/>
  <c r="AD40"/>
  <c r="AH40" s="1"/>
  <c r="AC40"/>
  <c r="V40"/>
  <c r="AO39"/>
  <c r="AM39" s="1"/>
  <c r="AD39"/>
  <c r="AH39" s="1"/>
  <c r="AC39"/>
  <c r="V39"/>
  <c r="Z65" s="1"/>
  <c r="D65" s="1"/>
  <c r="D72" s="1"/>
  <c r="AD38"/>
  <c r="AC38"/>
  <c r="AD37"/>
  <c r="AH37" s="1"/>
  <c r="AC37"/>
  <c r="AO36"/>
  <c r="AM36" s="1"/>
  <c r="AD36"/>
  <c r="AC36"/>
  <c r="AL36" s="1"/>
  <c r="V36"/>
  <c r="AO35"/>
  <c r="AM35" s="1"/>
  <c r="AD35"/>
  <c r="AC35"/>
  <c r="V35"/>
  <c r="Z63" s="1"/>
  <c r="D63" s="1"/>
  <c r="D70" s="1"/>
  <c r="AO34"/>
  <c r="AM34" s="1"/>
  <c r="AD34"/>
  <c r="AC34"/>
  <c r="V34"/>
  <c r="AO33"/>
  <c r="AM33" s="1"/>
  <c r="AD33"/>
  <c r="AC33"/>
  <c r="V33"/>
  <c r="AD32"/>
  <c r="AC32"/>
  <c r="AD31"/>
  <c r="AH31" s="1"/>
  <c r="AC31"/>
  <c r="AO30"/>
  <c r="AM30" s="1"/>
  <c r="AD30"/>
  <c r="AC30"/>
  <c r="V30"/>
  <c r="Z62" s="1"/>
  <c r="D62" s="1"/>
  <c r="F73" s="1"/>
  <c r="F78" s="1"/>
  <c r="F86" s="1"/>
  <c r="E90" s="1"/>
  <c r="AO29"/>
  <c r="AM29" s="1"/>
  <c r="AD29"/>
  <c r="AC29"/>
  <c r="V29"/>
  <c r="AO28"/>
  <c r="AM28" s="1"/>
  <c r="AD28"/>
  <c r="AL28" s="1"/>
  <c r="AC28"/>
  <c r="V28"/>
  <c r="AO27"/>
  <c r="AM27" s="1"/>
  <c r="AD27"/>
  <c r="AC27"/>
  <c r="V27"/>
  <c r="AD26"/>
  <c r="AH26" s="1"/>
  <c r="AC26"/>
  <c r="AD25"/>
  <c r="AH25" s="1"/>
  <c r="AC25"/>
  <c r="AO24"/>
  <c r="AM24" s="1"/>
  <c r="AD24"/>
  <c r="AH24" s="1"/>
  <c r="AC24"/>
  <c r="V24"/>
  <c r="AA62" s="1"/>
  <c r="F62" s="1"/>
  <c r="AO23"/>
  <c r="AM23" s="1"/>
  <c r="AD23"/>
  <c r="AH23" s="1"/>
  <c r="AC23"/>
  <c r="V23"/>
  <c r="Z60" s="1"/>
  <c r="D60" s="1"/>
  <c r="AO22"/>
  <c r="AM22" s="1"/>
  <c r="AD22"/>
  <c r="AH22" s="1"/>
  <c r="AC22"/>
  <c r="V22"/>
  <c r="AO21"/>
  <c r="AM21" s="1"/>
  <c r="AD21"/>
  <c r="AH21" s="1"/>
  <c r="AC21"/>
  <c r="V21"/>
  <c r="AD20"/>
  <c r="AH20" s="1"/>
  <c r="AC20"/>
  <c r="AD19"/>
  <c r="AH19" s="1"/>
  <c r="AC19"/>
  <c r="AO18"/>
  <c r="AM18" s="1"/>
  <c r="AD18"/>
  <c r="AC18"/>
  <c r="V18"/>
  <c r="AO17"/>
  <c r="AM17" s="1"/>
  <c r="AD17"/>
  <c r="AC17"/>
  <c r="V17"/>
  <c r="AO16"/>
  <c r="AM16" s="1"/>
  <c r="AD16"/>
  <c r="AC16"/>
  <c r="V16"/>
  <c r="Z61" s="1"/>
  <c r="D61" s="1"/>
  <c r="D73" s="1"/>
  <c r="AO15"/>
  <c r="AM15" s="1"/>
  <c r="AD15"/>
  <c r="AC15"/>
  <c r="V15"/>
  <c r="AD14"/>
  <c r="AH14" s="1"/>
  <c r="AC14"/>
  <c r="AD13"/>
  <c r="AH13" s="1"/>
  <c r="AC13"/>
  <c r="AO12"/>
  <c r="AM12" s="1"/>
  <c r="AD12"/>
  <c r="AH12" s="1"/>
  <c r="AC12"/>
  <c r="V12"/>
  <c r="AO11"/>
  <c r="AM11" s="1"/>
  <c r="AD11"/>
  <c r="AH11" s="1"/>
  <c r="AC11"/>
  <c r="V11"/>
  <c r="AO10"/>
  <c r="AM10" s="1"/>
  <c r="AD10"/>
  <c r="AH10" s="1"/>
  <c r="AC10"/>
  <c r="V10"/>
  <c r="AA61" s="1"/>
  <c r="F61" s="1"/>
  <c r="AO9"/>
  <c r="AM9" s="1"/>
  <c r="AD9"/>
  <c r="AC9"/>
  <c r="V9"/>
  <c r="Z59" s="1"/>
  <c r="D59" s="1"/>
  <c r="D71" s="1"/>
  <c r="F77" s="1"/>
  <c r="D82" s="1"/>
  <c r="E91" s="1"/>
  <c r="AD8"/>
  <c r="AH8" s="1"/>
  <c r="AC8"/>
  <c r="N3"/>
  <c r="C54" i="22" s="1"/>
  <c r="X98" i="78"/>
  <c r="X97"/>
  <c r="X96"/>
  <c r="X95"/>
  <c r="X94"/>
  <c r="X93"/>
  <c r="X92"/>
  <c r="E92"/>
  <c r="X91"/>
  <c r="E91"/>
  <c r="X90"/>
  <c r="E90"/>
  <c r="X89"/>
  <c r="E89"/>
  <c r="X88"/>
  <c r="X87"/>
  <c r="AD86"/>
  <c r="AC86"/>
  <c r="X86"/>
  <c r="X85"/>
  <c r="X84"/>
  <c r="X83"/>
  <c r="AD82"/>
  <c r="AC82"/>
  <c r="X82"/>
  <c r="X81"/>
  <c r="X80"/>
  <c r="X79"/>
  <c r="AD78"/>
  <c r="AC78"/>
  <c r="X78"/>
  <c r="AD77"/>
  <c r="AH77" s="1"/>
  <c r="AC77"/>
  <c r="AG77" s="1"/>
  <c r="X77"/>
  <c r="X76"/>
  <c r="X75"/>
  <c r="X74"/>
  <c r="AD73"/>
  <c r="AH73" s="1"/>
  <c r="AC73"/>
  <c r="AG73" s="1"/>
  <c r="X73"/>
  <c r="AD72"/>
  <c r="AC72"/>
  <c r="X72"/>
  <c r="AD71"/>
  <c r="AH71" s="1"/>
  <c r="AC71"/>
  <c r="AG71" s="1"/>
  <c r="X71"/>
  <c r="AD70"/>
  <c r="AH70" s="1"/>
  <c r="AC70"/>
  <c r="X70"/>
  <c r="X69"/>
  <c r="AZ68"/>
  <c r="X68"/>
  <c r="AZ67"/>
  <c r="X67"/>
  <c r="AZ66"/>
  <c r="AD66"/>
  <c r="AH66" s="1"/>
  <c r="AC66"/>
  <c r="X66"/>
  <c r="AZ65"/>
  <c r="AD65"/>
  <c r="AH65" s="1"/>
  <c r="AC65"/>
  <c r="X65"/>
  <c r="AZ64"/>
  <c r="AD64"/>
  <c r="AH64" s="1"/>
  <c r="AC64"/>
  <c r="AA64"/>
  <c r="X64"/>
  <c r="AZ63"/>
  <c r="AD63"/>
  <c r="AH63" s="1"/>
  <c r="AC63"/>
  <c r="X63"/>
  <c r="AZ62"/>
  <c r="AD62"/>
  <c r="AH62" s="1"/>
  <c r="AC62"/>
  <c r="X62"/>
  <c r="AZ61"/>
  <c r="AD61"/>
  <c r="AH61" s="1"/>
  <c r="AC61"/>
  <c r="X61"/>
  <c r="AZ60"/>
  <c r="AD60"/>
  <c r="AH60" s="1"/>
  <c r="AC60"/>
  <c r="X60"/>
  <c r="AZ59"/>
  <c r="AD59"/>
  <c r="AH59" s="1"/>
  <c r="AC59"/>
  <c r="X59"/>
  <c r="AZ58"/>
  <c r="BA67" s="1"/>
  <c r="BB67" s="1"/>
  <c r="AA58"/>
  <c r="Z58"/>
  <c r="X58"/>
  <c r="AD55"/>
  <c r="AH55" s="1"/>
  <c r="AC55"/>
  <c r="AO54"/>
  <c r="AM54" s="1"/>
  <c r="AD54"/>
  <c r="AH54" s="1"/>
  <c r="AC54"/>
  <c r="V54"/>
  <c r="Z66" s="1"/>
  <c r="AO53"/>
  <c r="AM53" s="1"/>
  <c r="AD53"/>
  <c r="AH53" s="1"/>
  <c r="AC53"/>
  <c r="V53"/>
  <c r="AO52"/>
  <c r="AM52" s="1"/>
  <c r="AD52"/>
  <c r="AH52" s="1"/>
  <c r="AC52"/>
  <c r="V52"/>
  <c r="AO51"/>
  <c r="AM51" s="1"/>
  <c r="AD51"/>
  <c r="AH51" s="1"/>
  <c r="AC51"/>
  <c r="V51"/>
  <c r="AD50"/>
  <c r="AH50" s="1"/>
  <c r="AC50"/>
  <c r="AD49"/>
  <c r="AH49" s="1"/>
  <c r="AC49"/>
  <c r="AO48"/>
  <c r="AM48" s="1"/>
  <c r="AD48"/>
  <c r="AH48" s="1"/>
  <c r="AC48"/>
  <c r="V48"/>
  <c r="AO47"/>
  <c r="AM47" s="1"/>
  <c r="AD47"/>
  <c r="AH47" s="1"/>
  <c r="AC47"/>
  <c r="V47"/>
  <c r="AO46"/>
  <c r="AM46" s="1"/>
  <c r="AD46"/>
  <c r="AH46" s="1"/>
  <c r="AC46"/>
  <c r="V46"/>
  <c r="AA66" s="1"/>
  <c r="AO45"/>
  <c r="AM45" s="1"/>
  <c r="AD45"/>
  <c r="AH45" s="1"/>
  <c r="AC45"/>
  <c r="V45"/>
  <c r="Z64" s="1"/>
  <c r="AD44"/>
  <c r="AH44" s="1"/>
  <c r="AC44"/>
  <c r="AD43"/>
  <c r="AH43" s="1"/>
  <c r="AC43"/>
  <c r="AO42"/>
  <c r="AM42" s="1"/>
  <c r="AD42"/>
  <c r="AH42" s="1"/>
  <c r="AC42"/>
  <c r="V42"/>
  <c r="AA63" s="1"/>
  <c r="AO41"/>
  <c r="AM41" s="1"/>
  <c r="AD41"/>
  <c r="AH41" s="1"/>
  <c r="AC41"/>
  <c r="V41"/>
  <c r="AO40"/>
  <c r="AM40" s="1"/>
  <c r="AD40"/>
  <c r="AH40" s="1"/>
  <c r="AC40"/>
  <c r="V40"/>
  <c r="AO39"/>
  <c r="AM39" s="1"/>
  <c r="AD39"/>
  <c r="AH39" s="1"/>
  <c r="AC39"/>
  <c r="V39"/>
  <c r="Z65" s="1"/>
  <c r="AD38"/>
  <c r="AH38" s="1"/>
  <c r="AC38"/>
  <c r="AD37"/>
  <c r="AH37" s="1"/>
  <c r="AC37"/>
  <c r="AO36"/>
  <c r="AM36" s="1"/>
  <c r="AD36"/>
  <c r="AH36" s="1"/>
  <c r="AC36"/>
  <c r="V36"/>
  <c r="AO35"/>
  <c r="AM35" s="1"/>
  <c r="AD35"/>
  <c r="AC35"/>
  <c r="AL35" s="1"/>
  <c r="V35"/>
  <c r="Z63" s="1"/>
  <c r="AO34"/>
  <c r="AM34" s="1"/>
  <c r="AD34"/>
  <c r="AC34"/>
  <c r="V34"/>
  <c r="AO33"/>
  <c r="AM33" s="1"/>
  <c r="AD33"/>
  <c r="AC33"/>
  <c r="AL33" s="1"/>
  <c r="V33"/>
  <c r="AA65" s="1"/>
  <c r="AD32"/>
  <c r="AC32"/>
  <c r="AD31"/>
  <c r="AH31" s="1"/>
  <c r="AC31"/>
  <c r="AO30"/>
  <c r="AM30" s="1"/>
  <c r="AD30"/>
  <c r="AC30"/>
  <c r="V30"/>
  <c r="AA60" s="1"/>
  <c r="AO29"/>
  <c r="AM29" s="1"/>
  <c r="AD29"/>
  <c r="AC29"/>
  <c r="V29"/>
  <c r="Z62" s="1"/>
  <c r="AO28"/>
  <c r="AM28" s="1"/>
  <c r="AD28"/>
  <c r="AC28"/>
  <c r="V28"/>
  <c r="AO27"/>
  <c r="AM27" s="1"/>
  <c r="AD27"/>
  <c r="AC27"/>
  <c r="V27"/>
  <c r="AD26"/>
  <c r="AC26"/>
  <c r="AD25"/>
  <c r="AH25" s="1"/>
  <c r="AC25"/>
  <c r="AO24"/>
  <c r="AM24" s="1"/>
  <c r="AD24"/>
  <c r="AC24"/>
  <c r="V24"/>
  <c r="AO23"/>
  <c r="AM23" s="1"/>
  <c r="AD23"/>
  <c r="AC23"/>
  <c r="V23"/>
  <c r="AA62" s="1"/>
  <c r="AO22"/>
  <c r="AM22" s="1"/>
  <c r="AD22"/>
  <c r="AC22"/>
  <c r="V22"/>
  <c r="AO21"/>
  <c r="AM21" s="1"/>
  <c r="AD21"/>
  <c r="AC21"/>
  <c r="V21"/>
  <c r="Z60" s="1"/>
  <c r="AD20"/>
  <c r="AC20"/>
  <c r="AD19"/>
  <c r="AH19" s="1"/>
  <c r="AC19"/>
  <c r="AO18"/>
  <c r="AM18" s="1"/>
  <c r="AD18"/>
  <c r="AC18"/>
  <c r="V18"/>
  <c r="Z61" s="1"/>
  <c r="AO17"/>
  <c r="AM17" s="1"/>
  <c r="AD17"/>
  <c r="AC17"/>
  <c r="V17"/>
  <c r="AO16"/>
  <c r="AM16" s="1"/>
  <c r="AD16"/>
  <c r="AC16"/>
  <c r="AL16" s="1"/>
  <c r="V16"/>
  <c r="AA59" s="1"/>
  <c r="AO15"/>
  <c r="AM15" s="1"/>
  <c r="AD15"/>
  <c r="AC15"/>
  <c r="V15"/>
  <c r="AD14"/>
  <c r="AC14"/>
  <c r="AD13"/>
  <c r="AH13" s="1"/>
  <c r="AC13"/>
  <c r="AO12"/>
  <c r="AM12" s="1"/>
  <c r="AD12"/>
  <c r="AC12"/>
  <c r="AL12" s="1"/>
  <c r="V12"/>
  <c r="AO11"/>
  <c r="AM11" s="1"/>
  <c r="AD11"/>
  <c r="AC11"/>
  <c r="V11"/>
  <c r="AA61" s="1"/>
  <c r="AO10"/>
  <c r="AM10" s="1"/>
  <c r="AD10"/>
  <c r="AC10"/>
  <c r="V10"/>
  <c r="AO9"/>
  <c r="AM9" s="1"/>
  <c r="AD9"/>
  <c r="AC9"/>
  <c r="AG9" s="1"/>
  <c r="V9"/>
  <c r="Z59" s="1"/>
  <c r="AD8"/>
  <c r="AC8"/>
  <c r="N3"/>
  <c r="C81" i="22" s="1"/>
  <c r="X98" i="77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C77"/>
  <c r="X77"/>
  <c r="X76"/>
  <c r="X75"/>
  <c r="X74"/>
  <c r="AD73"/>
  <c r="AC73"/>
  <c r="X73"/>
  <c r="AD72"/>
  <c r="AH72" s="1"/>
  <c r="AC72"/>
  <c r="X72"/>
  <c r="AD71"/>
  <c r="AC71"/>
  <c r="X71"/>
  <c r="AD70"/>
  <c r="AH70" s="1"/>
  <c r="AC70"/>
  <c r="AL70" s="1"/>
  <c r="X70"/>
  <c r="X69"/>
  <c r="AZ68"/>
  <c r="X68"/>
  <c r="AZ67"/>
  <c r="X67"/>
  <c r="AZ66"/>
  <c r="AD66"/>
  <c r="AH66" s="1"/>
  <c r="AC66"/>
  <c r="Z66"/>
  <c r="D66" s="1"/>
  <c r="X66"/>
  <c r="AZ65"/>
  <c r="AD65"/>
  <c r="AH65" s="1"/>
  <c r="AC65"/>
  <c r="AA65"/>
  <c r="F65" s="1"/>
  <c r="X65"/>
  <c r="AZ64"/>
  <c r="AD64"/>
  <c r="AH64" s="1"/>
  <c r="AC64"/>
  <c r="AA64"/>
  <c r="F64" s="1"/>
  <c r="X64"/>
  <c r="AZ63"/>
  <c r="AD63"/>
  <c r="AH63" s="1"/>
  <c r="AC63"/>
  <c r="AA63"/>
  <c r="F63" s="1"/>
  <c r="X63"/>
  <c r="AZ62"/>
  <c r="AD62"/>
  <c r="AH62" s="1"/>
  <c r="AC62"/>
  <c r="AA62"/>
  <c r="F62" s="1"/>
  <c r="X62"/>
  <c r="AZ61"/>
  <c r="AD61"/>
  <c r="AH61" s="1"/>
  <c r="AC61"/>
  <c r="AA61"/>
  <c r="F61" s="1"/>
  <c r="X61"/>
  <c r="AZ60"/>
  <c r="AD60"/>
  <c r="AH60" s="1"/>
  <c r="AC60"/>
  <c r="AA60"/>
  <c r="F60" s="1"/>
  <c r="X60"/>
  <c r="AZ59"/>
  <c r="AD59"/>
  <c r="AH59" s="1"/>
  <c r="AC59"/>
  <c r="AK59" s="1"/>
  <c r="X59"/>
  <c r="AZ58"/>
  <c r="BA59" s="1"/>
  <c r="BB59" s="1"/>
  <c r="AA58"/>
  <c r="Z58"/>
  <c r="X58"/>
  <c r="AD55"/>
  <c r="AH55" s="1"/>
  <c r="AC55"/>
  <c r="AO54"/>
  <c r="AM54" s="1"/>
  <c r="AD54"/>
  <c r="AH54" s="1"/>
  <c r="AC54"/>
  <c r="V54"/>
  <c r="AO53"/>
  <c r="AM53" s="1"/>
  <c r="AD53"/>
  <c r="AC53"/>
  <c r="V53"/>
  <c r="AO52"/>
  <c r="AM52" s="1"/>
  <c r="AD52"/>
  <c r="AC52"/>
  <c r="V52"/>
  <c r="AO51"/>
  <c r="AM51" s="1"/>
  <c r="AD51"/>
  <c r="AC51"/>
  <c r="V51"/>
  <c r="AD50"/>
  <c r="AC50"/>
  <c r="AD49"/>
  <c r="AH49" s="1"/>
  <c r="AC49"/>
  <c r="AO48"/>
  <c r="AM48" s="1"/>
  <c r="AD48"/>
  <c r="AK48" s="1"/>
  <c r="AC48"/>
  <c r="V48"/>
  <c r="AO47"/>
  <c r="AM47" s="1"/>
  <c r="AD47"/>
  <c r="AC47"/>
  <c r="V47"/>
  <c r="AO46"/>
  <c r="AM46" s="1"/>
  <c r="AD46"/>
  <c r="AC46"/>
  <c r="V46"/>
  <c r="AA66" s="1"/>
  <c r="F66" s="1"/>
  <c r="F72" s="1"/>
  <c r="D78" s="1"/>
  <c r="F82" s="1"/>
  <c r="E92" s="1"/>
  <c r="AO45"/>
  <c r="AM45" s="1"/>
  <c r="AD45"/>
  <c r="AC45"/>
  <c r="V45"/>
  <c r="Z64" s="1"/>
  <c r="D64" s="1"/>
  <c r="F70" s="1"/>
  <c r="D77" s="1"/>
  <c r="D86" s="1"/>
  <c r="E89" s="1"/>
  <c r="AD44"/>
  <c r="AC44"/>
  <c r="AD43"/>
  <c r="AH43" s="1"/>
  <c r="AC43"/>
  <c r="AO42"/>
  <c r="AM42" s="1"/>
  <c r="AD42"/>
  <c r="AC42"/>
  <c r="V42"/>
  <c r="AO41"/>
  <c r="AM41" s="1"/>
  <c r="AD41"/>
  <c r="AC41"/>
  <c r="V41"/>
  <c r="AO40"/>
  <c r="AM40" s="1"/>
  <c r="AD40"/>
  <c r="AK40" s="1"/>
  <c r="AC40"/>
  <c r="V40"/>
  <c r="Z65" s="1"/>
  <c r="D65" s="1"/>
  <c r="D72" s="1"/>
  <c r="AO39"/>
  <c r="AM39" s="1"/>
  <c r="AD39"/>
  <c r="AC39"/>
  <c r="V39"/>
  <c r="AD38"/>
  <c r="AC38"/>
  <c r="AD37"/>
  <c r="AH37" s="1"/>
  <c r="AC37"/>
  <c r="AO36"/>
  <c r="AM36" s="1"/>
  <c r="AD36"/>
  <c r="AC36"/>
  <c r="V36"/>
  <c r="AO35"/>
  <c r="AM35" s="1"/>
  <c r="AD35"/>
  <c r="AC35"/>
  <c r="V35"/>
  <c r="AO34"/>
  <c r="AM34" s="1"/>
  <c r="AD34"/>
  <c r="AC34"/>
  <c r="V34"/>
  <c r="AO33"/>
  <c r="AM33" s="1"/>
  <c r="AD33"/>
  <c r="AC33"/>
  <c r="V33"/>
  <c r="Z63" s="1"/>
  <c r="D63" s="1"/>
  <c r="D70" s="1"/>
  <c r="AD32"/>
  <c r="AC32"/>
  <c r="AL32" s="1"/>
  <c r="AD31"/>
  <c r="AH31" s="1"/>
  <c r="AC31"/>
  <c r="AO30"/>
  <c r="AM30" s="1"/>
  <c r="AD30"/>
  <c r="AC30"/>
  <c r="V30"/>
  <c r="AO29"/>
  <c r="AM29" s="1"/>
  <c r="AD29"/>
  <c r="AC29"/>
  <c r="V29"/>
  <c r="AO28"/>
  <c r="AM28" s="1"/>
  <c r="AD28"/>
  <c r="AC28"/>
  <c r="V28"/>
  <c r="AO27"/>
  <c r="AM27" s="1"/>
  <c r="AD27"/>
  <c r="AC27"/>
  <c r="V27"/>
  <c r="Z62" s="1"/>
  <c r="D62" s="1"/>
  <c r="F73" s="1"/>
  <c r="AD26"/>
  <c r="AC26"/>
  <c r="AD25"/>
  <c r="AH25" s="1"/>
  <c r="AC25"/>
  <c r="AO24"/>
  <c r="AM24" s="1"/>
  <c r="AD24"/>
  <c r="AK24" s="1"/>
  <c r="AC24"/>
  <c r="V24"/>
  <c r="AO23"/>
  <c r="AM23" s="1"/>
  <c r="AD23"/>
  <c r="AH23" s="1"/>
  <c r="AC23"/>
  <c r="AG23" s="1"/>
  <c r="V23"/>
  <c r="AO22"/>
  <c r="AM22" s="1"/>
  <c r="AD22"/>
  <c r="AH22" s="1"/>
  <c r="AC22"/>
  <c r="AG22" s="1"/>
  <c r="V22"/>
  <c r="AO21"/>
  <c r="AM21" s="1"/>
  <c r="AD21"/>
  <c r="AH21" s="1"/>
  <c r="AC21"/>
  <c r="AG21" s="1"/>
  <c r="V21"/>
  <c r="Z60" s="1"/>
  <c r="D60" s="1"/>
  <c r="F71" s="1"/>
  <c r="AD20"/>
  <c r="AH20" s="1"/>
  <c r="AC20"/>
  <c r="AD19"/>
  <c r="AC19"/>
  <c r="AO18"/>
  <c r="AM18" s="1"/>
  <c r="AD18"/>
  <c r="AH18" s="1"/>
  <c r="AC18"/>
  <c r="AG18" s="1"/>
  <c r="V18"/>
  <c r="AO17"/>
  <c r="AM17" s="1"/>
  <c r="AD17"/>
  <c r="AH17" s="1"/>
  <c r="AC17"/>
  <c r="V17"/>
  <c r="AO16"/>
  <c r="AM16" s="1"/>
  <c r="AD16"/>
  <c r="AH16" s="1"/>
  <c r="AC16"/>
  <c r="AG16" s="1"/>
  <c r="V16"/>
  <c r="AA59" s="1"/>
  <c r="F59" s="1"/>
  <c r="AO15"/>
  <c r="AM15" s="1"/>
  <c r="AD15"/>
  <c r="AH15" s="1"/>
  <c r="AC15"/>
  <c r="V15"/>
  <c r="Z61" s="1"/>
  <c r="D61" s="1"/>
  <c r="D73" s="1"/>
  <c r="F78" s="1"/>
  <c r="F86" s="1"/>
  <c r="E90" s="1"/>
  <c r="AD14"/>
  <c r="AH14" s="1"/>
  <c r="AC14"/>
  <c r="AD13"/>
  <c r="AH13" s="1"/>
  <c r="AC13"/>
  <c r="AO12"/>
  <c r="AM12" s="1"/>
  <c r="AD12"/>
  <c r="AC12"/>
  <c r="V12"/>
  <c r="AO11"/>
  <c r="AM11" s="1"/>
  <c r="AD11"/>
  <c r="AC11"/>
  <c r="V11"/>
  <c r="AO10"/>
  <c r="AM10" s="1"/>
  <c r="AD10"/>
  <c r="AC10"/>
  <c r="V10"/>
  <c r="AO9"/>
  <c r="AM9" s="1"/>
  <c r="AD9"/>
  <c r="AC9"/>
  <c r="AG9" s="1"/>
  <c r="V9"/>
  <c r="Z59" s="1"/>
  <c r="D59" s="1"/>
  <c r="D71" s="1"/>
  <c r="F77" s="1"/>
  <c r="D82" s="1"/>
  <c r="E91" s="1"/>
  <c r="AD8"/>
  <c r="AC8"/>
  <c r="N3"/>
  <c r="C29" i="22" s="1"/>
  <c r="X98" i="76"/>
  <c r="X97"/>
  <c r="X96"/>
  <c r="X95"/>
  <c r="X94"/>
  <c r="X93"/>
  <c r="X92"/>
  <c r="X91"/>
  <c r="X90"/>
  <c r="X89"/>
  <c r="X88"/>
  <c r="X87"/>
  <c r="AD86"/>
  <c r="AC86"/>
  <c r="X86"/>
  <c r="X85"/>
  <c r="X84"/>
  <c r="X83"/>
  <c r="AD82"/>
  <c r="AC82"/>
  <c r="X82"/>
  <c r="X81"/>
  <c r="X80"/>
  <c r="X79"/>
  <c r="AD78"/>
  <c r="AC78"/>
  <c r="X78"/>
  <c r="AD77"/>
  <c r="AH77" s="1"/>
  <c r="AC77"/>
  <c r="X77"/>
  <c r="X76"/>
  <c r="X75"/>
  <c r="X74"/>
  <c r="AD73"/>
  <c r="AH73" s="1"/>
  <c r="AC73"/>
  <c r="X73"/>
  <c r="AD72"/>
  <c r="AC72"/>
  <c r="X72"/>
  <c r="AD71"/>
  <c r="AH71" s="1"/>
  <c r="AC71"/>
  <c r="X71"/>
  <c r="AD70"/>
  <c r="AC70"/>
  <c r="X70"/>
  <c r="X69"/>
  <c r="AZ68"/>
  <c r="X68"/>
  <c r="AZ67"/>
  <c r="X67"/>
  <c r="AZ66"/>
  <c r="AD66"/>
  <c r="AH66" s="1"/>
  <c r="AC66"/>
  <c r="AA66"/>
  <c r="F66" s="1"/>
  <c r="X66"/>
  <c r="AZ65"/>
  <c r="AD65"/>
  <c r="AH65" s="1"/>
  <c r="AC65"/>
  <c r="AA65"/>
  <c r="F65" s="1"/>
  <c r="X65"/>
  <c r="AZ64"/>
  <c r="AD64"/>
  <c r="AH64" s="1"/>
  <c r="AC64"/>
  <c r="AA64"/>
  <c r="F64" s="1"/>
  <c r="X64"/>
  <c r="AZ63"/>
  <c r="AD63"/>
  <c r="AH63" s="1"/>
  <c r="AC63"/>
  <c r="AL63" s="1"/>
  <c r="AA63"/>
  <c r="F63" s="1"/>
  <c r="X63"/>
  <c r="AZ62"/>
  <c r="AD62"/>
  <c r="AH62" s="1"/>
  <c r="AC62"/>
  <c r="AA62"/>
  <c r="F62" s="1"/>
  <c r="X62"/>
  <c r="AZ61"/>
  <c r="AD61"/>
  <c r="AH61" s="1"/>
  <c r="AC61"/>
  <c r="AA61"/>
  <c r="F61" s="1"/>
  <c r="X61"/>
  <c r="AZ60"/>
  <c r="AD60"/>
  <c r="AH60" s="1"/>
  <c r="AC60"/>
  <c r="AA60"/>
  <c r="F60" s="1"/>
  <c r="F71" s="1"/>
  <c r="X60"/>
  <c r="AZ59"/>
  <c r="AD59"/>
  <c r="AH59" s="1"/>
  <c r="AC59"/>
  <c r="AA59"/>
  <c r="F59" s="1"/>
  <c r="X59"/>
  <c r="AZ58"/>
  <c r="BA67" s="1"/>
  <c r="BB67" s="1"/>
  <c r="AA58"/>
  <c r="Z58"/>
  <c r="X58"/>
  <c r="AD55"/>
  <c r="AC55"/>
  <c r="AO54"/>
  <c r="AM54" s="1"/>
  <c r="AD54"/>
  <c r="AH54" s="1"/>
  <c r="AC54"/>
  <c r="V54"/>
  <c r="AO53"/>
  <c r="AM53" s="1"/>
  <c r="AD53"/>
  <c r="AH53" s="1"/>
  <c r="AC53"/>
  <c r="V53"/>
  <c r="AO52"/>
  <c r="AM52" s="1"/>
  <c r="AH52"/>
  <c r="AD52"/>
  <c r="AC52"/>
  <c r="AL52" s="1"/>
  <c r="V52"/>
  <c r="AO51"/>
  <c r="AM51" s="1"/>
  <c r="AD51"/>
  <c r="AH51" s="1"/>
  <c r="AC51"/>
  <c r="V51"/>
  <c r="Z66" s="1"/>
  <c r="D66" s="1"/>
  <c r="F72" s="1"/>
  <c r="D78" s="1"/>
  <c r="F82" s="1"/>
  <c r="E91" s="1"/>
  <c r="AD50"/>
  <c r="AH50" s="1"/>
  <c r="AC50"/>
  <c r="AD49"/>
  <c r="AC49"/>
  <c r="AO48"/>
  <c r="AM48" s="1"/>
  <c r="AD48"/>
  <c r="AH48" s="1"/>
  <c r="AC48"/>
  <c r="AL48" s="1"/>
  <c r="V48"/>
  <c r="AO47"/>
  <c r="AM47" s="1"/>
  <c r="AD47"/>
  <c r="AH47" s="1"/>
  <c r="AC47"/>
  <c r="V47"/>
  <c r="AO46"/>
  <c r="AM46" s="1"/>
  <c r="AD46"/>
  <c r="AH46" s="1"/>
  <c r="AC46"/>
  <c r="V46"/>
  <c r="AO45"/>
  <c r="AM45" s="1"/>
  <c r="AD45"/>
  <c r="AH45" s="1"/>
  <c r="AC45"/>
  <c r="V45"/>
  <c r="Z64" s="1"/>
  <c r="D64" s="1"/>
  <c r="F70" s="1"/>
  <c r="AD44"/>
  <c r="AH44" s="1"/>
  <c r="AC44"/>
  <c r="AD43"/>
  <c r="AH43" s="1"/>
  <c r="AC43"/>
  <c r="AK43" s="1"/>
  <c r="AO42"/>
  <c r="AM42" s="1"/>
  <c r="AD42"/>
  <c r="AH42" s="1"/>
  <c r="AC42"/>
  <c r="V42"/>
  <c r="AO41"/>
  <c r="AM41" s="1"/>
  <c r="AD41"/>
  <c r="AH41" s="1"/>
  <c r="AC41"/>
  <c r="V41"/>
  <c r="AO40"/>
  <c r="AM40" s="1"/>
  <c r="AD40"/>
  <c r="AH40" s="1"/>
  <c r="AC40"/>
  <c r="V40"/>
  <c r="AO39"/>
  <c r="AM39" s="1"/>
  <c r="AD39"/>
  <c r="AH39" s="1"/>
  <c r="AC39"/>
  <c r="V39"/>
  <c r="Z65" s="1"/>
  <c r="D65" s="1"/>
  <c r="D72" s="1"/>
  <c r="AD38"/>
  <c r="AH38" s="1"/>
  <c r="AC38"/>
  <c r="AD37"/>
  <c r="AH37" s="1"/>
  <c r="AC37"/>
  <c r="AO36"/>
  <c r="AM36" s="1"/>
  <c r="AD36"/>
  <c r="AH36" s="1"/>
  <c r="AC36"/>
  <c r="V36"/>
  <c r="AO35"/>
  <c r="AM35" s="1"/>
  <c r="AD35"/>
  <c r="AH35" s="1"/>
  <c r="AC35"/>
  <c r="V35"/>
  <c r="Z63" s="1"/>
  <c r="D63" s="1"/>
  <c r="D70" s="1"/>
  <c r="D77" s="1"/>
  <c r="D82" s="1"/>
  <c r="E92" s="1"/>
  <c r="AO34"/>
  <c r="AM34" s="1"/>
  <c r="AD34"/>
  <c r="AH34" s="1"/>
  <c r="AC34"/>
  <c r="V34"/>
  <c r="AO33"/>
  <c r="AM33" s="1"/>
  <c r="AD33"/>
  <c r="AH33" s="1"/>
  <c r="AC33"/>
  <c r="V33"/>
  <c r="AD32"/>
  <c r="AH32" s="1"/>
  <c r="AC32"/>
  <c r="AD31"/>
  <c r="AH31" s="1"/>
  <c r="AC31"/>
  <c r="AO30"/>
  <c r="AM30" s="1"/>
  <c r="AD30"/>
  <c r="AH30" s="1"/>
  <c r="AC30"/>
  <c r="V30"/>
  <c r="AO29"/>
  <c r="AM29" s="1"/>
  <c r="AD29"/>
  <c r="AH29" s="1"/>
  <c r="AC29"/>
  <c r="AG29" s="1"/>
  <c r="V29"/>
  <c r="AO28"/>
  <c r="AM28" s="1"/>
  <c r="AD28"/>
  <c r="AH28" s="1"/>
  <c r="AC28"/>
  <c r="AG28" s="1"/>
  <c r="V28"/>
  <c r="AO27"/>
  <c r="AM27" s="1"/>
  <c r="AD27"/>
  <c r="AC27"/>
  <c r="V27"/>
  <c r="Z62" s="1"/>
  <c r="D62" s="1"/>
  <c r="F73" s="1"/>
  <c r="F78" s="1"/>
  <c r="F86" s="1"/>
  <c r="E90" s="1"/>
  <c r="AD26"/>
  <c r="AC26"/>
  <c r="AD25"/>
  <c r="AH25" s="1"/>
  <c r="AC25"/>
  <c r="AO24"/>
  <c r="AM24" s="1"/>
  <c r="AD24"/>
  <c r="AC24"/>
  <c r="V24"/>
  <c r="AO23"/>
  <c r="AM23" s="1"/>
  <c r="AD23"/>
  <c r="AC23"/>
  <c r="V23"/>
  <c r="AO22"/>
  <c r="AM22" s="1"/>
  <c r="AD22"/>
  <c r="AC22"/>
  <c r="V22"/>
  <c r="AO21"/>
  <c r="AM21" s="1"/>
  <c r="AD21"/>
  <c r="AC21"/>
  <c r="V21"/>
  <c r="Z60" s="1"/>
  <c r="D60" s="1"/>
  <c r="AD20"/>
  <c r="AC20"/>
  <c r="AD19"/>
  <c r="AH19" s="1"/>
  <c r="AC19"/>
  <c r="AO18"/>
  <c r="AM18" s="1"/>
  <c r="AD18"/>
  <c r="AC18"/>
  <c r="V18"/>
  <c r="AO17"/>
  <c r="AM17" s="1"/>
  <c r="AD17"/>
  <c r="AC17"/>
  <c r="V17"/>
  <c r="AO16"/>
  <c r="AM16" s="1"/>
  <c r="AD16"/>
  <c r="AC16"/>
  <c r="V16"/>
  <c r="AO15"/>
  <c r="AM15" s="1"/>
  <c r="AD15"/>
  <c r="AC15"/>
  <c r="V15"/>
  <c r="Z61" s="1"/>
  <c r="D61" s="1"/>
  <c r="D73" s="1"/>
  <c r="AD14"/>
  <c r="AC14"/>
  <c r="AD13"/>
  <c r="AH13" s="1"/>
  <c r="AC13"/>
  <c r="AO12"/>
  <c r="AM12" s="1"/>
  <c r="AD12"/>
  <c r="AC12"/>
  <c r="V12"/>
  <c r="AO11"/>
  <c r="AM11" s="1"/>
  <c r="AD11"/>
  <c r="AC11"/>
  <c r="V11"/>
  <c r="AO10"/>
  <c r="AM10" s="1"/>
  <c r="AD10"/>
  <c r="AC10"/>
  <c r="V10"/>
  <c r="AO9"/>
  <c r="AM9" s="1"/>
  <c r="AD9"/>
  <c r="AC9"/>
  <c r="AG9" s="1"/>
  <c r="V9"/>
  <c r="Z59" s="1"/>
  <c r="D59" s="1"/>
  <c r="D71" s="1"/>
  <c r="F77" s="1"/>
  <c r="D86" s="1"/>
  <c r="E89" s="1"/>
  <c r="AD8"/>
  <c r="AC8"/>
  <c r="N3"/>
  <c r="J8" i="73"/>
  <c r="K8"/>
  <c r="L8"/>
  <c r="J9"/>
  <c r="K9"/>
  <c r="L9"/>
  <c r="P9"/>
  <c r="Q9"/>
  <c r="R9"/>
  <c r="J10"/>
  <c r="K10"/>
  <c r="L10"/>
  <c r="P10"/>
  <c r="Q10"/>
  <c r="J11"/>
  <c r="K11"/>
  <c r="L11"/>
  <c r="P11"/>
  <c r="Q11"/>
  <c r="R11" s="1"/>
  <c r="J12"/>
  <c r="K12"/>
  <c r="L12"/>
  <c r="P12"/>
  <c r="Q12"/>
  <c r="R12" s="1"/>
  <c r="J13"/>
  <c r="K13"/>
  <c r="L13"/>
  <c r="J14"/>
  <c r="K14"/>
  <c r="L14"/>
  <c r="J15"/>
  <c r="K15"/>
  <c r="L15"/>
  <c r="P15"/>
  <c r="Q15"/>
  <c r="R15" s="1"/>
  <c r="J16"/>
  <c r="K16"/>
  <c r="L16"/>
  <c r="P16"/>
  <c r="Q16"/>
  <c r="R16"/>
  <c r="J17"/>
  <c r="K17"/>
  <c r="L17"/>
  <c r="P17"/>
  <c r="Q17"/>
  <c r="J18"/>
  <c r="K18"/>
  <c r="L18"/>
  <c r="P18"/>
  <c r="Q18"/>
  <c r="R18" s="1"/>
  <c r="J19"/>
  <c r="K19"/>
  <c r="L19"/>
  <c r="J20"/>
  <c r="K20"/>
  <c r="L20"/>
  <c r="J21"/>
  <c r="K21"/>
  <c r="L21"/>
  <c r="P21"/>
  <c r="Q21"/>
  <c r="J22"/>
  <c r="K22"/>
  <c r="L22"/>
  <c r="P22"/>
  <c r="Q22"/>
  <c r="R22" s="1"/>
  <c r="J23"/>
  <c r="K23"/>
  <c r="L23"/>
  <c r="P23"/>
  <c r="Q23"/>
  <c r="R23" s="1"/>
  <c r="J24"/>
  <c r="K24"/>
  <c r="L24"/>
  <c r="P24"/>
  <c r="Q24"/>
  <c r="R24" s="1"/>
  <c r="J25"/>
  <c r="K25"/>
  <c r="L25"/>
  <c r="J26"/>
  <c r="K26"/>
  <c r="L26"/>
  <c r="J27"/>
  <c r="K27"/>
  <c r="L27"/>
  <c r="P27"/>
  <c r="Q27"/>
  <c r="J28"/>
  <c r="K28"/>
  <c r="L28"/>
  <c r="P28"/>
  <c r="Q28"/>
  <c r="R28" s="1"/>
  <c r="J29"/>
  <c r="K29"/>
  <c r="L29"/>
  <c r="P29"/>
  <c r="Q29"/>
  <c r="J30"/>
  <c r="K30"/>
  <c r="L30"/>
  <c r="P30"/>
  <c r="Q30"/>
  <c r="R30" s="1"/>
  <c r="J31"/>
  <c r="K31"/>
  <c r="L31"/>
  <c r="J32"/>
  <c r="K32"/>
  <c r="L32"/>
  <c r="J33"/>
  <c r="K33"/>
  <c r="L33"/>
  <c r="P33"/>
  <c r="Q33"/>
  <c r="J34"/>
  <c r="K34"/>
  <c r="L34"/>
  <c r="P34"/>
  <c r="Q34"/>
  <c r="J35"/>
  <c r="K35"/>
  <c r="L35"/>
  <c r="P35"/>
  <c r="Q35"/>
  <c r="R35" s="1"/>
  <c r="J36"/>
  <c r="K36"/>
  <c r="L36"/>
  <c r="P36"/>
  <c r="Q36"/>
  <c r="R36"/>
  <c r="J37"/>
  <c r="K37"/>
  <c r="L37"/>
  <c r="J38"/>
  <c r="K38"/>
  <c r="L38"/>
  <c r="J39"/>
  <c r="K39"/>
  <c r="L39"/>
  <c r="P39"/>
  <c r="Q39"/>
  <c r="J40"/>
  <c r="K40"/>
  <c r="L40"/>
  <c r="P40"/>
  <c r="Q40"/>
  <c r="R40" s="1"/>
  <c r="J41"/>
  <c r="K41"/>
  <c r="S16" s="1"/>
  <c r="L41"/>
  <c r="P41"/>
  <c r="Q41"/>
  <c r="J42"/>
  <c r="K42"/>
  <c r="L42"/>
  <c r="P42"/>
  <c r="Q42"/>
  <c r="R42" s="1"/>
  <c r="J43"/>
  <c r="K43"/>
  <c r="S10" s="1"/>
  <c r="L43"/>
  <c r="J44"/>
  <c r="K44"/>
  <c r="L44"/>
  <c r="J45"/>
  <c r="K45"/>
  <c r="S28" s="1"/>
  <c r="L45"/>
  <c r="P45"/>
  <c r="Q45"/>
  <c r="J46"/>
  <c r="K46"/>
  <c r="L46"/>
  <c r="P46"/>
  <c r="Q46"/>
  <c r="R46" s="1"/>
  <c r="J47"/>
  <c r="K47"/>
  <c r="S22" s="1"/>
  <c r="L47"/>
  <c r="P47"/>
  <c r="Q47"/>
  <c r="J48"/>
  <c r="K48"/>
  <c r="L48"/>
  <c r="S39" s="1"/>
  <c r="P48"/>
  <c r="Q48"/>
  <c r="R48" s="1"/>
  <c r="J49"/>
  <c r="K49"/>
  <c r="S40" s="1"/>
  <c r="L49"/>
  <c r="S41" s="1"/>
  <c r="J50"/>
  <c r="K50"/>
  <c r="S36" s="1"/>
  <c r="L50"/>
  <c r="S33" s="1"/>
  <c r="J51"/>
  <c r="K51"/>
  <c r="S34" s="1"/>
  <c r="L51"/>
  <c r="S35" s="1"/>
  <c r="P51"/>
  <c r="Q51"/>
  <c r="J52"/>
  <c r="K52"/>
  <c r="L52"/>
  <c r="S45" s="1"/>
  <c r="P52"/>
  <c r="Q52"/>
  <c r="R52" s="1"/>
  <c r="J53"/>
  <c r="K53"/>
  <c r="S46" s="1"/>
  <c r="L53"/>
  <c r="S47" s="1"/>
  <c r="P53"/>
  <c r="Q53"/>
  <c r="J54"/>
  <c r="K54"/>
  <c r="S54" s="1"/>
  <c r="L54"/>
  <c r="P54"/>
  <c r="Q54"/>
  <c r="J55"/>
  <c r="K55"/>
  <c r="S52" s="1"/>
  <c r="L55"/>
  <c r="S53" s="1"/>
  <c r="L55" i="72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Q18"/>
  <c r="P18"/>
  <c r="R18" s="1"/>
  <c r="L18"/>
  <c r="S40" s="1"/>
  <c r="K18"/>
  <c r="S39" s="1"/>
  <c r="J18"/>
  <c r="S17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Q12"/>
  <c r="P12"/>
  <c r="R12" s="1"/>
  <c r="L12"/>
  <c r="S22" s="1"/>
  <c r="K12"/>
  <c r="S21" s="1"/>
  <c r="J12"/>
  <c r="S11"/>
  <c r="Q11"/>
  <c r="P11"/>
  <c r="R11" s="1"/>
  <c r="L11"/>
  <c r="S18" s="1"/>
  <c r="K11"/>
  <c r="J11"/>
  <c r="Q10"/>
  <c r="P10"/>
  <c r="R10" s="1"/>
  <c r="L10"/>
  <c r="S16" s="1"/>
  <c r="K10"/>
  <c r="S15" s="1"/>
  <c r="J10"/>
  <c r="Q9"/>
  <c r="P9"/>
  <c r="R9" s="1"/>
  <c r="L9"/>
  <c r="S12" s="1"/>
  <c r="K9"/>
  <c r="J9"/>
  <c r="L8"/>
  <c r="S10" s="1"/>
  <c r="K8"/>
  <c r="S9" s="1"/>
  <c r="J8"/>
  <c r="L55" i="70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S45"/>
  <c r="Q45"/>
  <c r="P45"/>
  <c r="R45" s="1"/>
  <c r="L45"/>
  <c r="K45"/>
  <c r="J45"/>
  <c r="L44"/>
  <c r="K44"/>
  <c r="S30" s="1"/>
  <c r="J44"/>
  <c r="L43"/>
  <c r="K43"/>
  <c r="J43"/>
  <c r="Q42"/>
  <c r="P42"/>
  <c r="R42" s="1"/>
  <c r="L42"/>
  <c r="K42"/>
  <c r="S12" s="1"/>
  <c r="J42"/>
  <c r="Q41"/>
  <c r="P41"/>
  <c r="R41" s="1"/>
  <c r="L41"/>
  <c r="K41"/>
  <c r="J41"/>
  <c r="Q40"/>
  <c r="P40"/>
  <c r="R40" s="1"/>
  <c r="L40"/>
  <c r="K40"/>
  <c r="S18" s="1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S35"/>
  <c r="Q35"/>
  <c r="P35"/>
  <c r="R35" s="1"/>
  <c r="L35"/>
  <c r="S47" s="1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S24" s="1"/>
  <c r="J30"/>
  <c r="Q29"/>
  <c r="P29"/>
  <c r="R29" s="1"/>
  <c r="L29"/>
  <c r="K29"/>
  <c r="J29"/>
  <c r="Q28"/>
  <c r="P28"/>
  <c r="R28" s="1"/>
  <c r="L28"/>
  <c r="K28"/>
  <c r="J28"/>
  <c r="S27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S23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J21"/>
  <c r="L20"/>
  <c r="K20"/>
  <c r="S41" s="1"/>
  <c r="J20"/>
  <c r="L19"/>
  <c r="S46" s="1"/>
  <c r="K19"/>
  <c r="J19"/>
  <c r="Q18"/>
  <c r="P18"/>
  <c r="R18" s="1"/>
  <c r="L18"/>
  <c r="S40" s="1"/>
  <c r="K18"/>
  <c r="S39" s="1"/>
  <c r="J18"/>
  <c r="S17"/>
  <c r="Q17"/>
  <c r="P17"/>
  <c r="R17" s="1"/>
  <c r="L17"/>
  <c r="K17"/>
  <c r="J17"/>
  <c r="Q16"/>
  <c r="P16"/>
  <c r="R16" s="1"/>
  <c r="L16"/>
  <c r="S34" s="1"/>
  <c r="K16"/>
  <c r="S33" s="1"/>
  <c r="J16"/>
  <c r="Q15"/>
  <c r="P15"/>
  <c r="R15" s="1"/>
  <c r="L15"/>
  <c r="K15"/>
  <c r="J15"/>
  <c r="L14"/>
  <c r="K14"/>
  <c r="S29" s="1"/>
  <c r="J14"/>
  <c r="L13"/>
  <c r="S28" s="1"/>
  <c r="K13"/>
  <c r="J13"/>
  <c r="Q12"/>
  <c r="P12"/>
  <c r="R12" s="1"/>
  <c r="L12"/>
  <c r="S22" s="1"/>
  <c r="K12"/>
  <c r="S21" s="1"/>
  <c r="J12"/>
  <c r="S11"/>
  <c r="Q11"/>
  <c r="P11"/>
  <c r="R11" s="1"/>
  <c r="L11"/>
  <c r="K11"/>
  <c r="J11"/>
  <c r="Q10"/>
  <c r="P10"/>
  <c r="R10" s="1"/>
  <c r="L10"/>
  <c r="S16" s="1"/>
  <c r="K10"/>
  <c r="S15" s="1"/>
  <c r="J10"/>
  <c r="Q9"/>
  <c r="P9"/>
  <c r="R9" s="1"/>
  <c r="L9"/>
  <c r="K9"/>
  <c r="J9"/>
  <c r="L8"/>
  <c r="S10" s="1"/>
  <c r="K8"/>
  <c r="S9" s="1"/>
  <c r="J8"/>
  <c r="L55" i="68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S18" s="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L55" i="67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S28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S24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S42" s="1"/>
  <c r="K20"/>
  <c r="S41" s="1"/>
  <c r="J20"/>
  <c r="L19"/>
  <c r="S46" s="1"/>
  <c r="K19"/>
  <c r="S45" s="1"/>
  <c r="J19"/>
  <c r="S18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K15"/>
  <c r="S23" s="1"/>
  <c r="J15"/>
  <c r="L14"/>
  <c r="S30" s="1"/>
  <c r="K14"/>
  <c r="S29" s="1"/>
  <c r="J14"/>
  <c r="L13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L55" i="66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S18" s="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L55" i="65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S45"/>
  <c r="Q45"/>
  <c r="P45"/>
  <c r="R45" s="1"/>
  <c r="L45"/>
  <c r="K45"/>
  <c r="J45"/>
  <c r="L44"/>
  <c r="K44"/>
  <c r="S30" s="1"/>
  <c r="J44"/>
  <c r="L43"/>
  <c r="K43"/>
  <c r="J43"/>
  <c r="Q42"/>
  <c r="P42"/>
  <c r="R42" s="1"/>
  <c r="L42"/>
  <c r="K42"/>
  <c r="S12" s="1"/>
  <c r="J42"/>
  <c r="Q41"/>
  <c r="P41"/>
  <c r="R41" s="1"/>
  <c r="L41"/>
  <c r="K41"/>
  <c r="J41"/>
  <c r="Q40"/>
  <c r="P40"/>
  <c r="R40" s="1"/>
  <c r="L40"/>
  <c r="K40"/>
  <c r="S18" s="1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S35"/>
  <c r="Q35"/>
  <c r="P35"/>
  <c r="R35" s="1"/>
  <c r="L35"/>
  <c r="S47" s="1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S24" s="1"/>
  <c r="J30"/>
  <c r="Q29"/>
  <c r="P29"/>
  <c r="R29" s="1"/>
  <c r="L29"/>
  <c r="K29"/>
  <c r="J29"/>
  <c r="Q28"/>
  <c r="P28"/>
  <c r="R28" s="1"/>
  <c r="L28"/>
  <c r="K28"/>
  <c r="J28"/>
  <c r="S27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S23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J21"/>
  <c r="L20"/>
  <c r="K20"/>
  <c r="S41" s="1"/>
  <c r="J20"/>
  <c r="L19"/>
  <c r="S46" s="1"/>
  <c r="K19"/>
  <c r="J19"/>
  <c r="Q18"/>
  <c r="P18"/>
  <c r="R18" s="1"/>
  <c r="L18"/>
  <c r="S40" s="1"/>
  <c r="K18"/>
  <c r="S39" s="1"/>
  <c r="J18"/>
  <c r="S17"/>
  <c r="Q17"/>
  <c r="P17"/>
  <c r="R17" s="1"/>
  <c r="L17"/>
  <c r="K17"/>
  <c r="J17"/>
  <c r="Q16"/>
  <c r="P16"/>
  <c r="R16" s="1"/>
  <c r="L16"/>
  <c r="S34" s="1"/>
  <c r="K16"/>
  <c r="S33" s="1"/>
  <c r="J16"/>
  <c r="Q15"/>
  <c r="P15"/>
  <c r="R15" s="1"/>
  <c r="L15"/>
  <c r="K15"/>
  <c r="J15"/>
  <c r="L14"/>
  <c r="K14"/>
  <c r="S29" s="1"/>
  <c r="J14"/>
  <c r="L13"/>
  <c r="S28" s="1"/>
  <c r="K13"/>
  <c r="J13"/>
  <c r="Q12"/>
  <c r="P12"/>
  <c r="R12" s="1"/>
  <c r="L12"/>
  <c r="S22" s="1"/>
  <c r="K12"/>
  <c r="S21" s="1"/>
  <c r="J12"/>
  <c r="S11"/>
  <c r="Q11"/>
  <c r="P11"/>
  <c r="R11" s="1"/>
  <c r="L11"/>
  <c r="K11"/>
  <c r="J11"/>
  <c r="Q10"/>
  <c r="P10"/>
  <c r="R10" s="1"/>
  <c r="L10"/>
  <c r="S16" s="1"/>
  <c r="K10"/>
  <c r="S15" s="1"/>
  <c r="J10"/>
  <c r="Q9"/>
  <c r="P9"/>
  <c r="R9" s="1"/>
  <c r="L9"/>
  <c r="K9"/>
  <c r="J9"/>
  <c r="L8"/>
  <c r="S10" s="1"/>
  <c r="K8"/>
  <c r="S9" s="1"/>
  <c r="J8"/>
  <c r="L55" i="40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S45"/>
  <c r="Q45"/>
  <c r="P45"/>
  <c r="R45" s="1"/>
  <c r="L45"/>
  <c r="K45"/>
  <c r="J45"/>
  <c r="L44"/>
  <c r="K44"/>
  <c r="S30" s="1"/>
  <c r="J44"/>
  <c r="L43"/>
  <c r="K43"/>
  <c r="J43"/>
  <c r="Q42"/>
  <c r="P42"/>
  <c r="R42" s="1"/>
  <c r="L42"/>
  <c r="K42"/>
  <c r="S12" s="1"/>
  <c r="J42"/>
  <c r="Q41"/>
  <c r="P41"/>
  <c r="R41" s="1"/>
  <c r="L41"/>
  <c r="K41"/>
  <c r="J41"/>
  <c r="Q40"/>
  <c r="P40"/>
  <c r="R40" s="1"/>
  <c r="L40"/>
  <c r="K40"/>
  <c r="S18" s="1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S35"/>
  <c r="Q35"/>
  <c r="P35"/>
  <c r="R35" s="1"/>
  <c r="L35"/>
  <c r="S47" s="1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S24" s="1"/>
  <c r="J30"/>
  <c r="Q29"/>
  <c r="P29"/>
  <c r="R29" s="1"/>
  <c r="L29"/>
  <c r="K29"/>
  <c r="J29"/>
  <c r="Q28"/>
  <c r="P28"/>
  <c r="R28" s="1"/>
  <c r="L28"/>
  <c r="K28"/>
  <c r="J28"/>
  <c r="S27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S23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J21"/>
  <c r="L20"/>
  <c r="K20"/>
  <c r="S41" s="1"/>
  <c r="J20"/>
  <c r="L19"/>
  <c r="S46" s="1"/>
  <c r="K19"/>
  <c r="J19"/>
  <c r="Q18"/>
  <c r="P18"/>
  <c r="R18" s="1"/>
  <c r="L18"/>
  <c r="S40" s="1"/>
  <c r="K18"/>
  <c r="S39" s="1"/>
  <c r="J18"/>
  <c r="S17"/>
  <c r="Q17"/>
  <c r="P17"/>
  <c r="R17" s="1"/>
  <c r="L17"/>
  <c r="K17"/>
  <c r="J17"/>
  <c r="Q16"/>
  <c r="P16"/>
  <c r="R16" s="1"/>
  <c r="L16"/>
  <c r="S34" s="1"/>
  <c r="K16"/>
  <c r="S33" s="1"/>
  <c r="J16"/>
  <c r="Q15"/>
  <c r="P15"/>
  <c r="R15" s="1"/>
  <c r="L15"/>
  <c r="K15"/>
  <c r="J15"/>
  <c r="L14"/>
  <c r="K14"/>
  <c r="S29" s="1"/>
  <c r="J14"/>
  <c r="L13"/>
  <c r="S28" s="1"/>
  <c r="K13"/>
  <c r="J13"/>
  <c r="Q12"/>
  <c r="P12"/>
  <c r="R12" s="1"/>
  <c r="L12"/>
  <c r="S22" s="1"/>
  <c r="K12"/>
  <c r="S21" s="1"/>
  <c r="J12"/>
  <c r="S11"/>
  <c r="Q11"/>
  <c r="P11"/>
  <c r="R11" s="1"/>
  <c r="L11"/>
  <c r="K11"/>
  <c r="J11"/>
  <c r="Q10"/>
  <c r="P10"/>
  <c r="R10" s="1"/>
  <c r="L10"/>
  <c r="S16" s="1"/>
  <c r="K10"/>
  <c r="S15" s="1"/>
  <c r="J10"/>
  <c r="Q9"/>
  <c r="P9"/>
  <c r="R9" s="1"/>
  <c r="L9"/>
  <c r="K9"/>
  <c r="J9"/>
  <c r="L8"/>
  <c r="S10" s="1"/>
  <c r="K8"/>
  <c r="S9" s="1"/>
  <c r="J8"/>
  <c r="L55" i="64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S18" s="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L55" i="26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S18" s="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L55" i="63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S28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S24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S42" s="1"/>
  <c r="K20"/>
  <c r="S41" s="1"/>
  <c r="J20"/>
  <c r="L19"/>
  <c r="S46" s="1"/>
  <c r="K19"/>
  <c r="S45" s="1"/>
  <c r="J19"/>
  <c r="S18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K15"/>
  <c r="S23" s="1"/>
  <c r="J15"/>
  <c r="L14"/>
  <c r="S30" s="1"/>
  <c r="K14"/>
  <c r="S29" s="1"/>
  <c r="J14"/>
  <c r="L13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L55" i="37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S46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J38"/>
  <c r="L37"/>
  <c r="K37"/>
  <c r="J37"/>
  <c r="Q36"/>
  <c r="P36"/>
  <c r="R36" s="1"/>
  <c r="L36"/>
  <c r="K36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S28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S24"/>
  <c r="Q24"/>
  <c r="P24"/>
  <c r="R24" s="1"/>
  <c r="L24"/>
  <c r="S54" s="1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S42" s="1"/>
  <c r="K20"/>
  <c r="S41" s="1"/>
  <c r="J20"/>
  <c r="L19"/>
  <c r="K19"/>
  <c r="S45" s="1"/>
  <c r="J19"/>
  <c r="S18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K15"/>
  <c r="S23" s="1"/>
  <c r="J15"/>
  <c r="L14"/>
  <c r="S30" s="1"/>
  <c r="K14"/>
  <c r="S29" s="1"/>
  <c r="J14"/>
  <c r="L13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L55" i="62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S30" s="1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S18" s="1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S35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S24" s="1"/>
  <c r="J30"/>
  <c r="Q29"/>
  <c r="P29"/>
  <c r="R29" s="1"/>
  <c r="L29"/>
  <c r="K29"/>
  <c r="J29"/>
  <c r="Q28"/>
  <c r="P28"/>
  <c r="R28" s="1"/>
  <c r="L28"/>
  <c r="K28"/>
  <c r="J28"/>
  <c r="S27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S23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Q18"/>
  <c r="P18"/>
  <c r="R18" s="1"/>
  <c r="L18"/>
  <c r="S40" s="1"/>
  <c r="K18"/>
  <c r="S39" s="1"/>
  <c r="J18"/>
  <c r="S17"/>
  <c r="Q17"/>
  <c r="P17"/>
  <c r="R17" s="1"/>
  <c r="L17"/>
  <c r="K17"/>
  <c r="J17"/>
  <c r="Q16"/>
  <c r="P16"/>
  <c r="R16" s="1"/>
  <c r="L16"/>
  <c r="S34" s="1"/>
  <c r="K16"/>
  <c r="S33" s="1"/>
  <c r="J16"/>
  <c r="Q15"/>
  <c r="P15"/>
  <c r="R15" s="1"/>
  <c r="L15"/>
  <c r="K15"/>
  <c r="J15"/>
  <c r="L14"/>
  <c r="K14"/>
  <c r="S29" s="1"/>
  <c r="J14"/>
  <c r="L13"/>
  <c r="S28" s="1"/>
  <c r="K13"/>
  <c r="J13"/>
  <c r="Q12"/>
  <c r="P12"/>
  <c r="R12" s="1"/>
  <c r="L12"/>
  <c r="S22" s="1"/>
  <c r="K12"/>
  <c r="S21" s="1"/>
  <c r="J12"/>
  <c r="S11"/>
  <c r="Q11"/>
  <c r="P11"/>
  <c r="R11" s="1"/>
  <c r="L11"/>
  <c r="K11"/>
  <c r="J11"/>
  <c r="Q10"/>
  <c r="P10"/>
  <c r="R10" s="1"/>
  <c r="L10"/>
  <c r="S16" s="1"/>
  <c r="K10"/>
  <c r="S15" s="1"/>
  <c r="J10"/>
  <c r="Q9"/>
  <c r="P9"/>
  <c r="R9" s="1"/>
  <c r="L9"/>
  <c r="S12" s="1"/>
  <c r="K9"/>
  <c r="J9"/>
  <c r="L8"/>
  <c r="S10" s="1"/>
  <c r="K8"/>
  <c r="S9" s="1"/>
  <c r="J8"/>
  <c r="L55" i="61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S45"/>
  <c r="Q45"/>
  <c r="P45"/>
  <c r="R45" s="1"/>
  <c r="L45"/>
  <c r="K45"/>
  <c r="J45"/>
  <c r="L44"/>
  <c r="K44"/>
  <c r="S30" s="1"/>
  <c r="J44"/>
  <c r="L43"/>
  <c r="K43"/>
  <c r="J43"/>
  <c r="Q42"/>
  <c r="P42"/>
  <c r="R42" s="1"/>
  <c r="L42"/>
  <c r="K42"/>
  <c r="S12" s="1"/>
  <c r="J42"/>
  <c r="Q41"/>
  <c r="P41"/>
  <c r="R41" s="1"/>
  <c r="L41"/>
  <c r="K41"/>
  <c r="J41"/>
  <c r="Q40"/>
  <c r="P40"/>
  <c r="R40" s="1"/>
  <c r="L40"/>
  <c r="K40"/>
  <c r="S18" s="1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S35"/>
  <c r="Q35"/>
  <c r="P35"/>
  <c r="R35" s="1"/>
  <c r="L35"/>
  <c r="S47" s="1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S24" s="1"/>
  <c r="J30"/>
  <c r="Q29"/>
  <c r="P29"/>
  <c r="R29" s="1"/>
  <c r="L29"/>
  <c r="K29"/>
  <c r="J29"/>
  <c r="Q28"/>
  <c r="P28"/>
  <c r="R28" s="1"/>
  <c r="L28"/>
  <c r="K28"/>
  <c r="J28"/>
  <c r="S27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S23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J21"/>
  <c r="L20"/>
  <c r="K20"/>
  <c r="S41" s="1"/>
  <c r="J20"/>
  <c r="L19"/>
  <c r="S46" s="1"/>
  <c r="K19"/>
  <c r="J19"/>
  <c r="Q18"/>
  <c r="P18"/>
  <c r="R18" s="1"/>
  <c r="L18"/>
  <c r="S40" s="1"/>
  <c r="K18"/>
  <c r="S39" s="1"/>
  <c r="J18"/>
  <c r="S17"/>
  <c r="Q17"/>
  <c r="P17"/>
  <c r="R17" s="1"/>
  <c r="L17"/>
  <c r="K17"/>
  <c r="J17"/>
  <c r="Q16"/>
  <c r="P16"/>
  <c r="R16" s="1"/>
  <c r="L16"/>
  <c r="S34" s="1"/>
  <c r="K16"/>
  <c r="S33" s="1"/>
  <c r="J16"/>
  <c r="Q15"/>
  <c r="P15"/>
  <c r="R15" s="1"/>
  <c r="L15"/>
  <c r="K15"/>
  <c r="J15"/>
  <c r="L14"/>
  <c r="K14"/>
  <c r="S29" s="1"/>
  <c r="J14"/>
  <c r="L13"/>
  <c r="S28" s="1"/>
  <c r="K13"/>
  <c r="J13"/>
  <c r="Q12"/>
  <c r="P12"/>
  <c r="R12" s="1"/>
  <c r="L12"/>
  <c r="S22" s="1"/>
  <c r="K12"/>
  <c r="S21" s="1"/>
  <c r="J12"/>
  <c r="S11"/>
  <c r="Q11"/>
  <c r="P11"/>
  <c r="R11" s="1"/>
  <c r="L11"/>
  <c r="K11"/>
  <c r="J11"/>
  <c r="Q10"/>
  <c r="P10"/>
  <c r="R10" s="1"/>
  <c r="L10"/>
  <c r="S16" s="1"/>
  <c r="K10"/>
  <c r="S15" s="1"/>
  <c r="J10"/>
  <c r="Q9"/>
  <c r="P9"/>
  <c r="R9" s="1"/>
  <c r="L9"/>
  <c r="K9"/>
  <c r="J9"/>
  <c r="L8"/>
  <c r="S10" s="1"/>
  <c r="K8"/>
  <c r="S9" s="1"/>
  <c r="J8"/>
  <c r="L55" i="57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Q12"/>
  <c r="P12"/>
  <c r="R12" s="1"/>
  <c r="L12"/>
  <c r="S22" s="1"/>
  <c r="K12"/>
  <c r="S21" s="1"/>
  <c r="J12"/>
  <c r="Q11"/>
  <c r="P11"/>
  <c r="R11" s="1"/>
  <c r="L11"/>
  <c r="S18" s="1"/>
  <c r="K11"/>
  <c r="S17" s="1"/>
  <c r="J11"/>
  <c r="Q10"/>
  <c r="P10"/>
  <c r="R10" s="1"/>
  <c r="L10"/>
  <c r="S16" s="1"/>
  <c r="K10"/>
  <c r="S15" s="1"/>
  <c r="J10"/>
  <c r="Q9"/>
  <c r="P9"/>
  <c r="R9" s="1"/>
  <c r="L9"/>
  <c r="S12" s="1"/>
  <c r="K9"/>
  <c r="S11" s="1"/>
  <c r="J9"/>
  <c r="L8"/>
  <c r="S10" s="1"/>
  <c r="K8"/>
  <c r="S9" s="1"/>
  <c r="J8"/>
  <c r="AK86" i="92" l="1"/>
  <c r="AL86" i="79"/>
  <c r="AL86" i="81"/>
  <c r="AL86" i="88"/>
  <c r="AK86" i="90"/>
  <c r="AL86" i="93"/>
  <c r="AL86" i="104"/>
  <c r="AL86" i="110"/>
  <c r="AK86" i="83"/>
  <c r="AK86" i="97"/>
  <c r="AK86" i="99"/>
  <c r="AK86" i="105"/>
  <c r="AL82" i="76"/>
  <c r="AL82" i="77"/>
  <c r="AL82" i="81"/>
  <c r="AL82" i="85"/>
  <c r="AL82" i="102"/>
  <c r="AL82" i="108"/>
  <c r="AL82" i="84"/>
  <c r="AL82" i="89"/>
  <c r="AK78" i="101"/>
  <c r="AL78" i="110"/>
  <c r="AL78" i="81"/>
  <c r="AL78" i="93"/>
  <c r="AK78" i="83"/>
  <c r="AK78" i="97"/>
  <c r="AK78" i="99"/>
  <c r="AL78" i="78"/>
  <c r="AK78" i="105"/>
  <c r="AK77" i="79"/>
  <c r="AL77" i="88"/>
  <c r="AL77" i="90"/>
  <c r="AL77" i="92"/>
  <c r="AK77" i="93"/>
  <c r="AK77" i="104"/>
  <c r="AL77" i="108"/>
  <c r="AK77" i="109"/>
  <c r="AK77" i="86"/>
  <c r="AK77" i="96"/>
  <c r="AL77" i="103"/>
  <c r="AK77" i="84"/>
  <c r="AK77" i="77"/>
  <c r="AK77" i="82"/>
  <c r="AL77" i="106"/>
  <c r="AL73" i="82"/>
  <c r="AK73" i="96"/>
  <c r="AL73" i="98"/>
  <c r="AK73" i="109"/>
  <c r="AL73" i="76"/>
  <c r="AK73" i="86"/>
  <c r="AK73" i="89"/>
  <c r="AL73" i="94"/>
  <c r="AK73" i="102"/>
  <c r="AK73" i="110"/>
  <c r="AL73" i="106"/>
  <c r="AL72" i="87"/>
  <c r="AK72" i="94"/>
  <c r="AL72" i="97"/>
  <c r="AL72" i="98"/>
  <c r="AL72" i="110"/>
  <c r="AL72" i="99"/>
  <c r="AL72" i="78"/>
  <c r="AL71" i="77"/>
  <c r="AL71" i="83"/>
  <c r="AL71" i="84"/>
  <c r="AK71" i="86"/>
  <c r="AJ71" i="87"/>
  <c r="AL71" i="105"/>
  <c r="AK71" i="109"/>
  <c r="AK71" i="96"/>
  <c r="AL71" i="97"/>
  <c r="AL71" i="99"/>
  <c r="AK71" i="110"/>
  <c r="AL70" i="78"/>
  <c r="AL70" i="81"/>
  <c r="AL70" i="82"/>
  <c r="AL70" i="84"/>
  <c r="AL70" i="89"/>
  <c r="AL70" i="100"/>
  <c r="AL70" i="102"/>
  <c r="AL70" i="110"/>
  <c r="AL70" i="76"/>
  <c r="AL66" i="90"/>
  <c r="AL66" i="92"/>
  <c r="AL66" i="88"/>
  <c r="AK66" i="104"/>
  <c r="AL66" i="103"/>
  <c r="AK66" i="110"/>
  <c r="AK66" i="82"/>
  <c r="AK65" i="77"/>
  <c r="AL65" i="97"/>
  <c r="AL65" i="107"/>
  <c r="AK65" i="98"/>
  <c r="AK64" i="79"/>
  <c r="AK64" i="81"/>
  <c r="AK64" i="84"/>
  <c r="AL63" i="78"/>
  <c r="AL63" i="99"/>
  <c r="AL63" i="88"/>
  <c r="AL63" i="92"/>
  <c r="AK63" i="96"/>
  <c r="AL63" i="103"/>
  <c r="AK63" i="109"/>
  <c r="AK63" i="82"/>
  <c r="AL63" i="100"/>
  <c r="AK62" i="86"/>
  <c r="AK62" i="91"/>
  <c r="AK62" i="93"/>
  <c r="AL62" i="103"/>
  <c r="AK62" i="81"/>
  <c r="AL62" i="88"/>
  <c r="AL62" i="90"/>
  <c r="AL62" i="92"/>
  <c r="AK62" i="110"/>
  <c r="AK62" i="82"/>
  <c r="AK61" i="77"/>
  <c r="AK61" i="79"/>
  <c r="AK61" i="81"/>
  <c r="AK61" i="93"/>
  <c r="AL61" i="78"/>
  <c r="AL61" i="83"/>
  <c r="AK61" i="86"/>
  <c r="AK61" i="96"/>
  <c r="AL61" i="107"/>
  <c r="AK61" i="109"/>
  <c r="AK61" i="110"/>
  <c r="AK61" i="98"/>
  <c r="AL59" i="76"/>
  <c r="AL59" i="84"/>
  <c r="AK59" i="91"/>
  <c r="AK59" i="96"/>
  <c r="AK59" i="104"/>
  <c r="AL59" i="108"/>
  <c r="AK59" i="110"/>
  <c r="AL59" i="78"/>
  <c r="AK59" i="93"/>
  <c r="AK59" i="82"/>
  <c r="AK59" i="100"/>
  <c r="AK60" i="81"/>
  <c r="AL60" i="95"/>
  <c r="AK60" i="96"/>
  <c r="AL60" i="97"/>
  <c r="AK60" i="104"/>
  <c r="AK60" i="86"/>
  <c r="AK60" i="91"/>
  <c r="AL60" i="105"/>
  <c r="AK60" i="110"/>
  <c r="AL54" i="101"/>
  <c r="AK54" i="102"/>
  <c r="AL55"/>
  <c r="AK55" i="99"/>
  <c r="AK53" i="93"/>
  <c r="AL53" i="105"/>
  <c r="AL53" i="108"/>
  <c r="AL53" i="84"/>
  <c r="AL53" i="88"/>
  <c r="AL53" i="90"/>
  <c r="AK53" i="91"/>
  <c r="AL53" i="92"/>
  <c r="AL53" i="98"/>
  <c r="AL53" i="103"/>
  <c r="AK52" i="78"/>
  <c r="AL52" i="84"/>
  <c r="AL52" i="110"/>
  <c r="AK52" i="77"/>
  <c r="AK52" i="81"/>
  <c r="AK52" i="86"/>
  <c r="AK52" i="96"/>
  <c r="AL51" i="88"/>
  <c r="AL51" i="92"/>
  <c r="AL51" i="98"/>
  <c r="AL51" i="103"/>
  <c r="AK51" i="79"/>
  <c r="AL51" i="84"/>
  <c r="AK51" i="82"/>
  <c r="AK51" i="100"/>
  <c r="AL50" i="77"/>
  <c r="AK50" i="79"/>
  <c r="AL50" i="94"/>
  <c r="AL50" i="101"/>
  <c r="AL50" i="107"/>
  <c r="AL50" i="109"/>
  <c r="AL50" i="110"/>
  <c r="AK50" i="80"/>
  <c r="AK50" i="86"/>
  <c r="AL49" i="80"/>
  <c r="AL49" i="81"/>
  <c r="AL49" i="86"/>
  <c r="AL49" i="102"/>
  <c r="AL49" i="110"/>
  <c r="AK49" i="105"/>
  <c r="AL48" i="82"/>
  <c r="AK48" i="102"/>
  <c r="AL48" i="108"/>
  <c r="AL47" i="89"/>
  <c r="AL47" i="99"/>
  <c r="AL47" i="103"/>
  <c r="AL47" i="107"/>
  <c r="AL47" i="84"/>
  <c r="AL47" i="88"/>
  <c r="AL47" i="90"/>
  <c r="AL47" i="92"/>
  <c r="AL47" i="100"/>
  <c r="AK47" i="80"/>
  <c r="AK47" i="86"/>
  <c r="AK47" i="96"/>
  <c r="AK47" i="81"/>
  <c r="AL46" i="76"/>
  <c r="AK46" i="87"/>
  <c r="AK46" i="78"/>
  <c r="AL46" i="82"/>
  <c r="AL46" i="84"/>
  <c r="AL46" i="97"/>
  <c r="AL46" i="100"/>
  <c r="AK46" i="77"/>
  <c r="AK44" i="91"/>
  <c r="AK44" i="93"/>
  <c r="AL44" i="77"/>
  <c r="AK44" i="104"/>
  <c r="AL44" i="106"/>
  <c r="AK44" i="82"/>
  <c r="AL44" i="89"/>
  <c r="AL45" i="84"/>
  <c r="AL45" i="89"/>
  <c r="AK45" i="91"/>
  <c r="AL45" i="98"/>
  <c r="AL45" i="88"/>
  <c r="AL45" i="90"/>
  <c r="AL45" i="92"/>
  <c r="AK45" i="93"/>
  <c r="AL45" i="103"/>
  <c r="AK45" i="104"/>
  <c r="AL45" i="105"/>
  <c r="AK45" i="80"/>
  <c r="AK45" i="96"/>
  <c r="AK43" i="101"/>
  <c r="AL43" i="102"/>
  <c r="AK43" i="99"/>
  <c r="AL42" i="100"/>
  <c r="AL42" i="107"/>
  <c r="AK42" i="77"/>
  <c r="AK42" i="80"/>
  <c r="AK42" i="86"/>
  <c r="AK42" i="96"/>
  <c r="AK42" i="81"/>
  <c r="AK40" i="78"/>
  <c r="AL40" i="85"/>
  <c r="AL40" i="87"/>
  <c r="AL40" i="89"/>
  <c r="AL40" i="97"/>
  <c r="AL40" i="110"/>
  <c r="AL40" i="109"/>
  <c r="AK40" i="80"/>
  <c r="AL41" i="92"/>
  <c r="AL41" i="103"/>
  <c r="AL41" i="84"/>
  <c r="AL41" i="88"/>
  <c r="AL41" i="90"/>
  <c r="AK41" i="91"/>
  <c r="AK41" i="93"/>
  <c r="AL41" i="98"/>
  <c r="AL41" i="100"/>
  <c r="AK41" i="82"/>
  <c r="AK41" i="110"/>
  <c r="AL39" i="92"/>
  <c r="AL39" i="103"/>
  <c r="AL39" i="108"/>
  <c r="AL39" i="109"/>
  <c r="AL38"/>
  <c r="AL38" i="110"/>
  <c r="AL38" i="77"/>
  <c r="AL38" i="99"/>
  <c r="AL38" i="106"/>
  <c r="AK38" i="81"/>
  <c r="AK38" i="96"/>
  <c r="AL37"/>
  <c r="AL37" i="110"/>
  <c r="AK37" i="76"/>
  <c r="AL37" i="95"/>
  <c r="AL37" i="86"/>
  <c r="AL36" i="76"/>
  <c r="AL36" i="82"/>
  <c r="AL36" i="84"/>
  <c r="AL36" i="100"/>
  <c r="AL36" i="109"/>
  <c r="AL36" i="110"/>
  <c r="AK36" i="77"/>
  <c r="AL35" i="92"/>
  <c r="AL35" i="98"/>
  <c r="AL35" i="99"/>
  <c r="AL35" i="100"/>
  <c r="AL35" i="103"/>
  <c r="AK35" i="96"/>
  <c r="AK35" i="80"/>
  <c r="AK35" i="81"/>
  <c r="AL34" i="79"/>
  <c r="AK34" i="87"/>
  <c r="AL34" i="109"/>
  <c r="AL34" i="78"/>
  <c r="AL34" i="83"/>
  <c r="AL34" i="85"/>
  <c r="AL34" i="108"/>
  <c r="AK34" i="77"/>
  <c r="AL33" i="88"/>
  <c r="AL33" i="90"/>
  <c r="AK33" i="93"/>
  <c r="AK33" i="104"/>
  <c r="AL33" i="109"/>
  <c r="AK33" i="80"/>
  <c r="AK33" i="81"/>
  <c r="AK33" i="96"/>
  <c r="AK33" i="110"/>
  <c r="AL32" i="76"/>
  <c r="AK32" i="91"/>
  <c r="AL32" i="96"/>
  <c r="AL32" i="106"/>
  <c r="AL32" i="108"/>
  <c r="AK32" i="79"/>
  <c r="AL32" i="107"/>
  <c r="AK32" i="82"/>
  <c r="AL32" i="89"/>
  <c r="AL31" i="102"/>
  <c r="AL31" i="79"/>
  <c r="AL31" i="80"/>
  <c r="AL31" i="84"/>
  <c r="AL31" i="86"/>
  <c r="AL31" i="95"/>
  <c r="AL31" i="92"/>
  <c r="AL31" i="94"/>
  <c r="AK31" i="99"/>
  <c r="AK30" i="95"/>
  <c r="AL30" i="109"/>
  <c r="AL30" i="78"/>
  <c r="AL30" i="84"/>
  <c r="AL30" i="110"/>
  <c r="AK30" i="77"/>
  <c r="AK30" i="81"/>
  <c r="AL29" i="88"/>
  <c r="AL29" i="90"/>
  <c r="AK29" i="93"/>
  <c r="AL29" i="98"/>
  <c r="AL29" i="100"/>
  <c r="AK29" i="104"/>
  <c r="AL29" i="109"/>
  <c r="AL29" i="78"/>
  <c r="AL29" i="103"/>
  <c r="AL29" i="108"/>
  <c r="AK29" i="80"/>
  <c r="AK29" i="79"/>
  <c r="AK29" i="82"/>
  <c r="AL28" i="87"/>
  <c r="AL28" i="97"/>
  <c r="AL28" i="109"/>
  <c r="AL28" i="110"/>
  <c r="AI28" i="76"/>
  <c r="AL28" i="78"/>
  <c r="AL28" i="83"/>
  <c r="AL28" i="85"/>
  <c r="AL28" i="100"/>
  <c r="AK28" i="77"/>
  <c r="AK28" i="81"/>
  <c r="AL27" i="79"/>
  <c r="AK27" i="82"/>
  <c r="AL27" i="78"/>
  <c r="AL27" i="98"/>
  <c r="AL27" i="99"/>
  <c r="AL27" i="103"/>
  <c r="AL27" i="76"/>
  <c r="AL27" i="88"/>
  <c r="AL27" i="90"/>
  <c r="AL27" i="92"/>
  <c r="AL27" i="94"/>
  <c r="AL27" i="100"/>
  <c r="AL26" i="77"/>
  <c r="AL26" i="106"/>
  <c r="AL26" i="107"/>
  <c r="AL26" i="110"/>
  <c r="AL26" i="80"/>
  <c r="AL26" i="84"/>
  <c r="AL26" i="89"/>
  <c r="AK26" i="81"/>
  <c r="AL25" i="82"/>
  <c r="AL25" i="87"/>
  <c r="AL25" i="95"/>
  <c r="AL25" i="110"/>
  <c r="AL25" i="81"/>
  <c r="AL25" i="102"/>
  <c r="AK25" i="105"/>
  <c r="AL25" i="109"/>
  <c r="BA67" i="90"/>
  <c r="BB67" s="1"/>
  <c r="BA68" i="93"/>
  <c r="BB68" s="1"/>
  <c r="BA67" i="108"/>
  <c r="BB67" s="1"/>
  <c r="BA69" i="110"/>
  <c r="BB69" s="1"/>
  <c r="BA68" i="79"/>
  <c r="BB68" s="1"/>
  <c r="BA58" i="81"/>
  <c r="BA59"/>
  <c r="BB59" s="1"/>
  <c r="BA60"/>
  <c r="BB60" s="1"/>
  <c r="BA61"/>
  <c r="BB61" s="1"/>
  <c r="BA62"/>
  <c r="BB62" s="1"/>
  <c r="BA58" i="86"/>
  <c r="BB58" s="1"/>
  <c r="BA59"/>
  <c r="BB59" s="1"/>
  <c r="BA60"/>
  <c r="BB60" s="1"/>
  <c r="BA58" i="77"/>
  <c r="BA58" i="78"/>
  <c r="BA62"/>
  <c r="BB62" s="1"/>
  <c r="BA64" i="93"/>
  <c r="BB64" s="1"/>
  <c r="BA58" i="95"/>
  <c r="BA58" i="108"/>
  <c r="BA59"/>
  <c r="BB59" s="1"/>
  <c r="BA68" i="96"/>
  <c r="BB68" s="1"/>
  <c r="BA65" i="104"/>
  <c r="BB65" s="1"/>
  <c r="AL24" i="80"/>
  <c r="AJ24" i="87"/>
  <c r="AL24" i="88"/>
  <c r="AL24" i="100"/>
  <c r="AK24" i="102"/>
  <c r="AL24" i="110"/>
  <c r="AL24" i="78"/>
  <c r="AL24" i="79"/>
  <c r="AL24" i="108"/>
  <c r="AL23" i="76"/>
  <c r="AL23" i="78"/>
  <c r="AL23" i="100"/>
  <c r="AL23" i="103"/>
  <c r="AL23" i="88"/>
  <c r="AL23" i="90"/>
  <c r="AL23" i="94"/>
  <c r="AL23" i="98"/>
  <c r="AL23" i="99"/>
  <c r="AK23" i="81"/>
  <c r="AK23" i="82"/>
  <c r="AL22" i="78"/>
  <c r="AL22" i="79"/>
  <c r="AL22" i="81"/>
  <c r="AL22" i="83"/>
  <c r="AL22" i="85"/>
  <c r="AL22" i="82"/>
  <c r="AL22" i="88"/>
  <c r="AL22" i="108"/>
  <c r="AL22" i="110"/>
  <c r="AL21" i="76"/>
  <c r="AL21" i="78"/>
  <c r="AL21" i="90"/>
  <c r="AK21" i="93"/>
  <c r="AK21" i="104"/>
  <c r="AI20" i="84"/>
  <c r="AL20" i="94"/>
  <c r="AK20" i="104"/>
  <c r="AL20" i="106"/>
  <c r="AL20" i="80"/>
  <c r="AK20" i="108"/>
  <c r="AL19" i="77"/>
  <c r="AL18" i="88"/>
  <c r="AL18" i="109"/>
  <c r="AL18" i="78"/>
  <c r="AJ18" i="87"/>
  <c r="AK18" i="95"/>
  <c r="AL18" i="96"/>
  <c r="AL18" i="110"/>
  <c r="AK18" i="84"/>
  <c r="AL17" i="76"/>
  <c r="AL17" i="78"/>
  <c r="AL17" i="80"/>
  <c r="AL17" i="90"/>
  <c r="AL17" i="86"/>
  <c r="AL17" i="88"/>
  <c r="AK17" i="93"/>
  <c r="AL17" i="100"/>
  <c r="AK17" i="108"/>
  <c r="AI17" i="101"/>
  <c r="AL16" i="81"/>
  <c r="AL16" i="83"/>
  <c r="AL16" i="94"/>
  <c r="AL16" i="97"/>
  <c r="AL16" i="100"/>
  <c r="AK16" i="84"/>
  <c r="AL15" i="78"/>
  <c r="AL15" i="80"/>
  <c r="AI15" i="96"/>
  <c r="AL15" i="103"/>
  <c r="AL15" i="110"/>
  <c r="AL15" i="76"/>
  <c r="AK15" i="77"/>
  <c r="AL15" i="90"/>
  <c r="AL15" i="94"/>
  <c r="AK15" i="108"/>
  <c r="AL14" i="84"/>
  <c r="AL13" i="85"/>
  <c r="AL13" i="95"/>
  <c r="AL13" i="96"/>
  <c r="AL13" i="98"/>
  <c r="AL13" i="102"/>
  <c r="AL13" i="108"/>
  <c r="AL13" i="87"/>
  <c r="AK13" i="81"/>
  <c r="AK13" i="110"/>
  <c r="AL12" i="87"/>
  <c r="AL12" i="88"/>
  <c r="AL12" i="106"/>
  <c r="AL12" i="108"/>
  <c r="AL12" i="80"/>
  <c r="AL12" i="85"/>
  <c r="AL12" i="94"/>
  <c r="AL12" i="100"/>
  <c r="AK12" i="102"/>
  <c r="AL12" i="107"/>
  <c r="AL12" i="109"/>
  <c r="AL12" i="110"/>
  <c r="AK12" i="84"/>
  <c r="AL11" i="76"/>
  <c r="AL11" i="77"/>
  <c r="AL11" i="80"/>
  <c r="AL11" i="90"/>
  <c r="AL11" i="94"/>
  <c r="AL11" i="106"/>
  <c r="AL11" i="110"/>
  <c r="AL11" i="78"/>
  <c r="AL11" i="79"/>
  <c r="AL11" i="88"/>
  <c r="AL11" i="99"/>
  <c r="AL11" i="100"/>
  <c r="AL11" i="103"/>
  <c r="AK12" i="76"/>
  <c r="AL14"/>
  <c r="AK16"/>
  <c r="AK18"/>
  <c r="AL20"/>
  <c r="AK22"/>
  <c r="AK24"/>
  <c r="AL26"/>
  <c r="AL40"/>
  <c r="AL42"/>
  <c r="AL61"/>
  <c r="AL65"/>
  <c r="AL71"/>
  <c r="AL72"/>
  <c r="AK78"/>
  <c r="AK86"/>
  <c r="AK12" i="77"/>
  <c r="AK14"/>
  <c r="AL34" i="76"/>
  <c r="AL49"/>
  <c r="AL54"/>
  <c r="AL55"/>
  <c r="AL27" i="77"/>
  <c r="AL29"/>
  <c r="AL33"/>
  <c r="AL35"/>
  <c r="AL39"/>
  <c r="AL41"/>
  <c r="AL45"/>
  <c r="AL47"/>
  <c r="AL51"/>
  <c r="AL53"/>
  <c r="BA68"/>
  <c r="BB68" s="1"/>
  <c r="BA67"/>
  <c r="BB67" s="1"/>
  <c r="AK63"/>
  <c r="AK66"/>
  <c r="AL72"/>
  <c r="AL73"/>
  <c r="AL14" i="78"/>
  <c r="AL20"/>
  <c r="AL26"/>
  <c r="AL32"/>
  <c r="AL82"/>
  <c r="AL86"/>
  <c r="AL12" i="79"/>
  <c r="AL15"/>
  <c r="AL16"/>
  <c r="AL17"/>
  <c r="AL18"/>
  <c r="AL19"/>
  <c r="AL21"/>
  <c r="AL23"/>
  <c r="AL30"/>
  <c r="AK33"/>
  <c r="AK35"/>
  <c r="AL37"/>
  <c r="AK38"/>
  <c r="AK41"/>
  <c r="AK44"/>
  <c r="AK45"/>
  <c r="AK53"/>
  <c r="BA58"/>
  <c r="AK60"/>
  <c r="AK62"/>
  <c r="AK66"/>
  <c r="AL14" i="80"/>
  <c r="AK28"/>
  <c r="AK30"/>
  <c r="BA67" i="81"/>
  <c r="BB67" s="1"/>
  <c r="AK24" i="82"/>
  <c r="AK39"/>
  <c r="AL60"/>
  <c r="AL61"/>
  <c r="AL64"/>
  <c r="AL65"/>
  <c r="BA60" i="84"/>
  <c r="BB60" s="1"/>
  <c r="BA61"/>
  <c r="BB61" s="1"/>
  <c r="AL62"/>
  <c r="AK63"/>
  <c r="AL18" i="85"/>
  <c r="AL19"/>
  <c r="AL24"/>
  <c r="AL25"/>
  <c r="AL30"/>
  <c r="AL31"/>
  <c r="AL36"/>
  <c r="AL37"/>
  <c r="AK42"/>
  <c r="AL43"/>
  <c r="AL45"/>
  <c r="AL49"/>
  <c r="AL53"/>
  <c r="BA58"/>
  <c r="AL72"/>
  <c r="AL73"/>
  <c r="AL77"/>
  <c r="AL10" i="86"/>
  <c r="AL14"/>
  <c r="AL15"/>
  <c r="AL19"/>
  <c r="AL21"/>
  <c r="AL25"/>
  <c r="AL29"/>
  <c r="AK39"/>
  <c r="AK41"/>
  <c r="AL43"/>
  <c r="AK44"/>
  <c r="AK46"/>
  <c r="AK48"/>
  <c r="AK51"/>
  <c r="AK53"/>
  <c r="AJ30" i="87"/>
  <c r="AL31"/>
  <c r="AL36"/>
  <c r="AL37"/>
  <c r="AJ42"/>
  <c r="AL43"/>
  <c r="AL48"/>
  <c r="AL49"/>
  <c r="AL54"/>
  <c r="AL55"/>
  <c r="AL70"/>
  <c r="AL73"/>
  <c r="AL82"/>
  <c r="AL14" i="88"/>
  <c r="AL20"/>
  <c r="AL26"/>
  <c r="AK28"/>
  <c r="AK30"/>
  <c r="AL32"/>
  <c r="AK34"/>
  <c r="AK36"/>
  <c r="AL38"/>
  <c r="AK40"/>
  <c r="AK42"/>
  <c r="AL44"/>
  <c r="AK46"/>
  <c r="AK48"/>
  <c r="AL50"/>
  <c r="AK52"/>
  <c r="AK54"/>
  <c r="BA58"/>
  <c r="AL59"/>
  <c r="AK60"/>
  <c r="AK61"/>
  <c r="AK64"/>
  <c r="AK65"/>
  <c r="AK71"/>
  <c r="AK73"/>
  <c r="AL78"/>
  <c r="AL12" i="89"/>
  <c r="AL13"/>
  <c r="AL18"/>
  <c r="AL19"/>
  <c r="AL30"/>
  <c r="AL35"/>
  <c r="AL38"/>
  <c r="AK54"/>
  <c r="AL55"/>
  <c r="BA68" i="90"/>
  <c r="BB68" s="1"/>
  <c r="AL61"/>
  <c r="AL65"/>
  <c r="AK78"/>
  <c r="AK11" i="91"/>
  <c r="AK14"/>
  <c r="AK15"/>
  <c r="AK23"/>
  <c r="AK26"/>
  <c r="AK27"/>
  <c r="AK35"/>
  <c r="AK38"/>
  <c r="AK39"/>
  <c r="AK47"/>
  <c r="AK50"/>
  <c r="AK51"/>
  <c r="BA59" i="92"/>
  <c r="BB59" s="1"/>
  <c r="BA68"/>
  <c r="BB68" s="1"/>
  <c r="BA65" i="93"/>
  <c r="BB65" s="1"/>
  <c r="AK66"/>
  <c r="AL14" i="94"/>
  <c r="AK19"/>
  <c r="AL25"/>
  <c r="AL37"/>
  <c r="AL39"/>
  <c r="AL43"/>
  <c r="AL47"/>
  <c r="AL51"/>
  <c r="AL53"/>
  <c r="AL63"/>
  <c r="AK70"/>
  <c r="AL71"/>
  <c r="AK82"/>
  <c r="AK36" i="78"/>
  <c r="AL37"/>
  <c r="AK42"/>
  <c r="AL43"/>
  <c r="AK48"/>
  <c r="AL49"/>
  <c r="AL54"/>
  <c r="AL64"/>
  <c r="AL66"/>
  <c r="BA64" i="79"/>
  <c r="BB64" s="1"/>
  <c r="AL18" i="80"/>
  <c r="AK32"/>
  <c r="AK34"/>
  <c r="AK36"/>
  <c r="AK39"/>
  <c r="AK41"/>
  <c r="AL43"/>
  <c r="AK44"/>
  <c r="AK46"/>
  <c r="AK48"/>
  <c r="AK51"/>
  <c r="AK54"/>
  <c r="AL55"/>
  <c r="AL70"/>
  <c r="AL72"/>
  <c r="AL78"/>
  <c r="AL82"/>
  <c r="AL86"/>
  <c r="AL11" i="81"/>
  <c r="AL14"/>
  <c r="AL15"/>
  <c r="AL20"/>
  <c r="AK24"/>
  <c r="AK27"/>
  <c r="AK29"/>
  <c r="AL31"/>
  <c r="AK32"/>
  <c r="AK34"/>
  <c r="AK36"/>
  <c r="AK39"/>
  <c r="AK41"/>
  <c r="AL43"/>
  <c r="AK44"/>
  <c r="AK46"/>
  <c r="AK48"/>
  <c r="AK51"/>
  <c r="AK53"/>
  <c r="AK21" i="82"/>
  <c r="AK26"/>
  <c r="AL28"/>
  <c r="AL30"/>
  <c r="AK33"/>
  <c r="AK35"/>
  <c r="AL37"/>
  <c r="AK38"/>
  <c r="AL42"/>
  <c r="AK45"/>
  <c r="AK47"/>
  <c r="AL49"/>
  <c r="AK50"/>
  <c r="AL52"/>
  <c r="AL54"/>
  <c r="AL71"/>
  <c r="AL82"/>
  <c r="AL12" i="83"/>
  <c r="AL13"/>
  <c r="AL18"/>
  <c r="AL19"/>
  <c r="AL24"/>
  <c r="AL25"/>
  <c r="AL30"/>
  <c r="AL31"/>
  <c r="AL36"/>
  <c r="AL37"/>
  <c r="AL42"/>
  <c r="AL43"/>
  <c r="AL48"/>
  <c r="AL49"/>
  <c r="AL54"/>
  <c r="AL55"/>
  <c r="AL59"/>
  <c r="AL63"/>
  <c r="AL70"/>
  <c r="AL73"/>
  <c r="AL82"/>
  <c r="AL10" i="84"/>
  <c r="AL11"/>
  <c r="AL15"/>
  <c r="AL17"/>
  <c r="AL24"/>
  <c r="AL38"/>
  <c r="AL44"/>
  <c r="AL50"/>
  <c r="BA59"/>
  <c r="BB59" s="1"/>
  <c r="AL60"/>
  <c r="AL61"/>
  <c r="BA62"/>
  <c r="BB62" s="1"/>
  <c r="BA68"/>
  <c r="BB68" s="1"/>
  <c r="AL65"/>
  <c r="AL66"/>
  <c r="AL72"/>
  <c r="AL73"/>
  <c r="AL10" i="85"/>
  <c r="BA59"/>
  <c r="BB59" s="1"/>
  <c r="BA68"/>
  <c r="BB68" s="1"/>
  <c r="BA62" i="86"/>
  <c r="BB62" s="1"/>
  <c r="AK63"/>
  <c r="BA63"/>
  <c r="BB63" s="1"/>
  <c r="AK64"/>
  <c r="AK66"/>
  <c r="AK10" i="87"/>
  <c r="AL16"/>
  <c r="AK22"/>
  <c r="BA59" i="88"/>
  <c r="BB59" s="1"/>
  <c r="BA68"/>
  <c r="BB68" s="1"/>
  <c r="AL33" i="89"/>
  <c r="AL42"/>
  <c r="AK71"/>
  <c r="AL72"/>
  <c r="AL14" i="90"/>
  <c r="AL20"/>
  <c r="AL26"/>
  <c r="AL32"/>
  <c r="AL38"/>
  <c r="AL44"/>
  <c r="AL50"/>
  <c r="BA61" i="91"/>
  <c r="BB61" s="1"/>
  <c r="BA62"/>
  <c r="BB62" s="1"/>
  <c r="AK63"/>
  <c r="BA63"/>
  <c r="BB63" s="1"/>
  <c r="AK64"/>
  <c r="BA64"/>
  <c r="BB64" s="1"/>
  <c r="AK65"/>
  <c r="BA65"/>
  <c r="BB65" s="1"/>
  <c r="AK66"/>
  <c r="BA66"/>
  <c r="BB66" s="1"/>
  <c r="BA68"/>
  <c r="BB68" s="1"/>
  <c r="AK77"/>
  <c r="AL78"/>
  <c r="AL86"/>
  <c r="AK13" i="92"/>
  <c r="AL19"/>
  <c r="AL23"/>
  <c r="AL38"/>
  <c r="AL44"/>
  <c r="AL50"/>
  <c r="BA58"/>
  <c r="AL59"/>
  <c r="AK78"/>
  <c r="AK11" i="93"/>
  <c r="AK14"/>
  <c r="AK15"/>
  <c r="AK23"/>
  <c r="AK26"/>
  <c r="AK27"/>
  <c r="AK35"/>
  <c r="AK38"/>
  <c r="AK39"/>
  <c r="AK47"/>
  <c r="AK50"/>
  <c r="AK51"/>
  <c r="BA59" i="98"/>
  <c r="BB59" s="1"/>
  <c r="BA60"/>
  <c r="BB60" s="1"/>
  <c r="BA63" i="99"/>
  <c r="BB63" s="1"/>
  <c r="AL60" i="100"/>
  <c r="AL64"/>
  <c r="AL73"/>
  <c r="AL12" i="101"/>
  <c r="AL13"/>
  <c r="AI29"/>
  <c r="AL36"/>
  <c r="AL37"/>
  <c r="AL42"/>
  <c r="AL47"/>
  <c r="AL51"/>
  <c r="AK55"/>
  <c r="AL59"/>
  <c r="AL60"/>
  <c r="AL63"/>
  <c r="AL64"/>
  <c r="AL77"/>
  <c r="AK86"/>
  <c r="AK16" i="102"/>
  <c r="AK22"/>
  <c r="AK28"/>
  <c r="AK34"/>
  <c r="AK40"/>
  <c r="AK46"/>
  <c r="AK52"/>
  <c r="AK71"/>
  <c r="AL72"/>
  <c r="AL14" i="103"/>
  <c r="AL20"/>
  <c r="AL26"/>
  <c r="AL32"/>
  <c r="AL38"/>
  <c r="AL44"/>
  <c r="AL50"/>
  <c r="BA58"/>
  <c r="AL59"/>
  <c r="AK78"/>
  <c r="AK11" i="104"/>
  <c r="AK14"/>
  <c r="AK15"/>
  <c r="AK23"/>
  <c r="AK26"/>
  <c r="AK27"/>
  <c r="AK35"/>
  <c r="AK38"/>
  <c r="AK39"/>
  <c r="AK47"/>
  <c r="AK50"/>
  <c r="AK51"/>
  <c r="AL64" i="105"/>
  <c r="AL16" i="106"/>
  <c r="AL17"/>
  <c r="AL18"/>
  <c r="AL21"/>
  <c r="AL22"/>
  <c r="AL23"/>
  <c r="AL24"/>
  <c r="AL27"/>
  <c r="AL28"/>
  <c r="AL29"/>
  <c r="AL30"/>
  <c r="AL33"/>
  <c r="AL34"/>
  <c r="AL35"/>
  <c r="AL36"/>
  <c r="AL39"/>
  <c r="AL40"/>
  <c r="AL41"/>
  <c r="AL42"/>
  <c r="AL45"/>
  <c r="AL46"/>
  <c r="AL47"/>
  <c r="AK48"/>
  <c r="AL49"/>
  <c r="AK54"/>
  <c r="AL60"/>
  <c r="AL62"/>
  <c r="AL64"/>
  <c r="AL66"/>
  <c r="AL14" i="107"/>
  <c r="AL18"/>
  <c r="AL19"/>
  <c r="AL30"/>
  <c r="AL35"/>
  <c r="AL38"/>
  <c r="AL40"/>
  <c r="AL44"/>
  <c r="AL45"/>
  <c r="AL54"/>
  <c r="AL60"/>
  <c r="AL62"/>
  <c r="AL64"/>
  <c r="AL71"/>
  <c r="AL60" i="108"/>
  <c r="AL41" i="109"/>
  <c r="AL42"/>
  <c r="AL45"/>
  <c r="AL46"/>
  <c r="AL47"/>
  <c r="AL48"/>
  <c r="AL51"/>
  <c r="AK52"/>
  <c r="AK53"/>
  <c r="BA58"/>
  <c r="AK29" i="110"/>
  <c r="AK63"/>
  <c r="Q3" i="95"/>
  <c r="F76" i="22" s="1"/>
  <c r="AK10" i="95"/>
  <c r="AK16"/>
  <c r="AK22"/>
  <c r="AK28"/>
  <c r="AK34"/>
  <c r="AK40"/>
  <c r="AL44"/>
  <c r="AL50"/>
  <c r="BA67"/>
  <c r="BB67" s="1"/>
  <c r="BA68"/>
  <c r="BB68" s="1"/>
  <c r="AL66"/>
  <c r="AL71"/>
  <c r="AL77"/>
  <c r="AL11" i="96"/>
  <c r="AL20"/>
  <c r="AL24"/>
  <c r="AL30"/>
  <c r="AK34"/>
  <c r="AK36"/>
  <c r="AK39"/>
  <c r="AK41"/>
  <c r="AL43"/>
  <c r="AK44"/>
  <c r="AK46"/>
  <c r="AK48"/>
  <c r="AK51"/>
  <c r="AK53"/>
  <c r="AL12" i="97"/>
  <c r="AL13"/>
  <c r="AL18"/>
  <c r="AL19"/>
  <c r="AL24"/>
  <c r="AL25"/>
  <c r="AL30"/>
  <c r="AL31"/>
  <c r="AL36"/>
  <c r="AL37"/>
  <c r="AL42"/>
  <c r="AL43"/>
  <c r="AL48"/>
  <c r="AL49"/>
  <c r="AL54"/>
  <c r="AL55"/>
  <c r="AL59"/>
  <c r="AL63"/>
  <c r="AL70"/>
  <c r="AL73"/>
  <c r="AL82"/>
  <c r="Q3" i="98"/>
  <c r="F83" i="22" s="1"/>
  <c r="AL11" i="98"/>
  <c r="AK24"/>
  <c r="AL26"/>
  <c r="AK28"/>
  <c r="AK30"/>
  <c r="AL32"/>
  <c r="AK34"/>
  <c r="AK36"/>
  <c r="AL38"/>
  <c r="AK40"/>
  <c r="AK42"/>
  <c r="AL44"/>
  <c r="AK46"/>
  <c r="AK48"/>
  <c r="AL50"/>
  <c r="AK52"/>
  <c r="AK54"/>
  <c r="BA58"/>
  <c r="AL59"/>
  <c r="AL60"/>
  <c r="BA67"/>
  <c r="BB67" s="1"/>
  <c r="AK62"/>
  <c r="AL63"/>
  <c r="AK66"/>
  <c r="AL70"/>
  <c r="AL71"/>
  <c r="AK77"/>
  <c r="AL82"/>
  <c r="AK13" i="99"/>
  <c r="AL17"/>
  <c r="AL20"/>
  <c r="AL21"/>
  <c r="AK25"/>
  <c r="AL29"/>
  <c r="AL32"/>
  <c r="AL33"/>
  <c r="AK37"/>
  <c r="AL41"/>
  <c r="AL44"/>
  <c r="AL45"/>
  <c r="AK49"/>
  <c r="AL53"/>
  <c r="BA58"/>
  <c r="AL60"/>
  <c r="AL70"/>
  <c r="AL73"/>
  <c r="AL82"/>
  <c r="AL14" i="100"/>
  <c r="AL20"/>
  <c r="AL26"/>
  <c r="AL32"/>
  <c r="AL38"/>
  <c r="AL44"/>
  <c r="AL49"/>
  <c r="AK50"/>
  <c r="AL52"/>
  <c r="AL54"/>
  <c r="BA59" i="103"/>
  <c r="BB59" s="1"/>
  <c r="BA68"/>
  <c r="BB68" s="1"/>
  <c r="BA66" i="104"/>
  <c r="BB66" s="1"/>
  <c r="BA68"/>
  <c r="BB68" s="1"/>
  <c r="Q3" i="105"/>
  <c r="F80" i="22" s="1"/>
  <c r="AK13" i="105"/>
  <c r="AL32"/>
  <c r="AL39"/>
  <c r="AK43"/>
  <c r="AL47"/>
  <c r="AL50"/>
  <c r="AL51"/>
  <c r="AK55"/>
  <c r="AL70"/>
  <c r="AL73"/>
  <c r="AL82"/>
  <c r="AL14" i="106"/>
  <c r="AK11" i="108"/>
  <c r="AK14"/>
  <c r="AL16"/>
  <c r="AL18"/>
  <c r="AK21"/>
  <c r="AK23"/>
  <c r="AL27"/>
  <c r="AL36"/>
  <c r="AL41"/>
  <c r="AL44"/>
  <c r="AL46"/>
  <c r="AL51"/>
  <c r="BA68"/>
  <c r="BB68" s="1"/>
  <c r="AL63"/>
  <c r="AL73"/>
  <c r="AL16" i="109"/>
  <c r="AL22"/>
  <c r="AL32"/>
  <c r="BA64"/>
  <c r="BB64" s="1"/>
  <c r="AK62"/>
  <c r="AK64"/>
  <c r="AK66"/>
  <c r="AK23" i="110"/>
  <c r="AK27"/>
  <c r="AL31"/>
  <c r="AL32"/>
  <c r="AL34"/>
  <c r="AK35"/>
  <c r="AK39"/>
  <c r="AL42"/>
  <c r="AL43"/>
  <c r="AL44"/>
  <c r="AL46"/>
  <c r="AK47"/>
  <c r="AK51"/>
  <c r="AK54"/>
  <c r="AK11" i="76"/>
  <c r="AL12"/>
  <c r="AG12"/>
  <c r="AL13"/>
  <c r="AK14"/>
  <c r="AK15"/>
  <c r="AL16"/>
  <c r="AG16"/>
  <c r="AK17"/>
  <c r="AL18"/>
  <c r="AG18"/>
  <c r="AL19"/>
  <c r="AK20"/>
  <c r="AK21"/>
  <c r="AL22"/>
  <c r="AG22"/>
  <c r="AK23"/>
  <c r="AL24"/>
  <c r="AG24"/>
  <c r="AL25"/>
  <c r="AK26"/>
  <c r="AK27"/>
  <c r="AL30"/>
  <c r="AG30"/>
  <c r="AI30" s="1"/>
  <c r="AL31"/>
  <c r="AK32"/>
  <c r="AL33"/>
  <c r="AG33"/>
  <c r="AL35"/>
  <c r="AG35"/>
  <c r="AL38"/>
  <c r="AG38"/>
  <c r="AI38" s="1"/>
  <c r="AL39"/>
  <c r="AG39"/>
  <c r="AL41"/>
  <c r="AG41"/>
  <c r="AL44"/>
  <c r="AG44"/>
  <c r="AI44" s="1"/>
  <c r="AL45"/>
  <c r="AG45"/>
  <c r="AL47"/>
  <c r="AG47"/>
  <c r="AK49"/>
  <c r="AL50"/>
  <c r="AL51"/>
  <c r="AL53"/>
  <c r="AK55"/>
  <c r="BA58"/>
  <c r="AL60"/>
  <c r="BA60"/>
  <c r="BB60" s="1"/>
  <c r="AL62"/>
  <c r="BA62"/>
  <c r="BB62" s="1"/>
  <c r="AL64"/>
  <c r="BA64"/>
  <c r="BB64" s="1"/>
  <c r="AL66"/>
  <c r="BA66"/>
  <c r="BB66" s="1"/>
  <c r="BA68"/>
  <c r="BB68" s="1"/>
  <c r="AK70"/>
  <c r="AK72"/>
  <c r="AL77"/>
  <c r="AL78"/>
  <c r="AG78"/>
  <c r="AK82"/>
  <c r="AL86"/>
  <c r="AG86"/>
  <c r="AK11" i="77"/>
  <c r="AL12"/>
  <c r="AG12"/>
  <c r="AL13"/>
  <c r="AL17"/>
  <c r="AG17"/>
  <c r="AH19"/>
  <c r="AL20"/>
  <c r="AG20"/>
  <c r="AL24"/>
  <c r="AG24"/>
  <c r="AL25"/>
  <c r="AK26"/>
  <c r="AK27"/>
  <c r="AL28"/>
  <c r="AG28"/>
  <c r="AK29"/>
  <c r="AL30"/>
  <c r="AG30"/>
  <c r="AL31"/>
  <c r="AK32"/>
  <c r="AK33"/>
  <c r="AL34"/>
  <c r="AG34"/>
  <c r="AK35"/>
  <c r="AL36"/>
  <c r="AG36"/>
  <c r="AL37"/>
  <c r="AK38"/>
  <c r="AK39"/>
  <c r="AL40"/>
  <c r="AG40"/>
  <c r="AK41"/>
  <c r="AL42"/>
  <c r="AG42"/>
  <c r="AL43"/>
  <c r="AK44"/>
  <c r="AK45"/>
  <c r="AL46"/>
  <c r="AG46"/>
  <c r="AK47"/>
  <c r="AL48"/>
  <c r="AG48"/>
  <c r="AL49"/>
  <c r="AK50"/>
  <c r="AK51"/>
  <c r="AL52"/>
  <c r="AG52"/>
  <c r="AK53"/>
  <c r="AK54"/>
  <c r="AL55"/>
  <c r="AG55"/>
  <c r="AK60"/>
  <c r="BA60"/>
  <c r="BB60" s="1"/>
  <c r="AK62"/>
  <c r="BA62"/>
  <c r="BB62" s="1"/>
  <c r="AK64"/>
  <c r="BA64"/>
  <c r="BB64" s="1"/>
  <c r="BA65"/>
  <c r="BB65" s="1"/>
  <c r="BA66"/>
  <c r="BB66" s="1"/>
  <c r="AK71"/>
  <c r="AK73"/>
  <c r="AL77"/>
  <c r="AG77"/>
  <c r="AL78"/>
  <c r="AL86"/>
  <c r="AL10" i="78"/>
  <c r="AK11"/>
  <c r="AK12"/>
  <c r="AL13"/>
  <c r="AK14"/>
  <c r="AK15"/>
  <c r="AK16"/>
  <c r="AK17"/>
  <c r="AK18"/>
  <c r="AL19"/>
  <c r="AK20"/>
  <c r="AK21"/>
  <c r="AK22"/>
  <c r="AK23"/>
  <c r="AK24"/>
  <c r="AL25"/>
  <c r="AK26"/>
  <c r="AK27"/>
  <c r="AK28"/>
  <c r="AK29"/>
  <c r="AK30"/>
  <c r="AL31"/>
  <c r="AK32"/>
  <c r="AK33"/>
  <c r="AK34"/>
  <c r="AK35"/>
  <c r="AK38"/>
  <c r="AK39"/>
  <c r="AK41"/>
  <c r="AK44"/>
  <c r="AK45"/>
  <c r="AK47"/>
  <c r="AK50"/>
  <c r="AK51"/>
  <c r="AK54"/>
  <c r="AK59"/>
  <c r="BA59"/>
  <c r="BB59" s="1"/>
  <c r="AL60"/>
  <c r="AG60"/>
  <c r="AK61"/>
  <c r="BA61"/>
  <c r="BB61" s="1"/>
  <c r="AL62"/>
  <c r="AG62"/>
  <c r="AK63"/>
  <c r="BA63"/>
  <c r="BB63" s="1"/>
  <c r="AK64"/>
  <c r="BA64"/>
  <c r="BB64" s="1"/>
  <c r="AL65"/>
  <c r="AG65"/>
  <c r="AK66"/>
  <c r="BA66"/>
  <c r="BB66" s="1"/>
  <c r="BA68"/>
  <c r="BB68" s="1"/>
  <c r="AH72"/>
  <c r="AI73"/>
  <c r="AH78"/>
  <c r="AH82"/>
  <c r="AH86"/>
  <c r="AL10" i="79"/>
  <c r="AL13"/>
  <c r="AG13"/>
  <c r="AI13" s="1"/>
  <c r="AH15"/>
  <c r="AH16"/>
  <c r="AH17"/>
  <c r="AH18"/>
  <c r="AK19"/>
  <c r="AL25"/>
  <c r="AG25"/>
  <c r="AI25" s="1"/>
  <c r="AH27"/>
  <c r="AH28"/>
  <c r="AL29"/>
  <c r="AG29"/>
  <c r="AK30"/>
  <c r="AL32"/>
  <c r="AG32"/>
  <c r="AL33"/>
  <c r="AG33"/>
  <c r="AK34"/>
  <c r="AL35"/>
  <c r="AG35"/>
  <c r="AK36"/>
  <c r="AL38"/>
  <c r="AG38"/>
  <c r="AK39"/>
  <c r="AK40"/>
  <c r="AK42"/>
  <c r="AL43"/>
  <c r="AG43"/>
  <c r="AI43" s="1"/>
  <c r="AK46"/>
  <c r="AK48"/>
  <c r="AL49"/>
  <c r="AG49"/>
  <c r="AI49" s="1"/>
  <c r="AK52"/>
  <c r="AK54"/>
  <c r="AL55"/>
  <c r="AG55"/>
  <c r="AI55" s="1"/>
  <c r="AK59"/>
  <c r="BA59"/>
  <c r="BB59" s="1"/>
  <c r="AK63"/>
  <c r="BA63"/>
  <c r="BB63" s="1"/>
  <c r="AK65"/>
  <c r="BA65"/>
  <c r="BB65" s="1"/>
  <c r="BA67"/>
  <c r="BB67" s="1"/>
  <c r="AL70"/>
  <c r="AG70"/>
  <c r="AI70" s="1"/>
  <c r="AK71"/>
  <c r="AL72"/>
  <c r="AG72"/>
  <c r="AI72" s="1"/>
  <c r="AK73"/>
  <c r="AL82"/>
  <c r="AG82"/>
  <c r="AI82" s="1"/>
  <c r="AL10" i="80"/>
  <c r="AK13"/>
  <c r="AK19"/>
  <c r="AI21"/>
  <c r="AI22"/>
  <c r="AI23"/>
  <c r="AK24"/>
  <c r="AL25"/>
  <c r="AK26"/>
  <c r="AL28"/>
  <c r="AG28"/>
  <c r="AL29"/>
  <c r="AG29"/>
  <c r="AL30"/>
  <c r="AG30"/>
  <c r="AL32"/>
  <c r="AG32"/>
  <c r="AL33"/>
  <c r="AG33"/>
  <c r="AL34"/>
  <c r="AG34"/>
  <c r="AL35"/>
  <c r="AG35"/>
  <c r="AL36"/>
  <c r="AG36"/>
  <c r="AL38"/>
  <c r="AG38"/>
  <c r="AL39"/>
  <c r="AG39"/>
  <c r="AL40"/>
  <c r="AG40"/>
  <c r="AL41"/>
  <c r="AG41"/>
  <c r="AL42"/>
  <c r="AG42"/>
  <c r="AL44"/>
  <c r="AG44"/>
  <c r="AL45"/>
  <c r="AG45"/>
  <c r="AL46"/>
  <c r="AG46"/>
  <c r="AL47"/>
  <c r="AG47"/>
  <c r="AL48"/>
  <c r="AG48"/>
  <c r="AL50"/>
  <c r="AG50"/>
  <c r="AL51"/>
  <c r="AG51"/>
  <c r="AK52"/>
  <c r="AK53"/>
  <c r="BA58"/>
  <c r="AK59"/>
  <c r="BA59"/>
  <c r="BB59" s="1"/>
  <c r="AK60"/>
  <c r="BA60"/>
  <c r="BB60" s="1"/>
  <c r="AK61"/>
  <c r="BA61"/>
  <c r="BB61" s="1"/>
  <c r="AK62"/>
  <c r="BA62"/>
  <c r="BB62" s="1"/>
  <c r="AK63"/>
  <c r="BA63"/>
  <c r="BB63" s="1"/>
  <c r="AK64"/>
  <c r="BA64"/>
  <c r="BB64" s="1"/>
  <c r="AK65"/>
  <c r="BA65"/>
  <c r="BB65" s="1"/>
  <c r="AK66"/>
  <c r="BA66"/>
  <c r="BB66" s="1"/>
  <c r="BA68"/>
  <c r="BB68" s="1"/>
  <c r="AK71"/>
  <c r="AK73"/>
  <c r="AK77"/>
  <c r="AL12" i="81"/>
  <c r="AL13"/>
  <c r="AG13"/>
  <c r="AK16"/>
  <c r="AL18"/>
  <c r="AG18"/>
  <c r="AI18" s="1"/>
  <c r="AL19"/>
  <c r="AK20"/>
  <c r="AK22"/>
  <c r="AL23"/>
  <c r="AG23"/>
  <c r="AL24"/>
  <c r="AG24"/>
  <c r="AL26"/>
  <c r="AG26"/>
  <c r="AL27"/>
  <c r="AG27"/>
  <c r="AL28"/>
  <c r="AG28"/>
  <c r="AL29"/>
  <c r="AG29"/>
  <c r="AL30"/>
  <c r="AG30"/>
  <c r="AL32"/>
  <c r="AG32"/>
  <c r="AL33"/>
  <c r="AG33"/>
  <c r="AL34"/>
  <c r="AG34"/>
  <c r="AL35"/>
  <c r="AG35"/>
  <c r="AL36"/>
  <c r="AG36"/>
  <c r="AL38"/>
  <c r="AG38"/>
  <c r="AL39"/>
  <c r="AG39"/>
  <c r="AL40"/>
  <c r="AG40"/>
  <c r="AL41"/>
  <c r="AG41"/>
  <c r="AL42"/>
  <c r="AG42"/>
  <c r="AL44"/>
  <c r="AG44"/>
  <c r="BA68"/>
  <c r="BB68" s="1"/>
  <c r="AG11" i="76"/>
  <c r="AG14"/>
  <c r="AG15"/>
  <c r="AG17"/>
  <c r="AG20"/>
  <c r="AG21"/>
  <c r="AG23"/>
  <c r="AG26"/>
  <c r="AG27"/>
  <c r="AK30"/>
  <c r="AG32"/>
  <c r="AG34"/>
  <c r="AI34" s="1"/>
  <c r="AG36"/>
  <c r="AI36" s="1"/>
  <c r="AG40"/>
  <c r="AI40" s="1"/>
  <c r="AG42"/>
  <c r="AI42" s="1"/>
  <c r="AG46"/>
  <c r="AI46" s="1"/>
  <c r="AG49"/>
  <c r="AG55"/>
  <c r="BA59"/>
  <c r="BB59" s="1"/>
  <c r="BA61"/>
  <c r="BB61" s="1"/>
  <c r="BA63"/>
  <c r="BB63" s="1"/>
  <c r="BA65"/>
  <c r="BB65" s="1"/>
  <c r="AG70"/>
  <c r="AG72"/>
  <c r="AG82"/>
  <c r="AG11" i="77"/>
  <c r="AG14"/>
  <c r="AI14" s="1"/>
  <c r="AI16"/>
  <c r="AK17"/>
  <c r="AK20"/>
  <c r="AG26"/>
  <c r="AG27"/>
  <c r="AG29"/>
  <c r="AG32"/>
  <c r="AG33"/>
  <c r="AG35"/>
  <c r="AG38"/>
  <c r="AG39"/>
  <c r="AG41"/>
  <c r="AG44"/>
  <c r="AG45"/>
  <c r="AG47"/>
  <c r="AG50"/>
  <c r="AG51"/>
  <c r="AG53"/>
  <c r="BA61"/>
  <c r="BB61" s="1"/>
  <c r="BA63"/>
  <c r="BB63" s="1"/>
  <c r="AG71"/>
  <c r="AG73"/>
  <c r="AG11" i="78"/>
  <c r="AG12"/>
  <c r="AG14"/>
  <c r="AG15"/>
  <c r="AG16"/>
  <c r="AG17"/>
  <c r="AG18"/>
  <c r="AG20"/>
  <c r="AG21"/>
  <c r="AG22"/>
  <c r="AG23"/>
  <c r="AG24"/>
  <c r="AG26"/>
  <c r="AG27"/>
  <c r="AG28"/>
  <c r="AG29"/>
  <c r="AG30"/>
  <c r="AG32"/>
  <c r="AG33"/>
  <c r="AG34"/>
  <c r="AG35"/>
  <c r="AG37"/>
  <c r="AG43"/>
  <c r="AG49"/>
  <c r="AG54"/>
  <c r="AG59"/>
  <c r="AK60"/>
  <c r="BA60"/>
  <c r="BB60" s="1"/>
  <c r="AG61"/>
  <c r="AK62"/>
  <c r="AG63"/>
  <c r="AG64"/>
  <c r="AK65"/>
  <c r="BA65"/>
  <c r="BB65" s="1"/>
  <c r="AG66"/>
  <c r="AK13" i="79"/>
  <c r="AG19"/>
  <c r="AK25"/>
  <c r="AG30"/>
  <c r="AG34"/>
  <c r="AG36"/>
  <c r="BA60"/>
  <c r="BB60" s="1"/>
  <c r="BA61"/>
  <c r="BB61" s="1"/>
  <c r="BA62"/>
  <c r="BB62" s="1"/>
  <c r="BA66"/>
  <c r="BB66" s="1"/>
  <c r="AG78"/>
  <c r="AG86"/>
  <c r="Q3" i="80"/>
  <c r="F64" i="22" s="1"/>
  <c r="AG11" i="80"/>
  <c r="AG12"/>
  <c r="AG14"/>
  <c r="AG15"/>
  <c r="AG16"/>
  <c r="AG17"/>
  <c r="AG18"/>
  <c r="AG24"/>
  <c r="AG26"/>
  <c r="AI26" s="1"/>
  <c r="AG55"/>
  <c r="AG16" i="81"/>
  <c r="AK18"/>
  <c r="AG20"/>
  <c r="AG22"/>
  <c r="AI22" s="1"/>
  <c r="BA68" i="94"/>
  <c r="BB68" s="1"/>
  <c r="BA66"/>
  <c r="BB66" s="1"/>
  <c r="BA65"/>
  <c r="BB65" s="1"/>
  <c r="BA64"/>
  <c r="BB64" s="1"/>
  <c r="BA62"/>
  <c r="BB62" s="1"/>
  <c r="BA61"/>
  <c r="BB61" s="1"/>
  <c r="BA60"/>
  <c r="BB60" s="1"/>
  <c r="BA59"/>
  <c r="BB59" s="1"/>
  <c r="AL45" i="81"/>
  <c r="AG45"/>
  <c r="AL46"/>
  <c r="AG46"/>
  <c r="AL47"/>
  <c r="AG47"/>
  <c r="AL48"/>
  <c r="AG48"/>
  <c r="AL50"/>
  <c r="AG50"/>
  <c r="AL51"/>
  <c r="AG51"/>
  <c r="AL52"/>
  <c r="AG52"/>
  <c r="AL53"/>
  <c r="AG53"/>
  <c r="AK54"/>
  <c r="AL55"/>
  <c r="AG55"/>
  <c r="BA65"/>
  <c r="BB65" s="1"/>
  <c r="AK66"/>
  <c r="BA66"/>
  <c r="BB66" s="1"/>
  <c r="AK71"/>
  <c r="AK73"/>
  <c r="AK77"/>
  <c r="AL12" i="82"/>
  <c r="AG12"/>
  <c r="AK14"/>
  <c r="AK16"/>
  <c r="AL18"/>
  <c r="AG18"/>
  <c r="AL20"/>
  <c r="AG20"/>
  <c r="AL21"/>
  <c r="AG21"/>
  <c r="AK22"/>
  <c r="AL23"/>
  <c r="AG23"/>
  <c r="AL24"/>
  <c r="AG24"/>
  <c r="AL26"/>
  <c r="AG26"/>
  <c r="AL27"/>
  <c r="AG27"/>
  <c r="AK28"/>
  <c r="AL29"/>
  <c r="AG29"/>
  <c r="AK30"/>
  <c r="AL32"/>
  <c r="AG32"/>
  <c r="AL33"/>
  <c r="AG33"/>
  <c r="AK34"/>
  <c r="AL35"/>
  <c r="AG35"/>
  <c r="AK36"/>
  <c r="AL38"/>
  <c r="AG38"/>
  <c r="AL39"/>
  <c r="AG39"/>
  <c r="AK40"/>
  <c r="AL41"/>
  <c r="AG41"/>
  <c r="AK42"/>
  <c r="AL44"/>
  <c r="AG44"/>
  <c r="AL45"/>
  <c r="AG45"/>
  <c r="AK46"/>
  <c r="AL47"/>
  <c r="AG47"/>
  <c r="AK48"/>
  <c r="AL50"/>
  <c r="AG50"/>
  <c r="AL51"/>
  <c r="AG51"/>
  <c r="AK52"/>
  <c r="AL53"/>
  <c r="AG53"/>
  <c r="AK54"/>
  <c r="BA58"/>
  <c r="AL59"/>
  <c r="AG59"/>
  <c r="BA59"/>
  <c r="BB59" s="1"/>
  <c r="AK60"/>
  <c r="AK61"/>
  <c r="AL62"/>
  <c r="AG62"/>
  <c r="BA62"/>
  <c r="BB62" s="1"/>
  <c r="AL63"/>
  <c r="AG63"/>
  <c r="BA63"/>
  <c r="BB63" s="1"/>
  <c r="AK64"/>
  <c r="AK65"/>
  <c r="AL66"/>
  <c r="AG66"/>
  <c r="BA66"/>
  <c r="BB66" s="1"/>
  <c r="BA68"/>
  <c r="BB68" s="1"/>
  <c r="AK71"/>
  <c r="AK73"/>
  <c r="AL77"/>
  <c r="AG77"/>
  <c r="AL78"/>
  <c r="AL86"/>
  <c r="AL8" i="83"/>
  <c r="AL11"/>
  <c r="AK13"/>
  <c r="AL14"/>
  <c r="AL15"/>
  <c r="AL17"/>
  <c r="AK19"/>
  <c r="AL20"/>
  <c r="AL21"/>
  <c r="AL23"/>
  <c r="AK25"/>
  <c r="AL26"/>
  <c r="AL27"/>
  <c r="AL29"/>
  <c r="AK31"/>
  <c r="AL32"/>
  <c r="AL33"/>
  <c r="AL35"/>
  <c r="AK37"/>
  <c r="AL38"/>
  <c r="AL39"/>
  <c r="AL41"/>
  <c r="AK43"/>
  <c r="AL44"/>
  <c r="AL45"/>
  <c r="AL47"/>
  <c r="AK49"/>
  <c r="AL50"/>
  <c r="AL51"/>
  <c r="AL53"/>
  <c r="AK55"/>
  <c r="BA58"/>
  <c r="AL60"/>
  <c r="BA60"/>
  <c r="BB60" s="1"/>
  <c r="AL62"/>
  <c r="BA62"/>
  <c r="BB62" s="1"/>
  <c r="AL64"/>
  <c r="BA64"/>
  <c r="BB64" s="1"/>
  <c r="AL66"/>
  <c r="BA66"/>
  <c r="BB66" s="1"/>
  <c r="BA68"/>
  <c r="BB68" s="1"/>
  <c r="AK70"/>
  <c r="AK72"/>
  <c r="AL77"/>
  <c r="AL78"/>
  <c r="AG78"/>
  <c r="AK82"/>
  <c r="AL86"/>
  <c r="AG86"/>
  <c r="AK11" i="84"/>
  <c r="AL12"/>
  <c r="AG12"/>
  <c r="AL13"/>
  <c r="AK14"/>
  <c r="AK15"/>
  <c r="AL16"/>
  <c r="AG16"/>
  <c r="AK17"/>
  <c r="AL18"/>
  <c r="AG18"/>
  <c r="AL19"/>
  <c r="AL22"/>
  <c r="AG22"/>
  <c r="AI22" s="1"/>
  <c r="AI23"/>
  <c r="AK24"/>
  <c r="AL25"/>
  <c r="AK26"/>
  <c r="AL28"/>
  <c r="AG28"/>
  <c r="AK30"/>
  <c r="AL32"/>
  <c r="AG32"/>
  <c r="AL34"/>
  <c r="AG34"/>
  <c r="AI34" s="1"/>
  <c r="AI35"/>
  <c r="AK36"/>
  <c r="AL37"/>
  <c r="AK38"/>
  <c r="AK39"/>
  <c r="AK40"/>
  <c r="AK41"/>
  <c r="AK42"/>
  <c r="AL43"/>
  <c r="AK44"/>
  <c r="AK45"/>
  <c r="AK46"/>
  <c r="AK47"/>
  <c r="AK48"/>
  <c r="AL49"/>
  <c r="AK50"/>
  <c r="AK51"/>
  <c r="AK52"/>
  <c r="AK53"/>
  <c r="AK54"/>
  <c r="AL55"/>
  <c r="AK59"/>
  <c r="AK60"/>
  <c r="AK61"/>
  <c r="AK62"/>
  <c r="AL63"/>
  <c r="AG63"/>
  <c r="BA63"/>
  <c r="BB63" s="1"/>
  <c r="AL64"/>
  <c r="AG64"/>
  <c r="AK65"/>
  <c r="AK66"/>
  <c r="AK71"/>
  <c r="AK73"/>
  <c r="AL77"/>
  <c r="AG77"/>
  <c r="AL78"/>
  <c r="AL86"/>
  <c r="AL11" i="85"/>
  <c r="AK13"/>
  <c r="AL14"/>
  <c r="AL15"/>
  <c r="AL17"/>
  <c r="AK19"/>
  <c r="AL20"/>
  <c r="AL21"/>
  <c r="AL23"/>
  <c r="AK25"/>
  <c r="AL26"/>
  <c r="AL27"/>
  <c r="AL29"/>
  <c r="AK31"/>
  <c r="AL32"/>
  <c r="AL33"/>
  <c r="AL35"/>
  <c r="AK37"/>
  <c r="AL38"/>
  <c r="AL39"/>
  <c r="AL41"/>
  <c r="AK45"/>
  <c r="AL47"/>
  <c r="AG47"/>
  <c r="AH49"/>
  <c r="AL51"/>
  <c r="AG51"/>
  <c r="AI51" s="1"/>
  <c r="AK53"/>
  <c r="AI59"/>
  <c r="BA60"/>
  <c r="BB60" s="1"/>
  <c r="BA61"/>
  <c r="BB61" s="1"/>
  <c r="AI63"/>
  <c r="AF63" s="1"/>
  <c r="Y63" s="1"/>
  <c r="BA64"/>
  <c r="BB64" s="1"/>
  <c r="BA65"/>
  <c r="BB65" s="1"/>
  <c r="AL70"/>
  <c r="AL71"/>
  <c r="AG71"/>
  <c r="AK73"/>
  <c r="AK77"/>
  <c r="AL78"/>
  <c r="AL86"/>
  <c r="AL11" i="86"/>
  <c r="AI13"/>
  <c r="AH14"/>
  <c r="AK17"/>
  <c r="AK21"/>
  <c r="AL23"/>
  <c r="AG23"/>
  <c r="AH25"/>
  <c r="AL27"/>
  <c r="AG27"/>
  <c r="AK29"/>
  <c r="AK33"/>
  <c r="AL35"/>
  <c r="AG35"/>
  <c r="AH37"/>
  <c r="AL39"/>
  <c r="AG39"/>
  <c r="AL40"/>
  <c r="AG40"/>
  <c r="AL41"/>
  <c r="AG41"/>
  <c r="AL42"/>
  <c r="AG42"/>
  <c r="AL44"/>
  <c r="AG44"/>
  <c r="AL45"/>
  <c r="AG45"/>
  <c r="AL46"/>
  <c r="AG46"/>
  <c r="AL47"/>
  <c r="AG47"/>
  <c r="AL48"/>
  <c r="AG48"/>
  <c r="AL50"/>
  <c r="AG50"/>
  <c r="AL51"/>
  <c r="AG51"/>
  <c r="AL52"/>
  <c r="AG52"/>
  <c r="AL53"/>
  <c r="AG53"/>
  <c r="AK54"/>
  <c r="AL55"/>
  <c r="AG55"/>
  <c r="BA64"/>
  <c r="BB64" s="1"/>
  <c r="AK65"/>
  <c r="BA67"/>
  <c r="BB67" s="1"/>
  <c r="AL70"/>
  <c r="AL72"/>
  <c r="AL78"/>
  <c r="AL82"/>
  <c r="AL86"/>
  <c r="AL11" i="87"/>
  <c r="AK14"/>
  <c r="AL15"/>
  <c r="AK17"/>
  <c r="AK20"/>
  <c r="AL21"/>
  <c r="AL23"/>
  <c r="AK25"/>
  <c r="AL26"/>
  <c r="AK27"/>
  <c r="AK29"/>
  <c r="AK32"/>
  <c r="AL33"/>
  <c r="AL35"/>
  <c r="AK37"/>
  <c r="AL38"/>
  <c r="AK39"/>
  <c r="AK41"/>
  <c r="AK43"/>
  <c r="AK44"/>
  <c r="AL45"/>
  <c r="AL47"/>
  <c r="AK50"/>
  <c r="AL51"/>
  <c r="AL53"/>
  <c r="AK55"/>
  <c r="BA58"/>
  <c r="AL59"/>
  <c r="BA59"/>
  <c r="BB59" s="1"/>
  <c r="AL60"/>
  <c r="BA60"/>
  <c r="BB60" s="1"/>
  <c r="AL61"/>
  <c r="BA61"/>
  <c r="BB61" s="1"/>
  <c r="AL62"/>
  <c r="BA62"/>
  <c r="BB62" s="1"/>
  <c r="AL63"/>
  <c r="BA63"/>
  <c r="BB63" s="1"/>
  <c r="AL64"/>
  <c r="BA64"/>
  <c r="BB64" s="1"/>
  <c r="AL65"/>
  <c r="BA65"/>
  <c r="BB65" s="1"/>
  <c r="AL66"/>
  <c r="BA66"/>
  <c r="BB66" s="1"/>
  <c r="BA68"/>
  <c r="BB68" s="1"/>
  <c r="AL78"/>
  <c r="AG78"/>
  <c r="AK82"/>
  <c r="AL86"/>
  <c r="AG86"/>
  <c r="AK11" i="88"/>
  <c r="AK12"/>
  <c r="AL13"/>
  <c r="AK14"/>
  <c r="AK15"/>
  <c r="AK16"/>
  <c r="AK17"/>
  <c r="AK18"/>
  <c r="AL19"/>
  <c r="AK20"/>
  <c r="AK21"/>
  <c r="AK22"/>
  <c r="AK23"/>
  <c r="AK24"/>
  <c r="AL25"/>
  <c r="AK26"/>
  <c r="AK27"/>
  <c r="AL28"/>
  <c r="AG28"/>
  <c r="AK29"/>
  <c r="AL30"/>
  <c r="AG30"/>
  <c r="AL31"/>
  <c r="AK32"/>
  <c r="AK33"/>
  <c r="AL34"/>
  <c r="AG34"/>
  <c r="AK35"/>
  <c r="AL36"/>
  <c r="AG36"/>
  <c r="AL37"/>
  <c r="AK38"/>
  <c r="AK39"/>
  <c r="AL40"/>
  <c r="AG40"/>
  <c r="AK41"/>
  <c r="AL42"/>
  <c r="AG42"/>
  <c r="AL43"/>
  <c r="AK44"/>
  <c r="AK45"/>
  <c r="AL46"/>
  <c r="AG46"/>
  <c r="AK47"/>
  <c r="AL48"/>
  <c r="AG48"/>
  <c r="AL49"/>
  <c r="AK50"/>
  <c r="AK51"/>
  <c r="AL52"/>
  <c r="AG52"/>
  <c r="AK53"/>
  <c r="AL54"/>
  <c r="AG54"/>
  <c r="AL55"/>
  <c r="AK59"/>
  <c r="AL60"/>
  <c r="AG60"/>
  <c r="BA60"/>
  <c r="BB60" s="1"/>
  <c r="AL61"/>
  <c r="AG61"/>
  <c r="BA61"/>
  <c r="BB61" s="1"/>
  <c r="AK62"/>
  <c r="AK63"/>
  <c r="AL64"/>
  <c r="AG64"/>
  <c r="BA64"/>
  <c r="BB64" s="1"/>
  <c r="AL65"/>
  <c r="AG65"/>
  <c r="BA65"/>
  <c r="BB65" s="1"/>
  <c r="AK66"/>
  <c r="AL70"/>
  <c r="AL71"/>
  <c r="AG71"/>
  <c r="AL72"/>
  <c r="AL73"/>
  <c r="AG73"/>
  <c r="AK77"/>
  <c r="AL82"/>
  <c r="AL11" i="89"/>
  <c r="AK13"/>
  <c r="AL14"/>
  <c r="AL15"/>
  <c r="AL17"/>
  <c r="AK19"/>
  <c r="AL20"/>
  <c r="AL21"/>
  <c r="AL23"/>
  <c r="AL24"/>
  <c r="AL27"/>
  <c r="AL29"/>
  <c r="AI31"/>
  <c r="AH32"/>
  <c r="AL34"/>
  <c r="AL36"/>
  <c r="AL39"/>
  <c r="AL41"/>
  <c r="AI43"/>
  <c r="AH44"/>
  <c r="AL46"/>
  <c r="AL48"/>
  <c r="AL51"/>
  <c r="AK53"/>
  <c r="BA58"/>
  <c r="AK59"/>
  <c r="BA59"/>
  <c r="BB59" s="1"/>
  <c r="AK60"/>
  <c r="BA60"/>
  <c r="BB60" s="1"/>
  <c r="AK61"/>
  <c r="BA61"/>
  <c r="BB61" s="1"/>
  <c r="AK62"/>
  <c r="BA62"/>
  <c r="BB62" s="1"/>
  <c r="AK63"/>
  <c r="BA63"/>
  <c r="BB63" s="1"/>
  <c r="AK64"/>
  <c r="BA64"/>
  <c r="BB64" s="1"/>
  <c r="AK65"/>
  <c r="BA65"/>
  <c r="BB65" s="1"/>
  <c r="AK66"/>
  <c r="BA66"/>
  <c r="BB66" s="1"/>
  <c r="BA68"/>
  <c r="BB68" s="1"/>
  <c r="AK77"/>
  <c r="AL78"/>
  <c r="AG78"/>
  <c r="AL86"/>
  <c r="AG86"/>
  <c r="AL12" i="90"/>
  <c r="AG12"/>
  <c r="AI12" s="1"/>
  <c r="AK13"/>
  <c r="AL16"/>
  <c r="AG16"/>
  <c r="AL18"/>
  <c r="AG18"/>
  <c r="AI18" s="1"/>
  <c r="AK19"/>
  <c r="AL22"/>
  <c r="AG22"/>
  <c r="AL24"/>
  <c r="AG24"/>
  <c r="AI24" s="1"/>
  <c r="AK25"/>
  <c r="AL28"/>
  <c r="AG28"/>
  <c r="AL30"/>
  <c r="AG30"/>
  <c r="AI30" s="1"/>
  <c r="AK31"/>
  <c r="AL34"/>
  <c r="AG34"/>
  <c r="AI34" s="1"/>
  <c r="AL36"/>
  <c r="AG36"/>
  <c r="AK37"/>
  <c r="AL40"/>
  <c r="AG40"/>
  <c r="AI40" s="1"/>
  <c r="AL42"/>
  <c r="AG42"/>
  <c r="AK43"/>
  <c r="AL46"/>
  <c r="AG46"/>
  <c r="AL48"/>
  <c r="AG48"/>
  <c r="AK49"/>
  <c r="AL52"/>
  <c r="AG52"/>
  <c r="AL54"/>
  <c r="AG54"/>
  <c r="AK55"/>
  <c r="AL59"/>
  <c r="AG59"/>
  <c r="BA59"/>
  <c r="BB59" s="1"/>
  <c r="AL60"/>
  <c r="AG60"/>
  <c r="AI60" s="1"/>
  <c r="BA60"/>
  <c r="BB60" s="1"/>
  <c r="AL63"/>
  <c r="AG63"/>
  <c r="BA63"/>
  <c r="BB63" s="1"/>
  <c r="AL64"/>
  <c r="AG64"/>
  <c r="AI64" s="1"/>
  <c r="BA64"/>
  <c r="BB64" s="1"/>
  <c r="AK70"/>
  <c r="AL71"/>
  <c r="AG71"/>
  <c r="AK72"/>
  <c r="AL73"/>
  <c r="AG73"/>
  <c r="AK82"/>
  <c r="AK10" i="91"/>
  <c r="AK12"/>
  <c r="AL13"/>
  <c r="AG13"/>
  <c r="AK16"/>
  <c r="AK18"/>
  <c r="AL19"/>
  <c r="AG19"/>
  <c r="AI19" s="1"/>
  <c r="AK22"/>
  <c r="AK24"/>
  <c r="AL25"/>
  <c r="AG25"/>
  <c r="AK28"/>
  <c r="AK30"/>
  <c r="AL31"/>
  <c r="AG31"/>
  <c r="AK34"/>
  <c r="AK36"/>
  <c r="AL37"/>
  <c r="AG37"/>
  <c r="AK40"/>
  <c r="AK42"/>
  <c r="AL43"/>
  <c r="AG43"/>
  <c r="AK46"/>
  <c r="AK48"/>
  <c r="AL49"/>
  <c r="AG49"/>
  <c r="AK52"/>
  <c r="AK54"/>
  <c r="AL55"/>
  <c r="AG55"/>
  <c r="AL70"/>
  <c r="AG70"/>
  <c r="AK71"/>
  <c r="AL72"/>
  <c r="AG72"/>
  <c r="AK73"/>
  <c r="AL82"/>
  <c r="AG82"/>
  <c r="AL11" i="92"/>
  <c r="AG11"/>
  <c r="AL12"/>
  <c r="AG12"/>
  <c r="AL14"/>
  <c r="AG14"/>
  <c r="AL15"/>
  <c r="AG15"/>
  <c r="AL16"/>
  <c r="AG16"/>
  <c r="AL17"/>
  <c r="AG17"/>
  <c r="AH19"/>
  <c r="AL21"/>
  <c r="AG21"/>
  <c r="AK23"/>
  <c r="AK27"/>
  <c r="AL29"/>
  <c r="AG29"/>
  <c r="AH31"/>
  <c r="AL33"/>
  <c r="AG33"/>
  <c r="AL34"/>
  <c r="AG34"/>
  <c r="AL36"/>
  <c r="AG36"/>
  <c r="AK37"/>
  <c r="AL40"/>
  <c r="AG40"/>
  <c r="AL42"/>
  <c r="AG42"/>
  <c r="AK43"/>
  <c r="AL46"/>
  <c r="AG46"/>
  <c r="AL48"/>
  <c r="AG48"/>
  <c r="AK49"/>
  <c r="AL52"/>
  <c r="AG52"/>
  <c r="AL54"/>
  <c r="AG54"/>
  <c r="AK55"/>
  <c r="AL60"/>
  <c r="AG60"/>
  <c r="AI60" s="1"/>
  <c r="BA60"/>
  <c r="BB60" s="1"/>
  <c r="AL61"/>
  <c r="AG61"/>
  <c r="BA61"/>
  <c r="BB61" s="1"/>
  <c r="AL64"/>
  <c r="AG64"/>
  <c r="AI64" s="1"/>
  <c r="BA64"/>
  <c r="BB64" s="1"/>
  <c r="AL65"/>
  <c r="AG65"/>
  <c r="BA65"/>
  <c r="BB65" s="1"/>
  <c r="AK70"/>
  <c r="AL71"/>
  <c r="AG71"/>
  <c r="AK72"/>
  <c r="AL73"/>
  <c r="AG73"/>
  <c r="AK82"/>
  <c r="AK10" i="93"/>
  <c r="AK12"/>
  <c r="AL13"/>
  <c r="AG13"/>
  <c r="AK16"/>
  <c r="AK18"/>
  <c r="AL19"/>
  <c r="AG19"/>
  <c r="AK22"/>
  <c r="AK24"/>
  <c r="AL25"/>
  <c r="AG25"/>
  <c r="AK28"/>
  <c r="AK30"/>
  <c r="AL31"/>
  <c r="AG31"/>
  <c r="AK34"/>
  <c r="AK36"/>
  <c r="AL37"/>
  <c r="AG37"/>
  <c r="AK40"/>
  <c r="AK42"/>
  <c r="AL43"/>
  <c r="AG43"/>
  <c r="AK46"/>
  <c r="AK48"/>
  <c r="AL49"/>
  <c r="AG49"/>
  <c r="AK52"/>
  <c r="AK54"/>
  <c r="AL55"/>
  <c r="AG55"/>
  <c r="BA67"/>
  <c r="BB67" s="1"/>
  <c r="AL70"/>
  <c r="AG70"/>
  <c r="AI70" s="1"/>
  <c r="AK71"/>
  <c r="AL72"/>
  <c r="AG72"/>
  <c r="AI72" s="1"/>
  <c r="AK73"/>
  <c r="AL82"/>
  <c r="AG82"/>
  <c r="AL10" i="94"/>
  <c r="AK13"/>
  <c r="AL18"/>
  <c r="AL19"/>
  <c r="AG19"/>
  <c r="AK23"/>
  <c r="AK27"/>
  <c r="AL29"/>
  <c r="AG29"/>
  <c r="AH31"/>
  <c r="AL33"/>
  <c r="AG33"/>
  <c r="AK35"/>
  <c r="AK39"/>
  <c r="AL41"/>
  <c r="AG41"/>
  <c r="AH43"/>
  <c r="AL45"/>
  <c r="AG45"/>
  <c r="AL46"/>
  <c r="AG46"/>
  <c r="AL48"/>
  <c r="AG48"/>
  <c r="AK49"/>
  <c r="AL52"/>
  <c r="AG52"/>
  <c r="AL54"/>
  <c r="AG54"/>
  <c r="AK55"/>
  <c r="AG63"/>
  <c r="BA63"/>
  <c r="BB63" s="1"/>
  <c r="AG71"/>
  <c r="AG73"/>
  <c r="Q3" i="82"/>
  <c r="F92" i="22" s="1"/>
  <c r="AI11" i="82"/>
  <c r="AK12"/>
  <c r="AG14"/>
  <c r="AG16"/>
  <c r="AI16" s="1"/>
  <c r="AI17"/>
  <c r="AK18"/>
  <c r="AG22"/>
  <c r="AG28"/>
  <c r="AG30"/>
  <c r="AG34"/>
  <c r="AG36"/>
  <c r="AG40"/>
  <c r="AG42"/>
  <c r="AG46"/>
  <c r="AG48"/>
  <c r="AG52"/>
  <c r="AG54"/>
  <c r="AG60"/>
  <c r="BA60"/>
  <c r="BB60" s="1"/>
  <c r="AG61"/>
  <c r="BA61"/>
  <c r="BB61" s="1"/>
  <c r="AG64"/>
  <c r="BA64"/>
  <c r="BB64" s="1"/>
  <c r="AG65"/>
  <c r="BA65"/>
  <c r="BB65" s="1"/>
  <c r="AG71"/>
  <c r="AG73"/>
  <c r="AG13" i="83"/>
  <c r="AG19"/>
  <c r="AG25"/>
  <c r="AG31"/>
  <c r="AG37"/>
  <c r="AG43"/>
  <c r="AG49"/>
  <c r="AG55"/>
  <c r="BA59"/>
  <c r="BB59" s="1"/>
  <c r="BA61"/>
  <c r="BB61" s="1"/>
  <c r="BA63"/>
  <c r="BB63" s="1"/>
  <c r="BA65"/>
  <c r="BB65" s="1"/>
  <c r="AG70"/>
  <c r="AG72"/>
  <c r="AG82"/>
  <c r="AG11" i="84"/>
  <c r="AG14"/>
  <c r="AG15"/>
  <c r="AG17"/>
  <c r="AK22"/>
  <c r="AG24"/>
  <c r="AG26"/>
  <c r="AI26" s="1"/>
  <c r="AI27"/>
  <c r="AK28"/>
  <c r="AG30"/>
  <c r="AI30" s="1"/>
  <c r="AK32"/>
  <c r="AK34"/>
  <c r="AG36"/>
  <c r="AG38"/>
  <c r="AG39"/>
  <c r="AG40"/>
  <c r="AG41"/>
  <c r="AG42"/>
  <c r="AG44"/>
  <c r="AG45"/>
  <c r="AG46"/>
  <c r="AG47"/>
  <c r="AG48"/>
  <c r="AG50"/>
  <c r="AG51"/>
  <c r="AG52"/>
  <c r="AG53"/>
  <c r="AG54"/>
  <c r="AG59"/>
  <c r="AG60"/>
  <c r="AG61"/>
  <c r="AG62"/>
  <c r="AG65"/>
  <c r="BA65"/>
  <c r="BB65" s="1"/>
  <c r="AG66"/>
  <c r="BA66"/>
  <c r="BB66" s="1"/>
  <c r="BA67"/>
  <c r="BB67" s="1"/>
  <c r="AG71"/>
  <c r="AG73"/>
  <c r="AG13" i="85"/>
  <c r="AG19"/>
  <c r="AG25"/>
  <c r="AG31"/>
  <c r="AG37"/>
  <c r="AG45"/>
  <c r="AI45" s="1"/>
  <c r="AI46"/>
  <c r="AK47"/>
  <c r="AI50"/>
  <c r="AK51"/>
  <c r="AG53"/>
  <c r="AI53" s="1"/>
  <c r="AI54"/>
  <c r="AI61"/>
  <c r="BA62"/>
  <c r="BB62" s="1"/>
  <c r="BA63"/>
  <c r="BB63" s="1"/>
  <c r="AI65"/>
  <c r="BA66"/>
  <c r="BB66" s="1"/>
  <c r="AK71"/>
  <c r="AG73"/>
  <c r="AG77"/>
  <c r="AG17" i="86"/>
  <c r="AI17" s="1"/>
  <c r="AI18"/>
  <c r="AG21"/>
  <c r="AI21" s="1"/>
  <c r="AI22"/>
  <c r="AK23"/>
  <c r="AI26"/>
  <c r="AK27"/>
  <c r="AG29"/>
  <c r="AI29" s="1"/>
  <c r="AI30"/>
  <c r="AG33"/>
  <c r="AI33" s="1"/>
  <c r="AI34"/>
  <c r="AK35"/>
  <c r="AI38"/>
  <c r="BA65"/>
  <c r="BB65" s="1"/>
  <c r="BA66"/>
  <c r="BB66" s="1"/>
  <c r="AG13" i="87"/>
  <c r="AG19"/>
  <c r="AG25"/>
  <c r="AG31"/>
  <c r="AG37"/>
  <c r="AG43"/>
  <c r="AG49"/>
  <c r="AG55"/>
  <c r="AG70"/>
  <c r="AI70" s="1"/>
  <c r="AG72"/>
  <c r="AG82"/>
  <c r="AG11" i="88"/>
  <c r="AG12"/>
  <c r="AG14"/>
  <c r="AG15"/>
  <c r="AG16"/>
  <c r="AG17"/>
  <c r="AG18"/>
  <c r="AG20"/>
  <c r="AG21"/>
  <c r="AG22"/>
  <c r="AG23"/>
  <c r="AG24"/>
  <c r="AG26"/>
  <c r="AG27"/>
  <c r="AG29"/>
  <c r="AG32"/>
  <c r="AG33"/>
  <c r="AG35"/>
  <c r="AG38"/>
  <c r="AG39"/>
  <c r="AG41"/>
  <c r="AG44"/>
  <c r="AG45"/>
  <c r="AG47"/>
  <c r="AG50"/>
  <c r="AG51"/>
  <c r="AG53"/>
  <c r="AG59"/>
  <c r="AG62"/>
  <c r="BA62"/>
  <c r="BB62" s="1"/>
  <c r="AG63"/>
  <c r="BA63"/>
  <c r="BB63" s="1"/>
  <c r="AG66"/>
  <c r="BA66"/>
  <c r="BB66" s="1"/>
  <c r="AG77"/>
  <c r="AG13" i="89"/>
  <c r="AG19"/>
  <c r="AG55"/>
  <c r="AG70"/>
  <c r="AI70" s="1"/>
  <c r="AG72"/>
  <c r="AG82"/>
  <c r="AG11" i="90"/>
  <c r="AG14"/>
  <c r="AI14" s="1"/>
  <c r="AG15"/>
  <c r="AI15" s="1"/>
  <c r="AG17"/>
  <c r="AG20"/>
  <c r="AI20" s="1"/>
  <c r="AG21"/>
  <c r="AI21" s="1"/>
  <c r="AG23"/>
  <c r="AG26"/>
  <c r="AI26" s="1"/>
  <c r="AG27"/>
  <c r="AI27" s="1"/>
  <c r="AG29"/>
  <c r="AI29" s="1"/>
  <c r="AG32"/>
  <c r="AI32" s="1"/>
  <c r="AG33"/>
  <c r="AG35"/>
  <c r="AI35" s="1"/>
  <c r="AG38"/>
  <c r="AG39"/>
  <c r="AG41"/>
  <c r="AG44"/>
  <c r="AG45"/>
  <c r="AI45" s="1"/>
  <c r="AG47"/>
  <c r="AI47" s="1"/>
  <c r="AG50"/>
  <c r="AG51"/>
  <c r="AI51" s="1"/>
  <c r="AG53"/>
  <c r="AI53" s="1"/>
  <c r="AG61"/>
  <c r="BA61"/>
  <c r="BB61" s="1"/>
  <c r="AG62"/>
  <c r="AI62" s="1"/>
  <c r="BA62"/>
  <c r="BB62" s="1"/>
  <c r="AG65"/>
  <c r="BA65"/>
  <c r="BB65" s="1"/>
  <c r="AG66"/>
  <c r="AI66" s="1"/>
  <c r="BA66"/>
  <c r="BB66" s="1"/>
  <c r="AG77"/>
  <c r="AI77" s="1"/>
  <c r="AG78" i="91"/>
  <c r="AI78" s="1"/>
  <c r="AG86"/>
  <c r="AI86" s="1"/>
  <c r="AK17" i="92"/>
  <c r="AI20"/>
  <c r="AK21"/>
  <c r="AG23"/>
  <c r="AI23" s="1"/>
  <c r="AI24"/>
  <c r="AG27"/>
  <c r="AI27" s="1"/>
  <c r="AI28"/>
  <c r="AK29"/>
  <c r="AI32"/>
  <c r="AK33"/>
  <c r="AG35"/>
  <c r="AI35" s="1"/>
  <c r="AG38"/>
  <c r="AG39"/>
  <c r="AI39" s="1"/>
  <c r="AG41"/>
  <c r="AI41" s="1"/>
  <c r="AG44"/>
  <c r="AG45"/>
  <c r="AI45" s="1"/>
  <c r="AG47"/>
  <c r="AI47" s="1"/>
  <c r="AG50"/>
  <c r="AG51"/>
  <c r="AI51" s="1"/>
  <c r="AG53"/>
  <c r="AI53" s="1"/>
  <c r="AG59"/>
  <c r="AG62"/>
  <c r="AI62" s="1"/>
  <c r="BA62"/>
  <c r="BB62" s="1"/>
  <c r="AG63"/>
  <c r="BA63"/>
  <c r="BB63" s="1"/>
  <c r="AG66"/>
  <c r="AI66" s="1"/>
  <c r="BA66"/>
  <c r="BB66" s="1"/>
  <c r="AG77"/>
  <c r="AI77" s="1"/>
  <c r="BA66" i="93"/>
  <c r="BB66" s="1"/>
  <c r="AG78"/>
  <c r="AG86"/>
  <c r="AG11" i="94"/>
  <c r="AG12"/>
  <c r="AG14"/>
  <c r="AG15"/>
  <c r="AG16"/>
  <c r="AI16" s="1"/>
  <c r="AG23"/>
  <c r="AI23" s="1"/>
  <c r="AI24"/>
  <c r="AG27"/>
  <c r="AI27" s="1"/>
  <c r="AI28"/>
  <c r="AK29"/>
  <c r="AI32"/>
  <c r="AK33"/>
  <c r="AG35"/>
  <c r="AI35" s="1"/>
  <c r="AI36"/>
  <c r="AG39"/>
  <c r="AI39" s="1"/>
  <c r="AI40"/>
  <c r="AK41"/>
  <c r="AI44"/>
  <c r="AK45"/>
  <c r="AG47"/>
  <c r="AI47" s="1"/>
  <c r="AG50"/>
  <c r="AG51"/>
  <c r="AI51" s="1"/>
  <c r="AG53"/>
  <c r="AI53" s="1"/>
  <c r="BA67"/>
  <c r="BB67" s="1"/>
  <c r="AL16" i="101"/>
  <c r="AG16"/>
  <c r="AI16" s="1"/>
  <c r="AL59" i="94"/>
  <c r="AG59"/>
  <c r="AL60"/>
  <c r="AG60"/>
  <c r="AI60" s="1"/>
  <c r="AL61"/>
  <c r="AG61"/>
  <c r="AL62"/>
  <c r="AG62"/>
  <c r="AI62" s="1"/>
  <c r="AL64"/>
  <c r="AG64"/>
  <c r="AI64" s="1"/>
  <c r="AL65"/>
  <c r="AG65"/>
  <c r="AL66"/>
  <c r="AG66"/>
  <c r="AI66" s="1"/>
  <c r="AL77"/>
  <c r="AG77"/>
  <c r="AI77" s="1"/>
  <c r="AK78"/>
  <c r="AK86"/>
  <c r="AK11" i="95"/>
  <c r="AK14"/>
  <c r="AK15"/>
  <c r="AK17"/>
  <c r="AK20"/>
  <c r="AK21"/>
  <c r="AK23"/>
  <c r="AK26"/>
  <c r="AK27"/>
  <c r="AK29"/>
  <c r="AK32"/>
  <c r="AK33"/>
  <c r="AK35"/>
  <c r="AK38"/>
  <c r="AK39"/>
  <c r="AH50"/>
  <c r="BA60"/>
  <c r="BB60" s="1"/>
  <c r="BA61"/>
  <c r="BB61" s="1"/>
  <c r="BA62"/>
  <c r="BB62" s="1"/>
  <c r="BA63"/>
  <c r="BB63" s="1"/>
  <c r="BA64"/>
  <c r="BB64" s="1"/>
  <c r="AH66"/>
  <c r="AH71"/>
  <c r="AK11" i="96"/>
  <c r="AL16"/>
  <c r="AG16"/>
  <c r="AI16" s="1"/>
  <c r="AK18"/>
  <c r="AK20"/>
  <c r="AL22"/>
  <c r="AG22"/>
  <c r="AI22" s="1"/>
  <c r="AK24"/>
  <c r="AL26"/>
  <c r="AG26"/>
  <c r="AL28"/>
  <c r="AG28"/>
  <c r="AI28" s="1"/>
  <c r="AK30"/>
  <c r="AK32"/>
  <c r="AL33"/>
  <c r="AG33"/>
  <c r="AL34"/>
  <c r="AG34"/>
  <c r="AL35"/>
  <c r="AG35"/>
  <c r="AL36"/>
  <c r="AG36"/>
  <c r="AL38"/>
  <c r="AG38"/>
  <c r="AL39"/>
  <c r="AG39"/>
  <c r="AL40"/>
  <c r="AG40"/>
  <c r="AL41"/>
  <c r="AG41"/>
  <c r="AL42"/>
  <c r="AG42"/>
  <c r="AL44"/>
  <c r="AG44"/>
  <c r="AL45"/>
  <c r="AG45"/>
  <c r="AL46"/>
  <c r="AG46"/>
  <c r="AL47"/>
  <c r="AG47"/>
  <c r="AL48"/>
  <c r="AG48"/>
  <c r="AL50"/>
  <c r="AG50"/>
  <c r="AL51"/>
  <c r="AG51"/>
  <c r="AL52"/>
  <c r="AG52"/>
  <c r="AL53"/>
  <c r="AG53"/>
  <c r="AK54"/>
  <c r="AL55"/>
  <c r="AG55"/>
  <c r="AL70"/>
  <c r="AL72"/>
  <c r="AL78"/>
  <c r="AL82"/>
  <c r="AL86"/>
  <c r="AL11" i="97"/>
  <c r="AK13"/>
  <c r="AL14"/>
  <c r="AL15"/>
  <c r="AL17"/>
  <c r="AK19"/>
  <c r="AL20"/>
  <c r="AL21"/>
  <c r="AL23"/>
  <c r="AK25"/>
  <c r="AL26"/>
  <c r="AL27"/>
  <c r="AL29"/>
  <c r="AK31"/>
  <c r="AL32"/>
  <c r="AL33"/>
  <c r="AL35"/>
  <c r="AK37"/>
  <c r="AL38"/>
  <c r="AL39"/>
  <c r="AL41"/>
  <c r="AK43"/>
  <c r="AL44"/>
  <c r="AL45"/>
  <c r="AL47"/>
  <c r="AK49"/>
  <c r="AL50"/>
  <c r="AL51"/>
  <c r="AL53"/>
  <c r="AK55"/>
  <c r="BA58"/>
  <c r="AL61"/>
  <c r="BA61"/>
  <c r="BB61" s="1"/>
  <c r="AL62"/>
  <c r="BA62"/>
  <c r="BB62" s="1"/>
  <c r="AL64"/>
  <c r="BA64"/>
  <c r="BB64" s="1"/>
  <c r="AL66"/>
  <c r="BA66"/>
  <c r="BB66" s="1"/>
  <c r="BA68"/>
  <c r="BB68" s="1"/>
  <c r="AK70"/>
  <c r="AK72"/>
  <c r="AL77"/>
  <c r="AL78"/>
  <c r="AG78"/>
  <c r="AK82"/>
  <c r="AL86"/>
  <c r="AG86"/>
  <c r="AK11" i="98"/>
  <c r="AK15"/>
  <c r="AL17"/>
  <c r="AG17"/>
  <c r="AH19"/>
  <c r="AL21"/>
  <c r="AG21"/>
  <c r="AI21" s="1"/>
  <c r="AK23"/>
  <c r="AL24"/>
  <c r="AG24"/>
  <c r="AL25"/>
  <c r="AK26"/>
  <c r="AK27"/>
  <c r="AL28"/>
  <c r="AG28"/>
  <c r="AK29"/>
  <c r="AL30"/>
  <c r="AG30"/>
  <c r="AL31"/>
  <c r="AK32"/>
  <c r="AK33"/>
  <c r="AL34"/>
  <c r="AG34"/>
  <c r="AK35"/>
  <c r="AL36"/>
  <c r="AG36"/>
  <c r="AL37"/>
  <c r="AK38"/>
  <c r="AK39"/>
  <c r="AL40"/>
  <c r="AG40"/>
  <c r="AK41"/>
  <c r="AL42"/>
  <c r="AG42"/>
  <c r="AL43"/>
  <c r="AK44"/>
  <c r="AK45"/>
  <c r="AL46"/>
  <c r="AG46"/>
  <c r="AK47"/>
  <c r="AL48"/>
  <c r="AG48"/>
  <c r="AL49"/>
  <c r="AK50"/>
  <c r="AK51"/>
  <c r="AL52"/>
  <c r="AG52"/>
  <c r="AK53"/>
  <c r="AL54"/>
  <c r="AG54"/>
  <c r="AL55"/>
  <c r="AK59"/>
  <c r="AK60"/>
  <c r="AL61"/>
  <c r="AG61"/>
  <c r="BA61"/>
  <c r="BB61" s="1"/>
  <c r="AL62"/>
  <c r="AG62"/>
  <c r="BA62"/>
  <c r="BB62" s="1"/>
  <c r="AK63"/>
  <c r="AK64"/>
  <c r="AL65"/>
  <c r="AG65"/>
  <c r="BA65"/>
  <c r="BB65" s="1"/>
  <c r="AL66"/>
  <c r="AG66"/>
  <c r="BA66"/>
  <c r="BB66" s="1"/>
  <c r="AK71"/>
  <c r="AK73"/>
  <c r="AL77"/>
  <c r="AG77"/>
  <c r="AL78"/>
  <c r="AL86"/>
  <c r="AL12" i="99"/>
  <c r="AL13"/>
  <c r="AG13"/>
  <c r="AL16"/>
  <c r="AL18"/>
  <c r="AL19"/>
  <c r="AG19"/>
  <c r="AL22"/>
  <c r="AL24"/>
  <c r="AL25"/>
  <c r="AG25"/>
  <c r="AL28"/>
  <c r="AL30"/>
  <c r="AL31"/>
  <c r="AG31"/>
  <c r="AL34"/>
  <c r="AL36"/>
  <c r="AL37"/>
  <c r="AG37"/>
  <c r="AL40"/>
  <c r="AL42"/>
  <c r="AL43"/>
  <c r="AG43"/>
  <c r="AL46"/>
  <c r="AL48"/>
  <c r="AL49"/>
  <c r="AG49"/>
  <c r="AL52"/>
  <c r="AL54"/>
  <c r="AL55"/>
  <c r="AG55"/>
  <c r="AL59"/>
  <c r="BA59"/>
  <c r="BB59" s="1"/>
  <c r="AL61"/>
  <c r="BA61"/>
  <c r="BB61" s="1"/>
  <c r="AL62"/>
  <c r="BA62"/>
  <c r="BB62" s="1"/>
  <c r="AL64"/>
  <c r="BA64"/>
  <c r="BB64" s="1"/>
  <c r="AL65"/>
  <c r="BA65"/>
  <c r="BB65" s="1"/>
  <c r="AL66"/>
  <c r="BA66"/>
  <c r="BB66" s="1"/>
  <c r="BA68"/>
  <c r="BB68" s="1"/>
  <c r="AK70"/>
  <c r="AK72"/>
  <c r="AL77"/>
  <c r="AL78"/>
  <c r="AG78"/>
  <c r="AK82"/>
  <c r="AL86"/>
  <c r="AG86"/>
  <c r="AK11" i="100"/>
  <c r="AK12"/>
  <c r="AL13"/>
  <c r="AK14"/>
  <c r="AK15"/>
  <c r="AK16"/>
  <c r="AK17"/>
  <c r="AK18"/>
  <c r="AL19"/>
  <c r="AK20"/>
  <c r="AK21"/>
  <c r="AK22"/>
  <c r="AK23"/>
  <c r="AK24"/>
  <c r="AL25"/>
  <c r="AK26"/>
  <c r="AK27"/>
  <c r="AK28"/>
  <c r="AK29"/>
  <c r="AK30"/>
  <c r="AL31"/>
  <c r="AK32"/>
  <c r="AK33"/>
  <c r="AK34"/>
  <c r="AK35"/>
  <c r="AK36"/>
  <c r="AL37"/>
  <c r="AK38"/>
  <c r="AK39"/>
  <c r="AK40"/>
  <c r="AK41"/>
  <c r="AK42"/>
  <c r="AL43"/>
  <c r="AK44"/>
  <c r="AK45"/>
  <c r="AK46"/>
  <c r="AK47"/>
  <c r="AK48"/>
  <c r="AL50"/>
  <c r="AG50"/>
  <c r="AL51"/>
  <c r="AG51"/>
  <c r="AK52"/>
  <c r="AL53"/>
  <c r="AG53"/>
  <c r="AK54"/>
  <c r="BA58"/>
  <c r="BB58" s="1"/>
  <c r="AL59"/>
  <c r="AG59"/>
  <c r="BA59"/>
  <c r="BB59" s="1"/>
  <c r="AK60"/>
  <c r="AL61"/>
  <c r="BA61"/>
  <c r="BB61" s="1"/>
  <c r="AL62"/>
  <c r="BA62"/>
  <c r="BB62" s="1"/>
  <c r="AH63"/>
  <c r="BA65"/>
  <c r="BB65" s="1"/>
  <c r="AL66"/>
  <c r="BA66"/>
  <c r="BB66" s="1"/>
  <c r="BA68"/>
  <c r="BB68" s="1"/>
  <c r="AK70"/>
  <c r="AL71"/>
  <c r="AL72"/>
  <c r="AG72"/>
  <c r="AI72" s="1"/>
  <c r="AL77"/>
  <c r="AL78"/>
  <c r="AG78"/>
  <c r="AI78" s="1"/>
  <c r="AL82"/>
  <c r="AG82"/>
  <c r="AI82" s="1"/>
  <c r="AL86"/>
  <c r="AG86"/>
  <c r="AI86" s="1"/>
  <c r="AK12" i="101"/>
  <c r="AL14"/>
  <c r="AG14"/>
  <c r="AK16"/>
  <c r="AL18"/>
  <c r="AK18"/>
  <c r="AL20"/>
  <c r="AK20"/>
  <c r="AL22"/>
  <c r="AK22"/>
  <c r="AL26"/>
  <c r="AK26"/>
  <c r="AL28"/>
  <c r="AK28"/>
  <c r="AL30"/>
  <c r="AK30"/>
  <c r="AL32"/>
  <c r="AK32"/>
  <c r="AG13" i="95"/>
  <c r="AI13" s="1"/>
  <c r="AG19"/>
  <c r="AI19" s="1"/>
  <c r="AG25"/>
  <c r="AI25" s="1"/>
  <c r="AG31"/>
  <c r="AI31" s="1"/>
  <c r="AG37"/>
  <c r="AI43"/>
  <c r="AI55"/>
  <c r="BA65"/>
  <c r="BB65" s="1"/>
  <c r="BA66"/>
  <c r="BB66" s="1"/>
  <c r="AI70"/>
  <c r="AI78"/>
  <c r="AI86"/>
  <c r="AG11" i="96"/>
  <c r="AI11" s="1"/>
  <c r="AI12"/>
  <c r="AK16"/>
  <c r="AG18"/>
  <c r="AG20"/>
  <c r="AI20" s="1"/>
  <c r="AK22"/>
  <c r="AG24"/>
  <c r="AI24" s="1"/>
  <c r="AK26"/>
  <c r="AK28"/>
  <c r="AG30"/>
  <c r="AG32"/>
  <c r="AI32" s="1"/>
  <c r="BA69"/>
  <c r="BB69" s="1"/>
  <c r="AG13" i="97"/>
  <c r="AG19"/>
  <c r="AG25"/>
  <c r="AG31"/>
  <c r="AG37"/>
  <c r="AG43"/>
  <c r="AG49"/>
  <c r="AG55"/>
  <c r="BA59"/>
  <c r="BB59" s="1"/>
  <c r="BA60"/>
  <c r="BB60" s="1"/>
  <c r="BA63"/>
  <c r="BB63" s="1"/>
  <c r="BA65"/>
  <c r="BB65" s="1"/>
  <c r="AG70"/>
  <c r="AG72"/>
  <c r="AG82"/>
  <c r="AG11" i="98"/>
  <c r="AI11" s="1"/>
  <c r="AI12"/>
  <c r="AG15"/>
  <c r="AI15" s="1"/>
  <c r="AI16"/>
  <c r="AK17"/>
  <c r="AI20"/>
  <c r="AK21"/>
  <c r="AG23"/>
  <c r="AG26"/>
  <c r="AG27"/>
  <c r="AG29"/>
  <c r="AG32"/>
  <c r="AG33"/>
  <c r="AG35"/>
  <c r="AG38"/>
  <c r="AG39"/>
  <c r="AG41"/>
  <c r="AG44"/>
  <c r="AG45"/>
  <c r="AG47"/>
  <c r="AG50"/>
  <c r="AG51"/>
  <c r="AG53"/>
  <c r="AG59"/>
  <c r="AG60"/>
  <c r="AG63"/>
  <c r="BA63"/>
  <c r="BB63" s="1"/>
  <c r="AG64"/>
  <c r="BA64"/>
  <c r="BB64" s="1"/>
  <c r="AG71"/>
  <c r="AG73"/>
  <c r="BA60" i="99"/>
  <c r="BB60" s="1"/>
  <c r="AG70"/>
  <c r="AG72"/>
  <c r="AG82"/>
  <c r="AG11" i="100"/>
  <c r="AG12"/>
  <c r="AG14"/>
  <c r="AG15"/>
  <c r="AG16"/>
  <c r="AG17"/>
  <c r="AG18"/>
  <c r="AG20"/>
  <c r="AG21"/>
  <c r="AG22"/>
  <c r="AG23"/>
  <c r="AG24"/>
  <c r="AG26"/>
  <c r="AG27"/>
  <c r="AG28"/>
  <c r="AG29"/>
  <c r="AG30"/>
  <c r="AG32"/>
  <c r="AG33"/>
  <c r="AG34"/>
  <c r="AG35"/>
  <c r="AG36"/>
  <c r="AG38"/>
  <c r="AG39"/>
  <c r="AG40"/>
  <c r="AG41"/>
  <c r="AG42"/>
  <c r="AG44"/>
  <c r="AG45"/>
  <c r="AG46"/>
  <c r="AG47"/>
  <c r="AG48"/>
  <c r="AG52"/>
  <c r="AG54"/>
  <c r="AG60"/>
  <c r="BA60"/>
  <c r="BB60" s="1"/>
  <c r="BA63"/>
  <c r="BB63" s="1"/>
  <c r="BA64"/>
  <c r="BB64" s="1"/>
  <c r="AG70"/>
  <c r="AK72"/>
  <c r="AK78"/>
  <c r="AK82"/>
  <c r="AK86"/>
  <c r="AG12" i="101"/>
  <c r="AI12" s="1"/>
  <c r="AK14"/>
  <c r="AG18"/>
  <c r="AI18" s="1"/>
  <c r="AG20"/>
  <c r="AI20" s="1"/>
  <c r="AG22"/>
  <c r="AK24"/>
  <c r="AG26"/>
  <c r="AG28"/>
  <c r="AI28" s="1"/>
  <c r="AG30"/>
  <c r="AG32"/>
  <c r="AI32" s="1"/>
  <c r="AI33"/>
  <c r="AK34"/>
  <c r="AG36"/>
  <c r="AI36" s="1"/>
  <c r="AK38"/>
  <c r="AK40"/>
  <c r="AG42"/>
  <c r="AG47"/>
  <c r="AG50"/>
  <c r="AG51"/>
  <c r="AI51" s="1"/>
  <c r="AG54"/>
  <c r="AG59"/>
  <c r="BA59"/>
  <c r="BB59" s="1"/>
  <c r="AG60"/>
  <c r="BA60"/>
  <c r="BB60" s="1"/>
  <c r="AG63"/>
  <c r="BA63"/>
  <c r="BB63" s="1"/>
  <c r="AG64"/>
  <c r="AI64" s="1"/>
  <c r="BA64"/>
  <c r="BB64" s="1"/>
  <c r="AG77"/>
  <c r="AG13" i="102"/>
  <c r="AG19"/>
  <c r="AI19" s="1"/>
  <c r="AG25"/>
  <c r="AG31"/>
  <c r="AI31" s="1"/>
  <c r="AG37"/>
  <c r="AG43"/>
  <c r="AI43" s="1"/>
  <c r="AG49"/>
  <c r="AG55"/>
  <c r="AI55" s="1"/>
  <c r="BA67"/>
  <c r="BB67" s="1"/>
  <c r="AG70"/>
  <c r="AI70" s="1"/>
  <c r="AG72"/>
  <c r="AI72" s="1"/>
  <c r="AG82"/>
  <c r="AG11" i="103"/>
  <c r="AG14"/>
  <c r="AG15"/>
  <c r="AI15" s="1"/>
  <c r="AG17"/>
  <c r="AG20"/>
  <c r="AG21"/>
  <c r="AG23"/>
  <c r="AI23" s="1"/>
  <c r="AG26"/>
  <c r="AG27"/>
  <c r="AG29"/>
  <c r="AG32"/>
  <c r="AI32" s="1"/>
  <c r="AG33"/>
  <c r="AI33" s="1"/>
  <c r="AG35"/>
  <c r="AG38"/>
  <c r="AI38" s="1"/>
  <c r="AG39"/>
  <c r="AI39" s="1"/>
  <c r="AG41"/>
  <c r="AI41" s="1"/>
  <c r="AG44"/>
  <c r="AI44" s="1"/>
  <c r="AG45"/>
  <c r="AG47"/>
  <c r="AG50"/>
  <c r="AI50" s="1"/>
  <c r="AG51"/>
  <c r="AG53"/>
  <c r="AG59"/>
  <c r="AG62"/>
  <c r="BA62"/>
  <c r="BB62" s="1"/>
  <c r="AG63"/>
  <c r="BA63"/>
  <c r="BB63" s="1"/>
  <c r="AG66"/>
  <c r="BA66"/>
  <c r="BB66" s="1"/>
  <c r="AG77"/>
  <c r="BA69" i="104"/>
  <c r="BB69" s="1"/>
  <c r="AG78"/>
  <c r="AG86"/>
  <c r="AI31" i="105"/>
  <c r="AL38"/>
  <c r="BA60"/>
  <c r="BB60" s="1"/>
  <c r="AL61"/>
  <c r="BA61"/>
  <c r="BB61" s="1"/>
  <c r="AL62"/>
  <c r="BA62"/>
  <c r="BB62" s="1"/>
  <c r="AL63"/>
  <c r="BA63"/>
  <c r="BB63" s="1"/>
  <c r="AL65"/>
  <c r="BA65"/>
  <c r="BB65" s="1"/>
  <c r="AL66"/>
  <c r="BA66"/>
  <c r="BB66" s="1"/>
  <c r="BA68"/>
  <c r="BB68" s="1"/>
  <c r="AK70"/>
  <c r="AK72"/>
  <c r="AL77"/>
  <c r="AL78"/>
  <c r="AG78"/>
  <c r="AK82"/>
  <c r="AL86"/>
  <c r="AG86"/>
  <c r="AK11" i="106"/>
  <c r="AK12"/>
  <c r="AL13"/>
  <c r="AK14"/>
  <c r="AK15"/>
  <c r="AK16"/>
  <c r="AK17"/>
  <c r="AK18"/>
  <c r="AL19"/>
  <c r="AK20"/>
  <c r="AK21"/>
  <c r="AK22"/>
  <c r="AK23"/>
  <c r="AK24"/>
  <c r="AL25"/>
  <c r="AK26"/>
  <c r="AK27"/>
  <c r="AK28"/>
  <c r="AK29"/>
  <c r="AK30"/>
  <c r="AL31"/>
  <c r="AK32"/>
  <c r="AK33"/>
  <c r="AK34"/>
  <c r="AK35"/>
  <c r="AK36"/>
  <c r="AL37"/>
  <c r="AK38"/>
  <c r="AK39"/>
  <c r="AK40"/>
  <c r="AK41"/>
  <c r="AK42"/>
  <c r="AL43"/>
  <c r="AK44"/>
  <c r="AK45"/>
  <c r="AK46"/>
  <c r="AK47"/>
  <c r="AK50"/>
  <c r="AK51"/>
  <c r="AK53"/>
  <c r="AI55"/>
  <c r="BA58"/>
  <c r="BA59"/>
  <c r="BB59" s="1"/>
  <c r="AH60"/>
  <c r="BA62"/>
  <c r="BB62" s="1"/>
  <c r="BA63"/>
  <c r="BB63" s="1"/>
  <c r="AH64"/>
  <c r="BA66"/>
  <c r="BB66" s="1"/>
  <c r="BA68"/>
  <c r="BB68" s="1"/>
  <c r="AI70"/>
  <c r="AH73"/>
  <c r="AH77"/>
  <c r="AI78"/>
  <c r="AI86"/>
  <c r="AI11" i="107"/>
  <c r="AK12"/>
  <c r="AL13"/>
  <c r="AK14"/>
  <c r="AK16"/>
  <c r="AK18"/>
  <c r="AL20"/>
  <c r="AG20"/>
  <c r="AL22"/>
  <c r="AG22"/>
  <c r="AI22" s="1"/>
  <c r="AI23"/>
  <c r="AH32"/>
  <c r="AL34"/>
  <c r="AL36"/>
  <c r="AL39"/>
  <c r="AL41"/>
  <c r="AH44"/>
  <c r="AL46"/>
  <c r="AL48"/>
  <c r="AL51"/>
  <c r="AL53"/>
  <c r="BA58"/>
  <c r="AL59"/>
  <c r="BA59"/>
  <c r="BB59" s="1"/>
  <c r="AH60"/>
  <c r="BA62"/>
  <c r="BB62" s="1"/>
  <c r="AL63"/>
  <c r="AH64"/>
  <c r="BA68"/>
  <c r="BB68" s="1"/>
  <c r="BA66"/>
  <c r="BB66" s="1"/>
  <c r="BA67"/>
  <c r="BB67" s="1"/>
  <c r="BA65"/>
  <c r="BB65" s="1"/>
  <c r="AL66"/>
  <c r="AH66"/>
  <c r="AL19" i="101"/>
  <c r="AL24"/>
  <c r="AG24"/>
  <c r="AI24" s="1"/>
  <c r="AL25"/>
  <c r="AL31"/>
  <c r="AL34"/>
  <c r="AG34"/>
  <c r="AI34" s="1"/>
  <c r="AK36"/>
  <c r="AL38"/>
  <c r="AG38"/>
  <c r="AL40"/>
  <c r="AG40"/>
  <c r="AI40" s="1"/>
  <c r="AL41"/>
  <c r="AG41"/>
  <c r="AL44"/>
  <c r="AG44"/>
  <c r="AL45"/>
  <c r="AG45"/>
  <c r="AL46"/>
  <c r="AG46"/>
  <c r="AL48"/>
  <c r="AG48"/>
  <c r="AK49"/>
  <c r="AL52"/>
  <c r="AG52"/>
  <c r="AL53"/>
  <c r="AG53"/>
  <c r="AI53" s="1"/>
  <c r="BA58"/>
  <c r="BB58" s="1"/>
  <c r="AL61"/>
  <c r="AG61"/>
  <c r="BA61"/>
  <c r="BB61" s="1"/>
  <c r="AL62"/>
  <c r="AG62"/>
  <c r="AI62" s="1"/>
  <c r="BA62"/>
  <c r="BB62" s="1"/>
  <c r="AL65"/>
  <c r="AG65"/>
  <c r="BA65"/>
  <c r="BB65" s="1"/>
  <c r="AL66"/>
  <c r="AG66"/>
  <c r="AI66" s="1"/>
  <c r="BA66"/>
  <c r="BB66" s="1"/>
  <c r="BA67"/>
  <c r="BB67" s="1"/>
  <c r="AK70"/>
  <c r="AL71"/>
  <c r="AG71"/>
  <c r="AK72"/>
  <c r="AL73"/>
  <c r="AG73"/>
  <c r="AK82"/>
  <c r="AK11" i="102"/>
  <c r="AK14"/>
  <c r="AK15"/>
  <c r="AK17"/>
  <c r="AK20"/>
  <c r="AK21"/>
  <c r="AK23"/>
  <c r="AK26"/>
  <c r="AK27"/>
  <c r="AK29"/>
  <c r="AK32"/>
  <c r="AK33"/>
  <c r="AK35"/>
  <c r="AK38"/>
  <c r="AK39"/>
  <c r="AK41"/>
  <c r="AK44"/>
  <c r="AK45"/>
  <c r="AK47"/>
  <c r="AK50"/>
  <c r="AK51"/>
  <c r="AK53"/>
  <c r="BA58"/>
  <c r="AK59"/>
  <c r="BA59"/>
  <c r="BB59" s="1"/>
  <c r="AK60"/>
  <c r="BA60"/>
  <c r="BB60" s="1"/>
  <c r="AK61"/>
  <c r="BA61"/>
  <c r="BB61" s="1"/>
  <c r="AK62"/>
  <c r="BA62"/>
  <c r="BB62" s="1"/>
  <c r="AK63"/>
  <c r="BA63"/>
  <c r="BB63" s="1"/>
  <c r="AK64"/>
  <c r="BA64"/>
  <c r="BB64" s="1"/>
  <c r="AK65"/>
  <c r="BA65"/>
  <c r="BB65" s="1"/>
  <c r="AK66"/>
  <c r="BA66"/>
  <c r="BB66" s="1"/>
  <c r="AK77"/>
  <c r="AL78"/>
  <c r="AG78"/>
  <c r="AL86"/>
  <c r="AG86"/>
  <c r="AL12" i="103"/>
  <c r="AG12"/>
  <c r="AK13"/>
  <c r="AL16"/>
  <c r="AG16"/>
  <c r="AI16" s="1"/>
  <c r="AL18"/>
  <c r="AG18"/>
  <c r="AK19"/>
  <c r="AL22"/>
  <c r="AG22"/>
  <c r="AI22" s="1"/>
  <c r="AL24"/>
  <c r="AG24"/>
  <c r="AI24" s="1"/>
  <c r="AK25"/>
  <c r="AL28"/>
  <c r="AG28"/>
  <c r="AI28" s="1"/>
  <c r="AL30"/>
  <c r="AG30"/>
  <c r="AK31"/>
  <c r="AL34"/>
  <c r="AG34"/>
  <c r="AL36"/>
  <c r="AG36"/>
  <c r="AI36" s="1"/>
  <c r="AK37"/>
  <c r="AL40"/>
  <c r="AG40"/>
  <c r="AL42"/>
  <c r="AG42"/>
  <c r="AI42" s="1"/>
  <c r="AK43"/>
  <c r="AL46"/>
  <c r="AG46"/>
  <c r="AI46" s="1"/>
  <c r="AL48"/>
  <c r="AG48"/>
  <c r="AI48" s="1"/>
  <c r="AK49"/>
  <c r="AL52"/>
  <c r="AG52"/>
  <c r="AI52" s="1"/>
  <c r="AL54"/>
  <c r="AG54"/>
  <c r="AI54" s="1"/>
  <c r="AK55"/>
  <c r="AL60"/>
  <c r="AG60"/>
  <c r="BA60"/>
  <c r="BB60" s="1"/>
  <c r="AL61"/>
  <c r="AG61"/>
  <c r="BA61"/>
  <c r="BB61" s="1"/>
  <c r="AL64"/>
  <c r="AG64"/>
  <c r="BA64"/>
  <c r="BB64" s="1"/>
  <c r="AL65"/>
  <c r="AG65"/>
  <c r="BA65"/>
  <c r="BB65" s="1"/>
  <c r="AK70"/>
  <c r="AL71"/>
  <c r="AG71"/>
  <c r="AI71" s="1"/>
  <c r="AK72"/>
  <c r="AL73"/>
  <c r="AG73"/>
  <c r="AK10" i="104"/>
  <c r="AK12"/>
  <c r="AL13"/>
  <c r="AG13"/>
  <c r="AI13" s="1"/>
  <c r="AK16"/>
  <c r="AK18"/>
  <c r="AL19"/>
  <c r="AG19"/>
  <c r="AI19" s="1"/>
  <c r="AF19" s="1"/>
  <c r="Y19" s="1"/>
  <c r="AK22"/>
  <c r="AK24"/>
  <c r="AL25"/>
  <c r="AG25"/>
  <c r="AI25" s="1"/>
  <c r="AK28"/>
  <c r="AK30"/>
  <c r="AL31"/>
  <c r="AG31"/>
  <c r="AI31" s="1"/>
  <c r="AK34"/>
  <c r="AK36"/>
  <c r="AL37"/>
  <c r="AG37"/>
  <c r="AI37" s="1"/>
  <c r="AK40"/>
  <c r="AK42"/>
  <c r="AL43"/>
  <c r="AG43"/>
  <c r="AK46"/>
  <c r="AK48"/>
  <c r="AL49"/>
  <c r="AG49"/>
  <c r="AI49" s="1"/>
  <c r="AK52"/>
  <c r="AK54"/>
  <c r="AL55"/>
  <c r="AG55"/>
  <c r="AI55" s="1"/>
  <c r="AL70"/>
  <c r="AG70"/>
  <c r="AI70" s="1"/>
  <c r="AK71"/>
  <c r="AL72"/>
  <c r="AG72"/>
  <c r="AI72" s="1"/>
  <c r="AK73"/>
  <c r="AL82"/>
  <c r="AG82"/>
  <c r="AI82" s="1"/>
  <c r="AL11" i="105"/>
  <c r="AG11"/>
  <c r="AL12"/>
  <c r="AG12"/>
  <c r="AL14"/>
  <c r="AG14"/>
  <c r="AL15"/>
  <c r="AG15"/>
  <c r="AL16"/>
  <c r="AG16"/>
  <c r="AI16" s="1"/>
  <c r="AL17"/>
  <c r="AG17"/>
  <c r="AI17" s="1"/>
  <c r="AL18"/>
  <c r="AG18"/>
  <c r="AL20"/>
  <c r="AG20"/>
  <c r="AL21"/>
  <c r="AG21"/>
  <c r="AL22"/>
  <c r="AG22"/>
  <c r="AL23"/>
  <c r="AG23"/>
  <c r="AI23" s="1"/>
  <c r="AL24"/>
  <c r="AG24"/>
  <c r="AL26"/>
  <c r="AG26"/>
  <c r="AL27"/>
  <c r="AG27"/>
  <c r="AI27" s="1"/>
  <c r="AL28"/>
  <c r="AG28"/>
  <c r="AL29"/>
  <c r="AG29"/>
  <c r="AL40"/>
  <c r="AL42"/>
  <c r="AL43"/>
  <c r="AG43"/>
  <c r="AL46"/>
  <c r="AL48"/>
  <c r="AL49"/>
  <c r="AG49"/>
  <c r="AL52"/>
  <c r="AL54"/>
  <c r="AL55"/>
  <c r="AG55"/>
  <c r="BA64"/>
  <c r="BB64" s="1"/>
  <c r="AG70"/>
  <c r="AG72"/>
  <c r="AG82"/>
  <c r="AG11" i="106"/>
  <c r="AG12"/>
  <c r="AG14"/>
  <c r="AG15"/>
  <c r="AG16"/>
  <c r="AG17"/>
  <c r="AG18"/>
  <c r="AG20"/>
  <c r="AG21"/>
  <c r="AG22"/>
  <c r="AG23"/>
  <c r="AG24"/>
  <c r="AG26"/>
  <c r="AG27"/>
  <c r="AG28"/>
  <c r="AG29"/>
  <c r="AG30"/>
  <c r="AG32"/>
  <c r="AG33"/>
  <c r="AG34"/>
  <c r="AG35"/>
  <c r="AG36"/>
  <c r="AG38"/>
  <c r="AG39"/>
  <c r="AG40"/>
  <c r="AG41"/>
  <c r="AG42"/>
  <c r="AG44"/>
  <c r="AG45"/>
  <c r="AG46"/>
  <c r="AG47"/>
  <c r="AG49"/>
  <c r="AI49" s="1"/>
  <c r="BA60"/>
  <c r="BB60" s="1"/>
  <c r="BA61"/>
  <c r="BB61" s="1"/>
  <c r="BA64"/>
  <c r="BB64" s="1"/>
  <c r="BA65"/>
  <c r="BB65" s="1"/>
  <c r="AG12" i="107"/>
  <c r="AG14"/>
  <c r="AI14" s="1"/>
  <c r="AI15"/>
  <c r="AG16"/>
  <c r="AI16" s="1"/>
  <c r="AG18"/>
  <c r="AK20"/>
  <c r="AK22"/>
  <c r="AI37"/>
  <c r="AI49"/>
  <c r="BA60"/>
  <c r="BB60" s="1"/>
  <c r="BA61"/>
  <c r="BB61" s="1"/>
  <c r="BA64"/>
  <c r="BB64" s="1"/>
  <c r="AI72"/>
  <c r="AL73"/>
  <c r="AL77"/>
  <c r="AG12" i="108"/>
  <c r="AG16"/>
  <c r="AG18"/>
  <c r="AG22"/>
  <c r="AL26"/>
  <c r="AL38"/>
  <c r="AL50"/>
  <c r="AL62"/>
  <c r="BA62"/>
  <c r="BB62" s="1"/>
  <c r="BA63"/>
  <c r="BB63" s="1"/>
  <c r="AL66"/>
  <c r="BA66"/>
  <c r="BB66" s="1"/>
  <c r="AL71"/>
  <c r="AG82"/>
  <c r="AK86"/>
  <c r="AG13" i="109"/>
  <c r="AG19"/>
  <c r="AG22"/>
  <c r="AI22" s="1"/>
  <c r="AI23"/>
  <c r="AK24"/>
  <c r="AK26"/>
  <c r="AG28"/>
  <c r="AG29"/>
  <c r="AG30"/>
  <c r="AG32"/>
  <c r="AG33"/>
  <c r="AG34"/>
  <c r="AG35"/>
  <c r="AG36"/>
  <c r="AG38"/>
  <c r="AG39"/>
  <c r="AG40"/>
  <c r="AG41"/>
  <c r="AG42"/>
  <c r="AG44"/>
  <c r="AG45"/>
  <c r="AG46"/>
  <c r="AG47"/>
  <c r="AG48"/>
  <c r="AG50"/>
  <c r="AG51"/>
  <c r="BA61"/>
  <c r="BB61" s="1"/>
  <c r="BA62"/>
  <c r="BB62" s="1"/>
  <c r="BA63"/>
  <c r="BB63" s="1"/>
  <c r="BA65"/>
  <c r="BB65" s="1"/>
  <c r="BA66"/>
  <c r="BB66" s="1"/>
  <c r="BA68"/>
  <c r="BB68" s="1"/>
  <c r="Q3" i="110"/>
  <c r="AK16"/>
  <c r="AI17"/>
  <c r="AG18"/>
  <c r="AI18" s="1"/>
  <c r="AK20"/>
  <c r="AI21"/>
  <c r="AG22"/>
  <c r="AG24"/>
  <c r="AG26"/>
  <c r="AG28"/>
  <c r="AG30"/>
  <c r="AG32"/>
  <c r="AG34"/>
  <c r="AG36"/>
  <c r="AG38"/>
  <c r="AG40"/>
  <c r="AG42"/>
  <c r="AG44"/>
  <c r="AG46"/>
  <c r="AG48"/>
  <c r="AG50"/>
  <c r="AG52"/>
  <c r="AK64"/>
  <c r="AK65"/>
  <c r="AL82"/>
  <c r="AI70" i="107"/>
  <c r="AI78"/>
  <c r="AI86"/>
  <c r="AL11" i="108"/>
  <c r="AG11"/>
  <c r="AK12"/>
  <c r="AL14"/>
  <c r="AG14"/>
  <c r="AL15"/>
  <c r="AG15"/>
  <c r="AK16"/>
  <c r="AL17"/>
  <c r="AG17"/>
  <c r="AK18"/>
  <c r="AL20"/>
  <c r="AG20"/>
  <c r="AL21"/>
  <c r="AG21"/>
  <c r="AK22"/>
  <c r="AL23"/>
  <c r="AG23"/>
  <c r="AI25"/>
  <c r="AL28"/>
  <c r="AL30"/>
  <c r="AL33"/>
  <c r="AL35"/>
  <c r="AI37"/>
  <c r="AL40"/>
  <c r="AL42"/>
  <c r="AL45"/>
  <c r="AL47"/>
  <c r="AI49"/>
  <c r="AL52"/>
  <c r="AL54"/>
  <c r="BA60"/>
  <c r="BB60" s="1"/>
  <c r="AL61"/>
  <c r="BA61"/>
  <c r="BB61" s="1"/>
  <c r="BA64"/>
  <c r="BB64" s="1"/>
  <c r="AL65"/>
  <c r="BA65"/>
  <c r="BB65" s="1"/>
  <c r="AI72"/>
  <c r="AL86"/>
  <c r="AG86"/>
  <c r="AI86" s="1"/>
  <c r="AL11" i="109"/>
  <c r="AK13"/>
  <c r="AL14"/>
  <c r="AL15"/>
  <c r="AL17"/>
  <c r="AK19"/>
  <c r="AL20"/>
  <c r="AK22"/>
  <c r="AL24"/>
  <c r="AG24"/>
  <c r="AL26"/>
  <c r="AG26"/>
  <c r="AI26" s="1"/>
  <c r="AK28"/>
  <c r="AK29"/>
  <c r="AK30"/>
  <c r="AL31"/>
  <c r="AK32"/>
  <c r="AK33"/>
  <c r="AK34"/>
  <c r="AK35"/>
  <c r="AK36"/>
  <c r="AL37"/>
  <c r="AK38"/>
  <c r="AK39"/>
  <c r="AK40"/>
  <c r="AK41"/>
  <c r="AK42"/>
  <c r="AL43"/>
  <c r="AK44"/>
  <c r="AK45"/>
  <c r="AK46"/>
  <c r="AK47"/>
  <c r="AK48"/>
  <c r="AL49"/>
  <c r="AK50"/>
  <c r="AK51"/>
  <c r="AK54"/>
  <c r="AL55"/>
  <c r="AG55"/>
  <c r="AI55" s="1"/>
  <c r="AK59"/>
  <c r="BA59"/>
  <c r="BB59" s="1"/>
  <c r="AK60"/>
  <c r="BA60"/>
  <c r="BB60" s="1"/>
  <c r="AL70"/>
  <c r="AL72"/>
  <c r="AL78"/>
  <c r="AL82"/>
  <c r="AL86"/>
  <c r="AL13" i="110"/>
  <c r="AG13"/>
  <c r="AL14"/>
  <c r="AL16"/>
  <c r="AG16"/>
  <c r="AI16" s="1"/>
  <c r="AK18"/>
  <c r="AL19"/>
  <c r="AL20"/>
  <c r="AG20"/>
  <c r="AI20" s="1"/>
  <c r="AL23"/>
  <c r="AG23"/>
  <c r="AK24"/>
  <c r="AK26"/>
  <c r="AL27"/>
  <c r="AG27"/>
  <c r="AK28"/>
  <c r="AL29"/>
  <c r="AG29"/>
  <c r="AK30"/>
  <c r="AK32"/>
  <c r="AL33"/>
  <c r="AG33"/>
  <c r="AK34"/>
  <c r="AL35"/>
  <c r="AG35"/>
  <c r="AK36"/>
  <c r="AK38"/>
  <c r="AL39"/>
  <c r="AG39"/>
  <c r="AK40"/>
  <c r="AL41"/>
  <c r="AG41"/>
  <c r="AK42"/>
  <c r="AK44"/>
  <c r="AL45"/>
  <c r="AG45"/>
  <c r="AK46"/>
  <c r="AL47"/>
  <c r="AG47"/>
  <c r="AK48"/>
  <c r="AK50"/>
  <c r="AL51"/>
  <c r="AG51"/>
  <c r="AK52"/>
  <c r="AL53"/>
  <c r="AG53"/>
  <c r="AL55"/>
  <c r="AG55"/>
  <c r="AK77"/>
  <c r="AL10"/>
  <c r="AL10" i="76"/>
  <c r="AL10" i="77"/>
  <c r="AL10" i="81"/>
  <c r="AL10" i="88"/>
  <c r="AL10" i="89"/>
  <c r="AL10" i="90"/>
  <c r="AL10" i="92"/>
  <c r="AL10" i="97"/>
  <c r="AL10" i="99"/>
  <c r="AL10" i="100"/>
  <c r="AL10" i="101"/>
  <c r="AK10" i="102"/>
  <c r="AL10" i="103"/>
  <c r="AL10" i="105"/>
  <c r="AL10" i="106"/>
  <c r="AL10" i="107"/>
  <c r="AL10" i="108"/>
  <c r="AL10" i="109"/>
  <c r="AG10" i="76"/>
  <c r="AK10" i="77"/>
  <c r="AK10" i="78"/>
  <c r="AG10" i="82"/>
  <c r="AI10" s="1"/>
  <c r="AG10" i="84"/>
  <c r="AG10" i="88"/>
  <c r="AG10" i="92"/>
  <c r="AG10" i="94"/>
  <c r="AI10" s="1"/>
  <c r="AF10" s="1"/>
  <c r="Y10" s="1"/>
  <c r="AG10" i="100"/>
  <c r="AK10" i="101"/>
  <c r="AG10" i="105"/>
  <c r="AK10" i="106"/>
  <c r="AG10" i="107"/>
  <c r="AI10" s="1"/>
  <c r="AG10" i="108"/>
  <c r="AK10" i="76"/>
  <c r="AG10" i="77"/>
  <c r="AG10" i="78"/>
  <c r="AG10" i="80"/>
  <c r="AK10" i="82"/>
  <c r="AK10" i="84"/>
  <c r="AK10" i="88"/>
  <c r="AG10" i="90"/>
  <c r="AK10" i="100"/>
  <c r="AG10" i="101"/>
  <c r="AG10" i="103"/>
  <c r="AG10" i="106"/>
  <c r="AK10" i="107"/>
  <c r="AK10" i="108"/>
  <c r="AI11" i="80"/>
  <c r="AI15"/>
  <c r="AI17"/>
  <c r="AI24"/>
  <c r="AL9" i="109"/>
  <c r="AK9" i="76"/>
  <c r="AK9" i="77"/>
  <c r="AK9" i="78"/>
  <c r="AK9" i="84"/>
  <c r="AI9" i="101"/>
  <c r="AF9" s="1"/>
  <c r="Y9" s="1"/>
  <c r="AK9" i="106"/>
  <c r="AK9" i="108"/>
  <c r="AL9" i="79"/>
  <c r="AK9" i="88"/>
  <c r="AK9" i="100"/>
  <c r="Q3" i="78"/>
  <c r="F81" i="22" s="1"/>
  <c r="U3" i="78"/>
  <c r="AI37"/>
  <c r="AI54"/>
  <c r="BB58"/>
  <c r="AI59"/>
  <c r="AI60"/>
  <c r="AI61"/>
  <c r="AI62"/>
  <c r="AI63"/>
  <c r="AI64"/>
  <c r="AI65"/>
  <c r="AI66"/>
  <c r="AI71"/>
  <c r="AI77"/>
  <c r="AL9" i="108"/>
  <c r="AH9" i="79"/>
  <c r="AL9" i="84"/>
  <c r="AL9" i="85"/>
  <c r="AL9" i="88"/>
  <c r="AL9" i="90"/>
  <c r="AL9" i="92"/>
  <c r="AK9" i="93"/>
  <c r="AL9" i="94"/>
  <c r="AL9" i="96"/>
  <c r="AL9" i="97"/>
  <c r="AK9" i="98"/>
  <c r="AL9" i="99"/>
  <c r="AL9" i="100"/>
  <c r="AK9" i="102"/>
  <c r="AK9" i="104"/>
  <c r="AL9" i="110"/>
  <c r="AL9" i="76"/>
  <c r="AL9" i="77"/>
  <c r="AL9" i="78"/>
  <c r="AL9" i="80"/>
  <c r="AL9" i="81"/>
  <c r="AL9" i="83"/>
  <c r="AL9" i="86"/>
  <c r="AK9" i="87"/>
  <c r="AL9" i="89"/>
  <c r="AK9" i="91"/>
  <c r="AK9" i="95"/>
  <c r="AK9" i="96"/>
  <c r="AL9" i="98"/>
  <c r="AL9" i="103"/>
  <c r="AL9" i="105"/>
  <c r="AL9" i="106"/>
  <c r="U3" i="109"/>
  <c r="Q3"/>
  <c r="F74" i="22" s="1"/>
  <c r="AI21" i="109"/>
  <c r="AI24"/>
  <c r="U3" i="108"/>
  <c r="Q3"/>
  <c r="F77" i="22" s="1"/>
  <c r="AI31" i="108"/>
  <c r="AI43"/>
  <c r="AI55"/>
  <c r="AI70"/>
  <c r="AI78"/>
  <c r="AI82"/>
  <c r="AK8" i="76"/>
  <c r="AL8"/>
  <c r="AL8" i="77"/>
  <c r="AL8" i="80"/>
  <c r="AL8" i="82"/>
  <c r="AL8" i="87"/>
  <c r="AL8" i="88"/>
  <c r="AK8" i="91"/>
  <c r="AL8" i="92"/>
  <c r="AK8" i="93"/>
  <c r="AK8" i="95"/>
  <c r="AL8" i="97"/>
  <c r="AL8" i="100"/>
  <c r="AK8" i="102"/>
  <c r="AL8" i="103"/>
  <c r="AL8" i="107"/>
  <c r="AL8" i="108"/>
  <c r="AL8" i="110"/>
  <c r="AL8" i="78"/>
  <c r="AL8" i="81"/>
  <c r="AL8" i="84"/>
  <c r="AL8" i="85"/>
  <c r="AL8" i="86"/>
  <c r="AL8" i="89"/>
  <c r="AL8" i="90"/>
  <c r="AL8" i="94"/>
  <c r="AL8" i="99"/>
  <c r="AL8" i="101"/>
  <c r="AL8" i="105"/>
  <c r="AL8" i="106"/>
  <c r="AL8" i="109"/>
  <c r="AG8" i="77"/>
  <c r="AG8" i="78"/>
  <c r="AG8" i="80"/>
  <c r="AI8" s="1"/>
  <c r="AG8" i="81"/>
  <c r="AG8" i="82"/>
  <c r="AK8" i="84"/>
  <c r="AK8" i="88"/>
  <c r="AI8" i="96"/>
  <c r="AG8" i="100"/>
  <c r="AG8" i="101"/>
  <c r="AI8" s="1"/>
  <c r="AG8" i="106"/>
  <c r="AG8" i="107"/>
  <c r="AI8" s="1"/>
  <c r="AK8" i="108"/>
  <c r="AG8" i="76"/>
  <c r="AK8" i="77"/>
  <c r="AK8" i="78"/>
  <c r="AK8" i="82"/>
  <c r="AG8" i="84"/>
  <c r="AG8" i="88"/>
  <c r="AG8" i="90"/>
  <c r="AI8" s="1"/>
  <c r="AG8" i="92"/>
  <c r="AI8" s="1"/>
  <c r="AG8" i="94"/>
  <c r="AK8" i="100"/>
  <c r="AK8" i="101"/>
  <c r="AG8" i="103"/>
  <c r="AI8" s="1"/>
  <c r="AG8" i="105"/>
  <c r="AK8" i="106"/>
  <c r="AG8" i="108"/>
  <c r="U3" i="107"/>
  <c r="Q3"/>
  <c r="F53" i="22" s="1"/>
  <c r="AI9" i="107"/>
  <c r="AI12"/>
  <c r="AI17"/>
  <c r="AI20"/>
  <c r="AI21"/>
  <c r="AI82"/>
  <c r="AI18"/>
  <c r="AI31"/>
  <c r="AI43"/>
  <c r="AI55"/>
  <c r="AG8" i="109"/>
  <c r="AI8" s="1"/>
  <c r="AK8"/>
  <c r="AG9"/>
  <c r="AI9" s="1"/>
  <c r="AK9"/>
  <c r="AG10"/>
  <c r="AI10" s="1"/>
  <c r="AK10"/>
  <c r="AG11"/>
  <c r="AI11" s="1"/>
  <c r="AK11"/>
  <c r="AG12"/>
  <c r="AI12" s="1"/>
  <c r="AK12"/>
  <c r="AH13"/>
  <c r="AI13" s="1"/>
  <c r="AJ13"/>
  <c r="AF13" s="1"/>
  <c r="Y13" s="1"/>
  <c r="AG14"/>
  <c r="AI14" s="1"/>
  <c r="AK14"/>
  <c r="AG15"/>
  <c r="AI15" s="1"/>
  <c r="AK15"/>
  <c r="AG16"/>
  <c r="AI16" s="1"/>
  <c r="AK16"/>
  <c r="AG17"/>
  <c r="AI17" s="1"/>
  <c r="AK17"/>
  <c r="AG18"/>
  <c r="AI18" s="1"/>
  <c r="AK18"/>
  <c r="AH19"/>
  <c r="AJ19"/>
  <c r="AG20"/>
  <c r="AI20" s="1"/>
  <c r="AK20"/>
  <c r="AL21"/>
  <c r="AK21"/>
  <c r="AL23"/>
  <c r="AK23"/>
  <c r="AL27"/>
  <c r="AK25"/>
  <c r="AG25"/>
  <c r="AI25" s="1"/>
  <c r="AK27"/>
  <c r="AH27"/>
  <c r="AI27" s="1"/>
  <c r="AJ8"/>
  <c r="AJ9"/>
  <c r="AF9" s="1"/>
  <c r="Y9" s="1"/>
  <c r="AJ10"/>
  <c r="AF11"/>
  <c r="Y11" s="1"/>
  <c r="AJ11"/>
  <c r="AF12"/>
  <c r="Y12" s="1"/>
  <c r="AJ12"/>
  <c r="AF14"/>
  <c r="Y14" s="1"/>
  <c r="AJ14"/>
  <c r="AF15"/>
  <c r="Y15" s="1"/>
  <c r="AJ15"/>
  <c r="AF16"/>
  <c r="Y16" s="1"/>
  <c r="AJ16"/>
  <c r="AF17"/>
  <c r="Y17" s="1"/>
  <c r="AJ17"/>
  <c r="AF18"/>
  <c r="Y18" s="1"/>
  <c r="AJ18"/>
  <c r="AF20"/>
  <c r="Y20" s="1"/>
  <c r="AJ20"/>
  <c r="AF25"/>
  <c r="Y25" s="1"/>
  <c r="AJ25"/>
  <c r="AK22" i="110"/>
  <c r="AH22"/>
  <c r="AF21" i="109"/>
  <c r="Y21" s="1"/>
  <c r="AJ21"/>
  <c r="AF22"/>
  <c r="Y22" s="1"/>
  <c r="AJ22"/>
  <c r="AF23"/>
  <c r="Y23" s="1"/>
  <c r="AJ23"/>
  <c r="AF24"/>
  <c r="Y24" s="1"/>
  <c r="AJ24"/>
  <c r="AF26"/>
  <c r="Y26" s="1"/>
  <c r="AJ26"/>
  <c r="AF27"/>
  <c r="Y27" s="1"/>
  <c r="AJ27"/>
  <c r="AH28"/>
  <c r="AI28" s="1"/>
  <c r="AJ28"/>
  <c r="AH29"/>
  <c r="AJ29"/>
  <c r="AH30"/>
  <c r="AI30" s="1"/>
  <c r="AJ30"/>
  <c r="AF30" s="1"/>
  <c r="Y30" s="1"/>
  <c r="AG31"/>
  <c r="AI31" s="1"/>
  <c r="AK31"/>
  <c r="AH32"/>
  <c r="AJ32"/>
  <c r="AH33"/>
  <c r="AI33" s="1"/>
  <c r="AJ33"/>
  <c r="AF33" s="1"/>
  <c r="Y33" s="1"/>
  <c r="AH34"/>
  <c r="AJ34"/>
  <c r="AH35"/>
  <c r="AI35" s="1"/>
  <c r="AJ35"/>
  <c r="AF35" s="1"/>
  <c r="Y35" s="1"/>
  <c r="AH36"/>
  <c r="AJ36"/>
  <c r="AG37"/>
  <c r="AI37" s="1"/>
  <c r="AK37"/>
  <c r="AH38"/>
  <c r="AI38" s="1"/>
  <c r="AJ38"/>
  <c r="AF38" s="1"/>
  <c r="Y38" s="1"/>
  <c r="AH39"/>
  <c r="AJ39"/>
  <c r="AH40"/>
  <c r="AI40" s="1"/>
  <c r="AF40" s="1"/>
  <c r="Y40" s="1"/>
  <c r="AJ40"/>
  <c r="AH41"/>
  <c r="AJ41"/>
  <c r="AH42"/>
  <c r="AI42" s="1"/>
  <c r="AJ42"/>
  <c r="AF42" s="1"/>
  <c r="Y42" s="1"/>
  <c r="AG43"/>
  <c r="AI43" s="1"/>
  <c r="AK43"/>
  <c r="AH44"/>
  <c r="AJ44"/>
  <c r="AH45"/>
  <c r="AI45" s="1"/>
  <c r="AJ45"/>
  <c r="AH46"/>
  <c r="AJ46"/>
  <c r="AH47"/>
  <c r="AI47" s="1"/>
  <c r="AJ47"/>
  <c r="AF47" s="1"/>
  <c r="Y47" s="1"/>
  <c r="AH48"/>
  <c r="AJ48"/>
  <c r="AG49"/>
  <c r="AI49" s="1"/>
  <c r="AK49"/>
  <c r="AH50"/>
  <c r="AI50" s="1"/>
  <c r="AJ50"/>
  <c r="AF50" s="1"/>
  <c r="Y50" s="1"/>
  <c r="AH51"/>
  <c r="AJ51"/>
  <c r="AJ52"/>
  <c r="AL52"/>
  <c r="AJ53"/>
  <c r="AL53"/>
  <c r="AJ54"/>
  <c r="AL54"/>
  <c r="AK55"/>
  <c r="AJ59"/>
  <c r="AL59"/>
  <c r="AJ60"/>
  <c r="AL60"/>
  <c r="AJ61"/>
  <c r="AL61"/>
  <c r="AJ62"/>
  <c r="AL62"/>
  <c r="AJ63"/>
  <c r="AL63"/>
  <c r="AF63" s="1"/>
  <c r="Y63" s="1"/>
  <c r="AJ64"/>
  <c r="AL64"/>
  <c r="AJ65"/>
  <c r="AL65"/>
  <c r="AJ66"/>
  <c r="AL66"/>
  <c r="AG70"/>
  <c r="AI70" s="1"/>
  <c r="AK70"/>
  <c r="AJ71"/>
  <c r="AL71"/>
  <c r="AG72"/>
  <c r="AI72" s="1"/>
  <c r="AK72"/>
  <c r="AJ73"/>
  <c r="AL73"/>
  <c r="AJ77"/>
  <c r="AL77"/>
  <c r="AG78"/>
  <c r="AI78" s="1"/>
  <c r="AK78"/>
  <c r="AG82"/>
  <c r="AI82" s="1"/>
  <c r="AK82"/>
  <c r="AG86"/>
  <c r="AI86" s="1"/>
  <c r="AK86"/>
  <c r="AG8" i="110"/>
  <c r="AI8" s="1"/>
  <c r="AK8"/>
  <c r="AG9"/>
  <c r="AI9" s="1"/>
  <c r="AK9"/>
  <c r="AG10"/>
  <c r="AI10" s="1"/>
  <c r="AK10"/>
  <c r="AG11"/>
  <c r="AI11" s="1"/>
  <c r="AK11"/>
  <c r="AG12"/>
  <c r="AI12" s="1"/>
  <c r="AK12"/>
  <c r="AH13"/>
  <c r="AJ13"/>
  <c r="AG14"/>
  <c r="AI14" s="1"/>
  <c r="AK14"/>
  <c r="AG15"/>
  <c r="AI15" s="1"/>
  <c r="AK15"/>
  <c r="R16"/>
  <c r="AL17"/>
  <c r="AK17"/>
  <c r="R18"/>
  <c r="AL21"/>
  <c r="AK21"/>
  <c r="R22"/>
  <c r="AI55"/>
  <c r="AK19"/>
  <c r="AG19"/>
  <c r="AI19" s="1"/>
  <c r="AF31" i="109"/>
  <c r="Y31" s="1"/>
  <c r="AJ31"/>
  <c r="AF37"/>
  <c r="Y37" s="1"/>
  <c r="AJ37"/>
  <c r="AF43"/>
  <c r="Y43" s="1"/>
  <c r="AJ43"/>
  <c r="AF49"/>
  <c r="Y49" s="1"/>
  <c r="AJ49"/>
  <c r="AG52"/>
  <c r="AI52" s="1"/>
  <c r="AF52" s="1"/>
  <c r="Y52" s="1"/>
  <c r="AG53"/>
  <c r="AI53" s="1"/>
  <c r="AG54"/>
  <c r="AI54" s="1"/>
  <c r="AF54" s="1"/>
  <c r="Y54" s="1"/>
  <c r="AF55"/>
  <c r="Y55" s="1"/>
  <c r="AJ55"/>
  <c r="BB58"/>
  <c r="AG59"/>
  <c r="AI59" s="1"/>
  <c r="AF59" s="1"/>
  <c r="Y59" s="1"/>
  <c r="AG60"/>
  <c r="AI60" s="1"/>
  <c r="AF60" s="1"/>
  <c r="Y60" s="1"/>
  <c r="AG61"/>
  <c r="AI61" s="1"/>
  <c r="AF61" s="1"/>
  <c r="Y61" s="1"/>
  <c r="AG62"/>
  <c r="AI62" s="1"/>
  <c r="AF62" s="1"/>
  <c r="Y62" s="1"/>
  <c r="AG63"/>
  <c r="AI63" s="1"/>
  <c r="AG64"/>
  <c r="AI64" s="1"/>
  <c r="AF64" s="1"/>
  <c r="Y64" s="1"/>
  <c r="AG65"/>
  <c r="AI65" s="1"/>
  <c r="AF65" s="1"/>
  <c r="Y65" s="1"/>
  <c r="AG66"/>
  <c r="AI66" s="1"/>
  <c r="AF66" s="1"/>
  <c r="Y66" s="1"/>
  <c r="AF70"/>
  <c r="Y70" s="1"/>
  <c r="AJ70"/>
  <c r="AG71"/>
  <c r="AI71" s="1"/>
  <c r="AF71" s="1"/>
  <c r="Y71" s="1"/>
  <c r="AF72"/>
  <c r="Y72" s="1"/>
  <c r="AJ72"/>
  <c r="AG73"/>
  <c r="AI73" s="1"/>
  <c r="AF73" s="1"/>
  <c r="Y73" s="1"/>
  <c r="AG77"/>
  <c r="AI77" s="1"/>
  <c r="AF77" s="1"/>
  <c r="Y77" s="1"/>
  <c r="AF78"/>
  <c r="Y78" s="1"/>
  <c r="AJ78"/>
  <c r="AF82"/>
  <c r="Y82" s="1"/>
  <c r="AJ82"/>
  <c r="AF86"/>
  <c r="Y86" s="1"/>
  <c r="AJ86"/>
  <c r="AJ8" i="110"/>
  <c r="AJ9"/>
  <c r="AJ10"/>
  <c r="AJ11"/>
  <c r="AF11" s="1"/>
  <c r="Y11" s="1"/>
  <c r="AF12"/>
  <c r="Y12" s="1"/>
  <c r="AJ12"/>
  <c r="AJ14"/>
  <c r="AF14" s="1"/>
  <c r="Y14" s="1"/>
  <c r="AF15"/>
  <c r="Y15" s="1"/>
  <c r="AJ15"/>
  <c r="AJ19"/>
  <c r="AI22"/>
  <c r="S36"/>
  <c r="S48"/>
  <c r="AF16"/>
  <c r="Y16" s="1"/>
  <c r="AJ16"/>
  <c r="AF17"/>
  <c r="Y17" s="1"/>
  <c r="AJ17"/>
  <c r="AF18"/>
  <c r="Y18" s="1"/>
  <c r="AJ18"/>
  <c r="AF20"/>
  <c r="Y20" s="1"/>
  <c r="AJ20"/>
  <c r="AF21"/>
  <c r="Y21" s="1"/>
  <c r="AJ21"/>
  <c r="AF22"/>
  <c r="Y22" s="1"/>
  <c r="AJ22"/>
  <c r="AH23"/>
  <c r="AI23" s="1"/>
  <c r="AF23" s="1"/>
  <c r="Y23" s="1"/>
  <c r="AJ23"/>
  <c r="AH24"/>
  <c r="AJ24"/>
  <c r="AG25"/>
  <c r="AI25" s="1"/>
  <c r="AK25"/>
  <c r="AH26"/>
  <c r="AI26" s="1"/>
  <c r="AJ26"/>
  <c r="AH27"/>
  <c r="AJ27"/>
  <c r="AH28"/>
  <c r="AJ28"/>
  <c r="AH29"/>
  <c r="AJ29"/>
  <c r="AH30"/>
  <c r="AI30" s="1"/>
  <c r="AJ30"/>
  <c r="AG31"/>
  <c r="AI31" s="1"/>
  <c r="AK31"/>
  <c r="AH32"/>
  <c r="AJ32"/>
  <c r="AH33"/>
  <c r="AI33" s="1"/>
  <c r="AF33" s="1"/>
  <c r="Y33" s="1"/>
  <c r="AJ33"/>
  <c r="AH34"/>
  <c r="AJ34"/>
  <c r="AH35"/>
  <c r="AI35" s="1"/>
  <c r="AF35" s="1"/>
  <c r="Y35" s="1"/>
  <c r="AJ35"/>
  <c r="AH36"/>
  <c r="AJ36"/>
  <c r="AG37"/>
  <c r="AI37" s="1"/>
  <c r="AK37"/>
  <c r="AH38"/>
  <c r="AI38" s="1"/>
  <c r="AF38" s="1"/>
  <c r="Y38" s="1"/>
  <c r="AJ38"/>
  <c r="AH39"/>
  <c r="AJ39"/>
  <c r="AH40"/>
  <c r="AI40" s="1"/>
  <c r="AJ40"/>
  <c r="AH41"/>
  <c r="AJ41"/>
  <c r="AH42"/>
  <c r="AJ42"/>
  <c r="AG43"/>
  <c r="AI43" s="1"/>
  <c r="AK43"/>
  <c r="AH44"/>
  <c r="AJ44"/>
  <c r="AH45"/>
  <c r="AI45" s="1"/>
  <c r="AJ45"/>
  <c r="AH46"/>
  <c r="AJ46"/>
  <c r="AH47"/>
  <c r="AI47" s="1"/>
  <c r="AF47" s="1"/>
  <c r="Y47" s="1"/>
  <c r="AJ47"/>
  <c r="AH48"/>
  <c r="AJ48"/>
  <c r="AG49"/>
  <c r="AI49" s="1"/>
  <c r="AK49"/>
  <c r="AH50"/>
  <c r="AI50" s="1"/>
  <c r="AF50" s="1"/>
  <c r="Y50" s="1"/>
  <c r="AJ50"/>
  <c r="AH51"/>
  <c r="AJ51"/>
  <c r="AH52"/>
  <c r="AI52" s="1"/>
  <c r="AF52" s="1"/>
  <c r="Y52" s="1"/>
  <c r="AJ52"/>
  <c r="AH53"/>
  <c r="AJ53"/>
  <c r="AJ54"/>
  <c r="AL54"/>
  <c r="AK55"/>
  <c r="AJ59"/>
  <c r="AL59"/>
  <c r="AJ60"/>
  <c r="AL60"/>
  <c r="AJ61"/>
  <c r="AL61"/>
  <c r="AJ62"/>
  <c r="AL62"/>
  <c r="AJ63"/>
  <c r="AL63"/>
  <c r="AJ64"/>
  <c r="AL64"/>
  <c r="AJ65"/>
  <c r="AL65"/>
  <c r="AJ66"/>
  <c r="AL66"/>
  <c r="AG70"/>
  <c r="AI70" s="1"/>
  <c r="AK70"/>
  <c r="AJ71"/>
  <c r="AL71"/>
  <c r="AG72"/>
  <c r="AI72" s="1"/>
  <c r="AK72"/>
  <c r="AJ73"/>
  <c r="AL73"/>
  <c r="AJ77"/>
  <c r="AL77"/>
  <c r="AG78"/>
  <c r="AI78" s="1"/>
  <c r="AK78"/>
  <c r="AG82"/>
  <c r="AI82" s="1"/>
  <c r="AK82"/>
  <c r="AG86"/>
  <c r="AI86" s="1"/>
  <c r="AK86"/>
  <c r="AJ25"/>
  <c r="AF25" s="1"/>
  <c r="Y25" s="1"/>
  <c r="AF31"/>
  <c r="Y31" s="1"/>
  <c r="AJ31"/>
  <c r="AF37"/>
  <c r="Y37" s="1"/>
  <c r="AJ37"/>
  <c r="AF43"/>
  <c r="Y43" s="1"/>
  <c r="AJ43"/>
  <c r="AF49"/>
  <c r="Y49" s="1"/>
  <c r="AJ49"/>
  <c r="AG54"/>
  <c r="AI54" s="1"/>
  <c r="AF54" s="1"/>
  <c r="Y54" s="1"/>
  <c r="AF55"/>
  <c r="Y55" s="1"/>
  <c r="AJ55"/>
  <c r="BB58"/>
  <c r="S3" s="1"/>
  <c r="AG59"/>
  <c r="AI59" s="1"/>
  <c r="AF59" s="1"/>
  <c r="Y59" s="1"/>
  <c r="AG60"/>
  <c r="AI60" s="1"/>
  <c r="AF60" s="1"/>
  <c r="Y60" s="1"/>
  <c r="AG61"/>
  <c r="AI61" s="1"/>
  <c r="AF61" s="1"/>
  <c r="Y61" s="1"/>
  <c r="AG62"/>
  <c r="AI62" s="1"/>
  <c r="AF62" s="1"/>
  <c r="Y62" s="1"/>
  <c r="AG63"/>
  <c r="AI63" s="1"/>
  <c r="AF63" s="1"/>
  <c r="Y63" s="1"/>
  <c r="AG64"/>
  <c r="AI64" s="1"/>
  <c r="AF64" s="1"/>
  <c r="Y64" s="1"/>
  <c r="AG65"/>
  <c r="AI65" s="1"/>
  <c r="AF65" s="1"/>
  <c r="Y65" s="1"/>
  <c r="AG66"/>
  <c r="AI66" s="1"/>
  <c r="AJ70"/>
  <c r="AF70" s="1"/>
  <c r="Y70" s="1"/>
  <c r="AG71"/>
  <c r="AI71" s="1"/>
  <c r="AF71" s="1"/>
  <c r="Y71" s="1"/>
  <c r="AF72"/>
  <c r="Y72" s="1"/>
  <c r="AJ72"/>
  <c r="AG73"/>
  <c r="AI73" s="1"/>
  <c r="AF73" s="1"/>
  <c r="Y73" s="1"/>
  <c r="AG77"/>
  <c r="AI77" s="1"/>
  <c r="AF77" s="1"/>
  <c r="Y77" s="1"/>
  <c r="AF78"/>
  <c r="Y78" s="1"/>
  <c r="AJ78"/>
  <c r="AF82"/>
  <c r="Y82" s="1"/>
  <c r="AJ82"/>
  <c r="AJ86"/>
  <c r="AK26" i="108"/>
  <c r="AG26"/>
  <c r="AI26" s="1"/>
  <c r="AK32"/>
  <c r="AG32"/>
  <c r="AI32" s="1"/>
  <c r="AF32" s="1"/>
  <c r="Y32" s="1"/>
  <c r="AK38"/>
  <c r="AG38"/>
  <c r="AI38" s="1"/>
  <c r="AK44"/>
  <c r="AG44"/>
  <c r="AI44" s="1"/>
  <c r="AK50"/>
  <c r="AG50"/>
  <c r="AI50" s="1"/>
  <c r="AK60"/>
  <c r="AG60"/>
  <c r="AI60" s="1"/>
  <c r="AK62"/>
  <c r="AG62"/>
  <c r="AI62" s="1"/>
  <c r="AK64"/>
  <c r="AG64"/>
  <c r="AI64" s="1"/>
  <c r="AK66"/>
  <c r="AG66"/>
  <c r="AI66" s="1"/>
  <c r="AK71"/>
  <c r="AG71"/>
  <c r="AI71" s="1"/>
  <c r="AK73"/>
  <c r="AG73"/>
  <c r="AI73" s="1"/>
  <c r="AK77"/>
  <c r="AG77"/>
  <c r="AI77" s="1"/>
  <c r="AH8"/>
  <c r="AJ8"/>
  <c r="AH9"/>
  <c r="AI9" s="1"/>
  <c r="AJ9"/>
  <c r="AF9" s="1"/>
  <c r="Y9" s="1"/>
  <c r="AH10"/>
  <c r="AJ10"/>
  <c r="AH11"/>
  <c r="AI11" s="1"/>
  <c r="AJ11"/>
  <c r="AH12"/>
  <c r="AJ12"/>
  <c r="AG13"/>
  <c r="AI13" s="1"/>
  <c r="AK13"/>
  <c r="AH14"/>
  <c r="AI14" s="1"/>
  <c r="AJ14"/>
  <c r="AF14" s="1"/>
  <c r="Y14" s="1"/>
  <c r="AH15"/>
  <c r="AJ15"/>
  <c r="AH16"/>
  <c r="AI16" s="1"/>
  <c r="AF16" s="1"/>
  <c r="Y16" s="1"/>
  <c r="AJ16"/>
  <c r="AH17"/>
  <c r="AJ17"/>
  <c r="AH18"/>
  <c r="AI18" s="1"/>
  <c r="AJ18"/>
  <c r="AG19"/>
  <c r="AI19" s="1"/>
  <c r="AK19"/>
  <c r="AH20"/>
  <c r="AJ20"/>
  <c r="AH21"/>
  <c r="AI21" s="1"/>
  <c r="AJ21"/>
  <c r="AH22"/>
  <c r="AI22" s="1"/>
  <c r="AF22" s="1"/>
  <c r="Y22" s="1"/>
  <c r="AJ22"/>
  <c r="AH23"/>
  <c r="AI23" s="1"/>
  <c r="AJ23"/>
  <c r="AL25"/>
  <c r="AK25"/>
  <c r="AF26"/>
  <c r="Y26" s="1"/>
  <c r="AJ26"/>
  <c r="AL31"/>
  <c r="AK31"/>
  <c r="AJ32"/>
  <c r="AL37"/>
  <c r="AK37"/>
  <c r="AF38"/>
  <c r="Y38" s="1"/>
  <c r="AJ38"/>
  <c r="AL43"/>
  <c r="AK43"/>
  <c r="AF44"/>
  <c r="Y44" s="1"/>
  <c r="AJ44"/>
  <c r="AL49"/>
  <c r="AK49"/>
  <c r="AF50"/>
  <c r="Y50" s="1"/>
  <c r="AJ50"/>
  <c r="AL55"/>
  <c r="AK55"/>
  <c r="AF60"/>
  <c r="Y60" s="1"/>
  <c r="AJ60"/>
  <c r="AF62"/>
  <c r="Y62" s="1"/>
  <c r="AJ62"/>
  <c r="AF64"/>
  <c r="Y64" s="1"/>
  <c r="AJ64"/>
  <c r="AF66"/>
  <c r="Y66" s="1"/>
  <c r="AJ66"/>
  <c r="AL70"/>
  <c r="AK70"/>
  <c r="AF71"/>
  <c r="Y71" s="1"/>
  <c r="AJ71"/>
  <c r="AL72"/>
  <c r="AK72"/>
  <c r="AF73"/>
  <c r="Y73" s="1"/>
  <c r="AJ73"/>
  <c r="AF77"/>
  <c r="Y77" s="1"/>
  <c r="AJ77"/>
  <c r="AL78"/>
  <c r="AK78"/>
  <c r="AK82"/>
  <c r="AK24"/>
  <c r="AG24"/>
  <c r="AI24" s="1"/>
  <c r="AK27"/>
  <c r="AG27"/>
  <c r="AI27" s="1"/>
  <c r="AK28"/>
  <c r="AG28"/>
  <c r="AI28" s="1"/>
  <c r="AK29"/>
  <c r="AG29"/>
  <c r="AI29" s="1"/>
  <c r="AK30"/>
  <c r="AG30"/>
  <c r="AI30" s="1"/>
  <c r="AK33"/>
  <c r="AG33"/>
  <c r="AI33" s="1"/>
  <c r="AK34"/>
  <c r="AG34"/>
  <c r="AI34" s="1"/>
  <c r="AK35"/>
  <c r="AG35"/>
  <c r="AI35" s="1"/>
  <c r="AK36"/>
  <c r="AG36"/>
  <c r="AI36" s="1"/>
  <c r="AK39"/>
  <c r="AG39"/>
  <c r="AI39" s="1"/>
  <c r="AK40"/>
  <c r="AG40"/>
  <c r="AI40" s="1"/>
  <c r="AK41"/>
  <c r="AG41"/>
  <c r="AI41" s="1"/>
  <c r="AK42"/>
  <c r="AG42"/>
  <c r="AI42" s="1"/>
  <c r="AK45"/>
  <c r="AG45"/>
  <c r="AI45" s="1"/>
  <c r="AK46"/>
  <c r="AG46"/>
  <c r="AI46" s="1"/>
  <c r="AK47"/>
  <c r="AG47"/>
  <c r="AI47" s="1"/>
  <c r="AK48"/>
  <c r="AG48"/>
  <c r="AI48" s="1"/>
  <c r="AK51"/>
  <c r="AG51"/>
  <c r="AI51" s="1"/>
  <c r="AK52"/>
  <c r="AG52"/>
  <c r="AI52" s="1"/>
  <c r="AK53"/>
  <c r="AG53"/>
  <c r="AI53" s="1"/>
  <c r="AK54"/>
  <c r="AG54"/>
  <c r="AI54" s="1"/>
  <c r="BB58"/>
  <c r="AK59"/>
  <c r="AG59"/>
  <c r="AI59" s="1"/>
  <c r="AK61"/>
  <c r="AG61"/>
  <c r="AI61" s="1"/>
  <c r="AK63"/>
  <c r="AG63"/>
  <c r="AI63" s="1"/>
  <c r="AK65"/>
  <c r="AG65"/>
  <c r="AI65" s="1"/>
  <c r="AF13"/>
  <c r="Y13" s="1"/>
  <c r="AJ13"/>
  <c r="AF19"/>
  <c r="Y19" s="1"/>
  <c r="AJ19"/>
  <c r="AF24"/>
  <c r="Y24" s="1"/>
  <c r="AJ24"/>
  <c r="AF27"/>
  <c r="Y27" s="1"/>
  <c r="AJ27"/>
  <c r="AJ28"/>
  <c r="AF28" s="1"/>
  <c r="Y28" s="1"/>
  <c r="AF29"/>
  <c r="Y29" s="1"/>
  <c r="AJ29"/>
  <c r="AF30"/>
  <c r="Y30" s="1"/>
  <c r="AJ30"/>
  <c r="AF33"/>
  <c r="Y33" s="1"/>
  <c r="AJ33"/>
  <c r="AF34"/>
  <c r="Y34" s="1"/>
  <c r="AJ34"/>
  <c r="AF35"/>
  <c r="Y35" s="1"/>
  <c r="AJ35"/>
  <c r="AF36"/>
  <c r="Y36" s="1"/>
  <c r="AJ36"/>
  <c r="AF39"/>
  <c r="Y39" s="1"/>
  <c r="AJ39"/>
  <c r="AF40"/>
  <c r="Y40" s="1"/>
  <c r="AJ40"/>
  <c r="AF41"/>
  <c r="Y41" s="1"/>
  <c r="AJ41"/>
  <c r="AF42"/>
  <c r="Y42" s="1"/>
  <c r="AJ42"/>
  <c r="AF45"/>
  <c r="Y45" s="1"/>
  <c r="AJ45"/>
  <c r="AJ46"/>
  <c r="AF46" s="1"/>
  <c r="Y46" s="1"/>
  <c r="AF47"/>
  <c r="Y47" s="1"/>
  <c r="AJ47"/>
  <c r="AF48"/>
  <c r="Y48" s="1"/>
  <c r="AJ48"/>
  <c r="AF51"/>
  <c r="Y51" s="1"/>
  <c r="AJ51"/>
  <c r="AF52"/>
  <c r="Y52" s="1"/>
  <c r="AJ52"/>
  <c r="AF53"/>
  <c r="Y53" s="1"/>
  <c r="AJ53"/>
  <c r="AF54"/>
  <c r="Y54" s="1"/>
  <c r="AJ54"/>
  <c r="AF59"/>
  <c r="Y59" s="1"/>
  <c r="AJ59"/>
  <c r="AF61"/>
  <c r="Y61" s="1"/>
  <c r="AJ61"/>
  <c r="AF63"/>
  <c r="Y63" s="1"/>
  <c r="AJ63"/>
  <c r="AF65"/>
  <c r="Y65" s="1"/>
  <c r="AJ65"/>
  <c r="AF25"/>
  <c r="Y25" s="1"/>
  <c r="AJ25"/>
  <c r="AF31"/>
  <c r="Y31" s="1"/>
  <c r="AJ31"/>
  <c r="AF37"/>
  <c r="Y37" s="1"/>
  <c r="AJ37"/>
  <c r="AF43"/>
  <c r="Y43" s="1"/>
  <c r="AJ43"/>
  <c r="AF49"/>
  <c r="Y49" s="1"/>
  <c r="AJ49"/>
  <c r="AF55"/>
  <c r="Y55" s="1"/>
  <c r="AJ55"/>
  <c r="AF70"/>
  <c r="Y70" s="1"/>
  <c r="AJ70"/>
  <c r="AF72"/>
  <c r="Y72" s="1"/>
  <c r="AJ72"/>
  <c r="AF78"/>
  <c r="Y78" s="1"/>
  <c r="AJ78"/>
  <c r="AF82"/>
  <c r="Y82" s="1"/>
  <c r="AJ82"/>
  <c r="AJ86"/>
  <c r="AF86" s="1"/>
  <c r="Y86" s="1"/>
  <c r="U3" i="106"/>
  <c r="Q3"/>
  <c r="F42" i="22" s="1"/>
  <c r="AI72" i="106"/>
  <c r="AI82"/>
  <c r="U3" i="105"/>
  <c r="AI8"/>
  <c r="AF8" s="1"/>
  <c r="AI21"/>
  <c r="AI37"/>
  <c r="U3" i="104"/>
  <c r="Q3"/>
  <c r="F78" i="22" s="1"/>
  <c r="AI43" i="104"/>
  <c r="U3" i="103"/>
  <c r="BB58"/>
  <c r="AI59"/>
  <c r="AI61"/>
  <c r="AI63"/>
  <c r="AI65"/>
  <c r="AI73"/>
  <c r="U3" i="102"/>
  <c r="Q3"/>
  <c r="F61" i="22" s="1"/>
  <c r="AI13" i="102"/>
  <c r="AI25"/>
  <c r="AI37"/>
  <c r="AI49"/>
  <c r="AI82"/>
  <c r="U3" i="101"/>
  <c r="Q3"/>
  <c r="F90" i="22" s="1"/>
  <c r="AI10" i="101"/>
  <c r="AI11"/>
  <c r="AI14"/>
  <c r="AI15"/>
  <c r="AI22"/>
  <c r="AI23"/>
  <c r="AI26"/>
  <c r="AI27"/>
  <c r="AI30"/>
  <c r="AI35"/>
  <c r="AI38"/>
  <c r="AI39"/>
  <c r="AI46"/>
  <c r="AI48"/>
  <c r="AI50"/>
  <c r="AI60"/>
  <c r="AI77"/>
  <c r="U3" i="100"/>
  <c r="Q3"/>
  <c r="F65" i="22" s="1"/>
  <c r="AI70" i="100"/>
  <c r="U3" i="99"/>
  <c r="Q3"/>
  <c r="F70" i="22" s="1"/>
  <c r="U3" i="98"/>
  <c r="AI9"/>
  <c r="AI10"/>
  <c r="AI14"/>
  <c r="AI17"/>
  <c r="AI18"/>
  <c r="AI22"/>
  <c r="BB58"/>
  <c r="U3" i="97"/>
  <c r="Q3"/>
  <c r="F84" i="22" s="1"/>
  <c r="U3" i="96"/>
  <c r="Q3"/>
  <c r="F69" i="22" s="1"/>
  <c r="AI9" i="96"/>
  <c r="AI10"/>
  <c r="AI14"/>
  <c r="AI18"/>
  <c r="AI26"/>
  <c r="AI30"/>
  <c r="U3" i="95"/>
  <c r="AI49"/>
  <c r="AI72"/>
  <c r="AI82"/>
  <c r="Q3" i="94"/>
  <c r="F66" i="22" s="1"/>
  <c r="AI11" i="94"/>
  <c r="AI22"/>
  <c r="AI26"/>
  <c r="AI29"/>
  <c r="AI30"/>
  <c r="AI33"/>
  <c r="AI34"/>
  <c r="AI38"/>
  <c r="AI41"/>
  <c r="AI42"/>
  <c r="AI45"/>
  <c r="BB58"/>
  <c r="U3" i="93"/>
  <c r="Q3"/>
  <c r="F16" i="22" s="1"/>
  <c r="AI13" i="93"/>
  <c r="AI19"/>
  <c r="AI25"/>
  <c r="AI31"/>
  <c r="AI37"/>
  <c r="AI43"/>
  <c r="AI49"/>
  <c r="AI55"/>
  <c r="AI82"/>
  <c r="U3" i="92"/>
  <c r="Q3"/>
  <c r="F87" i="22" s="1"/>
  <c r="AI12" i="92"/>
  <c r="AI14"/>
  <c r="AI15"/>
  <c r="AI17"/>
  <c r="AI18"/>
  <c r="AI21"/>
  <c r="AI22"/>
  <c r="AI26"/>
  <c r="AI29"/>
  <c r="AI30"/>
  <c r="AI33"/>
  <c r="BB58"/>
  <c r="U3" i="91"/>
  <c r="Q3"/>
  <c r="F75" i="22" s="1"/>
  <c r="AI13" i="91"/>
  <c r="AI25"/>
  <c r="AI31"/>
  <c r="AI37"/>
  <c r="AI43"/>
  <c r="U3" i="90"/>
  <c r="BB58"/>
  <c r="U3" i="89"/>
  <c r="Q3"/>
  <c r="F19" i="22" s="1"/>
  <c r="AI25" i="89"/>
  <c r="AI37"/>
  <c r="AI49"/>
  <c r="AI55"/>
  <c r="AI72"/>
  <c r="AI82"/>
  <c r="U3" i="88"/>
  <c r="Q3"/>
  <c r="F37" i="22" s="1"/>
  <c r="BB58" i="88"/>
  <c r="Q3" i="87"/>
  <c r="F7" i="22" s="1"/>
  <c r="AI13" i="87"/>
  <c r="AI19"/>
  <c r="AI31"/>
  <c r="AI49"/>
  <c r="AI72"/>
  <c r="U3" i="86"/>
  <c r="Q3"/>
  <c r="F95" i="22" s="1"/>
  <c r="AI20" i="86"/>
  <c r="AI23"/>
  <c r="AI24"/>
  <c r="AI27"/>
  <c r="AI28"/>
  <c r="AI32"/>
  <c r="AF32" s="1"/>
  <c r="Y32" s="1"/>
  <c r="AI35"/>
  <c r="AI36"/>
  <c r="U3" i="84"/>
  <c r="Q3"/>
  <c r="F39" i="22" s="1"/>
  <c r="BA69" i="84"/>
  <c r="BB69" s="1"/>
  <c r="S3" s="1"/>
  <c r="H39" i="22" s="1"/>
  <c r="AI21" i="84"/>
  <c r="AI24"/>
  <c r="AI28"/>
  <c r="AI29"/>
  <c r="AI32"/>
  <c r="AI33"/>
  <c r="U3" i="85"/>
  <c r="Q3"/>
  <c r="F25" i="22" s="1"/>
  <c r="AI73" i="85"/>
  <c r="AI77"/>
  <c r="AI44"/>
  <c r="AI47"/>
  <c r="AI48"/>
  <c r="AI52"/>
  <c r="BB58"/>
  <c r="AI60"/>
  <c r="AI62"/>
  <c r="AI64"/>
  <c r="AI66"/>
  <c r="AI71"/>
  <c r="U3" i="83"/>
  <c r="Q3"/>
  <c r="F21" i="22" s="1"/>
  <c r="U3" i="82"/>
  <c r="AI14"/>
  <c r="AI15"/>
  <c r="AI18"/>
  <c r="BB58"/>
  <c r="AI8"/>
  <c r="AI9"/>
  <c r="AI12"/>
  <c r="U3" i="81"/>
  <c r="Q3"/>
  <c r="F10" i="22" s="1"/>
  <c r="AI16" i="81"/>
  <c r="AI17"/>
  <c r="AI20"/>
  <c r="AI21"/>
  <c r="U3" i="79"/>
  <c r="Q3"/>
  <c r="F54" i="22" s="1"/>
  <c r="AI19" i="79"/>
  <c r="BA69"/>
  <c r="BB69" s="1"/>
  <c r="U3" i="77"/>
  <c r="Q3"/>
  <c r="F29" i="22" s="1"/>
  <c r="AI17" i="77"/>
  <c r="AI18"/>
  <c r="AI20"/>
  <c r="AI21"/>
  <c r="AI22"/>
  <c r="AI23"/>
  <c r="BA69"/>
  <c r="BB69" s="1"/>
  <c r="AL8" i="98"/>
  <c r="AJ8"/>
  <c r="AK13"/>
  <c r="AG13"/>
  <c r="AI13" s="1"/>
  <c r="AK19"/>
  <c r="AG19"/>
  <c r="AG8" i="97"/>
  <c r="AI8" s="1"/>
  <c r="AK8"/>
  <c r="AG9"/>
  <c r="AI9" s="1"/>
  <c r="AK9"/>
  <c r="AG10"/>
  <c r="AI10" s="1"/>
  <c r="AK10"/>
  <c r="AG11"/>
  <c r="AI11" s="1"/>
  <c r="AK11"/>
  <c r="AG12"/>
  <c r="AI12" s="1"/>
  <c r="AK12"/>
  <c r="AH13"/>
  <c r="AJ13"/>
  <c r="AG14"/>
  <c r="AI14" s="1"/>
  <c r="AK14"/>
  <c r="AG15"/>
  <c r="AI15" s="1"/>
  <c r="AK15"/>
  <c r="AG16"/>
  <c r="AI16" s="1"/>
  <c r="AK16"/>
  <c r="AG17"/>
  <c r="AI17" s="1"/>
  <c r="AK17"/>
  <c r="AG18"/>
  <c r="AI18" s="1"/>
  <c r="AK18"/>
  <c r="AH19"/>
  <c r="AI19" s="1"/>
  <c r="AJ19"/>
  <c r="AG20"/>
  <c r="AI20" s="1"/>
  <c r="AK20"/>
  <c r="AG21"/>
  <c r="AI21" s="1"/>
  <c r="AK21"/>
  <c r="AG22"/>
  <c r="AI22" s="1"/>
  <c r="AK22"/>
  <c r="AG23"/>
  <c r="AI23" s="1"/>
  <c r="AK23"/>
  <c r="AG24"/>
  <c r="AI24" s="1"/>
  <c r="AK24"/>
  <c r="AH25"/>
  <c r="AJ25"/>
  <c r="AG26"/>
  <c r="AI26" s="1"/>
  <c r="AK26"/>
  <c r="AG27"/>
  <c r="AI27" s="1"/>
  <c r="AK27"/>
  <c r="AG28"/>
  <c r="AI28" s="1"/>
  <c r="AK28"/>
  <c r="AG29"/>
  <c r="AI29" s="1"/>
  <c r="AK29"/>
  <c r="AG30"/>
  <c r="AI30" s="1"/>
  <c r="AK30"/>
  <c r="AH31"/>
  <c r="AI31" s="1"/>
  <c r="AJ31"/>
  <c r="AG32"/>
  <c r="AI32" s="1"/>
  <c r="AK32"/>
  <c r="AG33"/>
  <c r="AI33" s="1"/>
  <c r="AK33"/>
  <c r="AG34"/>
  <c r="AI34" s="1"/>
  <c r="AK34"/>
  <c r="AG35"/>
  <c r="AI35" s="1"/>
  <c r="AK35"/>
  <c r="AG36"/>
  <c r="AI36" s="1"/>
  <c r="AK36"/>
  <c r="AH37"/>
  <c r="AJ37"/>
  <c r="AG38"/>
  <c r="AI38" s="1"/>
  <c r="AK38"/>
  <c r="AG39"/>
  <c r="AI39" s="1"/>
  <c r="AK39"/>
  <c r="AG40"/>
  <c r="AI40" s="1"/>
  <c r="AK40"/>
  <c r="AG41"/>
  <c r="AI41" s="1"/>
  <c r="AK41"/>
  <c r="AG42"/>
  <c r="AI42" s="1"/>
  <c r="AK42"/>
  <c r="AH43"/>
  <c r="AI43" s="1"/>
  <c r="AJ43"/>
  <c r="AF43" s="1"/>
  <c r="Y43" s="1"/>
  <c r="AG44"/>
  <c r="AI44" s="1"/>
  <c r="AK44"/>
  <c r="AG45"/>
  <c r="AI45" s="1"/>
  <c r="AF45" s="1"/>
  <c r="Y45" s="1"/>
  <c r="AK45"/>
  <c r="AG46"/>
  <c r="AI46" s="1"/>
  <c r="AK46"/>
  <c r="AG47"/>
  <c r="AI47" s="1"/>
  <c r="AK47"/>
  <c r="AG48"/>
  <c r="AI48" s="1"/>
  <c r="AK48"/>
  <c r="AH49"/>
  <c r="AJ49"/>
  <c r="AG50"/>
  <c r="AI50" s="1"/>
  <c r="AK50"/>
  <c r="AG51"/>
  <c r="AI51" s="1"/>
  <c r="AK51"/>
  <c r="AG52"/>
  <c r="AI52" s="1"/>
  <c r="AK52"/>
  <c r="AG53"/>
  <c r="AI53" s="1"/>
  <c r="AK53"/>
  <c r="AG54"/>
  <c r="AI54" s="1"/>
  <c r="AK54"/>
  <c r="AH55"/>
  <c r="AI55" s="1"/>
  <c r="AJ55"/>
  <c r="BB58"/>
  <c r="AG59"/>
  <c r="AI59" s="1"/>
  <c r="AK59"/>
  <c r="AG60"/>
  <c r="AI60" s="1"/>
  <c r="AK60"/>
  <c r="AG61"/>
  <c r="AI61" s="1"/>
  <c r="AK61"/>
  <c r="AG62"/>
  <c r="AI62" s="1"/>
  <c r="AK62"/>
  <c r="AG63"/>
  <c r="AI63" s="1"/>
  <c r="AK63"/>
  <c r="AG64"/>
  <c r="AI64" s="1"/>
  <c r="AK64"/>
  <c r="AG65"/>
  <c r="AI65" s="1"/>
  <c r="AK65"/>
  <c r="AG66"/>
  <c r="AI66" s="1"/>
  <c r="AK66"/>
  <c r="AH70"/>
  <c r="AI70" s="1"/>
  <c r="AJ70"/>
  <c r="AG71"/>
  <c r="AI71" s="1"/>
  <c r="AK71"/>
  <c r="AH72"/>
  <c r="AI72" s="1"/>
  <c r="AF72" s="1"/>
  <c r="Y72" s="1"/>
  <c r="AJ72"/>
  <c r="AG73"/>
  <c r="AI73" s="1"/>
  <c r="AK73"/>
  <c r="AG77"/>
  <c r="AI77" s="1"/>
  <c r="AK77"/>
  <c r="AH78"/>
  <c r="AI78" s="1"/>
  <c r="AF78" s="1"/>
  <c r="Y78" s="1"/>
  <c r="AJ78"/>
  <c r="AH82"/>
  <c r="AJ82"/>
  <c r="AH86"/>
  <c r="AI86" s="1"/>
  <c r="AJ86"/>
  <c r="AG8" i="98"/>
  <c r="AI8" s="1"/>
  <c r="AK8"/>
  <c r="AL10"/>
  <c r="AK10"/>
  <c r="AL12"/>
  <c r="AK12"/>
  <c r="AF13"/>
  <c r="Y13" s="1"/>
  <c r="AJ13"/>
  <c r="AL14"/>
  <c r="AK14"/>
  <c r="AL16"/>
  <c r="AK16"/>
  <c r="AL18"/>
  <c r="AK18"/>
  <c r="AJ19"/>
  <c r="AL20"/>
  <c r="AK20"/>
  <c r="AL22"/>
  <c r="AK22"/>
  <c r="AJ8" i="97"/>
  <c r="AF8" s="1"/>
  <c r="AJ9"/>
  <c r="AJ10"/>
  <c r="AJ11"/>
  <c r="AF11" s="1"/>
  <c r="Y11" s="1"/>
  <c r="AF12"/>
  <c r="Y12" s="1"/>
  <c r="AJ12"/>
  <c r="AF14"/>
  <c r="Y14" s="1"/>
  <c r="AJ14"/>
  <c r="AF15"/>
  <c r="Y15" s="1"/>
  <c r="AJ15"/>
  <c r="AF16"/>
  <c r="Y16" s="1"/>
  <c r="AJ16"/>
  <c r="AF17"/>
  <c r="Y17" s="1"/>
  <c r="AJ17"/>
  <c r="AF18"/>
  <c r="Y18" s="1"/>
  <c r="AJ18"/>
  <c r="AF20"/>
  <c r="Y20" s="1"/>
  <c r="AJ20"/>
  <c r="AF21"/>
  <c r="Y21" s="1"/>
  <c r="AJ21"/>
  <c r="AF22"/>
  <c r="Y22" s="1"/>
  <c r="AJ22"/>
  <c r="AF23"/>
  <c r="Y23" s="1"/>
  <c r="AJ23"/>
  <c r="AF24"/>
  <c r="Y24" s="1"/>
  <c r="AJ24"/>
  <c r="AF26"/>
  <c r="Y26" s="1"/>
  <c r="AJ26"/>
  <c r="AF27"/>
  <c r="Y27" s="1"/>
  <c r="AJ27"/>
  <c r="AF28"/>
  <c r="Y28" s="1"/>
  <c r="AJ28"/>
  <c r="AF29"/>
  <c r="Y29" s="1"/>
  <c r="AJ29"/>
  <c r="AF30"/>
  <c r="Y30" s="1"/>
  <c r="AJ30"/>
  <c r="AF32"/>
  <c r="Y32" s="1"/>
  <c r="AJ32"/>
  <c r="AF33"/>
  <c r="Y33" s="1"/>
  <c r="AJ33"/>
  <c r="AF34"/>
  <c r="Y34" s="1"/>
  <c r="AJ34"/>
  <c r="AF35"/>
  <c r="Y35" s="1"/>
  <c r="AJ35"/>
  <c r="AF36"/>
  <c r="Y36" s="1"/>
  <c r="AJ36"/>
  <c r="AF38"/>
  <c r="Y38" s="1"/>
  <c r="AJ38"/>
  <c r="AF39"/>
  <c r="Y39" s="1"/>
  <c r="AJ39"/>
  <c r="AF40"/>
  <c r="Y40" s="1"/>
  <c r="AJ40"/>
  <c r="AF41"/>
  <c r="Y41" s="1"/>
  <c r="AJ41"/>
  <c r="AF42"/>
  <c r="Y42" s="1"/>
  <c r="AJ42"/>
  <c r="AF44"/>
  <c r="Y44" s="1"/>
  <c r="AJ44"/>
  <c r="AJ45"/>
  <c r="AJ46"/>
  <c r="AF46" s="1"/>
  <c r="Y46" s="1"/>
  <c r="AF47"/>
  <c r="Y47" s="1"/>
  <c r="AJ47"/>
  <c r="AF48"/>
  <c r="Y48" s="1"/>
  <c r="AJ48"/>
  <c r="AF50"/>
  <c r="Y50" s="1"/>
  <c r="AJ50"/>
  <c r="AF51"/>
  <c r="Y51" s="1"/>
  <c r="AJ51"/>
  <c r="AF52"/>
  <c r="Y52" s="1"/>
  <c r="AJ52"/>
  <c r="AF53"/>
  <c r="Y53" s="1"/>
  <c r="AJ53"/>
  <c r="AF54"/>
  <c r="Y54" s="1"/>
  <c r="AJ54"/>
  <c r="AF59"/>
  <c r="Y59" s="1"/>
  <c r="AJ59"/>
  <c r="AF60"/>
  <c r="Y60" s="1"/>
  <c r="AJ60"/>
  <c r="AJ61"/>
  <c r="AF61" s="1"/>
  <c r="Y61" s="1"/>
  <c r="AJ62"/>
  <c r="AF62" s="1"/>
  <c r="Y62" s="1"/>
  <c r="AF63"/>
  <c r="Y63" s="1"/>
  <c r="AJ63"/>
  <c r="AF64"/>
  <c r="Y64" s="1"/>
  <c r="AJ64"/>
  <c r="AF65"/>
  <c r="Y65" s="1"/>
  <c r="AJ65"/>
  <c r="AF66"/>
  <c r="Y66" s="1"/>
  <c r="AJ66"/>
  <c r="AF71"/>
  <c r="Y71" s="1"/>
  <c r="AJ71"/>
  <c r="AF73"/>
  <c r="Y73" s="1"/>
  <c r="AJ73"/>
  <c r="AF77"/>
  <c r="Y77" s="1"/>
  <c r="AJ77"/>
  <c r="AK61" i="100"/>
  <c r="AG61"/>
  <c r="AK63"/>
  <c r="AG63"/>
  <c r="AK65"/>
  <c r="AG65"/>
  <c r="AI65" s="1"/>
  <c r="AJ9" i="98"/>
  <c r="AJ10"/>
  <c r="AJ11"/>
  <c r="AF11" s="1"/>
  <c r="Y11" s="1"/>
  <c r="AJ12"/>
  <c r="AF12" s="1"/>
  <c r="Y12" s="1"/>
  <c r="AF14"/>
  <c r="Y14" s="1"/>
  <c r="AJ14"/>
  <c r="AF15"/>
  <c r="Y15" s="1"/>
  <c r="AJ15"/>
  <c r="AF16"/>
  <c r="Y16" s="1"/>
  <c r="AJ16"/>
  <c r="AF17"/>
  <c r="Y17" s="1"/>
  <c r="AJ17"/>
  <c r="AF18"/>
  <c r="Y18" s="1"/>
  <c r="AJ18"/>
  <c r="AF20"/>
  <c r="Y20" s="1"/>
  <c r="AJ20"/>
  <c r="AF21"/>
  <c r="Y21" s="1"/>
  <c r="AJ21"/>
  <c r="AF22"/>
  <c r="Y22" s="1"/>
  <c r="AJ22"/>
  <c r="AH23"/>
  <c r="AJ23"/>
  <c r="AH24"/>
  <c r="AJ24"/>
  <c r="AG25"/>
  <c r="AI25" s="1"/>
  <c r="AK25"/>
  <c r="AH26"/>
  <c r="AI26" s="1"/>
  <c r="AJ26"/>
  <c r="AF26" s="1"/>
  <c r="Y26" s="1"/>
  <c r="AH27"/>
  <c r="AI27" s="1"/>
  <c r="AJ27"/>
  <c r="AF27" s="1"/>
  <c r="Y27" s="1"/>
  <c r="AH28"/>
  <c r="AI28" s="1"/>
  <c r="AJ28"/>
  <c r="AF28" s="1"/>
  <c r="Y28" s="1"/>
  <c r="AH29"/>
  <c r="AI29" s="1"/>
  <c r="AJ29"/>
  <c r="AF29" s="1"/>
  <c r="Y29" s="1"/>
  <c r="AH30"/>
  <c r="AI30" s="1"/>
  <c r="AJ30"/>
  <c r="AF30" s="1"/>
  <c r="Y30" s="1"/>
  <c r="AG31"/>
  <c r="AI31" s="1"/>
  <c r="AK31"/>
  <c r="AH32"/>
  <c r="AI32" s="1"/>
  <c r="AJ32"/>
  <c r="AF32" s="1"/>
  <c r="Y32" s="1"/>
  <c r="AH33"/>
  <c r="AI33" s="1"/>
  <c r="AJ33"/>
  <c r="AF33" s="1"/>
  <c r="Y33" s="1"/>
  <c r="AH34"/>
  <c r="AI34" s="1"/>
  <c r="AJ34"/>
  <c r="AF34" s="1"/>
  <c r="Y34" s="1"/>
  <c r="AH35"/>
  <c r="AJ35"/>
  <c r="AH36"/>
  <c r="AI36" s="1"/>
  <c r="AJ36"/>
  <c r="AF36" s="1"/>
  <c r="Y36" s="1"/>
  <c r="AG37"/>
  <c r="AI37" s="1"/>
  <c r="AK37"/>
  <c r="AH38"/>
  <c r="AI38" s="1"/>
  <c r="AF38" s="1"/>
  <c r="Y38" s="1"/>
  <c r="AJ38"/>
  <c r="AH39"/>
  <c r="AI39" s="1"/>
  <c r="AJ39"/>
  <c r="AF39" s="1"/>
  <c r="Y39" s="1"/>
  <c r="AH40"/>
  <c r="AI40" s="1"/>
  <c r="AF40" s="1"/>
  <c r="Y40" s="1"/>
  <c r="AJ40"/>
  <c r="AH41"/>
  <c r="AI41" s="1"/>
  <c r="AJ41"/>
  <c r="AH42"/>
  <c r="AI42" s="1"/>
  <c r="AF42" s="1"/>
  <c r="Y42" s="1"/>
  <c r="AJ42"/>
  <c r="AG43"/>
  <c r="AI43" s="1"/>
  <c r="AK43"/>
  <c r="AH44"/>
  <c r="AI44" s="1"/>
  <c r="AJ44"/>
  <c r="AH45"/>
  <c r="AI45" s="1"/>
  <c r="AJ45"/>
  <c r="AF45" s="1"/>
  <c r="Y45" s="1"/>
  <c r="AH46"/>
  <c r="AI46" s="1"/>
  <c r="AF46" s="1"/>
  <c r="Y46" s="1"/>
  <c r="AJ46"/>
  <c r="AH47"/>
  <c r="AJ47"/>
  <c r="AH48"/>
  <c r="AI48" s="1"/>
  <c r="AJ48"/>
  <c r="AF48" s="1"/>
  <c r="Y48" s="1"/>
  <c r="AG49"/>
  <c r="AI49" s="1"/>
  <c r="AK49"/>
  <c r="AH50"/>
  <c r="AI50" s="1"/>
  <c r="AJ50"/>
  <c r="AF50" s="1"/>
  <c r="Y50" s="1"/>
  <c r="AH51"/>
  <c r="AI51" s="1"/>
  <c r="AJ51"/>
  <c r="AF51" s="1"/>
  <c r="Y51" s="1"/>
  <c r="AH52"/>
  <c r="AI52" s="1"/>
  <c r="AF52" s="1"/>
  <c r="Y52" s="1"/>
  <c r="AJ52"/>
  <c r="AH53"/>
  <c r="AI53" s="1"/>
  <c r="AJ53"/>
  <c r="AF53" s="1"/>
  <c r="Y53" s="1"/>
  <c r="AH54"/>
  <c r="AI54" s="1"/>
  <c r="AJ54"/>
  <c r="AF54" s="1"/>
  <c r="Y54" s="1"/>
  <c r="AG55"/>
  <c r="AI55" s="1"/>
  <c r="AK55"/>
  <c r="AH59"/>
  <c r="AI59" s="1"/>
  <c r="AJ59"/>
  <c r="AH60"/>
  <c r="AI60" s="1"/>
  <c r="AJ60"/>
  <c r="AH61"/>
  <c r="AI61" s="1"/>
  <c r="AJ61"/>
  <c r="AH62"/>
  <c r="AI62" s="1"/>
  <c r="AJ62"/>
  <c r="AH63"/>
  <c r="AI63" s="1"/>
  <c r="AJ63"/>
  <c r="AF63" s="1"/>
  <c r="Y63" s="1"/>
  <c r="AH64"/>
  <c r="AJ64"/>
  <c r="AH65"/>
  <c r="AI65" s="1"/>
  <c r="AF65" s="1"/>
  <c r="Y65" s="1"/>
  <c r="AJ65"/>
  <c r="AH66"/>
  <c r="AI66" s="1"/>
  <c r="AJ66"/>
  <c r="AG70"/>
  <c r="AI70" s="1"/>
  <c r="AK70"/>
  <c r="AH71"/>
  <c r="AI71" s="1"/>
  <c r="AF71" s="1"/>
  <c r="Y71" s="1"/>
  <c r="AJ71"/>
  <c r="AG72"/>
  <c r="AI72" s="1"/>
  <c r="AK72"/>
  <c r="AH73"/>
  <c r="AI73" s="1"/>
  <c r="AJ73"/>
  <c r="AF73" s="1"/>
  <c r="Y73" s="1"/>
  <c r="AH77"/>
  <c r="AI77" s="1"/>
  <c r="AF77" s="1"/>
  <c r="Y77" s="1"/>
  <c r="AJ77"/>
  <c r="AG78"/>
  <c r="AI78" s="1"/>
  <c r="AK78"/>
  <c r="AG82"/>
  <c r="AI82" s="1"/>
  <c r="AK82"/>
  <c r="AG86"/>
  <c r="AI86" s="1"/>
  <c r="AK86"/>
  <c r="AG8" i="99"/>
  <c r="AI8" s="1"/>
  <c r="AK8"/>
  <c r="AG9"/>
  <c r="AI9" s="1"/>
  <c r="AK9"/>
  <c r="AG10"/>
  <c r="AI10" s="1"/>
  <c r="AK10"/>
  <c r="AG11"/>
  <c r="AI11" s="1"/>
  <c r="AK11"/>
  <c r="AG12"/>
  <c r="AI12" s="1"/>
  <c r="AK12"/>
  <c r="AH13"/>
  <c r="AI13" s="1"/>
  <c r="AJ13"/>
  <c r="AG14"/>
  <c r="AI14" s="1"/>
  <c r="AK14"/>
  <c r="AG15"/>
  <c r="AI15" s="1"/>
  <c r="AK15"/>
  <c r="AG16"/>
  <c r="AI16" s="1"/>
  <c r="AK16"/>
  <c r="AG17"/>
  <c r="AI17" s="1"/>
  <c r="AK17"/>
  <c r="AG18"/>
  <c r="AI18" s="1"/>
  <c r="AK18"/>
  <c r="AH19"/>
  <c r="AI19" s="1"/>
  <c r="AJ19"/>
  <c r="AF19" s="1"/>
  <c r="Y19" s="1"/>
  <c r="AG20"/>
  <c r="AI20" s="1"/>
  <c r="AK20"/>
  <c r="AG21"/>
  <c r="AI21" s="1"/>
  <c r="AK21"/>
  <c r="AG22"/>
  <c r="AI22" s="1"/>
  <c r="AK22"/>
  <c r="AG23"/>
  <c r="AI23" s="1"/>
  <c r="AK23"/>
  <c r="AG24"/>
  <c r="AI24" s="1"/>
  <c r="AK24"/>
  <c r="AH25"/>
  <c r="AI25" s="1"/>
  <c r="AJ25"/>
  <c r="AG26"/>
  <c r="AI26" s="1"/>
  <c r="AK26"/>
  <c r="AG27"/>
  <c r="AI27" s="1"/>
  <c r="AK27"/>
  <c r="AG28"/>
  <c r="AI28" s="1"/>
  <c r="AK28"/>
  <c r="AG29"/>
  <c r="AI29" s="1"/>
  <c r="AK29"/>
  <c r="AG30"/>
  <c r="AI30" s="1"/>
  <c r="AK30"/>
  <c r="AH31"/>
  <c r="AI31" s="1"/>
  <c r="AF31" s="1"/>
  <c r="Y31" s="1"/>
  <c r="AJ31"/>
  <c r="AG32"/>
  <c r="AI32" s="1"/>
  <c r="AK32"/>
  <c r="AG33"/>
  <c r="AI33" s="1"/>
  <c r="AK33"/>
  <c r="AG34"/>
  <c r="AI34" s="1"/>
  <c r="AK34"/>
  <c r="AG35"/>
  <c r="AI35" s="1"/>
  <c r="AK35"/>
  <c r="AG36"/>
  <c r="AI36" s="1"/>
  <c r="AK36"/>
  <c r="AH37"/>
  <c r="AI37" s="1"/>
  <c r="AJ37"/>
  <c r="AG38"/>
  <c r="AI38" s="1"/>
  <c r="AK38"/>
  <c r="AG39"/>
  <c r="AI39" s="1"/>
  <c r="AK39"/>
  <c r="AG40"/>
  <c r="AI40" s="1"/>
  <c r="AK40"/>
  <c r="AG41"/>
  <c r="AI41" s="1"/>
  <c r="AK41"/>
  <c r="AG42"/>
  <c r="AI42" s="1"/>
  <c r="AK42"/>
  <c r="AH43"/>
  <c r="AI43" s="1"/>
  <c r="AJ43"/>
  <c r="AG44"/>
  <c r="AI44" s="1"/>
  <c r="AK44"/>
  <c r="AG45"/>
  <c r="AI45" s="1"/>
  <c r="AF45" s="1"/>
  <c r="Y45" s="1"/>
  <c r="AK45"/>
  <c r="AG46"/>
  <c r="AI46" s="1"/>
  <c r="AK46"/>
  <c r="AG47"/>
  <c r="AI47" s="1"/>
  <c r="AK47"/>
  <c r="AG48"/>
  <c r="AI48" s="1"/>
  <c r="AK48"/>
  <c r="AH49"/>
  <c r="AI49" s="1"/>
  <c r="AJ49"/>
  <c r="AF49" s="1"/>
  <c r="Y49" s="1"/>
  <c r="AG50"/>
  <c r="AI50" s="1"/>
  <c r="AK50"/>
  <c r="AG51"/>
  <c r="AI51" s="1"/>
  <c r="AK51"/>
  <c r="AG52"/>
  <c r="AI52" s="1"/>
  <c r="AK52"/>
  <c r="AG53"/>
  <c r="AI53" s="1"/>
  <c r="AK53"/>
  <c r="AG54"/>
  <c r="AI54" s="1"/>
  <c r="AK54"/>
  <c r="AH55"/>
  <c r="AI55" s="1"/>
  <c r="AF55" s="1"/>
  <c r="Y55" s="1"/>
  <c r="AJ55"/>
  <c r="BB58"/>
  <c r="AG59"/>
  <c r="AI59" s="1"/>
  <c r="AK59"/>
  <c r="AG60"/>
  <c r="AI60" s="1"/>
  <c r="AK60"/>
  <c r="AG61"/>
  <c r="AI61" s="1"/>
  <c r="AK61"/>
  <c r="AG62"/>
  <c r="AI62" s="1"/>
  <c r="AK62"/>
  <c r="AG63"/>
  <c r="AI63" s="1"/>
  <c r="AK63"/>
  <c r="AG64"/>
  <c r="AI64" s="1"/>
  <c r="AK64"/>
  <c r="AG65"/>
  <c r="AI65" s="1"/>
  <c r="AK65"/>
  <c r="AG66"/>
  <c r="AI66" s="1"/>
  <c r="AK66"/>
  <c r="AH70"/>
  <c r="AI70" s="1"/>
  <c r="AF70" s="1"/>
  <c r="Y70" s="1"/>
  <c r="AJ70"/>
  <c r="AG71"/>
  <c r="AI71" s="1"/>
  <c r="AK71"/>
  <c r="AH72"/>
  <c r="AI72" s="1"/>
  <c r="AF72" s="1"/>
  <c r="Y72" s="1"/>
  <c r="AJ72"/>
  <c r="AG73"/>
  <c r="AI73" s="1"/>
  <c r="AK73"/>
  <c r="AG77"/>
  <c r="AI77" s="1"/>
  <c r="AK77"/>
  <c r="AH78"/>
  <c r="AI78" s="1"/>
  <c r="AJ78"/>
  <c r="AF78" s="1"/>
  <c r="Y78" s="1"/>
  <c r="AH82"/>
  <c r="AI82" s="1"/>
  <c r="AF82" s="1"/>
  <c r="Y82" s="1"/>
  <c r="AJ82"/>
  <c r="AH86"/>
  <c r="AI86" s="1"/>
  <c r="AJ86"/>
  <c r="AH8" i="100"/>
  <c r="AI8" s="1"/>
  <c r="AJ8"/>
  <c r="AH9"/>
  <c r="AI9" s="1"/>
  <c r="AJ9"/>
  <c r="AH10"/>
  <c r="AI10" s="1"/>
  <c r="AJ10"/>
  <c r="AH11"/>
  <c r="AI11" s="1"/>
  <c r="AF11" s="1"/>
  <c r="Y11" s="1"/>
  <c r="AJ11"/>
  <c r="AH12"/>
  <c r="AI12" s="1"/>
  <c r="AF12" s="1"/>
  <c r="Y12" s="1"/>
  <c r="AJ12"/>
  <c r="AG13"/>
  <c r="AI13" s="1"/>
  <c r="AK13"/>
  <c r="AH14"/>
  <c r="AI14" s="1"/>
  <c r="AF14" s="1"/>
  <c r="Y14" s="1"/>
  <c r="AJ14"/>
  <c r="AH15"/>
  <c r="AI15" s="1"/>
  <c r="AJ15"/>
  <c r="AF15" s="1"/>
  <c r="Y15" s="1"/>
  <c r="AH16"/>
  <c r="AI16" s="1"/>
  <c r="AJ16"/>
  <c r="AH17"/>
  <c r="AI17" s="1"/>
  <c r="AJ17"/>
  <c r="AF17" s="1"/>
  <c r="Y17" s="1"/>
  <c r="AH18"/>
  <c r="AI18" s="1"/>
  <c r="AF18" s="1"/>
  <c r="Y18" s="1"/>
  <c r="AJ18"/>
  <c r="AG19"/>
  <c r="AI19" s="1"/>
  <c r="AK19"/>
  <c r="AH20"/>
  <c r="AI20" s="1"/>
  <c r="AF20" s="1"/>
  <c r="Y20" s="1"/>
  <c r="AJ20"/>
  <c r="AH21"/>
  <c r="AI21" s="1"/>
  <c r="AF21" s="1"/>
  <c r="Y21" s="1"/>
  <c r="AJ21"/>
  <c r="AH22"/>
  <c r="AI22" s="1"/>
  <c r="AF22" s="1"/>
  <c r="Y22" s="1"/>
  <c r="AJ22"/>
  <c r="AH23"/>
  <c r="AI23" s="1"/>
  <c r="AF23" s="1"/>
  <c r="Y23" s="1"/>
  <c r="AJ23"/>
  <c r="AH24"/>
  <c r="AI24" s="1"/>
  <c r="AJ24"/>
  <c r="AF24" s="1"/>
  <c r="Y24" s="1"/>
  <c r="AG25"/>
  <c r="AI25" s="1"/>
  <c r="AK25"/>
  <c r="AH26"/>
  <c r="AI26" s="1"/>
  <c r="AJ26"/>
  <c r="AH27"/>
  <c r="AI27" s="1"/>
  <c r="AJ27"/>
  <c r="AF27" s="1"/>
  <c r="Y27" s="1"/>
  <c r="AH28"/>
  <c r="AI28" s="1"/>
  <c r="AJ28"/>
  <c r="AF28" s="1"/>
  <c r="Y28" s="1"/>
  <c r="AH29"/>
  <c r="AI29" s="1"/>
  <c r="AF29" s="1"/>
  <c r="Y29" s="1"/>
  <c r="AJ29"/>
  <c r="AH30"/>
  <c r="AI30" s="1"/>
  <c r="AF30" s="1"/>
  <c r="Y30" s="1"/>
  <c r="AJ30"/>
  <c r="AG31"/>
  <c r="AI31" s="1"/>
  <c r="AK31"/>
  <c r="AH32"/>
  <c r="AI32" s="1"/>
  <c r="AJ32"/>
  <c r="AH33"/>
  <c r="AI33" s="1"/>
  <c r="AF33" s="1"/>
  <c r="Y33" s="1"/>
  <c r="AJ33"/>
  <c r="AH34"/>
  <c r="AI34" s="1"/>
  <c r="AJ34"/>
  <c r="AF34" s="1"/>
  <c r="Y34" s="1"/>
  <c r="AH35"/>
  <c r="AI35" s="1"/>
  <c r="AJ35"/>
  <c r="AH36"/>
  <c r="AI36" s="1"/>
  <c r="AF36" s="1"/>
  <c r="Y36" s="1"/>
  <c r="AJ36"/>
  <c r="AG37"/>
  <c r="AI37" s="1"/>
  <c r="AK37"/>
  <c r="AH38"/>
  <c r="AI38" s="1"/>
  <c r="AF38" s="1"/>
  <c r="Y38" s="1"/>
  <c r="AJ38"/>
  <c r="AH39"/>
  <c r="AI39" s="1"/>
  <c r="AF39" s="1"/>
  <c r="Y39" s="1"/>
  <c r="AJ39"/>
  <c r="AH40"/>
  <c r="AI40" s="1"/>
  <c r="AF40" s="1"/>
  <c r="Y40" s="1"/>
  <c r="AJ40"/>
  <c r="AH41"/>
  <c r="AI41" s="1"/>
  <c r="AJ41"/>
  <c r="AH42"/>
  <c r="AI42" s="1"/>
  <c r="AF42" s="1"/>
  <c r="Y42" s="1"/>
  <c r="AJ42"/>
  <c r="AG43"/>
  <c r="AI43" s="1"/>
  <c r="AK43"/>
  <c r="AH44"/>
  <c r="AI44" s="1"/>
  <c r="AJ44"/>
  <c r="AH45"/>
  <c r="AI45" s="1"/>
  <c r="AJ45"/>
  <c r="AH46"/>
  <c r="AI46" s="1"/>
  <c r="AF46" s="1"/>
  <c r="Y46" s="1"/>
  <c r="AJ46"/>
  <c r="AH47"/>
  <c r="AI47" s="1"/>
  <c r="AJ47"/>
  <c r="AF47" s="1"/>
  <c r="Y47" s="1"/>
  <c r="AH48"/>
  <c r="AI48" s="1"/>
  <c r="AF48" s="1"/>
  <c r="Y48" s="1"/>
  <c r="AJ48"/>
  <c r="AG49"/>
  <c r="AI49" s="1"/>
  <c r="AK49"/>
  <c r="AH50"/>
  <c r="AI50" s="1"/>
  <c r="AF50" s="1"/>
  <c r="Y50" s="1"/>
  <c r="AJ50"/>
  <c r="AH51"/>
  <c r="AI51" s="1"/>
  <c r="AJ51"/>
  <c r="AF51" s="1"/>
  <c r="Y51" s="1"/>
  <c r="AH52"/>
  <c r="AI52" s="1"/>
  <c r="AF52" s="1"/>
  <c r="Y52" s="1"/>
  <c r="AJ52"/>
  <c r="AH53"/>
  <c r="AI53" s="1"/>
  <c r="AJ53"/>
  <c r="AF53" s="1"/>
  <c r="Y53" s="1"/>
  <c r="AH54"/>
  <c r="AI54" s="1"/>
  <c r="AJ54"/>
  <c r="AF54" s="1"/>
  <c r="Y54" s="1"/>
  <c r="AG55"/>
  <c r="AI55" s="1"/>
  <c r="AK55"/>
  <c r="BA69"/>
  <c r="BB69" s="1"/>
  <c r="S3" s="1"/>
  <c r="H65" i="22" s="1"/>
  <c r="AH59" i="100"/>
  <c r="AI59" s="1"/>
  <c r="AJ59"/>
  <c r="AH60"/>
  <c r="AI60" s="1"/>
  <c r="AJ60"/>
  <c r="AF60" s="1"/>
  <c r="Y60" s="1"/>
  <c r="AJ61"/>
  <c r="AJ63"/>
  <c r="AF65"/>
  <c r="Y65" s="1"/>
  <c r="AJ65"/>
  <c r="AL9" i="101"/>
  <c r="AK9"/>
  <c r="AL11"/>
  <c r="AK11"/>
  <c r="AL15"/>
  <c r="AK15"/>
  <c r="AL17"/>
  <c r="AK17"/>
  <c r="AL21"/>
  <c r="AK21"/>
  <c r="AL23"/>
  <c r="AK23"/>
  <c r="AL27"/>
  <c r="AK27"/>
  <c r="AL29"/>
  <c r="AK29"/>
  <c r="AL33"/>
  <c r="AK33"/>
  <c r="AL35"/>
  <c r="AK35"/>
  <c r="AL39"/>
  <c r="AK39"/>
  <c r="AI41"/>
  <c r="AI42"/>
  <c r="AI44"/>
  <c r="AI45"/>
  <c r="AI47"/>
  <c r="AI52"/>
  <c r="AI54"/>
  <c r="AI59"/>
  <c r="AI61"/>
  <c r="AI63"/>
  <c r="AI65"/>
  <c r="AI71"/>
  <c r="AI73"/>
  <c r="AI78" i="102"/>
  <c r="AI86"/>
  <c r="AI9" i="103"/>
  <c r="AI10"/>
  <c r="AI11"/>
  <c r="AI17"/>
  <c r="AK62" i="100"/>
  <c r="AG62"/>
  <c r="AI62" s="1"/>
  <c r="AK64"/>
  <c r="AG64"/>
  <c r="AI64" s="1"/>
  <c r="AK66"/>
  <c r="AG66"/>
  <c r="AI66" s="1"/>
  <c r="AK71"/>
  <c r="AG71"/>
  <c r="AI71" s="1"/>
  <c r="AK73"/>
  <c r="AG73"/>
  <c r="AI73" s="1"/>
  <c r="AK77"/>
  <c r="AG77"/>
  <c r="AI77" s="1"/>
  <c r="AK13" i="101"/>
  <c r="AG13"/>
  <c r="AI13" s="1"/>
  <c r="AK19"/>
  <c r="AG19"/>
  <c r="AI19" s="1"/>
  <c r="AK25"/>
  <c r="AG25"/>
  <c r="AI25" s="1"/>
  <c r="AK31"/>
  <c r="AG31"/>
  <c r="AI31" s="1"/>
  <c r="AK37"/>
  <c r="AG37"/>
  <c r="AI37" s="1"/>
  <c r="AJ25" i="98"/>
  <c r="AF25" s="1"/>
  <c r="Y25" s="1"/>
  <c r="AF31"/>
  <c r="Y31" s="1"/>
  <c r="AJ31"/>
  <c r="AF37"/>
  <c r="Y37" s="1"/>
  <c r="AJ37"/>
  <c r="AF43"/>
  <c r="Y43" s="1"/>
  <c r="AJ43"/>
  <c r="AJ49"/>
  <c r="AF49" s="1"/>
  <c r="Y49" s="1"/>
  <c r="AF55"/>
  <c r="Y55" s="1"/>
  <c r="AJ55"/>
  <c r="AF70"/>
  <c r="Y70" s="1"/>
  <c r="AJ70"/>
  <c r="AF72"/>
  <c r="Y72" s="1"/>
  <c r="AJ72"/>
  <c r="AF78"/>
  <c r="Y78" s="1"/>
  <c r="AJ78"/>
  <c r="AF82"/>
  <c r="Y82" s="1"/>
  <c r="AJ82"/>
  <c r="AJ86"/>
  <c r="AF86" s="1"/>
  <c r="Y86" s="1"/>
  <c r="AJ8" i="99"/>
  <c r="AJ9"/>
  <c r="AJ10"/>
  <c r="AF11"/>
  <c r="Y11" s="1"/>
  <c r="AJ11"/>
  <c r="AF12"/>
  <c r="Y12" s="1"/>
  <c r="AJ12"/>
  <c r="AF14"/>
  <c r="Y14" s="1"/>
  <c r="AJ14"/>
  <c r="AF15"/>
  <c r="Y15" s="1"/>
  <c r="AJ15"/>
  <c r="AJ16"/>
  <c r="AF16" s="1"/>
  <c r="Y16" s="1"/>
  <c r="AF17"/>
  <c r="Y17" s="1"/>
  <c r="AJ17"/>
  <c r="AF18"/>
  <c r="Y18" s="1"/>
  <c r="AJ18"/>
  <c r="AF20"/>
  <c r="Y20" s="1"/>
  <c r="AJ20"/>
  <c r="AF21"/>
  <c r="Y21" s="1"/>
  <c r="AJ21"/>
  <c r="AF22"/>
  <c r="Y22" s="1"/>
  <c r="AJ22"/>
  <c r="AF23"/>
  <c r="Y23" s="1"/>
  <c r="AJ23"/>
  <c r="AF24"/>
  <c r="Y24" s="1"/>
  <c r="AJ24"/>
  <c r="AF26"/>
  <c r="Y26" s="1"/>
  <c r="AJ26"/>
  <c r="AF27"/>
  <c r="Y27" s="1"/>
  <c r="AJ27"/>
  <c r="AF28"/>
  <c r="Y28" s="1"/>
  <c r="AJ28"/>
  <c r="AF29"/>
  <c r="Y29" s="1"/>
  <c r="AJ29"/>
  <c r="AF30"/>
  <c r="Y30" s="1"/>
  <c r="AJ30"/>
  <c r="AF32"/>
  <c r="Y32" s="1"/>
  <c r="AJ32"/>
  <c r="AF33"/>
  <c r="Y33" s="1"/>
  <c r="AJ33"/>
  <c r="AF34"/>
  <c r="Y34" s="1"/>
  <c r="AJ34"/>
  <c r="AF35"/>
  <c r="Y35" s="1"/>
  <c r="AJ35"/>
  <c r="AF36"/>
  <c r="Y36" s="1"/>
  <c r="AJ36"/>
  <c r="AF38"/>
  <c r="Y38" s="1"/>
  <c r="AJ38"/>
  <c r="AF39"/>
  <c r="Y39" s="1"/>
  <c r="AJ39"/>
  <c r="AF40"/>
  <c r="Y40" s="1"/>
  <c r="AJ40"/>
  <c r="AF41"/>
  <c r="Y41" s="1"/>
  <c r="AJ41"/>
  <c r="AF42"/>
  <c r="Y42" s="1"/>
  <c r="AJ42"/>
  <c r="AJ44"/>
  <c r="AF44" s="1"/>
  <c r="Y44" s="1"/>
  <c r="AJ45"/>
  <c r="AF46"/>
  <c r="Y46" s="1"/>
  <c r="AJ46"/>
  <c r="AF47"/>
  <c r="Y47" s="1"/>
  <c r="AJ47"/>
  <c r="AF48"/>
  <c r="Y48" s="1"/>
  <c r="AJ48"/>
  <c r="AF50"/>
  <c r="Y50" s="1"/>
  <c r="AJ50"/>
  <c r="AF51"/>
  <c r="Y51" s="1"/>
  <c r="AJ51"/>
  <c r="AF52"/>
  <c r="Y52" s="1"/>
  <c r="AJ52"/>
  <c r="AF53"/>
  <c r="Y53" s="1"/>
  <c r="AJ53"/>
  <c r="AJ54"/>
  <c r="AF54" s="1"/>
  <c r="Y54" s="1"/>
  <c r="AJ59"/>
  <c r="AF59" s="1"/>
  <c r="Y59" s="1"/>
  <c r="AF60"/>
  <c r="Y60" s="1"/>
  <c r="AJ60"/>
  <c r="AF61"/>
  <c r="Y61" s="1"/>
  <c r="AJ61"/>
  <c r="AF62"/>
  <c r="Y62" s="1"/>
  <c r="AJ62"/>
  <c r="AF63"/>
  <c r="Y63" s="1"/>
  <c r="AJ63"/>
  <c r="AF64"/>
  <c r="Y64" s="1"/>
  <c r="AJ64"/>
  <c r="AF65"/>
  <c r="Y65" s="1"/>
  <c r="AJ65"/>
  <c r="AJ66"/>
  <c r="AJ71"/>
  <c r="AF71" s="1"/>
  <c r="Y71" s="1"/>
  <c r="AF73"/>
  <c r="Y73" s="1"/>
  <c r="AJ73"/>
  <c r="AF77"/>
  <c r="Y77" s="1"/>
  <c r="AJ77"/>
  <c r="AF13" i="100"/>
  <c r="Y13" s="1"/>
  <c r="AJ13"/>
  <c r="AJ19"/>
  <c r="AF19" s="1"/>
  <c r="Y19" s="1"/>
  <c r="AJ25"/>
  <c r="AF25" s="1"/>
  <c r="Y25" s="1"/>
  <c r="AF31"/>
  <c r="Y31" s="1"/>
  <c r="AJ31"/>
  <c r="AF37"/>
  <c r="Y37" s="1"/>
  <c r="AJ37"/>
  <c r="AF43"/>
  <c r="Y43" s="1"/>
  <c r="AJ43"/>
  <c r="AF49"/>
  <c r="Y49" s="1"/>
  <c r="AJ49"/>
  <c r="AJ55"/>
  <c r="AF55" s="1"/>
  <c r="Y55" s="1"/>
  <c r="AH61"/>
  <c r="AF62"/>
  <c r="Y62" s="1"/>
  <c r="AJ62"/>
  <c r="AF64"/>
  <c r="Y64" s="1"/>
  <c r="AJ64"/>
  <c r="AJ66"/>
  <c r="AJ71"/>
  <c r="AF71" s="1"/>
  <c r="Y71" s="1"/>
  <c r="AF73"/>
  <c r="Y73" s="1"/>
  <c r="AJ73"/>
  <c r="AF77"/>
  <c r="Y77" s="1"/>
  <c r="AJ77"/>
  <c r="AJ13" i="101"/>
  <c r="AF13" s="1"/>
  <c r="Y13" s="1"/>
  <c r="AJ19"/>
  <c r="AF25"/>
  <c r="Y25" s="1"/>
  <c r="AJ25"/>
  <c r="AJ31"/>
  <c r="AF31" s="1"/>
  <c r="Y31" s="1"/>
  <c r="AF37"/>
  <c r="Y37" s="1"/>
  <c r="AJ37"/>
  <c r="AI12" i="103"/>
  <c r="AI14"/>
  <c r="AI18"/>
  <c r="AI20"/>
  <c r="AI21"/>
  <c r="AI26"/>
  <c r="AI27"/>
  <c r="AI29"/>
  <c r="AI30"/>
  <c r="AI34"/>
  <c r="AI35"/>
  <c r="AI40"/>
  <c r="AI45"/>
  <c r="AI47"/>
  <c r="AI51"/>
  <c r="AI53"/>
  <c r="AI60"/>
  <c r="AI62"/>
  <c r="AI64"/>
  <c r="AI66"/>
  <c r="AI77"/>
  <c r="AK82"/>
  <c r="AG82"/>
  <c r="AI82" s="1"/>
  <c r="AK86"/>
  <c r="AG86"/>
  <c r="AI86" s="1"/>
  <c r="AK41" i="101"/>
  <c r="AK42"/>
  <c r="AJ43"/>
  <c r="AL43"/>
  <c r="AK44"/>
  <c r="AK45"/>
  <c r="AK46"/>
  <c r="AK47"/>
  <c r="AK48"/>
  <c r="AJ49"/>
  <c r="AL49"/>
  <c r="AK50"/>
  <c r="AK51"/>
  <c r="AK52"/>
  <c r="AK53"/>
  <c r="AK54"/>
  <c r="AJ55"/>
  <c r="AL55"/>
  <c r="AK59"/>
  <c r="AK60"/>
  <c r="AK61"/>
  <c r="AK62"/>
  <c r="AK63"/>
  <c r="AK64"/>
  <c r="AK65"/>
  <c r="AK66"/>
  <c r="AJ70"/>
  <c r="AL70"/>
  <c r="AK71"/>
  <c r="AJ72"/>
  <c r="AL72"/>
  <c r="AK73"/>
  <c r="AK77"/>
  <c r="AJ78"/>
  <c r="AL78"/>
  <c r="AJ82"/>
  <c r="AL82"/>
  <c r="AJ86"/>
  <c r="AL86"/>
  <c r="AJ8" i="102"/>
  <c r="AL8"/>
  <c r="AJ9"/>
  <c r="AL9"/>
  <c r="AJ10"/>
  <c r="AL10"/>
  <c r="AJ11"/>
  <c r="AL11"/>
  <c r="AJ12"/>
  <c r="AL12"/>
  <c r="AK13"/>
  <c r="AJ14"/>
  <c r="AL14"/>
  <c r="AJ15"/>
  <c r="AL15"/>
  <c r="AJ16"/>
  <c r="AL16"/>
  <c r="AJ17"/>
  <c r="AL17"/>
  <c r="AJ18"/>
  <c r="AL18"/>
  <c r="AK19"/>
  <c r="AJ20"/>
  <c r="AL20"/>
  <c r="AJ21"/>
  <c r="AL21"/>
  <c r="AJ22"/>
  <c r="AL22"/>
  <c r="AJ23"/>
  <c r="AL23"/>
  <c r="AJ24"/>
  <c r="AL24"/>
  <c r="AK25"/>
  <c r="AJ26"/>
  <c r="AL26"/>
  <c r="AJ27"/>
  <c r="AL27"/>
  <c r="AJ28"/>
  <c r="AL28"/>
  <c r="AJ29"/>
  <c r="AL29"/>
  <c r="AJ30"/>
  <c r="AL30"/>
  <c r="AK31"/>
  <c r="AJ32"/>
  <c r="AL32"/>
  <c r="AJ33"/>
  <c r="AL33"/>
  <c r="AJ34"/>
  <c r="AL34"/>
  <c r="AJ35"/>
  <c r="AL35"/>
  <c r="AJ36"/>
  <c r="AL36"/>
  <c r="AK37"/>
  <c r="AJ38"/>
  <c r="AL38"/>
  <c r="AJ39"/>
  <c r="AL39"/>
  <c r="AJ40"/>
  <c r="AL40"/>
  <c r="AJ41"/>
  <c r="AL41"/>
  <c r="AJ42"/>
  <c r="AL42"/>
  <c r="AK43"/>
  <c r="AJ44"/>
  <c r="AL44"/>
  <c r="AJ45"/>
  <c r="AL45"/>
  <c r="AJ46"/>
  <c r="AL46"/>
  <c r="AJ47"/>
  <c r="AL47"/>
  <c r="AJ48"/>
  <c r="AL48"/>
  <c r="AK49"/>
  <c r="AJ50"/>
  <c r="AL50"/>
  <c r="AJ51"/>
  <c r="AL51"/>
  <c r="AJ52"/>
  <c r="AL52"/>
  <c r="AJ53"/>
  <c r="AL53"/>
  <c r="AJ54"/>
  <c r="AL54"/>
  <c r="AK55"/>
  <c r="AJ59"/>
  <c r="AL59"/>
  <c r="AJ60"/>
  <c r="AL60"/>
  <c r="AJ61"/>
  <c r="AL61"/>
  <c r="AJ62"/>
  <c r="AL62"/>
  <c r="AJ63"/>
  <c r="AL63"/>
  <c r="AJ64"/>
  <c r="AL64"/>
  <c r="AJ65"/>
  <c r="AL65"/>
  <c r="AJ66"/>
  <c r="AL66"/>
  <c r="AK70"/>
  <c r="AJ71"/>
  <c r="AL71"/>
  <c r="AK72"/>
  <c r="AJ73"/>
  <c r="AL73"/>
  <c r="AJ77"/>
  <c r="AL77"/>
  <c r="AK78"/>
  <c r="AK82"/>
  <c r="AK86"/>
  <c r="AK8" i="103"/>
  <c r="AK9"/>
  <c r="AK10"/>
  <c r="AK11"/>
  <c r="AK12"/>
  <c r="AJ13"/>
  <c r="AL13"/>
  <c r="AK14"/>
  <c r="AK15"/>
  <c r="AK16"/>
  <c r="AK17"/>
  <c r="AK18"/>
  <c r="AJ19"/>
  <c r="AL19"/>
  <c r="AK20"/>
  <c r="AK21"/>
  <c r="AK22"/>
  <c r="AK23"/>
  <c r="AK24"/>
  <c r="AJ25"/>
  <c r="AL25"/>
  <c r="AK26"/>
  <c r="AK27"/>
  <c r="AK28"/>
  <c r="AK29"/>
  <c r="AK30"/>
  <c r="AJ31"/>
  <c r="AL31"/>
  <c r="AK32"/>
  <c r="AK33"/>
  <c r="AK34"/>
  <c r="AK35"/>
  <c r="AK36"/>
  <c r="AJ37"/>
  <c r="AL37"/>
  <c r="AK38"/>
  <c r="AK39"/>
  <c r="AK40"/>
  <c r="AK41"/>
  <c r="AK42"/>
  <c r="AJ43"/>
  <c r="AL43"/>
  <c r="AK44"/>
  <c r="AK45"/>
  <c r="AK46"/>
  <c r="AK47"/>
  <c r="AK48"/>
  <c r="AJ49"/>
  <c r="AL49"/>
  <c r="AK50"/>
  <c r="AK51"/>
  <c r="AK52"/>
  <c r="AK53"/>
  <c r="AK54"/>
  <c r="AJ55"/>
  <c r="AL55"/>
  <c r="AK59"/>
  <c r="AK60"/>
  <c r="AK61"/>
  <c r="AK62"/>
  <c r="AK63"/>
  <c r="AK64"/>
  <c r="AK65"/>
  <c r="AK66"/>
  <c r="AJ70"/>
  <c r="AL70"/>
  <c r="AK71"/>
  <c r="AJ72"/>
  <c r="AL72"/>
  <c r="AK73"/>
  <c r="AK77"/>
  <c r="AJ78"/>
  <c r="AJ82"/>
  <c r="AJ86"/>
  <c r="AI12" i="105"/>
  <c r="AI14"/>
  <c r="AI15"/>
  <c r="AI18"/>
  <c r="AI20"/>
  <c r="AI22"/>
  <c r="AI24"/>
  <c r="AI26"/>
  <c r="AI28"/>
  <c r="AK8" i="104"/>
  <c r="AG8"/>
  <c r="AI8" s="1"/>
  <c r="AL8"/>
  <c r="AJ8"/>
  <c r="AF70" i="100"/>
  <c r="Y70" s="1"/>
  <c r="AJ70"/>
  <c r="AF72"/>
  <c r="Y72" s="1"/>
  <c r="AJ72"/>
  <c r="AJ78"/>
  <c r="AF78" s="1"/>
  <c r="Y78" s="1"/>
  <c r="AF82"/>
  <c r="Y82" s="1"/>
  <c r="AJ82"/>
  <c r="AJ86"/>
  <c r="AF86" s="1"/>
  <c r="Y86" s="1"/>
  <c r="AJ8" i="101"/>
  <c r="AF8" s="1"/>
  <c r="AJ9"/>
  <c r="AJ10"/>
  <c r="AF11"/>
  <c r="Y11" s="1"/>
  <c r="AJ11"/>
  <c r="AF12"/>
  <c r="Y12" s="1"/>
  <c r="AJ12"/>
  <c r="AJ14"/>
  <c r="AF14" s="1"/>
  <c r="Y14" s="1"/>
  <c r="AJ15"/>
  <c r="AF15" s="1"/>
  <c r="Y15" s="1"/>
  <c r="AJ16"/>
  <c r="AF16" s="1"/>
  <c r="Y16" s="1"/>
  <c r="AF17"/>
  <c r="Y17" s="1"/>
  <c r="AJ17"/>
  <c r="AF18"/>
  <c r="Y18" s="1"/>
  <c r="AJ18"/>
  <c r="AJ20"/>
  <c r="AF20" s="1"/>
  <c r="Y20" s="1"/>
  <c r="AF21"/>
  <c r="Y21" s="1"/>
  <c r="AJ21"/>
  <c r="AF22"/>
  <c r="Y22" s="1"/>
  <c r="AJ22"/>
  <c r="AF23"/>
  <c r="Y23" s="1"/>
  <c r="AJ23"/>
  <c r="AF24"/>
  <c r="Y24" s="1"/>
  <c r="AJ24"/>
  <c r="AF26"/>
  <c r="Y26" s="1"/>
  <c r="AJ26"/>
  <c r="AF27"/>
  <c r="Y27" s="1"/>
  <c r="AJ27"/>
  <c r="AF28"/>
  <c r="Y28" s="1"/>
  <c r="AJ28"/>
  <c r="AF29"/>
  <c r="Y29" s="1"/>
  <c r="AJ29"/>
  <c r="AF30"/>
  <c r="Y30" s="1"/>
  <c r="AJ30"/>
  <c r="AJ32"/>
  <c r="AF32" s="1"/>
  <c r="Y32" s="1"/>
  <c r="AF33"/>
  <c r="Y33" s="1"/>
  <c r="AJ33"/>
  <c r="AF34"/>
  <c r="Y34" s="1"/>
  <c r="AJ34"/>
  <c r="AF35"/>
  <c r="Y35" s="1"/>
  <c r="AJ35"/>
  <c r="AJ36"/>
  <c r="AF36" s="1"/>
  <c r="Y36" s="1"/>
  <c r="AF38"/>
  <c r="Y38" s="1"/>
  <c r="AJ38"/>
  <c r="AF39"/>
  <c r="Y39" s="1"/>
  <c r="AJ39"/>
  <c r="AF40"/>
  <c r="Y40" s="1"/>
  <c r="AJ40"/>
  <c r="AF41"/>
  <c r="Y41" s="1"/>
  <c r="AJ41"/>
  <c r="AF42"/>
  <c r="Y42" s="1"/>
  <c r="AJ42"/>
  <c r="AG43"/>
  <c r="AI43" s="1"/>
  <c r="AF43" s="1"/>
  <c r="Y43" s="1"/>
  <c r="AF44"/>
  <c r="Y44" s="1"/>
  <c r="AJ44"/>
  <c r="AF45"/>
  <c r="Y45" s="1"/>
  <c r="AJ45"/>
  <c r="AF46"/>
  <c r="Y46" s="1"/>
  <c r="AJ46"/>
  <c r="AJ47"/>
  <c r="AF47" s="1"/>
  <c r="Y47" s="1"/>
  <c r="AF48"/>
  <c r="Y48" s="1"/>
  <c r="AJ48"/>
  <c r="AG49"/>
  <c r="AI49" s="1"/>
  <c r="AF49" s="1"/>
  <c r="Y49" s="1"/>
  <c r="AF50"/>
  <c r="Y50" s="1"/>
  <c r="AJ50"/>
  <c r="AF51"/>
  <c r="Y51" s="1"/>
  <c r="AJ51"/>
  <c r="AF52"/>
  <c r="Y52" s="1"/>
  <c r="AJ52"/>
  <c r="AF53"/>
  <c r="Y53" s="1"/>
  <c r="AJ53"/>
  <c r="AJ54"/>
  <c r="AF54" s="1"/>
  <c r="Y54" s="1"/>
  <c r="AG55"/>
  <c r="AI55" s="1"/>
  <c r="AF55" s="1"/>
  <c r="Y55" s="1"/>
  <c r="AJ59"/>
  <c r="AF59" s="1"/>
  <c r="Y59" s="1"/>
  <c r="AF60"/>
  <c r="Y60" s="1"/>
  <c r="AJ60"/>
  <c r="AJ61"/>
  <c r="AF61" s="1"/>
  <c r="Y61" s="1"/>
  <c r="AF62"/>
  <c r="Y62" s="1"/>
  <c r="AJ62"/>
  <c r="AF63"/>
  <c r="Y63" s="1"/>
  <c r="AJ63"/>
  <c r="AF64"/>
  <c r="Y64" s="1"/>
  <c r="AJ64"/>
  <c r="AF65"/>
  <c r="Y65" s="1"/>
  <c r="AJ65"/>
  <c r="AJ66"/>
  <c r="AF66" s="1"/>
  <c r="Y66" s="1"/>
  <c r="AG70"/>
  <c r="AI70" s="1"/>
  <c r="AF70" s="1"/>
  <c r="Y70" s="1"/>
  <c r="AF71"/>
  <c r="Y71" s="1"/>
  <c r="AJ71"/>
  <c r="AG72"/>
  <c r="AI72" s="1"/>
  <c r="AF72" s="1"/>
  <c r="Y72" s="1"/>
  <c r="AF73"/>
  <c r="Y73" s="1"/>
  <c r="AJ73"/>
  <c r="AJ77"/>
  <c r="AF77" s="1"/>
  <c r="Y77" s="1"/>
  <c r="AG78"/>
  <c r="AI78" s="1"/>
  <c r="AF78" s="1"/>
  <c r="Y78" s="1"/>
  <c r="AG82"/>
  <c r="AI82" s="1"/>
  <c r="AF82" s="1"/>
  <c r="Y82" s="1"/>
  <c r="AG86"/>
  <c r="AI86" s="1"/>
  <c r="AF86" s="1"/>
  <c r="Y86" s="1"/>
  <c r="AG8" i="102"/>
  <c r="AI8" s="1"/>
  <c r="AG9"/>
  <c r="AI9" s="1"/>
  <c r="AG10"/>
  <c r="AI10" s="1"/>
  <c r="AG11"/>
  <c r="AI11" s="1"/>
  <c r="AF11" s="1"/>
  <c r="Y11" s="1"/>
  <c r="AG12"/>
  <c r="AI12" s="1"/>
  <c r="AF12" s="1"/>
  <c r="Y12" s="1"/>
  <c r="AF13"/>
  <c r="Y13" s="1"/>
  <c r="AJ13"/>
  <c r="AG14"/>
  <c r="AI14" s="1"/>
  <c r="AF14" s="1"/>
  <c r="Y14" s="1"/>
  <c r="AG15"/>
  <c r="AI15" s="1"/>
  <c r="AF15" s="1"/>
  <c r="Y15" s="1"/>
  <c r="AG16"/>
  <c r="AI16" s="1"/>
  <c r="AF16" s="1"/>
  <c r="Y16" s="1"/>
  <c r="AG17"/>
  <c r="AI17" s="1"/>
  <c r="AF17" s="1"/>
  <c r="Y17" s="1"/>
  <c r="AG18"/>
  <c r="AI18" s="1"/>
  <c r="AF18" s="1"/>
  <c r="Y18" s="1"/>
  <c r="AF19"/>
  <c r="Y19" s="1"/>
  <c r="AJ19"/>
  <c r="AG20"/>
  <c r="AI20" s="1"/>
  <c r="AF20" s="1"/>
  <c r="Y20" s="1"/>
  <c r="AG21"/>
  <c r="AI21" s="1"/>
  <c r="AF21" s="1"/>
  <c r="Y21" s="1"/>
  <c r="AG22"/>
  <c r="AI22" s="1"/>
  <c r="AF22" s="1"/>
  <c r="Y22" s="1"/>
  <c r="AG23"/>
  <c r="AI23" s="1"/>
  <c r="AF23" s="1"/>
  <c r="Y23" s="1"/>
  <c r="AG24"/>
  <c r="AI24" s="1"/>
  <c r="AF24" s="1"/>
  <c r="Y24" s="1"/>
  <c r="AJ25"/>
  <c r="AF25" s="1"/>
  <c r="Y25" s="1"/>
  <c r="AG26"/>
  <c r="AI26" s="1"/>
  <c r="AF26" s="1"/>
  <c r="Y26" s="1"/>
  <c r="AG27"/>
  <c r="AI27" s="1"/>
  <c r="AG28"/>
  <c r="AI28" s="1"/>
  <c r="AF28" s="1"/>
  <c r="Y28" s="1"/>
  <c r="AG29"/>
  <c r="AI29" s="1"/>
  <c r="AF29" s="1"/>
  <c r="Y29" s="1"/>
  <c r="AG30"/>
  <c r="AI30" s="1"/>
  <c r="AF30" s="1"/>
  <c r="Y30" s="1"/>
  <c r="AF31"/>
  <c r="Y31" s="1"/>
  <c r="AJ31"/>
  <c r="AG32"/>
  <c r="AI32" s="1"/>
  <c r="AF32" s="1"/>
  <c r="Y32" s="1"/>
  <c r="AG33"/>
  <c r="AI33" s="1"/>
  <c r="AF33" s="1"/>
  <c r="Y33" s="1"/>
  <c r="AG34"/>
  <c r="AI34" s="1"/>
  <c r="AF34" s="1"/>
  <c r="Y34" s="1"/>
  <c r="AG35"/>
  <c r="AI35" s="1"/>
  <c r="AF35" s="1"/>
  <c r="Y35" s="1"/>
  <c r="AG36"/>
  <c r="AI36" s="1"/>
  <c r="AF36" s="1"/>
  <c r="Y36" s="1"/>
  <c r="AF37"/>
  <c r="Y37" s="1"/>
  <c r="AJ37"/>
  <c r="AG38"/>
  <c r="AI38" s="1"/>
  <c r="AF38" s="1"/>
  <c r="Y38" s="1"/>
  <c r="AG39"/>
  <c r="AI39" s="1"/>
  <c r="AF39" s="1"/>
  <c r="Y39" s="1"/>
  <c r="AG40"/>
  <c r="AI40" s="1"/>
  <c r="AF40" s="1"/>
  <c r="Y40" s="1"/>
  <c r="AG41"/>
  <c r="AI41" s="1"/>
  <c r="AF41" s="1"/>
  <c r="Y41" s="1"/>
  <c r="AG42"/>
  <c r="AI42" s="1"/>
  <c r="AF42" s="1"/>
  <c r="Y42" s="1"/>
  <c r="AJ43"/>
  <c r="AF43" s="1"/>
  <c r="Y43" s="1"/>
  <c r="AG44"/>
  <c r="AI44" s="1"/>
  <c r="AF44" s="1"/>
  <c r="Y44" s="1"/>
  <c r="AG45"/>
  <c r="AI45" s="1"/>
  <c r="AF45" s="1"/>
  <c r="Y45" s="1"/>
  <c r="AG46"/>
  <c r="AI46" s="1"/>
  <c r="AF46" s="1"/>
  <c r="Y46" s="1"/>
  <c r="AG47"/>
  <c r="AI47" s="1"/>
  <c r="AF47" s="1"/>
  <c r="Y47" s="1"/>
  <c r="AG48"/>
  <c r="AI48" s="1"/>
  <c r="AF48" s="1"/>
  <c r="Y48" s="1"/>
  <c r="AF49"/>
  <c r="Y49" s="1"/>
  <c r="AJ49"/>
  <c r="AG50"/>
  <c r="AI50" s="1"/>
  <c r="AF50" s="1"/>
  <c r="Y50" s="1"/>
  <c r="AG51"/>
  <c r="AI51" s="1"/>
  <c r="AF51" s="1"/>
  <c r="Y51" s="1"/>
  <c r="AG52"/>
  <c r="AI52" s="1"/>
  <c r="AF52" s="1"/>
  <c r="Y52" s="1"/>
  <c r="AG53"/>
  <c r="AI53" s="1"/>
  <c r="AG54"/>
  <c r="AI54" s="1"/>
  <c r="AF54" s="1"/>
  <c r="Y54" s="1"/>
  <c r="AF55"/>
  <c r="Y55" s="1"/>
  <c r="AJ55"/>
  <c r="BB58"/>
  <c r="AG59"/>
  <c r="AI59" s="1"/>
  <c r="AF59" s="1"/>
  <c r="Y59" s="1"/>
  <c r="AG60"/>
  <c r="AI60" s="1"/>
  <c r="AF60" s="1"/>
  <c r="Y60" s="1"/>
  <c r="AG61"/>
  <c r="AI61" s="1"/>
  <c r="AF61" s="1"/>
  <c r="Y61" s="1"/>
  <c r="AG62"/>
  <c r="AI62" s="1"/>
  <c r="AF62" s="1"/>
  <c r="Y62" s="1"/>
  <c r="AG63"/>
  <c r="AI63" s="1"/>
  <c r="AF63" s="1"/>
  <c r="Y63" s="1"/>
  <c r="AG64"/>
  <c r="AI64" s="1"/>
  <c r="AF64" s="1"/>
  <c r="Y64" s="1"/>
  <c r="AG65"/>
  <c r="AI65" s="1"/>
  <c r="AF65" s="1"/>
  <c r="Y65" s="1"/>
  <c r="AG66"/>
  <c r="AI66" s="1"/>
  <c r="AF66" s="1"/>
  <c r="Y66" s="1"/>
  <c r="AF70"/>
  <c r="Y70" s="1"/>
  <c r="AJ70"/>
  <c r="AG71"/>
  <c r="AI71" s="1"/>
  <c r="AF71" s="1"/>
  <c r="Y71" s="1"/>
  <c r="AF72"/>
  <c r="Y72" s="1"/>
  <c r="AJ72"/>
  <c r="AG73"/>
  <c r="AI73" s="1"/>
  <c r="AF73" s="1"/>
  <c r="Y73" s="1"/>
  <c r="AG77"/>
  <c r="AI77" s="1"/>
  <c r="AF77" s="1"/>
  <c r="Y77" s="1"/>
  <c r="AF78"/>
  <c r="Y78" s="1"/>
  <c r="AJ78"/>
  <c r="AF82"/>
  <c r="Y82" s="1"/>
  <c r="AJ82"/>
  <c r="AJ86"/>
  <c r="AJ8" i="103"/>
  <c r="AF8" s="1"/>
  <c r="AJ9"/>
  <c r="AJ10"/>
  <c r="AJ11"/>
  <c r="AF11" s="1"/>
  <c r="Y11" s="1"/>
  <c r="AF12"/>
  <c r="Y12" s="1"/>
  <c r="AJ12"/>
  <c r="AG13"/>
  <c r="AI13" s="1"/>
  <c r="AF13" s="1"/>
  <c r="Y13" s="1"/>
  <c r="AJ14"/>
  <c r="AF14" s="1"/>
  <c r="Y14" s="1"/>
  <c r="AF15"/>
  <c r="Y15" s="1"/>
  <c r="AJ15"/>
  <c r="AF16"/>
  <c r="Y16" s="1"/>
  <c r="AJ16"/>
  <c r="AF17"/>
  <c r="Y17" s="1"/>
  <c r="AJ17"/>
  <c r="AF18"/>
  <c r="Y18" s="1"/>
  <c r="AJ18"/>
  <c r="AG19"/>
  <c r="AI19" s="1"/>
  <c r="AJ20"/>
  <c r="AF20" s="1"/>
  <c r="Y20" s="1"/>
  <c r="AF21"/>
  <c r="Y21" s="1"/>
  <c r="AJ21"/>
  <c r="AF22"/>
  <c r="Y22" s="1"/>
  <c r="AJ22"/>
  <c r="AF23"/>
  <c r="Y23" s="1"/>
  <c r="AJ23"/>
  <c r="AF24"/>
  <c r="Y24" s="1"/>
  <c r="AJ24"/>
  <c r="AG25"/>
  <c r="AI25" s="1"/>
  <c r="AF25" s="1"/>
  <c r="Y25" s="1"/>
  <c r="AF26"/>
  <c r="Y26" s="1"/>
  <c r="AJ26"/>
  <c r="AJ27"/>
  <c r="AF27" s="1"/>
  <c r="Y27" s="1"/>
  <c r="AF28"/>
  <c r="Y28" s="1"/>
  <c r="AJ28"/>
  <c r="AF29"/>
  <c r="Y29" s="1"/>
  <c r="AJ29"/>
  <c r="AF30"/>
  <c r="Y30" s="1"/>
  <c r="AJ30"/>
  <c r="AG31"/>
  <c r="AI31" s="1"/>
  <c r="AF31" s="1"/>
  <c r="Y31" s="1"/>
  <c r="AJ32"/>
  <c r="AF32" s="1"/>
  <c r="Y32" s="1"/>
  <c r="AF33"/>
  <c r="Y33" s="1"/>
  <c r="AJ33"/>
  <c r="AF34"/>
  <c r="Y34" s="1"/>
  <c r="AJ34"/>
  <c r="AF35"/>
  <c r="Y35" s="1"/>
  <c r="AJ35"/>
  <c r="AF36"/>
  <c r="Y36" s="1"/>
  <c r="AJ36"/>
  <c r="AG37"/>
  <c r="AI37" s="1"/>
  <c r="AF37" s="1"/>
  <c r="Y37" s="1"/>
  <c r="AF38"/>
  <c r="Y38" s="1"/>
  <c r="AJ38"/>
  <c r="AF39"/>
  <c r="Y39" s="1"/>
  <c r="AJ39"/>
  <c r="AF40"/>
  <c r="Y40" s="1"/>
  <c r="AJ40"/>
  <c r="AF41"/>
  <c r="Y41" s="1"/>
  <c r="AJ41"/>
  <c r="AF42"/>
  <c r="Y42" s="1"/>
  <c r="AJ42"/>
  <c r="AG43"/>
  <c r="AI43" s="1"/>
  <c r="AF43" s="1"/>
  <c r="Y43" s="1"/>
  <c r="AJ44"/>
  <c r="AF44" s="1"/>
  <c r="Y44" s="1"/>
  <c r="AJ45"/>
  <c r="AF45" s="1"/>
  <c r="Y45" s="1"/>
  <c r="AF46"/>
  <c r="Y46" s="1"/>
  <c r="AJ46"/>
  <c r="AF47"/>
  <c r="Y47" s="1"/>
  <c r="AJ47"/>
  <c r="AJ48"/>
  <c r="AF48" s="1"/>
  <c r="Y48" s="1"/>
  <c r="AG49"/>
  <c r="AI49" s="1"/>
  <c r="AF49" s="1"/>
  <c r="Y49" s="1"/>
  <c r="AF50"/>
  <c r="Y50" s="1"/>
  <c r="AJ50"/>
  <c r="AF51"/>
  <c r="Y51" s="1"/>
  <c r="AJ51"/>
  <c r="AF52"/>
  <c r="Y52" s="1"/>
  <c r="AJ52"/>
  <c r="AF53"/>
  <c r="Y53" s="1"/>
  <c r="AJ53"/>
  <c r="AJ54"/>
  <c r="AF54" s="1"/>
  <c r="Y54" s="1"/>
  <c r="AG55"/>
  <c r="AI55" s="1"/>
  <c r="AF55" s="1"/>
  <c r="Y55" s="1"/>
  <c r="AF59"/>
  <c r="Y59" s="1"/>
  <c r="AJ59"/>
  <c r="AJ60"/>
  <c r="AF60" s="1"/>
  <c r="Y60" s="1"/>
  <c r="AJ61"/>
  <c r="AF61" s="1"/>
  <c r="Y61" s="1"/>
  <c r="AF62"/>
  <c r="Y62" s="1"/>
  <c r="AJ62"/>
  <c r="AJ63"/>
  <c r="AF63" s="1"/>
  <c r="Y63" s="1"/>
  <c r="AF64"/>
  <c r="Y64" s="1"/>
  <c r="AJ64"/>
  <c r="AF65"/>
  <c r="Y65" s="1"/>
  <c r="AJ65"/>
  <c r="AJ66"/>
  <c r="AG70"/>
  <c r="AI70" s="1"/>
  <c r="AF70" s="1"/>
  <c r="Y70" s="1"/>
  <c r="AJ71"/>
  <c r="AF71" s="1"/>
  <c r="Y71" s="1"/>
  <c r="AG72"/>
  <c r="AI72" s="1"/>
  <c r="AF72" s="1"/>
  <c r="Y72" s="1"/>
  <c r="AJ73"/>
  <c r="AF73" s="1"/>
  <c r="Y73" s="1"/>
  <c r="AJ77"/>
  <c r="AF77" s="1"/>
  <c r="Y77" s="1"/>
  <c r="AG78"/>
  <c r="AI78" s="1"/>
  <c r="AF78" s="1"/>
  <c r="Y78" s="1"/>
  <c r="AL78"/>
  <c r="AL82"/>
  <c r="AF82" s="1"/>
  <c r="Y82" s="1"/>
  <c r="AL86"/>
  <c r="AI78" i="104"/>
  <c r="AI86"/>
  <c r="AI9" i="105"/>
  <c r="AI10"/>
  <c r="AF10" s="1"/>
  <c r="Y10" s="1"/>
  <c r="AI11"/>
  <c r="AI29"/>
  <c r="AK30"/>
  <c r="AG30"/>
  <c r="AI30" s="1"/>
  <c r="AK33"/>
  <c r="AG33"/>
  <c r="AI33" s="1"/>
  <c r="AK34"/>
  <c r="AG34"/>
  <c r="AI34" s="1"/>
  <c r="AK35"/>
  <c r="AG35"/>
  <c r="AI35" s="1"/>
  <c r="AK36"/>
  <c r="AG36"/>
  <c r="AI36" s="1"/>
  <c r="AJ9" i="104"/>
  <c r="AL9"/>
  <c r="AJ10"/>
  <c r="AL10"/>
  <c r="AJ11"/>
  <c r="AL11"/>
  <c r="AJ12"/>
  <c r="AL12"/>
  <c r="AK13"/>
  <c r="AJ14"/>
  <c r="AL14"/>
  <c r="AJ15"/>
  <c r="AL15"/>
  <c r="AJ16"/>
  <c r="AL16"/>
  <c r="AJ17"/>
  <c r="AL17"/>
  <c r="AJ18"/>
  <c r="AL18"/>
  <c r="AK19"/>
  <c r="AJ20"/>
  <c r="AL20"/>
  <c r="AJ21"/>
  <c r="AL21"/>
  <c r="AJ22"/>
  <c r="AL22"/>
  <c r="AJ23"/>
  <c r="AL23"/>
  <c r="AJ24"/>
  <c r="AL24"/>
  <c r="AK25"/>
  <c r="AJ26"/>
  <c r="AL26"/>
  <c r="AJ27"/>
  <c r="AL27"/>
  <c r="AJ28"/>
  <c r="AL28"/>
  <c r="AJ29"/>
  <c r="AL29"/>
  <c r="AJ30"/>
  <c r="AL30"/>
  <c r="AK31"/>
  <c r="AJ32"/>
  <c r="AL32"/>
  <c r="AJ33"/>
  <c r="AL33"/>
  <c r="AJ34"/>
  <c r="AL34"/>
  <c r="AJ35"/>
  <c r="AL35"/>
  <c r="AJ36"/>
  <c r="AL36"/>
  <c r="AK37"/>
  <c r="AJ38"/>
  <c r="AL38"/>
  <c r="AJ39"/>
  <c r="AL39"/>
  <c r="AJ40"/>
  <c r="AL40"/>
  <c r="AJ41"/>
  <c r="AL41"/>
  <c r="AJ42"/>
  <c r="AL42"/>
  <c r="AK43"/>
  <c r="AJ44"/>
  <c r="AL44"/>
  <c r="AF44" s="1"/>
  <c r="Y44" s="1"/>
  <c r="AJ45"/>
  <c r="AL45"/>
  <c r="AJ46"/>
  <c r="AL46"/>
  <c r="AJ47"/>
  <c r="AL47"/>
  <c r="AJ48"/>
  <c r="AL48"/>
  <c r="AK49"/>
  <c r="AJ50"/>
  <c r="AL50"/>
  <c r="AJ51"/>
  <c r="AL51"/>
  <c r="AJ52"/>
  <c r="AL52"/>
  <c r="AJ53"/>
  <c r="AL53"/>
  <c r="AJ54"/>
  <c r="AL54"/>
  <c r="AK55"/>
  <c r="AJ59"/>
  <c r="AL59"/>
  <c r="AJ60"/>
  <c r="AL60"/>
  <c r="AJ61"/>
  <c r="AL61"/>
  <c r="AJ62"/>
  <c r="AL62"/>
  <c r="AJ63"/>
  <c r="AL63"/>
  <c r="AJ64"/>
  <c r="AL64"/>
  <c r="AJ65"/>
  <c r="AL65"/>
  <c r="AJ66"/>
  <c r="AL66"/>
  <c r="AK70"/>
  <c r="AJ71"/>
  <c r="AL71"/>
  <c r="AK72"/>
  <c r="AJ73"/>
  <c r="AL73"/>
  <c r="AJ77"/>
  <c r="AL77"/>
  <c r="AK78"/>
  <c r="AK82"/>
  <c r="AK86"/>
  <c r="AK8" i="105"/>
  <c r="AK9"/>
  <c r="AK10"/>
  <c r="AK11"/>
  <c r="AK12"/>
  <c r="AJ13"/>
  <c r="AL13"/>
  <c r="AK14"/>
  <c r="AK15"/>
  <c r="AK16"/>
  <c r="AK17"/>
  <c r="AK18"/>
  <c r="AJ19"/>
  <c r="AL19"/>
  <c r="AK20"/>
  <c r="AK21"/>
  <c r="AK22"/>
  <c r="AK23"/>
  <c r="AK24"/>
  <c r="AJ25"/>
  <c r="AL25"/>
  <c r="AK26"/>
  <c r="AK27"/>
  <c r="AK28"/>
  <c r="AK29"/>
  <c r="AJ30"/>
  <c r="AJ33"/>
  <c r="AJ34"/>
  <c r="AJ35"/>
  <c r="AJ36"/>
  <c r="AK32"/>
  <c r="AG32"/>
  <c r="AI32" s="1"/>
  <c r="AF32" s="1"/>
  <c r="Y32" s="1"/>
  <c r="AK38"/>
  <c r="AG38"/>
  <c r="AI38" s="1"/>
  <c r="AG9" i="104"/>
  <c r="AI9" s="1"/>
  <c r="AG10"/>
  <c r="AI10" s="1"/>
  <c r="AG11"/>
  <c r="AI11" s="1"/>
  <c r="AF11" s="1"/>
  <c r="Y11" s="1"/>
  <c r="AG12"/>
  <c r="AI12" s="1"/>
  <c r="AF12" s="1"/>
  <c r="Y12" s="1"/>
  <c r="AJ13"/>
  <c r="AF13" s="1"/>
  <c r="Y13" s="1"/>
  <c r="AG14"/>
  <c r="AI14" s="1"/>
  <c r="AF14" s="1"/>
  <c r="Y14" s="1"/>
  <c r="AG15"/>
  <c r="AI15" s="1"/>
  <c r="AF15" s="1"/>
  <c r="Y15" s="1"/>
  <c r="AG16"/>
  <c r="AI16" s="1"/>
  <c r="AF16" s="1"/>
  <c r="Y16" s="1"/>
  <c r="AG17"/>
  <c r="AI17" s="1"/>
  <c r="AF17" s="1"/>
  <c r="Y17" s="1"/>
  <c r="AG18"/>
  <c r="AI18" s="1"/>
  <c r="AF18" s="1"/>
  <c r="Y18" s="1"/>
  <c r="AJ19"/>
  <c r="AG20"/>
  <c r="AI20" s="1"/>
  <c r="AF20" s="1"/>
  <c r="Y20" s="1"/>
  <c r="AG21"/>
  <c r="AI21" s="1"/>
  <c r="AF21" s="1"/>
  <c r="Y21" s="1"/>
  <c r="AG22"/>
  <c r="AI22" s="1"/>
  <c r="AF22" s="1"/>
  <c r="Y22" s="1"/>
  <c r="AG23"/>
  <c r="AI23" s="1"/>
  <c r="AF23" s="1"/>
  <c r="Y23" s="1"/>
  <c r="AG24"/>
  <c r="AI24" s="1"/>
  <c r="AF24" s="1"/>
  <c r="Y24" s="1"/>
  <c r="AJ25"/>
  <c r="AF25" s="1"/>
  <c r="Y25" s="1"/>
  <c r="AG26"/>
  <c r="AI26" s="1"/>
  <c r="AF26" s="1"/>
  <c r="Y26" s="1"/>
  <c r="AG27"/>
  <c r="AI27" s="1"/>
  <c r="AG28"/>
  <c r="AI28" s="1"/>
  <c r="AF28" s="1"/>
  <c r="Y28" s="1"/>
  <c r="AG29"/>
  <c r="AI29" s="1"/>
  <c r="AF29" s="1"/>
  <c r="Y29" s="1"/>
  <c r="AG30"/>
  <c r="AI30" s="1"/>
  <c r="AF30" s="1"/>
  <c r="Y30" s="1"/>
  <c r="AF31"/>
  <c r="Y31" s="1"/>
  <c r="AJ31"/>
  <c r="AG32"/>
  <c r="AI32" s="1"/>
  <c r="AF32" s="1"/>
  <c r="Y32" s="1"/>
  <c r="AG33"/>
  <c r="AI33" s="1"/>
  <c r="AF33" s="1"/>
  <c r="Y33" s="1"/>
  <c r="AG34"/>
  <c r="AI34" s="1"/>
  <c r="AF34" s="1"/>
  <c r="Y34" s="1"/>
  <c r="AG35"/>
  <c r="AI35" s="1"/>
  <c r="AF35" s="1"/>
  <c r="Y35" s="1"/>
  <c r="AG36"/>
  <c r="AI36" s="1"/>
  <c r="AF36" s="1"/>
  <c r="Y36" s="1"/>
  <c r="AF37"/>
  <c r="Y37" s="1"/>
  <c r="AJ37"/>
  <c r="AG38"/>
  <c r="AI38" s="1"/>
  <c r="AF38" s="1"/>
  <c r="Y38" s="1"/>
  <c r="AG39"/>
  <c r="AI39" s="1"/>
  <c r="AF39" s="1"/>
  <c r="Y39" s="1"/>
  <c r="AG40"/>
  <c r="AI40" s="1"/>
  <c r="AF40" s="1"/>
  <c r="Y40" s="1"/>
  <c r="AG41"/>
  <c r="AI41" s="1"/>
  <c r="AF41" s="1"/>
  <c r="Y41" s="1"/>
  <c r="AG42"/>
  <c r="AI42" s="1"/>
  <c r="AF42" s="1"/>
  <c r="Y42" s="1"/>
  <c r="AF43"/>
  <c r="Y43" s="1"/>
  <c r="AJ43"/>
  <c r="AG44"/>
  <c r="AI44" s="1"/>
  <c r="AG45"/>
  <c r="AI45" s="1"/>
  <c r="AF45" s="1"/>
  <c r="Y45" s="1"/>
  <c r="AG46"/>
  <c r="AI46" s="1"/>
  <c r="AF46" s="1"/>
  <c r="Y46" s="1"/>
  <c r="AG47"/>
  <c r="AI47" s="1"/>
  <c r="AF47" s="1"/>
  <c r="Y47" s="1"/>
  <c r="AG48"/>
  <c r="AI48" s="1"/>
  <c r="AF48" s="1"/>
  <c r="Y48" s="1"/>
  <c r="AJ49"/>
  <c r="AF49" s="1"/>
  <c r="Y49" s="1"/>
  <c r="AG50"/>
  <c r="AI50" s="1"/>
  <c r="AF50" s="1"/>
  <c r="Y50" s="1"/>
  <c r="AG51"/>
  <c r="AI51" s="1"/>
  <c r="AF51" s="1"/>
  <c r="Y51" s="1"/>
  <c r="AG52"/>
  <c r="AI52" s="1"/>
  <c r="AF52" s="1"/>
  <c r="Y52" s="1"/>
  <c r="AG53"/>
  <c r="AI53" s="1"/>
  <c r="AG54"/>
  <c r="AI54" s="1"/>
  <c r="AF54" s="1"/>
  <c r="Y54" s="1"/>
  <c r="AJ55"/>
  <c r="AF55" s="1"/>
  <c r="Y55" s="1"/>
  <c r="BB58"/>
  <c r="S3" s="1"/>
  <c r="H78" i="22" s="1"/>
  <c r="AG59" i="104"/>
  <c r="AI59" s="1"/>
  <c r="AF59" s="1"/>
  <c r="Y59" s="1"/>
  <c r="AG60"/>
  <c r="AI60" s="1"/>
  <c r="AF60" s="1"/>
  <c r="Y60" s="1"/>
  <c r="AG61"/>
  <c r="AI61" s="1"/>
  <c r="AF61" s="1"/>
  <c r="Y61" s="1"/>
  <c r="AG62"/>
  <c r="AI62" s="1"/>
  <c r="AF62" s="1"/>
  <c r="Y62" s="1"/>
  <c r="AG63"/>
  <c r="AI63" s="1"/>
  <c r="AF63" s="1"/>
  <c r="Y63" s="1"/>
  <c r="AG64"/>
  <c r="AI64" s="1"/>
  <c r="AF64" s="1"/>
  <c r="Y64" s="1"/>
  <c r="AG65"/>
  <c r="AI65" s="1"/>
  <c r="AF65" s="1"/>
  <c r="Y65" s="1"/>
  <c r="AG66"/>
  <c r="AI66" s="1"/>
  <c r="AF66" s="1"/>
  <c r="Y66" s="1"/>
  <c r="AF70"/>
  <c r="Y70" s="1"/>
  <c r="AJ70"/>
  <c r="AG71"/>
  <c r="AI71" s="1"/>
  <c r="AF71" s="1"/>
  <c r="Y71" s="1"/>
  <c r="AJ72"/>
  <c r="AF72" s="1"/>
  <c r="Y72" s="1"/>
  <c r="AG73"/>
  <c r="AI73" s="1"/>
  <c r="AF73" s="1"/>
  <c r="Y73" s="1"/>
  <c r="AG77"/>
  <c r="AI77" s="1"/>
  <c r="AF77" s="1"/>
  <c r="Y77" s="1"/>
  <c r="AF78"/>
  <c r="Y78" s="1"/>
  <c r="AJ78"/>
  <c r="AF82"/>
  <c r="Y82" s="1"/>
  <c r="AJ82"/>
  <c r="AJ86"/>
  <c r="AJ8" i="105"/>
  <c r="AJ9"/>
  <c r="AF9" s="1"/>
  <c r="Y9" s="1"/>
  <c r="AJ10"/>
  <c r="AF11"/>
  <c r="Y11" s="1"/>
  <c r="AJ11"/>
  <c r="AF12"/>
  <c r="Y12" s="1"/>
  <c r="AJ12"/>
  <c r="AG13"/>
  <c r="AI13" s="1"/>
  <c r="AF13" s="1"/>
  <c r="Y13" s="1"/>
  <c r="AJ14"/>
  <c r="AF14" s="1"/>
  <c r="Y14" s="1"/>
  <c r="AF15"/>
  <c r="Y15" s="1"/>
  <c r="AJ15"/>
  <c r="AF16"/>
  <c r="Y16" s="1"/>
  <c r="AJ16"/>
  <c r="AF17"/>
  <c r="Y17" s="1"/>
  <c r="AJ17"/>
  <c r="AF18"/>
  <c r="Y18" s="1"/>
  <c r="AJ18"/>
  <c r="AG19"/>
  <c r="AI19" s="1"/>
  <c r="AF20"/>
  <c r="Y20" s="1"/>
  <c r="AJ20"/>
  <c r="AF21"/>
  <c r="Y21" s="1"/>
  <c r="AJ21"/>
  <c r="AF22"/>
  <c r="Y22" s="1"/>
  <c r="AJ22"/>
  <c r="AF23"/>
  <c r="Y23" s="1"/>
  <c r="AJ23"/>
  <c r="AF24"/>
  <c r="Y24" s="1"/>
  <c r="AJ24"/>
  <c r="AG25"/>
  <c r="AI25" s="1"/>
  <c r="AF25" s="1"/>
  <c r="Y25" s="1"/>
  <c r="AF26"/>
  <c r="Y26" s="1"/>
  <c r="AJ26"/>
  <c r="AF27"/>
  <c r="Y27" s="1"/>
  <c r="AJ27"/>
  <c r="AF28"/>
  <c r="Y28" s="1"/>
  <c r="AJ28"/>
  <c r="AF29"/>
  <c r="Y29" s="1"/>
  <c r="AJ29"/>
  <c r="AL30"/>
  <c r="AF30" s="1"/>
  <c r="Y30" s="1"/>
  <c r="AL31"/>
  <c r="AK31"/>
  <c r="AJ32"/>
  <c r="AL33"/>
  <c r="AF33" s="1"/>
  <c r="Y33" s="1"/>
  <c r="AL34"/>
  <c r="AF34" s="1"/>
  <c r="Y34" s="1"/>
  <c r="AL35"/>
  <c r="AF35" s="1"/>
  <c r="Y35" s="1"/>
  <c r="AL36"/>
  <c r="AF36" s="1"/>
  <c r="Y36" s="1"/>
  <c r="AL37"/>
  <c r="AK37"/>
  <c r="AF38"/>
  <c r="Y38" s="1"/>
  <c r="AJ38"/>
  <c r="BA69" i="106"/>
  <c r="BB69" s="1"/>
  <c r="BB58"/>
  <c r="AK59"/>
  <c r="AG59"/>
  <c r="AI59" s="1"/>
  <c r="AK61"/>
  <c r="AG61"/>
  <c r="AI61" s="1"/>
  <c r="AK63"/>
  <c r="AG63"/>
  <c r="AI63" s="1"/>
  <c r="AK65"/>
  <c r="AG65"/>
  <c r="AI65" s="1"/>
  <c r="AH25" i="107"/>
  <c r="AI25" s="1"/>
  <c r="AK25"/>
  <c r="AK28"/>
  <c r="AG28"/>
  <c r="AI28" s="1"/>
  <c r="AL28"/>
  <c r="AF31" i="105"/>
  <c r="Y31" s="1"/>
  <c r="AJ31"/>
  <c r="AF37"/>
  <c r="Y37" s="1"/>
  <c r="AJ37"/>
  <c r="AG39"/>
  <c r="AI39" s="1"/>
  <c r="AK39"/>
  <c r="AG40"/>
  <c r="AI40" s="1"/>
  <c r="AK40"/>
  <c r="AG41"/>
  <c r="AI41" s="1"/>
  <c r="AK41"/>
  <c r="AG42"/>
  <c r="AI42" s="1"/>
  <c r="AK42"/>
  <c r="AH43"/>
  <c r="AI43" s="1"/>
  <c r="AJ43"/>
  <c r="AG44"/>
  <c r="AI44" s="1"/>
  <c r="AK44"/>
  <c r="AG45"/>
  <c r="AI45" s="1"/>
  <c r="AK45"/>
  <c r="AG46"/>
  <c r="AI46" s="1"/>
  <c r="AK46"/>
  <c r="AG47"/>
  <c r="AI47" s="1"/>
  <c r="AK47"/>
  <c r="AG48"/>
  <c r="AI48" s="1"/>
  <c r="AK48"/>
  <c r="AH49"/>
  <c r="AI49" s="1"/>
  <c r="AJ49"/>
  <c r="AG50"/>
  <c r="AI50" s="1"/>
  <c r="AK50"/>
  <c r="AG51"/>
  <c r="AI51" s="1"/>
  <c r="AK51"/>
  <c r="AG52"/>
  <c r="AI52" s="1"/>
  <c r="AK52"/>
  <c r="AG53"/>
  <c r="AI53" s="1"/>
  <c r="AK53"/>
  <c r="AG54"/>
  <c r="AI54" s="1"/>
  <c r="AK54"/>
  <c r="AH55"/>
  <c r="AI55" s="1"/>
  <c r="AJ55"/>
  <c r="BB58"/>
  <c r="AG59"/>
  <c r="AI59" s="1"/>
  <c r="AK59"/>
  <c r="AG60"/>
  <c r="AI60" s="1"/>
  <c r="AK60"/>
  <c r="AG61"/>
  <c r="AI61" s="1"/>
  <c r="AK61"/>
  <c r="AG62"/>
  <c r="AI62" s="1"/>
  <c r="AK62"/>
  <c r="AG63"/>
  <c r="AI63" s="1"/>
  <c r="AF63" s="1"/>
  <c r="Y63" s="1"/>
  <c r="AK63"/>
  <c r="AG64"/>
  <c r="AI64" s="1"/>
  <c r="AK64"/>
  <c r="AG65"/>
  <c r="AI65" s="1"/>
  <c r="AK65"/>
  <c r="AG66"/>
  <c r="AI66" s="1"/>
  <c r="AK66"/>
  <c r="AH70"/>
  <c r="AI70" s="1"/>
  <c r="AJ70"/>
  <c r="AG71"/>
  <c r="AI71" s="1"/>
  <c r="AK71"/>
  <c r="AH72"/>
  <c r="AI72" s="1"/>
  <c r="AF72" s="1"/>
  <c r="Y72" s="1"/>
  <c r="AJ72"/>
  <c r="AG73"/>
  <c r="AI73" s="1"/>
  <c r="AK73"/>
  <c r="AG77"/>
  <c r="AI77" s="1"/>
  <c r="AK77"/>
  <c r="AH78"/>
  <c r="AI78" s="1"/>
  <c r="AF78" s="1"/>
  <c r="Y78" s="1"/>
  <c r="AJ78"/>
  <c r="AH82"/>
  <c r="AI82" s="1"/>
  <c r="AF82" s="1"/>
  <c r="Y82" s="1"/>
  <c r="AJ82"/>
  <c r="AH86"/>
  <c r="AI86" s="1"/>
  <c r="AJ86"/>
  <c r="AH8" i="106"/>
  <c r="AI8" s="1"/>
  <c r="AJ8"/>
  <c r="AH9"/>
  <c r="AI9" s="1"/>
  <c r="AJ9"/>
  <c r="AH10"/>
  <c r="AI10" s="1"/>
  <c r="AJ10"/>
  <c r="AH11"/>
  <c r="AI11" s="1"/>
  <c r="AJ11"/>
  <c r="AH12"/>
  <c r="AI12" s="1"/>
  <c r="AJ12"/>
  <c r="AG13"/>
  <c r="AI13" s="1"/>
  <c r="AK13"/>
  <c r="AH14"/>
  <c r="AI14" s="1"/>
  <c r="AF14" s="1"/>
  <c r="Y14" s="1"/>
  <c r="AJ14"/>
  <c r="AH15"/>
  <c r="AI15" s="1"/>
  <c r="AF15" s="1"/>
  <c r="Y15" s="1"/>
  <c r="AJ15"/>
  <c r="AH16"/>
  <c r="AI16" s="1"/>
  <c r="AJ16"/>
  <c r="AH17"/>
  <c r="AI17" s="1"/>
  <c r="AF17" s="1"/>
  <c r="Y17" s="1"/>
  <c r="AJ17"/>
  <c r="AH18"/>
  <c r="AI18" s="1"/>
  <c r="AF18" s="1"/>
  <c r="Y18" s="1"/>
  <c r="AJ18"/>
  <c r="AG19"/>
  <c r="AI19" s="1"/>
  <c r="AK19"/>
  <c r="AH20"/>
  <c r="AI20" s="1"/>
  <c r="AF20" s="1"/>
  <c r="Y20" s="1"/>
  <c r="AJ20"/>
  <c r="AH21"/>
  <c r="AI21" s="1"/>
  <c r="AF21" s="1"/>
  <c r="Y21" s="1"/>
  <c r="AJ21"/>
  <c r="AH22"/>
  <c r="AI22" s="1"/>
  <c r="AF22" s="1"/>
  <c r="Y22" s="1"/>
  <c r="AJ22"/>
  <c r="AH23"/>
  <c r="AI23" s="1"/>
  <c r="AF23" s="1"/>
  <c r="Y23" s="1"/>
  <c r="AJ23"/>
  <c r="AH24"/>
  <c r="AI24" s="1"/>
  <c r="AF24" s="1"/>
  <c r="Y24" s="1"/>
  <c r="AJ24"/>
  <c r="AG25"/>
  <c r="AI25" s="1"/>
  <c r="AK25"/>
  <c r="AH26"/>
  <c r="AI26" s="1"/>
  <c r="AF26" s="1"/>
  <c r="Y26" s="1"/>
  <c r="AJ26"/>
  <c r="AH27"/>
  <c r="AI27" s="1"/>
  <c r="AJ27"/>
  <c r="AF27" s="1"/>
  <c r="Y27" s="1"/>
  <c r="AH28"/>
  <c r="AI28" s="1"/>
  <c r="AF28" s="1"/>
  <c r="Y28" s="1"/>
  <c r="AJ28"/>
  <c r="AH29"/>
  <c r="AI29" s="1"/>
  <c r="AF29" s="1"/>
  <c r="Y29" s="1"/>
  <c r="AJ29"/>
  <c r="AH30"/>
  <c r="AI30" s="1"/>
  <c r="AJ30"/>
  <c r="AG31"/>
  <c r="AI31" s="1"/>
  <c r="AK31"/>
  <c r="AH32"/>
  <c r="AI32" s="1"/>
  <c r="AJ32"/>
  <c r="AH33"/>
  <c r="AI33" s="1"/>
  <c r="AF33" s="1"/>
  <c r="Y33" s="1"/>
  <c r="AJ33"/>
  <c r="AH34"/>
  <c r="AI34" s="1"/>
  <c r="AF34" s="1"/>
  <c r="Y34" s="1"/>
  <c r="AJ34"/>
  <c r="AH35"/>
  <c r="AI35" s="1"/>
  <c r="AJ35"/>
  <c r="AF35" s="1"/>
  <c r="Y35" s="1"/>
  <c r="AH36"/>
  <c r="AI36" s="1"/>
  <c r="AF36" s="1"/>
  <c r="Y36" s="1"/>
  <c r="AJ36"/>
  <c r="AG37"/>
  <c r="AI37" s="1"/>
  <c r="AK37"/>
  <c r="AH38"/>
  <c r="AI38" s="1"/>
  <c r="AJ38"/>
  <c r="AH39"/>
  <c r="AI39" s="1"/>
  <c r="AJ39"/>
  <c r="AF39" s="1"/>
  <c r="Y39" s="1"/>
  <c r="AH40"/>
  <c r="AI40" s="1"/>
  <c r="AF40" s="1"/>
  <c r="Y40" s="1"/>
  <c r="AJ40"/>
  <c r="AH41"/>
  <c r="AI41" s="1"/>
  <c r="AJ41"/>
  <c r="AH42"/>
  <c r="AI42" s="1"/>
  <c r="AF42" s="1"/>
  <c r="Y42" s="1"/>
  <c r="AJ42"/>
  <c r="AG43"/>
  <c r="AI43" s="1"/>
  <c r="AK43"/>
  <c r="AH44"/>
  <c r="AI44" s="1"/>
  <c r="AJ44"/>
  <c r="AH45"/>
  <c r="AI45" s="1"/>
  <c r="AJ45"/>
  <c r="AF45" s="1"/>
  <c r="Y45" s="1"/>
  <c r="AH46"/>
  <c r="AI46" s="1"/>
  <c r="AJ46"/>
  <c r="AH47"/>
  <c r="AI47" s="1"/>
  <c r="AF47" s="1"/>
  <c r="Y47" s="1"/>
  <c r="AJ47"/>
  <c r="AJ48"/>
  <c r="AL48"/>
  <c r="AK49"/>
  <c r="AJ50"/>
  <c r="AL50"/>
  <c r="AJ51"/>
  <c r="AL51"/>
  <c r="AJ52"/>
  <c r="AL52"/>
  <c r="AJ53"/>
  <c r="AL53"/>
  <c r="AJ54"/>
  <c r="AJ59"/>
  <c r="AJ61"/>
  <c r="AF61" s="1"/>
  <c r="Y61" s="1"/>
  <c r="AJ63"/>
  <c r="AF63" s="1"/>
  <c r="Y63" s="1"/>
  <c r="AJ65"/>
  <c r="AF65" s="1"/>
  <c r="Y65" s="1"/>
  <c r="AL9" i="107"/>
  <c r="AK9"/>
  <c r="AL11"/>
  <c r="AK11"/>
  <c r="AL15"/>
  <c r="AK15"/>
  <c r="AL17"/>
  <c r="AK17"/>
  <c r="AL21"/>
  <c r="AK21"/>
  <c r="AL23"/>
  <c r="AK23"/>
  <c r="AJ28"/>
  <c r="AF28" s="1"/>
  <c r="Y28" s="1"/>
  <c r="AK60" i="106"/>
  <c r="AG60"/>
  <c r="AI60" s="1"/>
  <c r="AK62"/>
  <c r="AG62"/>
  <c r="AI62" s="1"/>
  <c r="AK64"/>
  <c r="AG64"/>
  <c r="AI64" s="1"/>
  <c r="AK66"/>
  <c r="AG66"/>
  <c r="AI66" s="1"/>
  <c r="AK71"/>
  <c r="AG71"/>
  <c r="AI71" s="1"/>
  <c r="AK73"/>
  <c r="AG73"/>
  <c r="AI73" s="1"/>
  <c r="AK77"/>
  <c r="AG77"/>
  <c r="AI77" s="1"/>
  <c r="AK13" i="107"/>
  <c r="AG13"/>
  <c r="AI13" s="1"/>
  <c r="AK19"/>
  <c r="AG19"/>
  <c r="AI19" s="1"/>
  <c r="AK24"/>
  <c r="AG24"/>
  <c r="AI24" s="1"/>
  <c r="AL24"/>
  <c r="AK27"/>
  <c r="AG27"/>
  <c r="AI27" s="1"/>
  <c r="AL27"/>
  <c r="AK29"/>
  <c r="AG29"/>
  <c r="AI29" s="1"/>
  <c r="AL29"/>
  <c r="AF39" i="105"/>
  <c r="Y39" s="1"/>
  <c r="AJ39"/>
  <c r="AF40"/>
  <c r="Y40" s="1"/>
  <c r="AJ40"/>
  <c r="AF41"/>
  <c r="Y41" s="1"/>
  <c r="AJ41"/>
  <c r="AF42"/>
  <c r="Y42" s="1"/>
  <c r="AJ42"/>
  <c r="AF44"/>
  <c r="Y44" s="1"/>
  <c r="AJ44"/>
  <c r="AJ45"/>
  <c r="AF45" s="1"/>
  <c r="Y45" s="1"/>
  <c r="AJ46"/>
  <c r="AF46" s="1"/>
  <c r="Y46" s="1"/>
  <c r="AF47"/>
  <c r="Y47" s="1"/>
  <c r="AJ47"/>
  <c r="AF48"/>
  <c r="Y48" s="1"/>
  <c r="AJ48"/>
  <c r="AF50"/>
  <c r="Y50" s="1"/>
  <c r="AJ50"/>
  <c r="AJ51"/>
  <c r="AF51" s="1"/>
  <c r="Y51" s="1"/>
  <c r="AJ52"/>
  <c r="AF52" s="1"/>
  <c r="Y52" s="1"/>
  <c r="AF53"/>
  <c r="Y53" s="1"/>
  <c r="AJ53"/>
  <c r="AF54"/>
  <c r="Y54" s="1"/>
  <c r="AJ54"/>
  <c r="AF59"/>
  <c r="Y59" s="1"/>
  <c r="AJ59"/>
  <c r="AF60"/>
  <c r="Y60" s="1"/>
  <c r="AJ60"/>
  <c r="AF61"/>
  <c r="Y61" s="1"/>
  <c r="AJ61"/>
  <c r="AF62"/>
  <c r="Y62" s="1"/>
  <c r="AJ62"/>
  <c r="AJ63"/>
  <c r="AF64"/>
  <c r="Y64" s="1"/>
  <c r="AJ64"/>
  <c r="AJ65"/>
  <c r="AF65" s="1"/>
  <c r="Y65" s="1"/>
  <c r="AF66"/>
  <c r="Y66" s="1"/>
  <c r="AJ66"/>
  <c r="AF71"/>
  <c r="Y71" s="1"/>
  <c r="AJ71"/>
  <c r="AF73"/>
  <c r="Y73" s="1"/>
  <c r="AJ73"/>
  <c r="AF77"/>
  <c r="Y77" s="1"/>
  <c r="AJ77"/>
  <c r="AF13" i="106"/>
  <c r="Y13" s="1"/>
  <c r="AJ13"/>
  <c r="AJ19"/>
  <c r="AJ25"/>
  <c r="AF25" s="1"/>
  <c r="Y25" s="1"/>
  <c r="AF31"/>
  <c r="Y31" s="1"/>
  <c r="AJ31"/>
  <c r="AF37"/>
  <c r="Y37" s="1"/>
  <c r="AJ37"/>
  <c r="AF43"/>
  <c r="Y43" s="1"/>
  <c r="AJ43"/>
  <c r="AG48"/>
  <c r="AI48" s="1"/>
  <c r="AF48" s="1"/>
  <c r="Y48" s="1"/>
  <c r="AJ49"/>
  <c r="AF49" s="1"/>
  <c r="Y49" s="1"/>
  <c r="AG50"/>
  <c r="AI50" s="1"/>
  <c r="AF50" s="1"/>
  <c r="Y50" s="1"/>
  <c r="AG51"/>
  <c r="AI51" s="1"/>
  <c r="AF51" s="1"/>
  <c r="Y51" s="1"/>
  <c r="AG52"/>
  <c r="AI52" s="1"/>
  <c r="AF52" s="1"/>
  <c r="Y52" s="1"/>
  <c r="AG53"/>
  <c r="AI53" s="1"/>
  <c r="AG54"/>
  <c r="AI54" s="1"/>
  <c r="AF54" s="1"/>
  <c r="Y54" s="1"/>
  <c r="AL54"/>
  <c r="AL55"/>
  <c r="AK55"/>
  <c r="AL59"/>
  <c r="AF59" s="1"/>
  <c r="Y59" s="1"/>
  <c r="AJ60"/>
  <c r="AF60" s="1"/>
  <c r="Y60" s="1"/>
  <c r="AL61"/>
  <c r="AJ62"/>
  <c r="AF62" s="1"/>
  <c r="Y62" s="1"/>
  <c r="AL63"/>
  <c r="AF64"/>
  <c r="Y64" s="1"/>
  <c r="AJ64"/>
  <c r="AL65"/>
  <c r="AF66"/>
  <c r="Y66" s="1"/>
  <c r="AJ66"/>
  <c r="AL70"/>
  <c r="AK70"/>
  <c r="AF71"/>
  <c r="Y71" s="1"/>
  <c r="AJ71"/>
  <c r="AL72"/>
  <c r="AK72"/>
  <c r="AF73"/>
  <c r="Y73" s="1"/>
  <c r="AJ73"/>
  <c r="AF77"/>
  <c r="Y77" s="1"/>
  <c r="AJ77"/>
  <c r="AL78"/>
  <c r="AK78"/>
  <c r="AL82"/>
  <c r="AK82"/>
  <c r="AL86"/>
  <c r="AK86"/>
  <c r="AK8" i="107"/>
  <c r="AF13"/>
  <c r="Y13" s="1"/>
  <c r="AJ13"/>
  <c r="AJ19"/>
  <c r="AF19" s="1"/>
  <c r="Y19" s="1"/>
  <c r="AF24"/>
  <c r="Y24" s="1"/>
  <c r="AJ24"/>
  <c r="AF27"/>
  <c r="Y27" s="1"/>
  <c r="AJ27"/>
  <c r="AJ29"/>
  <c r="AF29" s="1"/>
  <c r="Y29" s="1"/>
  <c r="AK26"/>
  <c r="AG26"/>
  <c r="AI26" s="1"/>
  <c r="AK32"/>
  <c r="AG32"/>
  <c r="AI32" s="1"/>
  <c r="AF32" s="1"/>
  <c r="Y32" s="1"/>
  <c r="AK38"/>
  <c r="AG38"/>
  <c r="AI38" s="1"/>
  <c r="AK44"/>
  <c r="AG44"/>
  <c r="AI44" s="1"/>
  <c r="AK50"/>
  <c r="AG50"/>
  <c r="AI50" s="1"/>
  <c r="AK60"/>
  <c r="AG60"/>
  <c r="AI60" s="1"/>
  <c r="AK62"/>
  <c r="AG62"/>
  <c r="AI62" s="1"/>
  <c r="AK64"/>
  <c r="AG64"/>
  <c r="AI64" s="1"/>
  <c r="AK66"/>
  <c r="AG66"/>
  <c r="AI66" s="1"/>
  <c r="AK71"/>
  <c r="AG71"/>
  <c r="AI71" s="1"/>
  <c r="AK73"/>
  <c r="AG73"/>
  <c r="AI73" s="1"/>
  <c r="AK77"/>
  <c r="AG77"/>
  <c r="AI77" s="1"/>
  <c r="AJ55" i="106"/>
  <c r="AF55" s="1"/>
  <c r="Y55" s="1"/>
  <c r="AF70"/>
  <c r="Y70" s="1"/>
  <c r="AJ70"/>
  <c r="AF72"/>
  <c r="Y72" s="1"/>
  <c r="AJ72"/>
  <c r="AF78"/>
  <c r="Y78" s="1"/>
  <c r="AJ78"/>
  <c r="AF82"/>
  <c r="Y82" s="1"/>
  <c r="AJ82"/>
  <c r="AJ86"/>
  <c r="AJ8" i="107"/>
  <c r="AJ9"/>
  <c r="AF9" s="1"/>
  <c r="Y9" s="1"/>
  <c r="AJ10"/>
  <c r="AF10" s="1"/>
  <c r="Y10" s="1"/>
  <c r="AJ11"/>
  <c r="AF11" s="1"/>
  <c r="Y11" s="1"/>
  <c r="AF12"/>
  <c r="Y12" s="1"/>
  <c r="AJ12"/>
  <c r="AF14"/>
  <c r="Y14" s="1"/>
  <c r="AJ14"/>
  <c r="AF15"/>
  <c r="Y15" s="1"/>
  <c r="AJ15"/>
  <c r="AJ16"/>
  <c r="AF16" s="1"/>
  <c r="Y16" s="1"/>
  <c r="AF17"/>
  <c r="Y17" s="1"/>
  <c r="AJ17"/>
  <c r="AF18"/>
  <c r="Y18" s="1"/>
  <c r="AJ18"/>
  <c r="AF20"/>
  <c r="Y20" s="1"/>
  <c r="AJ20"/>
  <c r="AF21"/>
  <c r="Y21" s="1"/>
  <c r="AJ21"/>
  <c r="AF22"/>
  <c r="Y22" s="1"/>
  <c r="AJ22"/>
  <c r="AF23"/>
  <c r="Y23" s="1"/>
  <c r="AJ23"/>
  <c r="AL25"/>
  <c r="AF26"/>
  <c r="Y26" s="1"/>
  <c r="AJ26"/>
  <c r="AL31"/>
  <c r="AK31"/>
  <c r="AJ32"/>
  <c r="AL37"/>
  <c r="AK37"/>
  <c r="AF38"/>
  <c r="Y38" s="1"/>
  <c r="AJ38"/>
  <c r="AL43"/>
  <c r="AK43"/>
  <c r="AF44"/>
  <c r="Y44" s="1"/>
  <c r="AJ44"/>
  <c r="AL49"/>
  <c r="AK49"/>
  <c r="AF50"/>
  <c r="Y50" s="1"/>
  <c r="AJ50"/>
  <c r="AL55"/>
  <c r="AK55"/>
  <c r="AF60"/>
  <c r="Y60" s="1"/>
  <c r="AJ60"/>
  <c r="AF62"/>
  <c r="Y62" s="1"/>
  <c r="AJ62"/>
  <c r="AF64"/>
  <c r="Y64" s="1"/>
  <c r="AJ64"/>
  <c r="AJ66"/>
  <c r="AL70"/>
  <c r="AK70"/>
  <c r="AJ71"/>
  <c r="AF71" s="1"/>
  <c r="Y71" s="1"/>
  <c r="AL72"/>
  <c r="AK72"/>
  <c r="AJ73"/>
  <c r="AF73" s="1"/>
  <c r="Y73" s="1"/>
  <c r="AJ77"/>
  <c r="AF77" s="1"/>
  <c r="Y77" s="1"/>
  <c r="AL78"/>
  <c r="AK78"/>
  <c r="AL82"/>
  <c r="AK82"/>
  <c r="AL86"/>
  <c r="AK86"/>
  <c r="AK30"/>
  <c r="AG30"/>
  <c r="AI30" s="1"/>
  <c r="AK33"/>
  <c r="AG33"/>
  <c r="AI33" s="1"/>
  <c r="AK34"/>
  <c r="AG34"/>
  <c r="AI34" s="1"/>
  <c r="AK35"/>
  <c r="AG35"/>
  <c r="AI35" s="1"/>
  <c r="AK36"/>
  <c r="AG36"/>
  <c r="AI36" s="1"/>
  <c r="AK39"/>
  <c r="AG39"/>
  <c r="AI39" s="1"/>
  <c r="AK40"/>
  <c r="AG40"/>
  <c r="AI40" s="1"/>
  <c r="AK41"/>
  <c r="AG41"/>
  <c r="AI41" s="1"/>
  <c r="AK42"/>
  <c r="AG42"/>
  <c r="AI42" s="1"/>
  <c r="AK45"/>
  <c r="AG45"/>
  <c r="AI45" s="1"/>
  <c r="AK46"/>
  <c r="AG46"/>
  <c r="AI46" s="1"/>
  <c r="AK47"/>
  <c r="AG47"/>
  <c r="AI47" s="1"/>
  <c r="AK48"/>
  <c r="AG48"/>
  <c r="AI48" s="1"/>
  <c r="AK51"/>
  <c r="AG51"/>
  <c r="AI51" s="1"/>
  <c r="AF51" s="1"/>
  <c r="Y51" s="1"/>
  <c r="AK52"/>
  <c r="AG52"/>
  <c r="AI52" s="1"/>
  <c r="AK53"/>
  <c r="AG53"/>
  <c r="AI53" s="1"/>
  <c r="AK54"/>
  <c r="AG54"/>
  <c r="AI54" s="1"/>
  <c r="BA69"/>
  <c r="BB69" s="1"/>
  <c r="BB58"/>
  <c r="AK59"/>
  <c r="AG59"/>
  <c r="AI59" s="1"/>
  <c r="AK61"/>
  <c r="AG61"/>
  <c r="AI61" s="1"/>
  <c r="AK63"/>
  <c r="AG63"/>
  <c r="AI63" s="1"/>
  <c r="AK65"/>
  <c r="AG65"/>
  <c r="AI65" s="1"/>
  <c r="AF30"/>
  <c r="Y30" s="1"/>
  <c r="AJ30"/>
  <c r="AF33"/>
  <c r="Y33" s="1"/>
  <c r="AJ33"/>
  <c r="AF34"/>
  <c r="Y34" s="1"/>
  <c r="AJ34"/>
  <c r="AF35"/>
  <c r="Y35" s="1"/>
  <c r="AJ35"/>
  <c r="AJ36"/>
  <c r="AF36" s="1"/>
  <c r="Y36" s="1"/>
  <c r="AF39"/>
  <c r="Y39" s="1"/>
  <c r="AJ39"/>
  <c r="AF40"/>
  <c r="Y40" s="1"/>
  <c r="AJ40"/>
  <c r="AF41"/>
  <c r="Y41" s="1"/>
  <c r="AJ41"/>
  <c r="AF42"/>
  <c r="Y42" s="1"/>
  <c r="AJ42"/>
  <c r="AJ45"/>
  <c r="AF45" s="1"/>
  <c r="Y45" s="1"/>
  <c r="AF46"/>
  <c r="Y46" s="1"/>
  <c r="AJ46"/>
  <c r="AF47"/>
  <c r="Y47" s="1"/>
  <c r="AJ47"/>
  <c r="AF48"/>
  <c r="Y48" s="1"/>
  <c r="AJ48"/>
  <c r="AJ51"/>
  <c r="AF52"/>
  <c r="Y52" s="1"/>
  <c r="AJ52"/>
  <c r="AF53"/>
  <c r="Y53" s="1"/>
  <c r="AJ53"/>
  <c r="AF54"/>
  <c r="Y54" s="1"/>
  <c r="AJ54"/>
  <c r="AF59"/>
  <c r="Y59" s="1"/>
  <c r="AJ59"/>
  <c r="AJ61"/>
  <c r="AF61" s="1"/>
  <c r="Y61" s="1"/>
  <c r="AF63"/>
  <c r="Y63" s="1"/>
  <c r="AJ63"/>
  <c r="AF65"/>
  <c r="Y65" s="1"/>
  <c r="AJ65"/>
  <c r="AF25"/>
  <c r="Y25" s="1"/>
  <c r="AJ25"/>
  <c r="AF31"/>
  <c r="Y31" s="1"/>
  <c r="AJ31"/>
  <c r="AF37"/>
  <c r="Y37" s="1"/>
  <c r="AJ37"/>
  <c r="AF43"/>
  <c r="Y43" s="1"/>
  <c r="AJ43"/>
  <c r="AF49"/>
  <c r="Y49" s="1"/>
  <c r="AJ49"/>
  <c r="AF55"/>
  <c r="Y55" s="1"/>
  <c r="AJ55"/>
  <c r="AF70"/>
  <c r="Y70" s="1"/>
  <c r="AJ70"/>
  <c r="AF72"/>
  <c r="Y72" s="1"/>
  <c r="AJ72"/>
  <c r="AF78"/>
  <c r="Y78" s="1"/>
  <c r="AJ78"/>
  <c r="AF82"/>
  <c r="Y82" s="1"/>
  <c r="AJ82"/>
  <c r="AJ86"/>
  <c r="AF86" s="1"/>
  <c r="Y86" s="1"/>
  <c r="AI78" i="87"/>
  <c r="AI86"/>
  <c r="AK26" i="89"/>
  <c r="AG26"/>
  <c r="AI26" s="1"/>
  <c r="AK32"/>
  <c r="AG32"/>
  <c r="AI32" s="1"/>
  <c r="AK38"/>
  <c r="AG38"/>
  <c r="AI38" s="1"/>
  <c r="AK44"/>
  <c r="AG44"/>
  <c r="AI44" s="1"/>
  <c r="AK50"/>
  <c r="AG50"/>
  <c r="AI50" s="1"/>
  <c r="AJ9" i="87"/>
  <c r="AL9"/>
  <c r="AJ10"/>
  <c r="AL10"/>
  <c r="AJ12"/>
  <c r="AK13"/>
  <c r="AJ14"/>
  <c r="AL14"/>
  <c r="AJ17"/>
  <c r="AL17"/>
  <c r="AL18"/>
  <c r="AK19"/>
  <c r="AJ20"/>
  <c r="AL20"/>
  <c r="AJ22"/>
  <c r="AL22"/>
  <c r="AL24"/>
  <c r="AJ27"/>
  <c r="AL27"/>
  <c r="AJ29"/>
  <c r="AL29"/>
  <c r="AL30"/>
  <c r="AK31"/>
  <c r="AJ32"/>
  <c r="AL32"/>
  <c r="AJ34"/>
  <c r="AL34"/>
  <c r="AJ36"/>
  <c r="AJ39"/>
  <c r="AL39"/>
  <c r="AJ41"/>
  <c r="AL41"/>
  <c r="AL42"/>
  <c r="AJ44"/>
  <c r="AL44"/>
  <c r="AJ46"/>
  <c r="AL46"/>
  <c r="AJ48"/>
  <c r="AK49"/>
  <c r="AJ50"/>
  <c r="AL50"/>
  <c r="AJ52"/>
  <c r="AL52"/>
  <c r="AJ54"/>
  <c r="AJ60"/>
  <c r="AJ61"/>
  <c r="AJ66"/>
  <c r="AK70"/>
  <c r="AL71"/>
  <c r="AK72"/>
  <c r="AJ77"/>
  <c r="AL77"/>
  <c r="AK78"/>
  <c r="AK86"/>
  <c r="U3"/>
  <c r="AG8"/>
  <c r="AI8" s="1"/>
  <c r="AK8"/>
  <c r="AG9"/>
  <c r="AI9" s="1"/>
  <c r="AF9" s="1"/>
  <c r="Y9" s="1"/>
  <c r="AG10"/>
  <c r="AI10" s="1"/>
  <c r="AG11"/>
  <c r="AI11" s="1"/>
  <c r="AK11"/>
  <c r="AG12"/>
  <c r="AI12" s="1"/>
  <c r="AF12" s="1"/>
  <c r="Y12" s="1"/>
  <c r="AK12"/>
  <c r="AF13"/>
  <c r="Y13" s="1"/>
  <c r="AJ13"/>
  <c r="AG14"/>
  <c r="AI14" s="1"/>
  <c r="AF14" s="1"/>
  <c r="Y14" s="1"/>
  <c r="AG15"/>
  <c r="AI15" s="1"/>
  <c r="AK15"/>
  <c r="AG16"/>
  <c r="AI16" s="1"/>
  <c r="AK16"/>
  <c r="AG17"/>
  <c r="AI17" s="1"/>
  <c r="AF17" s="1"/>
  <c r="Y17" s="1"/>
  <c r="AG18"/>
  <c r="AI18" s="1"/>
  <c r="AK18"/>
  <c r="AF19"/>
  <c r="Y19" s="1"/>
  <c r="AJ19"/>
  <c r="AG20"/>
  <c r="AI20" s="1"/>
  <c r="AF20" s="1"/>
  <c r="Y20" s="1"/>
  <c r="AG21"/>
  <c r="AI21" s="1"/>
  <c r="AK21"/>
  <c r="AG22"/>
  <c r="AI22" s="1"/>
  <c r="AF22" s="1"/>
  <c r="Y22" s="1"/>
  <c r="AG23"/>
  <c r="AI23" s="1"/>
  <c r="AK23"/>
  <c r="AG24"/>
  <c r="AI24" s="1"/>
  <c r="AK24"/>
  <c r="AH25"/>
  <c r="AI25" s="1"/>
  <c r="AJ25"/>
  <c r="AG26"/>
  <c r="AI26" s="1"/>
  <c r="AK26"/>
  <c r="AG27"/>
  <c r="AI27" s="1"/>
  <c r="AG28"/>
  <c r="AI28" s="1"/>
  <c r="AK28"/>
  <c r="AG29"/>
  <c r="AI29" s="1"/>
  <c r="AF29" s="1"/>
  <c r="Y29" s="1"/>
  <c r="AG30"/>
  <c r="AI30" s="1"/>
  <c r="AK30"/>
  <c r="AJ31"/>
  <c r="AF31" s="1"/>
  <c r="Y31" s="1"/>
  <c r="AG32"/>
  <c r="AI32" s="1"/>
  <c r="AF32" s="1"/>
  <c r="Y32" s="1"/>
  <c r="AG33"/>
  <c r="AI33" s="1"/>
  <c r="AK33"/>
  <c r="AG34"/>
  <c r="AI34" s="1"/>
  <c r="AF34" s="1"/>
  <c r="Y34" s="1"/>
  <c r="AG35"/>
  <c r="AI35" s="1"/>
  <c r="AK35"/>
  <c r="AG36"/>
  <c r="AI36" s="1"/>
  <c r="AF36" s="1"/>
  <c r="Y36" s="1"/>
  <c r="AK36"/>
  <c r="AH37"/>
  <c r="AI37" s="1"/>
  <c r="AJ37"/>
  <c r="AG38"/>
  <c r="AI38" s="1"/>
  <c r="AK38"/>
  <c r="AG39"/>
  <c r="AI39" s="1"/>
  <c r="AF39" s="1"/>
  <c r="Y39" s="1"/>
  <c r="AG40"/>
  <c r="AI40" s="1"/>
  <c r="AK40"/>
  <c r="AG41"/>
  <c r="AI41" s="1"/>
  <c r="AF41" s="1"/>
  <c r="Y41" s="1"/>
  <c r="AG42"/>
  <c r="AI42" s="1"/>
  <c r="AK42"/>
  <c r="AH43"/>
  <c r="AI43" s="1"/>
  <c r="AJ43"/>
  <c r="AG44"/>
  <c r="AI44" s="1"/>
  <c r="AF44" s="1"/>
  <c r="Y44" s="1"/>
  <c r="AG45"/>
  <c r="AI45" s="1"/>
  <c r="AK45"/>
  <c r="AG46"/>
  <c r="AI46" s="1"/>
  <c r="AF46" s="1"/>
  <c r="Y46" s="1"/>
  <c r="AG47"/>
  <c r="AI47" s="1"/>
  <c r="AK47"/>
  <c r="AG48"/>
  <c r="AI48" s="1"/>
  <c r="AF48" s="1"/>
  <c r="Y48" s="1"/>
  <c r="AK48"/>
  <c r="AF49"/>
  <c r="Y49" s="1"/>
  <c r="AJ49"/>
  <c r="AG50"/>
  <c r="AI50" s="1"/>
  <c r="AF50" s="1"/>
  <c r="Y50" s="1"/>
  <c r="AG51"/>
  <c r="AI51" s="1"/>
  <c r="AK51"/>
  <c r="AG52"/>
  <c r="AI52" s="1"/>
  <c r="AF52" s="1"/>
  <c r="Y52" s="1"/>
  <c r="AG53"/>
  <c r="AI53" s="1"/>
  <c r="AK53"/>
  <c r="AG54"/>
  <c r="AI54" s="1"/>
  <c r="AF54" s="1"/>
  <c r="Y54" s="1"/>
  <c r="AK54"/>
  <c r="AH55"/>
  <c r="AI55" s="1"/>
  <c r="AJ55"/>
  <c r="BB58"/>
  <c r="AG59"/>
  <c r="AI59" s="1"/>
  <c r="AK59"/>
  <c r="AG60"/>
  <c r="AI60" s="1"/>
  <c r="AF60" s="1"/>
  <c r="Y60" s="1"/>
  <c r="AK60"/>
  <c r="AG61"/>
  <c r="AI61" s="1"/>
  <c r="AF61" s="1"/>
  <c r="Y61" s="1"/>
  <c r="AK61"/>
  <c r="AG62"/>
  <c r="AI62" s="1"/>
  <c r="AK62"/>
  <c r="AG63"/>
  <c r="AI63" s="1"/>
  <c r="AK63"/>
  <c r="AG64"/>
  <c r="AI64" s="1"/>
  <c r="AK64"/>
  <c r="AG65"/>
  <c r="AI65" s="1"/>
  <c r="AK65"/>
  <c r="AG66"/>
  <c r="AI66" s="1"/>
  <c r="AK66"/>
  <c r="AJ70"/>
  <c r="AF70" s="1"/>
  <c r="Y70" s="1"/>
  <c r="AG71"/>
  <c r="AI71" s="1"/>
  <c r="AK71"/>
  <c r="AF72"/>
  <c r="Y72" s="1"/>
  <c r="AJ72"/>
  <c r="AG73"/>
  <c r="AI73" s="1"/>
  <c r="AK73"/>
  <c r="AG77"/>
  <c r="AI77" s="1"/>
  <c r="AF77" s="1"/>
  <c r="Y77" s="1"/>
  <c r="AK77"/>
  <c r="AF78"/>
  <c r="Y78" s="1"/>
  <c r="AJ78"/>
  <c r="AH82"/>
  <c r="AI82" s="1"/>
  <c r="AF82" s="1"/>
  <c r="Y82" s="1"/>
  <c r="AJ82"/>
  <c r="AF86"/>
  <c r="Y86" s="1"/>
  <c r="AJ86"/>
  <c r="AH8" i="88"/>
  <c r="AI8" s="1"/>
  <c r="AJ8"/>
  <c r="AH9"/>
  <c r="AI9" s="1"/>
  <c r="AJ9"/>
  <c r="AH10"/>
  <c r="AI10" s="1"/>
  <c r="AF10" s="1"/>
  <c r="Y10" s="1"/>
  <c r="AJ10"/>
  <c r="AH11"/>
  <c r="AI11" s="1"/>
  <c r="AJ11"/>
  <c r="AF11" s="1"/>
  <c r="Y11" s="1"/>
  <c r="AH12"/>
  <c r="AI12" s="1"/>
  <c r="AF12" s="1"/>
  <c r="Y12" s="1"/>
  <c r="AJ12"/>
  <c r="AG13"/>
  <c r="AI13" s="1"/>
  <c r="AK13"/>
  <c r="AH14"/>
  <c r="AI14" s="1"/>
  <c r="AF14" s="1"/>
  <c r="Y14" s="1"/>
  <c r="AJ14"/>
  <c r="AH15"/>
  <c r="AI15" s="1"/>
  <c r="AF15" s="1"/>
  <c r="Y15" s="1"/>
  <c r="AJ15"/>
  <c r="AH16"/>
  <c r="AI16" s="1"/>
  <c r="AJ16"/>
  <c r="AF16" s="1"/>
  <c r="Y16" s="1"/>
  <c r="AH17"/>
  <c r="AI17" s="1"/>
  <c r="AF17" s="1"/>
  <c r="Y17" s="1"/>
  <c r="AJ17"/>
  <c r="AH18"/>
  <c r="AI18" s="1"/>
  <c r="AJ18"/>
  <c r="AG19"/>
  <c r="AI19" s="1"/>
  <c r="AK19"/>
  <c r="AH20"/>
  <c r="AI20" s="1"/>
  <c r="AF20" s="1"/>
  <c r="Y20" s="1"/>
  <c r="AJ20"/>
  <c r="AH21"/>
  <c r="AI21" s="1"/>
  <c r="AJ21"/>
  <c r="AH22"/>
  <c r="AI22" s="1"/>
  <c r="AF22" s="1"/>
  <c r="Y22" s="1"/>
  <c r="AJ22"/>
  <c r="AH23"/>
  <c r="AI23" s="1"/>
  <c r="AF23" s="1"/>
  <c r="Y23" s="1"/>
  <c r="AJ23"/>
  <c r="AH24"/>
  <c r="AI24" s="1"/>
  <c r="AJ24"/>
  <c r="AF24" s="1"/>
  <c r="Y24" s="1"/>
  <c r="AG25"/>
  <c r="AI25" s="1"/>
  <c r="AK25"/>
  <c r="AH26"/>
  <c r="AI26" s="1"/>
  <c r="AJ26"/>
  <c r="AH27"/>
  <c r="AI27" s="1"/>
  <c r="AJ27"/>
  <c r="AF27" s="1"/>
  <c r="Y27" s="1"/>
  <c r="AH28"/>
  <c r="AI28" s="1"/>
  <c r="AF28" s="1"/>
  <c r="Y28" s="1"/>
  <c r="AJ28"/>
  <c r="AH29"/>
  <c r="AI29" s="1"/>
  <c r="AF29" s="1"/>
  <c r="Y29" s="1"/>
  <c r="AJ29"/>
  <c r="AH30"/>
  <c r="AI30" s="1"/>
  <c r="AF30" s="1"/>
  <c r="Y30" s="1"/>
  <c r="AJ30"/>
  <c r="AG31"/>
  <c r="AI31" s="1"/>
  <c r="AK31"/>
  <c r="AH32"/>
  <c r="AJ32"/>
  <c r="AH33"/>
  <c r="AI33" s="1"/>
  <c r="AF33" s="1"/>
  <c r="Y33" s="1"/>
  <c r="AJ33"/>
  <c r="AH34"/>
  <c r="AI34" s="1"/>
  <c r="AF34" s="1"/>
  <c r="Y34" s="1"/>
  <c r="AJ34"/>
  <c r="AH35"/>
  <c r="AI35" s="1"/>
  <c r="AJ35"/>
  <c r="AH36"/>
  <c r="AI36" s="1"/>
  <c r="AJ36"/>
  <c r="AF36" s="1"/>
  <c r="Y36" s="1"/>
  <c r="AG37"/>
  <c r="AI37" s="1"/>
  <c r="AK37"/>
  <c r="AH38"/>
  <c r="AI38" s="1"/>
  <c r="AF38" s="1"/>
  <c r="Y38" s="1"/>
  <c r="AJ38"/>
  <c r="AH39"/>
  <c r="AI39" s="1"/>
  <c r="AF39" s="1"/>
  <c r="Y39" s="1"/>
  <c r="AJ39"/>
  <c r="AH40"/>
  <c r="AI40" s="1"/>
  <c r="AF40" s="1"/>
  <c r="Y40" s="1"/>
  <c r="AJ40"/>
  <c r="AH41"/>
  <c r="AI41" s="1"/>
  <c r="AJ41"/>
  <c r="AH42"/>
  <c r="AI42" s="1"/>
  <c r="AF42" s="1"/>
  <c r="Y42" s="1"/>
  <c r="AJ42"/>
  <c r="AG43"/>
  <c r="AI43" s="1"/>
  <c r="AK43"/>
  <c r="AH44"/>
  <c r="AI44" s="1"/>
  <c r="AJ44"/>
  <c r="AH45"/>
  <c r="AI45" s="1"/>
  <c r="AJ45"/>
  <c r="AH46"/>
  <c r="AI46" s="1"/>
  <c r="AF46" s="1"/>
  <c r="Y46" s="1"/>
  <c r="AJ46"/>
  <c r="AH47"/>
  <c r="AI47" s="1"/>
  <c r="AJ47"/>
  <c r="AH48"/>
  <c r="AI48" s="1"/>
  <c r="AJ48"/>
  <c r="AF48" s="1"/>
  <c r="Y48" s="1"/>
  <c r="AG49"/>
  <c r="AI49" s="1"/>
  <c r="AK49"/>
  <c r="AH50"/>
  <c r="AI50" s="1"/>
  <c r="AF50" s="1"/>
  <c r="Y50" s="1"/>
  <c r="AJ50"/>
  <c r="AH51"/>
  <c r="AI51" s="1"/>
  <c r="AJ51"/>
  <c r="AF51" s="1"/>
  <c r="Y51" s="1"/>
  <c r="AH52"/>
  <c r="AI52" s="1"/>
  <c r="AF52" s="1"/>
  <c r="Y52" s="1"/>
  <c r="AJ52"/>
  <c r="AH53"/>
  <c r="AI53" s="1"/>
  <c r="AF53" s="1"/>
  <c r="Y53" s="1"/>
  <c r="AJ53"/>
  <c r="AH54"/>
  <c r="AI54" s="1"/>
  <c r="AF54" s="1"/>
  <c r="Y54" s="1"/>
  <c r="AJ54"/>
  <c r="AG55"/>
  <c r="AI55" s="1"/>
  <c r="AK55"/>
  <c r="AH59"/>
  <c r="AI59" s="1"/>
  <c r="AJ59"/>
  <c r="AH60"/>
  <c r="AI60" s="1"/>
  <c r="AJ60"/>
  <c r="AH61"/>
  <c r="AI61" s="1"/>
  <c r="AF61" s="1"/>
  <c r="Y61" s="1"/>
  <c r="AJ61"/>
  <c r="AH62"/>
  <c r="AI62" s="1"/>
  <c r="AJ62"/>
  <c r="AF62" s="1"/>
  <c r="Y62" s="1"/>
  <c r="AH63"/>
  <c r="AI63" s="1"/>
  <c r="AJ63"/>
  <c r="AH64"/>
  <c r="AI64" s="1"/>
  <c r="AF64" s="1"/>
  <c r="Y64" s="1"/>
  <c r="AJ64"/>
  <c r="AH65"/>
  <c r="AI65" s="1"/>
  <c r="AJ65"/>
  <c r="AH66"/>
  <c r="AI66" s="1"/>
  <c r="AJ66"/>
  <c r="AG70"/>
  <c r="AI70" s="1"/>
  <c r="AK70"/>
  <c r="AH71"/>
  <c r="AI71" s="1"/>
  <c r="AJ71"/>
  <c r="AF71" s="1"/>
  <c r="Y71" s="1"/>
  <c r="AG72"/>
  <c r="AI72" s="1"/>
  <c r="AK72"/>
  <c r="AH73"/>
  <c r="AI73" s="1"/>
  <c r="AJ73"/>
  <c r="AF73" s="1"/>
  <c r="Y73" s="1"/>
  <c r="AH77"/>
  <c r="AJ77"/>
  <c r="AG78"/>
  <c r="AI78" s="1"/>
  <c r="AK78"/>
  <c r="AG82"/>
  <c r="AI82" s="1"/>
  <c r="AK82"/>
  <c r="AG86"/>
  <c r="AI86" s="1"/>
  <c r="AK86"/>
  <c r="AG8" i="89"/>
  <c r="AI8" s="1"/>
  <c r="AK8"/>
  <c r="AG9"/>
  <c r="AI9" s="1"/>
  <c r="AK9"/>
  <c r="AG10"/>
  <c r="AI10" s="1"/>
  <c r="AK10"/>
  <c r="AG11"/>
  <c r="AI11" s="1"/>
  <c r="AK11"/>
  <c r="AG12"/>
  <c r="AI12" s="1"/>
  <c r="AK12"/>
  <c r="AH13"/>
  <c r="AI13" s="1"/>
  <c r="AJ13"/>
  <c r="AG14"/>
  <c r="AI14" s="1"/>
  <c r="AK14"/>
  <c r="AG15"/>
  <c r="AI15" s="1"/>
  <c r="AK15"/>
  <c r="AG16"/>
  <c r="AI16" s="1"/>
  <c r="AK16"/>
  <c r="AG17"/>
  <c r="AI17" s="1"/>
  <c r="AK17"/>
  <c r="AG18"/>
  <c r="AI18" s="1"/>
  <c r="AK18"/>
  <c r="AH19"/>
  <c r="AI19" s="1"/>
  <c r="AJ19"/>
  <c r="AG20"/>
  <c r="AI20" s="1"/>
  <c r="AK20"/>
  <c r="AG21"/>
  <c r="AI21" s="1"/>
  <c r="AK21"/>
  <c r="AG22"/>
  <c r="AI22" s="1"/>
  <c r="AK22"/>
  <c r="AL25"/>
  <c r="AK25"/>
  <c r="AF26"/>
  <c r="Y26" s="1"/>
  <c r="AJ26"/>
  <c r="AL31"/>
  <c r="AK31"/>
  <c r="AJ32"/>
  <c r="AF32" s="1"/>
  <c r="Y32" s="1"/>
  <c r="AL37"/>
  <c r="AK37"/>
  <c r="AF38"/>
  <c r="Y38" s="1"/>
  <c r="AJ38"/>
  <c r="AL43"/>
  <c r="AK43"/>
  <c r="AF44"/>
  <c r="Y44" s="1"/>
  <c r="AJ44"/>
  <c r="AL49"/>
  <c r="AK49"/>
  <c r="AF50"/>
  <c r="Y50" s="1"/>
  <c r="AJ50"/>
  <c r="AI78"/>
  <c r="AI86"/>
  <c r="AI9" i="90"/>
  <c r="AI10"/>
  <c r="AI11"/>
  <c r="AI16"/>
  <c r="AF16" s="1"/>
  <c r="Y16" s="1"/>
  <c r="AI17"/>
  <c r="AI22"/>
  <c r="AI23"/>
  <c r="AI28"/>
  <c r="AI33"/>
  <c r="AI36"/>
  <c r="AI38"/>
  <c r="AI39"/>
  <c r="AI41"/>
  <c r="AI42"/>
  <c r="AI44"/>
  <c r="AF44" s="1"/>
  <c r="Y44" s="1"/>
  <c r="AI46"/>
  <c r="AI48"/>
  <c r="AI50"/>
  <c r="AI52"/>
  <c r="AI54"/>
  <c r="AI59"/>
  <c r="AI61"/>
  <c r="AI63"/>
  <c r="AI65"/>
  <c r="AI71"/>
  <c r="AI73"/>
  <c r="AK23" i="89"/>
  <c r="AG23"/>
  <c r="AI23" s="1"/>
  <c r="AK24"/>
  <c r="AG24"/>
  <c r="AI24" s="1"/>
  <c r="AK27"/>
  <c r="AG27"/>
  <c r="AI27" s="1"/>
  <c r="AK28"/>
  <c r="AG28"/>
  <c r="AI28" s="1"/>
  <c r="AK29"/>
  <c r="AG29"/>
  <c r="AI29" s="1"/>
  <c r="AK30"/>
  <c r="AG30"/>
  <c r="AI30" s="1"/>
  <c r="AK33"/>
  <c r="AG33"/>
  <c r="AI33" s="1"/>
  <c r="AK34"/>
  <c r="AG34"/>
  <c r="AI34" s="1"/>
  <c r="AK35"/>
  <c r="AG35"/>
  <c r="AI35" s="1"/>
  <c r="AK36"/>
  <c r="AG36"/>
  <c r="AI36" s="1"/>
  <c r="AK39"/>
  <c r="AG39"/>
  <c r="AI39" s="1"/>
  <c r="AK40"/>
  <c r="AG40"/>
  <c r="AI40" s="1"/>
  <c r="AK41"/>
  <c r="AG41"/>
  <c r="AI41" s="1"/>
  <c r="AK42"/>
  <c r="AG42"/>
  <c r="AI42" s="1"/>
  <c r="AK45"/>
  <c r="AG45"/>
  <c r="AI45" s="1"/>
  <c r="AK46"/>
  <c r="AG46"/>
  <c r="AI46" s="1"/>
  <c r="AK47"/>
  <c r="AG47"/>
  <c r="AI47" s="1"/>
  <c r="AK48"/>
  <c r="AG48"/>
  <c r="AI48" s="1"/>
  <c r="AK51"/>
  <c r="AG51"/>
  <c r="AI51" s="1"/>
  <c r="AK52"/>
  <c r="AG52"/>
  <c r="AI52" s="1"/>
  <c r="AJ8" i="87"/>
  <c r="AF11"/>
  <c r="Y11" s="1"/>
  <c r="AJ11"/>
  <c r="AJ15"/>
  <c r="AF15" s="1"/>
  <c r="Y15" s="1"/>
  <c r="AF16"/>
  <c r="Y16" s="1"/>
  <c r="AJ16"/>
  <c r="AF18"/>
  <c r="Y18" s="1"/>
  <c r="AF21"/>
  <c r="Y21" s="1"/>
  <c r="AJ21"/>
  <c r="AF23"/>
  <c r="Y23" s="1"/>
  <c r="AJ23"/>
  <c r="AF24"/>
  <c r="Y24" s="1"/>
  <c r="AF26"/>
  <c r="Y26" s="1"/>
  <c r="AJ26"/>
  <c r="AJ28"/>
  <c r="AF28" s="1"/>
  <c r="Y28" s="1"/>
  <c r="AF30"/>
  <c r="Y30" s="1"/>
  <c r="AJ33"/>
  <c r="AF33" s="1"/>
  <c r="Y33" s="1"/>
  <c r="AF35"/>
  <c r="Y35" s="1"/>
  <c r="AJ35"/>
  <c r="AF38"/>
  <c r="Y38" s="1"/>
  <c r="AJ38"/>
  <c r="AF40"/>
  <c r="Y40" s="1"/>
  <c r="AJ40"/>
  <c r="AF42"/>
  <c r="Y42" s="1"/>
  <c r="AF45"/>
  <c r="Y45" s="1"/>
  <c r="AJ45"/>
  <c r="AJ47"/>
  <c r="AF47" s="1"/>
  <c r="Y47" s="1"/>
  <c r="AF51"/>
  <c r="Y51" s="1"/>
  <c r="AJ51"/>
  <c r="AJ53"/>
  <c r="AF53" s="1"/>
  <c r="Y53" s="1"/>
  <c r="AJ59"/>
  <c r="AF62"/>
  <c r="Y62" s="1"/>
  <c r="AJ62"/>
  <c r="AF63"/>
  <c r="Y63" s="1"/>
  <c r="AJ63"/>
  <c r="AF64"/>
  <c r="Y64" s="1"/>
  <c r="AJ64"/>
  <c r="AF65"/>
  <c r="Y65" s="1"/>
  <c r="AJ65"/>
  <c r="AF71"/>
  <c r="Y71" s="1"/>
  <c r="AF73"/>
  <c r="Y73" s="1"/>
  <c r="AJ73"/>
  <c r="AF13" i="88"/>
  <c r="Y13" s="1"/>
  <c r="AJ13"/>
  <c r="AJ19"/>
  <c r="AJ25"/>
  <c r="AF25" s="1"/>
  <c r="Y25" s="1"/>
  <c r="AF31"/>
  <c r="Y31" s="1"/>
  <c r="AJ31"/>
  <c r="AJ37"/>
  <c r="AF37" s="1"/>
  <c r="Y37" s="1"/>
  <c r="AJ43"/>
  <c r="AF43" s="1"/>
  <c r="Y43" s="1"/>
  <c r="AF49"/>
  <c r="Y49" s="1"/>
  <c r="AJ49"/>
  <c r="AF55"/>
  <c r="Y55" s="1"/>
  <c r="AJ55"/>
  <c r="AF70"/>
  <c r="Y70" s="1"/>
  <c r="AJ70"/>
  <c r="AF72"/>
  <c r="Y72" s="1"/>
  <c r="AJ72"/>
  <c r="AF78"/>
  <c r="Y78" s="1"/>
  <c r="AJ78"/>
  <c r="AF82"/>
  <c r="Y82" s="1"/>
  <c r="AJ82"/>
  <c r="AJ86"/>
  <c r="AJ8" i="89"/>
  <c r="AF8" s="1"/>
  <c r="AJ9"/>
  <c r="AF10"/>
  <c r="Y10" s="1"/>
  <c r="AJ10"/>
  <c r="AF11"/>
  <c r="Y11" s="1"/>
  <c r="AJ11"/>
  <c r="AF12"/>
  <c r="Y12" s="1"/>
  <c r="AJ12"/>
  <c r="AF14"/>
  <c r="Y14" s="1"/>
  <c r="AJ14"/>
  <c r="AF15"/>
  <c r="Y15" s="1"/>
  <c r="AJ15"/>
  <c r="AF16"/>
  <c r="Y16" s="1"/>
  <c r="AJ16"/>
  <c r="AF17"/>
  <c r="Y17" s="1"/>
  <c r="AJ17"/>
  <c r="AF18"/>
  <c r="Y18" s="1"/>
  <c r="AJ18"/>
  <c r="AF20"/>
  <c r="Y20" s="1"/>
  <c r="AJ20"/>
  <c r="AF21"/>
  <c r="Y21" s="1"/>
  <c r="AJ21"/>
  <c r="AF22"/>
  <c r="Y22" s="1"/>
  <c r="AJ22"/>
  <c r="AF23"/>
  <c r="Y23" s="1"/>
  <c r="AJ23"/>
  <c r="AF24"/>
  <c r="Y24" s="1"/>
  <c r="AJ24"/>
  <c r="AF27"/>
  <c r="Y27" s="1"/>
  <c r="AJ27"/>
  <c r="AF28"/>
  <c r="Y28" s="1"/>
  <c r="AJ28"/>
  <c r="AF29"/>
  <c r="Y29" s="1"/>
  <c r="AJ29"/>
  <c r="AF30"/>
  <c r="Y30" s="1"/>
  <c r="AJ30"/>
  <c r="AF33"/>
  <c r="Y33" s="1"/>
  <c r="AJ33"/>
  <c r="AF34"/>
  <c r="Y34" s="1"/>
  <c r="AJ34"/>
  <c r="AF35"/>
  <c r="Y35" s="1"/>
  <c r="AJ35"/>
  <c r="AF36"/>
  <c r="Y36" s="1"/>
  <c r="AJ36"/>
  <c r="AF39"/>
  <c r="Y39" s="1"/>
  <c r="AJ39"/>
  <c r="AF40"/>
  <c r="Y40" s="1"/>
  <c r="AJ40"/>
  <c r="AF41"/>
  <c r="Y41" s="1"/>
  <c r="AJ41"/>
  <c r="AF42"/>
  <c r="Y42" s="1"/>
  <c r="AJ42"/>
  <c r="AF45"/>
  <c r="Y45" s="1"/>
  <c r="AJ45"/>
  <c r="AF46"/>
  <c r="Y46" s="1"/>
  <c r="AJ46"/>
  <c r="AF47"/>
  <c r="Y47" s="1"/>
  <c r="AJ47"/>
  <c r="AF48"/>
  <c r="Y48" s="1"/>
  <c r="AJ48"/>
  <c r="AF51"/>
  <c r="Y51" s="1"/>
  <c r="AJ51"/>
  <c r="AF52"/>
  <c r="Y52" s="1"/>
  <c r="AJ52"/>
  <c r="AI49" i="91"/>
  <c r="AI55"/>
  <c r="AI70"/>
  <c r="AI72"/>
  <c r="AI82"/>
  <c r="AI9" i="92"/>
  <c r="AF9" s="1"/>
  <c r="Y9" s="1"/>
  <c r="AI10"/>
  <c r="AI11"/>
  <c r="AI16"/>
  <c r="AJ53" i="89"/>
  <c r="AL53"/>
  <c r="AJ54"/>
  <c r="AL54"/>
  <c r="AK55"/>
  <c r="AJ59"/>
  <c r="AL59"/>
  <c r="AJ60"/>
  <c r="AL60"/>
  <c r="AJ61"/>
  <c r="AL61"/>
  <c r="AJ62"/>
  <c r="AL62"/>
  <c r="AJ63"/>
  <c r="AL63"/>
  <c r="AJ64"/>
  <c r="AL64"/>
  <c r="AJ65"/>
  <c r="AL65"/>
  <c r="AJ66"/>
  <c r="AL66"/>
  <c r="AK70"/>
  <c r="AJ71"/>
  <c r="AL71"/>
  <c r="AK72"/>
  <c r="AJ73"/>
  <c r="AL73"/>
  <c r="AJ77"/>
  <c r="AL77"/>
  <c r="AK78"/>
  <c r="AK82"/>
  <c r="AK86"/>
  <c r="AK8" i="90"/>
  <c r="AK9"/>
  <c r="AK10"/>
  <c r="AK11"/>
  <c r="AK12"/>
  <c r="AJ13"/>
  <c r="AL13"/>
  <c r="AK14"/>
  <c r="AK15"/>
  <c r="AK16"/>
  <c r="AK17"/>
  <c r="AK18"/>
  <c r="AJ19"/>
  <c r="AL19"/>
  <c r="AK20"/>
  <c r="AK21"/>
  <c r="AK22"/>
  <c r="AK23"/>
  <c r="AK24"/>
  <c r="AJ25"/>
  <c r="AL25"/>
  <c r="AK26"/>
  <c r="AK27"/>
  <c r="AK28"/>
  <c r="AK29"/>
  <c r="AK30"/>
  <c r="AJ31"/>
  <c r="AL31"/>
  <c r="AK32"/>
  <c r="AK33"/>
  <c r="AK34"/>
  <c r="AK35"/>
  <c r="AK36"/>
  <c r="AJ37"/>
  <c r="AL37"/>
  <c r="AK38"/>
  <c r="AK39"/>
  <c r="AK40"/>
  <c r="AK41"/>
  <c r="AK42"/>
  <c r="AJ43"/>
  <c r="AL43"/>
  <c r="AK44"/>
  <c r="AK45"/>
  <c r="AK46"/>
  <c r="AK47"/>
  <c r="AK48"/>
  <c r="AJ49"/>
  <c r="AL49"/>
  <c r="AK50"/>
  <c r="AK51"/>
  <c r="AK52"/>
  <c r="AK53"/>
  <c r="AK54"/>
  <c r="AJ55"/>
  <c r="AL55"/>
  <c r="AK59"/>
  <c r="AK60"/>
  <c r="AK61"/>
  <c r="AK62"/>
  <c r="AK63"/>
  <c r="AK64"/>
  <c r="AK65"/>
  <c r="AK66"/>
  <c r="AJ70"/>
  <c r="AL70"/>
  <c r="AK71"/>
  <c r="AJ72"/>
  <c r="AL72"/>
  <c r="AK73"/>
  <c r="AK77"/>
  <c r="AJ78"/>
  <c r="AL78"/>
  <c r="AJ82"/>
  <c r="AL82"/>
  <c r="AJ86"/>
  <c r="AL86"/>
  <c r="AJ8" i="91"/>
  <c r="AL8"/>
  <c r="AJ9"/>
  <c r="AL9"/>
  <c r="AJ10"/>
  <c r="AL10"/>
  <c r="AJ11"/>
  <c r="AL11"/>
  <c r="AJ12"/>
  <c r="AL12"/>
  <c r="AK13"/>
  <c r="AJ14"/>
  <c r="AL14"/>
  <c r="AJ15"/>
  <c r="AL15"/>
  <c r="AJ16"/>
  <c r="AL16"/>
  <c r="AJ17"/>
  <c r="AL17"/>
  <c r="AJ18"/>
  <c r="AL18"/>
  <c r="AK19"/>
  <c r="AJ20"/>
  <c r="AL20"/>
  <c r="AJ21"/>
  <c r="AL21"/>
  <c r="AJ22"/>
  <c r="AL22"/>
  <c r="AJ23"/>
  <c r="AL23"/>
  <c r="AJ24"/>
  <c r="AL24"/>
  <c r="AK25"/>
  <c r="AJ26"/>
  <c r="AL26"/>
  <c r="AJ27"/>
  <c r="AL27"/>
  <c r="AJ28"/>
  <c r="AL28"/>
  <c r="AJ29"/>
  <c r="AL29"/>
  <c r="AJ30"/>
  <c r="AL30"/>
  <c r="AK31"/>
  <c r="AJ32"/>
  <c r="AL32"/>
  <c r="AF32" s="1"/>
  <c r="Y32" s="1"/>
  <c r="AJ33"/>
  <c r="AL33"/>
  <c r="AJ34"/>
  <c r="AL34"/>
  <c r="AJ35"/>
  <c r="AL35"/>
  <c r="AJ36"/>
  <c r="AL36"/>
  <c r="AK37"/>
  <c r="AJ38"/>
  <c r="AL38"/>
  <c r="AJ39"/>
  <c r="AL39"/>
  <c r="AJ40"/>
  <c r="AL40"/>
  <c r="AJ41"/>
  <c r="AL41"/>
  <c r="AJ42"/>
  <c r="AL42"/>
  <c r="AK43"/>
  <c r="AJ44"/>
  <c r="AL44"/>
  <c r="AF44" s="1"/>
  <c r="Y44" s="1"/>
  <c r="AJ45"/>
  <c r="AL45"/>
  <c r="AJ46"/>
  <c r="AL46"/>
  <c r="AJ47"/>
  <c r="AL47"/>
  <c r="AJ48"/>
  <c r="AL48"/>
  <c r="AK49"/>
  <c r="AJ50"/>
  <c r="AL50"/>
  <c r="AJ51"/>
  <c r="AL51"/>
  <c r="AJ52"/>
  <c r="AL52"/>
  <c r="AJ53"/>
  <c r="AL53"/>
  <c r="AJ54"/>
  <c r="AL54"/>
  <c r="AK55"/>
  <c r="AJ59"/>
  <c r="AL59"/>
  <c r="AJ60"/>
  <c r="AL60"/>
  <c r="AJ61"/>
  <c r="AL61"/>
  <c r="AJ62"/>
  <c r="AL62"/>
  <c r="AJ63"/>
  <c r="AL63"/>
  <c r="AJ64"/>
  <c r="AL64"/>
  <c r="AJ65"/>
  <c r="AL65"/>
  <c r="AJ66"/>
  <c r="AL66"/>
  <c r="AK70"/>
  <c r="AJ71"/>
  <c r="AL71"/>
  <c r="AK72"/>
  <c r="AJ73"/>
  <c r="AL73"/>
  <c r="AJ77"/>
  <c r="AL77"/>
  <c r="AK78"/>
  <c r="AK82"/>
  <c r="AK86"/>
  <c r="AK8" i="92"/>
  <c r="AK9"/>
  <c r="AK10"/>
  <c r="AK11"/>
  <c r="AK12"/>
  <c r="AJ13"/>
  <c r="AL13"/>
  <c r="AK14"/>
  <c r="AK15"/>
  <c r="AK16"/>
  <c r="AI8" i="94"/>
  <c r="AI12"/>
  <c r="AI14"/>
  <c r="AI15"/>
  <c r="AK19" i="92"/>
  <c r="AG19"/>
  <c r="AI19" s="1"/>
  <c r="AK25"/>
  <c r="AG25"/>
  <c r="AI25" s="1"/>
  <c r="AK31"/>
  <c r="AG31"/>
  <c r="AI31" s="1"/>
  <c r="AF25" i="89"/>
  <c r="Y25" s="1"/>
  <c r="AJ25"/>
  <c r="AF31"/>
  <c r="Y31" s="1"/>
  <c r="AJ31"/>
  <c r="AF37"/>
  <c r="Y37" s="1"/>
  <c r="AJ37"/>
  <c r="AF43"/>
  <c r="Y43" s="1"/>
  <c r="AJ43"/>
  <c r="AJ49"/>
  <c r="AF49" s="1"/>
  <c r="Y49" s="1"/>
  <c r="AG53"/>
  <c r="AI53" s="1"/>
  <c r="AG54"/>
  <c r="AI54" s="1"/>
  <c r="AF54" s="1"/>
  <c r="Y54" s="1"/>
  <c r="AF55"/>
  <c r="Y55" s="1"/>
  <c r="AJ55"/>
  <c r="BB58"/>
  <c r="AG59"/>
  <c r="AI59" s="1"/>
  <c r="AF59" s="1"/>
  <c r="Y59" s="1"/>
  <c r="AG60"/>
  <c r="AI60" s="1"/>
  <c r="AF60" s="1"/>
  <c r="Y60" s="1"/>
  <c r="AG61"/>
  <c r="AI61" s="1"/>
  <c r="AF61" s="1"/>
  <c r="Y61" s="1"/>
  <c r="AG62"/>
  <c r="AI62" s="1"/>
  <c r="AF62" s="1"/>
  <c r="Y62" s="1"/>
  <c r="AG63"/>
  <c r="AI63" s="1"/>
  <c r="AF63" s="1"/>
  <c r="Y63" s="1"/>
  <c r="AG64"/>
  <c r="AI64" s="1"/>
  <c r="AF64" s="1"/>
  <c r="Y64" s="1"/>
  <c r="AG65"/>
  <c r="AI65" s="1"/>
  <c r="AF65" s="1"/>
  <c r="Y65" s="1"/>
  <c r="AG66"/>
  <c r="AI66" s="1"/>
  <c r="AF70"/>
  <c r="Y70" s="1"/>
  <c r="AJ70"/>
  <c r="AG71"/>
  <c r="AI71" s="1"/>
  <c r="AF71" s="1"/>
  <c r="Y71" s="1"/>
  <c r="AF72"/>
  <c r="Y72" s="1"/>
  <c r="AJ72"/>
  <c r="AG73"/>
  <c r="AI73" s="1"/>
  <c r="AF73" s="1"/>
  <c r="Y73" s="1"/>
  <c r="AG77"/>
  <c r="AI77" s="1"/>
  <c r="AF77" s="1"/>
  <c r="Y77" s="1"/>
  <c r="AJ78"/>
  <c r="AF78" s="1"/>
  <c r="Y78" s="1"/>
  <c r="AF82"/>
  <c r="Y82" s="1"/>
  <c r="AJ82"/>
  <c r="AJ86"/>
  <c r="AF86" s="1"/>
  <c r="Y86" s="1"/>
  <c r="AF8" i="90"/>
  <c r="AJ8"/>
  <c r="AF9"/>
  <c r="Y9" s="1"/>
  <c r="AJ9"/>
  <c r="AJ10"/>
  <c r="AF10" s="1"/>
  <c r="Y10" s="1"/>
  <c r="AF11"/>
  <c r="Y11" s="1"/>
  <c r="AJ11"/>
  <c r="AF12"/>
  <c r="Y12" s="1"/>
  <c r="AJ12"/>
  <c r="AG13"/>
  <c r="AI13" s="1"/>
  <c r="AF13" s="1"/>
  <c r="Y13" s="1"/>
  <c r="AF14"/>
  <c r="Y14" s="1"/>
  <c r="AJ14"/>
  <c r="AJ15"/>
  <c r="AF15" s="1"/>
  <c r="Y15" s="1"/>
  <c r="AJ16"/>
  <c r="AF17"/>
  <c r="Y17" s="1"/>
  <c r="AJ17"/>
  <c r="AF18"/>
  <c r="Y18" s="1"/>
  <c r="AJ18"/>
  <c r="AG19"/>
  <c r="AI19" s="1"/>
  <c r="AF20"/>
  <c r="Y20" s="1"/>
  <c r="AJ20"/>
  <c r="AJ21"/>
  <c r="AF21" s="1"/>
  <c r="Y21" s="1"/>
  <c r="AJ22"/>
  <c r="AF22" s="1"/>
  <c r="Y22" s="1"/>
  <c r="AJ23"/>
  <c r="AF23" s="1"/>
  <c r="Y23" s="1"/>
  <c r="AF24"/>
  <c r="Y24" s="1"/>
  <c r="AJ24"/>
  <c r="AG25"/>
  <c r="AI25" s="1"/>
  <c r="AF25" s="1"/>
  <c r="Y25" s="1"/>
  <c r="AF26"/>
  <c r="Y26" s="1"/>
  <c r="AJ26"/>
  <c r="AJ27"/>
  <c r="AF27" s="1"/>
  <c r="Y27" s="1"/>
  <c r="AF28"/>
  <c r="Y28" s="1"/>
  <c r="AJ28"/>
  <c r="AF29"/>
  <c r="Y29" s="1"/>
  <c r="AJ29"/>
  <c r="AF30"/>
  <c r="Y30" s="1"/>
  <c r="AJ30"/>
  <c r="AG31"/>
  <c r="AI31" s="1"/>
  <c r="AF31" s="1"/>
  <c r="Y31" s="1"/>
  <c r="AF32"/>
  <c r="Y32" s="1"/>
  <c r="AJ32"/>
  <c r="AF33"/>
  <c r="Y33" s="1"/>
  <c r="AJ33"/>
  <c r="AF34"/>
  <c r="Y34" s="1"/>
  <c r="AJ34"/>
  <c r="AF35"/>
  <c r="Y35" s="1"/>
  <c r="AJ35"/>
  <c r="AF36"/>
  <c r="Y36" s="1"/>
  <c r="AJ36"/>
  <c r="AG37"/>
  <c r="AI37" s="1"/>
  <c r="AF37" s="1"/>
  <c r="Y37" s="1"/>
  <c r="AJ38"/>
  <c r="AF38" s="1"/>
  <c r="Y38" s="1"/>
  <c r="AF39"/>
  <c r="Y39" s="1"/>
  <c r="AJ39"/>
  <c r="AJ40"/>
  <c r="AF40" s="1"/>
  <c r="Y40" s="1"/>
  <c r="AF41"/>
  <c r="Y41" s="1"/>
  <c r="AJ41"/>
  <c r="AJ42"/>
  <c r="AF42" s="1"/>
  <c r="Y42" s="1"/>
  <c r="AG43"/>
  <c r="AI43" s="1"/>
  <c r="AF43" s="1"/>
  <c r="Y43" s="1"/>
  <c r="AJ44"/>
  <c r="AF45"/>
  <c r="Y45" s="1"/>
  <c r="AJ45"/>
  <c r="AJ46"/>
  <c r="AF46" s="1"/>
  <c r="Y46" s="1"/>
  <c r="AF47"/>
  <c r="Y47" s="1"/>
  <c r="AJ47"/>
  <c r="AF48"/>
  <c r="Y48" s="1"/>
  <c r="AJ48"/>
  <c r="AG49"/>
  <c r="AI49" s="1"/>
  <c r="AF49" s="1"/>
  <c r="Y49" s="1"/>
  <c r="AF50"/>
  <c r="Y50" s="1"/>
  <c r="AJ50"/>
  <c r="AF51"/>
  <c r="Y51" s="1"/>
  <c r="AJ51"/>
  <c r="AF52"/>
  <c r="Y52" s="1"/>
  <c r="AJ52"/>
  <c r="AJ53"/>
  <c r="AF53" s="1"/>
  <c r="Y53" s="1"/>
  <c r="AJ54"/>
  <c r="AF54" s="1"/>
  <c r="Y54" s="1"/>
  <c r="AG55"/>
  <c r="AI55" s="1"/>
  <c r="AF55" s="1"/>
  <c r="Y55" s="1"/>
  <c r="AF59"/>
  <c r="Y59" s="1"/>
  <c r="AJ59"/>
  <c r="AF60"/>
  <c r="Y60" s="1"/>
  <c r="AJ60"/>
  <c r="AJ61"/>
  <c r="AF61" s="1"/>
  <c r="Y61" s="1"/>
  <c r="AF62"/>
  <c r="Y62" s="1"/>
  <c r="AJ62"/>
  <c r="AJ63"/>
  <c r="AF63" s="1"/>
  <c r="Y63" s="1"/>
  <c r="AF64"/>
  <c r="Y64" s="1"/>
  <c r="AJ64"/>
  <c r="AF65"/>
  <c r="Y65" s="1"/>
  <c r="AJ65"/>
  <c r="AJ66"/>
  <c r="AF66" s="1"/>
  <c r="Y66" s="1"/>
  <c r="AG70"/>
  <c r="AI70" s="1"/>
  <c r="AF70" s="1"/>
  <c r="Y70" s="1"/>
  <c r="AJ71"/>
  <c r="AF71" s="1"/>
  <c r="Y71" s="1"/>
  <c r="AG72"/>
  <c r="AI72" s="1"/>
  <c r="AF72" s="1"/>
  <c r="Y72" s="1"/>
  <c r="AF73"/>
  <c r="Y73" s="1"/>
  <c r="AJ73"/>
  <c r="AJ77"/>
  <c r="AF77" s="1"/>
  <c r="Y77" s="1"/>
  <c r="AG78"/>
  <c r="AI78" s="1"/>
  <c r="AF78" s="1"/>
  <c r="Y78" s="1"/>
  <c r="AG82"/>
  <c r="AI82" s="1"/>
  <c r="AF82" s="1"/>
  <c r="Y82" s="1"/>
  <c r="AG86"/>
  <c r="AI86" s="1"/>
  <c r="AF86" s="1"/>
  <c r="Y86" s="1"/>
  <c r="AG8" i="91"/>
  <c r="AI8" s="1"/>
  <c r="AG9"/>
  <c r="AI9" s="1"/>
  <c r="AG10"/>
  <c r="AI10" s="1"/>
  <c r="AF10" s="1"/>
  <c r="Y10" s="1"/>
  <c r="AG11"/>
  <c r="AI11" s="1"/>
  <c r="AF11" s="1"/>
  <c r="Y11" s="1"/>
  <c r="AG12"/>
  <c r="AI12" s="1"/>
  <c r="AF12" s="1"/>
  <c r="Y12" s="1"/>
  <c r="AJ13"/>
  <c r="AF13" s="1"/>
  <c r="Y13" s="1"/>
  <c r="AG14"/>
  <c r="AI14" s="1"/>
  <c r="AF14" s="1"/>
  <c r="Y14" s="1"/>
  <c r="AG15"/>
  <c r="AI15" s="1"/>
  <c r="AF15" s="1"/>
  <c r="Y15" s="1"/>
  <c r="AG16"/>
  <c r="AI16" s="1"/>
  <c r="AF16" s="1"/>
  <c r="Y16" s="1"/>
  <c r="AG17"/>
  <c r="AI17" s="1"/>
  <c r="AF17" s="1"/>
  <c r="Y17" s="1"/>
  <c r="AG18"/>
  <c r="AI18" s="1"/>
  <c r="AF18" s="1"/>
  <c r="Y18" s="1"/>
  <c r="AJ19"/>
  <c r="AG20"/>
  <c r="AI20" s="1"/>
  <c r="AF20" s="1"/>
  <c r="Y20" s="1"/>
  <c r="AG21"/>
  <c r="AI21" s="1"/>
  <c r="AF21" s="1"/>
  <c r="Y21" s="1"/>
  <c r="AG22"/>
  <c r="AI22" s="1"/>
  <c r="AF22" s="1"/>
  <c r="Y22" s="1"/>
  <c r="AG23"/>
  <c r="AI23" s="1"/>
  <c r="AF23" s="1"/>
  <c r="Y23" s="1"/>
  <c r="AG24"/>
  <c r="AI24" s="1"/>
  <c r="AF24" s="1"/>
  <c r="Y24" s="1"/>
  <c r="AF25"/>
  <c r="Y25" s="1"/>
  <c r="AJ25"/>
  <c r="AG26"/>
  <c r="AI26" s="1"/>
  <c r="AF26" s="1"/>
  <c r="Y26" s="1"/>
  <c r="AG27"/>
  <c r="AI27" s="1"/>
  <c r="AG28"/>
  <c r="AI28" s="1"/>
  <c r="AF28" s="1"/>
  <c r="Y28" s="1"/>
  <c r="AG29"/>
  <c r="AI29" s="1"/>
  <c r="AF29" s="1"/>
  <c r="Y29" s="1"/>
  <c r="AG30"/>
  <c r="AI30" s="1"/>
  <c r="AF30" s="1"/>
  <c r="Y30" s="1"/>
  <c r="AF31"/>
  <c r="Y31" s="1"/>
  <c r="AJ31"/>
  <c r="AG32"/>
  <c r="AI32" s="1"/>
  <c r="AG33"/>
  <c r="AI33" s="1"/>
  <c r="AF33" s="1"/>
  <c r="Y33" s="1"/>
  <c r="AG34"/>
  <c r="AI34" s="1"/>
  <c r="AF34" s="1"/>
  <c r="Y34" s="1"/>
  <c r="AG35"/>
  <c r="AI35" s="1"/>
  <c r="AF35" s="1"/>
  <c r="Y35" s="1"/>
  <c r="AG36"/>
  <c r="AI36" s="1"/>
  <c r="AF36" s="1"/>
  <c r="Y36" s="1"/>
  <c r="AJ37"/>
  <c r="AF37" s="1"/>
  <c r="Y37" s="1"/>
  <c r="AG38"/>
  <c r="AI38" s="1"/>
  <c r="AF38" s="1"/>
  <c r="Y38" s="1"/>
  <c r="AG39"/>
  <c r="AI39" s="1"/>
  <c r="AF39" s="1"/>
  <c r="Y39" s="1"/>
  <c r="AG40"/>
  <c r="AI40" s="1"/>
  <c r="AG41"/>
  <c r="AI41" s="1"/>
  <c r="AF41" s="1"/>
  <c r="Y41" s="1"/>
  <c r="AG42"/>
  <c r="AI42" s="1"/>
  <c r="AF42" s="1"/>
  <c r="Y42" s="1"/>
  <c r="AF43"/>
  <c r="Y43" s="1"/>
  <c r="AJ43"/>
  <c r="AG44"/>
  <c r="AI44" s="1"/>
  <c r="AG45"/>
  <c r="AI45" s="1"/>
  <c r="AF45" s="1"/>
  <c r="Y45" s="1"/>
  <c r="AG46"/>
  <c r="AI46" s="1"/>
  <c r="AF46" s="1"/>
  <c r="Y46" s="1"/>
  <c r="AG47"/>
  <c r="AI47" s="1"/>
  <c r="AF47" s="1"/>
  <c r="Y47" s="1"/>
  <c r="AG48"/>
  <c r="AI48" s="1"/>
  <c r="AF48" s="1"/>
  <c r="Y48" s="1"/>
  <c r="AF49"/>
  <c r="Y49" s="1"/>
  <c r="AJ49"/>
  <c r="AG50"/>
  <c r="AI50" s="1"/>
  <c r="AF50" s="1"/>
  <c r="Y50" s="1"/>
  <c r="AG51"/>
  <c r="AI51" s="1"/>
  <c r="AF51" s="1"/>
  <c r="Y51" s="1"/>
  <c r="AG52"/>
  <c r="AI52" s="1"/>
  <c r="AF52" s="1"/>
  <c r="Y52" s="1"/>
  <c r="AG53"/>
  <c r="AI53" s="1"/>
  <c r="AG54"/>
  <c r="AI54" s="1"/>
  <c r="AF54" s="1"/>
  <c r="Y54" s="1"/>
  <c r="AJ55"/>
  <c r="AF55" s="1"/>
  <c r="Y55" s="1"/>
  <c r="BB58"/>
  <c r="AG59"/>
  <c r="AI59" s="1"/>
  <c r="AF59" s="1"/>
  <c r="Y59" s="1"/>
  <c r="AG60"/>
  <c r="AI60" s="1"/>
  <c r="AF60" s="1"/>
  <c r="Y60" s="1"/>
  <c r="AG61"/>
  <c r="AI61" s="1"/>
  <c r="AF61" s="1"/>
  <c r="Y61" s="1"/>
  <c r="AG62"/>
  <c r="AI62" s="1"/>
  <c r="AF62" s="1"/>
  <c r="Y62" s="1"/>
  <c r="AG63"/>
  <c r="AI63" s="1"/>
  <c r="AF63" s="1"/>
  <c r="Y63" s="1"/>
  <c r="AG64"/>
  <c r="AI64" s="1"/>
  <c r="AF64" s="1"/>
  <c r="Y64" s="1"/>
  <c r="AG65"/>
  <c r="AI65" s="1"/>
  <c r="AF65" s="1"/>
  <c r="Y65" s="1"/>
  <c r="AG66"/>
  <c r="AI66" s="1"/>
  <c r="AF70"/>
  <c r="Y70" s="1"/>
  <c r="AJ70"/>
  <c r="AG71"/>
  <c r="AI71" s="1"/>
  <c r="AF71" s="1"/>
  <c r="Y71" s="1"/>
  <c r="AJ72"/>
  <c r="AF72" s="1"/>
  <c r="Y72" s="1"/>
  <c r="AG73"/>
  <c r="AI73" s="1"/>
  <c r="AF73" s="1"/>
  <c r="Y73" s="1"/>
  <c r="AG77"/>
  <c r="AI77" s="1"/>
  <c r="AF77" s="1"/>
  <c r="Y77" s="1"/>
  <c r="AF78"/>
  <c r="Y78" s="1"/>
  <c r="AJ78"/>
  <c r="AF82"/>
  <c r="Y82" s="1"/>
  <c r="AJ82"/>
  <c r="AF86"/>
  <c r="Y86" s="1"/>
  <c r="AJ86"/>
  <c r="AJ8" i="92"/>
  <c r="AJ9"/>
  <c r="AJ10"/>
  <c r="AF11"/>
  <c r="Y11" s="1"/>
  <c r="AJ11"/>
  <c r="AF12"/>
  <c r="Y12" s="1"/>
  <c r="AJ12"/>
  <c r="AG13"/>
  <c r="AI13" s="1"/>
  <c r="AF13" s="1"/>
  <c r="Y13" s="1"/>
  <c r="AF14"/>
  <c r="Y14" s="1"/>
  <c r="AJ14"/>
  <c r="AF15"/>
  <c r="Y15" s="1"/>
  <c r="AJ15"/>
  <c r="AF16"/>
  <c r="Y16" s="1"/>
  <c r="AJ16"/>
  <c r="AL18"/>
  <c r="AK18"/>
  <c r="AJ19"/>
  <c r="AF19" s="1"/>
  <c r="Y19" s="1"/>
  <c r="AL20"/>
  <c r="AK20"/>
  <c r="AL22"/>
  <c r="AK22"/>
  <c r="AL24"/>
  <c r="AK24"/>
  <c r="AF25"/>
  <c r="Y25" s="1"/>
  <c r="AJ25"/>
  <c r="AL26"/>
  <c r="AK26"/>
  <c r="AL28"/>
  <c r="AK28"/>
  <c r="AL30"/>
  <c r="AK30"/>
  <c r="AF31"/>
  <c r="Y31" s="1"/>
  <c r="AJ31"/>
  <c r="AL32"/>
  <c r="AK32"/>
  <c r="AI34"/>
  <c r="AI36"/>
  <c r="AI38"/>
  <c r="AI40"/>
  <c r="AI42"/>
  <c r="AI44"/>
  <c r="AI46"/>
  <c r="AI48"/>
  <c r="AI50"/>
  <c r="AI52"/>
  <c r="AI54"/>
  <c r="AI59"/>
  <c r="AI61"/>
  <c r="AI63"/>
  <c r="AI65"/>
  <c r="AI71"/>
  <c r="AI73"/>
  <c r="AI78" i="93"/>
  <c r="AI86"/>
  <c r="AI9" i="94"/>
  <c r="AK25"/>
  <c r="AG25"/>
  <c r="AI25" s="1"/>
  <c r="AK31"/>
  <c r="AG31"/>
  <c r="AI31" s="1"/>
  <c r="AK37"/>
  <c r="AG37"/>
  <c r="AI37" s="1"/>
  <c r="AK43"/>
  <c r="AG43"/>
  <c r="AI43" s="1"/>
  <c r="AK34" i="92"/>
  <c r="AK35"/>
  <c r="AK36"/>
  <c r="AJ37"/>
  <c r="AL37"/>
  <c r="AK38"/>
  <c r="AK39"/>
  <c r="AK40"/>
  <c r="AK41"/>
  <c r="AK42"/>
  <c r="AJ43"/>
  <c r="AL43"/>
  <c r="AK44"/>
  <c r="AK45"/>
  <c r="AK46"/>
  <c r="AK47"/>
  <c r="AK48"/>
  <c r="AJ49"/>
  <c r="AL49"/>
  <c r="AK50"/>
  <c r="AK51"/>
  <c r="AK52"/>
  <c r="AK53"/>
  <c r="AK54"/>
  <c r="AJ55"/>
  <c r="AL55"/>
  <c r="AK59"/>
  <c r="AK60"/>
  <c r="AK61"/>
  <c r="AK62"/>
  <c r="AK63"/>
  <c r="AK64"/>
  <c r="AK65"/>
  <c r="AK66"/>
  <c r="AJ70"/>
  <c r="AL70"/>
  <c r="AK71"/>
  <c r="AJ72"/>
  <c r="AL72"/>
  <c r="AK73"/>
  <c r="AK77"/>
  <c r="AJ78"/>
  <c r="AL78"/>
  <c r="AJ82"/>
  <c r="AL82"/>
  <c r="AJ86"/>
  <c r="AL86"/>
  <c r="AJ8" i="93"/>
  <c r="AL8"/>
  <c r="AJ9"/>
  <c r="AL9"/>
  <c r="AJ10"/>
  <c r="AL10"/>
  <c r="AJ11"/>
  <c r="AL11"/>
  <c r="AJ12"/>
  <c r="AL12"/>
  <c r="AK13"/>
  <c r="AJ14"/>
  <c r="AL14"/>
  <c r="AJ15"/>
  <c r="AL15"/>
  <c r="AJ16"/>
  <c r="AL16"/>
  <c r="AF16" s="1"/>
  <c r="Y16" s="1"/>
  <c r="AJ17"/>
  <c r="AL17"/>
  <c r="AJ18"/>
  <c r="AL18"/>
  <c r="AK19"/>
  <c r="AJ20"/>
  <c r="AL20"/>
  <c r="AJ21"/>
  <c r="AL21"/>
  <c r="AJ22"/>
  <c r="AL22"/>
  <c r="AJ23"/>
  <c r="AL23"/>
  <c r="AJ24"/>
  <c r="AL24"/>
  <c r="AK25"/>
  <c r="AJ26"/>
  <c r="AL26"/>
  <c r="AJ27"/>
  <c r="AL27"/>
  <c r="AJ28"/>
  <c r="AL28"/>
  <c r="AJ29"/>
  <c r="AL29"/>
  <c r="AJ30"/>
  <c r="AL30"/>
  <c r="AK31"/>
  <c r="AJ32"/>
  <c r="AL32"/>
  <c r="AJ33"/>
  <c r="AL33"/>
  <c r="AJ34"/>
  <c r="AL34"/>
  <c r="AJ35"/>
  <c r="AL35"/>
  <c r="AJ36"/>
  <c r="AL36"/>
  <c r="AK37"/>
  <c r="AJ38"/>
  <c r="AL38"/>
  <c r="AJ39"/>
  <c r="AL39"/>
  <c r="AJ40"/>
  <c r="AL40"/>
  <c r="AJ41"/>
  <c r="AL41"/>
  <c r="AF41" s="1"/>
  <c r="Y41" s="1"/>
  <c r="AJ42"/>
  <c r="AL42"/>
  <c r="AK43"/>
  <c r="AJ44"/>
  <c r="AL44"/>
  <c r="AF44" s="1"/>
  <c r="Y44" s="1"/>
  <c r="AJ45"/>
  <c r="AL45"/>
  <c r="AJ46"/>
  <c r="AL46"/>
  <c r="AJ47"/>
  <c r="AL47"/>
  <c r="AJ48"/>
  <c r="AL48"/>
  <c r="AK49"/>
  <c r="AJ50"/>
  <c r="AL50"/>
  <c r="AJ51"/>
  <c r="AL51"/>
  <c r="AJ52"/>
  <c r="AL52"/>
  <c r="AJ53"/>
  <c r="AL53"/>
  <c r="AJ54"/>
  <c r="AL54"/>
  <c r="AK55"/>
  <c r="AJ59"/>
  <c r="AL59"/>
  <c r="AJ60"/>
  <c r="AL60"/>
  <c r="AJ61"/>
  <c r="AL61"/>
  <c r="AJ62"/>
  <c r="AL62"/>
  <c r="AJ63"/>
  <c r="AL63"/>
  <c r="AJ64"/>
  <c r="AL64"/>
  <c r="AJ65"/>
  <c r="AL65"/>
  <c r="AJ66"/>
  <c r="AL66"/>
  <c r="AK70"/>
  <c r="AJ71"/>
  <c r="AL71"/>
  <c r="AK72"/>
  <c r="AJ73"/>
  <c r="AL73"/>
  <c r="AJ77"/>
  <c r="AL77"/>
  <c r="AK78"/>
  <c r="AK82"/>
  <c r="AK86"/>
  <c r="AK8" i="94"/>
  <c r="AK9"/>
  <c r="AK10"/>
  <c r="AK11"/>
  <c r="AK12"/>
  <c r="AJ13"/>
  <c r="AL13"/>
  <c r="AK14"/>
  <c r="AK15"/>
  <c r="AK16"/>
  <c r="AG17"/>
  <c r="AI17" s="1"/>
  <c r="AK17"/>
  <c r="AG18"/>
  <c r="AI18" s="1"/>
  <c r="AK18"/>
  <c r="AH19"/>
  <c r="AI19" s="1"/>
  <c r="AJ19"/>
  <c r="AF19" s="1"/>
  <c r="Y19" s="1"/>
  <c r="AG20"/>
  <c r="AI20" s="1"/>
  <c r="AK20"/>
  <c r="AG21"/>
  <c r="AI21" s="1"/>
  <c r="AK21"/>
  <c r="AL22"/>
  <c r="AK22"/>
  <c r="AL24"/>
  <c r="AK24"/>
  <c r="AF25"/>
  <c r="Y25" s="1"/>
  <c r="AJ25"/>
  <c r="AL26"/>
  <c r="AK26"/>
  <c r="AL28"/>
  <c r="AK28"/>
  <c r="AL30"/>
  <c r="AK30"/>
  <c r="AF31"/>
  <c r="Y31" s="1"/>
  <c r="AJ31"/>
  <c r="AL32"/>
  <c r="AK32"/>
  <c r="AL34"/>
  <c r="AK34"/>
  <c r="AL36"/>
  <c r="AK36"/>
  <c r="AF37"/>
  <c r="Y37" s="1"/>
  <c r="AJ37"/>
  <c r="AL38"/>
  <c r="AK38"/>
  <c r="AL40"/>
  <c r="AK40"/>
  <c r="AL42"/>
  <c r="AK42"/>
  <c r="AF43"/>
  <c r="Y43" s="1"/>
  <c r="AJ43"/>
  <c r="AL44"/>
  <c r="AK44"/>
  <c r="AI46"/>
  <c r="AI48"/>
  <c r="AI50"/>
  <c r="AI52"/>
  <c r="AI54"/>
  <c r="AI59"/>
  <c r="AI61"/>
  <c r="AI63"/>
  <c r="AF63" s="1"/>
  <c r="Y63" s="1"/>
  <c r="AI65"/>
  <c r="AI71"/>
  <c r="AI73"/>
  <c r="AF17" i="92"/>
  <c r="Y17" s="1"/>
  <c r="AJ17"/>
  <c r="AJ18"/>
  <c r="AF18" s="1"/>
  <c r="Y18" s="1"/>
  <c r="AF20"/>
  <c r="Y20" s="1"/>
  <c r="AJ20"/>
  <c r="AF21"/>
  <c r="Y21" s="1"/>
  <c r="AJ21"/>
  <c r="AF22"/>
  <c r="Y22" s="1"/>
  <c r="AJ22"/>
  <c r="AF23"/>
  <c r="Y23" s="1"/>
  <c r="AJ23"/>
  <c r="AF24"/>
  <c r="Y24" s="1"/>
  <c r="AJ24"/>
  <c r="AF26"/>
  <c r="Y26" s="1"/>
  <c r="AJ26"/>
  <c r="AF27"/>
  <c r="Y27" s="1"/>
  <c r="AJ27"/>
  <c r="AF28"/>
  <c r="Y28" s="1"/>
  <c r="AJ28"/>
  <c r="AF29"/>
  <c r="Y29" s="1"/>
  <c r="AJ29"/>
  <c r="AF30"/>
  <c r="Y30" s="1"/>
  <c r="AJ30"/>
  <c r="AF32"/>
  <c r="Y32" s="1"/>
  <c r="AJ32"/>
  <c r="AF33"/>
  <c r="Y33" s="1"/>
  <c r="AJ33"/>
  <c r="AF34"/>
  <c r="Y34" s="1"/>
  <c r="AJ34"/>
  <c r="AF35"/>
  <c r="Y35" s="1"/>
  <c r="AJ35"/>
  <c r="AF36"/>
  <c r="Y36" s="1"/>
  <c r="AJ36"/>
  <c r="AG37"/>
  <c r="AI37" s="1"/>
  <c r="AF37" s="1"/>
  <c r="Y37" s="1"/>
  <c r="AJ38"/>
  <c r="AF38" s="1"/>
  <c r="Y38" s="1"/>
  <c r="AF39"/>
  <c r="Y39" s="1"/>
  <c r="AJ39"/>
  <c r="AF40"/>
  <c r="Y40" s="1"/>
  <c r="AJ40"/>
  <c r="AF41"/>
  <c r="Y41" s="1"/>
  <c r="AJ41"/>
  <c r="AF42"/>
  <c r="Y42" s="1"/>
  <c r="AJ42"/>
  <c r="AG43"/>
  <c r="AI43" s="1"/>
  <c r="AF43" s="1"/>
  <c r="Y43" s="1"/>
  <c r="AF44"/>
  <c r="Y44" s="1"/>
  <c r="AJ44"/>
  <c r="AF45"/>
  <c r="Y45" s="1"/>
  <c r="AJ45"/>
  <c r="AJ46"/>
  <c r="AF46" s="1"/>
  <c r="Y46" s="1"/>
  <c r="AF47"/>
  <c r="Y47" s="1"/>
  <c r="AJ47"/>
  <c r="AJ48"/>
  <c r="AF48" s="1"/>
  <c r="Y48" s="1"/>
  <c r="AG49"/>
  <c r="AI49" s="1"/>
  <c r="AF49" s="1"/>
  <c r="Y49" s="1"/>
  <c r="AF50"/>
  <c r="Y50" s="1"/>
  <c r="AJ50"/>
  <c r="AJ51"/>
  <c r="AF51" s="1"/>
  <c r="Y51" s="1"/>
  <c r="AF52"/>
  <c r="Y52" s="1"/>
  <c r="AJ52"/>
  <c r="AF53"/>
  <c r="Y53" s="1"/>
  <c r="AJ53"/>
  <c r="AJ54"/>
  <c r="AF54" s="1"/>
  <c r="Y54" s="1"/>
  <c r="AG55"/>
  <c r="AI55" s="1"/>
  <c r="AF55" s="1"/>
  <c r="Y55" s="1"/>
  <c r="AJ59"/>
  <c r="AF59" s="1"/>
  <c r="Y59" s="1"/>
  <c r="AF60"/>
  <c r="Y60" s="1"/>
  <c r="AJ60"/>
  <c r="AJ61"/>
  <c r="AF61" s="1"/>
  <c r="Y61" s="1"/>
  <c r="AF62"/>
  <c r="Y62" s="1"/>
  <c r="AJ62"/>
  <c r="AF63"/>
  <c r="Y63" s="1"/>
  <c r="AJ63"/>
  <c r="AF64"/>
  <c r="Y64" s="1"/>
  <c r="AJ64"/>
  <c r="AF65"/>
  <c r="Y65" s="1"/>
  <c r="AJ65"/>
  <c r="AJ66"/>
  <c r="AF66" s="1"/>
  <c r="Y66" s="1"/>
  <c r="AG70"/>
  <c r="AI70" s="1"/>
  <c r="AF70" s="1"/>
  <c r="Y70" s="1"/>
  <c r="AF71"/>
  <c r="Y71" s="1"/>
  <c r="AJ71"/>
  <c r="AG72"/>
  <c r="AI72" s="1"/>
  <c r="AF72" s="1"/>
  <c r="Y72" s="1"/>
  <c r="AF73"/>
  <c r="Y73" s="1"/>
  <c r="AJ73"/>
  <c r="AF77"/>
  <c r="Y77" s="1"/>
  <c r="AJ77"/>
  <c r="AG78"/>
  <c r="AI78" s="1"/>
  <c r="AF78" s="1"/>
  <c r="Y78" s="1"/>
  <c r="AG82"/>
  <c r="AI82" s="1"/>
  <c r="AF82" s="1"/>
  <c r="Y82" s="1"/>
  <c r="AG86"/>
  <c r="AI86" s="1"/>
  <c r="AG8" i="93"/>
  <c r="AI8" s="1"/>
  <c r="AG9"/>
  <c r="AI9" s="1"/>
  <c r="AG10"/>
  <c r="AI10" s="1"/>
  <c r="AG11"/>
  <c r="AI11" s="1"/>
  <c r="AF11" s="1"/>
  <c r="Y11" s="1"/>
  <c r="AG12"/>
  <c r="AI12" s="1"/>
  <c r="AF12" s="1"/>
  <c r="Y12" s="1"/>
  <c r="AF13"/>
  <c r="Y13" s="1"/>
  <c r="AJ13"/>
  <c r="AG14"/>
  <c r="AI14" s="1"/>
  <c r="AF14" s="1"/>
  <c r="Y14" s="1"/>
  <c r="AG15"/>
  <c r="AI15" s="1"/>
  <c r="AF15" s="1"/>
  <c r="Y15" s="1"/>
  <c r="AG16"/>
  <c r="AI16" s="1"/>
  <c r="AG17"/>
  <c r="AI17" s="1"/>
  <c r="AF17" s="1"/>
  <c r="Y17" s="1"/>
  <c r="AG18"/>
  <c r="AI18" s="1"/>
  <c r="AF18" s="1"/>
  <c r="Y18" s="1"/>
  <c r="AJ19"/>
  <c r="AF19" s="1"/>
  <c r="Y19" s="1"/>
  <c r="AG20"/>
  <c r="AI20" s="1"/>
  <c r="AF20" s="1"/>
  <c r="Y20" s="1"/>
  <c r="AG21"/>
  <c r="AI21" s="1"/>
  <c r="AF21" s="1"/>
  <c r="Y21" s="1"/>
  <c r="AG22"/>
  <c r="AI22" s="1"/>
  <c r="AF22" s="1"/>
  <c r="Y22" s="1"/>
  <c r="AG23"/>
  <c r="AI23" s="1"/>
  <c r="AF23" s="1"/>
  <c r="Y23" s="1"/>
  <c r="AG24"/>
  <c r="AI24" s="1"/>
  <c r="AF24" s="1"/>
  <c r="Y24" s="1"/>
  <c r="AF25"/>
  <c r="Y25" s="1"/>
  <c r="AJ25"/>
  <c r="AG26"/>
  <c r="AI26" s="1"/>
  <c r="AF26" s="1"/>
  <c r="Y26" s="1"/>
  <c r="AG27"/>
  <c r="AI27" s="1"/>
  <c r="AG28"/>
  <c r="AI28" s="1"/>
  <c r="AF28" s="1"/>
  <c r="Y28" s="1"/>
  <c r="AG29"/>
  <c r="AI29" s="1"/>
  <c r="AF29" s="1"/>
  <c r="Y29" s="1"/>
  <c r="AG30"/>
  <c r="AI30" s="1"/>
  <c r="AF30" s="1"/>
  <c r="Y30" s="1"/>
  <c r="AF31"/>
  <c r="Y31" s="1"/>
  <c r="AJ31"/>
  <c r="AG32"/>
  <c r="AI32" s="1"/>
  <c r="AF32" s="1"/>
  <c r="Y32" s="1"/>
  <c r="AG33"/>
  <c r="AI33" s="1"/>
  <c r="AF33" s="1"/>
  <c r="Y33" s="1"/>
  <c r="AG34"/>
  <c r="AI34" s="1"/>
  <c r="AF34" s="1"/>
  <c r="Y34" s="1"/>
  <c r="AG35"/>
  <c r="AI35" s="1"/>
  <c r="AF35" s="1"/>
  <c r="Y35" s="1"/>
  <c r="AG36"/>
  <c r="AI36" s="1"/>
  <c r="AF36" s="1"/>
  <c r="Y36" s="1"/>
  <c r="AF37"/>
  <c r="Y37" s="1"/>
  <c r="AJ37"/>
  <c r="AG38"/>
  <c r="AI38" s="1"/>
  <c r="AF38" s="1"/>
  <c r="Y38" s="1"/>
  <c r="AG39"/>
  <c r="AI39" s="1"/>
  <c r="AF39" s="1"/>
  <c r="Y39" s="1"/>
  <c r="AG40"/>
  <c r="AI40" s="1"/>
  <c r="AF40" s="1"/>
  <c r="Y40" s="1"/>
  <c r="AG41"/>
  <c r="AI41" s="1"/>
  <c r="AG42"/>
  <c r="AI42" s="1"/>
  <c r="AF42" s="1"/>
  <c r="Y42" s="1"/>
  <c r="AJ43"/>
  <c r="AF43" s="1"/>
  <c r="Y43" s="1"/>
  <c r="AG44"/>
  <c r="AI44" s="1"/>
  <c r="AG45"/>
  <c r="AI45" s="1"/>
  <c r="AF45" s="1"/>
  <c r="Y45" s="1"/>
  <c r="AG46"/>
  <c r="AI46" s="1"/>
  <c r="AF46" s="1"/>
  <c r="Y46" s="1"/>
  <c r="AG47"/>
  <c r="AI47" s="1"/>
  <c r="AF47" s="1"/>
  <c r="Y47" s="1"/>
  <c r="AG48"/>
  <c r="AI48" s="1"/>
  <c r="AF48" s="1"/>
  <c r="Y48" s="1"/>
  <c r="AF49"/>
  <c r="Y49" s="1"/>
  <c r="AJ49"/>
  <c r="AG50"/>
  <c r="AI50" s="1"/>
  <c r="AF50" s="1"/>
  <c r="Y50" s="1"/>
  <c r="AG51"/>
  <c r="AI51" s="1"/>
  <c r="AF51" s="1"/>
  <c r="Y51" s="1"/>
  <c r="AG52"/>
  <c r="AI52" s="1"/>
  <c r="AF52" s="1"/>
  <c r="Y52" s="1"/>
  <c r="AG53"/>
  <c r="AI53" s="1"/>
  <c r="AG54"/>
  <c r="AI54" s="1"/>
  <c r="AF54" s="1"/>
  <c r="Y54" s="1"/>
  <c r="AF55"/>
  <c r="Y55" s="1"/>
  <c r="AJ55"/>
  <c r="BB58"/>
  <c r="AG59"/>
  <c r="AI59" s="1"/>
  <c r="AF59" s="1"/>
  <c r="Y59" s="1"/>
  <c r="AG60"/>
  <c r="AI60" s="1"/>
  <c r="AF60" s="1"/>
  <c r="Y60" s="1"/>
  <c r="AG61"/>
  <c r="AI61" s="1"/>
  <c r="AF61" s="1"/>
  <c r="Y61" s="1"/>
  <c r="AG62"/>
  <c r="AI62" s="1"/>
  <c r="AF62" s="1"/>
  <c r="Y62" s="1"/>
  <c r="AG63"/>
  <c r="AI63" s="1"/>
  <c r="AF63" s="1"/>
  <c r="Y63" s="1"/>
  <c r="AG64"/>
  <c r="AI64" s="1"/>
  <c r="AF64" s="1"/>
  <c r="Y64" s="1"/>
  <c r="AG65"/>
  <c r="AI65" s="1"/>
  <c r="AF65" s="1"/>
  <c r="Y65" s="1"/>
  <c r="AG66"/>
  <c r="AI66" s="1"/>
  <c r="AF66" s="1"/>
  <c r="Y66" s="1"/>
  <c r="AF70"/>
  <c r="Y70" s="1"/>
  <c r="AJ70"/>
  <c r="AG71"/>
  <c r="AI71" s="1"/>
  <c r="AF71" s="1"/>
  <c r="Y71" s="1"/>
  <c r="AF72"/>
  <c r="Y72" s="1"/>
  <c r="AJ72"/>
  <c r="AG73"/>
  <c r="AI73" s="1"/>
  <c r="AF73" s="1"/>
  <c r="Y73" s="1"/>
  <c r="AG77"/>
  <c r="AI77" s="1"/>
  <c r="AF77" s="1"/>
  <c r="Y77" s="1"/>
  <c r="AF78"/>
  <c r="Y78" s="1"/>
  <c r="AJ78"/>
  <c r="AF82"/>
  <c r="Y82" s="1"/>
  <c r="AJ82"/>
  <c r="AJ86"/>
  <c r="AF86" s="1"/>
  <c r="Y86" s="1"/>
  <c r="AJ8" i="94"/>
  <c r="AJ9"/>
  <c r="AJ10"/>
  <c r="AF11"/>
  <c r="Y11" s="1"/>
  <c r="AJ11"/>
  <c r="AF12"/>
  <c r="Y12" s="1"/>
  <c r="AJ12"/>
  <c r="AG13"/>
  <c r="AI13" s="1"/>
  <c r="AF13" s="1"/>
  <c r="Y13" s="1"/>
  <c r="AF14"/>
  <c r="Y14" s="1"/>
  <c r="AJ14"/>
  <c r="AJ15"/>
  <c r="AF15" s="1"/>
  <c r="Y15" s="1"/>
  <c r="AJ16"/>
  <c r="AF16" s="1"/>
  <c r="Y16" s="1"/>
  <c r="AJ17"/>
  <c r="AF17" s="1"/>
  <c r="Y17" s="1"/>
  <c r="AF18"/>
  <c r="Y18" s="1"/>
  <c r="AJ18"/>
  <c r="AF20"/>
  <c r="Y20" s="1"/>
  <c r="AJ20"/>
  <c r="AF21"/>
  <c r="Y21" s="1"/>
  <c r="AJ21"/>
  <c r="AI37" i="95"/>
  <c r="AK41"/>
  <c r="AG41"/>
  <c r="AI41" s="1"/>
  <c r="AK42"/>
  <c r="AG42"/>
  <c r="AI42" s="1"/>
  <c r="AK45"/>
  <c r="AG45"/>
  <c r="AI45" s="1"/>
  <c r="AF45" s="1"/>
  <c r="Y45" s="1"/>
  <c r="AK46"/>
  <c r="AG46"/>
  <c r="AI46" s="1"/>
  <c r="AK47"/>
  <c r="AG47"/>
  <c r="AI47" s="1"/>
  <c r="AK48"/>
  <c r="AG48"/>
  <c r="AI48" s="1"/>
  <c r="AK51"/>
  <c r="AG51"/>
  <c r="AI51" s="1"/>
  <c r="AK52"/>
  <c r="AG52"/>
  <c r="AI52" s="1"/>
  <c r="AK53"/>
  <c r="AG53"/>
  <c r="AI53" s="1"/>
  <c r="AK54"/>
  <c r="AG54"/>
  <c r="AI54" s="1"/>
  <c r="BA69"/>
  <c r="BB69" s="1"/>
  <c r="BB58"/>
  <c r="AK59"/>
  <c r="AG59"/>
  <c r="AI59" s="1"/>
  <c r="AK61"/>
  <c r="AG61"/>
  <c r="AI61" s="1"/>
  <c r="AK63"/>
  <c r="AG63"/>
  <c r="AI63" s="1"/>
  <c r="AF63" s="1"/>
  <c r="Y63" s="1"/>
  <c r="AK65"/>
  <c r="AG65"/>
  <c r="AI65" s="1"/>
  <c r="AH21" i="96"/>
  <c r="AI21" s="1"/>
  <c r="AK21"/>
  <c r="AH23"/>
  <c r="AI23" s="1"/>
  <c r="AK23"/>
  <c r="AK25"/>
  <c r="AG25"/>
  <c r="AI25" s="1"/>
  <c r="AL25"/>
  <c r="AK46" i="94"/>
  <c r="AK47"/>
  <c r="AK48"/>
  <c r="AJ49"/>
  <c r="AL49"/>
  <c r="AK50"/>
  <c r="AK51"/>
  <c r="AK52"/>
  <c r="AK53"/>
  <c r="AK54"/>
  <c r="AJ55"/>
  <c r="AL55"/>
  <c r="AK59"/>
  <c r="AK60"/>
  <c r="AK61"/>
  <c r="AK62"/>
  <c r="AK63"/>
  <c r="AK64"/>
  <c r="AK65"/>
  <c r="AK66"/>
  <c r="AJ70"/>
  <c r="AL70"/>
  <c r="AK71"/>
  <c r="AJ72"/>
  <c r="AL72"/>
  <c r="AK73"/>
  <c r="AK77"/>
  <c r="AJ78"/>
  <c r="AL78"/>
  <c r="AJ82"/>
  <c r="AL82"/>
  <c r="AJ86"/>
  <c r="AL86"/>
  <c r="AJ8" i="95"/>
  <c r="AL8"/>
  <c r="AJ9"/>
  <c r="AL9"/>
  <c r="AJ10"/>
  <c r="AL10"/>
  <c r="AJ11"/>
  <c r="AL11"/>
  <c r="AJ12"/>
  <c r="AL12"/>
  <c r="AK13"/>
  <c r="AJ14"/>
  <c r="AL14"/>
  <c r="AJ15"/>
  <c r="AL15"/>
  <c r="AF16"/>
  <c r="Y16" s="1"/>
  <c r="AJ16"/>
  <c r="AL16"/>
  <c r="AJ17"/>
  <c r="AL17"/>
  <c r="AJ18"/>
  <c r="AL18"/>
  <c r="AK19"/>
  <c r="AJ20"/>
  <c r="AL20"/>
  <c r="AJ21"/>
  <c r="AL21"/>
  <c r="AJ22"/>
  <c r="AL22"/>
  <c r="AJ23"/>
  <c r="AL23"/>
  <c r="AJ24"/>
  <c r="AL24"/>
  <c r="AK25"/>
  <c r="AJ26"/>
  <c r="AL26"/>
  <c r="AJ27"/>
  <c r="AL27"/>
  <c r="AJ28"/>
  <c r="AL28"/>
  <c r="AJ29"/>
  <c r="AL29"/>
  <c r="AJ30"/>
  <c r="AL30"/>
  <c r="AK31"/>
  <c r="AF32"/>
  <c r="Y32" s="1"/>
  <c r="AJ32"/>
  <c r="AL32"/>
  <c r="AJ33"/>
  <c r="AL33"/>
  <c r="AJ34"/>
  <c r="AL34"/>
  <c r="AJ35"/>
  <c r="AL35"/>
  <c r="AJ36"/>
  <c r="AL36"/>
  <c r="AK37"/>
  <c r="AJ38"/>
  <c r="AL38"/>
  <c r="AJ39"/>
  <c r="AL39"/>
  <c r="AJ40"/>
  <c r="AL40"/>
  <c r="AJ41"/>
  <c r="AJ42"/>
  <c r="AJ45"/>
  <c r="AJ46"/>
  <c r="AJ47"/>
  <c r="AJ48"/>
  <c r="AJ51"/>
  <c r="AJ52"/>
  <c r="AJ53"/>
  <c r="AJ54"/>
  <c r="AJ59"/>
  <c r="AJ61"/>
  <c r="AJ63"/>
  <c r="AJ65"/>
  <c r="AF25" i="96"/>
  <c r="Y25" s="1"/>
  <c r="AJ25"/>
  <c r="AK44" i="95"/>
  <c r="AG44"/>
  <c r="AI44" s="1"/>
  <c r="AK50"/>
  <c r="AG50"/>
  <c r="AI50" s="1"/>
  <c r="AK60"/>
  <c r="AG60"/>
  <c r="AI60" s="1"/>
  <c r="AK62"/>
  <c r="AG62"/>
  <c r="AI62" s="1"/>
  <c r="AK64"/>
  <c r="AG64"/>
  <c r="AI64" s="1"/>
  <c r="AK66"/>
  <c r="AG66"/>
  <c r="AI66" s="1"/>
  <c r="AK71"/>
  <c r="AG71"/>
  <c r="AI71" s="1"/>
  <c r="AK73"/>
  <c r="AG73"/>
  <c r="AI73" s="1"/>
  <c r="AK77"/>
  <c r="AG77"/>
  <c r="AI77" s="1"/>
  <c r="AK13" i="96"/>
  <c r="AG13"/>
  <c r="AI13" s="1"/>
  <c r="AH17"/>
  <c r="AI17" s="1"/>
  <c r="AK17"/>
  <c r="AK19"/>
  <c r="AG19"/>
  <c r="AI19" s="1"/>
  <c r="AL19"/>
  <c r="AH27"/>
  <c r="AI27" s="1"/>
  <c r="AK27"/>
  <c r="AH29"/>
  <c r="AI29" s="1"/>
  <c r="AK29"/>
  <c r="AK31"/>
  <c r="AG31"/>
  <c r="AI31" s="1"/>
  <c r="AL31"/>
  <c r="AF22" i="94"/>
  <c r="Y22" s="1"/>
  <c r="AJ22"/>
  <c r="AF23"/>
  <c r="Y23" s="1"/>
  <c r="AJ23"/>
  <c r="AF24"/>
  <c r="Y24" s="1"/>
  <c r="AJ24"/>
  <c r="AF26"/>
  <c r="Y26" s="1"/>
  <c r="AJ26"/>
  <c r="AF27"/>
  <c r="Y27" s="1"/>
  <c r="AJ27"/>
  <c r="AF28"/>
  <c r="Y28" s="1"/>
  <c r="AJ28"/>
  <c r="AJ29"/>
  <c r="AF29" s="1"/>
  <c r="Y29" s="1"/>
  <c r="AJ30"/>
  <c r="AF30" s="1"/>
  <c r="Y30" s="1"/>
  <c r="AJ32"/>
  <c r="AF32" s="1"/>
  <c r="Y32" s="1"/>
  <c r="AJ33"/>
  <c r="AF33" s="1"/>
  <c r="Y33" s="1"/>
  <c r="AF34"/>
  <c r="Y34" s="1"/>
  <c r="AJ34"/>
  <c r="AF35"/>
  <c r="Y35" s="1"/>
  <c r="AJ35"/>
  <c r="AF36"/>
  <c r="Y36" s="1"/>
  <c r="AJ36"/>
  <c r="AF38"/>
  <c r="Y38" s="1"/>
  <c r="AJ38"/>
  <c r="AF39"/>
  <c r="Y39" s="1"/>
  <c r="AJ39"/>
  <c r="AJ40"/>
  <c r="AF40" s="1"/>
  <c r="Y40" s="1"/>
  <c r="AF41"/>
  <c r="Y41" s="1"/>
  <c r="AJ41"/>
  <c r="AJ42"/>
  <c r="AF42" s="1"/>
  <c r="Y42" s="1"/>
  <c r="AF44"/>
  <c r="Y44" s="1"/>
  <c r="AJ44"/>
  <c r="AJ45"/>
  <c r="AF45" s="1"/>
  <c r="Y45" s="1"/>
  <c r="AJ46"/>
  <c r="AF46" s="1"/>
  <c r="Y46" s="1"/>
  <c r="AF47"/>
  <c r="Y47" s="1"/>
  <c r="AJ47"/>
  <c r="AF48"/>
  <c r="Y48" s="1"/>
  <c r="AJ48"/>
  <c r="AG49"/>
  <c r="AI49" s="1"/>
  <c r="AF49" s="1"/>
  <c r="Y49" s="1"/>
  <c r="AJ50"/>
  <c r="AF50" s="1"/>
  <c r="Y50" s="1"/>
  <c r="AF51"/>
  <c r="Y51" s="1"/>
  <c r="AJ51"/>
  <c r="AF52"/>
  <c r="Y52" s="1"/>
  <c r="AJ52"/>
  <c r="AF53"/>
  <c r="Y53" s="1"/>
  <c r="AJ53"/>
  <c r="AF54"/>
  <c r="Y54" s="1"/>
  <c r="AJ54"/>
  <c r="AG55"/>
  <c r="AI55" s="1"/>
  <c r="AF55" s="1"/>
  <c r="Y55" s="1"/>
  <c r="AJ59"/>
  <c r="AF59" s="1"/>
  <c r="Y59" s="1"/>
  <c r="AF60"/>
  <c r="Y60" s="1"/>
  <c r="AJ60"/>
  <c r="AF61"/>
  <c r="Y61" s="1"/>
  <c r="AJ61"/>
  <c r="AF62"/>
  <c r="Y62" s="1"/>
  <c r="AJ62"/>
  <c r="AJ63"/>
  <c r="AJ64"/>
  <c r="AF64" s="1"/>
  <c r="Y64" s="1"/>
  <c r="AF65"/>
  <c r="Y65" s="1"/>
  <c r="AJ65"/>
  <c r="AF66"/>
  <c r="Y66" s="1"/>
  <c r="AJ66"/>
  <c r="AG70"/>
  <c r="AI70" s="1"/>
  <c r="AF70" s="1"/>
  <c r="Y70" s="1"/>
  <c r="AJ71"/>
  <c r="AF71" s="1"/>
  <c r="Y71" s="1"/>
  <c r="AG72"/>
  <c r="AI72" s="1"/>
  <c r="AF72" s="1"/>
  <c r="Y72" s="1"/>
  <c r="AF73"/>
  <c r="Y73" s="1"/>
  <c r="AJ73"/>
  <c r="AJ77"/>
  <c r="AF77" s="1"/>
  <c r="Y77" s="1"/>
  <c r="AG78"/>
  <c r="AI78" s="1"/>
  <c r="AF78" s="1"/>
  <c r="Y78" s="1"/>
  <c r="AG82"/>
  <c r="AI82" s="1"/>
  <c r="AF82" s="1"/>
  <c r="Y82" s="1"/>
  <c r="AG86"/>
  <c r="AI86" s="1"/>
  <c r="AF86" s="1"/>
  <c r="Y86" s="1"/>
  <c r="AG8" i="95"/>
  <c r="AI8" s="1"/>
  <c r="AG9"/>
  <c r="AI9" s="1"/>
  <c r="AG10"/>
  <c r="AI10" s="1"/>
  <c r="AG11"/>
  <c r="AI11" s="1"/>
  <c r="AF11" s="1"/>
  <c r="Y11" s="1"/>
  <c r="AG12"/>
  <c r="AI12" s="1"/>
  <c r="AF12" s="1"/>
  <c r="Y12" s="1"/>
  <c r="AF13"/>
  <c r="Y13" s="1"/>
  <c r="AJ13"/>
  <c r="AG14"/>
  <c r="AI14" s="1"/>
  <c r="AF14" s="1"/>
  <c r="Y14" s="1"/>
  <c r="AG15"/>
  <c r="AI15" s="1"/>
  <c r="AF15" s="1"/>
  <c r="Y15" s="1"/>
  <c r="AG16"/>
  <c r="AI16" s="1"/>
  <c r="AG17"/>
  <c r="AI17" s="1"/>
  <c r="AF17" s="1"/>
  <c r="Y17" s="1"/>
  <c r="AG18"/>
  <c r="AI18" s="1"/>
  <c r="AF18" s="1"/>
  <c r="Y18" s="1"/>
  <c r="AJ19"/>
  <c r="AF19" s="1"/>
  <c r="Y19" s="1"/>
  <c r="AG20"/>
  <c r="AI20" s="1"/>
  <c r="AF20" s="1"/>
  <c r="Y20" s="1"/>
  <c r="AG21"/>
  <c r="AI21" s="1"/>
  <c r="AF21" s="1"/>
  <c r="Y21" s="1"/>
  <c r="AG22"/>
  <c r="AI22" s="1"/>
  <c r="AF22" s="1"/>
  <c r="Y22" s="1"/>
  <c r="AG23"/>
  <c r="AI23" s="1"/>
  <c r="AF23" s="1"/>
  <c r="Y23" s="1"/>
  <c r="AG24"/>
  <c r="AI24" s="1"/>
  <c r="AF24" s="1"/>
  <c r="Y24" s="1"/>
  <c r="AF25"/>
  <c r="Y25" s="1"/>
  <c r="AJ25"/>
  <c r="AG26"/>
  <c r="AI26" s="1"/>
  <c r="AF26" s="1"/>
  <c r="Y26" s="1"/>
  <c r="AG27"/>
  <c r="AI27" s="1"/>
  <c r="AG28"/>
  <c r="AI28" s="1"/>
  <c r="AF28" s="1"/>
  <c r="Y28" s="1"/>
  <c r="AG29"/>
  <c r="AI29" s="1"/>
  <c r="AF29" s="1"/>
  <c r="Y29" s="1"/>
  <c r="AG30"/>
  <c r="AI30" s="1"/>
  <c r="AF30" s="1"/>
  <c r="Y30" s="1"/>
  <c r="AF31"/>
  <c r="Y31" s="1"/>
  <c r="AJ31"/>
  <c r="AG32"/>
  <c r="AI32" s="1"/>
  <c r="AG33"/>
  <c r="AI33" s="1"/>
  <c r="AF33" s="1"/>
  <c r="Y33" s="1"/>
  <c r="AG34"/>
  <c r="AI34" s="1"/>
  <c r="AF34" s="1"/>
  <c r="Y34" s="1"/>
  <c r="AG35"/>
  <c r="AI35" s="1"/>
  <c r="AF35" s="1"/>
  <c r="Y35" s="1"/>
  <c r="AG36"/>
  <c r="AI36" s="1"/>
  <c r="AF36" s="1"/>
  <c r="Y36" s="1"/>
  <c r="AF37"/>
  <c r="Y37" s="1"/>
  <c r="AJ37"/>
  <c r="AG38"/>
  <c r="AI38" s="1"/>
  <c r="AF38" s="1"/>
  <c r="Y38" s="1"/>
  <c r="AG39"/>
  <c r="AI39" s="1"/>
  <c r="AF39" s="1"/>
  <c r="Y39" s="1"/>
  <c r="AG40"/>
  <c r="AI40" s="1"/>
  <c r="AF40" s="1"/>
  <c r="Y40" s="1"/>
  <c r="AL41"/>
  <c r="AF41" s="1"/>
  <c r="Y41" s="1"/>
  <c r="AL42"/>
  <c r="AF42" s="1"/>
  <c r="Y42" s="1"/>
  <c r="AL43"/>
  <c r="AK43"/>
  <c r="AJ44"/>
  <c r="AF44" s="1"/>
  <c r="Y44" s="1"/>
  <c r="AL45"/>
  <c r="AL46"/>
  <c r="AF46" s="1"/>
  <c r="Y46" s="1"/>
  <c r="AL47"/>
  <c r="AF47" s="1"/>
  <c r="Y47" s="1"/>
  <c r="AL48"/>
  <c r="AF48" s="1"/>
  <c r="Y48" s="1"/>
  <c r="AL49"/>
  <c r="AK49"/>
  <c r="AF50"/>
  <c r="Y50" s="1"/>
  <c r="AJ50"/>
  <c r="AL51"/>
  <c r="AF51" s="1"/>
  <c r="Y51" s="1"/>
  <c r="AL52"/>
  <c r="AF52" s="1"/>
  <c r="Y52" s="1"/>
  <c r="AL53"/>
  <c r="AF53" s="1"/>
  <c r="Y53" s="1"/>
  <c r="AL54"/>
  <c r="AF54" s="1"/>
  <c r="Y54" s="1"/>
  <c r="AL55"/>
  <c r="AK55"/>
  <c r="AL59"/>
  <c r="AF59" s="1"/>
  <c r="Y59" s="1"/>
  <c r="AF60"/>
  <c r="Y60" s="1"/>
  <c r="AJ60"/>
  <c r="AL61"/>
  <c r="AF61" s="1"/>
  <c r="Y61" s="1"/>
  <c r="AJ62"/>
  <c r="AF62" s="1"/>
  <c r="Y62" s="1"/>
  <c r="AL63"/>
  <c r="AF64"/>
  <c r="Y64" s="1"/>
  <c r="AJ64"/>
  <c r="AL65"/>
  <c r="AF65" s="1"/>
  <c r="Y65" s="1"/>
  <c r="AF66"/>
  <c r="Y66" s="1"/>
  <c r="AJ66"/>
  <c r="AL70"/>
  <c r="AK70"/>
  <c r="AF71"/>
  <c r="Y71" s="1"/>
  <c r="AJ71"/>
  <c r="AL72"/>
  <c r="AK72"/>
  <c r="AF73"/>
  <c r="Y73" s="1"/>
  <c r="AJ73"/>
  <c r="AJ77"/>
  <c r="AF77" s="1"/>
  <c r="Y77" s="1"/>
  <c r="AL78"/>
  <c r="AK78"/>
  <c r="AL82"/>
  <c r="AK82"/>
  <c r="AL86"/>
  <c r="AK86"/>
  <c r="AL8" i="96"/>
  <c r="AK8"/>
  <c r="AL10"/>
  <c r="AK10"/>
  <c r="AL12"/>
  <c r="AK12"/>
  <c r="AF13"/>
  <c r="Y13" s="1"/>
  <c r="AJ13"/>
  <c r="AL14"/>
  <c r="AK14"/>
  <c r="AJ19"/>
  <c r="AF19" s="1"/>
  <c r="Y19" s="1"/>
  <c r="AF31"/>
  <c r="Y31" s="1"/>
  <c r="AJ31"/>
  <c r="AL15"/>
  <c r="AJ15"/>
  <c r="AJ43" i="95"/>
  <c r="AF43" s="1"/>
  <c r="Y43" s="1"/>
  <c r="AF49"/>
  <c r="Y49" s="1"/>
  <c r="AJ49"/>
  <c r="AF55"/>
  <c r="Y55" s="1"/>
  <c r="AJ55"/>
  <c r="AF70"/>
  <c r="Y70" s="1"/>
  <c r="AJ70"/>
  <c r="AF72"/>
  <c r="Y72" s="1"/>
  <c r="AJ72"/>
  <c r="AF78"/>
  <c r="Y78" s="1"/>
  <c r="AJ78"/>
  <c r="AF82"/>
  <c r="Y82" s="1"/>
  <c r="AJ82"/>
  <c r="AJ86"/>
  <c r="AJ8" i="96"/>
  <c r="AJ9"/>
  <c r="AF9" s="1"/>
  <c r="Y9" s="1"/>
  <c r="AJ10"/>
  <c r="AF11"/>
  <c r="Y11" s="1"/>
  <c r="AJ11"/>
  <c r="AF12"/>
  <c r="Y12" s="1"/>
  <c r="AJ12"/>
  <c r="AF14"/>
  <c r="Y14" s="1"/>
  <c r="AJ14"/>
  <c r="AF15"/>
  <c r="Y15" s="1"/>
  <c r="AK15"/>
  <c r="AL17"/>
  <c r="AL21"/>
  <c r="AL23"/>
  <c r="AL27"/>
  <c r="AL29"/>
  <c r="AI55"/>
  <c r="AJ16"/>
  <c r="AF16" s="1"/>
  <c r="Y16" s="1"/>
  <c r="AJ17"/>
  <c r="AF17" s="1"/>
  <c r="Y17" s="1"/>
  <c r="AF18"/>
  <c r="Y18" s="1"/>
  <c r="AJ18"/>
  <c r="AF20"/>
  <c r="Y20" s="1"/>
  <c r="AJ20"/>
  <c r="AJ21"/>
  <c r="AF21" s="1"/>
  <c r="Y21" s="1"/>
  <c r="AF22"/>
  <c r="Y22" s="1"/>
  <c r="AJ22"/>
  <c r="AJ23"/>
  <c r="AF23" s="1"/>
  <c r="Y23" s="1"/>
  <c r="AF24"/>
  <c r="Y24" s="1"/>
  <c r="AJ24"/>
  <c r="AF26"/>
  <c r="Y26" s="1"/>
  <c r="AJ26"/>
  <c r="AF27"/>
  <c r="Y27" s="1"/>
  <c r="AJ27"/>
  <c r="AJ28"/>
  <c r="AF28" s="1"/>
  <c r="Y28" s="1"/>
  <c r="AJ29"/>
  <c r="AF29" s="1"/>
  <c r="Y29" s="1"/>
  <c r="AF30"/>
  <c r="Y30" s="1"/>
  <c r="AJ30"/>
  <c r="AJ32"/>
  <c r="AF32" s="1"/>
  <c r="Y32" s="1"/>
  <c r="AH33"/>
  <c r="AI33" s="1"/>
  <c r="AJ33"/>
  <c r="AH34"/>
  <c r="AI34" s="1"/>
  <c r="AJ34"/>
  <c r="AH35"/>
  <c r="AI35" s="1"/>
  <c r="AJ35"/>
  <c r="AH36"/>
  <c r="AI36" s="1"/>
  <c r="AJ36"/>
  <c r="AG37"/>
  <c r="AI37" s="1"/>
  <c r="AK37"/>
  <c r="AH38"/>
  <c r="AI38" s="1"/>
  <c r="AF38" s="1"/>
  <c r="Y38" s="1"/>
  <c r="AJ38"/>
  <c r="AH39"/>
  <c r="AI39" s="1"/>
  <c r="AJ39"/>
  <c r="AH40"/>
  <c r="AI40" s="1"/>
  <c r="AJ40"/>
  <c r="AH41"/>
  <c r="AI41" s="1"/>
  <c r="AJ41"/>
  <c r="AF41" s="1"/>
  <c r="Y41" s="1"/>
  <c r="AH42"/>
  <c r="AI42" s="1"/>
  <c r="AF42" s="1"/>
  <c r="Y42" s="1"/>
  <c r="AJ42"/>
  <c r="AG43"/>
  <c r="AI43" s="1"/>
  <c r="AK43"/>
  <c r="AH44"/>
  <c r="AI44" s="1"/>
  <c r="AJ44"/>
  <c r="AH45"/>
  <c r="AI45" s="1"/>
  <c r="AJ45"/>
  <c r="AF45" s="1"/>
  <c r="Y45" s="1"/>
  <c r="AH46"/>
  <c r="AI46" s="1"/>
  <c r="AJ46"/>
  <c r="AH47"/>
  <c r="AI47" s="1"/>
  <c r="AF47" s="1"/>
  <c r="Y47" s="1"/>
  <c r="AJ47"/>
  <c r="AH48"/>
  <c r="AI48" s="1"/>
  <c r="AF48" s="1"/>
  <c r="Y48" s="1"/>
  <c r="AJ48"/>
  <c r="AG49"/>
  <c r="AI49" s="1"/>
  <c r="AK49"/>
  <c r="AH50"/>
  <c r="AI50" s="1"/>
  <c r="AJ50"/>
  <c r="AH51"/>
  <c r="AI51" s="1"/>
  <c r="AF51" s="1"/>
  <c r="Y51" s="1"/>
  <c r="AJ51"/>
  <c r="AH52"/>
  <c r="AI52" s="1"/>
  <c r="AJ52"/>
  <c r="AH53"/>
  <c r="AI53" s="1"/>
  <c r="AF53" s="1"/>
  <c r="Y53" s="1"/>
  <c r="AJ53"/>
  <c r="AJ54"/>
  <c r="AL54"/>
  <c r="AK55"/>
  <c r="AJ59"/>
  <c r="AL59"/>
  <c r="AJ60"/>
  <c r="AL60"/>
  <c r="AJ61"/>
  <c r="AL61"/>
  <c r="AJ62"/>
  <c r="AL62"/>
  <c r="AJ63"/>
  <c r="AL63"/>
  <c r="AJ64"/>
  <c r="AL64"/>
  <c r="AJ65"/>
  <c r="AL65"/>
  <c r="AJ66"/>
  <c r="AL66"/>
  <c r="AG70"/>
  <c r="AI70" s="1"/>
  <c r="AK70"/>
  <c r="AJ71"/>
  <c r="AL71"/>
  <c r="AG72"/>
  <c r="AI72" s="1"/>
  <c r="AK72"/>
  <c r="AJ73"/>
  <c r="AL73"/>
  <c r="AJ77"/>
  <c r="AL77"/>
  <c r="AG78"/>
  <c r="AI78" s="1"/>
  <c r="AK78"/>
  <c r="AG82"/>
  <c r="AI82" s="1"/>
  <c r="AK82"/>
  <c r="AG86"/>
  <c r="AI86" s="1"/>
  <c r="AK86"/>
  <c r="AF37"/>
  <c r="Y37" s="1"/>
  <c r="AJ37"/>
  <c r="AJ43"/>
  <c r="AF43" s="1"/>
  <c r="Y43" s="1"/>
  <c r="AF49"/>
  <c r="Y49" s="1"/>
  <c r="AJ49"/>
  <c r="AG54"/>
  <c r="AI54" s="1"/>
  <c r="AF54" s="1"/>
  <c r="Y54" s="1"/>
  <c r="AF55"/>
  <c r="Y55" s="1"/>
  <c r="AJ55"/>
  <c r="BB58"/>
  <c r="S3" s="1"/>
  <c r="H69" i="22" s="1"/>
  <c r="AG59" i="96"/>
  <c r="AI59" s="1"/>
  <c r="AF59" s="1"/>
  <c r="Y59" s="1"/>
  <c r="AG60"/>
  <c r="AI60" s="1"/>
  <c r="AF60" s="1"/>
  <c r="Y60" s="1"/>
  <c r="AG61"/>
  <c r="AI61" s="1"/>
  <c r="AF61" s="1"/>
  <c r="Y61" s="1"/>
  <c r="AG62"/>
  <c r="AI62" s="1"/>
  <c r="AF62" s="1"/>
  <c r="Y62" s="1"/>
  <c r="AG63"/>
  <c r="AI63" s="1"/>
  <c r="AF63" s="1"/>
  <c r="Y63" s="1"/>
  <c r="AG64"/>
  <c r="AI64" s="1"/>
  <c r="AF64" s="1"/>
  <c r="Y64" s="1"/>
  <c r="AG65"/>
  <c r="AI65" s="1"/>
  <c r="AF65" s="1"/>
  <c r="Y65" s="1"/>
  <c r="AG66"/>
  <c r="AI66" s="1"/>
  <c r="AF66" s="1"/>
  <c r="Y66" s="1"/>
  <c r="AF70"/>
  <c r="Y70" s="1"/>
  <c r="AJ70"/>
  <c r="AG71"/>
  <c r="AI71" s="1"/>
  <c r="AF71" s="1"/>
  <c r="Y71" s="1"/>
  <c r="AF72"/>
  <c r="Y72" s="1"/>
  <c r="AJ72"/>
  <c r="AG73"/>
  <c r="AI73" s="1"/>
  <c r="AF73" s="1"/>
  <c r="Y73" s="1"/>
  <c r="AG77"/>
  <c r="AI77" s="1"/>
  <c r="AF77" s="1"/>
  <c r="Y77" s="1"/>
  <c r="AJ78"/>
  <c r="AF78" s="1"/>
  <c r="Y78" s="1"/>
  <c r="AF82"/>
  <c r="Y82" s="1"/>
  <c r="AJ82"/>
  <c r="AJ86"/>
  <c r="AF86" s="1"/>
  <c r="Y86" s="1"/>
  <c r="U3" i="76"/>
  <c r="Q3"/>
  <c r="F14" i="22" s="1"/>
  <c r="AI29" i="76"/>
  <c r="AI32"/>
  <c r="BA69"/>
  <c r="BB69" s="1"/>
  <c r="AK13" i="82"/>
  <c r="AG13"/>
  <c r="AI13" s="1"/>
  <c r="AK19"/>
  <c r="AG19"/>
  <c r="AI19" s="1"/>
  <c r="AJ13"/>
  <c r="AJ19"/>
  <c r="AF19" s="1"/>
  <c r="Y19" s="1"/>
  <c r="AK20"/>
  <c r="AH20"/>
  <c r="AI20" s="1"/>
  <c r="AL9"/>
  <c r="AK9"/>
  <c r="AL11"/>
  <c r="AK11"/>
  <c r="AL13"/>
  <c r="AF13" s="1"/>
  <c r="Y13" s="1"/>
  <c r="AL15"/>
  <c r="AK15"/>
  <c r="AL17"/>
  <c r="AK17"/>
  <c r="AL19"/>
  <c r="AL20" i="84"/>
  <c r="AJ20"/>
  <c r="AJ8" i="82"/>
  <c r="AF8" s="1"/>
  <c r="AJ9"/>
  <c r="AF9" s="1"/>
  <c r="Y9" s="1"/>
  <c r="AJ10"/>
  <c r="AF10" s="1"/>
  <c r="Y10" s="1"/>
  <c r="AJ11"/>
  <c r="AF11" s="1"/>
  <c r="Y11" s="1"/>
  <c r="AF12"/>
  <c r="Y12" s="1"/>
  <c r="AJ12"/>
  <c r="AF14"/>
  <c r="Y14" s="1"/>
  <c r="AJ14"/>
  <c r="AF15"/>
  <c r="Y15" s="1"/>
  <c r="AJ15"/>
  <c r="AF16"/>
  <c r="Y16" s="1"/>
  <c r="AJ16"/>
  <c r="AF17"/>
  <c r="Y17" s="1"/>
  <c r="AJ17"/>
  <c r="AJ18"/>
  <c r="AF18" s="1"/>
  <c r="Y18" s="1"/>
  <c r="AJ20"/>
  <c r="AF20" s="1"/>
  <c r="Y20" s="1"/>
  <c r="AH21"/>
  <c r="AI21" s="1"/>
  <c r="AF21" s="1"/>
  <c r="Y21" s="1"/>
  <c r="AJ21"/>
  <c r="AH22"/>
  <c r="AI22" s="1"/>
  <c r="AJ22"/>
  <c r="AH23"/>
  <c r="AI23" s="1"/>
  <c r="AF23" s="1"/>
  <c r="Y23" s="1"/>
  <c r="AJ23"/>
  <c r="AH24"/>
  <c r="AI24" s="1"/>
  <c r="AF24" s="1"/>
  <c r="Y24" s="1"/>
  <c r="AJ24"/>
  <c r="AG25"/>
  <c r="AI25" s="1"/>
  <c r="AK25"/>
  <c r="AH26"/>
  <c r="AI26" s="1"/>
  <c r="AF26" s="1"/>
  <c r="Y26" s="1"/>
  <c r="AJ26"/>
  <c r="AH27"/>
  <c r="AI27" s="1"/>
  <c r="AJ27"/>
  <c r="AF27" s="1"/>
  <c r="Y27" s="1"/>
  <c r="AH28"/>
  <c r="AI28" s="1"/>
  <c r="AF28" s="1"/>
  <c r="Y28" s="1"/>
  <c r="AJ28"/>
  <c r="AH29"/>
  <c r="AI29" s="1"/>
  <c r="AJ29"/>
  <c r="AH30"/>
  <c r="AI30" s="1"/>
  <c r="AJ30"/>
  <c r="AG31"/>
  <c r="AI31" s="1"/>
  <c r="AK31"/>
  <c r="AH32"/>
  <c r="AI32" s="1"/>
  <c r="AJ32"/>
  <c r="AH33"/>
  <c r="AI33" s="1"/>
  <c r="AJ33"/>
  <c r="AH34"/>
  <c r="AI34" s="1"/>
  <c r="AF34" s="1"/>
  <c r="Y34" s="1"/>
  <c r="AJ34"/>
  <c r="AH35"/>
  <c r="AI35" s="1"/>
  <c r="AJ35"/>
  <c r="AH36"/>
  <c r="AI36" s="1"/>
  <c r="AF36" s="1"/>
  <c r="Y36" s="1"/>
  <c r="AJ36"/>
  <c r="AG37"/>
  <c r="AI37" s="1"/>
  <c r="AK37"/>
  <c r="AH38"/>
  <c r="AI38" s="1"/>
  <c r="AJ38"/>
  <c r="AH39"/>
  <c r="AI39" s="1"/>
  <c r="AJ39"/>
  <c r="AH40"/>
  <c r="AI40" s="1"/>
  <c r="AF40" s="1"/>
  <c r="Y40" s="1"/>
  <c r="AJ40"/>
  <c r="AH41"/>
  <c r="AI41" s="1"/>
  <c r="AJ41"/>
  <c r="AF41" s="1"/>
  <c r="Y41" s="1"/>
  <c r="AH42"/>
  <c r="AI42" s="1"/>
  <c r="AJ42"/>
  <c r="AG43"/>
  <c r="AI43" s="1"/>
  <c r="AK43"/>
  <c r="AH44"/>
  <c r="AI44" s="1"/>
  <c r="AJ44"/>
  <c r="AH45"/>
  <c r="AI45" s="1"/>
  <c r="AJ45"/>
  <c r="AH46"/>
  <c r="AI46" s="1"/>
  <c r="AJ46"/>
  <c r="AH47"/>
  <c r="AI47" s="1"/>
  <c r="AF47" s="1"/>
  <c r="Y47" s="1"/>
  <c r="AJ47"/>
  <c r="AH48"/>
  <c r="AI48" s="1"/>
  <c r="AJ48"/>
  <c r="AG49"/>
  <c r="AI49" s="1"/>
  <c r="AK49"/>
  <c r="AH50"/>
  <c r="AI50" s="1"/>
  <c r="AJ50"/>
  <c r="AH51"/>
  <c r="AI51" s="1"/>
  <c r="AJ51"/>
  <c r="AH52"/>
  <c r="AI52" s="1"/>
  <c r="AJ52"/>
  <c r="AH53"/>
  <c r="AI53" s="1"/>
  <c r="AF53" s="1"/>
  <c r="Y53" s="1"/>
  <c r="AJ53"/>
  <c r="AH54"/>
  <c r="AI54" s="1"/>
  <c r="AF54" s="1"/>
  <c r="Y54" s="1"/>
  <c r="AJ54"/>
  <c r="AG55"/>
  <c r="AI55" s="1"/>
  <c r="AK55"/>
  <c r="AH59"/>
  <c r="AI59" s="1"/>
  <c r="AJ59"/>
  <c r="AF59" s="1"/>
  <c r="Y59" s="1"/>
  <c r="AH60"/>
  <c r="AI60" s="1"/>
  <c r="AF60" s="1"/>
  <c r="Y60" s="1"/>
  <c r="AJ60"/>
  <c r="AH61"/>
  <c r="AI61" s="1"/>
  <c r="AF61" s="1"/>
  <c r="Y61" s="1"/>
  <c r="AJ61"/>
  <c r="AH62"/>
  <c r="AI62" s="1"/>
  <c r="AJ62"/>
  <c r="AH63"/>
  <c r="AI63" s="1"/>
  <c r="AJ63"/>
  <c r="AF63" s="1"/>
  <c r="Y63" s="1"/>
  <c r="AH64"/>
  <c r="AI64" s="1"/>
  <c r="AF64" s="1"/>
  <c r="Y64" s="1"/>
  <c r="AJ64"/>
  <c r="AH65"/>
  <c r="AI65" s="1"/>
  <c r="AF65" s="1"/>
  <c r="Y65" s="1"/>
  <c r="AJ65"/>
  <c r="AH66"/>
  <c r="AI66" s="1"/>
  <c r="AJ66"/>
  <c r="AG70"/>
  <c r="AI70" s="1"/>
  <c r="AK70"/>
  <c r="AH71"/>
  <c r="AI71" s="1"/>
  <c r="AJ71"/>
  <c r="AG72"/>
  <c r="AI72" s="1"/>
  <c r="AK72"/>
  <c r="AH73"/>
  <c r="AI73" s="1"/>
  <c r="AF73" s="1"/>
  <c r="Y73" s="1"/>
  <c r="AJ73"/>
  <c r="AH77"/>
  <c r="AI77" s="1"/>
  <c r="AJ77"/>
  <c r="AG78"/>
  <c r="AI78" s="1"/>
  <c r="AK78"/>
  <c r="AG82"/>
  <c r="AI82" s="1"/>
  <c r="AK82"/>
  <c r="AG86"/>
  <c r="AI86" s="1"/>
  <c r="AK86"/>
  <c r="AG8" i="83"/>
  <c r="AI8" s="1"/>
  <c r="AK8"/>
  <c r="AG9"/>
  <c r="AI9" s="1"/>
  <c r="AK9"/>
  <c r="AG10"/>
  <c r="AI10" s="1"/>
  <c r="AK10"/>
  <c r="AG11"/>
  <c r="AI11" s="1"/>
  <c r="AK11"/>
  <c r="AG12"/>
  <c r="AI12" s="1"/>
  <c r="AK12"/>
  <c r="AH13"/>
  <c r="AI13" s="1"/>
  <c r="AF13" s="1"/>
  <c r="Y13" s="1"/>
  <c r="AJ13"/>
  <c r="AG14"/>
  <c r="AI14" s="1"/>
  <c r="AK14"/>
  <c r="AG15"/>
  <c r="AI15" s="1"/>
  <c r="AK15"/>
  <c r="AG16"/>
  <c r="AI16" s="1"/>
  <c r="AF16" s="1"/>
  <c r="Y16" s="1"/>
  <c r="AK16"/>
  <c r="AG17"/>
  <c r="AI17" s="1"/>
  <c r="AK17"/>
  <c r="AG18"/>
  <c r="AI18" s="1"/>
  <c r="AK18"/>
  <c r="AH19"/>
  <c r="AJ19"/>
  <c r="AG20"/>
  <c r="AI20" s="1"/>
  <c r="AK20"/>
  <c r="AG21"/>
  <c r="AI21" s="1"/>
  <c r="AK21"/>
  <c r="AG22"/>
  <c r="AI22" s="1"/>
  <c r="AK22"/>
  <c r="AG23"/>
  <c r="AI23" s="1"/>
  <c r="AK23"/>
  <c r="AG24"/>
  <c r="AI24" s="1"/>
  <c r="AK24"/>
  <c r="AH25"/>
  <c r="AI25" s="1"/>
  <c r="AJ25"/>
  <c r="AG26"/>
  <c r="AI26" s="1"/>
  <c r="AK26"/>
  <c r="AG27"/>
  <c r="AI27" s="1"/>
  <c r="AK27"/>
  <c r="AG28"/>
  <c r="AI28" s="1"/>
  <c r="AK28"/>
  <c r="AG29"/>
  <c r="AI29" s="1"/>
  <c r="AK29"/>
  <c r="AG30"/>
  <c r="AI30" s="1"/>
  <c r="AK30"/>
  <c r="AH31"/>
  <c r="AI31" s="1"/>
  <c r="AF31" s="1"/>
  <c r="Y31" s="1"/>
  <c r="AJ31"/>
  <c r="AG32"/>
  <c r="AI32" s="1"/>
  <c r="AK32"/>
  <c r="AG33"/>
  <c r="AI33" s="1"/>
  <c r="AK33"/>
  <c r="AG34"/>
  <c r="AI34" s="1"/>
  <c r="AK34"/>
  <c r="AG35"/>
  <c r="AI35" s="1"/>
  <c r="AK35"/>
  <c r="AG36"/>
  <c r="AI36" s="1"/>
  <c r="AK36"/>
  <c r="AH37"/>
  <c r="AI37" s="1"/>
  <c r="AF37" s="1"/>
  <c r="Y37" s="1"/>
  <c r="AJ37"/>
  <c r="AG38"/>
  <c r="AI38" s="1"/>
  <c r="AK38"/>
  <c r="AG39"/>
  <c r="AI39" s="1"/>
  <c r="AK39"/>
  <c r="AG40"/>
  <c r="AI40" s="1"/>
  <c r="AK40"/>
  <c r="AG41"/>
  <c r="AI41" s="1"/>
  <c r="AK41"/>
  <c r="AG42"/>
  <c r="AI42" s="1"/>
  <c r="AK42"/>
  <c r="AH43"/>
  <c r="AI43" s="1"/>
  <c r="AJ43"/>
  <c r="AF43" s="1"/>
  <c r="Y43" s="1"/>
  <c r="AG44"/>
  <c r="AI44" s="1"/>
  <c r="AK44"/>
  <c r="AG45"/>
  <c r="AI45" s="1"/>
  <c r="AK45"/>
  <c r="AG46"/>
  <c r="AI46" s="1"/>
  <c r="AK46"/>
  <c r="AG47"/>
  <c r="AI47" s="1"/>
  <c r="AK47"/>
  <c r="AG48"/>
  <c r="AI48" s="1"/>
  <c r="AK48"/>
  <c r="AH49"/>
  <c r="AI49" s="1"/>
  <c r="AJ49"/>
  <c r="AG50"/>
  <c r="AI50" s="1"/>
  <c r="AK50"/>
  <c r="AG51"/>
  <c r="AI51" s="1"/>
  <c r="AK51"/>
  <c r="AG52"/>
  <c r="AI52" s="1"/>
  <c r="AK52"/>
  <c r="AG53"/>
  <c r="AI53" s="1"/>
  <c r="AK53"/>
  <c r="AG54"/>
  <c r="AI54" s="1"/>
  <c r="AK54"/>
  <c r="AH55"/>
  <c r="AI55" s="1"/>
  <c r="AJ55"/>
  <c r="BB58"/>
  <c r="AG59"/>
  <c r="AI59" s="1"/>
  <c r="AK59"/>
  <c r="AG60"/>
  <c r="AI60" s="1"/>
  <c r="AK60"/>
  <c r="AG61"/>
  <c r="AI61" s="1"/>
  <c r="AK61"/>
  <c r="AG62"/>
  <c r="AI62" s="1"/>
  <c r="AK62"/>
  <c r="AG63"/>
  <c r="AI63" s="1"/>
  <c r="AK63"/>
  <c r="AG64"/>
  <c r="AI64" s="1"/>
  <c r="AK64"/>
  <c r="AG65"/>
  <c r="AI65" s="1"/>
  <c r="AK65"/>
  <c r="AG66"/>
  <c r="AI66" s="1"/>
  <c r="AK66"/>
  <c r="AH70"/>
  <c r="AI70" s="1"/>
  <c r="AJ70"/>
  <c r="AG71"/>
  <c r="AI71" s="1"/>
  <c r="AK71"/>
  <c r="AH72"/>
  <c r="AI72" s="1"/>
  <c r="AF72" s="1"/>
  <c r="Y72" s="1"/>
  <c r="AJ72"/>
  <c r="AG73"/>
  <c r="AI73" s="1"/>
  <c r="AK73"/>
  <c r="AG77"/>
  <c r="AI77" s="1"/>
  <c r="AK77"/>
  <c r="AH78"/>
  <c r="AI78" s="1"/>
  <c r="AJ78"/>
  <c r="AH82"/>
  <c r="AI82" s="1"/>
  <c r="AF82" s="1"/>
  <c r="Y82" s="1"/>
  <c r="AJ82"/>
  <c r="AH86"/>
  <c r="AI86" s="1"/>
  <c r="AJ86"/>
  <c r="AH8" i="84"/>
  <c r="AI8" s="1"/>
  <c r="AJ8"/>
  <c r="AH9"/>
  <c r="AI9" s="1"/>
  <c r="AJ9"/>
  <c r="AH10"/>
  <c r="AI10" s="1"/>
  <c r="AJ10"/>
  <c r="AH11"/>
  <c r="AI11" s="1"/>
  <c r="AF11" s="1"/>
  <c r="Y11" s="1"/>
  <c r="AJ11"/>
  <c r="AH12"/>
  <c r="AI12" s="1"/>
  <c r="AF12" s="1"/>
  <c r="Y12" s="1"/>
  <c r="AJ12"/>
  <c r="AG13"/>
  <c r="AI13" s="1"/>
  <c r="AK13"/>
  <c r="AH14"/>
  <c r="AI14" s="1"/>
  <c r="AF14" s="1"/>
  <c r="Y14" s="1"/>
  <c r="AJ14"/>
  <c r="AH15"/>
  <c r="AI15" s="1"/>
  <c r="AJ15"/>
  <c r="AH16"/>
  <c r="AI16" s="1"/>
  <c r="AJ16"/>
  <c r="AH17"/>
  <c r="AI17" s="1"/>
  <c r="AF17" s="1"/>
  <c r="Y17" s="1"/>
  <c r="AJ17"/>
  <c r="AH18"/>
  <c r="AI18" s="1"/>
  <c r="AF18" s="1"/>
  <c r="Y18" s="1"/>
  <c r="AJ18"/>
  <c r="AG19"/>
  <c r="AI19" s="1"/>
  <c r="AK19"/>
  <c r="AL21"/>
  <c r="AK21"/>
  <c r="AL23"/>
  <c r="AK23"/>
  <c r="AL27"/>
  <c r="AK27"/>
  <c r="AL29"/>
  <c r="AK29"/>
  <c r="AL33"/>
  <c r="AK33"/>
  <c r="AL35"/>
  <c r="AK35"/>
  <c r="AK25"/>
  <c r="AG25"/>
  <c r="AI25" s="1"/>
  <c r="AK31"/>
  <c r="AG31"/>
  <c r="AI31" s="1"/>
  <c r="AF25" i="82"/>
  <c r="Y25" s="1"/>
  <c r="AJ25"/>
  <c r="AF31"/>
  <c r="Y31" s="1"/>
  <c r="AJ31"/>
  <c r="AF37"/>
  <c r="Y37" s="1"/>
  <c r="AJ37"/>
  <c r="AF43"/>
  <c r="Y43" s="1"/>
  <c r="AJ43"/>
  <c r="AF49"/>
  <c r="Y49" s="1"/>
  <c r="AJ49"/>
  <c r="AF55"/>
  <c r="Y55" s="1"/>
  <c r="AJ55"/>
  <c r="AF70"/>
  <c r="Y70" s="1"/>
  <c r="AJ70"/>
  <c r="AF72"/>
  <c r="Y72" s="1"/>
  <c r="AJ72"/>
  <c r="AJ78"/>
  <c r="AF78" s="1"/>
  <c r="Y78" s="1"/>
  <c r="AJ82"/>
  <c r="AF82" s="1"/>
  <c r="Y82" s="1"/>
  <c r="AJ86"/>
  <c r="AJ8" i="83"/>
  <c r="AJ9"/>
  <c r="AF9" s="1"/>
  <c r="Y9" s="1"/>
  <c r="AJ10"/>
  <c r="AF11"/>
  <c r="Y11" s="1"/>
  <c r="AJ11"/>
  <c r="AF12"/>
  <c r="Y12" s="1"/>
  <c r="AJ12"/>
  <c r="AF14"/>
  <c r="Y14" s="1"/>
  <c r="AJ14"/>
  <c r="AF15"/>
  <c r="Y15" s="1"/>
  <c r="AJ15"/>
  <c r="AJ16"/>
  <c r="AJ17"/>
  <c r="AF17" s="1"/>
  <c r="Y17" s="1"/>
  <c r="AF18"/>
  <c r="Y18" s="1"/>
  <c r="AJ18"/>
  <c r="AF20"/>
  <c r="Y20" s="1"/>
  <c r="AJ20"/>
  <c r="AF21"/>
  <c r="Y21" s="1"/>
  <c r="AJ21"/>
  <c r="AF22"/>
  <c r="Y22" s="1"/>
  <c r="AJ22"/>
  <c r="AF23"/>
  <c r="Y23" s="1"/>
  <c r="AJ23"/>
  <c r="AF24"/>
  <c r="Y24" s="1"/>
  <c r="AJ24"/>
  <c r="AF26"/>
  <c r="Y26" s="1"/>
  <c r="AJ26"/>
  <c r="AF27"/>
  <c r="Y27" s="1"/>
  <c r="AJ27"/>
  <c r="AF28"/>
  <c r="Y28" s="1"/>
  <c r="AJ28"/>
  <c r="AF29"/>
  <c r="Y29" s="1"/>
  <c r="AJ29"/>
  <c r="AF30"/>
  <c r="Y30" s="1"/>
  <c r="AJ30"/>
  <c r="AF32"/>
  <c r="Y32" s="1"/>
  <c r="AJ32"/>
  <c r="AF33"/>
  <c r="Y33" s="1"/>
  <c r="AJ33"/>
  <c r="AF34"/>
  <c r="Y34" s="1"/>
  <c r="AJ34"/>
  <c r="AF35"/>
  <c r="Y35" s="1"/>
  <c r="AJ35"/>
  <c r="AF36"/>
  <c r="Y36" s="1"/>
  <c r="AJ36"/>
  <c r="AF38"/>
  <c r="Y38" s="1"/>
  <c r="AJ38"/>
  <c r="AF39"/>
  <c r="Y39" s="1"/>
  <c r="AJ39"/>
  <c r="AF40"/>
  <c r="Y40" s="1"/>
  <c r="AJ40"/>
  <c r="AF41"/>
  <c r="Y41" s="1"/>
  <c r="AJ41"/>
  <c r="AF42"/>
  <c r="Y42" s="1"/>
  <c r="AJ42"/>
  <c r="AF44"/>
  <c r="Y44" s="1"/>
  <c r="AJ44"/>
  <c r="AF45"/>
  <c r="Y45" s="1"/>
  <c r="AJ45"/>
  <c r="AF46"/>
  <c r="Y46" s="1"/>
  <c r="AJ46"/>
  <c r="AF47"/>
  <c r="Y47" s="1"/>
  <c r="AJ47"/>
  <c r="AF48"/>
  <c r="Y48" s="1"/>
  <c r="AJ48"/>
  <c r="AF50"/>
  <c r="Y50" s="1"/>
  <c r="AJ50"/>
  <c r="AF51"/>
  <c r="Y51" s="1"/>
  <c r="AJ51"/>
  <c r="AF52"/>
  <c r="Y52" s="1"/>
  <c r="AJ52"/>
  <c r="AF53"/>
  <c r="Y53" s="1"/>
  <c r="AJ53"/>
  <c r="AJ54"/>
  <c r="AF54" s="1"/>
  <c r="Y54" s="1"/>
  <c r="AF59"/>
  <c r="Y59" s="1"/>
  <c r="AJ59"/>
  <c r="AJ60"/>
  <c r="AF60" s="1"/>
  <c r="Y60" s="1"/>
  <c r="AF61"/>
  <c r="Y61" s="1"/>
  <c r="AJ61"/>
  <c r="AF62"/>
  <c r="Y62" s="1"/>
  <c r="AJ62"/>
  <c r="AF63"/>
  <c r="Y63" s="1"/>
  <c r="AJ63"/>
  <c r="AF64"/>
  <c r="Y64" s="1"/>
  <c r="AJ64"/>
  <c r="AF65"/>
  <c r="Y65" s="1"/>
  <c r="AJ65"/>
  <c r="AJ66"/>
  <c r="AF66" s="1"/>
  <c r="Y66" s="1"/>
  <c r="AJ71"/>
  <c r="AF71" s="1"/>
  <c r="Y71" s="1"/>
  <c r="AF73"/>
  <c r="Y73" s="1"/>
  <c r="AJ73"/>
  <c r="AF77"/>
  <c r="Y77" s="1"/>
  <c r="AJ77"/>
  <c r="AF13" i="84"/>
  <c r="Y13" s="1"/>
  <c r="AJ13"/>
  <c r="AF19"/>
  <c r="Y19" s="1"/>
  <c r="AJ19"/>
  <c r="AK20"/>
  <c r="AF20" s="1"/>
  <c r="Y20" s="1"/>
  <c r="AJ25"/>
  <c r="AF25" s="1"/>
  <c r="Y25" s="1"/>
  <c r="AF31"/>
  <c r="Y31" s="1"/>
  <c r="AJ31"/>
  <c r="AK43" i="85"/>
  <c r="AG43"/>
  <c r="AI43" s="1"/>
  <c r="AK49"/>
  <c r="AG49"/>
  <c r="AI49" s="1"/>
  <c r="AK55"/>
  <c r="AG55"/>
  <c r="AI55" s="1"/>
  <c r="AK8" i="86"/>
  <c r="AG8"/>
  <c r="AI8" s="1"/>
  <c r="AK14"/>
  <c r="AG14"/>
  <c r="AI14" s="1"/>
  <c r="AJ21" i="84"/>
  <c r="AF21" s="1"/>
  <c r="Y21" s="1"/>
  <c r="AF22"/>
  <c r="Y22" s="1"/>
  <c r="AJ22"/>
  <c r="AF23"/>
  <c r="Y23" s="1"/>
  <c r="AJ23"/>
  <c r="AJ24"/>
  <c r="AF24" s="1"/>
  <c r="Y24" s="1"/>
  <c r="AF26"/>
  <c r="Y26" s="1"/>
  <c r="AJ26"/>
  <c r="AF27"/>
  <c r="Y27" s="1"/>
  <c r="AJ27"/>
  <c r="AF28"/>
  <c r="Y28" s="1"/>
  <c r="AJ28"/>
  <c r="AF29"/>
  <c r="Y29" s="1"/>
  <c r="AJ29"/>
  <c r="AF30"/>
  <c r="Y30" s="1"/>
  <c r="AJ30"/>
  <c r="AF32"/>
  <c r="Y32" s="1"/>
  <c r="AJ32"/>
  <c r="AF33"/>
  <c r="Y33" s="1"/>
  <c r="AJ33"/>
  <c r="AF34"/>
  <c r="Y34" s="1"/>
  <c r="AJ34"/>
  <c r="AJ35"/>
  <c r="AF35" s="1"/>
  <c r="Y35" s="1"/>
  <c r="AH36"/>
  <c r="AI36" s="1"/>
  <c r="AJ36"/>
  <c r="AG37"/>
  <c r="AI37" s="1"/>
  <c r="AK37"/>
  <c r="AH38"/>
  <c r="AI38" s="1"/>
  <c r="AJ38"/>
  <c r="AH39"/>
  <c r="AI39" s="1"/>
  <c r="AJ39"/>
  <c r="AH40"/>
  <c r="AI40" s="1"/>
  <c r="AF40" s="1"/>
  <c r="Y40" s="1"/>
  <c r="AJ40"/>
  <c r="AH41"/>
  <c r="AI41" s="1"/>
  <c r="AF41" s="1"/>
  <c r="Y41" s="1"/>
  <c r="AJ41"/>
  <c r="AH42"/>
  <c r="AI42" s="1"/>
  <c r="AF42" s="1"/>
  <c r="Y42" s="1"/>
  <c r="AJ42"/>
  <c r="AG43"/>
  <c r="AI43" s="1"/>
  <c r="AK43"/>
  <c r="AH44"/>
  <c r="AI44" s="1"/>
  <c r="AJ44"/>
  <c r="AH45"/>
  <c r="AI45" s="1"/>
  <c r="AJ45"/>
  <c r="AF45" s="1"/>
  <c r="Y45" s="1"/>
  <c r="AH46"/>
  <c r="AI46" s="1"/>
  <c r="AJ46"/>
  <c r="AH47"/>
  <c r="AI47" s="1"/>
  <c r="AF47" s="1"/>
  <c r="Y47" s="1"/>
  <c r="AJ47"/>
  <c r="AH48"/>
  <c r="AI48" s="1"/>
  <c r="AJ48"/>
  <c r="AG49"/>
  <c r="AI49" s="1"/>
  <c r="AK49"/>
  <c r="AH50"/>
  <c r="AI50" s="1"/>
  <c r="AJ50"/>
  <c r="AH51"/>
  <c r="AJ51"/>
  <c r="AH52"/>
  <c r="AI52" s="1"/>
  <c r="AJ52"/>
  <c r="AH53"/>
  <c r="AI53" s="1"/>
  <c r="AF53" s="1"/>
  <c r="Y53" s="1"/>
  <c r="AJ53"/>
  <c r="AH54"/>
  <c r="AI54" s="1"/>
  <c r="AF54" s="1"/>
  <c r="Y54" s="1"/>
  <c r="AJ54"/>
  <c r="AG55"/>
  <c r="AI55" s="1"/>
  <c r="AK55"/>
  <c r="AH59"/>
  <c r="AI59" s="1"/>
  <c r="AJ59"/>
  <c r="AH60"/>
  <c r="AI60" s="1"/>
  <c r="AJ60"/>
  <c r="AH61"/>
  <c r="AI61" s="1"/>
  <c r="AF61" s="1"/>
  <c r="Y61" s="1"/>
  <c r="AJ61"/>
  <c r="AH62"/>
  <c r="AI62" s="1"/>
  <c r="AJ62"/>
  <c r="AH63"/>
  <c r="AI63" s="1"/>
  <c r="AJ63"/>
  <c r="AH64"/>
  <c r="AI64" s="1"/>
  <c r="AF64" s="1"/>
  <c r="Y64" s="1"/>
  <c r="AJ64"/>
  <c r="AH65"/>
  <c r="AI65" s="1"/>
  <c r="AF65" s="1"/>
  <c r="Y65" s="1"/>
  <c r="AJ65"/>
  <c r="AH66"/>
  <c r="AI66" s="1"/>
  <c r="AF66" s="1"/>
  <c r="Y66" s="1"/>
  <c r="AJ66"/>
  <c r="AG70"/>
  <c r="AI70" s="1"/>
  <c r="AK70"/>
  <c r="AH71"/>
  <c r="AI71" s="1"/>
  <c r="AF71" s="1"/>
  <c r="Y71" s="1"/>
  <c r="AJ71"/>
  <c r="AG72"/>
  <c r="AI72" s="1"/>
  <c r="AK72"/>
  <c r="AH73"/>
  <c r="AI73" s="1"/>
  <c r="AF73" s="1"/>
  <c r="Y73" s="1"/>
  <c r="AJ73"/>
  <c r="AH77"/>
  <c r="AJ77"/>
  <c r="AG78"/>
  <c r="AI78" s="1"/>
  <c r="AK78"/>
  <c r="AG82"/>
  <c r="AI82" s="1"/>
  <c r="AK82"/>
  <c r="AG86"/>
  <c r="AI86" s="1"/>
  <c r="AK86"/>
  <c r="AG8" i="85"/>
  <c r="AI8" s="1"/>
  <c r="AK8"/>
  <c r="AG9"/>
  <c r="AI9" s="1"/>
  <c r="AK9"/>
  <c r="AG10"/>
  <c r="AI10" s="1"/>
  <c r="AK10"/>
  <c r="AG11"/>
  <c r="AI11" s="1"/>
  <c r="AK11"/>
  <c r="AG12"/>
  <c r="AI12" s="1"/>
  <c r="AK12"/>
  <c r="AH13"/>
  <c r="AI13" s="1"/>
  <c r="AF13" s="1"/>
  <c r="Y13" s="1"/>
  <c r="AJ13"/>
  <c r="AG14"/>
  <c r="AI14" s="1"/>
  <c r="AK14"/>
  <c r="AG15"/>
  <c r="AI15" s="1"/>
  <c r="AK15"/>
  <c r="AG16"/>
  <c r="AI16" s="1"/>
  <c r="AK16"/>
  <c r="AG17"/>
  <c r="AI17" s="1"/>
  <c r="AK17"/>
  <c r="AG18"/>
  <c r="AI18" s="1"/>
  <c r="AK18"/>
  <c r="AH19"/>
  <c r="AJ19"/>
  <c r="AG20"/>
  <c r="AI20" s="1"/>
  <c r="AK20"/>
  <c r="AG21"/>
  <c r="AI21" s="1"/>
  <c r="AK21"/>
  <c r="AG22"/>
  <c r="AI22" s="1"/>
  <c r="AK22"/>
  <c r="AG23"/>
  <c r="AI23" s="1"/>
  <c r="AK23"/>
  <c r="AG24"/>
  <c r="AI24" s="1"/>
  <c r="AK24"/>
  <c r="AH25"/>
  <c r="AI25" s="1"/>
  <c r="AF25" s="1"/>
  <c r="Y25" s="1"/>
  <c r="AJ25"/>
  <c r="AG26"/>
  <c r="AI26" s="1"/>
  <c r="AK26"/>
  <c r="AG27"/>
  <c r="AI27" s="1"/>
  <c r="AK27"/>
  <c r="AG28"/>
  <c r="AI28" s="1"/>
  <c r="AK28"/>
  <c r="AG29"/>
  <c r="AI29" s="1"/>
  <c r="AK29"/>
  <c r="AG30"/>
  <c r="AI30" s="1"/>
  <c r="AK30"/>
  <c r="AH31"/>
  <c r="AI31" s="1"/>
  <c r="AF31" s="1"/>
  <c r="Y31" s="1"/>
  <c r="AJ31"/>
  <c r="AG32"/>
  <c r="AI32" s="1"/>
  <c r="AK32"/>
  <c r="AG33"/>
  <c r="AI33" s="1"/>
  <c r="AK33"/>
  <c r="AG34"/>
  <c r="AI34" s="1"/>
  <c r="AK34"/>
  <c r="AG35"/>
  <c r="AI35" s="1"/>
  <c r="AK35"/>
  <c r="AG36"/>
  <c r="AI36" s="1"/>
  <c r="AK36"/>
  <c r="AH37"/>
  <c r="AI37" s="1"/>
  <c r="AF37" s="1"/>
  <c r="Y37" s="1"/>
  <c r="AJ37"/>
  <c r="AG38"/>
  <c r="AI38" s="1"/>
  <c r="AK38"/>
  <c r="AG39"/>
  <c r="AI39" s="1"/>
  <c r="AK39"/>
  <c r="AG40"/>
  <c r="AI40" s="1"/>
  <c r="AK40"/>
  <c r="AG41"/>
  <c r="AI41" s="1"/>
  <c r="AK41"/>
  <c r="AG42"/>
  <c r="AI42" s="1"/>
  <c r="AF43"/>
  <c r="Y43" s="1"/>
  <c r="AJ43"/>
  <c r="AL44"/>
  <c r="AK44"/>
  <c r="AL46"/>
  <c r="AK46"/>
  <c r="AL48"/>
  <c r="AK48"/>
  <c r="AJ49"/>
  <c r="AF49" s="1"/>
  <c r="Y49" s="1"/>
  <c r="AL50"/>
  <c r="AK50"/>
  <c r="AL52"/>
  <c r="AK52"/>
  <c r="AL54"/>
  <c r="AK54"/>
  <c r="AF55"/>
  <c r="Y55" s="1"/>
  <c r="AJ55"/>
  <c r="AL59"/>
  <c r="AK59"/>
  <c r="AL60"/>
  <c r="AK60"/>
  <c r="AL61"/>
  <c r="AK61"/>
  <c r="AL62"/>
  <c r="AK62"/>
  <c r="AL63"/>
  <c r="AK63"/>
  <c r="AL64"/>
  <c r="AK64"/>
  <c r="AL65"/>
  <c r="AK65"/>
  <c r="AL66"/>
  <c r="AK66"/>
  <c r="AJ8" i="86"/>
  <c r="AL13"/>
  <c r="AK13"/>
  <c r="AJ14"/>
  <c r="AF14" s="1"/>
  <c r="Y14" s="1"/>
  <c r="AL42" i="85"/>
  <c r="AJ42"/>
  <c r="AK70"/>
  <c r="AG70"/>
  <c r="AI70" s="1"/>
  <c r="AK72"/>
  <c r="AG72"/>
  <c r="AI72" s="1"/>
  <c r="AK78"/>
  <c r="AG78"/>
  <c r="AI78" s="1"/>
  <c r="AK82"/>
  <c r="AG82"/>
  <c r="AI82" s="1"/>
  <c r="AK86"/>
  <c r="AG86"/>
  <c r="AI86" s="1"/>
  <c r="AK9" i="86"/>
  <c r="AG9"/>
  <c r="AI9" s="1"/>
  <c r="AK10"/>
  <c r="AG10"/>
  <c r="AI10" s="1"/>
  <c r="AK11"/>
  <c r="AG11"/>
  <c r="AI11" s="1"/>
  <c r="AK12"/>
  <c r="AG12"/>
  <c r="AI12" s="1"/>
  <c r="AK15"/>
  <c r="AG15"/>
  <c r="AI15" s="1"/>
  <c r="AH16"/>
  <c r="AI16" s="1"/>
  <c r="AK16"/>
  <c r="AF37" i="84"/>
  <c r="Y37" s="1"/>
  <c r="AJ37"/>
  <c r="AF43"/>
  <c r="Y43" s="1"/>
  <c r="AJ43"/>
  <c r="AF49"/>
  <c r="Y49" s="1"/>
  <c r="AJ49"/>
  <c r="AF55"/>
  <c r="Y55" s="1"/>
  <c r="AJ55"/>
  <c r="AF70"/>
  <c r="Y70" s="1"/>
  <c r="AJ70"/>
  <c r="AF72"/>
  <c r="Y72" s="1"/>
  <c r="AJ72"/>
  <c r="AF78"/>
  <c r="Y78" s="1"/>
  <c r="AJ78"/>
  <c r="AF82"/>
  <c r="Y82" s="1"/>
  <c r="AJ82"/>
  <c r="AJ86"/>
  <c r="AF86" s="1"/>
  <c r="Y86" s="1"/>
  <c r="AJ8" i="85"/>
  <c r="AJ9"/>
  <c r="AJ10"/>
  <c r="AF11"/>
  <c r="Y11" s="1"/>
  <c r="AJ11"/>
  <c r="AF12"/>
  <c r="Y12" s="1"/>
  <c r="AJ12"/>
  <c r="AJ14"/>
  <c r="AF14" s="1"/>
  <c r="Y14" s="1"/>
  <c r="AF15"/>
  <c r="Y15" s="1"/>
  <c r="AJ15"/>
  <c r="AJ16"/>
  <c r="AF16" s="1"/>
  <c r="Y16" s="1"/>
  <c r="AF17"/>
  <c r="Y17" s="1"/>
  <c r="AJ17"/>
  <c r="AF18"/>
  <c r="Y18" s="1"/>
  <c r="AJ18"/>
  <c r="AF20"/>
  <c r="Y20" s="1"/>
  <c r="AJ20"/>
  <c r="AF21"/>
  <c r="Y21" s="1"/>
  <c r="AJ21"/>
  <c r="AF22"/>
  <c r="Y22" s="1"/>
  <c r="AJ22"/>
  <c r="AF23"/>
  <c r="Y23" s="1"/>
  <c r="AJ23"/>
  <c r="AF24"/>
  <c r="Y24" s="1"/>
  <c r="AJ24"/>
  <c r="AF26"/>
  <c r="Y26" s="1"/>
  <c r="AJ26"/>
  <c r="AF27"/>
  <c r="Y27" s="1"/>
  <c r="AJ27"/>
  <c r="AF28"/>
  <c r="Y28" s="1"/>
  <c r="AJ28"/>
  <c r="AF29"/>
  <c r="Y29" s="1"/>
  <c r="AJ29"/>
  <c r="AF30"/>
  <c r="Y30" s="1"/>
  <c r="AJ30"/>
  <c r="AJ32"/>
  <c r="AF32" s="1"/>
  <c r="Y32" s="1"/>
  <c r="AJ33"/>
  <c r="AF33" s="1"/>
  <c r="Y33" s="1"/>
  <c r="AF34"/>
  <c r="Y34" s="1"/>
  <c r="AJ34"/>
  <c r="AF35"/>
  <c r="Y35" s="1"/>
  <c r="AJ35"/>
  <c r="AF36"/>
  <c r="Y36" s="1"/>
  <c r="AJ36"/>
  <c r="AF38"/>
  <c r="Y38" s="1"/>
  <c r="AJ38"/>
  <c r="AF39"/>
  <c r="Y39" s="1"/>
  <c r="AJ39"/>
  <c r="AF40"/>
  <c r="Y40" s="1"/>
  <c r="AJ40"/>
  <c r="AF41"/>
  <c r="Y41" s="1"/>
  <c r="AJ41"/>
  <c r="AF42"/>
  <c r="Y42" s="1"/>
  <c r="AF70"/>
  <c r="Y70" s="1"/>
  <c r="AJ70"/>
  <c r="AF72"/>
  <c r="Y72" s="1"/>
  <c r="AJ72"/>
  <c r="AF78"/>
  <c r="Y78" s="1"/>
  <c r="AJ78"/>
  <c r="AF82"/>
  <c r="Y82" s="1"/>
  <c r="AJ82"/>
  <c r="AJ86"/>
  <c r="AF9" i="86"/>
  <c r="Y9" s="1"/>
  <c r="AJ9"/>
  <c r="AF10"/>
  <c r="Y10" s="1"/>
  <c r="AJ10"/>
  <c r="AJ11"/>
  <c r="AF11" s="1"/>
  <c r="Y11" s="1"/>
  <c r="AF12"/>
  <c r="Y12" s="1"/>
  <c r="AJ12"/>
  <c r="AF15"/>
  <c r="Y15" s="1"/>
  <c r="AJ15"/>
  <c r="AK19"/>
  <c r="AG19"/>
  <c r="AI19" s="1"/>
  <c r="AK25"/>
  <c r="AG25"/>
  <c r="AI25" s="1"/>
  <c r="AK31"/>
  <c r="AG31"/>
  <c r="AI31" s="1"/>
  <c r="AK37"/>
  <c r="AG37"/>
  <c r="AI37" s="1"/>
  <c r="AJ44" i="85"/>
  <c r="AF44" s="1"/>
  <c r="Y44" s="1"/>
  <c r="AF45"/>
  <c r="Y45" s="1"/>
  <c r="AJ45"/>
  <c r="AF46"/>
  <c r="Y46" s="1"/>
  <c r="AJ46"/>
  <c r="AF47"/>
  <c r="Y47" s="1"/>
  <c r="AJ47"/>
  <c r="AF48"/>
  <c r="Y48" s="1"/>
  <c r="AJ48"/>
  <c r="AF50"/>
  <c r="Y50" s="1"/>
  <c r="AJ50"/>
  <c r="AF51"/>
  <c r="Y51" s="1"/>
  <c r="AJ51"/>
  <c r="AF52"/>
  <c r="Y52" s="1"/>
  <c r="AJ52"/>
  <c r="AF53"/>
  <c r="Y53" s="1"/>
  <c r="AJ53"/>
  <c r="AF54"/>
  <c r="Y54" s="1"/>
  <c r="AJ54"/>
  <c r="AJ59"/>
  <c r="AF59" s="1"/>
  <c r="Y59" s="1"/>
  <c r="AF60"/>
  <c r="Y60" s="1"/>
  <c r="AJ60"/>
  <c r="AF61"/>
  <c r="Y61" s="1"/>
  <c r="AJ61"/>
  <c r="AF62"/>
  <c r="Y62" s="1"/>
  <c r="AJ62"/>
  <c r="AJ63"/>
  <c r="AF64"/>
  <c r="Y64" s="1"/>
  <c r="AJ64"/>
  <c r="AF65"/>
  <c r="Y65" s="1"/>
  <c r="AJ65"/>
  <c r="AJ66"/>
  <c r="AF66" s="1"/>
  <c r="Y66" s="1"/>
  <c r="AF71"/>
  <c r="Y71" s="1"/>
  <c r="AJ71"/>
  <c r="AF73"/>
  <c r="Y73" s="1"/>
  <c r="AJ73"/>
  <c r="AF77"/>
  <c r="Y77" s="1"/>
  <c r="AJ77"/>
  <c r="AF13" i="86"/>
  <c r="Y13" s="1"/>
  <c r="AJ13"/>
  <c r="AL16"/>
  <c r="AL18"/>
  <c r="AK18"/>
  <c r="AF19"/>
  <c r="Y19" s="1"/>
  <c r="AJ19"/>
  <c r="AL20"/>
  <c r="AK20"/>
  <c r="AL22"/>
  <c r="AK22"/>
  <c r="AL24"/>
  <c r="AK24"/>
  <c r="AF25"/>
  <c r="Y25" s="1"/>
  <c r="AJ25"/>
  <c r="AL26"/>
  <c r="AK26"/>
  <c r="AL28"/>
  <c r="AK28"/>
  <c r="AL30"/>
  <c r="AK30"/>
  <c r="AF31"/>
  <c r="Y31" s="1"/>
  <c r="AJ31"/>
  <c r="AL32"/>
  <c r="AK32"/>
  <c r="AL34"/>
  <c r="AK34"/>
  <c r="AL36"/>
  <c r="AK36"/>
  <c r="AF37"/>
  <c r="Y37" s="1"/>
  <c r="AJ37"/>
  <c r="AL38"/>
  <c r="AK38"/>
  <c r="AI55"/>
  <c r="AJ16"/>
  <c r="AF16" s="1"/>
  <c r="Y16" s="1"/>
  <c r="AF17"/>
  <c r="Y17" s="1"/>
  <c r="AJ17"/>
  <c r="AF18"/>
  <c r="Y18" s="1"/>
  <c r="AJ18"/>
  <c r="AJ20"/>
  <c r="AF20" s="1"/>
  <c r="Y20" s="1"/>
  <c r="AF21"/>
  <c r="Y21" s="1"/>
  <c r="AJ21"/>
  <c r="AF22"/>
  <c r="Y22" s="1"/>
  <c r="AJ22"/>
  <c r="AF23"/>
  <c r="Y23" s="1"/>
  <c r="AJ23"/>
  <c r="AF24"/>
  <c r="Y24" s="1"/>
  <c r="AJ24"/>
  <c r="AF26"/>
  <c r="Y26" s="1"/>
  <c r="AJ26"/>
  <c r="AF27"/>
  <c r="Y27" s="1"/>
  <c r="AJ27"/>
  <c r="AJ28"/>
  <c r="AF28" s="1"/>
  <c r="Y28" s="1"/>
  <c r="AJ29"/>
  <c r="AF29" s="1"/>
  <c r="Y29" s="1"/>
  <c r="AF30"/>
  <c r="Y30" s="1"/>
  <c r="AJ30"/>
  <c r="AJ32"/>
  <c r="AF33"/>
  <c r="Y33" s="1"/>
  <c r="AJ33"/>
  <c r="AF34"/>
  <c r="Y34" s="1"/>
  <c r="AJ34"/>
  <c r="AJ35"/>
  <c r="AF35" s="1"/>
  <c r="Y35" s="1"/>
  <c r="AF36"/>
  <c r="Y36" s="1"/>
  <c r="AJ36"/>
  <c r="AF38"/>
  <c r="Y38" s="1"/>
  <c r="AJ38"/>
  <c r="AH39"/>
  <c r="AI39" s="1"/>
  <c r="AJ39"/>
  <c r="AH40"/>
  <c r="AI40" s="1"/>
  <c r="AF40" s="1"/>
  <c r="Y40" s="1"/>
  <c r="AJ40"/>
  <c r="AH41"/>
  <c r="AI41" s="1"/>
  <c r="AF41" s="1"/>
  <c r="Y41" s="1"/>
  <c r="AJ41"/>
  <c r="AH42"/>
  <c r="AI42" s="1"/>
  <c r="AF42" s="1"/>
  <c r="Y42" s="1"/>
  <c r="AJ42"/>
  <c r="AG43"/>
  <c r="AI43" s="1"/>
  <c r="AK43"/>
  <c r="AH44"/>
  <c r="AI44" s="1"/>
  <c r="AJ44"/>
  <c r="AH45"/>
  <c r="AI45" s="1"/>
  <c r="AJ45"/>
  <c r="AH46"/>
  <c r="AI46" s="1"/>
  <c r="AJ46"/>
  <c r="AH47"/>
  <c r="AI47" s="1"/>
  <c r="AF47" s="1"/>
  <c r="Y47" s="1"/>
  <c r="AJ47"/>
  <c r="AH48"/>
  <c r="AI48" s="1"/>
  <c r="AF48" s="1"/>
  <c r="Y48" s="1"/>
  <c r="AJ48"/>
  <c r="AG49"/>
  <c r="AI49" s="1"/>
  <c r="AK49"/>
  <c r="AH50"/>
  <c r="AI50" s="1"/>
  <c r="AJ50"/>
  <c r="AH51"/>
  <c r="AI51" s="1"/>
  <c r="AF51" s="1"/>
  <c r="Y51" s="1"/>
  <c r="AJ51"/>
  <c r="AH52"/>
  <c r="AI52" s="1"/>
  <c r="AF52" s="1"/>
  <c r="Y52" s="1"/>
  <c r="AJ52"/>
  <c r="AH53"/>
  <c r="AI53" s="1"/>
  <c r="AF53" s="1"/>
  <c r="Y53" s="1"/>
  <c r="AJ53"/>
  <c r="AJ54"/>
  <c r="AL54"/>
  <c r="AK55"/>
  <c r="AJ59"/>
  <c r="AL59"/>
  <c r="AJ60"/>
  <c r="AL60"/>
  <c r="AJ61"/>
  <c r="AL61"/>
  <c r="AJ62"/>
  <c r="AL62"/>
  <c r="AJ63"/>
  <c r="AL63"/>
  <c r="AJ64"/>
  <c r="AL64"/>
  <c r="AJ65"/>
  <c r="AL65"/>
  <c r="AJ66"/>
  <c r="AL66"/>
  <c r="AG70"/>
  <c r="AI70" s="1"/>
  <c r="AK70"/>
  <c r="AJ71"/>
  <c r="AL71"/>
  <c r="AG72"/>
  <c r="AI72" s="1"/>
  <c r="AK72"/>
  <c r="AJ73"/>
  <c r="AL73"/>
  <c r="AJ77"/>
  <c r="AL77"/>
  <c r="AG78"/>
  <c r="AI78" s="1"/>
  <c r="AK78"/>
  <c r="AG82"/>
  <c r="AI82" s="1"/>
  <c r="AK82"/>
  <c r="AG86"/>
  <c r="AI86" s="1"/>
  <c r="AK86"/>
  <c r="AF43"/>
  <c r="Y43" s="1"/>
  <c r="AJ43"/>
  <c r="AF49"/>
  <c r="Y49" s="1"/>
  <c r="AJ49"/>
  <c r="AG54"/>
  <c r="AI54" s="1"/>
  <c r="AF54" s="1"/>
  <c r="Y54" s="1"/>
  <c r="AF55"/>
  <c r="Y55" s="1"/>
  <c r="AJ55"/>
  <c r="AG59"/>
  <c r="AI59" s="1"/>
  <c r="AF59" s="1"/>
  <c r="Y59" s="1"/>
  <c r="AG60"/>
  <c r="AI60" s="1"/>
  <c r="AF60" s="1"/>
  <c r="Y60" s="1"/>
  <c r="AG61"/>
  <c r="AI61" s="1"/>
  <c r="AF61" s="1"/>
  <c r="Y61" s="1"/>
  <c r="AG62"/>
  <c r="AI62" s="1"/>
  <c r="AF62" s="1"/>
  <c r="Y62" s="1"/>
  <c r="AG63"/>
  <c r="AI63" s="1"/>
  <c r="AF63" s="1"/>
  <c r="Y63" s="1"/>
  <c r="AG64"/>
  <c r="AI64" s="1"/>
  <c r="AF64" s="1"/>
  <c r="Y64" s="1"/>
  <c r="AG65"/>
  <c r="AI65" s="1"/>
  <c r="AF65" s="1"/>
  <c r="Y65" s="1"/>
  <c r="AG66"/>
  <c r="AI66" s="1"/>
  <c r="AF70"/>
  <c r="Y70" s="1"/>
  <c r="AJ70"/>
  <c r="AG71"/>
  <c r="AI71" s="1"/>
  <c r="AF71" s="1"/>
  <c r="Y71" s="1"/>
  <c r="AJ72"/>
  <c r="AF72" s="1"/>
  <c r="Y72" s="1"/>
  <c r="AG73"/>
  <c r="AI73" s="1"/>
  <c r="AF73" s="1"/>
  <c r="Y73" s="1"/>
  <c r="AG77"/>
  <c r="AI77" s="1"/>
  <c r="AF77" s="1"/>
  <c r="Y77" s="1"/>
  <c r="AF78"/>
  <c r="Y78" s="1"/>
  <c r="AJ78"/>
  <c r="AF82"/>
  <c r="Y82" s="1"/>
  <c r="AJ82"/>
  <c r="AJ86"/>
  <c r="AI43" i="78"/>
  <c r="AI49"/>
  <c r="AL53"/>
  <c r="AJ53"/>
  <c r="AK55"/>
  <c r="AG55"/>
  <c r="AI55" s="1"/>
  <c r="AK8" i="79"/>
  <c r="AG8"/>
  <c r="AI8" s="1"/>
  <c r="AK14"/>
  <c r="AG14"/>
  <c r="AI14" s="1"/>
  <c r="AK20"/>
  <c r="AG20"/>
  <c r="AI20" s="1"/>
  <c r="AF20" s="1"/>
  <c r="Y20" s="1"/>
  <c r="AK26"/>
  <c r="AG26"/>
  <c r="AI26" s="1"/>
  <c r="AH8" i="78"/>
  <c r="AI8" s="1"/>
  <c r="AJ8"/>
  <c r="AH9"/>
  <c r="AI9" s="1"/>
  <c r="AJ9"/>
  <c r="AH10"/>
  <c r="AI10" s="1"/>
  <c r="AJ10"/>
  <c r="AH11"/>
  <c r="AI11" s="1"/>
  <c r="AJ11"/>
  <c r="AH12"/>
  <c r="AI12" s="1"/>
  <c r="AF12" s="1"/>
  <c r="Y12" s="1"/>
  <c r="AJ12"/>
  <c r="AG13"/>
  <c r="AI13" s="1"/>
  <c r="AK13"/>
  <c r="AH14"/>
  <c r="AI14" s="1"/>
  <c r="AJ14"/>
  <c r="AH15"/>
  <c r="AI15" s="1"/>
  <c r="AF15" s="1"/>
  <c r="Y15" s="1"/>
  <c r="AJ15"/>
  <c r="AF16"/>
  <c r="Y16" s="1"/>
  <c r="AH16"/>
  <c r="AI16" s="1"/>
  <c r="AJ16"/>
  <c r="AH17"/>
  <c r="AI17" s="1"/>
  <c r="AF17" s="1"/>
  <c r="Y17" s="1"/>
  <c r="AJ17"/>
  <c r="AH18"/>
  <c r="AI18" s="1"/>
  <c r="AJ18"/>
  <c r="AG19"/>
  <c r="AI19" s="1"/>
  <c r="AK19"/>
  <c r="AH20"/>
  <c r="AI20" s="1"/>
  <c r="AJ20"/>
  <c r="AF20" s="1"/>
  <c r="Y20" s="1"/>
  <c r="AH21"/>
  <c r="AI21" s="1"/>
  <c r="AJ21"/>
  <c r="AH22"/>
  <c r="AI22" s="1"/>
  <c r="AF22" s="1"/>
  <c r="Y22" s="1"/>
  <c r="AJ22"/>
  <c r="AH23"/>
  <c r="AI23" s="1"/>
  <c r="AJ23"/>
  <c r="AH24"/>
  <c r="AI24" s="1"/>
  <c r="AJ24"/>
  <c r="AG25"/>
  <c r="AI25" s="1"/>
  <c r="AK25"/>
  <c r="AH26"/>
  <c r="AI26" s="1"/>
  <c r="AJ26"/>
  <c r="AH27"/>
  <c r="AI27" s="1"/>
  <c r="AJ27"/>
  <c r="AF27" s="1"/>
  <c r="Y27" s="1"/>
  <c r="AH28"/>
  <c r="AI28" s="1"/>
  <c r="AJ28"/>
  <c r="AH29"/>
  <c r="AI29" s="1"/>
  <c r="AF29" s="1"/>
  <c r="Y29" s="1"/>
  <c r="AJ29"/>
  <c r="AH30"/>
  <c r="AI30" s="1"/>
  <c r="AF30" s="1"/>
  <c r="Y30" s="1"/>
  <c r="AJ30"/>
  <c r="AG31"/>
  <c r="AI31" s="1"/>
  <c r="AK31"/>
  <c r="AF32"/>
  <c r="Y32" s="1"/>
  <c r="AH32"/>
  <c r="AI32" s="1"/>
  <c r="AJ32"/>
  <c r="AH33"/>
  <c r="AI33" s="1"/>
  <c r="AJ33"/>
  <c r="AH34"/>
  <c r="AI34" s="1"/>
  <c r="AJ34"/>
  <c r="AH35"/>
  <c r="AI35" s="1"/>
  <c r="AJ35"/>
  <c r="AJ36"/>
  <c r="AL36"/>
  <c r="AK37"/>
  <c r="AJ38"/>
  <c r="AL38"/>
  <c r="AJ39"/>
  <c r="AL39"/>
  <c r="AJ40"/>
  <c r="AL40"/>
  <c r="AJ41"/>
  <c r="AL41"/>
  <c r="AJ42"/>
  <c r="AL42"/>
  <c r="AK43"/>
  <c r="AJ44"/>
  <c r="AL44"/>
  <c r="AF44" s="1"/>
  <c r="Y44" s="1"/>
  <c r="AJ45"/>
  <c r="AL45"/>
  <c r="AJ46"/>
  <c r="AL46"/>
  <c r="AJ47"/>
  <c r="AL47"/>
  <c r="AJ48"/>
  <c r="AL48"/>
  <c r="AK49"/>
  <c r="AJ50"/>
  <c r="AL50"/>
  <c r="AJ51"/>
  <c r="AL51"/>
  <c r="AJ52"/>
  <c r="AL52"/>
  <c r="AJ55"/>
  <c r="AJ8" i="79"/>
  <c r="AJ14"/>
  <c r="AJ20"/>
  <c r="AJ26"/>
  <c r="AK70" i="78"/>
  <c r="AG70"/>
  <c r="AI70" s="1"/>
  <c r="AK72"/>
  <c r="AG72"/>
  <c r="AI72" s="1"/>
  <c r="AK78"/>
  <c r="AG78"/>
  <c r="AI78" s="1"/>
  <c r="AK82"/>
  <c r="AG82"/>
  <c r="AI82" s="1"/>
  <c r="AK86"/>
  <c r="AG86"/>
  <c r="AI86" s="1"/>
  <c r="AK9" i="79"/>
  <c r="AG9"/>
  <c r="AI9" s="1"/>
  <c r="AK10"/>
  <c r="AG10"/>
  <c r="AI10" s="1"/>
  <c r="AK11"/>
  <c r="AG11"/>
  <c r="AI11" s="1"/>
  <c r="AK12"/>
  <c r="AG12"/>
  <c r="AI12" s="1"/>
  <c r="AK15"/>
  <c r="AG15"/>
  <c r="AI15" s="1"/>
  <c r="AK16"/>
  <c r="AG16"/>
  <c r="AI16" s="1"/>
  <c r="AK17"/>
  <c r="AG17"/>
  <c r="AI17" s="1"/>
  <c r="AK18"/>
  <c r="AG18"/>
  <c r="AI18" s="1"/>
  <c r="AK21"/>
  <c r="AG21"/>
  <c r="AI21" s="1"/>
  <c r="AK22"/>
  <c r="AG22"/>
  <c r="AI22" s="1"/>
  <c r="AK23"/>
  <c r="AG23"/>
  <c r="AI23" s="1"/>
  <c r="AK24"/>
  <c r="AG24"/>
  <c r="AI24" s="1"/>
  <c r="AK27"/>
  <c r="AG27"/>
  <c r="AI27" s="1"/>
  <c r="AK28"/>
  <c r="AG28"/>
  <c r="AI28" s="1"/>
  <c r="AF13" i="78"/>
  <c r="Y13" s="1"/>
  <c r="AJ13"/>
  <c r="AJ19"/>
  <c r="AF25"/>
  <c r="Y25" s="1"/>
  <c r="AJ25"/>
  <c r="AF31"/>
  <c r="Y31" s="1"/>
  <c r="AJ31"/>
  <c r="AG36"/>
  <c r="AI36" s="1"/>
  <c r="AF36" s="1"/>
  <c r="Y36" s="1"/>
  <c r="AJ37"/>
  <c r="AF37" s="1"/>
  <c r="Y37" s="1"/>
  <c r="AG38"/>
  <c r="AI38" s="1"/>
  <c r="AF38" s="1"/>
  <c r="Y38" s="1"/>
  <c r="AG39"/>
  <c r="AI39" s="1"/>
  <c r="AF39" s="1"/>
  <c r="Y39" s="1"/>
  <c r="AG40"/>
  <c r="AI40" s="1"/>
  <c r="AF40" s="1"/>
  <c r="Y40" s="1"/>
  <c r="AG41"/>
  <c r="AI41" s="1"/>
  <c r="AF41" s="1"/>
  <c r="Y41" s="1"/>
  <c r="AG42"/>
  <c r="AI42" s="1"/>
  <c r="AF42" s="1"/>
  <c r="Y42" s="1"/>
  <c r="AF43"/>
  <c r="Y43" s="1"/>
  <c r="AJ43"/>
  <c r="AG44"/>
  <c r="AI44" s="1"/>
  <c r="AG45"/>
  <c r="AI45" s="1"/>
  <c r="AF45" s="1"/>
  <c r="Y45" s="1"/>
  <c r="AG46"/>
  <c r="AI46" s="1"/>
  <c r="AF46" s="1"/>
  <c r="Y46" s="1"/>
  <c r="AG47"/>
  <c r="AI47" s="1"/>
  <c r="AF47" s="1"/>
  <c r="Y47" s="1"/>
  <c r="AG48"/>
  <c r="AI48" s="1"/>
  <c r="AF48" s="1"/>
  <c r="Y48" s="1"/>
  <c r="AF49"/>
  <c r="Y49" s="1"/>
  <c r="AJ49"/>
  <c r="AG50"/>
  <c r="AI50" s="1"/>
  <c r="AF50" s="1"/>
  <c r="Y50" s="1"/>
  <c r="AG51"/>
  <c r="AI51" s="1"/>
  <c r="AF51" s="1"/>
  <c r="Y51" s="1"/>
  <c r="AG52"/>
  <c r="AI52" s="1"/>
  <c r="AF52" s="1"/>
  <c r="Y52" s="1"/>
  <c r="AG53"/>
  <c r="AI53" s="1"/>
  <c r="AK53"/>
  <c r="AL55"/>
  <c r="AF55" s="1"/>
  <c r="Y55" s="1"/>
  <c r="AF70"/>
  <c r="Y70" s="1"/>
  <c r="AJ70"/>
  <c r="AL71"/>
  <c r="AK71"/>
  <c r="AF72"/>
  <c r="Y72" s="1"/>
  <c r="AJ72"/>
  <c r="AL73"/>
  <c r="AK73"/>
  <c r="AL77"/>
  <c r="AK77"/>
  <c r="AF78"/>
  <c r="Y78" s="1"/>
  <c r="AJ78"/>
  <c r="AF82"/>
  <c r="Y82" s="1"/>
  <c r="AJ82"/>
  <c r="AJ86"/>
  <c r="AF86" s="1"/>
  <c r="Y86" s="1"/>
  <c r="AL8" i="79"/>
  <c r="AJ9"/>
  <c r="AJ10"/>
  <c r="AF10" s="1"/>
  <c r="Y10" s="1"/>
  <c r="AF11"/>
  <c r="Y11" s="1"/>
  <c r="AJ11"/>
  <c r="AF12"/>
  <c r="Y12" s="1"/>
  <c r="AJ12"/>
  <c r="AL14"/>
  <c r="AF14" s="1"/>
  <c r="Y14" s="1"/>
  <c r="AJ15"/>
  <c r="AF15" s="1"/>
  <c r="Y15" s="1"/>
  <c r="AJ16"/>
  <c r="AF16" s="1"/>
  <c r="Y16" s="1"/>
  <c r="AF17"/>
  <c r="Y17" s="1"/>
  <c r="AJ17"/>
  <c r="AJ18"/>
  <c r="AF18" s="1"/>
  <c r="Y18" s="1"/>
  <c r="AL20"/>
  <c r="AF21"/>
  <c r="Y21" s="1"/>
  <c r="AJ21"/>
  <c r="AF22"/>
  <c r="Y22" s="1"/>
  <c r="AJ22"/>
  <c r="AJ23"/>
  <c r="AF23" s="1"/>
  <c r="Y23" s="1"/>
  <c r="AF24"/>
  <c r="Y24" s="1"/>
  <c r="AJ24"/>
  <c r="AL26"/>
  <c r="AF26" s="1"/>
  <c r="Y26" s="1"/>
  <c r="AF27"/>
  <c r="Y27" s="1"/>
  <c r="AJ27"/>
  <c r="AF28"/>
  <c r="Y28" s="1"/>
  <c r="AJ28"/>
  <c r="AI78"/>
  <c r="AI86"/>
  <c r="AI9" i="80"/>
  <c r="AI10"/>
  <c r="AI12"/>
  <c r="AI14"/>
  <c r="AI16"/>
  <c r="AI18"/>
  <c r="AH29" i="79"/>
  <c r="AI29" s="1"/>
  <c r="AJ29"/>
  <c r="AH30"/>
  <c r="AI30" s="1"/>
  <c r="AF30" s="1"/>
  <c r="Y30" s="1"/>
  <c r="AJ30"/>
  <c r="AG31"/>
  <c r="AI31" s="1"/>
  <c r="AK31"/>
  <c r="AF32"/>
  <c r="Y32" s="1"/>
  <c r="AH32"/>
  <c r="AI32" s="1"/>
  <c r="AJ32"/>
  <c r="AH33"/>
  <c r="AI33" s="1"/>
  <c r="AF33" s="1"/>
  <c r="Y33" s="1"/>
  <c r="AJ33"/>
  <c r="AH34"/>
  <c r="AI34" s="1"/>
  <c r="AF34" s="1"/>
  <c r="Y34" s="1"/>
  <c r="AJ34"/>
  <c r="AH35"/>
  <c r="AI35" s="1"/>
  <c r="AJ35"/>
  <c r="AH36"/>
  <c r="AI36" s="1"/>
  <c r="AF36" s="1"/>
  <c r="Y36" s="1"/>
  <c r="AJ36"/>
  <c r="AG37"/>
  <c r="AI37" s="1"/>
  <c r="AK37"/>
  <c r="AH38"/>
  <c r="AI38" s="1"/>
  <c r="AF38" s="1"/>
  <c r="Y38" s="1"/>
  <c r="AJ38"/>
  <c r="AJ39"/>
  <c r="AL39"/>
  <c r="AJ40"/>
  <c r="AL40"/>
  <c r="AJ41"/>
  <c r="AL41"/>
  <c r="AJ42"/>
  <c r="AL42"/>
  <c r="AK43"/>
  <c r="AJ44"/>
  <c r="AL44"/>
  <c r="AF44" s="1"/>
  <c r="Y44" s="1"/>
  <c r="AJ45"/>
  <c r="AL45"/>
  <c r="AJ46"/>
  <c r="AL46"/>
  <c r="AJ47"/>
  <c r="AL47"/>
  <c r="AJ48"/>
  <c r="AL48"/>
  <c r="AK49"/>
  <c r="AJ50"/>
  <c r="AL50"/>
  <c r="AJ51"/>
  <c r="AL51"/>
  <c r="AJ52"/>
  <c r="AL52"/>
  <c r="AJ53"/>
  <c r="AL53"/>
  <c r="AJ54"/>
  <c r="AL54"/>
  <c r="AK55"/>
  <c r="AJ59"/>
  <c r="AL59"/>
  <c r="AJ60"/>
  <c r="AL60"/>
  <c r="AJ61"/>
  <c r="AL61"/>
  <c r="AJ62"/>
  <c r="AL62"/>
  <c r="AJ63"/>
  <c r="AL63"/>
  <c r="AF63" s="1"/>
  <c r="Y63" s="1"/>
  <c r="AJ64"/>
  <c r="AL64"/>
  <c r="AJ65"/>
  <c r="AL65"/>
  <c r="AJ66"/>
  <c r="AL66"/>
  <c r="AK70"/>
  <c r="AJ71"/>
  <c r="AL71"/>
  <c r="AK72"/>
  <c r="AJ73"/>
  <c r="AL73"/>
  <c r="AJ77"/>
  <c r="AL77"/>
  <c r="AK78"/>
  <c r="AK82"/>
  <c r="AK86"/>
  <c r="AK8" i="80"/>
  <c r="AK9"/>
  <c r="AK10"/>
  <c r="AK11"/>
  <c r="AK12"/>
  <c r="AJ13"/>
  <c r="AL13"/>
  <c r="AK14"/>
  <c r="AK15"/>
  <c r="AK16"/>
  <c r="AK17"/>
  <c r="AK18"/>
  <c r="AJ19"/>
  <c r="AL19"/>
  <c r="AG20"/>
  <c r="AI20" s="1"/>
  <c r="AF20" s="1"/>
  <c r="Y20" s="1"/>
  <c r="AK20"/>
  <c r="AL21"/>
  <c r="AK21"/>
  <c r="AL23"/>
  <c r="AK23"/>
  <c r="AL27"/>
  <c r="AI55"/>
  <c r="AK25"/>
  <c r="AG25"/>
  <c r="AI25" s="1"/>
  <c r="AK27"/>
  <c r="AH27"/>
  <c r="AI27" s="1"/>
  <c r="AF54" i="78"/>
  <c r="Y54" s="1"/>
  <c r="AJ54"/>
  <c r="AF59"/>
  <c r="Y59" s="1"/>
  <c r="AJ59"/>
  <c r="AF60"/>
  <c r="Y60" s="1"/>
  <c r="AJ60"/>
  <c r="AF61"/>
  <c r="Y61" s="1"/>
  <c r="AJ61"/>
  <c r="AF62"/>
  <c r="Y62" s="1"/>
  <c r="AJ62"/>
  <c r="AF63"/>
  <c r="Y63" s="1"/>
  <c r="AJ63"/>
  <c r="AF64"/>
  <c r="Y64" s="1"/>
  <c r="AJ64"/>
  <c r="AF65"/>
  <c r="Y65" s="1"/>
  <c r="AJ65"/>
  <c r="AF66"/>
  <c r="Y66" s="1"/>
  <c r="AJ66"/>
  <c r="AJ71"/>
  <c r="AF71" s="1"/>
  <c r="Y71" s="1"/>
  <c r="AF73"/>
  <c r="Y73" s="1"/>
  <c r="AJ73"/>
  <c r="AF77"/>
  <c r="Y77" s="1"/>
  <c r="AJ77"/>
  <c r="AF13" i="79"/>
  <c r="Y13" s="1"/>
  <c r="AJ13"/>
  <c r="AF19"/>
  <c r="Y19" s="1"/>
  <c r="AJ19"/>
  <c r="AF25"/>
  <c r="Y25" s="1"/>
  <c r="AJ25"/>
  <c r="AJ31"/>
  <c r="AF31" s="1"/>
  <c r="Y31" s="1"/>
  <c r="AJ37"/>
  <c r="AF37" s="1"/>
  <c r="Y37" s="1"/>
  <c r="AG39"/>
  <c r="AI39" s="1"/>
  <c r="AF39" s="1"/>
  <c r="Y39" s="1"/>
  <c r="AG40"/>
  <c r="AI40" s="1"/>
  <c r="AF40" s="1"/>
  <c r="Y40" s="1"/>
  <c r="AG41"/>
  <c r="AI41" s="1"/>
  <c r="AF41" s="1"/>
  <c r="Y41" s="1"/>
  <c r="AG42"/>
  <c r="AI42" s="1"/>
  <c r="AF42" s="1"/>
  <c r="Y42" s="1"/>
  <c r="AF43"/>
  <c r="Y43" s="1"/>
  <c r="AJ43"/>
  <c r="AG44"/>
  <c r="AI44" s="1"/>
  <c r="AG45"/>
  <c r="AI45" s="1"/>
  <c r="AF45" s="1"/>
  <c r="Y45" s="1"/>
  <c r="AG46"/>
  <c r="AI46" s="1"/>
  <c r="AF46" s="1"/>
  <c r="Y46" s="1"/>
  <c r="AG47"/>
  <c r="AI47" s="1"/>
  <c r="AF47" s="1"/>
  <c r="Y47" s="1"/>
  <c r="AG48"/>
  <c r="AI48" s="1"/>
  <c r="AF48" s="1"/>
  <c r="Y48" s="1"/>
  <c r="AJ49"/>
  <c r="AF49" s="1"/>
  <c r="Y49" s="1"/>
  <c r="AG50"/>
  <c r="AI50" s="1"/>
  <c r="AF50" s="1"/>
  <c r="Y50" s="1"/>
  <c r="AG51"/>
  <c r="AI51" s="1"/>
  <c r="AF51" s="1"/>
  <c r="Y51" s="1"/>
  <c r="AG52"/>
  <c r="AI52" s="1"/>
  <c r="AF52" s="1"/>
  <c r="Y52" s="1"/>
  <c r="AG53"/>
  <c r="AI53" s="1"/>
  <c r="AG54"/>
  <c r="AI54" s="1"/>
  <c r="AF54" s="1"/>
  <c r="Y54" s="1"/>
  <c r="AJ55"/>
  <c r="AF55" s="1"/>
  <c r="Y55" s="1"/>
  <c r="BB58"/>
  <c r="S3" s="1"/>
  <c r="H54" i="22" s="1"/>
  <c r="AG59" i="79"/>
  <c r="AI59" s="1"/>
  <c r="AF59" s="1"/>
  <c r="Y59" s="1"/>
  <c r="AG60"/>
  <c r="AI60" s="1"/>
  <c r="AF60" s="1"/>
  <c r="Y60" s="1"/>
  <c r="AG61"/>
  <c r="AI61" s="1"/>
  <c r="AF61" s="1"/>
  <c r="Y61" s="1"/>
  <c r="AG62"/>
  <c r="AI62" s="1"/>
  <c r="AF62" s="1"/>
  <c r="Y62" s="1"/>
  <c r="AG63"/>
  <c r="AI63" s="1"/>
  <c r="AG64"/>
  <c r="AI64" s="1"/>
  <c r="AF64" s="1"/>
  <c r="Y64" s="1"/>
  <c r="AG65"/>
  <c r="AI65" s="1"/>
  <c r="AF65" s="1"/>
  <c r="Y65" s="1"/>
  <c r="AG66"/>
  <c r="AI66" s="1"/>
  <c r="AF66" s="1"/>
  <c r="Y66" s="1"/>
  <c r="AJ70"/>
  <c r="AF70" s="1"/>
  <c r="Y70" s="1"/>
  <c r="AG71"/>
  <c r="AI71" s="1"/>
  <c r="AF71" s="1"/>
  <c r="Y71" s="1"/>
  <c r="AF72"/>
  <c r="Y72" s="1"/>
  <c r="AJ72"/>
  <c r="AG73"/>
  <c r="AI73" s="1"/>
  <c r="AF73" s="1"/>
  <c r="Y73" s="1"/>
  <c r="AG77"/>
  <c r="AI77" s="1"/>
  <c r="AF77" s="1"/>
  <c r="Y77" s="1"/>
  <c r="AF78"/>
  <c r="Y78" s="1"/>
  <c r="AJ78"/>
  <c r="AJ82"/>
  <c r="AF82" s="1"/>
  <c r="Y82" s="1"/>
  <c r="AJ86"/>
  <c r="AJ8" i="80"/>
  <c r="AF8" s="1"/>
  <c r="AJ9"/>
  <c r="AJ10"/>
  <c r="AF10" s="1"/>
  <c r="Y10" s="1"/>
  <c r="AJ11"/>
  <c r="AF11" s="1"/>
  <c r="Y11" s="1"/>
  <c r="AF12"/>
  <c r="Y12" s="1"/>
  <c r="AJ12"/>
  <c r="AG13"/>
  <c r="AI13" s="1"/>
  <c r="AF13" s="1"/>
  <c r="Y13" s="1"/>
  <c r="AJ14"/>
  <c r="AF14" s="1"/>
  <c r="Y14" s="1"/>
  <c r="AF15"/>
  <c r="Y15" s="1"/>
  <c r="AJ15"/>
  <c r="AJ16"/>
  <c r="AF16" s="1"/>
  <c r="Y16" s="1"/>
  <c r="AJ17"/>
  <c r="AF17" s="1"/>
  <c r="Y17" s="1"/>
  <c r="AF18"/>
  <c r="Y18" s="1"/>
  <c r="AJ18"/>
  <c r="AG19"/>
  <c r="AI19" s="1"/>
  <c r="AJ20"/>
  <c r="AL22"/>
  <c r="AK22"/>
  <c r="AF25"/>
  <c r="Y25" s="1"/>
  <c r="AJ25"/>
  <c r="AI8" i="81"/>
  <c r="AJ21" i="80"/>
  <c r="AF21" s="1"/>
  <c r="Y21" s="1"/>
  <c r="AJ22"/>
  <c r="AF22" s="1"/>
  <c r="Y22" s="1"/>
  <c r="AF23"/>
  <c r="Y23" s="1"/>
  <c r="AJ23"/>
  <c r="AF24"/>
  <c r="Y24" s="1"/>
  <c r="AJ24"/>
  <c r="AJ26"/>
  <c r="AF26" s="1"/>
  <c r="Y26" s="1"/>
  <c r="AJ27"/>
  <c r="AF27" s="1"/>
  <c r="Y27" s="1"/>
  <c r="AH28"/>
  <c r="AI28" s="1"/>
  <c r="AF28" s="1"/>
  <c r="Y28" s="1"/>
  <c r="AJ28"/>
  <c r="AH29"/>
  <c r="AI29" s="1"/>
  <c r="AJ29"/>
  <c r="AH30"/>
  <c r="AI30" s="1"/>
  <c r="AF30" s="1"/>
  <c r="Y30" s="1"/>
  <c r="AJ30"/>
  <c r="AG31"/>
  <c r="AI31" s="1"/>
  <c r="AK31"/>
  <c r="AH32"/>
  <c r="AI32" s="1"/>
  <c r="AJ32"/>
  <c r="AH33"/>
  <c r="AI33" s="1"/>
  <c r="AF33" s="1"/>
  <c r="Y33" s="1"/>
  <c r="AJ33"/>
  <c r="AH34"/>
  <c r="AI34" s="1"/>
  <c r="AF34" s="1"/>
  <c r="Y34" s="1"/>
  <c r="AJ34"/>
  <c r="AH35"/>
  <c r="AI35" s="1"/>
  <c r="AF35" s="1"/>
  <c r="Y35" s="1"/>
  <c r="AJ35"/>
  <c r="AH36"/>
  <c r="AI36" s="1"/>
  <c r="AF36" s="1"/>
  <c r="Y36" s="1"/>
  <c r="AJ36"/>
  <c r="AG37"/>
  <c r="AI37" s="1"/>
  <c r="AK37"/>
  <c r="AH38"/>
  <c r="AI38" s="1"/>
  <c r="AF38" s="1"/>
  <c r="Y38" s="1"/>
  <c r="AJ38"/>
  <c r="AH39"/>
  <c r="AI39" s="1"/>
  <c r="AJ39"/>
  <c r="AH40"/>
  <c r="AI40" s="1"/>
  <c r="AJ40"/>
  <c r="AH41"/>
  <c r="AI41" s="1"/>
  <c r="AF41" s="1"/>
  <c r="Y41" s="1"/>
  <c r="AJ41"/>
  <c r="AH42"/>
  <c r="AI42" s="1"/>
  <c r="AJ42"/>
  <c r="AF42" s="1"/>
  <c r="Y42" s="1"/>
  <c r="AG43"/>
  <c r="AI43" s="1"/>
  <c r="AK43"/>
  <c r="AH44"/>
  <c r="AI44" s="1"/>
  <c r="AJ44"/>
  <c r="AF44" s="1"/>
  <c r="Y44" s="1"/>
  <c r="AH45"/>
  <c r="AI45" s="1"/>
  <c r="AJ45"/>
  <c r="AH46"/>
  <c r="AI46" s="1"/>
  <c r="AJ46"/>
  <c r="AH47"/>
  <c r="AI47" s="1"/>
  <c r="AF47" s="1"/>
  <c r="Y47" s="1"/>
  <c r="AJ47"/>
  <c r="AH48"/>
  <c r="AI48" s="1"/>
  <c r="AF48" s="1"/>
  <c r="Y48" s="1"/>
  <c r="AJ48"/>
  <c r="AG49"/>
  <c r="AI49" s="1"/>
  <c r="AK49"/>
  <c r="AH50"/>
  <c r="AI50" s="1"/>
  <c r="AJ50"/>
  <c r="AH51"/>
  <c r="AI51" s="1"/>
  <c r="AF51" s="1"/>
  <c r="Y51" s="1"/>
  <c r="AJ51"/>
  <c r="AJ52"/>
  <c r="AL52"/>
  <c r="AJ53"/>
  <c r="AL53"/>
  <c r="AJ54"/>
  <c r="AL54"/>
  <c r="AK55"/>
  <c r="AJ59"/>
  <c r="AL59"/>
  <c r="AJ60"/>
  <c r="AL60"/>
  <c r="AJ61"/>
  <c r="AL61"/>
  <c r="AJ62"/>
  <c r="AL62"/>
  <c r="AJ63"/>
  <c r="AL63"/>
  <c r="AF63" s="1"/>
  <c r="Y63" s="1"/>
  <c r="AJ64"/>
  <c r="AL64"/>
  <c r="AJ65"/>
  <c r="AL65"/>
  <c r="AJ66"/>
  <c r="AL66"/>
  <c r="AG70"/>
  <c r="AI70" s="1"/>
  <c r="AK70"/>
  <c r="AJ71"/>
  <c r="AL71"/>
  <c r="AG72"/>
  <c r="AI72" s="1"/>
  <c r="AF72" s="1"/>
  <c r="Y72" s="1"/>
  <c r="AK72"/>
  <c r="AJ73"/>
  <c r="AL73"/>
  <c r="AJ77"/>
  <c r="AL77"/>
  <c r="AG78"/>
  <c r="AI78" s="1"/>
  <c r="AK78"/>
  <c r="AG82"/>
  <c r="AI82" s="1"/>
  <c r="AK82"/>
  <c r="AG86"/>
  <c r="AI86" s="1"/>
  <c r="AK86"/>
  <c r="AK8" i="81"/>
  <c r="AG9"/>
  <c r="AI9" s="1"/>
  <c r="AK9"/>
  <c r="AG10"/>
  <c r="AI10" s="1"/>
  <c r="AK10"/>
  <c r="AG11"/>
  <c r="AI11" s="1"/>
  <c r="AK11"/>
  <c r="AG12"/>
  <c r="AI12" s="1"/>
  <c r="AK12"/>
  <c r="AH13"/>
  <c r="AI13" s="1"/>
  <c r="AJ13"/>
  <c r="AG14"/>
  <c r="AI14" s="1"/>
  <c r="AK14"/>
  <c r="AG15"/>
  <c r="AI15" s="1"/>
  <c r="AK15"/>
  <c r="AL17"/>
  <c r="AK17"/>
  <c r="AL21"/>
  <c r="AK21"/>
  <c r="AI55"/>
  <c r="AK19"/>
  <c r="AG19"/>
  <c r="AI19" s="1"/>
  <c r="AF31" i="80"/>
  <c r="Y31" s="1"/>
  <c r="AJ31"/>
  <c r="AJ37"/>
  <c r="AF37" s="1"/>
  <c r="Y37" s="1"/>
  <c r="AF43"/>
  <c r="Y43" s="1"/>
  <c r="AJ43"/>
  <c r="AF49"/>
  <c r="Y49" s="1"/>
  <c r="AJ49"/>
  <c r="AG52"/>
  <c r="AI52" s="1"/>
  <c r="AF52" s="1"/>
  <c r="Y52" s="1"/>
  <c r="AG53"/>
  <c r="AI53" s="1"/>
  <c r="AG54"/>
  <c r="AI54" s="1"/>
  <c r="AF54" s="1"/>
  <c r="Y54" s="1"/>
  <c r="AJ55"/>
  <c r="AF55" s="1"/>
  <c r="Y55" s="1"/>
  <c r="BB58"/>
  <c r="AG59"/>
  <c r="AI59" s="1"/>
  <c r="AF59" s="1"/>
  <c r="Y59" s="1"/>
  <c r="AG60"/>
  <c r="AI60" s="1"/>
  <c r="AF60" s="1"/>
  <c r="Y60" s="1"/>
  <c r="AG61"/>
  <c r="AI61" s="1"/>
  <c r="AF61" s="1"/>
  <c r="Y61" s="1"/>
  <c r="AG62"/>
  <c r="AI62" s="1"/>
  <c r="AF62" s="1"/>
  <c r="Y62" s="1"/>
  <c r="AG63"/>
  <c r="AI63" s="1"/>
  <c r="AG64"/>
  <c r="AI64" s="1"/>
  <c r="AF64" s="1"/>
  <c r="Y64" s="1"/>
  <c r="AG65"/>
  <c r="AI65" s="1"/>
  <c r="AF65" s="1"/>
  <c r="Y65" s="1"/>
  <c r="AG66"/>
  <c r="AI66" s="1"/>
  <c r="AF66" s="1"/>
  <c r="Y66" s="1"/>
  <c r="AF70"/>
  <c r="Y70" s="1"/>
  <c r="AJ70"/>
  <c r="AG71"/>
  <c r="AI71" s="1"/>
  <c r="AF71" s="1"/>
  <c r="Y71" s="1"/>
  <c r="AJ72"/>
  <c r="AG73"/>
  <c r="AI73" s="1"/>
  <c r="AF73" s="1"/>
  <c r="Y73" s="1"/>
  <c r="AG77"/>
  <c r="AI77" s="1"/>
  <c r="AF77" s="1"/>
  <c r="Y77" s="1"/>
  <c r="AF78"/>
  <c r="Y78" s="1"/>
  <c r="AJ78"/>
  <c r="AF82"/>
  <c r="Y82" s="1"/>
  <c r="AJ82"/>
  <c r="AJ86"/>
  <c r="AF86" s="1"/>
  <c r="Y86" s="1"/>
  <c r="AJ8" i="81"/>
  <c r="AF8" s="1"/>
  <c r="AJ9"/>
  <c r="AF9" s="1"/>
  <c r="Y9" s="1"/>
  <c r="AJ10"/>
  <c r="AF10" s="1"/>
  <c r="Y10" s="1"/>
  <c r="AJ11"/>
  <c r="AF11" s="1"/>
  <c r="Y11" s="1"/>
  <c r="AF12"/>
  <c r="Y12" s="1"/>
  <c r="AJ12"/>
  <c r="AF14"/>
  <c r="Y14" s="1"/>
  <c r="AJ14"/>
  <c r="AF15"/>
  <c r="Y15" s="1"/>
  <c r="AJ15"/>
  <c r="AF19"/>
  <c r="Y19" s="1"/>
  <c r="AJ19"/>
  <c r="AJ16"/>
  <c r="AF16" s="1"/>
  <c r="Y16" s="1"/>
  <c r="AF17"/>
  <c r="Y17" s="1"/>
  <c r="AJ17"/>
  <c r="AF18"/>
  <c r="Y18" s="1"/>
  <c r="AJ18"/>
  <c r="AJ20"/>
  <c r="AF20" s="1"/>
  <c r="Y20" s="1"/>
  <c r="AF21"/>
  <c r="Y21" s="1"/>
  <c r="AJ21"/>
  <c r="AF22"/>
  <c r="Y22" s="1"/>
  <c r="AJ22"/>
  <c r="AH23"/>
  <c r="AI23" s="1"/>
  <c r="AJ23"/>
  <c r="AH24"/>
  <c r="AI24" s="1"/>
  <c r="AJ24"/>
  <c r="AG25"/>
  <c r="AI25" s="1"/>
  <c r="AK25"/>
  <c r="AH26"/>
  <c r="AI26" s="1"/>
  <c r="AJ26"/>
  <c r="AF26" s="1"/>
  <c r="Y26" s="1"/>
  <c r="AH27"/>
  <c r="AI27" s="1"/>
  <c r="AF27" s="1"/>
  <c r="Y27" s="1"/>
  <c r="AJ27"/>
  <c r="AH28"/>
  <c r="AI28" s="1"/>
  <c r="AF28" s="1"/>
  <c r="Y28" s="1"/>
  <c r="AJ28"/>
  <c r="AH29"/>
  <c r="AI29" s="1"/>
  <c r="AF29" s="1"/>
  <c r="Y29" s="1"/>
  <c r="AJ29"/>
  <c r="AH30"/>
  <c r="AI30" s="1"/>
  <c r="AJ30"/>
  <c r="AG31"/>
  <c r="AI31" s="1"/>
  <c r="AK31"/>
  <c r="AF32"/>
  <c r="Y32" s="1"/>
  <c r="AH32"/>
  <c r="AI32" s="1"/>
  <c r="AJ32"/>
  <c r="AH33"/>
  <c r="AI33" s="1"/>
  <c r="AJ33"/>
  <c r="AH34"/>
  <c r="AI34" s="1"/>
  <c r="AF34" s="1"/>
  <c r="Y34" s="1"/>
  <c r="AJ34"/>
  <c r="AH35"/>
  <c r="AI35" s="1"/>
  <c r="AJ35"/>
  <c r="AH36"/>
  <c r="AI36" s="1"/>
  <c r="AF36" s="1"/>
  <c r="Y36" s="1"/>
  <c r="AJ36"/>
  <c r="AG37"/>
  <c r="AI37" s="1"/>
  <c r="AK37"/>
  <c r="AH38"/>
  <c r="AI38" s="1"/>
  <c r="AF38" s="1"/>
  <c r="Y38" s="1"/>
  <c r="AJ38"/>
  <c r="AH39"/>
  <c r="AI39" s="1"/>
  <c r="AJ39"/>
  <c r="AH40"/>
  <c r="AI40" s="1"/>
  <c r="AF40" s="1"/>
  <c r="Y40" s="1"/>
  <c r="AJ40"/>
  <c r="AH41"/>
  <c r="AI41" s="1"/>
  <c r="AF41" s="1"/>
  <c r="Y41" s="1"/>
  <c r="AJ41"/>
  <c r="AH42"/>
  <c r="AI42" s="1"/>
  <c r="AJ42"/>
  <c r="AF42" s="1"/>
  <c r="Y42" s="1"/>
  <c r="AG43"/>
  <c r="AI43" s="1"/>
  <c r="AK43"/>
  <c r="AH44"/>
  <c r="AI44" s="1"/>
  <c r="AJ44"/>
  <c r="AF44" s="1"/>
  <c r="Y44" s="1"/>
  <c r="AH45"/>
  <c r="AI45" s="1"/>
  <c r="AJ45"/>
  <c r="AF45" s="1"/>
  <c r="Y45" s="1"/>
  <c r="AH46"/>
  <c r="AI46" s="1"/>
  <c r="AJ46"/>
  <c r="AH47"/>
  <c r="AI47" s="1"/>
  <c r="AF47" s="1"/>
  <c r="Y47" s="1"/>
  <c r="AJ47"/>
  <c r="AH48"/>
  <c r="AI48" s="1"/>
  <c r="AF48" s="1"/>
  <c r="Y48" s="1"/>
  <c r="AJ48"/>
  <c r="AG49"/>
  <c r="AI49" s="1"/>
  <c r="AK49"/>
  <c r="AH50"/>
  <c r="AI50" s="1"/>
  <c r="AF50" s="1"/>
  <c r="Y50" s="1"/>
  <c r="AJ50"/>
  <c r="AH51"/>
  <c r="AI51" s="1"/>
  <c r="AF51" s="1"/>
  <c r="Y51" s="1"/>
  <c r="AJ51"/>
  <c r="AH52"/>
  <c r="AI52" s="1"/>
  <c r="AJ52"/>
  <c r="AH53"/>
  <c r="AI53" s="1"/>
  <c r="AF53" s="1"/>
  <c r="Y53" s="1"/>
  <c r="AJ53"/>
  <c r="AJ54"/>
  <c r="AL54"/>
  <c r="AK55"/>
  <c r="AJ59"/>
  <c r="AL59"/>
  <c r="AJ60"/>
  <c r="AL60"/>
  <c r="AJ61"/>
  <c r="AL61"/>
  <c r="AJ62"/>
  <c r="AL62"/>
  <c r="AJ63"/>
  <c r="AL63"/>
  <c r="AF63" s="1"/>
  <c r="Y63" s="1"/>
  <c r="AJ64"/>
  <c r="AL64"/>
  <c r="AJ65"/>
  <c r="AL65"/>
  <c r="AJ66"/>
  <c r="AL66"/>
  <c r="AG70"/>
  <c r="AI70" s="1"/>
  <c r="AK70"/>
  <c r="AJ71"/>
  <c r="AL71"/>
  <c r="AG72"/>
  <c r="AI72" s="1"/>
  <c r="AK72"/>
  <c r="AJ73"/>
  <c r="AL73"/>
  <c r="AJ77"/>
  <c r="AL77"/>
  <c r="AG78"/>
  <c r="AI78" s="1"/>
  <c r="AK78"/>
  <c r="AG82"/>
  <c r="AI82" s="1"/>
  <c r="AK82"/>
  <c r="AG86"/>
  <c r="AI86" s="1"/>
  <c r="AK86"/>
  <c r="AJ25"/>
  <c r="AF25" s="1"/>
  <c r="Y25" s="1"/>
  <c r="AF31"/>
  <c r="Y31" s="1"/>
  <c r="AJ31"/>
  <c r="AF37"/>
  <c r="Y37" s="1"/>
  <c r="AJ37"/>
  <c r="AJ43"/>
  <c r="AF43" s="1"/>
  <c r="Y43" s="1"/>
  <c r="AJ49"/>
  <c r="AF49" s="1"/>
  <c r="Y49" s="1"/>
  <c r="AG54"/>
  <c r="AI54" s="1"/>
  <c r="AF54" s="1"/>
  <c r="Y54" s="1"/>
  <c r="AJ55"/>
  <c r="BB58"/>
  <c r="AG59"/>
  <c r="AI59" s="1"/>
  <c r="AF59" s="1"/>
  <c r="Y59" s="1"/>
  <c r="AG60"/>
  <c r="AI60" s="1"/>
  <c r="AF60" s="1"/>
  <c r="Y60" s="1"/>
  <c r="AG61"/>
  <c r="AI61" s="1"/>
  <c r="AF61" s="1"/>
  <c r="Y61" s="1"/>
  <c r="AG62"/>
  <c r="AI62" s="1"/>
  <c r="AF62" s="1"/>
  <c r="Y62" s="1"/>
  <c r="AG63"/>
  <c r="AI63" s="1"/>
  <c r="AG64"/>
  <c r="AI64" s="1"/>
  <c r="AF64" s="1"/>
  <c r="Y64" s="1"/>
  <c r="AG65"/>
  <c r="AI65" s="1"/>
  <c r="AF65" s="1"/>
  <c r="Y65" s="1"/>
  <c r="AG66"/>
  <c r="AI66" s="1"/>
  <c r="AF66" s="1"/>
  <c r="Y66" s="1"/>
  <c r="AF70"/>
  <c r="Y70" s="1"/>
  <c r="AJ70"/>
  <c r="AG71"/>
  <c r="AI71" s="1"/>
  <c r="AF71" s="1"/>
  <c r="Y71" s="1"/>
  <c r="AF72"/>
  <c r="Y72" s="1"/>
  <c r="AJ72"/>
  <c r="AG73"/>
  <c r="AI73" s="1"/>
  <c r="AF73" s="1"/>
  <c r="Y73" s="1"/>
  <c r="AG77"/>
  <c r="AI77" s="1"/>
  <c r="AF77" s="1"/>
  <c r="Y77" s="1"/>
  <c r="AF78"/>
  <c r="Y78" s="1"/>
  <c r="AJ78"/>
  <c r="AF82"/>
  <c r="Y82" s="1"/>
  <c r="AJ82"/>
  <c r="AJ86"/>
  <c r="AF86" s="1"/>
  <c r="Y86" s="1"/>
  <c r="AL28" i="76"/>
  <c r="AJ28"/>
  <c r="AH8"/>
  <c r="AI8" s="1"/>
  <c r="AJ8"/>
  <c r="AH9"/>
  <c r="AI9" s="1"/>
  <c r="AJ9"/>
  <c r="AH10"/>
  <c r="AI10" s="1"/>
  <c r="AJ10"/>
  <c r="AH11"/>
  <c r="AI11" s="1"/>
  <c r="AF11" s="1"/>
  <c r="Y11" s="1"/>
  <c r="AJ11"/>
  <c r="AH12"/>
  <c r="AI12" s="1"/>
  <c r="AF12" s="1"/>
  <c r="Y12" s="1"/>
  <c r="AJ12"/>
  <c r="AG13"/>
  <c r="AI13" s="1"/>
  <c r="AK13"/>
  <c r="AH14"/>
  <c r="AI14" s="1"/>
  <c r="AJ14"/>
  <c r="AH15"/>
  <c r="AI15" s="1"/>
  <c r="AF15" s="1"/>
  <c r="Y15" s="1"/>
  <c r="AJ15"/>
  <c r="AH16"/>
  <c r="AI16" s="1"/>
  <c r="AJ16"/>
  <c r="AH17"/>
  <c r="AI17" s="1"/>
  <c r="AF17" s="1"/>
  <c r="Y17" s="1"/>
  <c r="AJ17"/>
  <c r="AH18"/>
  <c r="AI18" s="1"/>
  <c r="AF18" s="1"/>
  <c r="Y18" s="1"/>
  <c r="AJ18"/>
  <c r="AG19"/>
  <c r="AI19" s="1"/>
  <c r="AK19"/>
  <c r="AH20"/>
  <c r="AI20" s="1"/>
  <c r="AJ20"/>
  <c r="AH21"/>
  <c r="AI21" s="1"/>
  <c r="AF21" s="1"/>
  <c r="Y21" s="1"/>
  <c r="AJ21"/>
  <c r="AH22"/>
  <c r="AI22" s="1"/>
  <c r="AJ22"/>
  <c r="AF22" s="1"/>
  <c r="Y22" s="1"/>
  <c r="AH23"/>
  <c r="AI23" s="1"/>
  <c r="AF23" s="1"/>
  <c r="Y23" s="1"/>
  <c r="AJ23"/>
  <c r="AH24"/>
  <c r="AI24" s="1"/>
  <c r="AF24" s="1"/>
  <c r="Y24" s="1"/>
  <c r="AJ24"/>
  <c r="AG25"/>
  <c r="AI25" s="1"/>
  <c r="AK25"/>
  <c r="AH26"/>
  <c r="AI26" s="1"/>
  <c r="AJ26"/>
  <c r="AH27"/>
  <c r="AI27" s="1"/>
  <c r="AJ27"/>
  <c r="AF27" s="1"/>
  <c r="Y27" s="1"/>
  <c r="AL29"/>
  <c r="AK29"/>
  <c r="AI33"/>
  <c r="AI35"/>
  <c r="AI39"/>
  <c r="AI41"/>
  <c r="AI45"/>
  <c r="AI47"/>
  <c r="AK31"/>
  <c r="AG31"/>
  <c r="AI31" s="1"/>
  <c r="AJ13"/>
  <c r="AF13" s="1"/>
  <c r="Y13" s="1"/>
  <c r="AF19"/>
  <c r="Y19" s="1"/>
  <c r="AJ19"/>
  <c r="AJ25"/>
  <c r="AF25" s="1"/>
  <c r="Y25" s="1"/>
  <c r="AK28"/>
  <c r="AF28" s="1"/>
  <c r="Y28" s="1"/>
  <c r="AF31"/>
  <c r="Y31" s="1"/>
  <c r="AJ31"/>
  <c r="AK33"/>
  <c r="AK34"/>
  <c r="AK35"/>
  <c r="AK36"/>
  <c r="AJ37"/>
  <c r="AL37"/>
  <c r="AK38"/>
  <c r="AK39"/>
  <c r="AK40"/>
  <c r="AK41"/>
  <c r="AK42"/>
  <c r="AJ43"/>
  <c r="AL43"/>
  <c r="AK44"/>
  <c r="AK45"/>
  <c r="AK46"/>
  <c r="AK47"/>
  <c r="AG48"/>
  <c r="AI48" s="1"/>
  <c r="AK48"/>
  <c r="AH49"/>
  <c r="AI49" s="1"/>
  <c r="AJ49"/>
  <c r="AG50"/>
  <c r="AI50" s="1"/>
  <c r="AK50"/>
  <c r="AG51"/>
  <c r="AI51" s="1"/>
  <c r="AK51"/>
  <c r="AG52"/>
  <c r="AI52" s="1"/>
  <c r="AK52"/>
  <c r="AG53"/>
  <c r="AI53" s="1"/>
  <c r="AK53"/>
  <c r="AG54"/>
  <c r="AI54" s="1"/>
  <c r="AK54"/>
  <c r="AH55"/>
  <c r="AI55" s="1"/>
  <c r="AJ55"/>
  <c r="BB58"/>
  <c r="AG59"/>
  <c r="AI59" s="1"/>
  <c r="AK59"/>
  <c r="AG60"/>
  <c r="AI60" s="1"/>
  <c r="AK60"/>
  <c r="AG61"/>
  <c r="AI61" s="1"/>
  <c r="AK61"/>
  <c r="AG62"/>
  <c r="AI62" s="1"/>
  <c r="AK62"/>
  <c r="AG63"/>
  <c r="AI63" s="1"/>
  <c r="AK63"/>
  <c r="AG64"/>
  <c r="AI64" s="1"/>
  <c r="AK64"/>
  <c r="AG65"/>
  <c r="AI65" s="1"/>
  <c r="AK65"/>
  <c r="AG66"/>
  <c r="AI66" s="1"/>
  <c r="AK66"/>
  <c r="AH70"/>
  <c r="AI70" s="1"/>
  <c r="AF70" s="1"/>
  <c r="Y70" s="1"/>
  <c r="AJ70"/>
  <c r="AG71"/>
  <c r="AI71" s="1"/>
  <c r="AK71"/>
  <c r="AH72"/>
  <c r="AI72" s="1"/>
  <c r="AJ72"/>
  <c r="AG73"/>
  <c r="AI73" s="1"/>
  <c r="AK73"/>
  <c r="AG77"/>
  <c r="AI77" s="1"/>
  <c r="AK77"/>
  <c r="AH78"/>
  <c r="AI78" s="1"/>
  <c r="AF78" s="1"/>
  <c r="Y78" s="1"/>
  <c r="AJ78"/>
  <c r="AH82"/>
  <c r="AI82" s="1"/>
  <c r="AF82" s="1"/>
  <c r="Y82" s="1"/>
  <c r="AJ82"/>
  <c r="AH86"/>
  <c r="AI86" s="1"/>
  <c r="AJ86"/>
  <c r="AH8" i="77"/>
  <c r="AI8" s="1"/>
  <c r="AJ8"/>
  <c r="AH9"/>
  <c r="AI9" s="1"/>
  <c r="AJ9"/>
  <c r="AH10"/>
  <c r="AI10" s="1"/>
  <c r="AJ10"/>
  <c r="AH11"/>
  <c r="AI11" s="1"/>
  <c r="AF11" s="1"/>
  <c r="Y11" s="1"/>
  <c r="AJ11"/>
  <c r="AH12"/>
  <c r="AI12" s="1"/>
  <c r="AF12" s="1"/>
  <c r="Y12" s="1"/>
  <c r="AJ12"/>
  <c r="AG13"/>
  <c r="AI13" s="1"/>
  <c r="AK13"/>
  <c r="AJ14"/>
  <c r="AL14"/>
  <c r="AF14" s="1"/>
  <c r="Y14" s="1"/>
  <c r="AJ15"/>
  <c r="AL15"/>
  <c r="AL21"/>
  <c r="AK21"/>
  <c r="AL23"/>
  <c r="AK23"/>
  <c r="AI55"/>
  <c r="AK19"/>
  <c r="AG19"/>
  <c r="AI19" s="1"/>
  <c r="AF29" i="76"/>
  <c r="Y29" s="1"/>
  <c r="AJ29"/>
  <c r="AF30"/>
  <c r="Y30" s="1"/>
  <c r="AJ30"/>
  <c r="AF32"/>
  <c r="Y32" s="1"/>
  <c r="AJ32"/>
  <c r="AF33"/>
  <c r="Y33" s="1"/>
  <c r="AJ33"/>
  <c r="AJ34"/>
  <c r="AF34" s="1"/>
  <c r="Y34" s="1"/>
  <c r="AF35"/>
  <c r="Y35" s="1"/>
  <c r="AJ35"/>
  <c r="AF36"/>
  <c r="Y36" s="1"/>
  <c r="AJ36"/>
  <c r="AG37"/>
  <c r="AI37" s="1"/>
  <c r="AF37" s="1"/>
  <c r="Y37" s="1"/>
  <c r="AF38"/>
  <c r="Y38" s="1"/>
  <c r="AJ38"/>
  <c r="AF39"/>
  <c r="Y39" s="1"/>
  <c r="AJ39"/>
  <c r="AF40"/>
  <c r="Y40" s="1"/>
  <c r="AJ40"/>
  <c r="AF41"/>
  <c r="Y41" s="1"/>
  <c r="AJ41"/>
  <c r="AJ42"/>
  <c r="AF42" s="1"/>
  <c r="Y42" s="1"/>
  <c r="AG43"/>
  <c r="AI43" s="1"/>
  <c r="AF43" s="1"/>
  <c r="Y43" s="1"/>
  <c r="AJ44"/>
  <c r="AF44" s="1"/>
  <c r="Y44" s="1"/>
  <c r="AF45"/>
  <c r="Y45" s="1"/>
  <c r="AJ45"/>
  <c r="AF46"/>
  <c r="Y46" s="1"/>
  <c r="AJ46"/>
  <c r="AF47"/>
  <c r="Y47" s="1"/>
  <c r="AJ47"/>
  <c r="AF48"/>
  <c r="Y48" s="1"/>
  <c r="AJ48"/>
  <c r="AF50"/>
  <c r="Y50" s="1"/>
  <c r="AJ50"/>
  <c r="AF51"/>
  <c r="Y51" s="1"/>
  <c r="AJ51"/>
  <c r="AF52"/>
  <c r="Y52" s="1"/>
  <c r="AJ52"/>
  <c r="AF53"/>
  <c r="Y53" s="1"/>
  <c r="AJ53"/>
  <c r="AF54"/>
  <c r="Y54" s="1"/>
  <c r="AJ54"/>
  <c r="AF59"/>
  <c r="Y59" s="1"/>
  <c r="AJ59"/>
  <c r="AF60"/>
  <c r="Y60" s="1"/>
  <c r="AJ60"/>
  <c r="AJ61"/>
  <c r="AF61" s="1"/>
  <c r="Y61" s="1"/>
  <c r="AF62"/>
  <c r="Y62" s="1"/>
  <c r="AJ62"/>
  <c r="AJ63"/>
  <c r="AF63" s="1"/>
  <c r="Y63" s="1"/>
  <c r="AF64"/>
  <c r="Y64" s="1"/>
  <c r="AJ64"/>
  <c r="AF65"/>
  <c r="Y65" s="1"/>
  <c r="AJ65"/>
  <c r="AF66"/>
  <c r="Y66" s="1"/>
  <c r="AJ66"/>
  <c r="AF71"/>
  <c r="Y71" s="1"/>
  <c r="AJ71"/>
  <c r="AF73"/>
  <c r="Y73" s="1"/>
  <c r="AJ73"/>
  <c r="AF77"/>
  <c r="Y77" s="1"/>
  <c r="AJ77"/>
  <c r="AF13" i="77"/>
  <c r="Y13" s="1"/>
  <c r="AJ13"/>
  <c r="AG15"/>
  <c r="AI15" s="1"/>
  <c r="AF15" s="1"/>
  <c r="Y15" s="1"/>
  <c r="AL16"/>
  <c r="AK16"/>
  <c r="AL18"/>
  <c r="AK18"/>
  <c r="AJ19"/>
  <c r="AF19" s="1"/>
  <c r="Y19" s="1"/>
  <c r="AL22"/>
  <c r="AK22"/>
  <c r="AF16"/>
  <c r="Y16" s="1"/>
  <c r="AJ16"/>
  <c r="AF17"/>
  <c r="Y17" s="1"/>
  <c r="AJ17"/>
  <c r="AF18"/>
  <c r="Y18" s="1"/>
  <c r="AJ18"/>
  <c r="AF20"/>
  <c r="Y20" s="1"/>
  <c r="AJ20"/>
  <c r="AF21"/>
  <c r="Y21" s="1"/>
  <c r="AJ21"/>
  <c r="AJ22"/>
  <c r="AF22" s="1"/>
  <c r="Y22" s="1"/>
  <c r="AF23"/>
  <c r="Y23" s="1"/>
  <c r="AJ23"/>
  <c r="AH24"/>
  <c r="AI24" s="1"/>
  <c r="AF24" s="1"/>
  <c r="Y24" s="1"/>
  <c r="AJ24"/>
  <c r="AG25"/>
  <c r="AI25" s="1"/>
  <c r="AK25"/>
  <c r="AH26"/>
  <c r="AI26" s="1"/>
  <c r="AJ26"/>
  <c r="AH27"/>
  <c r="AI27" s="1"/>
  <c r="AF27" s="1"/>
  <c r="Y27" s="1"/>
  <c r="AJ27"/>
  <c r="AH28"/>
  <c r="AI28" s="1"/>
  <c r="AF28" s="1"/>
  <c r="Y28" s="1"/>
  <c r="AJ28"/>
  <c r="AH29"/>
  <c r="AI29" s="1"/>
  <c r="AJ29"/>
  <c r="AH30"/>
  <c r="AI30" s="1"/>
  <c r="AF30" s="1"/>
  <c r="Y30" s="1"/>
  <c r="AJ30"/>
  <c r="AG31"/>
  <c r="AI31" s="1"/>
  <c r="AK31"/>
  <c r="AH32"/>
  <c r="AI32" s="1"/>
  <c r="AJ32"/>
  <c r="AH33"/>
  <c r="AI33" s="1"/>
  <c r="AF33" s="1"/>
  <c r="Y33" s="1"/>
  <c r="AJ33"/>
  <c r="AH34"/>
  <c r="AI34" s="1"/>
  <c r="AF34" s="1"/>
  <c r="Y34" s="1"/>
  <c r="AJ34"/>
  <c r="AH35"/>
  <c r="AI35" s="1"/>
  <c r="AJ35"/>
  <c r="AH36"/>
  <c r="AI36" s="1"/>
  <c r="AF36" s="1"/>
  <c r="Y36" s="1"/>
  <c r="AJ36"/>
  <c r="AG37"/>
  <c r="AI37" s="1"/>
  <c r="AK37"/>
  <c r="AH38"/>
  <c r="AI38" s="1"/>
  <c r="AF38" s="1"/>
  <c r="Y38" s="1"/>
  <c r="AJ38"/>
  <c r="AH39"/>
  <c r="AI39" s="1"/>
  <c r="AJ39"/>
  <c r="AH40"/>
  <c r="AI40" s="1"/>
  <c r="AF40" s="1"/>
  <c r="Y40" s="1"/>
  <c r="AJ40"/>
  <c r="AH41"/>
  <c r="AI41" s="1"/>
  <c r="AJ41"/>
  <c r="AH42"/>
  <c r="AI42" s="1"/>
  <c r="AF42" s="1"/>
  <c r="Y42" s="1"/>
  <c r="AJ42"/>
  <c r="AG43"/>
  <c r="AI43" s="1"/>
  <c r="AK43"/>
  <c r="AH44"/>
  <c r="AI44" s="1"/>
  <c r="AJ44"/>
  <c r="AF44" s="1"/>
  <c r="Y44" s="1"/>
  <c r="AH45"/>
  <c r="AI45" s="1"/>
  <c r="AF45" s="1"/>
  <c r="Y45" s="1"/>
  <c r="AJ45"/>
  <c r="AH46"/>
  <c r="AI46" s="1"/>
  <c r="AF46" s="1"/>
  <c r="Y46" s="1"/>
  <c r="AJ46"/>
  <c r="AH47"/>
  <c r="AI47" s="1"/>
  <c r="AF47" s="1"/>
  <c r="Y47" s="1"/>
  <c r="AJ47"/>
  <c r="AH48"/>
  <c r="AI48" s="1"/>
  <c r="AF48" s="1"/>
  <c r="Y48" s="1"/>
  <c r="AJ48"/>
  <c r="AG49"/>
  <c r="AI49" s="1"/>
  <c r="AK49"/>
  <c r="AH50"/>
  <c r="AI50" s="1"/>
  <c r="AF50" s="1"/>
  <c r="Y50" s="1"/>
  <c r="AJ50"/>
  <c r="AH51"/>
  <c r="AI51" s="1"/>
  <c r="AF51" s="1"/>
  <c r="Y51" s="1"/>
  <c r="AJ51"/>
  <c r="AH52"/>
  <c r="AI52" s="1"/>
  <c r="AF52" s="1"/>
  <c r="Y52" s="1"/>
  <c r="AJ52"/>
  <c r="AH53"/>
  <c r="AI53" s="1"/>
  <c r="AF53" s="1"/>
  <c r="Y53" s="1"/>
  <c r="AJ53"/>
  <c r="AJ54"/>
  <c r="AL54"/>
  <c r="AK55"/>
  <c r="AJ59"/>
  <c r="AL59"/>
  <c r="AJ60"/>
  <c r="AL60"/>
  <c r="AJ61"/>
  <c r="AL61"/>
  <c r="AJ62"/>
  <c r="AL62"/>
  <c r="AJ63"/>
  <c r="AL63"/>
  <c r="AJ64"/>
  <c r="AL64"/>
  <c r="AJ65"/>
  <c r="AL65"/>
  <c r="AJ66"/>
  <c r="AL66"/>
  <c r="AG70"/>
  <c r="AI70" s="1"/>
  <c r="AK70"/>
  <c r="AH71"/>
  <c r="AI71" s="1"/>
  <c r="AF71" s="1"/>
  <c r="Y71" s="1"/>
  <c r="AJ71"/>
  <c r="AG72"/>
  <c r="AI72" s="1"/>
  <c r="AK72"/>
  <c r="AH73"/>
  <c r="AI73" s="1"/>
  <c r="AF73" s="1"/>
  <c r="Y73" s="1"/>
  <c r="AJ73"/>
  <c r="AH77"/>
  <c r="AI77" s="1"/>
  <c r="AF77" s="1"/>
  <c r="Y77" s="1"/>
  <c r="AJ77"/>
  <c r="AG78"/>
  <c r="AI78" s="1"/>
  <c r="AK78"/>
  <c r="AG82"/>
  <c r="AI82" s="1"/>
  <c r="AK82"/>
  <c r="AG86"/>
  <c r="AI86" s="1"/>
  <c r="AK86"/>
  <c r="AF25"/>
  <c r="Y25" s="1"/>
  <c r="AJ25"/>
  <c r="AF31"/>
  <c r="Y31" s="1"/>
  <c r="AJ31"/>
  <c r="AF37"/>
  <c r="Y37" s="1"/>
  <c r="AJ37"/>
  <c r="AF43"/>
  <c r="Y43" s="1"/>
  <c r="AJ43"/>
  <c r="AF49"/>
  <c r="Y49" s="1"/>
  <c r="AJ49"/>
  <c r="AG54"/>
  <c r="AI54" s="1"/>
  <c r="AF54" s="1"/>
  <c r="Y54" s="1"/>
  <c r="AF55"/>
  <c r="Y55" s="1"/>
  <c r="AJ55"/>
  <c r="BB58"/>
  <c r="S3" s="1"/>
  <c r="H29" i="22" s="1"/>
  <c r="AG59" i="77"/>
  <c r="AI59" s="1"/>
  <c r="AF59" s="1"/>
  <c r="Y59" s="1"/>
  <c r="AG60"/>
  <c r="AI60" s="1"/>
  <c r="AF60" s="1"/>
  <c r="Y60" s="1"/>
  <c r="AG61"/>
  <c r="AI61" s="1"/>
  <c r="AF61" s="1"/>
  <c r="Y61" s="1"/>
  <c r="AG62"/>
  <c r="AI62" s="1"/>
  <c r="AF62" s="1"/>
  <c r="Y62" s="1"/>
  <c r="AG63"/>
  <c r="AI63" s="1"/>
  <c r="AF63" s="1"/>
  <c r="Y63" s="1"/>
  <c r="AG64"/>
  <c r="AI64" s="1"/>
  <c r="AF64" s="1"/>
  <c r="Y64" s="1"/>
  <c r="AG65"/>
  <c r="AI65" s="1"/>
  <c r="AF65" s="1"/>
  <c r="Y65" s="1"/>
  <c r="AG66"/>
  <c r="AI66" s="1"/>
  <c r="AF66" s="1"/>
  <c r="Y66" s="1"/>
  <c r="AJ70"/>
  <c r="AF70" s="1"/>
  <c r="Y70" s="1"/>
  <c r="AF72"/>
  <c r="Y72" s="1"/>
  <c r="AJ72"/>
  <c r="AF78"/>
  <c r="Y78" s="1"/>
  <c r="AJ78"/>
  <c r="AF82"/>
  <c r="Y82" s="1"/>
  <c r="AJ82"/>
  <c r="AJ86"/>
  <c r="R54" i="73"/>
  <c r="S51"/>
  <c r="S48"/>
  <c r="R51"/>
  <c r="S42"/>
  <c r="S29"/>
  <c r="R34"/>
  <c r="R21"/>
  <c r="R17"/>
  <c r="R10"/>
  <c r="R47"/>
  <c r="R41"/>
  <c r="S30"/>
  <c r="S24"/>
  <c r="R29"/>
  <c r="S23"/>
  <c r="S12"/>
  <c r="S17"/>
  <c r="S18"/>
  <c r="S11"/>
  <c r="R53"/>
  <c r="R45"/>
  <c r="R39"/>
  <c r="R33"/>
  <c r="S27"/>
  <c r="S21"/>
  <c r="R27"/>
  <c r="S15"/>
  <c r="S9"/>
  <c r="L55" i="59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S28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S24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S42" s="1"/>
  <c r="K20"/>
  <c r="S41" s="1"/>
  <c r="J20"/>
  <c r="L19"/>
  <c r="S46" s="1"/>
  <c r="K19"/>
  <c r="S45" s="1"/>
  <c r="J19"/>
  <c r="S18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K15"/>
  <c r="S23" s="1"/>
  <c r="J15"/>
  <c r="L14"/>
  <c r="S30" s="1"/>
  <c r="K14"/>
  <c r="S29" s="1"/>
  <c r="J14"/>
  <c r="L13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L55" i="60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S18" s="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L55" i="58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S45"/>
  <c r="Q45"/>
  <c r="P45"/>
  <c r="R45" s="1"/>
  <c r="L45"/>
  <c r="K45"/>
  <c r="J45"/>
  <c r="L44"/>
  <c r="K44"/>
  <c r="S30" s="1"/>
  <c r="J44"/>
  <c r="L43"/>
  <c r="K43"/>
  <c r="J43"/>
  <c r="Q42"/>
  <c r="P42"/>
  <c r="R42" s="1"/>
  <c r="L42"/>
  <c r="K42"/>
  <c r="S12" s="1"/>
  <c r="J42"/>
  <c r="Q41"/>
  <c r="P41"/>
  <c r="R41" s="1"/>
  <c r="L41"/>
  <c r="K41"/>
  <c r="J41"/>
  <c r="Q40"/>
  <c r="P40"/>
  <c r="R40" s="1"/>
  <c r="L40"/>
  <c r="K40"/>
  <c r="S18" s="1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S35"/>
  <c r="Q35"/>
  <c r="P35"/>
  <c r="R35" s="1"/>
  <c r="L35"/>
  <c r="S47" s="1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S24" s="1"/>
  <c r="J30"/>
  <c r="Q29"/>
  <c r="P29"/>
  <c r="R29" s="1"/>
  <c r="L29"/>
  <c r="K29"/>
  <c r="J29"/>
  <c r="Q28"/>
  <c r="P28"/>
  <c r="R28" s="1"/>
  <c r="L28"/>
  <c r="K28"/>
  <c r="J28"/>
  <c r="S27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S23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J21"/>
  <c r="L20"/>
  <c r="K20"/>
  <c r="S41" s="1"/>
  <c r="J20"/>
  <c r="L19"/>
  <c r="S46" s="1"/>
  <c r="K19"/>
  <c r="J19"/>
  <c r="Q18"/>
  <c r="P18"/>
  <c r="R18" s="1"/>
  <c r="L18"/>
  <c r="S40" s="1"/>
  <c r="K18"/>
  <c r="S39" s="1"/>
  <c r="J18"/>
  <c r="S17"/>
  <c r="Q17"/>
  <c r="P17"/>
  <c r="R17" s="1"/>
  <c r="L17"/>
  <c r="K17"/>
  <c r="J17"/>
  <c r="Q16"/>
  <c r="P16"/>
  <c r="R16" s="1"/>
  <c r="L16"/>
  <c r="S34" s="1"/>
  <c r="K16"/>
  <c r="S33" s="1"/>
  <c r="J16"/>
  <c r="Q15"/>
  <c r="P15"/>
  <c r="R15" s="1"/>
  <c r="L15"/>
  <c r="K15"/>
  <c r="J15"/>
  <c r="L14"/>
  <c r="K14"/>
  <c r="S29" s="1"/>
  <c r="J14"/>
  <c r="L13"/>
  <c r="S28" s="1"/>
  <c r="K13"/>
  <c r="J13"/>
  <c r="Q12"/>
  <c r="P12"/>
  <c r="R12" s="1"/>
  <c r="L12"/>
  <c r="S22" s="1"/>
  <c r="K12"/>
  <c r="S21" s="1"/>
  <c r="J12"/>
  <c r="S11"/>
  <c r="Q11"/>
  <c r="P11"/>
  <c r="R11" s="1"/>
  <c r="L11"/>
  <c r="K11"/>
  <c r="J11"/>
  <c r="Q10"/>
  <c r="P10"/>
  <c r="R10" s="1"/>
  <c r="L10"/>
  <c r="S16" s="1"/>
  <c r="K10"/>
  <c r="S15" s="1"/>
  <c r="J10"/>
  <c r="Q9"/>
  <c r="P9"/>
  <c r="R9" s="1"/>
  <c r="L9"/>
  <c r="K9"/>
  <c r="J9"/>
  <c r="L8"/>
  <c r="S10" s="1"/>
  <c r="K8"/>
  <c r="S9" s="1"/>
  <c r="J8"/>
  <c r="L55" i="56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S18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N3" i="24"/>
  <c r="N6"/>
  <c r="N10"/>
  <c r="N16"/>
  <c r="N14"/>
  <c r="N21"/>
  <c r="N27"/>
  <c r="N32"/>
  <c r="N34"/>
  <c r="N38"/>
  <c r="N46"/>
  <c r="N47"/>
  <c r="N51"/>
  <c r="N55"/>
  <c r="N61"/>
  <c r="N65"/>
  <c r="L3"/>
  <c r="L6"/>
  <c r="L10"/>
  <c r="L16"/>
  <c r="L14"/>
  <c r="L21"/>
  <c r="L27"/>
  <c r="L32"/>
  <c r="L34"/>
  <c r="L38"/>
  <c r="L46"/>
  <c r="L47"/>
  <c r="L51"/>
  <c r="L55"/>
  <c r="L61"/>
  <c r="L65"/>
  <c r="J5"/>
  <c r="J13"/>
  <c r="J22"/>
  <c r="J28"/>
  <c r="J37"/>
  <c r="J39"/>
  <c r="J52"/>
  <c r="J62"/>
  <c r="H5"/>
  <c r="H13"/>
  <c r="H22"/>
  <c r="H28"/>
  <c r="H37"/>
  <c r="H39"/>
  <c r="H52"/>
  <c r="H62"/>
  <c r="N69"/>
  <c r="N68"/>
  <c r="N72"/>
  <c r="N82"/>
  <c r="N83"/>
  <c r="N87"/>
  <c r="N92"/>
  <c r="N94"/>
  <c r="L70"/>
  <c r="L73"/>
  <c r="L78"/>
  <c r="L80"/>
  <c r="L86"/>
  <c r="L89"/>
  <c r="L91"/>
  <c r="R5"/>
  <c r="F5"/>
  <c r="F13"/>
  <c r="F22"/>
  <c r="F28"/>
  <c r="F37"/>
  <c r="F39"/>
  <c r="F52"/>
  <c r="F62"/>
  <c r="D5"/>
  <c r="D13"/>
  <c r="D22"/>
  <c r="D28"/>
  <c r="D37"/>
  <c r="D39"/>
  <c r="D52"/>
  <c r="D62"/>
  <c r="J4"/>
  <c r="J23"/>
  <c r="J40"/>
  <c r="J53"/>
  <c r="H4"/>
  <c r="H23"/>
  <c r="H40"/>
  <c r="H53"/>
  <c r="F67"/>
  <c r="F77"/>
  <c r="F84"/>
  <c r="F93"/>
  <c r="D71"/>
  <c r="D81"/>
  <c r="D85"/>
  <c r="D95"/>
  <c r="R13"/>
  <c r="R22"/>
  <c r="R28"/>
  <c r="R37"/>
  <c r="R39"/>
  <c r="R52"/>
  <c r="R62"/>
  <c r="P5"/>
  <c r="P13"/>
  <c r="P22"/>
  <c r="P28"/>
  <c r="P37"/>
  <c r="P49"/>
  <c r="P64"/>
  <c r="R73"/>
  <c r="R80"/>
  <c r="R90"/>
  <c r="P67"/>
  <c r="P78"/>
  <c r="P86"/>
  <c r="P91"/>
  <c r="F6"/>
  <c r="F16"/>
  <c r="F21"/>
  <c r="F32"/>
  <c r="F38"/>
  <c r="F47"/>
  <c r="F55"/>
  <c r="F65"/>
  <c r="D6"/>
  <c r="D16"/>
  <c r="D21"/>
  <c r="N7"/>
  <c r="N12"/>
  <c r="N15"/>
  <c r="N17"/>
  <c r="N24"/>
  <c r="N20"/>
  <c r="N29"/>
  <c r="N31"/>
  <c r="N36"/>
  <c r="N45"/>
  <c r="N42"/>
  <c r="N49"/>
  <c r="N54"/>
  <c r="N57"/>
  <c r="N56"/>
  <c r="N64"/>
  <c r="L7"/>
  <c r="L12"/>
  <c r="L15"/>
  <c r="L17"/>
  <c r="L24"/>
  <c r="L20"/>
  <c r="L29"/>
  <c r="L31"/>
  <c r="L36"/>
  <c r="L45"/>
  <c r="L42"/>
  <c r="L49"/>
  <c r="L54"/>
  <c r="L57"/>
  <c r="L56"/>
  <c r="L64"/>
  <c r="J12"/>
  <c r="J17"/>
  <c r="J20"/>
  <c r="J31"/>
  <c r="J45"/>
  <c r="J49"/>
  <c r="J57"/>
  <c r="J64"/>
  <c r="H12"/>
  <c r="H17"/>
  <c r="H20"/>
  <c r="H31"/>
  <c r="H45"/>
  <c r="H49"/>
  <c r="H57"/>
  <c r="H64"/>
  <c r="N71"/>
  <c r="N75"/>
  <c r="N81"/>
  <c r="N79"/>
  <c r="N85"/>
  <c r="N90"/>
  <c r="N95"/>
  <c r="L67"/>
  <c r="L74"/>
  <c r="L77"/>
  <c r="L76"/>
  <c r="L84"/>
  <c r="L88"/>
  <c r="L93"/>
  <c r="J2"/>
  <c r="R12"/>
  <c r="F12"/>
  <c r="F17"/>
  <c r="F20"/>
  <c r="F31"/>
  <c r="F45"/>
  <c r="F49"/>
  <c r="F57"/>
  <c r="F64"/>
  <c r="D12"/>
  <c r="D17"/>
  <c r="D20"/>
  <c r="D31"/>
  <c r="D45"/>
  <c r="D49"/>
  <c r="D57"/>
  <c r="D64"/>
  <c r="J19"/>
  <c r="J35"/>
  <c r="J44"/>
  <c r="J66"/>
  <c r="H19"/>
  <c r="H35"/>
  <c r="H44"/>
  <c r="H66"/>
  <c r="F75"/>
  <c r="F79"/>
  <c r="F90"/>
  <c r="D67"/>
  <c r="D77"/>
  <c r="D84"/>
  <c r="D93"/>
  <c r="R9"/>
  <c r="R17"/>
  <c r="R20"/>
  <c r="R31"/>
  <c r="R45"/>
  <c r="R49"/>
  <c r="R57"/>
  <c r="R64"/>
  <c r="P12"/>
  <c r="P17"/>
  <c r="P20"/>
  <c r="P31"/>
  <c r="P42"/>
  <c r="P56"/>
  <c r="R68"/>
  <c r="R82"/>
  <c r="R88"/>
  <c r="D2"/>
  <c r="P72"/>
  <c r="P83"/>
  <c r="P92"/>
  <c r="F4"/>
  <c r="F11"/>
  <c r="F23"/>
  <c r="F30"/>
  <c r="F40"/>
  <c r="F48"/>
  <c r="F53"/>
  <c r="F63"/>
  <c r="D4"/>
  <c r="D11"/>
  <c r="D23"/>
  <c r="D30"/>
  <c r="N4"/>
  <c r="N9"/>
  <c r="N11"/>
  <c r="N19"/>
  <c r="N23"/>
  <c r="N26"/>
  <c r="N30"/>
  <c r="N35"/>
  <c r="N40"/>
  <c r="N43"/>
  <c r="N48"/>
  <c r="N44"/>
  <c r="N53"/>
  <c r="N58"/>
  <c r="N63"/>
  <c r="N66"/>
  <c r="L4"/>
  <c r="L9"/>
  <c r="L11"/>
  <c r="L19"/>
  <c r="L23"/>
  <c r="L26"/>
  <c r="L30"/>
  <c r="L35"/>
  <c r="L40"/>
  <c r="L43"/>
  <c r="L48"/>
  <c r="L44"/>
  <c r="L53"/>
  <c r="L58"/>
  <c r="L63"/>
  <c r="L66"/>
  <c r="J8"/>
  <c r="J18"/>
  <c r="J25"/>
  <c r="J33"/>
  <c r="J41"/>
  <c r="J50"/>
  <c r="J59"/>
  <c r="J60"/>
  <c r="H8"/>
  <c r="H18"/>
  <c r="H25"/>
  <c r="H33"/>
  <c r="H41"/>
  <c r="H50"/>
  <c r="H59"/>
  <c r="H60"/>
  <c r="N70"/>
  <c r="N73"/>
  <c r="N78"/>
  <c r="N80"/>
  <c r="N86"/>
  <c r="N89"/>
  <c r="N91"/>
  <c r="L69"/>
  <c r="L68"/>
  <c r="L72"/>
  <c r="L82"/>
  <c r="L83"/>
  <c r="L87"/>
  <c r="L92"/>
  <c r="L94"/>
  <c r="R8"/>
  <c r="F8"/>
  <c r="F18"/>
  <c r="F25"/>
  <c r="F33"/>
  <c r="F41"/>
  <c r="F50"/>
  <c r="F59"/>
  <c r="F60"/>
  <c r="D8"/>
  <c r="D18"/>
  <c r="D33"/>
  <c r="D50"/>
  <c r="D60"/>
  <c r="J30"/>
  <c r="J63"/>
  <c r="H30"/>
  <c r="H63"/>
  <c r="F76"/>
  <c r="P2"/>
  <c r="D79"/>
  <c r="R4"/>
  <c r="R25"/>
  <c r="R41"/>
  <c r="R59"/>
  <c r="P8"/>
  <c r="P25"/>
  <c r="P45"/>
  <c r="R70"/>
  <c r="R85"/>
  <c r="P73"/>
  <c r="P89"/>
  <c r="F10"/>
  <c r="F27"/>
  <c r="F46"/>
  <c r="F61"/>
  <c r="D10"/>
  <c r="N5"/>
  <c r="N13"/>
  <c r="N22"/>
  <c r="N28"/>
  <c r="N37"/>
  <c r="N39"/>
  <c r="N52"/>
  <c r="N62"/>
  <c r="L5"/>
  <c r="L13"/>
  <c r="L22"/>
  <c r="L28"/>
  <c r="L37"/>
  <c r="L39"/>
  <c r="L52"/>
  <c r="L62"/>
  <c r="J7"/>
  <c r="J24"/>
  <c r="J36"/>
  <c r="J54"/>
  <c r="H7"/>
  <c r="H24"/>
  <c r="H36"/>
  <c r="H54"/>
  <c r="N67"/>
  <c r="N77"/>
  <c r="N84"/>
  <c r="N93"/>
  <c r="L71"/>
  <c r="L81"/>
  <c r="L85"/>
  <c r="L95"/>
  <c r="F7"/>
  <c r="F24"/>
  <c r="F36"/>
  <c r="F54"/>
  <c r="D7"/>
  <c r="D24"/>
  <c r="D36"/>
  <c r="D54"/>
  <c r="J9"/>
  <c r="J43"/>
  <c r="H9"/>
  <c r="H43"/>
  <c r="F71"/>
  <c r="F85"/>
  <c r="D74"/>
  <c r="D88"/>
  <c r="R15"/>
  <c r="R29"/>
  <c r="R42"/>
  <c r="R56"/>
  <c r="P15"/>
  <c r="P29"/>
  <c r="P54"/>
  <c r="R72"/>
  <c r="R93"/>
  <c r="P82"/>
  <c r="P94"/>
  <c r="F19"/>
  <c r="F35"/>
  <c r="F44"/>
  <c r="F66"/>
  <c r="D19"/>
  <c r="D32"/>
  <c r="D38"/>
  <c r="D47"/>
  <c r="D55"/>
  <c r="D65"/>
  <c r="J10"/>
  <c r="J27"/>
  <c r="J46"/>
  <c r="J61"/>
  <c r="H10"/>
  <c r="H27"/>
  <c r="H46"/>
  <c r="H61"/>
  <c r="F68"/>
  <c r="F82"/>
  <c r="F87"/>
  <c r="F94"/>
  <c r="D73"/>
  <c r="D80"/>
  <c r="D89"/>
  <c r="R3"/>
  <c r="R16"/>
  <c r="R21"/>
  <c r="R32"/>
  <c r="R38"/>
  <c r="R47"/>
  <c r="R55"/>
  <c r="R65"/>
  <c r="P6"/>
  <c r="P16"/>
  <c r="P21"/>
  <c r="P32"/>
  <c r="P38"/>
  <c r="P47"/>
  <c r="P55"/>
  <c r="P65"/>
  <c r="J70"/>
  <c r="J73"/>
  <c r="J78"/>
  <c r="J80"/>
  <c r="J86"/>
  <c r="J89"/>
  <c r="J91"/>
  <c r="H69"/>
  <c r="H68"/>
  <c r="H72"/>
  <c r="H82"/>
  <c r="H83"/>
  <c r="H87"/>
  <c r="H92"/>
  <c r="H94"/>
  <c r="P50"/>
  <c r="P60"/>
  <c r="R75"/>
  <c r="R79"/>
  <c r="R89"/>
  <c r="P69"/>
  <c r="P75"/>
  <c r="P79"/>
  <c r="P90"/>
  <c r="P93"/>
  <c r="D35"/>
  <c r="D43"/>
  <c r="D44"/>
  <c r="D58"/>
  <c r="D66"/>
  <c r="J16"/>
  <c r="J32"/>
  <c r="J47"/>
  <c r="J65"/>
  <c r="H16"/>
  <c r="H32"/>
  <c r="H47"/>
  <c r="H65"/>
  <c r="F73"/>
  <c r="F80"/>
  <c r="F89"/>
  <c r="D69"/>
  <c r="D72"/>
  <c r="D83"/>
  <c r="D92"/>
  <c r="R6"/>
  <c r="R19"/>
  <c r="R26"/>
  <c r="R35"/>
  <c r="R43"/>
  <c r="R44"/>
  <c r="R58"/>
  <c r="R66"/>
  <c r="P9"/>
  <c r="P19"/>
  <c r="P26"/>
  <c r="P35"/>
  <c r="P43"/>
  <c r="P44"/>
  <c r="P58"/>
  <c r="P66"/>
  <c r="J71"/>
  <c r="J75"/>
  <c r="J81"/>
  <c r="J79"/>
  <c r="J85"/>
  <c r="J90"/>
  <c r="J95"/>
  <c r="H67"/>
  <c r="H74"/>
  <c r="H77"/>
  <c r="H76"/>
  <c r="H84"/>
  <c r="H88"/>
  <c r="H93"/>
  <c r="P52"/>
  <c r="R77"/>
  <c r="R92"/>
  <c r="P77"/>
  <c r="F2"/>
  <c r="D25"/>
  <c r="D41"/>
  <c r="D59"/>
  <c r="J11"/>
  <c r="J48"/>
  <c r="H11"/>
  <c r="H48"/>
  <c r="F74"/>
  <c r="F88"/>
  <c r="D75"/>
  <c r="D90"/>
  <c r="R18"/>
  <c r="R33"/>
  <c r="R50"/>
  <c r="R60"/>
  <c r="P18"/>
  <c r="P33"/>
  <c r="P57"/>
  <c r="R78"/>
  <c r="R95"/>
  <c r="P80"/>
  <c r="F3"/>
  <c r="F14"/>
  <c r="F34"/>
  <c r="F51"/>
  <c r="D3"/>
  <c r="D14"/>
  <c r="N8"/>
  <c r="N18"/>
  <c r="N25"/>
  <c r="N33"/>
  <c r="N41"/>
  <c r="N50"/>
  <c r="N59"/>
  <c r="N60"/>
  <c r="L8"/>
  <c r="L18"/>
  <c r="L25"/>
  <c r="L33"/>
  <c r="L41"/>
  <c r="L50"/>
  <c r="L59"/>
  <c r="L60"/>
  <c r="J15"/>
  <c r="J29"/>
  <c r="J42"/>
  <c r="J56"/>
  <c r="H15"/>
  <c r="H29"/>
  <c r="H42"/>
  <c r="H56"/>
  <c r="N74"/>
  <c r="N76"/>
  <c r="N88"/>
  <c r="H2"/>
  <c r="L75"/>
  <c r="L79"/>
  <c r="L90"/>
  <c r="R7"/>
  <c r="F15"/>
  <c r="F29"/>
  <c r="F42"/>
  <c r="F56"/>
  <c r="D15"/>
  <c r="D29"/>
  <c r="D42"/>
  <c r="D56"/>
  <c r="J26"/>
  <c r="J58"/>
  <c r="H26"/>
  <c r="H58"/>
  <c r="F81"/>
  <c r="F95"/>
  <c r="D76"/>
  <c r="R2"/>
  <c r="R24"/>
  <c r="R36"/>
  <c r="R54"/>
  <c r="P7"/>
  <c r="P24"/>
  <c r="P36"/>
  <c r="R69"/>
  <c r="R83"/>
  <c r="P71"/>
  <c r="P87"/>
  <c r="F9"/>
  <c r="F26"/>
  <c r="F43"/>
  <c r="F58"/>
  <c r="D9"/>
  <c r="D26"/>
  <c r="D34"/>
  <c r="D46"/>
  <c r="D51"/>
  <c r="D61"/>
  <c r="J3"/>
  <c r="J14"/>
  <c r="J34"/>
  <c r="J51"/>
  <c r="H3"/>
  <c r="H14"/>
  <c r="H34"/>
  <c r="H51"/>
  <c r="F69"/>
  <c r="F72"/>
  <c r="F83"/>
  <c r="F92"/>
  <c r="D70"/>
  <c r="D78"/>
  <c r="D86"/>
  <c r="D91"/>
  <c r="R10"/>
  <c r="R14"/>
  <c r="R27"/>
  <c r="R34"/>
  <c r="R46"/>
  <c r="R51"/>
  <c r="R61"/>
  <c r="P3"/>
  <c r="P10"/>
  <c r="P14"/>
  <c r="P27"/>
  <c r="P34"/>
  <c r="P46"/>
  <c r="P51"/>
  <c r="P61"/>
  <c r="J69"/>
  <c r="J68"/>
  <c r="J72"/>
  <c r="J82"/>
  <c r="J83"/>
  <c r="J87"/>
  <c r="J92"/>
  <c r="J94"/>
  <c r="H70"/>
  <c r="H73"/>
  <c r="H78"/>
  <c r="H80"/>
  <c r="H86"/>
  <c r="H89"/>
  <c r="H91"/>
  <c r="P41"/>
  <c r="P59"/>
  <c r="R71"/>
  <c r="R81"/>
  <c r="R86"/>
  <c r="R91"/>
  <c r="P68"/>
  <c r="P81"/>
  <c r="P85"/>
  <c r="P95"/>
  <c r="D27"/>
  <c r="D40"/>
  <c r="D48"/>
  <c r="D53"/>
  <c r="D63"/>
  <c r="J6"/>
  <c r="J21"/>
  <c r="J38"/>
  <c r="J55"/>
  <c r="H6"/>
  <c r="H21"/>
  <c r="H38"/>
  <c r="H55"/>
  <c r="F70"/>
  <c r="F78"/>
  <c r="F86"/>
  <c r="F91"/>
  <c r="D68"/>
  <c r="D82"/>
  <c r="D87"/>
  <c r="D94"/>
  <c r="R11"/>
  <c r="R23"/>
  <c r="R30"/>
  <c r="R40"/>
  <c r="R48"/>
  <c r="R53"/>
  <c r="R63"/>
  <c r="P4"/>
  <c r="P11"/>
  <c r="P23"/>
  <c r="P30"/>
  <c r="P40"/>
  <c r="P48"/>
  <c r="P53"/>
  <c r="P63"/>
  <c r="J67"/>
  <c r="J74"/>
  <c r="J77"/>
  <c r="J76"/>
  <c r="J84"/>
  <c r="J88"/>
  <c r="J93"/>
  <c r="L2"/>
  <c r="H71"/>
  <c r="H75"/>
  <c r="H81"/>
  <c r="H79"/>
  <c r="H85"/>
  <c r="H90"/>
  <c r="H95"/>
  <c r="P39"/>
  <c r="P62"/>
  <c r="R74"/>
  <c r="R76"/>
  <c r="R87"/>
  <c r="R94"/>
  <c r="P74"/>
  <c r="P76"/>
  <c r="P88"/>
  <c r="N2"/>
  <c r="R67"/>
  <c r="R84"/>
  <c r="P70"/>
  <c r="P84"/>
  <c r="AF86" i="106" l="1"/>
  <c r="Y86" s="1"/>
  <c r="AF86" i="110"/>
  <c r="Y86" s="1"/>
  <c r="AF86" i="77"/>
  <c r="Y86" s="1"/>
  <c r="AF86" i="79"/>
  <c r="Y86" s="1"/>
  <c r="AF86" i="92"/>
  <c r="Y86" s="1"/>
  <c r="AF86" i="86"/>
  <c r="Y86" s="1"/>
  <c r="AF86" i="82"/>
  <c r="Y86" s="1"/>
  <c r="AF86" i="85"/>
  <c r="Y86" s="1"/>
  <c r="AF86" i="83"/>
  <c r="Y86" s="1"/>
  <c r="AF86" i="99"/>
  <c r="Y86" s="1"/>
  <c r="AF86" i="76"/>
  <c r="Y86" s="1"/>
  <c r="AF86" i="95"/>
  <c r="Y86" s="1"/>
  <c r="AF86" i="88"/>
  <c r="Y86" s="1"/>
  <c r="AF86" i="104"/>
  <c r="Y86" s="1"/>
  <c r="AF86" i="102"/>
  <c r="Y86" s="1"/>
  <c r="AF86" i="105"/>
  <c r="Y86" s="1"/>
  <c r="AF86" i="103"/>
  <c r="Y86" s="1"/>
  <c r="AF86" i="97"/>
  <c r="Y86" s="1"/>
  <c r="AF78" i="83"/>
  <c r="Y78" s="1"/>
  <c r="AF77" i="82"/>
  <c r="Y77" s="1"/>
  <c r="AI77" i="84"/>
  <c r="AF77" s="1"/>
  <c r="Y77" s="1"/>
  <c r="AI77" i="88"/>
  <c r="AF77" s="1"/>
  <c r="Y77" s="1"/>
  <c r="AF72" i="76"/>
  <c r="Y72" s="1"/>
  <c r="AF71" i="82"/>
  <c r="Y71" s="1"/>
  <c r="AF70" i="105"/>
  <c r="Y70" s="1"/>
  <c r="AF70" i="97"/>
  <c r="Y70" s="1"/>
  <c r="AF70" i="83"/>
  <c r="Y70" s="1"/>
  <c r="AF66" i="100"/>
  <c r="Y66" s="1"/>
  <c r="AF66" i="99"/>
  <c r="Y66" s="1"/>
  <c r="AF66" i="86"/>
  <c r="Y66" s="1"/>
  <c r="AF66" i="82"/>
  <c r="Y66" s="1"/>
  <c r="AF66" i="91"/>
  <c r="Y66" s="1"/>
  <c r="AF66" i="89"/>
  <c r="Y66" s="1"/>
  <c r="AF66" i="87"/>
  <c r="Y66" s="1"/>
  <c r="AF66" i="107"/>
  <c r="Y66" s="1"/>
  <c r="AF66" i="103"/>
  <c r="Y66" s="1"/>
  <c r="AF66" i="110"/>
  <c r="Y66" s="1"/>
  <c r="AF66" i="88"/>
  <c r="Y66" s="1"/>
  <c r="AF66" i="98"/>
  <c r="Y66" s="1"/>
  <c r="AF65" i="88"/>
  <c r="Y65" s="1"/>
  <c r="AF63" i="84"/>
  <c r="Y63" s="1"/>
  <c r="AF63" i="88"/>
  <c r="Y63" s="1"/>
  <c r="AF62" i="84"/>
  <c r="Y62" s="1"/>
  <c r="AF62" i="82"/>
  <c r="Y62" s="1"/>
  <c r="AF62" i="98"/>
  <c r="Y62" s="1"/>
  <c r="AF61"/>
  <c r="Y61" s="1"/>
  <c r="AF59" i="87"/>
  <c r="Y59" s="1"/>
  <c r="AF59" i="88"/>
  <c r="Y59" s="1"/>
  <c r="AF59" i="98"/>
  <c r="Y59" s="1"/>
  <c r="AF59" i="84"/>
  <c r="Y59" s="1"/>
  <c r="AF59" i="100"/>
  <c r="Y59" s="1"/>
  <c r="AF60" i="98"/>
  <c r="Y60" s="1"/>
  <c r="AF60" i="84"/>
  <c r="Y60" s="1"/>
  <c r="AF60" i="88"/>
  <c r="Y60" s="1"/>
  <c r="AF55" i="81"/>
  <c r="Y55" s="1"/>
  <c r="AF55" i="87"/>
  <c r="Y55" s="1"/>
  <c r="AF55" i="105"/>
  <c r="Y55" s="1"/>
  <c r="AF55" i="76"/>
  <c r="Y55" s="1"/>
  <c r="AF55" i="83"/>
  <c r="Y55" s="1"/>
  <c r="AF55" i="97"/>
  <c r="Y55" s="1"/>
  <c r="AF53" i="79"/>
  <c r="Y53" s="1"/>
  <c r="AF53" i="91"/>
  <c r="Y53" s="1"/>
  <c r="AF53" i="109"/>
  <c r="Y53" s="1"/>
  <c r="AF53" i="80"/>
  <c r="Y53" s="1"/>
  <c r="AF53" i="78"/>
  <c r="Y53" s="1"/>
  <c r="AF53" i="93"/>
  <c r="Y53" s="1"/>
  <c r="AF53" i="89"/>
  <c r="Y53" s="1"/>
  <c r="AF53" i="106"/>
  <c r="Y53" s="1"/>
  <c r="AF53" i="104"/>
  <c r="Y53" s="1"/>
  <c r="AF53" i="102"/>
  <c r="Y53" s="1"/>
  <c r="AF52" i="81"/>
  <c r="Y52" s="1"/>
  <c r="AF52" i="84"/>
  <c r="Y52" s="1"/>
  <c r="AF52" i="82"/>
  <c r="Y52" s="1"/>
  <c r="AF52" i="96"/>
  <c r="Y52" s="1"/>
  <c r="AF51" i="82"/>
  <c r="Y51" s="1"/>
  <c r="AI51" i="84"/>
  <c r="AF51" s="1"/>
  <c r="AF50" i="80"/>
  <c r="Y50" s="1"/>
  <c r="AF50" i="86"/>
  <c r="Y50" s="1"/>
  <c r="AF50" i="84"/>
  <c r="Y50" s="1"/>
  <c r="AF50" i="82"/>
  <c r="Y50" s="1"/>
  <c r="AF50" i="96"/>
  <c r="Y50" s="1"/>
  <c r="AF49" i="76"/>
  <c r="Y49" s="1"/>
  <c r="AF49" i="83"/>
  <c r="Y49" s="1"/>
  <c r="AF49" i="105"/>
  <c r="Y49" s="1"/>
  <c r="AF48" i="84"/>
  <c r="Y48" s="1"/>
  <c r="AF48" i="82"/>
  <c r="Y48" s="1"/>
  <c r="AF47" i="88"/>
  <c r="Y47" s="1"/>
  <c r="AF46" i="81"/>
  <c r="Y46" s="1"/>
  <c r="AF46" i="82"/>
  <c r="Y46" s="1"/>
  <c r="AF46" i="106"/>
  <c r="Y46" s="1"/>
  <c r="AF46" i="80"/>
  <c r="Y46" s="1"/>
  <c r="AF46" i="86"/>
  <c r="Y46" s="1"/>
  <c r="AF46" i="84"/>
  <c r="Y46" s="1"/>
  <c r="AF46" i="96"/>
  <c r="Y46" s="1"/>
  <c r="AF44" i="86"/>
  <c r="Y44" s="1"/>
  <c r="AF44" i="84"/>
  <c r="Y44" s="1"/>
  <c r="AF44" i="82"/>
  <c r="Y44" s="1"/>
  <c r="AF44" i="96"/>
  <c r="Y44" s="1"/>
  <c r="AF44" i="88"/>
  <c r="Y44" s="1"/>
  <c r="AF44" i="106"/>
  <c r="Y44" s="1"/>
  <c r="AF44" i="100"/>
  <c r="Y44" s="1"/>
  <c r="AF44" i="98"/>
  <c r="Y44" s="1"/>
  <c r="AF45" i="80"/>
  <c r="Y45" s="1"/>
  <c r="AF45" i="86"/>
  <c r="Y45" s="1"/>
  <c r="AF45" i="82"/>
  <c r="Y45" s="1"/>
  <c r="AF45" i="88"/>
  <c r="Y45" s="1"/>
  <c r="AF45" i="100"/>
  <c r="Y45" s="1"/>
  <c r="AF45" i="110"/>
  <c r="Y45" s="1"/>
  <c r="AF45" i="109"/>
  <c r="Y45" s="1"/>
  <c r="AF43" i="105"/>
  <c r="Y43" s="1"/>
  <c r="AF43" i="87"/>
  <c r="Y43" s="1"/>
  <c r="AF43" i="99"/>
  <c r="Y43" s="1"/>
  <c r="AF42" i="82"/>
  <c r="Y42" s="1"/>
  <c r="AF40" i="91"/>
  <c r="Y40" s="1"/>
  <c r="AF40" i="80"/>
  <c r="Y40" s="1"/>
  <c r="AF40" i="96"/>
  <c r="Y40" s="1"/>
  <c r="AF40" i="110"/>
  <c r="Y40" s="1"/>
  <c r="AF41" i="77"/>
  <c r="Y41" s="1"/>
  <c r="AF41" i="106"/>
  <c r="Y41" s="1"/>
  <c r="AF41" i="100"/>
  <c r="Y41" s="1"/>
  <c r="AF41" i="88"/>
  <c r="Y41" s="1"/>
  <c r="AF41" i="98"/>
  <c r="Y41" s="1"/>
  <c r="AF39" i="77"/>
  <c r="Y39" s="1"/>
  <c r="AF39" i="80"/>
  <c r="Y39" s="1"/>
  <c r="AF39" i="86"/>
  <c r="Y39" s="1"/>
  <c r="AF39" i="84"/>
  <c r="Y39" s="1"/>
  <c r="AF39" i="96"/>
  <c r="Y39" s="1"/>
  <c r="AF39" i="81"/>
  <c r="Y39" s="1"/>
  <c r="AF39" i="82"/>
  <c r="Y39" s="1"/>
  <c r="AF38" i="106"/>
  <c r="Y38" s="1"/>
  <c r="AF38" i="84"/>
  <c r="Y38" s="1"/>
  <c r="AF38" i="82"/>
  <c r="Y38" s="1"/>
  <c r="AF37" i="87"/>
  <c r="Y37" s="1"/>
  <c r="AF37" i="99"/>
  <c r="Y37" s="1"/>
  <c r="AF36" i="96"/>
  <c r="Y36" s="1"/>
  <c r="AF36" i="84"/>
  <c r="Y36" s="1"/>
  <c r="AF35" i="81"/>
  <c r="Y35" s="1"/>
  <c r="AF35" i="88"/>
  <c r="Y35" s="1"/>
  <c r="AF35" i="77"/>
  <c r="Y35" s="1"/>
  <c r="AF35" i="79"/>
  <c r="Y35" s="1"/>
  <c r="AF35" i="78"/>
  <c r="Y35" s="1"/>
  <c r="AF35" i="82"/>
  <c r="Y35" s="1"/>
  <c r="AF35" i="96"/>
  <c r="Y35" s="1"/>
  <c r="AF35" i="100"/>
  <c r="Y35" s="1"/>
  <c r="AF34" i="78"/>
  <c r="Y34" s="1"/>
  <c r="AF34" i="96"/>
  <c r="Y34" s="1"/>
  <c r="AF33" i="81"/>
  <c r="Y33" s="1"/>
  <c r="AF33" i="82"/>
  <c r="Y33" s="1"/>
  <c r="AF33" i="96"/>
  <c r="Y33" s="1"/>
  <c r="AF33" i="78"/>
  <c r="Y33" s="1"/>
  <c r="AF32" i="77"/>
  <c r="Y32" s="1"/>
  <c r="AF32" i="80"/>
  <c r="Y32" s="1"/>
  <c r="AF32" i="82"/>
  <c r="Y32" s="1"/>
  <c r="AF32" i="106"/>
  <c r="Y32" s="1"/>
  <c r="AF32" i="100"/>
  <c r="Y32" s="1"/>
  <c r="AI32" i="88"/>
  <c r="AF32" s="1"/>
  <c r="Y32" s="1"/>
  <c r="AF31" i="97"/>
  <c r="Y31" s="1"/>
  <c r="AF30" i="81"/>
  <c r="Y30" s="1"/>
  <c r="AF30" i="82"/>
  <c r="Y30" s="1"/>
  <c r="AF30" i="106"/>
  <c r="Y30" s="1"/>
  <c r="AF30" i="110"/>
  <c r="Y30" s="1"/>
  <c r="AF29" i="77"/>
  <c r="Y29" s="1"/>
  <c r="AF29" i="80"/>
  <c r="Y29" s="1"/>
  <c r="AF29" i="79"/>
  <c r="Y29" s="1"/>
  <c r="AF29" i="82"/>
  <c r="Y29" s="1"/>
  <c r="AF28" i="78"/>
  <c r="Y28" s="1"/>
  <c r="AF28" i="109"/>
  <c r="Y28" s="1"/>
  <c r="AI28" i="110"/>
  <c r="AF28" s="1"/>
  <c r="Y28" s="1"/>
  <c r="AF27" i="95"/>
  <c r="Y27" s="1"/>
  <c r="AF27" i="87"/>
  <c r="Y27" s="1"/>
  <c r="AF27" i="104"/>
  <c r="Y27" s="1"/>
  <c r="AF27" i="102"/>
  <c r="Y27" s="1"/>
  <c r="AF27" i="93"/>
  <c r="Y27" s="1"/>
  <c r="AF27" i="91"/>
  <c r="Y27" s="1"/>
  <c r="AF26" i="78"/>
  <c r="Y26" s="1"/>
  <c r="AF26" i="88"/>
  <c r="Y26" s="1"/>
  <c r="AF26" i="110"/>
  <c r="Y26" s="1"/>
  <c r="AF26" i="77"/>
  <c r="Y26" s="1"/>
  <c r="AF26" i="76"/>
  <c r="Y26" s="1"/>
  <c r="AF26" i="100"/>
  <c r="Y26" s="1"/>
  <c r="AF25" i="99"/>
  <c r="Y25" s="1"/>
  <c r="AF25" i="83"/>
  <c r="Y25" s="1"/>
  <c r="AF25" i="87"/>
  <c r="Y25" s="1"/>
  <c r="BA69" i="91"/>
  <c r="BB69" s="1"/>
  <c r="S3" s="1"/>
  <c r="H75" i="22" s="1"/>
  <c r="S3" i="76"/>
  <c r="H14" i="22" s="1"/>
  <c r="BA69" i="93"/>
  <c r="BB69" s="1"/>
  <c r="S3" s="1"/>
  <c r="H16" i="22" s="1"/>
  <c r="BA69" i="99"/>
  <c r="BB69" s="1"/>
  <c r="S3" s="1"/>
  <c r="H70" i="22" s="1"/>
  <c r="S3" i="107"/>
  <c r="H53" i="22" s="1"/>
  <c r="AF24" i="78"/>
  <c r="Y24" s="1"/>
  <c r="AF24" i="81"/>
  <c r="Y24" s="1"/>
  <c r="AI24" i="98"/>
  <c r="AF24" s="1"/>
  <c r="Y24" s="1"/>
  <c r="AF23" i="78"/>
  <c r="Y23" s="1"/>
  <c r="AF23" i="108"/>
  <c r="Y23" s="1"/>
  <c r="AF23" i="81"/>
  <c r="Y23" s="1"/>
  <c r="AF22" i="82"/>
  <c r="Y22" s="1"/>
  <c r="AF21" i="88"/>
  <c r="Y21" s="1"/>
  <c r="AF21" i="108"/>
  <c r="Y21" s="1"/>
  <c r="AF21" i="78"/>
  <c r="Y21" s="1"/>
  <c r="AF20" i="76"/>
  <c r="Y20" s="1"/>
  <c r="AF19" i="90"/>
  <c r="Y19" s="1"/>
  <c r="AF19" i="103"/>
  <c r="Y19" s="1"/>
  <c r="AF19" i="80"/>
  <c r="Y19" s="1"/>
  <c r="AF19" i="78"/>
  <c r="Y19" s="1"/>
  <c r="AI19" i="85"/>
  <c r="AF19" s="1"/>
  <c r="Y19" s="1"/>
  <c r="AI19" i="83"/>
  <c r="AF19" s="1"/>
  <c r="Y19" s="1"/>
  <c r="AF19" i="91"/>
  <c r="Y19" s="1"/>
  <c r="AF19" i="88"/>
  <c r="Y19" s="1"/>
  <c r="AF19" i="89"/>
  <c r="Y19" s="1"/>
  <c r="AF19" i="106"/>
  <c r="Y19" s="1"/>
  <c r="AF19" i="105"/>
  <c r="Y19" s="1"/>
  <c r="AF19" i="101"/>
  <c r="Y19" s="1"/>
  <c r="AF19" i="97"/>
  <c r="Y19" s="1"/>
  <c r="AF19" i="110"/>
  <c r="Y19" s="1"/>
  <c r="AF18" i="78"/>
  <c r="Y18" s="1"/>
  <c r="AF18" i="108"/>
  <c r="Y18" s="1"/>
  <c r="AF18" i="88"/>
  <c r="Y18" s="1"/>
  <c r="AF16" i="76"/>
  <c r="Y16" s="1"/>
  <c r="AF16" i="84"/>
  <c r="Y16" s="1"/>
  <c r="AF16" i="106"/>
  <c r="Y16" s="1"/>
  <c r="AF16" i="100"/>
  <c r="Y16" s="1"/>
  <c r="AF15" i="84"/>
  <c r="Y15" s="1"/>
  <c r="AF14" i="76"/>
  <c r="Y14" s="1"/>
  <c r="AF14" i="78"/>
  <c r="Y14" s="1"/>
  <c r="AF13" i="81"/>
  <c r="Y13" s="1"/>
  <c r="AF13" i="89"/>
  <c r="Y13" s="1"/>
  <c r="AF13" i="99"/>
  <c r="Y13" s="1"/>
  <c r="AF12" i="106"/>
  <c r="Y12" s="1"/>
  <c r="AF11" i="78"/>
  <c r="Y11" s="1"/>
  <c r="AF11" i="106"/>
  <c r="Y11" s="1"/>
  <c r="AF11" i="108"/>
  <c r="Y11" s="1"/>
  <c r="AF9" i="80"/>
  <c r="Y9" s="1"/>
  <c r="AF9" i="76"/>
  <c r="Y9" s="1"/>
  <c r="AF9" i="79"/>
  <c r="Y9" s="1"/>
  <c r="AF10" i="85"/>
  <c r="Y10" s="1"/>
  <c r="AF9"/>
  <c r="Y9" s="1"/>
  <c r="AF10" i="83"/>
  <c r="Y10" s="1"/>
  <c r="AF10" i="84"/>
  <c r="Y10" s="1"/>
  <c r="AF9"/>
  <c r="Y9" s="1"/>
  <c r="AF10" i="96"/>
  <c r="Y10" s="1"/>
  <c r="AF8"/>
  <c r="AF10" i="95"/>
  <c r="Y10" s="1"/>
  <c r="AF10" i="93"/>
  <c r="Y10" s="1"/>
  <c r="AF8" i="107"/>
  <c r="AF9" i="106"/>
  <c r="Y9" s="1"/>
  <c r="AF10" i="104"/>
  <c r="Y10" s="1"/>
  <c r="AF9" i="103"/>
  <c r="Y9" s="1"/>
  <c r="AF9" i="102"/>
  <c r="Y9" s="1"/>
  <c r="AF10" i="101"/>
  <c r="Y10" s="1"/>
  <c r="AF10" i="99"/>
  <c r="Y10" s="1"/>
  <c r="AF9"/>
  <c r="Y9" s="1"/>
  <c r="AF8"/>
  <c r="AF10" i="103"/>
  <c r="Y10" s="1"/>
  <c r="AI64" i="98"/>
  <c r="AF64" s="1"/>
  <c r="Y64" s="1"/>
  <c r="AI47"/>
  <c r="AF47" s="1"/>
  <c r="Y47" s="1"/>
  <c r="AI35"/>
  <c r="AF35" s="1"/>
  <c r="Y35" s="1"/>
  <c r="AI23"/>
  <c r="AF23" s="1"/>
  <c r="Y23" s="1"/>
  <c r="AF10"/>
  <c r="Y10" s="1"/>
  <c r="AI63" i="100"/>
  <c r="AF63" s="1"/>
  <c r="Y63" s="1"/>
  <c r="AF9" i="97"/>
  <c r="Y9" s="1"/>
  <c r="AI82"/>
  <c r="AF82" s="1"/>
  <c r="Y82" s="1"/>
  <c r="AI49"/>
  <c r="AF49" s="1"/>
  <c r="Y49" s="1"/>
  <c r="AI37"/>
  <c r="AF37" s="1"/>
  <c r="Y37" s="1"/>
  <c r="AI25"/>
  <c r="AF25" s="1"/>
  <c r="Y25" s="1"/>
  <c r="AI13"/>
  <c r="AF13" s="1"/>
  <c r="Y13" s="1"/>
  <c r="AI19" i="98"/>
  <c r="AF19" s="1"/>
  <c r="Y19" s="1"/>
  <c r="AI20" i="108"/>
  <c r="AF20" s="1"/>
  <c r="Y20" s="1"/>
  <c r="AI15"/>
  <c r="AF15" s="1"/>
  <c r="Y15" s="1"/>
  <c r="AI10"/>
  <c r="AI8"/>
  <c r="AI51" i="110"/>
  <c r="AF51" s="1"/>
  <c r="Y51" s="1"/>
  <c r="AI48"/>
  <c r="AF48" s="1"/>
  <c r="Y48" s="1"/>
  <c r="AI44"/>
  <c r="AF44" s="1"/>
  <c r="Y44" s="1"/>
  <c r="AI39"/>
  <c r="AF39" s="1"/>
  <c r="Y39" s="1"/>
  <c r="AI36"/>
  <c r="AF36" s="1"/>
  <c r="Y36" s="1"/>
  <c r="AI32"/>
  <c r="AF32" s="1"/>
  <c r="AI27"/>
  <c r="AF27" s="1"/>
  <c r="Y27" s="1"/>
  <c r="AI24"/>
  <c r="AF24" s="1"/>
  <c r="Y24" s="1"/>
  <c r="AF8"/>
  <c r="AF10" i="109"/>
  <c r="Y10" s="1"/>
  <c r="AF8"/>
  <c r="AI42" i="110"/>
  <c r="AF42" s="1"/>
  <c r="Y42" s="1"/>
  <c r="BA69" i="78"/>
  <c r="BB69" s="1"/>
  <c r="S3" s="1"/>
  <c r="H81" i="22" s="1"/>
  <c r="AF10" i="77"/>
  <c r="Y10" s="1"/>
  <c r="AF9"/>
  <c r="Y9" s="1"/>
  <c r="AF9" i="78"/>
  <c r="Y9" s="1"/>
  <c r="AF8"/>
  <c r="AF8" i="83"/>
  <c r="AF9" i="95"/>
  <c r="Y9" s="1"/>
  <c r="AF9" i="94"/>
  <c r="Y9" s="1"/>
  <c r="AF9" i="93"/>
  <c r="Y9" s="1"/>
  <c r="AF10" i="92"/>
  <c r="Y10" s="1"/>
  <c r="AF9" i="91"/>
  <c r="Y9" s="1"/>
  <c r="AF9" i="89"/>
  <c r="Y9" s="1"/>
  <c r="AF8" i="87"/>
  <c r="AF10"/>
  <c r="Y10" s="1"/>
  <c r="AF9" i="104"/>
  <c r="Y9" s="1"/>
  <c r="AF8"/>
  <c r="AF10" i="102"/>
  <c r="Y10" s="1"/>
  <c r="AF8"/>
  <c r="AF9" i="98"/>
  <c r="Y9" s="1"/>
  <c r="AF10" i="97"/>
  <c r="Y10" s="1"/>
  <c r="AF8" i="98"/>
  <c r="BA69" i="101"/>
  <c r="BB69" s="1"/>
  <c r="S3" s="1"/>
  <c r="H90" i="22" s="1"/>
  <c r="BA69" i="108"/>
  <c r="BB69" s="1"/>
  <c r="S3" s="1"/>
  <c r="H77" i="22" s="1"/>
  <c r="AI17" i="108"/>
  <c r="AF17" s="1"/>
  <c r="Y17" s="1"/>
  <c r="AI12"/>
  <c r="AF12" s="1"/>
  <c r="AF10"/>
  <c r="Y10" s="1"/>
  <c r="AI53" i="110"/>
  <c r="AF53" s="1"/>
  <c r="Y53" s="1"/>
  <c r="AI46"/>
  <c r="AF46" s="1"/>
  <c r="Y46" s="1"/>
  <c r="AI41"/>
  <c r="AF41" s="1"/>
  <c r="Y41" s="1"/>
  <c r="AI34"/>
  <c r="AF34" s="1"/>
  <c r="Y34" s="1"/>
  <c r="AI29"/>
  <c r="AF29" s="1"/>
  <c r="Y29" s="1"/>
  <c r="AF10"/>
  <c r="Y10" s="1"/>
  <c r="AF9"/>
  <c r="Y9" s="1"/>
  <c r="AI13"/>
  <c r="AF13" s="1"/>
  <c r="Y13" s="1"/>
  <c r="AI51" i="109"/>
  <c r="AF51" s="1"/>
  <c r="Y51" s="1"/>
  <c r="AI48"/>
  <c r="AF48" s="1"/>
  <c r="Y48" s="1"/>
  <c r="AI46"/>
  <c r="AF46" s="1"/>
  <c r="Y46" s="1"/>
  <c r="AI44"/>
  <c r="AF44" s="1"/>
  <c r="Y44" s="1"/>
  <c r="AI41"/>
  <c r="AF41" s="1"/>
  <c r="Y41" s="1"/>
  <c r="AI39"/>
  <c r="AF39" s="1"/>
  <c r="Y39" s="1"/>
  <c r="AI36"/>
  <c r="AF36" s="1"/>
  <c r="Y36" s="1"/>
  <c r="AI34"/>
  <c r="AF34" s="1"/>
  <c r="Y34" s="1"/>
  <c r="AI32"/>
  <c r="AF32" s="1"/>
  <c r="AI29"/>
  <c r="AF29" s="1"/>
  <c r="Y29" s="1"/>
  <c r="AI19"/>
  <c r="AF19" s="1"/>
  <c r="Y19" s="1"/>
  <c r="BA69"/>
  <c r="BB69" s="1"/>
  <c r="S3" s="1"/>
  <c r="H74" i="22" s="1"/>
  <c r="BA69" i="105"/>
  <c r="BB69" s="1"/>
  <c r="S3" s="1"/>
  <c r="H80" i="22" s="1"/>
  <c r="BA69" i="103"/>
  <c r="BB69" s="1"/>
  <c r="S3" s="1"/>
  <c r="H27" i="22" s="1"/>
  <c r="BA69" i="98"/>
  <c r="BB69" s="1"/>
  <c r="S3" s="1"/>
  <c r="H83" i="22" s="1"/>
  <c r="BA69" i="97"/>
  <c r="BB69" s="1"/>
  <c r="S3" s="1"/>
  <c r="H84" i="22" s="1"/>
  <c r="BA69" i="94"/>
  <c r="BB69" s="1"/>
  <c r="S3" s="1"/>
  <c r="H66" i="22" s="1"/>
  <c r="BA69" i="92"/>
  <c r="BB69" s="1"/>
  <c r="S3" s="1"/>
  <c r="H87" i="22" s="1"/>
  <c r="BA69" i="88"/>
  <c r="BB69" s="1"/>
  <c r="S3" s="1"/>
  <c r="H37" i="22" s="1"/>
  <c r="BA69" i="87"/>
  <c r="BB69" s="1"/>
  <c r="S3" s="1"/>
  <c r="H7" i="22" s="1"/>
  <c r="BA69" i="83"/>
  <c r="BB69" s="1"/>
  <c r="S3" s="1"/>
  <c r="H21" i="22" s="1"/>
  <c r="BA69" i="81"/>
  <c r="BB69" s="1"/>
  <c r="S3" s="1"/>
  <c r="H10" i="22" s="1"/>
  <c r="BA69" i="80"/>
  <c r="BB69" s="1"/>
  <c r="S3" s="1"/>
  <c r="H64" i="22" s="1"/>
  <c r="AF8" i="92"/>
  <c r="BA69" i="102"/>
  <c r="BB69" s="1"/>
  <c r="S3" s="1"/>
  <c r="H61" i="22" s="1"/>
  <c r="BA69" i="90"/>
  <c r="BB69" s="1"/>
  <c r="S3" s="1"/>
  <c r="H52" i="22" s="1"/>
  <c r="BA69" i="86"/>
  <c r="BB69" s="1"/>
  <c r="S3" s="1"/>
  <c r="H95" i="22" s="1"/>
  <c r="BA69" i="85"/>
  <c r="BB69" s="1"/>
  <c r="S3" s="1"/>
  <c r="H25" i="22" s="1"/>
  <c r="BA69" i="89"/>
  <c r="BB69" s="1"/>
  <c r="S3" s="1"/>
  <c r="H19" i="22" s="1"/>
  <c r="BA69" i="82"/>
  <c r="BB69" s="1"/>
  <c r="S3" s="1"/>
  <c r="H92" i="22" s="1"/>
  <c r="AF10" i="76"/>
  <c r="Y10" s="1"/>
  <c r="AF10" i="78"/>
  <c r="Y10" s="1"/>
  <c r="AF10" i="106"/>
  <c r="Y10" s="1"/>
  <c r="AF10" i="100"/>
  <c r="Y10" s="1"/>
  <c r="AF9" i="88"/>
  <c r="Y9" s="1"/>
  <c r="AF9" i="100"/>
  <c r="Y9" s="1"/>
  <c r="AF8" i="85"/>
  <c r="AF8" i="86"/>
  <c r="AF8" i="94"/>
  <c r="AF8" i="79"/>
  <c r="AF8" i="76"/>
  <c r="Y8" s="1"/>
  <c r="AF8" i="84"/>
  <c r="AF8" i="95"/>
  <c r="T3" s="1"/>
  <c r="I76" i="22" s="1"/>
  <c r="AF8" i="93"/>
  <c r="AF8" i="91"/>
  <c r="Y8" s="1"/>
  <c r="P3" s="1"/>
  <c r="AF8" i="77"/>
  <c r="AF8" i="106"/>
  <c r="T3" s="1"/>
  <c r="I42" i="22" s="1"/>
  <c r="AF8" i="100"/>
  <c r="AF8" i="88"/>
  <c r="AF8" i="108"/>
  <c r="Y8" s="1"/>
  <c r="Y8" i="110"/>
  <c r="Y8" i="109"/>
  <c r="S3" i="106"/>
  <c r="H42" i="22" s="1"/>
  <c r="T3" i="107"/>
  <c r="I53" i="22" s="1"/>
  <c r="Y8" i="107"/>
  <c r="P3" s="1"/>
  <c r="E53" i="22" s="1"/>
  <c r="T3" i="105"/>
  <c r="I80" i="22" s="1"/>
  <c r="Y8" i="105"/>
  <c r="P3" s="1"/>
  <c r="E80" i="22" s="1"/>
  <c r="Y8" i="102"/>
  <c r="P3" s="1"/>
  <c r="Y8" i="99"/>
  <c r="P3" s="1"/>
  <c r="Y8" i="97"/>
  <c r="AI61" i="100"/>
  <c r="AF61" s="1"/>
  <c r="Y61" s="1"/>
  <c r="Y8" i="106"/>
  <c r="P3" s="1"/>
  <c r="Y8" i="104"/>
  <c r="P3" s="1"/>
  <c r="T3"/>
  <c r="I78" i="22" s="1"/>
  <c r="T3" i="103"/>
  <c r="I27" i="22" s="1"/>
  <c r="Y8" i="103"/>
  <c r="T3" i="101"/>
  <c r="I90" i="22" s="1"/>
  <c r="Y8" i="101"/>
  <c r="P3" s="1"/>
  <c r="E90" i="22" s="1"/>
  <c r="Y8" i="100"/>
  <c r="Y8" i="98"/>
  <c r="P3" s="1"/>
  <c r="T3"/>
  <c r="I83" i="22" s="1"/>
  <c r="Y8" i="95"/>
  <c r="P3" s="1"/>
  <c r="E76" i="22" s="1"/>
  <c r="T3" i="94"/>
  <c r="I66" i="22" s="1"/>
  <c r="Y8" i="94"/>
  <c r="P3" s="1"/>
  <c r="E66" i="22" s="1"/>
  <c r="T3" i="92"/>
  <c r="I87" i="22" s="1"/>
  <c r="Y8" i="92"/>
  <c r="P3" s="1"/>
  <c r="E87" i="22" s="1"/>
  <c r="Y8" i="88"/>
  <c r="S3" i="95"/>
  <c r="H76" i="22" s="1"/>
  <c r="T3" i="96"/>
  <c r="I69" i="22" s="1"/>
  <c r="Y8" i="96"/>
  <c r="P3" s="1"/>
  <c r="E69" i="22" s="1"/>
  <c r="Y8" i="93"/>
  <c r="P3" s="1"/>
  <c r="T3"/>
  <c r="I16" i="22" s="1"/>
  <c r="T3" i="90"/>
  <c r="I52" i="22" s="1"/>
  <c r="Y8" i="90"/>
  <c r="P3" s="1"/>
  <c r="E52" i="22" s="1"/>
  <c r="T3" i="91"/>
  <c r="I75" i="22" s="1"/>
  <c r="T3" i="89"/>
  <c r="I19" i="22" s="1"/>
  <c r="Y8" i="89"/>
  <c r="P3" s="1"/>
  <c r="E19" i="22" s="1"/>
  <c r="T3" i="87"/>
  <c r="I7" i="22" s="1"/>
  <c r="Y8" i="87"/>
  <c r="P3" s="1"/>
  <c r="T3" i="85"/>
  <c r="I25" i="22" s="1"/>
  <c r="Y8" i="85"/>
  <c r="P3" s="1"/>
  <c r="Y8" i="86"/>
  <c r="P3" s="1"/>
  <c r="T3"/>
  <c r="I95" i="22" s="1"/>
  <c r="Y8" i="83"/>
  <c r="P3" s="1"/>
  <c r="Y8" i="84"/>
  <c r="T3" i="82"/>
  <c r="I92" i="22" s="1"/>
  <c r="Y8" i="82"/>
  <c r="P3" s="1"/>
  <c r="T3" i="81"/>
  <c r="I10" i="22" s="1"/>
  <c r="Y8" i="81"/>
  <c r="P3" s="1"/>
  <c r="T3" i="80"/>
  <c r="I64" i="22" s="1"/>
  <c r="Y8" i="80"/>
  <c r="P3" s="1"/>
  <c r="Y8" i="79"/>
  <c r="P3" s="1"/>
  <c r="T3"/>
  <c r="I54" i="22" s="1"/>
  <c r="Y8" i="78"/>
  <c r="T3"/>
  <c r="I81" i="22" s="1"/>
  <c r="Y8" i="77"/>
  <c r="P3" s="1"/>
  <c r="E29" i="22" s="1"/>
  <c r="T3" i="77"/>
  <c r="I29" i="22" s="1"/>
  <c r="T3" i="76"/>
  <c r="I14" i="22" s="1"/>
  <c r="L55" i="55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S18" s="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L55" i="54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S24" s="1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Q18"/>
  <c r="P18"/>
  <c r="R18" s="1"/>
  <c r="L18"/>
  <c r="S40" s="1"/>
  <c r="K18"/>
  <c r="S39" s="1"/>
  <c r="J18"/>
  <c r="S17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K15"/>
  <c r="S23" s="1"/>
  <c r="J15"/>
  <c r="L14"/>
  <c r="S30" s="1"/>
  <c r="K14"/>
  <c r="S29" s="1"/>
  <c r="J14"/>
  <c r="L13"/>
  <c r="S28" s="1"/>
  <c r="K13"/>
  <c r="S27" s="1"/>
  <c r="J13"/>
  <c r="Q12"/>
  <c r="P12"/>
  <c r="R12" s="1"/>
  <c r="L12"/>
  <c r="S22" s="1"/>
  <c r="K12"/>
  <c r="S21" s="1"/>
  <c r="J12"/>
  <c r="S11"/>
  <c r="Q11"/>
  <c r="P11"/>
  <c r="R11" s="1"/>
  <c r="L11"/>
  <c r="S18" s="1"/>
  <c r="K11"/>
  <c r="J11"/>
  <c r="Q10"/>
  <c r="P10"/>
  <c r="R10" s="1"/>
  <c r="L10"/>
  <c r="S16" s="1"/>
  <c r="K10"/>
  <c r="S15" s="1"/>
  <c r="J10"/>
  <c r="Q9"/>
  <c r="P9"/>
  <c r="R9" s="1"/>
  <c r="L9"/>
  <c r="S12" s="1"/>
  <c r="K9"/>
  <c r="J9"/>
  <c r="L8"/>
  <c r="S10" s="1"/>
  <c r="K8"/>
  <c r="S9" s="1"/>
  <c r="J8"/>
  <c r="L55" i="53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S45"/>
  <c r="Q45"/>
  <c r="P45"/>
  <c r="R45" s="1"/>
  <c r="L45"/>
  <c r="K45"/>
  <c r="J45"/>
  <c r="L44"/>
  <c r="K44"/>
  <c r="S30" s="1"/>
  <c r="J44"/>
  <c r="L43"/>
  <c r="K43"/>
  <c r="J43"/>
  <c r="Q42"/>
  <c r="P42"/>
  <c r="R42" s="1"/>
  <c r="L42"/>
  <c r="K42"/>
  <c r="S12" s="1"/>
  <c r="J42"/>
  <c r="Q41"/>
  <c r="P41"/>
  <c r="R41" s="1"/>
  <c r="L41"/>
  <c r="K41"/>
  <c r="J41"/>
  <c r="Q40"/>
  <c r="P40"/>
  <c r="R40" s="1"/>
  <c r="L40"/>
  <c r="K40"/>
  <c r="S18" s="1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S35"/>
  <c r="Q35"/>
  <c r="P35"/>
  <c r="R35" s="1"/>
  <c r="L35"/>
  <c r="S47" s="1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S24" s="1"/>
  <c r="J30"/>
  <c r="Q29"/>
  <c r="P29"/>
  <c r="R29" s="1"/>
  <c r="L29"/>
  <c r="K29"/>
  <c r="J29"/>
  <c r="Q28"/>
  <c r="P28"/>
  <c r="R28" s="1"/>
  <c r="L28"/>
  <c r="K28"/>
  <c r="J28"/>
  <c r="S27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S23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J21"/>
  <c r="L20"/>
  <c r="K20"/>
  <c r="S41" s="1"/>
  <c r="J20"/>
  <c r="L19"/>
  <c r="S46" s="1"/>
  <c r="K19"/>
  <c r="J19"/>
  <c r="Q18"/>
  <c r="P18"/>
  <c r="R18" s="1"/>
  <c r="L18"/>
  <c r="S40" s="1"/>
  <c r="K18"/>
  <c r="S39" s="1"/>
  <c r="J18"/>
  <c r="S17"/>
  <c r="Q17"/>
  <c r="P17"/>
  <c r="R17" s="1"/>
  <c r="L17"/>
  <c r="K17"/>
  <c r="J17"/>
  <c r="Q16"/>
  <c r="P16"/>
  <c r="R16" s="1"/>
  <c r="L16"/>
  <c r="S34" s="1"/>
  <c r="K16"/>
  <c r="S33" s="1"/>
  <c r="J16"/>
  <c r="Q15"/>
  <c r="P15"/>
  <c r="R15" s="1"/>
  <c r="L15"/>
  <c r="K15"/>
  <c r="J15"/>
  <c r="L14"/>
  <c r="K14"/>
  <c r="S29" s="1"/>
  <c r="J14"/>
  <c r="L13"/>
  <c r="S28" s="1"/>
  <c r="K13"/>
  <c r="J13"/>
  <c r="Q12"/>
  <c r="P12"/>
  <c r="R12" s="1"/>
  <c r="L12"/>
  <c r="S22" s="1"/>
  <c r="K12"/>
  <c r="S21" s="1"/>
  <c r="J12"/>
  <c r="S11"/>
  <c r="Q11"/>
  <c r="P11"/>
  <c r="R11" s="1"/>
  <c r="L11"/>
  <c r="K11"/>
  <c r="J11"/>
  <c r="Q10"/>
  <c r="P10"/>
  <c r="R10" s="1"/>
  <c r="L10"/>
  <c r="S16" s="1"/>
  <c r="K10"/>
  <c r="S15" s="1"/>
  <c r="J10"/>
  <c r="Q9"/>
  <c r="P9"/>
  <c r="R9" s="1"/>
  <c r="L9"/>
  <c r="K9"/>
  <c r="J9"/>
  <c r="L8"/>
  <c r="S10" s="1"/>
  <c r="K8"/>
  <c r="S9" s="1"/>
  <c r="J8"/>
  <c r="L55" i="3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S18" s="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U3" i="4"/>
  <c r="U3" i="5"/>
  <c r="U3" i="6"/>
  <c r="U3" i="7"/>
  <c r="U3" i="8"/>
  <c r="U3" i="19"/>
  <c r="U3" i="20"/>
  <c r="U3" i="21"/>
  <c r="U3" i="25"/>
  <c r="U3" i="27"/>
  <c r="U3" i="28"/>
  <c r="U3" i="29"/>
  <c r="U3" i="30"/>
  <c r="U3" i="31"/>
  <c r="U3" i="32"/>
  <c r="U3" i="33"/>
  <c r="U3" i="34"/>
  <c r="U3" i="35"/>
  <c r="U3" i="36"/>
  <c r="U3" i="38"/>
  <c r="U3" i="39"/>
  <c r="U3" i="41"/>
  <c r="U3" i="43"/>
  <c r="U3" i="45"/>
  <c r="U3" i="46"/>
  <c r="U3" i="47"/>
  <c r="U3" i="48"/>
  <c r="U3" i="49"/>
  <c r="U3" i="50"/>
  <c r="U3" i="52"/>
  <c r="U3" i="51"/>
  <c r="L55" i="52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S18" s="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L55" i="50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Q12"/>
  <c r="P12"/>
  <c r="R12" s="1"/>
  <c r="L12"/>
  <c r="S22" s="1"/>
  <c r="K12"/>
  <c r="S21" s="1"/>
  <c r="J12"/>
  <c r="Q11"/>
  <c r="P11"/>
  <c r="R11" s="1"/>
  <c r="L11"/>
  <c r="S18" s="1"/>
  <c r="K11"/>
  <c r="S17" s="1"/>
  <c r="J11"/>
  <c r="Q10"/>
  <c r="P10"/>
  <c r="R10" s="1"/>
  <c r="L10"/>
  <c r="S16" s="1"/>
  <c r="K10"/>
  <c r="S15" s="1"/>
  <c r="J10"/>
  <c r="Q9"/>
  <c r="P9"/>
  <c r="R9" s="1"/>
  <c r="L9"/>
  <c r="S12" s="1"/>
  <c r="K9"/>
  <c r="S11" s="1"/>
  <c r="J9"/>
  <c r="L8"/>
  <c r="S10" s="1"/>
  <c r="K8"/>
  <c r="S9" s="1"/>
  <c r="J8"/>
  <c r="X98" i="75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X77"/>
  <c r="X76"/>
  <c r="X75"/>
  <c r="X74"/>
  <c r="AD73"/>
  <c r="AH73" s="1"/>
  <c r="AC73"/>
  <c r="X73"/>
  <c r="AD72"/>
  <c r="AH72" s="1"/>
  <c r="AC72"/>
  <c r="X72"/>
  <c r="AD71"/>
  <c r="AH71" s="1"/>
  <c r="AC71"/>
  <c r="AK71" s="1"/>
  <c r="X71"/>
  <c r="AD70"/>
  <c r="AH70" s="1"/>
  <c r="AC70"/>
  <c r="X70"/>
  <c r="X69"/>
  <c r="AZ68"/>
  <c r="X68"/>
  <c r="AZ67"/>
  <c r="X67"/>
  <c r="AZ66"/>
  <c r="AD66"/>
  <c r="AH66" s="1"/>
  <c r="AC66"/>
  <c r="X66"/>
  <c r="AZ65"/>
  <c r="AD65"/>
  <c r="AH65" s="1"/>
  <c r="AC65"/>
  <c r="X65"/>
  <c r="AZ64"/>
  <c r="AD64"/>
  <c r="AH64" s="1"/>
  <c r="AC64"/>
  <c r="X64"/>
  <c r="AZ63"/>
  <c r="AD63"/>
  <c r="AH63" s="1"/>
  <c r="AC63"/>
  <c r="X63"/>
  <c r="AZ62"/>
  <c r="AD62"/>
  <c r="AH62" s="1"/>
  <c r="AC62"/>
  <c r="X62"/>
  <c r="AZ61"/>
  <c r="AH61"/>
  <c r="AD61"/>
  <c r="AC61"/>
  <c r="AK61" s="1"/>
  <c r="Z61"/>
  <c r="D61" s="1"/>
  <c r="D73" s="1"/>
  <c r="F78" s="1"/>
  <c r="F86" s="1"/>
  <c r="E89" s="1"/>
  <c r="X61"/>
  <c r="AZ60"/>
  <c r="AD60"/>
  <c r="AH60" s="1"/>
  <c r="AC60"/>
  <c r="X60"/>
  <c r="AZ59"/>
  <c r="AD59"/>
  <c r="AH59" s="1"/>
  <c r="AC59"/>
  <c r="Z59"/>
  <c r="D59" s="1"/>
  <c r="X59"/>
  <c r="BA58"/>
  <c r="AZ58"/>
  <c r="BA67" s="1"/>
  <c r="BB67" s="1"/>
  <c r="AA58"/>
  <c r="Z58"/>
  <c r="X58"/>
  <c r="AD55"/>
  <c r="AH55" s="1"/>
  <c r="AC55"/>
  <c r="AO54"/>
  <c r="AM54" s="1"/>
  <c r="AD54"/>
  <c r="AH54" s="1"/>
  <c r="AC54"/>
  <c r="V54"/>
  <c r="AO53"/>
  <c r="AM53" s="1"/>
  <c r="AD53"/>
  <c r="AK53" s="1"/>
  <c r="AC53"/>
  <c r="V53"/>
  <c r="AA64" s="1"/>
  <c r="F64" s="1"/>
  <c r="AO52"/>
  <c r="AM52" s="1"/>
  <c r="AD52"/>
  <c r="AC52"/>
  <c r="V52"/>
  <c r="AO51"/>
  <c r="AM51" s="1"/>
  <c r="AD51"/>
  <c r="AC51"/>
  <c r="V51"/>
  <c r="Z66" s="1"/>
  <c r="D66" s="1"/>
  <c r="AD50"/>
  <c r="AC50"/>
  <c r="AD49"/>
  <c r="AH49" s="1"/>
  <c r="AC49"/>
  <c r="AO48"/>
  <c r="AM48" s="1"/>
  <c r="AD48"/>
  <c r="AC48"/>
  <c r="V48"/>
  <c r="AO47"/>
  <c r="AM47" s="1"/>
  <c r="AD47"/>
  <c r="AC47"/>
  <c r="V47"/>
  <c r="AO46"/>
  <c r="AM46" s="1"/>
  <c r="AD46"/>
  <c r="AC46"/>
  <c r="V46"/>
  <c r="Z64" s="1"/>
  <c r="D64" s="1"/>
  <c r="F70" s="1"/>
  <c r="AO45"/>
  <c r="AM45" s="1"/>
  <c r="AD45"/>
  <c r="AC45"/>
  <c r="V45"/>
  <c r="AA66" s="1"/>
  <c r="F66" s="1"/>
  <c r="F72" s="1"/>
  <c r="AD44"/>
  <c r="AC44"/>
  <c r="AD43"/>
  <c r="AH43" s="1"/>
  <c r="AC43"/>
  <c r="AO42"/>
  <c r="AM42" s="1"/>
  <c r="AD42"/>
  <c r="AC42"/>
  <c r="V42"/>
  <c r="AA63" s="1"/>
  <c r="F63" s="1"/>
  <c r="AO41"/>
  <c r="AM41" s="1"/>
  <c r="AD41"/>
  <c r="AC41"/>
  <c r="V41"/>
  <c r="AO40"/>
  <c r="AM40" s="1"/>
  <c r="AD40"/>
  <c r="AC40"/>
  <c r="V40"/>
  <c r="AO39"/>
  <c r="AM39" s="1"/>
  <c r="AD39"/>
  <c r="AC39"/>
  <c r="V39"/>
  <c r="Z65" s="1"/>
  <c r="D65" s="1"/>
  <c r="D72" s="1"/>
  <c r="D78" s="1"/>
  <c r="F82" s="1"/>
  <c r="E91" s="1"/>
  <c r="AD38"/>
  <c r="AC38"/>
  <c r="AD37"/>
  <c r="AH37" s="1"/>
  <c r="AC37"/>
  <c r="AO36"/>
  <c r="AM36" s="1"/>
  <c r="AD36"/>
  <c r="AC36"/>
  <c r="V36"/>
  <c r="AO35"/>
  <c r="AM35" s="1"/>
  <c r="AD35"/>
  <c r="AC35"/>
  <c r="V35"/>
  <c r="Z63" s="1"/>
  <c r="D63" s="1"/>
  <c r="D70" s="1"/>
  <c r="D77" s="1"/>
  <c r="D86" s="1"/>
  <c r="E90" s="1"/>
  <c r="AO34"/>
  <c r="AM34" s="1"/>
  <c r="AD34"/>
  <c r="AC34"/>
  <c r="V34"/>
  <c r="AA65" s="1"/>
  <c r="F65" s="1"/>
  <c r="AO33"/>
  <c r="AM33" s="1"/>
  <c r="AD33"/>
  <c r="AC33"/>
  <c r="V33"/>
  <c r="AD32"/>
  <c r="AC32"/>
  <c r="AD31"/>
  <c r="AH31" s="1"/>
  <c r="AC31"/>
  <c r="AO30"/>
  <c r="AM30" s="1"/>
  <c r="AD30"/>
  <c r="AC30"/>
  <c r="V30"/>
  <c r="AA60" s="1"/>
  <c r="F60" s="1"/>
  <c r="F71" s="1"/>
  <c r="AO29"/>
  <c r="AM29" s="1"/>
  <c r="AD29"/>
  <c r="AC29"/>
  <c r="V29"/>
  <c r="AO28"/>
  <c r="AM28" s="1"/>
  <c r="AD28"/>
  <c r="AC28"/>
  <c r="V28"/>
  <c r="AO27"/>
  <c r="AM27" s="1"/>
  <c r="AD27"/>
  <c r="AC27"/>
  <c r="V27"/>
  <c r="Z62" s="1"/>
  <c r="D62" s="1"/>
  <c r="F73" s="1"/>
  <c r="AD26"/>
  <c r="AC26"/>
  <c r="AD25"/>
  <c r="AH25" s="1"/>
  <c r="AC25"/>
  <c r="AO24"/>
  <c r="AM24" s="1"/>
  <c r="AD24"/>
  <c r="AC24"/>
  <c r="V24"/>
  <c r="AO23"/>
  <c r="AM23" s="1"/>
  <c r="AD23"/>
  <c r="AH23" s="1"/>
  <c r="AC23"/>
  <c r="AG23" s="1"/>
  <c r="V23"/>
  <c r="Z60" s="1"/>
  <c r="D60" s="1"/>
  <c r="AO22"/>
  <c r="AM22" s="1"/>
  <c r="AD22"/>
  <c r="AH22" s="1"/>
  <c r="AC22"/>
  <c r="AG22" s="1"/>
  <c r="V22"/>
  <c r="AA62" s="1"/>
  <c r="F62" s="1"/>
  <c r="AO21"/>
  <c r="AM21" s="1"/>
  <c r="AD21"/>
  <c r="AH21" s="1"/>
  <c r="AC21"/>
  <c r="V21"/>
  <c r="AD20"/>
  <c r="AH20" s="1"/>
  <c r="AC20"/>
  <c r="AG20" s="1"/>
  <c r="AD19"/>
  <c r="AH19" s="1"/>
  <c r="AC19"/>
  <c r="AL19" s="1"/>
  <c r="AO18"/>
  <c r="AM18" s="1"/>
  <c r="AD18"/>
  <c r="AH18" s="1"/>
  <c r="AC18"/>
  <c r="AG18" s="1"/>
  <c r="V18"/>
  <c r="AO17"/>
  <c r="AM17" s="1"/>
  <c r="AD17"/>
  <c r="AH17" s="1"/>
  <c r="AC17"/>
  <c r="V17"/>
  <c r="AO16"/>
  <c r="AM16" s="1"/>
  <c r="AD16"/>
  <c r="AH16" s="1"/>
  <c r="AC16"/>
  <c r="AG16" s="1"/>
  <c r="V16"/>
  <c r="AA59" s="1"/>
  <c r="F59" s="1"/>
  <c r="D71" s="1"/>
  <c r="F77" s="1"/>
  <c r="D82" s="1"/>
  <c r="E92" s="1"/>
  <c r="AO15"/>
  <c r="AM15" s="1"/>
  <c r="AD15"/>
  <c r="AH15" s="1"/>
  <c r="AC15"/>
  <c r="AG15" s="1"/>
  <c r="V15"/>
  <c r="AD14"/>
  <c r="AH14" s="1"/>
  <c r="AC14"/>
  <c r="AD13"/>
  <c r="AH13" s="1"/>
  <c r="AC13"/>
  <c r="AO12"/>
  <c r="AM12" s="1"/>
  <c r="AD12"/>
  <c r="AH12" s="1"/>
  <c r="AC12"/>
  <c r="V12"/>
  <c r="AA61" s="1"/>
  <c r="F61" s="1"/>
  <c r="AO11"/>
  <c r="AM11" s="1"/>
  <c r="AD11"/>
  <c r="AH11" s="1"/>
  <c r="AC11"/>
  <c r="V11"/>
  <c r="AO10"/>
  <c r="AM10" s="1"/>
  <c r="AD10"/>
  <c r="AH10" s="1"/>
  <c r="AC10"/>
  <c r="V10"/>
  <c r="AO9"/>
  <c r="AM9" s="1"/>
  <c r="AD9"/>
  <c r="AH9" s="1"/>
  <c r="AC9"/>
  <c r="AG9" s="1"/>
  <c r="V9"/>
  <c r="AD8"/>
  <c r="AH8" s="1"/>
  <c r="AC8"/>
  <c r="N3"/>
  <c r="C57" i="22" s="1"/>
  <c r="X98" i="74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AK82" s="1"/>
  <c r="X82"/>
  <c r="X81"/>
  <c r="X80"/>
  <c r="X79"/>
  <c r="AD78"/>
  <c r="AH78" s="1"/>
  <c r="AC78"/>
  <c r="X78"/>
  <c r="AD77"/>
  <c r="AH77" s="1"/>
  <c r="AC77"/>
  <c r="X77"/>
  <c r="X76"/>
  <c r="X75"/>
  <c r="X74"/>
  <c r="AD73"/>
  <c r="AH73" s="1"/>
  <c r="AC73"/>
  <c r="X73"/>
  <c r="AD72"/>
  <c r="AH72" s="1"/>
  <c r="AC72"/>
  <c r="X72"/>
  <c r="AD71"/>
  <c r="AH71" s="1"/>
  <c r="AC71"/>
  <c r="AL71" s="1"/>
  <c r="X71"/>
  <c r="AH70"/>
  <c r="AD70"/>
  <c r="AC70"/>
  <c r="AK70" s="1"/>
  <c r="X70"/>
  <c r="X69"/>
  <c r="AZ68"/>
  <c r="X68"/>
  <c r="AZ67"/>
  <c r="X67"/>
  <c r="AZ66"/>
  <c r="AD66"/>
  <c r="AH66" s="1"/>
  <c r="AC66"/>
  <c r="X66"/>
  <c r="AZ65"/>
  <c r="AD65"/>
  <c r="AH65" s="1"/>
  <c r="AC65"/>
  <c r="X65"/>
  <c r="AZ64"/>
  <c r="AD64"/>
  <c r="AH64" s="1"/>
  <c r="AC64"/>
  <c r="X64"/>
  <c r="AZ63"/>
  <c r="AD63"/>
  <c r="AH63" s="1"/>
  <c r="AC63"/>
  <c r="X63"/>
  <c r="AZ62"/>
  <c r="AD62"/>
  <c r="AH62" s="1"/>
  <c r="AC62"/>
  <c r="X62"/>
  <c r="AZ61"/>
  <c r="AD61"/>
  <c r="AH61" s="1"/>
  <c r="AC61"/>
  <c r="X61"/>
  <c r="AZ60"/>
  <c r="AD60"/>
  <c r="AH60" s="1"/>
  <c r="AC60"/>
  <c r="X60"/>
  <c r="AZ59"/>
  <c r="AD59"/>
  <c r="AH59" s="1"/>
  <c r="AC59"/>
  <c r="X59"/>
  <c r="BA58"/>
  <c r="BB58" s="1"/>
  <c r="AZ58"/>
  <c r="BA67" s="1"/>
  <c r="BB67" s="1"/>
  <c r="AA58"/>
  <c r="Z58"/>
  <c r="X58"/>
  <c r="AD55"/>
  <c r="AH55" s="1"/>
  <c r="AC55"/>
  <c r="AO54"/>
  <c r="AM54" s="1"/>
  <c r="AD54"/>
  <c r="AH54" s="1"/>
  <c r="AC54"/>
  <c r="V54"/>
  <c r="AO53"/>
  <c r="AM53" s="1"/>
  <c r="AD53"/>
  <c r="AH53" s="1"/>
  <c r="AC53"/>
  <c r="AL53" s="1"/>
  <c r="V53"/>
  <c r="AA64" s="1"/>
  <c r="F64" s="1"/>
  <c r="AO52"/>
  <c r="AM52" s="1"/>
  <c r="AD52"/>
  <c r="AH52" s="1"/>
  <c r="AC52"/>
  <c r="V52"/>
  <c r="AO51"/>
  <c r="AM51" s="1"/>
  <c r="AD51"/>
  <c r="AH51" s="1"/>
  <c r="AC51"/>
  <c r="V51"/>
  <c r="Z66" s="1"/>
  <c r="D66" s="1"/>
  <c r="F72" s="1"/>
  <c r="AD50"/>
  <c r="AH50" s="1"/>
  <c r="AC50"/>
  <c r="AD49"/>
  <c r="AH49" s="1"/>
  <c r="AC49"/>
  <c r="AO48"/>
  <c r="AM48" s="1"/>
  <c r="AD48"/>
  <c r="AH48" s="1"/>
  <c r="AC48"/>
  <c r="V48"/>
  <c r="AO47"/>
  <c r="AM47" s="1"/>
  <c r="AD47"/>
  <c r="AH47" s="1"/>
  <c r="AC47"/>
  <c r="V47"/>
  <c r="AA66" s="1"/>
  <c r="F66" s="1"/>
  <c r="AO46"/>
  <c r="AM46" s="1"/>
  <c r="AD46"/>
  <c r="AH46" s="1"/>
  <c r="AC46"/>
  <c r="V46"/>
  <c r="AO45"/>
  <c r="AM45" s="1"/>
  <c r="AD45"/>
  <c r="AH45" s="1"/>
  <c r="AC45"/>
  <c r="V45"/>
  <c r="Z64" s="1"/>
  <c r="D64" s="1"/>
  <c r="F70" s="1"/>
  <c r="D77" s="1"/>
  <c r="D86" s="1"/>
  <c r="E90" s="1"/>
  <c r="AD44"/>
  <c r="AH44" s="1"/>
  <c r="AC44"/>
  <c r="AD43"/>
  <c r="AH43" s="1"/>
  <c r="AC43"/>
  <c r="AO42"/>
  <c r="AM42" s="1"/>
  <c r="AD42"/>
  <c r="AH42" s="1"/>
  <c r="AC42"/>
  <c r="V42"/>
  <c r="AA63" s="1"/>
  <c r="F63" s="1"/>
  <c r="D70" s="1"/>
  <c r="AO41"/>
  <c r="AM41" s="1"/>
  <c r="AD41"/>
  <c r="AH41" s="1"/>
  <c r="AC41"/>
  <c r="V41"/>
  <c r="AO40"/>
  <c r="AM40" s="1"/>
  <c r="AD40"/>
  <c r="AH40" s="1"/>
  <c r="AC40"/>
  <c r="AG40" s="1"/>
  <c r="V40"/>
  <c r="AO39"/>
  <c r="AM39" s="1"/>
  <c r="AD39"/>
  <c r="AH39" s="1"/>
  <c r="AC39"/>
  <c r="V39"/>
  <c r="Z65" s="1"/>
  <c r="D65" s="1"/>
  <c r="D72" s="1"/>
  <c r="D78" s="1"/>
  <c r="F82" s="1"/>
  <c r="E91" s="1"/>
  <c r="AD38"/>
  <c r="AH38" s="1"/>
  <c r="AC38"/>
  <c r="AG38" s="1"/>
  <c r="AD37"/>
  <c r="AC37"/>
  <c r="AO36"/>
  <c r="AM36" s="1"/>
  <c r="AD36"/>
  <c r="AH36" s="1"/>
  <c r="AC36"/>
  <c r="AG36" s="1"/>
  <c r="V36"/>
  <c r="AO35"/>
  <c r="AM35" s="1"/>
  <c r="AD35"/>
  <c r="AH35" s="1"/>
  <c r="AC35"/>
  <c r="V35"/>
  <c r="Z63" s="1"/>
  <c r="D63" s="1"/>
  <c r="AO34"/>
  <c r="AM34" s="1"/>
  <c r="AD34"/>
  <c r="AC34"/>
  <c r="V34"/>
  <c r="AA65" s="1"/>
  <c r="F65" s="1"/>
  <c r="AO33"/>
  <c r="AM33" s="1"/>
  <c r="AD33"/>
  <c r="AC33"/>
  <c r="V33"/>
  <c r="AD32"/>
  <c r="AC32"/>
  <c r="AD31"/>
  <c r="AH31" s="1"/>
  <c r="AC31"/>
  <c r="AO30"/>
  <c r="AM30" s="1"/>
  <c r="AD30"/>
  <c r="AC30"/>
  <c r="V30"/>
  <c r="AA60" s="1"/>
  <c r="F60" s="1"/>
  <c r="F71" s="1"/>
  <c r="AO29"/>
  <c r="AM29" s="1"/>
  <c r="AD29"/>
  <c r="AC29"/>
  <c r="V29"/>
  <c r="AO28"/>
  <c r="AM28" s="1"/>
  <c r="AD28"/>
  <c r="AC28"/>
  <c r="V28"/>
  <c r="AO27"/>
  <c r="AM27" s="1"/>
  <c r="AD27"/>
  <c r="AC27"/>
  <c r="V27"/>
  <c r="Z62" s="1"/>
  <c r="D62" s="1"/>
  <c r="F73" s="1"/>
  <c r="F78" s="1"/>
  <c r="F86" s="1"/>
  <c r="E89" s="1"/>
  <c r="AD26"/>
  <c r="AC26"/>
  <c r="AD25"/>
  <c r="AH25" s="1"/>
  <c r="AC25"/>
  <c r="AO24"/>
  <c r="AM24" s="1"/>
  <c r="AD24"/>
  <c r="AC24"/>
  <c r="V24"/>
  <c r="AA62" s="1"/>
  <c r="F62" s="1"/>
  <c r="AO23"/>
  <c r="AM23" s="1"/>
  <c r="AD23"/>
  <c r="AC23"/>
  <c r="V23"/>
  <c r="AO22"/>
  <c r="AM22" s="1"/>
  <c r="AD22"/>
  <c r="AC22"/>
  <c r="V22"/>
  <c r="AO21"/>
  <c r="AM21" s="1"/>
  <c r="AD21"/>
  <c r="AC21"/>
  <c r="V21"/>
  <c r="Z60" s="1"/>
  <c r="D60" s="1"/>
  <c r="AD20"/>
  <c r="AC20"/>
  <c r="AD19"/>
  <c r="AH19" s="1"/>
  <c r="AC19"/>
  <c r="AL19" s="1"/>
  <c r="AO18"/>
  <c r="AM18"/>
  <c r="AD18"/>
  <c r="AC18"/>
  <c r="V18"/>
  <c r="AO17"/>
  <c r="AM17" s="1"/>
  <c r="AD17"/>
  <c r="AC17"/>
  <c r="V17"/>
  <c r="AO16"/>
  <c r="AM16"/>
  <c r="AD16"/>
  <c r="AC16"/>
  <c r="V16"/>
  <c r="AA59" s="1"/>
  <c r="F59" s="1"/>
  <c r="D71" s="1"/>
  <c r="F77" s="1"/>
  <c r="D82" s="1"/>
  <c r="E92" s="1"/>
  <c r="AO15"/>
  <c r="AM15" s="1"/>
  <c r="AD15"/>
  <c r="AK15" s="1"/>
  <c r="AC15"/>
  <c r="V15"/>
  <c r="Z61" s="1"/>
  <c r="D61" s="1"/>
  <c r="D73" s="1"/>
  <c r="AD14"/>
  <c r="AC14"/>
  <c r="AD13"/>
  <c r="AH13" s="1"/>
  <c r="AC13"/>
  <c r="AL13" s="1"/>
  <c r="AO12"/>
  <c r="AM12" s="1"/>
  <c r="AD12"/>
  <c r="AC12"/>
  <c r="V12"/>
  <c r="AO11"/>
  <c r="AM11" s="1"/>
  <c r="AD11"/>
  <c r="AC11"/>
  <c r="V11"/>
  <c r="AO10"/>
  <c r="AM10" s="1"/>
  <c r="AD10"/>
  <c r="AC10"/>
  <c r="V10"/>
  <c r="AA61" s="1"/>
  <c r="F61" s="1"/>
  <c r="AO9"/>
  <c r="AM9" s="1"/>
  <c r="AD9"/>
  <c r="AC9"/>
  <c r="AG9" s="1"/>
  <c r="V9"/>
  <c r="Z59" s="1"/>
  <c r="D59" s="1"/>
  <c r="AD8"/>
  <c r="AC8"/>
  <c r="N3"/>
  <c r="C9" i="22" s="1"/>
  <c r="X98" i="73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X77"/>
  <c r="X76"/>
  <c r="X75"/>
  <c r="X74"/>
  <c r="AD73"/>
  <c r="AH73" s="1"/>
  <c r="AC73"/>
  <c r="X73"/>
  <c r="AD72"/>
  <c r="AH72" s="1"/>
  <c r="AC72"/>
  <c r="X72"/>
  <c r="AD71"/>
  <c r="AH71" s="1"/>
  <c r="AC71"/>
  <c r="X71"/>
  <c r="AD70"/>
  <c r="AH70" s="1"/>
  <c r="AC70"/>
  <c r="X70"/>
  <c r="X69"/>
  <c r="AZ68"/>
  <c r="X68"/>
  <c r="AZ67"/>
  <c r="X67"/>
  <c r="AZ66"/>
  <c r="AD66"/>
  <c r="AH66" s="1"/>
  <c r="AC66"/>
  <c r="AA66"/>
  <c r="F66" s="1"/>
  <c r="Z66"/>
  <c r="X66"/>
  <c r="AZ65"/>
  <c r="AD65"/>
  <c r="AH65" s="1"/>
  <c r="AC65"/>
  <c r="AA65"/>
  <c r="F65" s="1"/>
  <c r="Z65"/>
  <c r="D65" s="1"/>
  <c r="D72" s="1"/>
  <c r="X65"/>
  <c r="AZ64"/>
  <c r="AD64"/>
  <c r="AH64" s="1"/>
  <c r="AC64"/>
  <c r="AA64"/>
  <c r="Z64"/>
  <c r="D64" s="1"/>
  <c r="X64"/>
  <c r="AZ63"/>
  <c r="AH63"/>
  <c r="AD63"/>
  <c r="AC63"/>
  <c r="AK63" s="1"/>
  <c r="AA63"/>
  <c r="F63" s="1"/>
  <c r="D70" s="1"/>
  <c r="Z63"/>
  <c r="D63" s="1"/>
  <c r="X63"/>
  <c r="AZ62"/>
  <c r="AD62"/>
  <c r="AH62" s="1"/>
  <c r="AC62"/>
  <c r="AK62" s="1"/>
  <c r="AA62"/>
  <c r="F62" s="1"/>
  <c r="Z62"/>
  <c r="D62" s="1"/>
  <c r="F73" s="1"/>
  <c r="X62"/>
  <c r="BA61"/>
  <c r="BB61" s="1"/>
  <c r="AZ61"/>
  <c r="AD61"/>
  <c r="AH61" s="1"/>
  <c r="AC61"/>
  <c r="AA61"/>
  <c r="F61" s="1"/>
  <c r="Z61"/>
  <c r="X61"/>
  <c r="BA60"/>
  <c r="BB60" s="1"/>
  <c r="AZ60"/>
  <c r="AD60"/>
  <c r="AH60" s="1"/>
  <c r="AC60"/>
  <c r="AA60"/>
  <c r="F60" s="1"/>
  <c r="Z60"/>
  <c r="D60" s="1"/>
  <c r="F71" s="1"/>
  <c r="X60"/>
  <c r="BA59"/>
  <c r="BB59" s="1"/>
  <c r="AZ59"/>
  <c r="AD59"/>
  <c r="AH59" s="1"/>
  <c r="AC59"/>
  <c r="AK59" s="1"/>
  <c r="AA59"/>
  <c r="Z59"/>
  <c r="D59" s="1"/>
  <c r="X59"/>
  <c r="BA58"/>
  <c r="AZ58"/>
  <c r="BA67" s="1"/>
  <c r="BB67" s="1"/>
  <c r="AA58"/>
  <c r="Z58"/>
  <c r="X58"/>
  <c r="AD55"/>
  <c r="AH55" s="1"/>
  <c r="AC55"/>
  <c r="AO54"/>
  <c r="AM54" s="1"/>
  <c r="AD54"/>
  <c r="AH54" s="1"/>
  <c r="AC54"/>
  <c r="V54"/>
  <c r="AO53"/>
  <c r="AM53" s="1"/>
  <c r="AD53"/>
  <c r="AC53"/>
  <c r="V53"/>
  <c r="AO52"/>
  <c r="AM52" s="1"/>
  <c r="AD52"/>
  <c r="AC52"/>
  <c r="V52"/>
  <c r="AO51"/>
  <c r="AM51" s="1"/>
  <c r="AD51"/>
  <c r="AC51"/>
  <c r="V51"/>
  <c r="AD50"/>
  <c r="AC50"/>
  <c r="AD49"/>
  <c r="AH49" s="1"/>
  <c r="AC49"/>
  <c r="AO48"/>
  <c r="AM48" s="1"/>
  <c r="AD48"/>
  <c r="AC48"/>
  <c r="V48"/>
  <c r="AO47"/>
  <c r="AM47" s="1"/>
  <c r="AD47"/>
  <c r="AC47"/>
  <c r="V47"/>
  <c r="AO46"/>
  <c r="AM46" s="1"/>
  <c r="AD46"/>
  <c r="AC46"/>
  <c r="V46"/>
  <c r="AO45"/>
  <c r="AM45" s="1"/>
  <c r="AD45"/>
  <c r="AC45"/>
  <c r="V45"/>
  <c r="AD44"/>
  <c r="AC44"/>
  <c r="AD43"/>
  <c r="AH43" s="1"/>
  <c r="AC43"/>
  <c r="AO42"/>
  <c r="AM42" s="1"/>
  <c r="AD42"/>
  <c r="AC42"/>
  <c r="V42"/>
  <c r="AO41"/>
  <c r="AM41" s="1"/>
  <c r="AD41"/>
  <c r="AC41"/>
  <c r="V41"/>
  <c r="AO40"/>
  <c r="AM40" s="1"/>
  <c r="AD40"/>
  <c r="AC40"/>
  <c r="V40"/>
  <c r="AO39"/>
  <c r="AM39" s="1"/>
  <c r="AD39"/>
  <c r="AC39"/>
  <c r="V39"/>
  <c r="AD38"/>
  <c r="AC38"/>
  <c r="AD37"/>
  <c r="AH37" s="1"/>
  <c r="AC37"/>
  <c r="AO36"/>
  <c r="AM36" s="1"/>
  <c r="AD36"/>
  <c r="AC36"/>
  <c r="V36"/>
  <c r="AO35"/>
  <c r="AM35" s="1"/>
  <c r="AD35"/>
  <c r="AC35"/>
  <c r="V35"/>
  <c r="AO34"/>
  <c r="AM34" s="1"/>
  <c r="AD34"/>
  <c r="AC34"/>
  <c r="V34"/>
  <c r="AO33"/>
  <c r="AM33" s="1"/>
  <c r="AD33"/>
  <c r="AC33"/>
  <c r="V33"/>
  <c r="AD32"/>
  <c r="AC32"/>
  <c r="AD31"/>
  <c r="AH31" s="1"/>
  <c r="AC31"/>
  <c r="AO30"/>
  <c r="AM30" s="1"/>
  <c r="AD30"/>
  <c r="AC30"/>
  <c r="V30"/>
  <c r="AO29"/>
  <c r="AM29" s="1"/>
  <c r="AD29"/>
  <c r="AC29"/>
  <c r="V29"/>
  <c r="AO28"/>
  <c r="AM28" s="1"/>
  <c r="AD28"/>
  <c r="AC28"/>
  <c r="V28"/>
  <c r="AO27"/>
  <c r="AM27" s="1"/>
  <c r="AD27"/>
  <c r="AC27"/>
  <c r="V27"/>
  <c r="AD26"/>
  <c r="AC26"/>
  <c r="AD25"/>
  <c r="AH25" s="1"/>
  <c r="AC25"/>
  <c r="AO24"/>
  <c r="AM24" s="1"/>
  <c r="AD24"/>
  <c r="AC24"/>
  <c r="V24"/>
  <c r="AO23"/>
  <c r="AM23" s="1"/>
  <c r="AD23"/>
  <c r="AC23"/>
  <c r="V23"/>
  <c r="AO22"/>
  <c r="AM22" s="1"/>
  <c r="AD22"/>
  <c r="AC22"/>
  <c r="V22"/>
  <c r="AO21"/>
  <c r="AM21" s="1"/>
  <c r="AD21"/>
  <c r="AH21" s="1"/>
  <c r="AC21"/>
  <c r="AG21" s="1"/>
  <c r="V21"/>
  <c r="AD20"/>
  <c r="AH20" s="1"/>
  <c r="AC20"/>
  <c r="AD19"/>
  <c r="AH19" s="1"/>
  <c r="AC19"/>
  <c r="AO18"/>
  <c r="AM18" s="1"/>
  <c r="AD18"/>
  <c r="AH18" s="1"/>
  <c r="AC18"/>
  <c r="V18"/>
  <c r="AO17"/>
  <c r="AM17" s="1"/>
  <c r="AD17"/>
  <c r="AH17" s="1"/>
  <c r="AC17"/>
  <c r="AG17" s="1"/>
  <c r="V17"/>
  <c r="AO16"/>
  <c r="AM16" s="1"/>
  <c r="AD16"/>
  <c r="AH16" s="1"/>
  <c r="AC16"/>
  <c r="V16"/>
  <c r="AO15"/>
  <c r="AM15" s="1"/>
  <c r="AD15"/>
  <c r="AH15" s="1"/>
  <c r="AC15"/>
  <c r="V15"/>
  <c r="AD14"/>
  <c r="AH14" s="1"/>
  <c r="AC14"/>
  <c r="AD13"/>
  <c r="AH13" s="1"/>
  <c r="AC13"/>
  <c r="AO12"/>
  <c r="AM12" s="1"/>
  <c r="AD12"/>
  <c r="AH12" s="1"/>
  <c r="AC12"/>
  <c r="V12"/>
  <c r="AO11"/>
  <c r="AM11" s="1"/>
  <c r="AD11"/>
  <c r="AH11" s="1"/>
  <c r="AC11"/>
  <c r="V11"/>
  <c r="AO10"/>
  <c r="AM10" s="1"/>
  <c r="AD10"/>
  <c r="AH10" s="1"/>
  <c r="AC10"/>
  <c r="V10"/>
  <c r="AO9"/>
  <c r="AM9" s="1"/>
  <c r="AD9"/>
  <c r="AH9" s="1"/>
  <c r="AC9"/>
  <c r="V9"/>
  <c r="AD8"/>
  <c r="AH8" s="1"/>
  <c r="AC8"/>
  <c r="N3"/>
  <c r="C94" i="22" s="1"/>
  <c r="X98" i="72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X77"/>
  <c r="X76"/>
  <c r="X75"/>
  <c r="X74"/>
  <c r="AD73"/>
  <c r="AH73" s="1"/>
  <c r="AC73"/>
  <c r="X73"/>
  <c r="AD72"/>
  <c r="AH72" s="1"/>
  <c r="AC72"/>
  <c r="X72"/>
  <c r="AD71"/>
  <c r="AH71" s="1"/>
  <c r="AC71"/>
  <c r="X71"/>
  <c r="AD70"/>
  <c r="AH70" s="1"/>
  <c r="AC70"/>
  <c r="X70"/>
  <c r="X69"/>
  <c r="AZ68"/>
  <c r="X68"/>
  <c r="AZ67"/>
  <c r="X67"/>
  <c r="AZ66"/>
  <c r="AD66"/>
  <c r="AH66" s="1"/>
  <c r="AC66"/>
  <c r="X66"/>
  <c r="AZ65"/>
  <c r="AD65"/>
  <c r="AH65" s="1"/>
  <c r="AC65"/>
  <c r="X65"/>
  <c r="AZ64"/>
  <c r="AD64"/>
  <c r="AH64" s="1"/>
  <c r="AC64"/>
  <c r="X64"/>
  <c r="AZ63"/>
  <c r="AD63"/>
  <c r="AH63" s="1"/>
  <c r="AC63"/>
  <c r="X63"/>
  <c r="AZ62"/>
  <c r="AD62"/>
  <c r="AH62" s="1"/>
  <c r="AC62"/>
  <c r="X62"/>
  <c r="AZ61"/>
  <c r="AD61"/>
  <c r="AH61" s="1"/>
  <c r="AC61"/>
  <c r="AA61"/>
  <c r="F61" s="1"/>
  <c r="X61"/>
  <c r="AZ60"/>
  <c r="AD60"/>
  <c r="AH60" s="1"/>
  <c r="AC60"/>
  <c r="X60"/>
  <c r="AZ59"/>
  <c r="AD59"/>
  <c r="AH59" s="1"/>
  <c r="AC59"/>
  <c r="X59"/>
  <c r="AZ58"/>
  <c r="BA68" s="1"/>
  <c r="BB68" s="1"/>
  <c r="AA58"/>
  <c r="Z58"/>
  <c r="X58"/>
  <c r="AD55"/>
  <c r="AH55" s="1"/>
  <c r="AC55"/>
  <c r="AO54"/>
  <c r="AM54" s="1"/>
  <c r="AD54"/>
  <c r="AH54" s="1"/>
  <c r="AC54"/>
  <c r="V54"/>
  <c r="AO53"/>
  <c r="AM53" s="1"/>
  <c r="AD53"/>
  <c r="AH53" s="1"/>
  <c r="AC53"/>
  <c r="V53"/>
  <c r="AA64" s="1"/>
  <c r="F64" s="1"/>
  <c r="AO52"/>
  <c r="AM52" s="1"/>
  <c r="AD52"/>
  <c r="AH52" s="1"/>
  <c r="AC52"/>
  <c r="AK52" s="1"/>
  <c r="V52"/>
  <c r="AO51"/>
  <c r="AM51" s="1"/>
  <c r="AD51"/>
  <c r="AH51" s="1"/>
  <c r="AC51"/>
  <c r="V51"/>
  <c r="Z66" s="1"/>
  <c r="D66" s="1"/>
  <c r="F72" s="1"/>
  <c r="AD50"/>
  <c r="AK50" s="1"/>
  <c r="AC50"/>
  <c r="AD49"/>
  <c r="AH49" s="1"/>
  <c r="AC49"/>
  <c r="AO48"/>
  <c r="AM48" s="1"/>
  <c r="AD48"/>
  <c r="AC48"/>
  <c r="V48"/>
  <c r="AO47"/>
  <c r="AM47" s="1"/>
  <c r="AD47"/>
  <c r="AC47"/>
  <c r="V47"/>
  <c r="AO46"/>
  <c r="AM46" s="1"/>
  <c r="AD46"/>
  <c r="AC46"/>
  <c r="V46"/>
  <c r="AA66" s="1"/>
  <c r="F66" s="1"/>
  <c r="AO45"/>
  <c r="AM45" s="1"/>
  <c r="AD45"/>
  <c r="AC45"/>
  <c r="V45"/>
  <c r="Z64" s="1"/>
  <c r="D64" s="1"/>
  <c r="F70" s="1"/>
  <c r="D77" s="1"/>
  <c r="D86" s="1"/>
  <c r="E89" s="1"/>
  <c r="AD44"/>
  <c r="AC44"/>
  <c r="AD43"/>
  <c r="AH43" s="1"/>
  <c r="AC43"/>
  <c r="AO42"/>
  <c r="AM42" s="1"/>
  <c r="AD42"/>
  <c r="AC42"/>
  <c r="V42"/>
  <c r="AA63" s="1"/>
  <c r="F63" s="1"/>
  <c r="AO41"/>
  <c r="AM41" s="1"/>
  <c r="AD41"/>
  <c r="AC41"/>
  <c r="V41"/>
  <c r="AO40"/>
  <c r="AM40" s="1"/>
  <c r="AD40"/>
  <c r="AC40"/>
  <c r="V40"/>
  <c r="AO39"/>
  <c r="AM39" s="1"/>
  <c r="AD39"/>
  <c r="AC39"/>
  <c r="V39"/>
  <c r="Z65" s="1"/>
  <c r="D65" s="1"/>
  <c r="D72" s="1"/>
  <c r="D78" s="1"/>
  <c r="F86" s="1"/>
  <c r="E90" s="1"/>
  <c r="AD38"/>
  <c r="AC38"/>
  <c r="AD37"/>
  <c r="AH37" s="1"/>
  <c r="AC37"/>
  <c r="AO36"/>
  <c r="AM36" s="1"/>
  <c r="AD36"/>
  <c r="AC36"/>
  <c r="V36"/>
  <c r="AO35"/>
  <c r="AM35" s="1"/>
  <c r="AD35"/>
  <c r="AC35"/>
  <c r="V35"/>
  <c r="Z63" s="1"/>
  <c r="D63" s="1"/>
  <c r="D70" s="1"/>
  <c r="AO34"/>
  <c r="AM34" s="1"/>
  <c r="AD34"/>
  <c r="AC34"/>
  <c r="V34"/>
  <c r="AA65" s="1"/>
  <c r="F65" s="1"/>
  <c r="AO33"/>
  <c r="AM33" s="1"/>
  <c r="AD33"/>
  <c r="AC33"/>
  <c r="V33"/>
  <c r="AD32"/>
  <c r="AC32"/>
  <c r="AG32" s="1"/>
  <c r="AD31"/>
  <c r="AC31"/>
  <c r="AO30"/>
  <c r="AM30" s="1"/>
  <c r="AD30"/>
  <c r="AH30" s="1"/>
  <c r="AC30"/>
  <c r="AG30" s="1"/>
  <c r="V30"/>
  <c r="AO29"/>
  <c r="AM29" s="1"/>
  <c r="AD29"/>
  <c r="AH29" s="1"/>
  <c r="AC29"/>
  <c r="V29"/>
  <c r="AA60" s="1"/>
  <c r="F60" s="1"/>
  <c r="AO28"/>
  <c r="AM28" s="1"/>
  <c r="AD28"/>
  <c r="AH28" s="1"/>
  <c r="AC28"/>
  <c r="AG28" s="1"/>
  <c r="V28"/>
  <c r="AO27"/>
  <c r="AM27" s="1"/>
  <c r="AD27"/>
  <c r="AH27" s="1"/>
  <c r="AC27"/>
  <c r="V27"/>
  <c r="Z62" s="1"/>
  <c r="D62" s="1"/>
  <c r="F73" s="1"/>
  <c r="AD26"/>
  <c r="AH26" s="1"/>
  <c r="AC26"/>
  <c r="AD25"/>
  <c r="AC25"/>
  <c r="AO24"/>
  <c r="AM24" s="1"/>
  <c r="AD24"/>
  <c r="AH24" s="1"/>
  <c r="AC24"/>
  <c r="V24"/>
  <c r="AO23"/>
  <c r="AM23" s="1"/>
  <c r="AD23"/>
  <c r="AH23" s="1"/>
  <c r="AC23"/>
  <c r="V23"/>
  <c r="AO22"/>
  <c r="AM22" s="1"/>
  <c r="AD22"/>
  <c r="AH22" s="1"/>
  <c r="AC22"/>
  <c r="V22"/>
  <c r="AA62" s="1"/>
  <c r="F62" s="1"/>
  <c r="AO21"/>
  <c r="AM21" s="1"/>
  <c r="AD21"/>
  <c r="AH21" s="1"/>
  <c r="AC21"/>
  <c r="V21"/>
  <c r="Z60" s="1"/>
  <c r="D60" s="1"/>
  <c r="F71" s="1"/>
  <c r="AD20"/>
  <c r="AH20" s="1"/>
  <c r="AC20"/>
  <c r="AD19"/>
  <c r="AC19"/>
  <c r="AO18"/>
  <c r="AM18" s="1"/>
  <c r="AD18"/>
  <c r="AH18" s="1"/>
  <c r="AC18"/>
  <c r="V18"/>
  <c r="AO17"/>
  <c r="AM17" s="1"/>
  <c r="AD17"/>
  <c r="AH17" s="1"/>
  <c r="AC17"/>
  <c r="V17"/>
  <c r="AO16"/>
  <c r="AM16" s="1"/>
  <c r="AD16"/>
  <c r="AH16" s="1"/>
  <c r="AC16"/>
  <c r="V16"/>
  <c r="AA59" s="1"/>
  <c r="F59" s="1"/>
  <c r="AO15"/>
  <c r="AM15" s="1"/>
  <c r="AD15"/>
  <c r="AH15" s="1"/>
  <c r="AC15"/>
  <c r="V15"/>
  <c r="Z61" s="1"/>
  <c r="D61" s="1"/>
  <c r="D73" s="1"/>
  <c r="F78" s="1"/>
  <c r="F82" s="1"/>
  <c r="E92" s="1"/>
  <c r="AD14"/>
  <c r="AH14" s="1"/>
  <c r="AC14"/>
  <c r="AD13"/>
  <c r="AC13"/>
  <c r="AO12"/>
  <c r="AM12" s="1"/>
  <c r="AD12"/>
  <c r="AH12" s="1"/>
  <c r="AC12"/>
  <c r="V12"/>
  <c r="AO11"/>
  <c r="AM11" s="1"/>
  <c r="AD11"/>
  <c r="AH11" s="1"/>
  <c r="AC11"/>
  <c r="V11"/>
  <c r="AO10"/>
  <c r="AM10" s="1"/>
  <c r="AD10"/>
  <c r="AH10" s="1"/>
  <c r="AC10"/>
  <c r="V10"/>
  <c r="AO9"/>
  <c r="AM9" s="1"/>
  <c r="AD9"/>
  <c r="AH9" s="1"/>
  <c r="AC9"/>
  <c r="AG9" s="1"/>
  <c r="V9"/>
  <c r="Z59" s="1"/>
  <c r="D59" s="1"/>
  <c r="D71" s="1"/>
  <c r="F77" s="1"/>
  <c r="D82" s="1"/>
  <c r="E91" s="1"/>
  <c r="AD8"/>
  <c r="AH8" s="1"/>
  <c r="AC8"/>
  <c r="N3"/>
  <c r="C5" i="22" s="1"/>
  <c r="X98" i="71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X77"/>
  <c r="X76"/>
  <c r="X75"/>
  <c r="X74"/>
  <c r="AD73"/>
  <c r="AH73" s="1"/>
  <c r="AC73"/>
  <c r="X73"/>
  <c r="AD72"/>
  <c r="AH72" s="1"/>
  <c r="AC72"/>
  <c r="X72"/>
  <c r="AD71"/>
  <c r="AH71" s="1"/>
  <c r="AC71"/>
  <c r="X71"/>
  <c r="AD70"/>
  <c r="AH70" s="1"/>
  <c r="AC70"/>
  <c r="AK70" s="1"/>
  <c r="X70"/>
  <c r="X69"/>
  <c r="AZ68"/>
  <c r="X68"/>
  <c r="AZ67"/>
  <c r="X67"/>
  <c r="AZ66"/>
  <c r="AD66"/>
  <c r="AH66" s="1"/>
  <c r="AC66"/>
  <c r="X66"/>
  <c r="AZ65"/>
  <c r="AD65"/>
  <c r="AH65" s="1"/>
  <c r="AC65"/>
  <c r="X65"/>
  <c r="AZ64"/>
  <c r="AD64"/>
  <c r="AH64" s="1"/>
  <c r="AC64"/>
  <c r="X64"/>
  <c r="AZ63"/>
  <c r="AD63"/>
  <c r="AH63" s="1"/>
  <c r="AC63"/>
  <c r="X63"/>
  <c r="AZ62"/>
  <c r="AD62"/>
  <c r="AH62" s="1"/>
  <c r="AC62"/>
  <c r="X62"/>
  <c r="AZ61"/>
  <c r="AD61"/>
  <c r="AH61" s="1"/>
  <c r="AC61"/>
  <c r="X61"/>
  <c r="AZ60"/>
  <c r="AD60"/>
  <c r="AH60" s="1"/>
  <c r="AC60"/>
  <c r="X60"/>
  <c r="AZ59"/>
  <c r="AD59"/>
  <c r="AH59" s="1"/>
  <c r="AC59"/>
  <c r="X59"/>
  <c r="AZ58"/>
  <c r="BA67" s="1"/>
  <c r="BB67" s="1"/>
  <c r="AA58"/>
  <c r="Z58"/>
  <c r="X58"/>
  <c r="AD55"/>
  <c r="AC55"/>
  <c r="AO54"/>
  <c r="AM54" s="1"/>
  <c r="AD54"/>
  <c r="AH54" s="1"/>
  <c r="AC54"/>
  <c r="V54"/>
  <c r="AA64" s="1"/>
  <c r="F64" s="1"/>
  <c r="AO53"/>
  <c r="AM53" s="1"/>
  <c r="AD53"/>
  <c r="AH53" s="1"/>
  <c r="AC53"/>
  <c r="AL53" s="1"/>
  <c r="V53"/>
  <c r="AO52"/>
  <c r="AM52" s="1"/>
  <c r="AD52"/>
  <c r="AH52" s="1"/>
  <c r="AC52"/>
  <c r="V52"/>
  <c r="AO51"/>
  <c r="AM51" s="1"/>
  <c r="AD51"/>
  <c r="AH51" s="1"/>
  <c r="AC51"/>
  <c r="V51"/>
  <c r="Z66" s="1"/>
  <c r="D66" s="1"/>
  <c r="F72" s="1"/>
  <c r="D78" s="1"/>
  <c r="F82" s="1"/>
  <c r="E92" s="1"/>
  <c r="AD50"/>
  <c r="AH50" s="1"/>
  <c r="AC50"/>
  <c r="AD49"/>
  <c r="AH49" s="1"/>
  <c r="AC49"/>
  <c r="AO48"/>
  <c r="AM48" s="1"/>
  <c r="AD48"/>
  <c r="AH48" s="1"/>
  <c r="AC48"/>
  <c r="V48"/>
  <c r="AO47"/>
  <c r="AM47" s="1"/>
  <c r="AD47"/>
  <c r="AH47" s="1"/>
  <c r="AC47"/>
  <c r="V47"/>
  <c r="AO46"/>
  <c r="AM46" s="1"/>
  <c r="AD46"/>
  <c r="AH46" s="1"/>
  <c r="AC46"/>
  <c r="V46"/>
  <c r="AA66" s="1"/>
  <c r="F66" s="1"/>
  <c r="AO45"/>
  <c r="AM45" s="1"/>
  <c r="AD45"/>
  <c r="AH45" s="1"/>
  <c r="AC45"/>
  <c r="V45"/>
  <c r="Z64" s="1"/>
  <c r="D64" s="1"/>
  <c r="F70" s="1"/>
  <c r="D77" s="1"/>
  <c r="D86" s="1"/>
  <c r="E90" s="1"/>
  <c r="AD44"/>
  <c r="AH44" s="1"/>
  <c r="AC44"/>
  <c r="AD43"/>
  <c r="AH43" s="1"/>
  <c r="AC43"/>
  <c r="AO42"/>
  <c r="AM42" s="1"/>
  <c r="AD42"/>
  <c r="AH42" s="1"/>
  <c r="AC42"/>
  <c r="V42"/>
  <c r="Z65" s="1"/>
  <c r="D65" s="1"/>
  <c r="D72" s="1"/>
  <c r="AO41"/>
  <c r="AM41" s="1"/>
  <c r="AD41"/>
  <c r="AH41" s="1"/>
  <c r="AC41"/>
  <c r="V41"/>
  <c r="AO40"/>
  <c r="AM40" s="1"/>
  <c r="AD40"/>
  <c r="AH40" s="1"/>
  <c r="AC40"/>
  <c r="V40"/>
  <c r="AO39"/>
  <c r="AM39" s="1"/>
  <c r="AD39"/>
  <c r="AH39" s="1"/>
  <c r="AC39"/>
  <c r="V39"/>
  <c r="AA63" s="1"/>
  <c r="F63" s="1"/>
  <c r="D70" s="1"/>
  <c r="AD38"/>
  <c r="AH38" s="1"/>
  <c r="AC38"/>
  <c r="AD37"/>
  <c r="AH37" s="1"/>
  <c r="AC37"/>
  <c r="AO36"/>
  <c r="AM36" s="1"/>
  <c r="AD36"/>
  <c r="AH36" s="1"/>
  <c r="AC36"/>
  <c r="V36"/>
  <c r="AO35"/>
  <c r="AM35" s="1"/>
  <c r="AD35"/>
  <c r="AH35" s="1"/>
  <c r="AC35"/>
  <c r="V35"/>
  <c r="Z63" s="1"/>
  <c r="D63" s="1"/>
  <c r="AO34"/>
  <c r="AM34" s="1"/>
  <c r="AD34"/>
  <c r="AH34" s="1"/>
  <c r="AC34"/>
  <c r="V34"/>
  <c r="AO33"/>
  <c r="AM33" s="1"/>
  <c r="AD33"/>
  <c r="AH33" s="1"/>
  <c r="AC33"/>
  <c r="V33"/>
  <c r="AA65" s="1"/>
  <c r="F65" s="1"/>
  <c r="AD32"/>
  <c r="AH32" s="1"/>
  <c r="AC32"/>
  <c r="AD31"/>
  <c r="AH31" s="1"/>
  <c r="AC31"/>
  <c r="AO30"/>
  <c r="AM30" s="1"/>
  <c r="AD30"/>
  <c r="AH30" s="1"/>
  <c r="AC30"/>
  <c r="V30"/>
  <c r="Z62" s="1"/>
  <c r="D62" s="1"/>
  <c r="F73" s="1"/>
  <c r="F78" s="1"/>
  <c r="F86" s="1"/>
  <c r="E89" s="1"/>
  <c r="AO29"/>
  <c r="AM29" s="1"/>
  <c r="AD29"/>
  <c r="AH29" s="1"/>
  <c r="AC29"/>
  <c r="V29"/>
  <c r="AO28"/>
  <c r="AM28" s="1"/>
  <c r="AD28"/>
  <c r="AH28" s="1"/>
  <c r="AC28"/>
  <c r="V28"/>
  <c r="AO27"/>
  <c r="AM27" s="1"/>
  <c r="AD27"/>
  <c r="AH27" s="1"/>
  <c r="AC27"/>
  <c r="V27"/>
  <c r="AA60" s="1"/>
  <c r="F60" s="1"/>
  <c r="F71" s="1"/>
  <c r="AD26"/>
  <c r="AH26" s="1"/>
  <c r="AC26"/>
  <c r="AD25"/>
  <c r="AH25" s="1"/>
  <c r="AC25"/>
  <c r="AK25" s="1"/>
  <c r="AO24"/>
  <c r="AM24" s="1"/>
  <c r="AD24"/>
  <c r="AH24" s="1"/>
  <c r="AC24"/>
  <c r="V24"/>
  <c r="AO23"/>
  <c r="AM23" s="1"/>
  <c r="AD23"/>
  <c r="AH23" s="1"/>
  <c r="AC23"/>
  <c r="V23"/>
  <c r="Z60" s="1"/>
  <c r="D60" s="1"/>
  <c r="AO22"/>
  <c r="AM22" s="1"/>
  <c r="AD22"/>
  <c r="AH22" s="1"/>
  <c r="AC22"/>
  <c r="V22"/>
  <c r="AA62" s="1"/>
  <c r="F62" s="1"/>
  <c r="AO21"/>
  <c r="AM21" s="1"/>
  <c r="AD21"/>
  <c r="AH21" s="1"/>
  <c r="AC21"/>
  <c r="V21"/>
  <c r="AD20"/>
  <c r="AH20" s="1"/>
  <c r="AC20"/>
  <c r="AD19"/>
  <c r="AH19" s="1"/>
  <c r="AC19"/>
  <c r="AK19" s="1"/>
  <c r="AO18"/>
  <c r="AM18" s="1"/>
  <c r="AD18"/>
  <c r="AH18" s="1"/>
  <c r="AC18"/>
  <c r="V18"/>
  <c r="AO17"/>
  <c r="AM17" s="1"/>
  <c r="AD17"/>
  <c r="AH17" s="1"/>
  <c r="AC17"/>
  <c r="V17"/>
  <c r="AA59" s="1"/>
  <c r="F59" s="1"/>
  <c r="AO16"/>
  <c r="AM16" s="1"/>
  <c r="AD16"/>
  <c r="AH16" s="1"/>
  <c r="AC16"/>
  <c r="V16"/>
  <c r="Z61" s="1"/>
  <c r="D61" s="1"/>
  <c r="D73" s="1"/>
  <c r="AO15"/>
  <c r="AM15" s="1"/>
  <c r="AD15"/>
  <c r="AH15" s="1"/>
  <c r="AC15"/>
  <c r="V15"/>
  <c r="AD14"/>
  <c r="AH14" s="1"/>
  <c r="AC14"/>
  <c r="AD13"/>
  <c r="AH13" s="1"/>
  <c r="AC13"/>
  <c r="AO12"/>
  <c r="AM12" s="1"/>
  <c r="AD12"/>
  <c r="AH12" s="1"/>
  <c r="AC12"/>
  <c r="V12"/>
  <c r="AO11"/>
  <c r="AM11" s="1"/>
  <c r="AD11"/>
  <c r="AH11" s="1"/>
  <c r="AC11"/>
  <c r="V11"/>
  <c r="AA61" s="1"/>
  <c r="F61" s="1"/>
  <c r="AO10"/>
  <c r="AM10" s="1"/>
  <c r="AD10"/>
  <c r="AH10" s="1"/>
  <c r="AC10"/>
  <c r="V10"/>
  <c r="AO9"/>
  <c r="AM9" s="1"/>
  <c r="AD9"/>
  <c r="AH9" s="1"/>
  <c r="AC9"/>
  <c r="AG9" s="1"/>
  <c r="V9"/>
  <c r="Z59" s="1"/>
  <c r="D59" s="1"/>
  <c r="D71" s="1"/>
  <c r="F77" s="1"/>
  <c r="D82" s="1"/>
  <c r="E91" s="1"/>
  <c r="AD8"/>
  <c r="AH8" s="1"/>
  <c r="AC8"/>
  <c r="AL8" s="1"/>
  <c r="N3"/>
  <c r="C22" i="22" s="1"/>
  <c r="X98" i="70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X77"/>
  <c r="X76"/>
  <c r="X75"/>
  <c r="X74"/>
  <c r="AD73"/>
  <c r="AH73" s="1"/>
  <c r="AC73"/>
  <c r="X73"/>
  <c r="AD72"/>
  <c r="AH72" s="1"/>
  <c r="AC72"/>
  <c r="X72"/>
  <c r="AD71"/>
  <c r="AH71" s="1"/>
  <c r="AC71"/>
  <c r="X71"/>
  <c r="AD70"/>
  <c r="AH70" s="1"/>
  <c r="AC70"/>
  <c r="X70"/>
  <c r="X69"/>
  <c r="AZ68"/>
  <c r="X68"/>
  <c r="AZ67"/>
  <c r="X67"/>
  <c r="AZ66"/>
  <c r="AD66"/>
  <c r="AH66" s="1"/>
  <c r="AC66"/>
  <c r="AG66" s="1"/>
  <c r="X66"/>
  <c r="AZ65"/>
  <c r="AD65"/>
  <c r="AH65" s="1"/>
  <c r="AC65"/>
  <c r="AG65" s="1"/>
  <c r="AA65"/>
  <c r="F65" s="1"/>
  <c r="X65"/>
  <c r="AZ64"/>
  <c r="AD64"/>
  <c r="AH64" s="1"/>
  <c r="AC64"/>
  <c r="AG64" s="1"/>
  <c r="Z64"/>
  <c r="D64" s="1"/>
  <c r="F70" s="1"/>
  <c r="D77" s="1"/>
  <c r="D82" s="1"/>
  <c r="E91" s="1"/>
  <c r="X64"/>
  <c r="AZ63"/>
  <c r="AD63"/>
  <c r="AH63" s="1"/>
  <c r="AC63"/>
  <c r="AG63" s="1"/>
  <c r="AA63"/>
  <c r="F63" s="1"/>
  <c r="X63"/>
  <c r="AZ62"/>
  <c r="AD62"/>
  <c r="AH62" s="1"/>
  <c r="AC62"/>
  <c r="AG62" s="1"/>
  <c r="Z62"/>
  <c r="D62" s="1"/>
  <c r="F73" s="1"/>
  <c r="X62"/>
  <c r="AZ61"/>
  <c r="AD61"/>
  <c r="AH61" s="1"/>
  <c r="AC61"/>
  <c r="AG61" s="1"/>
  <c r="AA61"/>
  <c r="F61" s="1"/>
  <c r="X61"/>
  <c r="AZ60"/>
  <c r="AD60"/>
  <c r="AH60" s="1"/>
  <c r="AC60"/>
  <c r="AG60" s="1"/>
  <c r="Z60"/>
  <c r="D60" s="1"/>
  <c r="F71" s="1"/>
  <c r="X60"/>
  <c r="AZ59"/>
  <c r="AD59"/>
  <c r="AH59" s="1"/>
  <c r="AC59"/>
  <c r="AG59" s="1"/>
  <c r="AA59"/>
  <c r="F59" s="1"/>
  <c r="X59"/>
  <c r="AZ58"/>
  <c r="BA68" s="1"/>
  <c r="BB68" s="1"/>
  <c r="AA58"/>
  <c r="Z58"/>
  <c r="X58"/>
  <c r="AD55"/>
  <c r="AH55" s="1"/>
  <c r="AC55"/>
  <c r="AO54"/>
  <c r="AM54" s="1"/>
  <c r="AD54"/>
  <c r="AH54" s="1"/>
  <c r="AC54"/>
  <c r="AG54" s="1"/>
  <c r="V54"/>
  <c r="AO53"/>
  <c r="AM53" s="1"/>
  <c r="AD53"/>
  <c r="AH53" s="1"/>
  <c r="AC53"/>
  <c r="V53"/>
  <c r="AA64" s="1"/>
  <c r="F64" s="1"/>
  <c r="AO52"/>
  <c r="AM52" s="1"/>
  <c r="AD52"/>
  <c r="AH52" s="1"/>
  <c r="AC52"/>
  <c r="AG52" s="1"/>
  <c r="V52"/>
  <c r="AO51"/>
  <c r="AM51" s="1"/>
  <c r="AD51"/>
  <c r="AH51" s="1"/>
  <c r="AC51"/>
  <c r="V51"/>
  <c r="Z66" s="1"/>
  <c r="D66" s="1"/>
  <c r="AD50"/>
  <c r="AH50" s="1"/>
  <c r="AC50"/>
  <c r="AG50" s="1"/>
  <c r="AD49"/>
  <c r="AH49" s="1"/>
  <c r="AC49"/>
  <c r="AO48"/>
  <c r="AM48" s="1"/>
  <c r="AD48"/>
  <c r="AH48" s="1"/>
  <c r="AC48"/>
  <c r="AG48" s="1"/>
  <c r="V48"/>
  <c r="AO47"/>
  <c r="AM47" s="1"/>
  <c r="AD47"/>
  <c r="AH47" s="1"/>
  <c r="AC47"/>
  <c r="AG47" s="1"/>
  <c r="V47"/>
  <c r="AO46"/>
  <c r="AM46" s="1"/>
  <c r="AD46"/>
  <c r="AC46"/>
  <c r="V46"/>
  <c r="AA66" s="1"/>
  <c r="F66" s="1"/>
  <c r="F72" s="1"/>
  <c r="AO45"/>
  <c r="AM45" s="1"/>
  <c r="AD45"/>
  <c r="AC45"/>
  <c r="AL45" s="1"/>
  <c r="V45"/>
  <c r="AD44"/>
  <c r="AC44"/>
  <c r="AD43"/>
  <c r="AH43" s="1"/>
  <c r="AC43"/>
  <c r="AO42"/>
  <c r="AM42" s="1"/>
  <c r="AD42"/>
  <c r="AC42"/>
  <c r="V42"/>
  <c r="AO41"/>
  <c r="AM41" s="1"/>
  <c r="AD41"/>
  <c r="AC41"/>
  <c r="V41"/>
  <c r="AO40"/>
  <c r="AM40" s="1"/>
  <c r="AD40"/>
  <c r="AC40"/>
  <c r="V40"/>
  <c r="AO39"/>
  <c r="AM39" s="1"/>
  <c r="AD39"/>
  <c r="AC39"/>
  <c r="V39"/>
  <c r="Z65" s="1"/>
  <c r="D65" s="1"/>
  <c r="D72" s="1"/>
  <c r="D78" s="1"/>
  <c r="F82" s="1"/>
  <c r="E92" s="1"/>
  <c r="AD38"/>
  <c r="AC38"/>
  <c r="AD37"/>
  <c r="AH37" s="1"/>
  <c r="AC37"/>
  <c r="AO36"/>
  <c r="AM36" s="1"/>
  <c r="AD36"/>
  <c r="AC36"/>
  <c r="V36"/>
  <c r="AO35"/>
  <c r="AM35" s="1"/>
  <c r="AD35"/>
  <c r="AC35"/>
  <c r="V35"/>
  <c r="Z63" s="1"/>
  <c r="D63" s="1"/>
  <c r="D70" s="1"/>
  <c r="AO34"/>
  <c r="AM34" s="1"/>
  <c r="AD34"/>
  <c r="AC34"/>
  <c r="V34"/>
  <c r="AO33"/>
  <c r="AM33" s="1"/>
  <c r="AD33"/>
  <c r="AC33"/>
  <c r="AL33" s="1"/>
  <c r="V33"/>
  <c r="AD32"/>
  <c r="AC32"/>
  <c r="AD31"/>
  <c r="AH31" s="1"/>
  <c r="AC31"/>
  <c r="AO30"/>
  <c r="AM30" s="1"/>
  <c r="AD30"/>
  <c r="AC30"/>
  <c r="V30"/>
  <c r="AO29"/>
  <c r="AM29" s="1"/>
  <c r="AD29"/>
  <c r="AC29"/>
  <c r="V29"/>
  <c r="AA60" s="1"/>
  <c r="F60" s="1"/>
  <c r="AO28"/>
  <c r="AM28" s="1"/>
  <c r="AD28"/>
  <c r="AC28"/>
  <c r="V28"/>
  <c r="AO27"/>
  <c r="AM27" s="1"/>
  <c r="AD27"/>
  <c r="AC27"/>
  <c r="AL27" s="1"/>
  <c r="V27"/>
  <c r="AD26"/>
  <c r="AC26"/>
  <c r="AD25"/>
  <c r="AH25" s="1"/>
  <c r="AC25"/>
  <c r="AO24"/>
  <c r="AM24" s="1"/>
  <c r="AD24"/>
  <c r="AC24"/>
  <c r="V24"/>
  <c r="AO23"/>
  <c r="AM23" s="1"/>
  <c r="AD23"/>
  <c r="AC23"/>
  <c r="V23"/>
  <c r="AO22"/>
  <c r="AM22" s="1"/>
  <c r="AD22"/>
  <c r="AC22"/>
  <c r="V22"/>
  <c r="AO21"/>
  <c r="AM21" s="1"/>
  <c r="AD21"/>
  <c r="AC21"/>
  <c r="V21"/>
  <c r="AA62" s="1"/>
  <c r="F62" s="1"/>
  <c r="AD20"/>
  <c r="AC20"/>
  <c r="AD19"/>
  <c r="AH19" s="1"/>
  <c r="AC19"/>
  <c r="AO18"/>
  <c r="AM18" s="1"/>
  <c r="AD18"/>
  <c r="AC18"/>
  <c r="V18"/>
  <c r="AO17"/>
  <c r="AM17" s="1"/>
  <c r="AD17"/>
  <c r="AC17"/>
  <c r="V17"/>
  <c r="AO16"/>
  <c r="AM16" s="1"/>
  <c r="AD16"/>
  <c r="AC16"/>
  <c r="V16"/>
  <c r="Z61" s="1"/>
  <c r="D61" s="1"/>
  <c r="D73" s="1"/>
  <c r="F78" s="1"/>
  <c r="F86" s="1"/>
  <c r="E90" s="1"/>
  <c r="AO15"/>
  <c r="AM15" s="1"/>
  <c r="AD15"/>
  <c r="AC15"/>
  <c r="V15"/>
  <c r="AD14"/>
  <c r="AC14"/>
  <c r="AD13"/>
  <c r="AH13" s="1"/>
  <c r="AC13"/>
  <c r="AO12"/>
  <c r="AM12" s="1"/>
  <c r="AD12"/>
  <c r="AC12"/>
  <c r="V12"/>
  <c r="AO11"/>
  <c r="AM11" s="1"/>
  <c r="AD11"/>
  <c r="AC11"/>
  <c r="AL11" s="1"/>
  <c r="V11"/>
  <c r="AO10"/>
  <c r="AM10" s="1"/>
  <c r="AD10"/>
  <c r="AC10"/>
  <c r="V10"/>
  <c r="AO9"/>
  <c r="AM9" s="1"/>
  <c r="AD9"/>
  <c r="AC9"/>
  <c r="AG9" s="1"/>
  <c r="V9"/>
  <c r="Z59" s="1"/>
  <c r="D59" s="1"/>
  <c r="D71" s="1"/>
  <c r="F77" s="1"/>
  <c r="D86" s="1"/>
  <c r="E89" s="1"/>
  <c r="AD8"/>
  <c r="AC8"/>
  <c r="N3"/>
  <c r="C12" i="22" s="1"/>
  <c r="X98" i="69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C77"/>
  <c r="X77"/>
  <c r="X76"/>
  <c r="X75"/>
  <c r="X74"/>
  <c r="AD73"/>
  <c r="AC73"/>
  <c r="X73"/>
  <c r="AD72"/>
  <c r="AH72" s="1"/>
  <c r="AC72"/>
  <c r="X72"/>
  <c r="AD71"/>
  <c r="AC71"/>
  <c r="X71"/>
  <c r="AD70"/>
  <c r="AH70" s="1"/>
  <c r="AC70"/>
  <c r="X70"/>
  <c r="X69"/>
  <c r="AZ68"/>
  <c r="X68"/>
  <c r="AZ67"/>
  <c r="X67"/>
  <c r="AZ66"/>
  <c r="AD66"/>
  <c r="AC66"/>
  <c r="X66"/>
  <c r="AZ65"/>
  <c r="AD65"/>
  <c r="AC65"/>
  <c r="AL65" s="1"/>
  <c r="X65"/>
  <c r="AZ64"/>
  <c r="AD64"/>
  <c r="AC64"/>
  <c r="X64"/>
  <c r="AZ63"/>
  <c r="AD63"/>
  <c r="AC63"/>
  <c r="X63"/>
  <c r="AZ62"/>
  <c r="AD62"/>
  <c r="AC62"/>
  <c r="X62"/>
  <c r="AZ61"/>
  <c r="AD61"/>
  <c r="AC61"/>
  <c r="X61"/>
  <c r="AZ60"/>
  <c r="AD60"/>
  <c r="AC60"/>
  <c r="X60"/>
  <c r="AZ59"/>
  <c r="AD59"/>
  <c r="AC59"/>
  <c r="X59"/>
  <c r="AZ58"/>
  <c r="BA68" s="1"/>
  <c r="BB68" s="1"/>
  <c r="AA58"/>
  <c r="Z58"/>
  <c r="X58"/>
  <c r="AD55"/>
  <c r="AH55" s="1"/>
  <c r="AC55"/>
  <c r="AO54"/>
  <c r="AM54" s="1"/>
  <c r="AD54"/>
  <c r="AC54"/>
  <c r="V54"/>
  <c r="AO53"/>
  <c r="AM53" s="1"/>
  <c r="AD53"/>
  <c r="AC53"/>
  <c r="AL53" s="1"/>
  <c r="V53"/>
  <c r="AA64" s="1"/>
  <c r="F64" s="1"/>
  <c r="AO52"/>
  <c r="AM52" s="1"/>
  <c r="AD52"/>
  <c r="AH52" s="1"/>
  <c r="AC52"/>
  <c r="V52"/>
  <c r="AO51"/>
  <c r="AM51" s="1"/>
  <c r="AD51"/>
  <c r="AH51" s="1"/>
  <c r="AC51"/>
  <c r="AG51" s="1"/>
  <c r="V51"/>
  <c r="Z66" s="1"/>
  <c r="D66" s="1"/>
  <c r="F72" s="1"/>
  <c r="AD50"/>
  <c r="AH50" s="1"/>
  <c r="AC50"/>
  <c r="AD49"/>
  <c r="AH49" s="1"/>
  <c r="AC49"/>
  <c r="AO48"/>
  <c r="AM48" s="1"/>
  <c r="AD48"/>
  <c r="AH48" s="1"/>
  <c r="AC48"/>
  <c r="V48"/>
  <c r="AO47"/>
  <c r="AM47" s="1"/>
  <c r="AD47"/>
  <c r="AH47" s="1"/>
  <c r="AC47"/>
  <c r="AG47" s="1"/>
  <c r="V47"/>
  <c r="AO46"/>
  <c r="AM46" s="1"/>
  <c r="AD46"/>
  <c r="AH46" s="1"/>
  <c r="AC46"/>
  <c r="V46"/>
  <c r="AA66" s="1"/>
  <c r="F66" s="1"/>
  <c r="AO45"/>
  <c r="AM45" s="1"/>
  <c r="AD45"/>
  <c r="AH45" s="1"/>
  <c r="AC45"/>
  <c r="AG45" s="1"/>
  <c r="V45"/>
  <c r="Z64" s="1"/>
  <c r="AD44"/>
  <c r="AH44" s="1"/>
  <c r="AC44"/>
  <c r="AD43"/>
  <c r="AH43" s="1"/>
  <c r="AC43"/>
  <c r="AO42"/>
  <c r="AM42" s="1"/>
  <c r="AD42"/>
  <c r="AH42" s="1"/>
  <c r="AC42"/>
  <c r="V42"/>
  <c r="AO41"/>
  <c r="AM41" s="1"/>
  <c r="AD41"/>
  <c r="AH41" s="1"/>
  <c r="AC41"/>
  <c r="AG41" s="1"/>
  <c r="V41"/>
  <c r="AO40"/>
  <c r="AM40" s="1"/>
  <c r="AD40"/>
  <c r="AH40" s="1"/>
  <c r="AC40"/>
  <c r="V40"/>
  <c r="AA63" s="1"/>
  <c r="F63" s="1"/>
  <c r="AO39"/>
  <c r="AM39" s="1"/>
  <c r="AD39"/>
  <c r="AH39" s="1"/>
  <c r="AC39"/>
  <c r="AG39" s="1"/>
  <c r="V39"/>
  <c r="Z65" s="1"/>
  <c r="AD38"/>
  <c r="AH38" s="1"/>
  <c r="AC38"/>
  <c r="AG38" s="1"/>
  <c r="AD37"/>
  <c r="AH37" s="1"/>
  <c r="AC37"/>
  <c r="AO36"/>
  <c r="AM36" s="1"/>
  <c r="AD36"/>
  <c r="AH36" s="1"/>
  <c r="AC36"/>
  <c r="AG36" s="1"/>
  <c r="V36"/>
  <c r="AO35"/>
  <c r="AM35" s="1"/>
  <c r="AD35"/>
  <c r="AH35" s="1"/>
  <c r="AC35"/>
  <c r="V35"/>
  <c r="Z63" s="1"/>
  <c r="D63" s="1"/>
  <c r="D70" s="1"/>
  <c r="AO34"/>
  <c r="AM34" s="1"/>
  <c r="AD34"/>
  <c r="AH34" s="1"/>
  <c r="AC34"/>
  <c r="AG34" s="1"/>
  <c r="V34"/>
  <c r="AO33"/>
  <c r="AM33" s="1"/>
  <c r="AD33"/>
  <c r="AH33" s="1"/>
  <c r="AC33"/>
  <c r="V33"/>
  <c r="AA65" s="1"/>
  <c r="F65" s="1"/>
  <c r="AD32"/>
  <c r="AH32" s="1"/>
  <c r="AC32"/>
  <c r="AG32" s="1"/>
  <c r="AD31"/>
  <c r="AH31" s="1"/>
  <c r="AC31"/>
  <c r="AO30"/>
  <c r="AM30" s="1"/>
  <c r="AD30"/>
  <c r="AH30" s="1"/>
  <c r="AC30"/>
  <c r="AG30" s="1"/>
  <c r="V30"/>
  <c r="AO29"/>
  <c r="AM29" s="1"/>
  <c r="AD29"/>
  <c r="AH29" s="1"/>
  <c r="AC29"/>
  <c r="V29"/>
  <c r="AA60" s="1"/>
  <c r="F60" s="1"/>
  <c r="AO28"/>
  <c r="AM28" s="1"/>
  <c r="AD28"/>
  <c r="AH28" s="1"/>
  <c r="AC28"/>
  <c r="AG28" s="1"/>
  <c r="V28"/>
  <c r="AO27"/>
  <c r="AM27" s="1"/>
  <c r="AD27"/>
  <c r="AH27" s="1"/>
  <c r="AC27"/>
  <c r="V27"/>
  <c r="Z62" s="1"/>
  <c r="D62" s="1"/>
  <c r="F73" s="1"/>
  <c r="AD26"/>
  <c r="AH26" s="1"/>
  <c r="AC26"/>
  <c r="AG26" s="1"/>
  <c r="AH25"/>
  <c r="AD25"/>
  <c r="AC25"/>
  <c r="AL25" s="1"/>
  <c r="AO24"/>
  <c r="AM24" s="1"/>
  <c r="AD24"/>
  <c r="AH24" s="1"/>
  <c r="AC24"/>
  <c r="AG24" s="1"/>
  <c r="V24"/>
  <c r="AA62" s="1"/>
  <c r="F62" s="1"/>
  <c r="AO23"/>
  <c r="AM23" s="1"/>
  <c r="AD23"/>
  <c r="AH23" s="1"/>
  <c r="AC23"/>
  <c r="V23"/>
  <c r="AO22"/>
  <c r="AM22" s="1"/>
  <c r="AD22"/>
  <c r="AH22" s="1"/>
  <c r="AC22"/>
  <c r="AG22" s="1"/>
  <c r="V22"/>
  <c r="AO21"/>
  <c r="AM21" s="1"/>
  <c r="AD21"/>
  <c r="AH21" s="1"/>
  <c r="AC21"/>
  <c r="V21"/>
  <c r="Z60" s="1"/>
  <c r="D60" s="1"/>
  <c r="F71" s="1"/>
  <c r="AD20"/>
  <c r="AH20" s="1"/>
  <c r="AC20"/>
  <c r="AG20" s="1"/>
  <c r="AD19"/>
  <c r="AH19" s="1"/>
  <c r="AC19"/>
  <c r="AO18"/>
  <c r="AM18" s="1"/>
  <c r="AD18"/>
  <c r="AC18"/>
  <c r="V18"/>
  <c r="AO17"/>
  <c r="AM17" s="1"/>
  <c r="AD17"/>
  <c r="AC17"/>
  <c r="V17"/>
  <c r="AO16"/>
  <c r="AM16" s="1"/>
  <c r="AD16"/>
  <c r="AC16"/>
  <c r="V16"/>
  <c r="AA59" s="1"/>
  <c r="F59" s="1"/>
  <c r="AO15"/>
  <c r="AM15" s="1"/>
  <c r="AD15"/>
  <c r="AC15"/>
  <c r="V15"/>
  <c r="Z61" s="1"/>
  <c r="AD14"/>
  <c r="AC14"/>
  <c r="AD13"/>
  <c r="AH13" s="1"/>
  <c r="AC13"/>
  <c r="AO12"/>
  <c r="AM12" s="1"/>
  <c r="AD12"/>
  <c r="AC12"/>
  <c r="V12"/>
  <c r="AO11"/>
  <c r="AM11" s="1"/>
  <c r="AD11"/>
  <c r="AC11"/>
  <c r="AL11" s="1"/>
  <c r="V11"/>
  <c r="AA61" s="1"/>
  <c r="F61" s="1"/>
  <c r="AO10"/>
  <c r="AM10" s="1"/>
  <c r="AD10"/>
  <c r="AC10"/>
  <c r="V10"/>
  <c r="AO9"/>
  <c r="AM9" s="1"/>
  <c r="AD9"/>
  <c r="AC9"/>
  <c r="AG9" s="1"/>
  <c r="V9"/>
  <c r="Z59" s="1"/>
  <c r="AD8"/>
  <c r="AC8"/>
  <c r="N3"/>
  <c r="C3" i="22" s="1"/>
  <c r="X98" i="68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C77"/>
  <c r="X77"/>
  <c r="X76"/>
  <c r="X75"/>
  <c r="X74"/>
  <c r="AD73"/>
  <c r="AC73"/>
  <c r="X73"/>
  <c r="AD72"/>
  <c r="AH72" s="1"/>
  <c r="AC72"/>
  <c r="X72"/>
  <c r="AD71"/>
  <c r="AC71"/>
  <c r="X71"/>
  <c r="AH70"/>
  <c r="AD70"/>
  <c r="AC70"/>
  <c r="AL70" s="1"/>
  <c r="X70"/>
  <c r="X69"/>
  <c r="AZ68"/>
  <c r="X68"/>
  <c r="AZ67"/>
  <c r="X67"/>
  <c r="AZ66"/>
  <c r="AD66"/>
  <c r="AC66"/>
  <c r="X66"/>
  <c r="AZ65"/>
  <c r="AD65"/>
  <c r="AC65"/>
  <c r="X65"/>
  <c r="AZ64"/>
  <c r="AD64"/>
  <c r="AC64"/>
  <c r="X64"/>
  <c r="AZ63"/>
  <c r="AD63"/>
  <c r="AK63" s="1"/>
  <c r="AC63"/>
  <c r="X63"/>
  <c r="AZ62"/>
  <c r="AD62"/>
  <c r="AC62"/>
  <c r="AA62"/>
  <c r="F62" s="1"/>
  <c r="X62"/>
  <c r="AZ61"/>
  <c r="AD61"/>
  <c r="AC61"/>
  <c r="Z61"/>
  <c r="D61" s="1"/>
  <c r="D73" s="1"/>
  <c r="F78" s="1"/>
  <c r="F82" s="1"/>
  <c r="E91" s="1"/>
  <c r="X61"/>
  <c r="AZ60"/>
  <c r="AD60"/>
  <c r="AC60"/>
  <c r="AA60"/>
  <c r="F60" s="1"/>
  <c r="F71" s="1"/>
  <c r="X60"/>
  <c r="AZ59"/>
  <c r="AD59"/>
  <c r="AC59"/>
  <c r="Z59"/>
  <c r="D59" s="1"/>
  <c r="D71" s="1"/>
  <c r="F77" s="1"/>
  <c r="D86" s="1"/>
  <c r="E90" s="1"/>
  <c r="X59"/>
  <c r="AZ58"/>
  <c r="BA64" s="1"/>
  <c r="BB64" s="1"/>
  <c r="AA58"/>
  <c r="Z58"/>
  <c r="X58"/>
  <c r="AD55"/>
  <c r="AH55" s="1"/>
  <c r="AC55"/>
  <c r="AO54"/>
  <c r="AM54" s="1"/>
  <c r="AD54"/>
  <c r="AC54"/>
  <c r="V54"/>
  <c r="AO53"/>
  <c r="AM53" s="1"/>
  <c r="AD53"/>
  <c r="AC53"/>
  <c r="AL53" s="1"/>
  <c r="V53"/>
  <c r="AA64" s="1"/>
  <c r="F64" s="1"/>
  <c r="AO52"/>
  <c r="AM52" s="1"/>
  <c r="AD52"/>
  <c r="AC52"/>
  <c r="V52"/>
  <c r="AO51"/>
  <c r="AM51" s="1"/>
  <c r="AD51"/>
  <c r="AC51"/>
  <c r="V51"/>
  <c r="Z66" s="1"/>
  <c r="D66" s="1"/>
  <c r="AD50"/>
  <c r="AC50"/>
  <c r="AD49"/>
  <c r="AH49" s="1"/>
  <c r="AC49"/>
  <c r="AO48"/>
  <c r="AM48" s="1"/>
  <c r="AD48"/>
  <c r="AC48"/>
  <c r="V48"/>
  <c r="AO47"/>
  <c r="AM47" s="1"/>
  <c r="AD47"/>
  <c r="AC47"/>
  <c r="V47"/>
  <c r="AO46"/>
  <c r="AM46" s="1"/>
  <c r="AD46"/>
  <c r="AC46"/>
  <c r="AL46" s="1"/>
  <c r="V46"/>
  <c r="AA66" s="1"/>
  <c r="F66" s="1"/>
  <c r="F72" s="1"/>
  <c r="AO45"/>
  <c r="AM45" s="1"/>
  <c r="AD45"/>
  <c r="AC45"/>
  <c r="V45"/>
  <c r="Z64" s="1"/>
  <c r="D64" s="1"/>
  <c r="F70" s="1"/>
  <c r="D77" s="1"/>
  <c r="D82" s="1"/>
  <c r="E92" s="1"/>
  <c r="AD44"/>
  <c r="AC44"/>
  <c r="AD43"/>
  <c r="AH43" s="1"/>
  <c r="AC43"/>
  <c r="AO42"/>
  <c r="AM42" s="1"/>
  <c r="AD42"/>
  <c r="AC42"/>
  <c r="V42"/>
  <c r="AA63" s="1"/>
  <c r="F63" s="1"/>
  <c r="AO41"/>
  <c r="AM41" s="1"/>
  <c r="AD41"/>
  <c r="AC41"/>
  <c r="V41"/>
  <c r="AO40"/>
  <c r="AM40" s="1"/>
  <c r="AD40"/>
  <c r="AC40"/>
  <c r="V40"/>
  <c r="AO39"/>
  <c r="AM39" s="1"/>
  <c r="AD39"/>
  <c r="AC39"/>
  <c r="V39"/>
  <c r="Z65" s="1"/>
  <c r="D65" s="1"/>
  <c r="D72" s="1"/>
  <c r="D78" s="1"/>
  <c r="F86" s="1"/>
  <c r="E89" s="1"/>
  <c r="AD38"/>
  <c r="AC38"/>
  <c r="AD37"/>
  <c r="AH37" s="1"/>
  <c r="AC37"/>
  <c r="AO36"/>
  <c r="AM36" s="1"/>
  <c r="AD36"/>
  <c r="AC36"/>
  <c r="V36"/>
  <c r="AO35"/>
  <c r="AM35" s="1"/>
  <c r="AD35"/>
  <c r="AC35"/>
  <c r="V35"/>
  <c r="AA65" s="1"/>
  <c r="F65" s="1"/>
  <c r="AO34"/>
  <c r="AM34" s="1"/>
  <c r="AD34"/>
  <c r="AC34"/>
  <c r="V34"/>
  <c r="AO33"/>
  <c r="AM33" s="1"/>
  <c r="AD33"/>
  <c r="AC33"/>
  <c r="V33"/>
  <c r="Z63" s="1"/>
  <c r="D63" s="1"/>
  <c r="D70" s="1"/>
  <c r="AD32"/>
  <c r="AC32"/>
  <c r="AD31"/>
  <c r="AH31" s="1"/>
  <c r="AC31"/>
  <c r="AO30"/>
  <c r="AM30" s="1"/>
  <c r="AD30"/>
  <c r="AC30"/>
  <c r="V30"/>
  <c r="AO29"/>
  <c r="AM29" s="1"/>
  <c r="AD29"/>
  <c r="AH29" s="1"/>
  <c r="AC29"/>
  <c r="V29"/>
  <c r="Z62" s="1"/>
  <c r="D62" s="1"/>
  <c r="F73" s="1"/>
  <c r="AO28"/>
  <c r="AM28" s="1"/>
  <c r="AD28"/>
  <c r="AH28" s="1"/>
  <c r="AC28"/>
  <c r="V28"/>
  <c r="AO27"/>
  <c r="AM27" s="1"/>
  <c r="AD27"/>
  <c r="AH27" s="1"/>
  <c r="AC27"/>
  <c r="V27"/>
  <c r="AD26"/>
  <c r="AH26" s="1"/>
  <c r="AC26"/>
  <c r="AD25"/>
  <c r="AH25" s="1"/>
  <c r="AC25"/>
  <c r="AO24"/>
  <c r="AM24" s="1"/>
  <c r="AD24"/>
  <c r="AH24" s="1"/>
  <c r="AC24"/>
  <c r="V24"/>
  <c r="AO23"/>
  <c r="AM23" s="1"/>
  <c r="AD23"/>
  <c r="AH23" s="1"/>
  <c r="AC23"/>
  <c r="V23"/>
  <c r="AO22"/>
  <c r="AM22" s="1"/>
  <c r="AD22"/>
  <c r="AH22" s="1"/>
  <c r="AC22"/>
  <c r="AK22" s="1"/>
  <c r="V22"/>
  <c r="AO21"/>
  <c r="AM21" s="1"/>
  <c r="AD21"/>
  <c r="AH21" s="1"/>
  <c r="AC21"/>
  <c r="V21"/>
  <c r="Z60" s="1"/>
  <c r="D60" s="1"/>
  <c r="AD20"/>
  <c r="AH20" s="1"/>
  <c r="AC20"/>
  <c r="AD19"/>
  <c r="AH19" s="1"/>
  <c r="AC19"/>
  <c r="AO18"/>
  <c r="AM18" s="1"/>
  <c r="AD18"/>
  <c r="AH18" s="1"/>
  <c r="AC18"/>
  <c r="V18"/>
  <c r="AO17"/>
  <c r="AM17" s="1"/>
  <c r="AD17"/>
  <c r="AH17" s="1"/>
  <c r="AC17"/>
  <c r="V17"/>
  <c r="AO16"/>
  <c r="AM16" s="1"/>
  <c r="AD16"/>
  <c r="AH16" s="1"/>
  <c r="AC16"/>
  <c r="V16"/>
  <c r="AA59" s="1"/>
  <c r="F59" s="1"/>
  <c r="AO15"/>
  <c r="AM15" s="1"/>
  <c r="AD15"/>
  <c r="AH15" s="1"/>
  <c r="AC15"/>
  <c r="V15"/>
  <c r="AD14"/>
  <c r="AH14" s="1"/>
  <c r="AC14"/>
  <c r="AD13"/>
  <c r="AH13" s="1"/>
  <c r="AC13"/>
  <c r="AO12"/>
  <c r="AM12" s="1"/>
  <c r="AD12"/>
  <c r="AH12" s="1"/>
  <c r="AC12"/>
  <c r="V12"/>
  <c r="AO11"/>
  <c r="AM11" s="1"/>
  <c r="AD11"/>
  <c r="AH11" s="1"/>
  <c r="AC11"/>
  <c r="V11"/>
  <c r="AA61" s="1"/>
  <c r="F61" s="1"/>
  <c r="AO10"/>
  <c r="AM10" s="1"/>
  <c r="AD10"/>
  <c r="AH10" s="1"/>
  <c r="AC10"/>
  <c r="V10"/>
  <c r="AO9"/>
  <c r="AM9" s="1"/>
  <c r="AD9"/>
  <c r="AH9" s="1"/>
  <c r="AC9"/>
  <c r="V9"/>
  <c r="AD8"/>
  <c r="AH8" s="1"/>
  <c r="AC8"/>
  <c r="AK8" s="1"/>
  <c r="N3"/>
  <c r="C13" i="22" s="1"/>
  <c r="X98" i="67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X77"/>
  <c r="X76"/>
  <c r="X75"/>
  <c r="X74"/>
  <c r="AD73"/>
  <c r="AH73" s="1"/>
  <c r="AC73"/>
  <c r="X73"/>
  <c r="AD72"/>
  <c r="AH72" s="1"/>
  <c r="AC72"/>
  <c r="X72"/>
  <c r="AD71"/>
  <c r="AH71" s="1"/>
  <c r="AC71"/>
  <c r="X71"/>
  <c r="AD70"/>
  <c r="AH70" s="1"/>
  <c r="AC70"/>
  <c r="X70"/>
  <c r="X69"/>
  <c r="AZ68"/>
  <c r="X68"/>
  <c r="AZ67"/>
  <c r="X67"/>
  <c r="AZ66"/>
  <c r="AD66"/>
  <c r="AH66" s="1"/>
  <c r="AC66"/>
  <c r="X66"/>
  <c r="AZ65"/>
  <c r="AD65"/>
  <c r="AH65" s="1"/>
  <c r="AC65"/>
  <c r="X65"/>
  <c r="AZ64"/>
  <c r="AD64"/>
  <c r="AH64" s="1"/>
  <c r="AC64"/>
  <c r="AK64" s="1"/>
  <c r="X64"/>
  <c r="BA63"/>
  <c r="BB63" s="1"/>
  <c r="AZ63"/>
  <c r="AH63"/>
  <c r="AD63"/>
  <c r="AC63"/>
  <c r="AK63" s="1"/>
  <c r="X63"/>
  <c r="BA62"/>
  <c r="BB62" s="1"/>
  <c r="AZ62"/>
  <c r="AD62"/>
  <c r="AH62" s="1"/>
  <c r="AC62"/>
  <c r="AK62" s="1"/>
  <c r="X62"/>
  <c r="BA61"/>
  <c r="BB61" s="1"/>
  <c r="AZ61"/>
  <c r="AD61"/>
  <c r="AH61" s="1"/>
  <c r="AC61"/>
  <c r="X61"/>
  <c r="BA60"/>
  <c r="BB60" s="1"/>
  <c r="AZ60"/>
  <c r="AD60"/>
  <c r="AH60" s="1"/>
  <c r="AC60"/>
  <c r="X60"/>
  <c r="BA59"/>
  <c r="BB59" s="1"/>
  <c r="AZ59"/>
  <c r="AD59"/>
  <c r="AH59" s="1"/>
  <c r="AC59"/>
  <c r="AK59" s="1"/>
  <c r="X59"/>
  <c r="BA58"/>
  <c r="AZ58"/>
  <c r="BA67" s="1"/>
  <c r="BB67" s="1"/>
  <c r="AA58"/>
  <c r="Z58"/>
  <c r="X58"/>
  <c r="AD55"/>
  <c r="AH55" s="1"/>
  <c r="AC55"/>
  <c r="AO54"/>
  <c r="AM54" s="1"/>
  <c r="AD54"/>
  <c r="AH54" s="1"/>
  <c r="AC54"/>
  <c r="V54"/>
  <c r="AO53"/>
  <c r="AM53" s="1"/>
  <c r="AD53"/>
  <c r="AH53" s="1"/>
  <c r="AC53"/>
  <c r="AK53" s="1"/>
  <c r="V53"/>
  <c r="AA64" s="1"/>
  <c r="F64" s="1"/>
  <c r="AO52"/>
  <c r="AM52" s="1"/>
  <c r="AD52"/>
  <c r="AH52" s="1"/>
  <c r="AC52"/>
  <c r="V52"/>
  <c r="AO51"/>
  <c r="AM51" s="1"/>
  <c r="AD51"/>
  <c r="AH51" s="1"/>
  <c r="AC51"/>
  <c r="V51"/>
  <c r="Z66" s="1"/>
  <c r="D66" s="1"/>
  <c r="F72" s="1"/>
  <c r="AD50"/>
  <c r="AH50" s="1"/>
  <c r="AC50"/>
  <c r="AD49"/>
  <c r="AH49" s="1"/>
  <c r="AC49"/>
  <c r="AO48"/>
  <c r="AM48" s="1"/>
  <c r="AD48"/>
  <c r="AH48" s="1"/>
  <c r="AC48"/>
  <c r="V48"/>
  <c r="AO47"/>
  <c r="AM47" s="1"/>
  <c r="AD47"/>
  <c r="AH47" s="1"/>
  <c r="AC47"/>
  <c r="V47"/>
  <c r="AO46"/>
  <c r="AM46" s="1"/>
  <c r="AD46"/>
  <c r="AH46" s="1"/>
  <c r="AC46"/>
  <c r="V46"/>
  <c r="Z64" s="1"/>
  <c r="D64" s="1"/>
  <c r="F70" s="1"/>
  <c r="AO45"/>
  <c r="AM45" s="1"/>
  <c r="AD45"/>
  <c r="AH45" s="1"/>
  <c r="AC45"/>
  <c r="V45"/>
  <c r="AA66" s="1"/>
  <c r="F66" s="1"/>
  <c r="AD44"/>
  <c r="AH44" s="1"/>
  <c r="AC44"/>
  <c r="AD43"/>
  <c r="AH43" s="1"/>
  <c r="AC43"/>
  <c r="AO42"/>
  <c r="AM42" s="1"/>
  <c r="AD42"/>
  <c r="AH42" s="1"/>
  <c r="AC42"/>
  <c r="V42"/>
  <c r="AA63" s="1"/>
  <c r="F63" s="1"/>
  <c r="AO41"/>
  <c r="AM41" s="1"/>
  <c r="AD41"/>
  <c r="AH41" s="1"/>
  <c r="AC41"/>
  <c r="V41"/>
  <c r="AO40"/>
  <c r="AM40" s="1"/>
  <c r="AD40"/>
  <c r="AH40" s="1"/>
  <c r="AC40"/>
  <c r="V40"/>
  <c r="AO39"/>
  <c r="AM39" s="1"/>
  <c r="AD39"/>
  <c r="AH39" s="1"/>
  <c r="AC39"/>
  <c r="V39"/>
  <c r="Z65" s="1"/>
  <c r="D65" s="1"/>
  <c r="D72" s="1"/>
  <c r="D78" s="1"/>
  <c r="F86" s="1"/>
  <c r="E90" s="1"/>
  <c r="AD38"/>
  <c r="AH38" s="1"/>
  <c r="AC38"/>
  <c r="AD37"/>
  <c r="AH37" s="1"/>
  <c r="AC37"/>
  <c r="AO36"/>
  <c r="AM36" s="1"/>
  <c r="AD36"/>
  <c r="AH36" s="1"/>
  <c r="AC36"/>
  <c r="V36"/>
  <c r="AO35"/>
  <c r="AM35" s="1"/>
  <c r="AD35"/>
  <c r="AH35" s="1"/>
  <c r="AC35"/>
  <c r="V35"/>
  <c r="Z63" s="1"/>
  <c r="D63" s="1"/>
  <c r="D70" s="1"/>
  <c r="D77" s="1"/>
  <c r="D86" s="1"/>
  <c r="E89" s="1"/>
  <c r="AO34"/>
  <c r="AM34" s="1"/>
  <c r="AD34"/>
  <c r="AH34" s="1"/>
  <c r="AC34"/>
  <c r="V34"/>
  <c r="AO33"/>
  <c r="AM33" s="1"/>
  <c r="AD33"/>
  <c r="AH33" s="1"/>
  <c r="AC33"/>
  <c r="AK33" s="1"/>
  <c r="V33"/>
  <c r="AA65" s="1"/>
  <c r="F65" s="1"/>
  <c r="AD32"/>
  <c r="AH32" s="1"/>
  <c r="AC32"/>
  <c r="AK32" s="1"/>
  <c r="AD31"/>
  <c r="AH31" s="1"/>
  <c r="AC31"/>
  <c r="AO30"/>
  <c r="AM30" s="1"/>
  <c r="AD30"/>
  <c r="AH30" s="1"/>
  <c r="AC30"/>
  <c r="V30"/>
  <c r="AA60" s="1"/>
  <c r="F60" s="1"/>
  <c r="F71" s="1"/>
  <c r="AO29"/>
  <c r="AM29" s="1"/>
  <c r="AD29"/>
  <c r="AH29" s="1"/>
  <c r="AC29"/>
  <c r="AK29" s="1"/>
  <c r="V29"/>
  <c r="AO28"/>
  <c r="AM28" s="1"/>
  <c r="AD28"/>
  <c r="AH28" s="1"/>
  <c r="AC28"/>
  <c r="V28"/>
  <c r="AO27"/>
  <c r="AM27" s="1"/>
  <c r="AD27"/>
  <c r="AH27" s="1"/>
  <c r="AC27"/>
  <c r="V27"/>
  <c r="Z62" s="1"/>
  <c r="D62" s="1"/>
  <c r="F73" s="1"/>
  <c r="AD26"/>
  <c r="AH26" s="1"/>
  <c r="AC26"/>
  <c r="AD25"/>
  <c r="AH25" s="1"/>
  <c r="AC25"/>
  <c r="AO24"/>
  <c r="AM24" s="1"/>
  <c r="AD24"/>
  <c r="AH24" s="1"/>
  <c r="AC24"/>
  <c r="V24"/>
  <c r="AO23"/>
  <c r="AM23" s="1"/>
  <c r="AD23"/>
  <c r="AH23" s="1"/>
  <c r="AC23"/>
  <c r="V23"/>
  <c r="AO22"/>
  <c r="AM22" s="1"/>
  <c r="AD22"/>
  <c r="AH22" s="1"/>
  <c r="AC22"/>
  <c r="V22"/>
  <c r="AA62" s="1"/>
  <c r="F62" s="1"/>
  <c r="AO21"/>
  <c r="AM21" s="1"/>
  <c r="AD21"/>
  <c r="AH21" s="1"/>
  <c r="AC21"/>
  <c r="V21"/>
  <c r="Z60" s="1"/>
  <c r="D60" s="1"/>
  <c r="AD20"/>
  <c r="AH20" s="1"/>
  <c r="AC20"/>
  <c r="AD19"/>
  <c r="AH19" s="1"/>
  <c r="AC19"/>
  <c r="AO18"/>
  <c r="AM18" s="1"/>
  <c r="AD18"/>
  <c r="AH18" s="1"/>
  <c r="AC18"/>
  <c r="V18"/>
  <c r="AO17"/>
  <c r="AM17" s="1"/>
  <c r="AD17"/>
  <c r="AH17" s="1"/>
  <c r="AC17"/>
  <c r="AK17" s="1"/>
  <c r="V17"/>
  <c r="AO16"/>
  <c r="AM16" s="1"/>
  <c r="AD16"/>
  <c r="AH16" s="1"/>
  <c r="AC16"/>
  <c r="V16"/>
  <c r="AA59" s="1"/>
  <c r="F59" s="1"/>
  <c r="AO15"/>
  <c r="AM15" s="1"/>
  <c r="AD15"/>
  <c r="AH15" s="1"/>
  <c r="AC15"/>
  <c r="V15"/>
  <c r="Z61" s="1"/>
  <c r="D61" s="1"/>
  <c r="D73" s="1"/>
  <c r="F78" s="1"/>
  <c r="F82" s="1"/>
  <c r="E92" s="1"/>
  <c r="AD14"/>
  <c r="AH14" s="1"/>
  <c r="AC14"/>
  <c r="AD13"/>
  <c r="AH13" s="1"/>
  <c r="AC13"/>
  <c r="AO12"/>
  <c r="AM12" s="1"/>
  <c r="AD12"/>
  <c r="AH12" s="1"/>
  <c r="AC12"/>
  <c r="V12"/>
  <c r="AO11"/>
  <c r="AM11" s="1"/>
  <c r="AD11"/>
  <c r="AH11" s="1"/>
  <c r="AC11"/>
  <c r="V11"/>
  <c r="AA61" s="1"/>
  <c r="F61" s="1"/>
  <c r="AO10"/>
  <c r="AM10" s="1"/>
  <c r="AD10"/>
  <c r="AH10" s="1"/>
  <c r="AC10"/>
  <c r="V10"/>
  <c r="AO9"/>
  <c r="AM9" s="1"/>
  <c r="AD9"/>
  <c r="AH9" s="1"/>
  <c r="AC9"/>
  <c r="V9"/>
  <c r="Z59" s="1"/>
  <c r="D59" s="1"/>
  <c r="D71" s="1"/>
  <c r="F77" s="1"/>
  <c r="D82" s="1"/>
  <c r="E91" s="1"/>
  <c r="AD8"/>
  <c r="AH8" s="1"/>
  <c r="AC8"/>
  <c r="N3"/>
  <c r="C18" i="22" s="1"/>
  <c r="X98" i="66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X77"/>
  <c r="X76"/>
  <c r="X75"/>
  <c r="X74"/>
  <c r="AD73"/>
  <c r="AH73" s="1"/>
  <c r="AC73"/>
  <c r="X73"/>
  <c r="AD72"/>
  <c r="AH72" s="1"/>
  <c r="AC72"/>
  <c r="X72"/>
  <c r="AD71"/>
  <c r="AH71" s="1"/>
  <c r="AC71"/>
  <c r="X71"/>
  <c r="AD70"/>
  <c r="AH70" s="1"/>
  <c r="AC70"/>
  <c r="X70"/>
  <c r="X69"/>
  <c r="AZ68"/>
  <c r="X68"/>
  <c r="AZ67"/>
  <c r="X67"/>
  <c r="AZ66"/>
  <c r="AD66"/>
  <c r="AH66" s="1"/>
  <c r="AC66"/>
  <c r="X66"/>
  <c r="AZ65"/>
  <c r="AD65"/>
  <c r="AH65" s="1"/>
  <c r="AC65"/>
  <c r="X65"/>
  <c r="AZ64"/>
  <c r="AD64"/>
  <c r="AH64" s="1"/>
  <c r="AC64"/>
  <c r="X64"/>
  <c r="AZ63"/>
  <c r="AD63"/>
  <c r="AH63" s="1"/>
  <c r="AC63"/>
  <c r="X63"/>
  <c r="AZ62"/>
  <c r="AD62"/>
  <c r="AH62" s="1"/>
  <c r="AC62"/>
  <c r="X62"/>
  <c r="AZ61"/>
  <c r="AD61"/>
  <c r="AH61" s="1"/>
  <c r="AC61"/>
  <c r="X61"/>
  <c r="AZ60"/>
  <c r="AD60"/>
  <c r="AH60" s="1"/>
  <c r="AC60"/>
  <c r="X60"/>
  <c r="AZ59"/>
  <c r="AD59"/>
  <c r="AH59" s="1"/>
  <c r="AC59"/>
  <c r="X59"/>
  <c r="AZ58"/>
  <c r="BA67" s="1"/>
  <c r="BB67" s="1"/>
  <c r="AA58"/>
  <c r="Z58"/>
  <c r="X58"/>
  <c r="AD55"/>
  <c r="AH55" s="1"/>
  <c r="AC55"/>
  <c r="AO54"/>
  <c r="AM54" s="1"/>
  <c r="AD54"/>
  <c r="AH54" s="1"/>
  <c r="AC54"/>
  <c r="V54"/>
  <c r="AO53"/>
  <c r="AM53" s="1"/>
  <c r="AD53"/>
  <c r="AH53" s="1"/>
  <c r="AC53"/>
  <c r="V53"/>
  <c r="AA64" s="1"/>
  <c r="F64" s="1"/>
  <c r="AO52"/>
  <c r="AM52" s="1"/>
  <c r="AD52"/>
  <c r="AH52" s="1"/>
  <c r="AC52"/>
  <c r="AK52" s="1"/>
  <c r="V52"/>
  <c r="AO51"/>
  <c r="AM51" s="1"/>
  <c r="AD51"/>
  <c r="AC51"/>
  <c r="V51"/>
  <c r="Z66" s="1"/>
  <c r="D66" s="1"/>
  <c r="AD50"/>
  <c r="AC50"/>
  <c r="AD49"/>
  <c r="AH49" s="1"/>
  <c r="AC49"/>
  <c r="AO48"/>
  <c r="AM48" s="1"/>
  <c r="AD48"/>
  <c r="AC48"/>
  <c r="V48"/>
  <c r="AO47"/>
  <c r="AM47" s="1"/>
  <c r="AD47"/>
  <c r="AC47"/>
  <c r="V47"/>
  <c r="AO46"/>
  <c r="AM46" s="1"/>
  <c r="AD46"/>
  <c r="AC46"/>
  <c r="V46"/>
  <c r="AA66" s="1"/>
  <c r="F66" s="1"/>
  <c r="F72" s="1"/>
  <c r="AO45"/>
  <c r="AM45" s="1"/>
  <c r="AD45"/>
  <c r="AC45"/>
  <c r="V45"/>
  <c r="Z64" s="1"/>
  <c r="D64" s="1"/>
  <c r="F70" s="1"/>
  <c r="D77" s="1"/>
  <c r="D82" s="1"/>
  <c r="E91" s="1"/>
  <c r="AD44"/>
  <c r="AC44"/>
  <c r="AD43"/>
  <c r="AH43" s="1"/>
  <c r="AC43"/>
  <c r="AL43" s="1"/>
  <c r="AO42"/>
  <c r="AM42" s="1"/>
  <c r="AD42"/>
  <c r="AC42"/>
  <c r="V42"/>
  <c r="AO41"/>
  <c r="AM41" s="1"/>
  <c r="AD41"/>
  <c r="AC41"/>
  <c r="V41"/>
  <c r="AO40"/>
  <c r="AM40" s="1"/>
  <c r="AD40"/>
  <c r="AC40"/>
  <c r="V40"/>
  <c r="AA63" s="1"/>
  <c r="F63" s="1"/>
  <c r="AO39"/>
  <c r="AM39" s="1"/>
  <c r="AD39"/>
  <c r="AK39" s="1"/>
  <c r="AC39"/>
  <c r="V39"/>
  <c r="Z65" s="1"/>
  <c r="D65" s="1"/>
  <c r="D72" s="1"/>
  <c r="D78" s="1"/>
  <c r="F86" s="1"/>
  <c r="E90" s="1"/>
  <c r="AD38"/>
  <c r="AC38"/>
  <c r="AD37"/>
  <c r="AH37" s="1"/>
  <c r="AC37"/>
  <c r="AO36"/>
  <c r="AM36" s="1"/>
  <c r="AD36"/>
  <c r="AC36"/>
  <c r="V36"/>
  <c r="AO35"/>
  <c r="AM35"/>
  <c r="AD35"/>
  <c r="AC35"/>
  <c r="V35"/>
  <c r="Z63" s="1"/>
  <c r="D63" s="1"/>
  <c r="D70" s="1"/>
  <c r="AO34"/>
  <c r="AM34" s="1"/>
  <c r="AD34"/>
  <c r="AC34"/>
  <c r="V34"/>
  <c r="AO33"/>
  <c r="AM33" s="1"/>
  <c r="AD33"/>
  <c r="AC33"/>
  <c r="V33"/>
  <c r="AA65" s="1"/>
  <c r="F65" s="1"/>
  <c r="AD32"/>
  <c r="AC32"/>
  <c r="AD31"/>
  <c r="AH31" s="1"/>
  <c r="AC31"/>
  <c r="AL31" s="1"/>
  <c r="AO30"/>
  <c r="AM30" s="1"/>
  <c r="AD30"/>
  <c r="AC30"/>
  <c r="V30"/>
  <c r="Z62" s="1"/>
  <c r="D62" s="1"/>
  <c r="F73" s="1"/>
  <c r="AO29"/>
  <c r="AM29" s="1"/>
  <c r="AD29"/>
  <c r="AC29"/>
  <c r="V29"/>
  <c r="AA60" s="1"/>
  <c r="F60" s="1"/>
  <c r="F71" s="1"/>
  <c r="AO28"/>
  <c r="AM28" s="1"/>
  <c r="AD28"/>
  <c r="AC28"/>
  <c r="V28"/>
  <c r="AO27"/>
  <c r="AM27" s="1"/>
  <c r="AD27"/>
  <c r="AC27"/>
  <c r="V27"/>
  <c r="AD26"/>
  <c r="AC26"/>
  <c r="AD25"/>
  <c r="AH25" s="1"/>
  <c r="AC25"/>
  <c r="AO24"/>
  <c r="AM24" s="1"/>
  <c r="AD24"/>
  <c r="AC24"/>
  <c r="V24"/>
  <c r="AO23"/>
  <c r="AM23" s="1"/>
  <c r="AD23"/>
  <c r="AC23"/>
  <c r="V23"/>
  <c r="AA62" s="1"/>
  <c r="F62" s="1"/>
  <c r="AO22"/>
  <c r="AM22" s="1"/>
  <c r="AD22"/>
  <c r="AC22"/>
  <c r="V22"/>
  <c r="AO21"/>
  <c r="AM21" s="1"/>
  <c r="AD21"/>
  <c r="AC21"/>
  <c r="V21"/>
  <c r="Z60" s="1"/>
  <c r="D60" s="1"/>
  <c r="AD20"/>
  <c r="AC20"/>
  <c r="AD19"/>
  <c r="AH19" s="1"/>
  <c r="AC19"/>
  <c r="AL19" s="1"/>
  <c r="AO18"/>
  <c r="AM18" s="1"/>
  <c r="AD18"/>
  <c r="AC18"/>
  <c r="V18"/>
  <c r="AO17"/>
  <c r="AM17" s="1"/>
  <c r="AD17"/>
  <c r="AC17"/>
  <c r="V17"/>
  <c r="AO16"/>
  <c r="AM16"/>
  <c r="AD16"/>
  <c r="AC16"/>
  <c r="V16"/>
  <c r="AA59" s="1"/>
  <c r="F59" s="1"/>
  <c r="AO15"/>
  <c r="AM15" s="1"/>
  <c r="AD15"/>
  <c r="AC15"/>
  <c r="V15"/>
  <c r="Z61" s="1"/>
  <c r="D61" s="1"/>
  <c r="D73" s="1"/>
  <c r="F78" s="1"/>
  <c r="F82" s="1"/>
  <c r="E92" s="1"/>
  <c r="AD14"/>
  <c r="AH14" s="1"/>
  <c r="AC14"/>
  <c r="AL14" s="1"/>
  <c r="AD13"/>
  <c r="AH13" s="1"/>
  <c r="AC13"/>
  <c r="AO12"/>
  <c r="AM12" s="1"/>
  <c r="AD12"/>
  <c r="AH12" s="1"/>
  <c r="AC12"/>
  <c r="V12"/>
  <c r="AO11"/>
  <c r="AM11" s="1"/>
  <c r="AD11"/>
  <c r="AH11" s="1"/>
  <c r="AC11"/>
  <c r="AG11" s="1"/>
  <c r="V11"/>
  <c r="AO10"/>
  <c r="AM10" s="1"/>
  <c r="AD10"/>
  <c r="AH10" s="1"/>
  <c r="AC10"/>
  <c r="V10"/>
  <c r="AA61" s="1"/>
  <c r="F61" s="1"/>
  <c r="AO9"/>
  <c r="AM9" s="1"/>
  <c r="AD9"/>
  <c r="AH9" s="1"/>
  <c r="AC9"/>
  <c r="AG9" s="1"/>
  <c r="V9"/>
  <c r="Z59" s="1"/>
  <c r="D59" s="1"/>
  <c r="D71" s="1"/>
  <c r="F77" s="1"/>
  <c r="D86" s="1"/>
  <c r="E89" s="1"/>
  <c r="AD8"/>
  <c r="AH8" s="1"/>
  <c r="AC8"/>
  <c r="N3"/>
  <c r="C58" i="22" s="1"/>
  <c r="X98" i="65"/>
  <c r="X97"/>
  <c r="X96"/>
  <c r="X95"/>
  <c r="X94"/>
  <c r="X93"/>
  <c r="X92"/>
  <c r="X91"/>
  <c r="X90"/>
  <c r="X89"/>
  <c r="X88"/>
  <c r="X87"/>
  <c r="AD86"/>
  <c r="AC86"/>
  <c r="X86"/>
  <c r="X85"/>
  <c r="X84"/>
  <c r="X83"/>
  <c r="AD82"/>
  <c r="AC82"/>
  <c r="X82"/>
  <c r="X81"/>
  <c r="X80"/>
  <c r="X79"/>
  <c r="AD78"/>
  <c r="AL78" s="1"/>
  <c r="AC78"/>
  <c r="X78"/>
  <c r="AD77"/>
  <c r="AH77" s="1"/>
  <c r="AC77"/>
  <c r="AG77" s="1"/>
  <c r="X77"/>
  <c r="X76"/>
  <c r="X75"/>
  <c r="X74"/>
  <c r="AD73"/>
  <c r="AH73" s="1"/>
  <c r="AC73"/>
  <c r="AG73" s="1"/>
  <c r="X73"/>
  <c r="AD72"/>
  <c r="AC72"/>
  <c r="X72"/>
  <c r="AD71"/>
  <c r="AH71" s="1"/>
  <c r="AC71"/>
  <c r="AG71" s="1"/>
  <c r="X71"/>
  <c r="AD70"/>
  <c r="AH70" s="1"/>
  <c r="AC70"/>
  <c r="X70"/>
  <c r="X69"/>
  <c r="AZ68"/>
  <c r="X68"/>
  <c r="AZ67"/>
  <c r="X67"/>
  <c r="AZ66"/>
  <c r="AD66"/>
  <c r="AH66" s="1"/>
  <c r="AC66"/>
  <c r="X66"/>
  <c r="AZ65"/>
  <c r="AD65"/>
  <c r="AH65" s="1"/>
  <c r="AC65"/>
  <c r="Z65"/>
  <c r="D65" s="1"/>
  <c r="X65"/>
  <c r="AZ64"/>
  <c r="AD64"/>
  <c r="AH64" s="1"/>
  <c r="AC64"/>
  <c r="X64"/>
  <c r="AZ63"/>
  <c r="AD63"/>
  <c r="AH63" s="1"/>
  <c r="AC63"/>
  <c r="X63"/>
  <c r="AZ62"/>
  <c r="AD62"/>
  <c r="AH62" s="1"/>
  <c r="AC62"/>
  <c r="AA62"/>
  <c r="F62" s="1"/>
  <c r="X62"/>
  <c r="AZ61"/>
  <c r="AH61"/>
  <c r="AD61"/>
  <c r="AC61"/>
  <c r="AK61" s="1"/>
  <c r="X61"/>
  <c r="AZ60"/>
  <c r="AD60"/>
  <c r="AH60" s="1"/>
  <c r="AC60"/>
  <c r="X60"/>
  <c r="AZ59"/>
  <c r="AD59"/>
  <c r="AH59" s="1"/>
  <c r="AC59"/>
  <c r="AA59"/>
  <c r="F59" s="1"/>
  <c r="X59"/>
  <c r="AZ58"/>
  <c r="AA58"/>
  <c r="Z58"/>
  <c r="X58"/>
  <c r="AD55"/>
  <c r="AH55" s="1"/>
  <c r="AC55"/>
  <c r="AO54"/>
  <c r="AM54" s="1"/>
  <c r="AD54"/>
  <c r="AH54" s="1"/>
  <c r="AC54"/>
  <c r="AK54" s="1"/>
  <c r="V54"/>
  <c r="AO53"/>
  <c r="AM53" s="1"/>
  <c r="AD53"/>
  <c r="AH53" s="1"/>
  <c r="AC53"/>
  <c r="V53"/>
  <c r="AO52"/>
  <c r="AM52" s="1"/>
  <c r="AD52"/>
  <c r="AH52" s="1"/>
  <c r="AC52"/>
  <c r="V52"/>
  <c r="AA64" s="1"/>
  <c r="F64" s="1"/>
  <c r="AO51"/>
  <c r="AM51" s="1"/>
  <c r="AD51"/>
  <c r="AH51" s="1"/>
  <c r="AC51"/>
  <c r="V51"/>
  <c r="Z66" s="1"/>
  <c r="D66" s="1"/>
  <c r="AD50"/>
  <c r="AH50" s="1"/>
  <c r="AC50"/>
  <c r="AD49"/>
  <c r="AH49" s="1"/>
  <c r="AC49"/>
  <c r="AO48"/>
  <c r="AM48" s="1"/>
  <c r="AD48"/>
  <c r="AH48" s="1"/>
  <c r="AC48"/>
  <c r="V48"/>
  <c r="AO47"/>
  <c r="AM47" s="1"/>
  <c r="AD47"/>
  <c r="AH47" s="1"/>
  <c r="AC47"/>
  <c r="V47"/>
  <c r="AO46"/>
  <c r="AM46" s="1"/>
  <c r="AD46"/>
  <c r="AH46" s="1"/>
  <c r="AC46"/>
  <c r="V46"/>
  <c r="AA66" s="1"/>
  <c r="F66" s="1"/>
  <c r="F72" s="1"/>
  <c r="AO45"/>
  <c r="AM45" s="1"/>
  <c r="AD45"/>
  <c r="AH45" s="1"/>
  <c r="AC45"/>
  <c r="V45"/>
  <c r="Z64" s="1"/>
  <c r="D64" s="1"/>
  <c r="F70" s="1"/>
  <c r="AD44"/>
  <c r="AH44" s="1"/>
  <c r="AC44"/>
  <c r="AD43"/>
  <c r="AH43" s="1"/>
  <c r="AC43"/>
  <c r="AO42"/>
  <c r="AM42" s="1"/>
  <c r="AD42"/>
  <c r="AH42" s="1"/>
  <c r="AC42"/>
  <c r="AK42" s="1"/>
  <c r="V42"/>
  <c r="AO41"/>
  <c r="AM41" s="1"/>
  <c r="AD41"/>
  <c r="AH41" s="1"/>
  <c r="AC41"/>
  <c r="V41"/>
  <c r="AO40"/>
  <c r="AM40" s="1"/>
  <c r="AD40"/>
  <c r="AH40" s="1"/>
  <c r="AC40"/>
  <c r="V40"/>
  <c r="AO39"/>
  <c r="AM39" s="1"/>
  <c r="AD39"/>
  <c r="AH39" s="1"/>
  <c r="AC39"/>
  <c r="V39"/>
  <c r="AA63" s="1"/>
  <c r="F63" s="1"/>
  <c r="D70" s="1"/>
  <c r="D77" s="1"/>
  <c r="D82" s="1"/>
  <c r="E91" s="1"/>
  <c r="AD38"/>
  <c r="AH38" s="1"/>
  <c r="AC38"/>
  <c r="AD37"/>
  <c r="AH37" s="1"/>
  <c r="AC37"/>
  <c r="AL37" s="1"/>
  <c r="AO36"/>
  <c r="AM36" s="1"/>
  <c r="AD36"/>
  <c r="AH36" s="1"/>
  <c r="AC36"/>
  <c r="AK36" s="1"/>
  <c r="V36"/>
  <c r="AO35"/>
  <c r="AM35" s="1"/>
  <c r="AD35"/>
  <c r="AH35" s="1"/>
  <c r="AC35"/>
  <c r="V35"/>
  <c r="AA65" s="1"/>
  <c r="F65" s="1"/>
  <c r="D72" s="1"/>
  <c r="D78" s="1"/>
  <c r="F82" s="1"/>
  <c r="E92" s="1"/>
  <c r="AO34"/>
  <c r="AM34" s="1"/>
  <c r="AD34"/>
  <c r="AH34" s="1"/>
  <c r="AC34"/>
  <c r="V34"/>
  <c r="Z63" s="1"/>
  <c r="D63" s="1"/>
  <c r="AO33"/>
  <c r="AM33" s="1"/>
  <c r="AD33"/>
  <c r="AH33" s="1"/>
  <c r="AC33"/>
  <c r="V33"/>
  <c r="AD32"/>
  <c r="AH32" s="1"/>
  <c r="AC32"/>
  <c r="AD31"/>
  <c r="AH31" s="1"/>
  <c r="AC31"/>
  <c r="AO30"/>
  <c r="AM30" s="1"/>
  <c r="AD30"/>
  <c r="AH30" s="1"/>
  <c r="AC30"/>
  <c r="AK30" s="1"/>
  <c r="V30"/>
  <c r="AO29"/>
  <c r="AM29" s="1"/>
  <c r="AD29"/>
  <c r="AH29" s="1"/>
  <c r="AC29"/>
  <c r="V29"/>
  <c r="Z62" s="1"/>
  <c r="D62" s="1"/>
  <c r="F73" s="1"/>
  <c r="AO28"/>
  <c r="AM28" s="1"/>
  <c r="AD28"/>
  <c r="AH28" s="1"/>
  <c r="AC28"/>
  <c r="V28"/>
  <c r="AO27"/>
  <c r="AM27" s="1"/>
  <c r="AD27"/>
  <c r="AH27" s="1"/>
  <c r="AC27"/>
  <c r="V27"/>
  <c r="AA60" s="1"/>
  <c r="F60" s="1"/>
  <c r="AD26"/>
  <c r="AH26" s="1"/>
  <c r="AC26"/>
  <c r="AD25"/>
  <c r="AH25" s="1"/>
  <c r="AC25"/>
  <c r="AL25" s="1"/>
  <c r="AO24"/>
  <c r="AM24" s="1"/>
  <c r="AD24"/>
  <c r="AH24" s="1"/>
  <c r="AC24"/>
  <c r="AK24" s="1"/>
  <c r="V24"/>
  <c r="AO23"/>
  <c r="AM23" s="1"/>
  <c r="AD23"/>
  <c r="AH23" s="1"/>
  <c r="AC23"/>
  <c r="V23"/>
  <c r="AO22"/>
  <c r="AM22" s="1"/>
  <c r="AD22"/>
  <c r="AH22" s="1"/>
  <c r="AC22"/>
  <c r="V22"/>
  <c r="AO21"/>
  <c r="AM21" s="1"/>
  <c r="AD21"/>
  <c r="AH21" s="1"/>
  <c r="AC21"/>
  <c r="V21"/>
  <c r="Z60" s="1"/>
  <c r="D60" s="1"/>
  <c r="F71" s="1"/>
  <c r="AD20"/>
  <c r="AH20" s="1"/>
  <c r="AC20"/>
  <c r="AD19"/>
  <c r="AH19" s="1"/>
  <c r="AC19"/>
  <c r="AL19" s="1"/>
  <c r="AO18"/>
  <c r="AM18" s="1"/>
  <c r="AD18"/>
  <c r="AH18" s="1"/>
  <c r="AC18"/>
  <c r="AK18" s="1"/>
  <c r="V18"/>
  <c r="AO17"/>
  <c r="AM17" s="1"/>
  <c r="AD17"/>
  <c r="AH17" s="1"/>
  <c r="AC17"/>
  <c r="V17"/>
  <c r="AO16"/>
  <c r="AM16" s="1"/>
  <c r="AD16"/>
  <c r="AH16" s="1"/>
  <c r="AC16"/>
  <c r="V16"/>
  <c r="AO15"/>
  <c r="AM15" s="1"/>
  <c r="AD15"/>
  <c r="AH15" s="1"/>
  <c r="AC15"/>
  <c r="V15"/>
  <c r="Z61" s="1"/>
  <c r="D61" s="1"/>
  <c r="D73" s="1"/>
  <c r="F78" s="1"/>
  <c r="F86" s="1"/>
  <c r="E90" s="1"/>
  <c r="AD14"/>
  <c r="AH14" s="1"/>
  <c r="AC14"/>
  <c r="AD13"/>
  <c r="AH13" s="1"/>
  <c r="AC13"/>
  <c r="AO12"/>
  <c r="AM12" s="1"/>
  <c r="AD12"/>
  <c r="AH12" s="1"/>
  <c r="AC12"/>
  <c r="AK12" s="1"/>
  <c r="V12"/>
  <c r="AO11"/>
  <c r="AM11" s="1"/>
  <c r="AD11"/>
  <c r="AH11" s="1"/>
  <c r="AC11"/>
  <c r="V11"/>
  <c r="AA61" s="1"/>
  <c r="F61" s="1"/>
  <c r="AO10"/>
  <c r="AM10" s="1"/>
  <c r="AD10"/>
  <c r="AH10" s="1"/>
  <c r="AC10"/>
  <c r="V10"/>
  <c r="AO9"/>
  <c r="AM9" s="1"/>
  <c r="AD9"/>
  <c r="AH9" s="1"/>
  <c r="AC9"/>
  <c r="V9"/>
  <c r="Z59" s="1"/>
  <c r="D59" s="1"/>
  <c r="D71" s="1"/>
  <c r="F77" s="1"/>
  <c r="D86" s="1"/>
  <c r="E89" s="1"/>
  <c r="AD8"/>
  <c r="AH8" s="1"/>
  <c r="AC8"/>
  <c r="N3"/>
  <c r="C34" i="22" s="1"/>
  <c r="X98" i="64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AK77" s="1"/>
  <c r="X77"/>
  <c r="X76"/>
  <c r="X75"/>
  <c r="X74"/>
  <c r="AD73"/>
  <c r="AH73" s="1"/>
  <c r="AC73"/>
  <c r="X73"/>
  <c r="AD72"/>
  <c r="AH72" s="1"/>
  <c r="AC72"/>
  <c r="X72"/>
  <c r="AD71"/>
  <c r="AH71" s="1"/>
  <c r="AC71"/>
  <c r="X71"/>
  <c r="AD70"/>
  <c r="AH70" s="1"/>
  <c r="AC70"/>
  <c r="X70"/>
  <c r="X69"/>
  <c r="AZ68"/>
  <c r="X68"/>
  <c r="AZ67"/>
  <c r="X67"/>
  <c r="AZ66"/>
  <c r="AD66"/>
  <c r="AH66" s="1"/>
  <c r="AC66"/>
  <c r="X66"/>
  <c r="BA65"/>
  <c r="BB65" s="1"/>
  <c r="AZ65"/>
  <c r="AH65"/>
  <c r="AD65"/>
  <c r="AC65"/>
  <c r="AK65" s="1"/>
  <c r="X65"/>
  <c r="BA64"/>
  <c r="BB64" s="1"/>
  <c r="AZ64"/>
  <c r="AD64"/>
  <c r="AH64" s="1"/>
  <c r="AC64"/>
  <c r="X64"/>
  <c r="BA63"/>
  <c r="BB63" s="1"/>
  <c r="AZ63"/>
  <c r="AD63"/>
  <c r="AH63" s="1"/>
  <c r="AC63"/>
  <c r="AK63" s="1"/>
  <c r="X63"/>
  <c r="BA62"/>
  <c r="BB62" s="1"/>
  <c r="AZ62"/>
  <c r="AD62"/>
  <c r="AH62" s="1"/>
  <c r="AC62"/>
  <c r="X62"/>
  <c r="BA61"/>
  <c r="BB61" s="1"/>
  <c r="AZ61"/>
  <c r="AH61"/>
  <c r="AD61"/>
  <c r="AC61"/>
  <c r="AK61" s="1"/>
  <c r="X61"/>
  <c r="BA60"/>
  <c r="BB60" s="1"/>
  <c r="AZ60"/>
  <c r="AD60"/>
  <c r="AH60" s="1"/>
  <c r="AC60"/>
  <c r="AK60" s="1"/>
  <c r="X60"/>
  <c r="BA59"/>
  <c r="BB59" s="1"/>
  <c r="AZ59"/>
  <c r="AD59"/>
  <c r="AH59" s="1"/>
  <c r="AC59"/>
  <c r="X59"/>
  <c r="BA58"/>
  <c r="AZ58"/>
  <c r="BA67" s="1"/>
  <c r="BB67" s="1"/>
  <c r="AA58"/>
  <c r="Z58"/>
  <c r="X58"/>
  <c r="AD55"/>
  <c r="AH55" s="1"/>
  <c r="AC55"/>
  <c r="AO54"/>
  <c r="AM54" s="1"/>
  <c r="AD54"/>
  <c r="AH54" s="1"/>
  <c r="AC54"/>
  <c r="V54"/>
  <c r="AO53"/>
  <c r="AM53" s="1"/>
  <c r="AD53"/>
  <c r="AH53" s="1"/>
  <c r="AC53"/>
  <c r="AK53" s="1"/>
  <c r="V53"/>
  <c r="AA64" s="1"/>
  <c r="F64" s="1"/>
  <c r="AO52"/>
  <c r="AM52" s="1"/>
  <c r="AD52"/>
  <c r="AH52" s="1"/>
  <c r="AC52"/>
  <c r="V52"/>
  <c r="AO51"/>
  <c r="AM51" s="1"/>
  <c r="AD51"/>
  <c r="AH51" s="1"/>
  <c r="AC51"/>
  <c r="V51"/>
  <c r="Z66" s="1"/>
  <c r="D66" s="1"/>
  <c r="F72" s="1"/>
  <c r="D78" s="1"/>
  <c r="F82" s="1"/>
  <c r="E91" s="1"/>
  <c r="AD50"/>
  <c r="AH50" s="1"/>
  <c r="AC50"/>
  <c r="AD49"/>
  <c r="AH49" s="1"/>
  <c r="AC49"/>
  <c r="AO48"/>
  <c r="AM48" s="1"/>
  <c r="AD48"/>
  <c r="AH48" s="1"/>
  <c r="AC48"/>
  <c r="V48"/>
  <c r="AO47"/>
  <c r="AM47" s="1"/>
  <c r="AD47"/>
  <c r="AH47" s="1"/>
  <c r="AC47"/>
  <c r="V47"/>
  <c r="AO46"/>
  <c r="AM46" s="1"/>
  <c r="AD46"/>
  <c r="AH46" s="1"/>
  <c r="AC46"/>
  <c r="V46"/>
  <c r="AA66" s="1"/>
  <c r="F66" s="1"/>
  <c r="AO45"/>
  <c r="AM45" s="1"/>
  <c r="AD45"/>
  <c r="AH45" s="1"/>
  <c r="AC45"/>
  <c r="V45"/>
  <c r="Z64" s="1"/>
  <c r="D64" s="1"/>
  <c r="F70" s="1"/>
  <c r="D77" s="1"/>
  <c r="D86" s="1"/>
  <c r="E89" s="1"/>
  <c r="AD44"/>
  <c r="AH44" s="1"/>
  <c r="AC44"/>
  <c r="AD43"/>
  <c r="AH43" s="1"/>
  <c r="AC43"/>
  <c r="AO42"/>
  <c r="AM42" s="1"/>
  <c r="AD42"/>
  <c r="AH42" s="1"/>
  <c r="AC42"/>
  <c r="V42"/>
  <c r="AA63" s="1"/>
  <c r="F63" s="1"/>
  <c r="AO41"/>
  <c r="AM41" s="1"/>
  <c r="AD41"/>
  <c r="AH41" s="1"/>
  <c r="AC41"/>
  <c r="V41"/>
  <c r="AO40"/>
  <c r="AM40" s="1"/>
  <c r="AD40"/>
  <c r="AH40" s="1"/>
  <c r="AC40"/>
  <c r="V40"/>
  <c r="AO39"/>
  <c r="AM39" s="1"/>
  <c r="AD39"/>
  <c r="AH39" s="1"/>
  <c r="AC39"/>
  <c r="V39"/>
  <c r="Z65" s="1"/>
  <c r="D65" s="1"/>
  <c r="D72" s="1"/>
  <c r="AD38"/>
  <c r="AH38" s="1"/>
  <c r="AC38"/>
  <c r="AD37"/>
  <c r="AH37" s="1"/>
  <c r="AC37"/>
  <c r="AO36"/>
  <c r="AM36" s="1"/>
  <c r="AD36"/>
  <c r="AH36" s="1"/>
  <c r="AC36"/>
  <c r="V36"/>
  <c r="AO35"/>
  <c r="AM35" s="1"/>
  <c r="AD35"/>
  <c r="AH35" s="1"/>
  <c r="AC35"/>
  <c r="V35"/>
  <c r="Z63" s="1"/>
  <c r="D63" s="1"/>
  <c r="D70" s="1"/>
  <c r="AO34"/>
  <c r="AM34" s="1"/>
  <c r="AD34"/>
  <c r="AH34" s="1"/>
  <c r="AC34"/>
  <c r="V34"/>
  <c r="AO33"/>
  <c r="AM33" s="1"/>
  <c r="AD33"/>
  <c r="AH33" s="1"/>
  <c r="AC33"/>
  <c r="V33"/>
  <c r="AA65" s="1"/>
  <c r="F65" s="1"/>
  <c r="AD32"/>
  <c r="AH32" s="1"/>
  <c r="AC32"/>
  <c r="AK32" s="1"/>
  <c r="AD31"/>
  <c r="AH31" s="1"/>
  <c r="AC31"/>
  <c r="AO30"/>
  <c r="AM30" s="1"/>
  <c r="AD30"/>
  <c r="AH30" s="1"/>
  <c r="AC30"/>
  <c r="V30"/>
  <c r="AO29"/>
  <c r="AM29" s="1"/>
  <c r="AD29"/>
  <c r="AH29" s="1"/>
  <c r="AC29"/>
  <c r="V29"/>
  <c r="Z62" s="1"/>
  <c r="D62" s="1"/>
  <c r="F73" s="1"/>
  <c r="AO28"/>
  <c r="AM28" s="1"/>
  <c r="AD28"/>
  <c r="AH28" s="1"/>
  <c r="AC28"/>
  <c r="V28"/>
  <c r="AO27"/>
  <c r="AM27" s="1"/>
  <c r="AD27"/>
  <c r="AH27" s="1"/>
  <c r="AC27"/>
  <c r="V27"/>
  <c r="AA60" s="1"/>
  <c r="F60" s="1"/>
  <c r="F71" s="1"/>
  <c r="F77" s="1"/>
  <c r="D82" s="1"/>
  <c r="E92" s="1"/>
  <c r="AD26"/>
  <c r="AH26" s="1"/>
  <c r="AC26"/>
  <c r="AD25"/>
  <c r="AH25" s="1"/>
  <c r="AC25"/>
  <c r="AO24"/>
  <c r="AM24" s="1"/>
  <c r="AD24"/>
  <c r="AH24" s="1"/>
  <c r="AC24"/>
  <c r="V24"/>
  <c r="Z60" s="1"/>
  <c r="D60" s="1"/>
  <c r="AO23"/>
  <c r="AM23" s="1"/>
  <c r="AD23"/>
  <c r="AH23" s="1"/>
  <c r="AC23"/>
  <c r="V23"/>
  <c r="AO22"/>
  <c r="AM22" s="1"/>
  <c r="AD22"/>
  <c r="AH22" s="1"/>
  <c r="AC22"/>
  <c r="V22"/>
  <c r="AA62" s="1"/>
  <c r="F62" s="1"/>
  <c r="AO21"/>
  <c r="AM21" s="1"/>
  <c r="AD21"/>
  <c r="AH21" s="1"/>
  <c r="AC21"/>
  <c r="V21"/>
  <c r="AD20"/>
  <c r="AH20" s="1"/>
  <c r="AC20"/>
  <c r="AD19"/>
  <c r="AH19" s="1"/>
  <c r="AC19"/>
  <c r="AO18"/>
  <c r="AM18" s="1"/>
  <c r="AD18"/>
  <c r="AH18" s="1"/>
  <c r="AC18"/>
  <c r="V18"/>
  <c r="AO17"/>
  <c r="AM17" s="1"/>
  <c r="AD17"/>
  <c r="AH17" s="1"/>
  <c r="AC17"/>
  <c r="V17"/>
  <c r="AO16"/>
  <c r="AM16" s="1"/>
  <c r="AD16"/>
  <c r="AH16" s="1"/>
  <c r="AC16"/>
  <c r="V16"/>
  <c r="AA59" s="1"/>
  <c r="F59" s="1"/>
  <c r="AO15"/>
  <c r="AM15" s="1"/>
  <c r="AD15"/>
  <c r="AH15" s="1"/>
  <c r="AC15"/>
  <c r="V15"/>
  <c r="Z61" s="1"/>
  <c r="D61" s="1"/>
  <c r="D73" s="1"/>
  <c r="F78" s="1"/>
  <c r="F86" s="1"/>
  <c r="E90" s="1"/>
  <c r="AD14"/>
  <c r="AH14" s="1"/>
  <c r="AC14"/>
  <c r="AD13"/>
  <c r="AH13" s="1"/>
  <c r="AC13"/>
  <c r="AO12"/>
  <c r="AM12" s="1"/>
  <c r="AD12"/>
  <c r="AH12" s="1"/>
  <c r="AC12"/>
  <c r="V12"/>
  <c r="AO11"/>
  <c r="AM11" s="1"/>
  <c r="AD11"/>
  <c r="AH11" s="1"/>
  <c r="AC11"/>
  <c r="V11"/>
  <c r="AO10"/>
  <c r="AM10" s="1"/>
  <c r="AD10"/>
  <c r="AH10" s="1"/>
  <c r="AC10"/>
  <c r="V10"/>
  <c r="AA61" s="1"/>
  <c r="F61" s="1"/>
  <c r="AO9"/>
  <c r="AM9" s="1"/>
  <c r="AD9"/>
  <c r="AH9" s="1"/>
  <c r="AC9"/>
  <c r="V9"/>
  <c r="Z59" s="1"/>
  <c r="D59" s="1"/>
  <c r="D71" s="1"/>
  <c r="AD8"/>
  <c r="AH8" s="1"/>
  <c r="AC8"/>
  <c r="N3"/>
  <c r="C30" i="22" s="1"/>
  <c r="X98" i="63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X77"/>
  <c r="X76"/>
  <c r="X75"/>
  <c r="X74"/>
  <c r="AD73"/>
  <c r="AH73" s="1"/>
  <c r="AC73"/>
  <c r="X73"/>
  <c r="AD72"/>
  <c r="AH72" s="1"/>
  <c r="AC72"/>
  <c r="X72"/>
  <c r="AH71"/>
  <c r="AD71"/>
  <c r="AC71"/>
  <c r="AK71" s="1"/>
  <c r="X71"/>
  <c r="AD70"/>
  <c r="AH70" s="1"/>
  <c r="AC70"/>
  <c r="X70"/>
  <c r="X69"/>
  <c r="AZ68"/>
  <c r="X68"/>
  <c r="AZ67"/>
  <c r="X67"/>
  <c r="AZ66"/>
  <c r="AD66"/>
  <c r="AH66" s="1"/>
  <c r="AC66"/>
  <c r="X66"/>
  <c r="AZ65"/>
  <c r="AD65"/>
  <c r="AH65" s="1"/>
  <c r="AC65"/>
  <c r="X65"/>
  <c r="AZ64"/>
  <c r="AD64"/>
  <c r="AH64" s="1"/>
  <c r="AC64"/>
  <c r="X64"/>
  <c r="AZ63"/>
  <c r="AD63"/>
  <c r="AH63" s="1"/>
  <c r="AC63"/>
  <c r="X63"/>
  <c r="AZ62"/>
  <c r="AD62"/>
  <c r="AH62" s="1"/>
  <c r="AC62"/>
  <c r="X62"/>
  <c r="AZ61"/>
  <c r="AD61"/>
  <c r="AH61" s="1"/>
  <c r="AC61"/>
  <c r="X61"/>
  <c r="AZ60"/>
  <c r="AD60"/>
  <c r="AH60" s="1"/>
  <c r="AC60"/>
  <c r="X60"/>
  <c r="AZ59"/>
  <c r="AD59"/>
  <c r="AH59" s="1"/>
  <c r="AC59"/>
  <c r="X59"/>
  <c r="AZ58"/>
  <c r="BA67" s="1"/>
  <c r="BB67" s="1"/>
  <c r="AA58"/>
  <c r="Z58"/>
  <c r="X58"/>
  <c r="AD55"/>
  <c r="AH55" s="1"/>
  <c r="AC55"/>
  <c r="AO54"/>
  <c r="AM54" s="1"/>
  <c r="AD54"/>
  <c r="AH54" s="1"/>
  <c r="AC54"/>
  <c r="V54"/>
  <c r="AO53"/>
  <c r="AM53" s="1"/>
  <c r="AD53"/>
  <c r="AH53" s="1"/>
  <c r="AC53"/>
  <c r="V53"/>
  <c r="AA64" s="1"/>
  <c r="F64" s="1"/>
  <c r="AO52"/>
  <c r="AM52" s="1"/>
  <c r="AD52"/>
  <c r="AH52" s="1"/>
  <c r="AC52"/>
  <c r="V52"/>
  <c r="AO51"/>
  <c r="AM51" s="1"/>
  <c r="AD51"/>
  <c r="AH51" s="1"/>
  <c r="AC51"/>
  <c r="V51"/>
  <c r="Z66" s="1"/>
  <c r="D66" s="1"/>
  <c r="AD50"/>
  <c r="AH50" s="1"/>
  <c r="AC50"/>
  <c r="AD49"/>
  <c r="AH49" s="1"/>
  <c r="AC49"/>
  <c r="AO48"/>
  <c r="AM48" s="1"/>
  <c r="AD48"/>
  <c r="AH48" s="1"/>
  <c r="AC48"/>
  <c r="V48"/>
  <c r="AO47"/>
  <c r="AM47" s="1"/>
  <c r="AD47"/>
  <c r="AH47" s="1"/>
  <c r="AC47"/>
  <c r="V47"/>
  <c r="AO46"/>
  <c r="AM46" s="1"/>
  <c r="AD46"/>
  <c r="AH46" s="1"/>
  <c r="AC46"/>
  <c r="AK46" s="1"/>
  <c r="V46"/>
  <c r="AA66" s="1"/>
  <c r="F66" s="1"/>
  <c r="F72" s="1"/>
  <c r="D78" s="1"/>
  <c r="F82" s="1"/>
  <c r="E92" s="1"/>
  <c r="AO45"/>
  <c r="AM45" s="1"/>
  <c r="AD45"/>
  <c r="AH45" s="1"/>
  <c r="AC45"/>
  <c r="V45"/>
  <c r="Z64" s="1"/>
  <c r="D64" s="1"/>
  <c r="F70" s="1"/>
  <c r="AD44"/>
  <c r="AH44" s="1"/>
  <c r="AC44"/>
  <c r="AD43"/>
  <c r="AH43" s="1"/>
  <c r="AC43"/>
  <c r="AO42"/>
  <c r="AM42" s="1"/>
  <c r="AD42"/>
  <c r="AH42" s="1"/>
  <c r="AC42"/>
  <c r="V42"/>
  <c r="AA63" s="1"/>
  <c r="F63" s="1"/>
  <c r="AO41"/>
  <c r="AM41" s="1"/>
  <c r="AD41"/>
  <c r="AH41" s="1"/>
  <c r="AC41"/>
  <c r="V41"/>
  <c r="AO40"/>
  <c r="AM40" s="1"/>
  <c r="AD40"/>
  <c r="AH40" s="1"/>
  <c r="AC40"/>
  <c r="V40"/>
  <c r="AO39"/>
  <c r="AM39" s="1"/>
  <c r="AD39"/>
  <c r="AH39" s="1"/>
  <c r="AC39"/>
  <c r="V39"/>
  <c r="Z65" s="1"/>
  <c r="D65" s="1"/>
  <c r="D72" s="1"/>
  <c r="AD38"/>
  <c r="AH38" s="1"/>
  <c r="AC38"/>
  <c r="AD37"/>
  <c r="AH37" s="1"/>
  <c r="AC37"/>
  <c r="AO36"/>
  <c r="AM36" s="1"/>
  <c r="AD36"/>
  <c r="AH36" s="1"/>
  <c r="AC36"/>
  <c r="V36"/>
  <c r="AO35"/>
  <c r="AM35" s="1"/>
  <c r="AD35"/>
  <c r="AH35" s="1"/>
  <c r="AC35"/>
  <c r="V35"/>
  <c r="Z63" s="1"/>
  <c r="D63" s="1"/>
  <c r="D70" s="1"/>
  <c r="D77" s="1"/>
  <c r="D82" s="1"/>
  <c r="E91" s="1"/>
  <c r="AO34"/>
  <c r="AM34" s="1"/>
  <c r="AD34"/>
  <c r="AH34" s="1"/>
  <c r="AC34"/>
  <c r="V34"/>
  <c r="AO33"/>
  <c r="AM33" s="1"/>
  <c r="AD33"/>
  <c r="AH33" s="1"/>
  <c r="AC33"/>
  <c r="V33"/>
  <c r="AA65" s="1"/>
  <c r="F65" s="1"/>
  <c r="AD32"/>
  <c r="AH32" s="1"/>
  <c r="AC32"/>
  <c r="AD31"/>
  <c r="AH31" s="1"/>
  <c r="AC31"/>
  <c r="AO30"/>
  <c r="AM30" s="1"/>
  <c r="AD30"/>
  <c r="AH30" s="1"/>
  <c r="AC30"/>
  <c r="V30"/>
  <c r="Z62" s="1"/>
  <c r="D62" s="1"/>
  <c r="F73" s="1"/>
  <c r="AO29"/>
  <c r="AM29" s="1"/>
  <c r="AD29"/>
  <c r="AH29" s="1"/>
  <c r="AC29"/>
  <c r="V29"/>
  <c r="AO28"/>
  <c r="AM28" s="1"/>
  <c r="AD28"/>
  <c r="AH28" s="1"/>
  <c r="AC28"/>
  <c r="AK28" s="1"/>
  <c r="V28"/>
  <c r="AO27"/>
  <c r="AM27" s="1"/>
  <c r="AD27"/>
  <c r="AH27" s="1"/>
  <c r="AC27"/>
  <c r="V27"/>
  <c r="AA60" s="1"/>
  <c r="F60" s="1"/>
  <c r="F71" s="1"/>
  <c r="AD26"/>
  <c r="AH26" s="1"/>
  <c r="AC26"/>
  <c r="AD25"/>
  <c r="AH25" s="1"/>
  <c r="AC25"/>
  <c r="AO24"/>
  <c r="AM24" s="1"/>
  <c r="AD24"/>
  <c r="AH24" s="1"/>
  <c r="AC24"/>
  <c r="V24"/>
  <c r="AO23"/>
  <c r="AM23" s="1"/>
  <c r="AD23"/>
  <c r="AC23"/>
  <c r="V23"/>
  <c r="AO22"/>
  <c r="AM22" s="1"/>
  <c r="AD22"/>
  <c r="AC22"/>
  <c r="V22"/>
  <c r="AA62" s="1"/>
  <c r="F62" s="1"/>
  <c r="AO21"/>
  <c r="AM21" s="1"/>
  <c r="AD21"/>
  <c r="AC21"/>
  <c r="V21"/>
  <c r="Z60" s="1"/>
  <c r="D60" s="1"/>
  <c r="AD20"/>
  <c r="AC20"/>
  <c r="AD19"/>
  <c r="AH19" s="1"/>
  <c r="AC19"/>
  <c r="AO18"/>
  <c r="AM18" s="1"/>
  <c r="AD18"/>
  <c r="AC18"/>
  <c r="V18"/>
  <c r="AO17"/>
  <c r="AM17" s="1"/>
  <c r="AD17"/>
  <c r="AC17"/>
  <c r="V17"/>
  <c r="AO16"/>
  <c r="AM16" s="1"/>
  <c r="AD16"/>
  <c r="AC16"/>
  <c r="V16"/>
  <c r="AA59" s="1"/>
  <c r="F59" s="1"/>
  <c r="AO15"/>
  <c r="AM15" s="1"/>
  <c r="AD15"/>
  <c r="AC15"/>
  <c r="V15"/>
  <c r="Z61" s="1"/>
  <c r="D61" s="1"/>
  <c r="D73" s="1"/>
  <c r="F78" s="1"/>
  <c r="F86" s="1"/>
  <c r="E90" s="1"/>
  <c r="AD14"/>
  <c r="AC14"/>
  <c r="AD13"/>
  <c r="AH13" s="1"/>
  <c r="AC13"/>
  <c r="AO12"/>
  <c r="AM12" s="1"/>
  <c r="AD12"/>
  <c r="AC12"/>
  <c r="V12"/>
  <c r="AO11"/>
  <c r="AM11" s="1"/>
  <c r="AD11"/>
  <c r="AC11"/>
  <c r="V11"/>
  <c r="AA61" s="1"/>
  <c r="F61" s="1"/>
  <c r="AO10"/>
  <c r="AM10" s="1"/>
  <c r="AD10"/>
  <c r="AH10" s="1"/>
  <c r="AC10"/>
  <c r="AG10" s="1"/>
  <c r="V10"/>
  <c r="AO9"/>
  <c r="AM9" s="1"/>
  <c r="AD9"/>
  <c r="AH9" s="1"/>
  <c r="AC9"/>
  <c r="AG9" s="1"/>
  <c r="V9"/>
  <c r="Z59" s="1"/>
  <c r="D59" s="1"/>
  <c r="D71" s="1"/>
  <c r="F77" s="1"/>
  <c r="D86" s="1"/>
  <c r="E89" s="1"/>
  <c r="AD8"/>
  <c r="AH8" s="1"/>
  <c r="AC8"/>
  <c r="N3"/>
  <c r="C32" i="22" s="1"/>
  <c r="X98" i="62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X77"/>
  <c r="X76"/>
  <c r="X75"/>
  <c r="X74"/>
  <c r="AD73"/>
  <c r="AH73" s="1"/>
  <c r="AC73"/>
  <c r="X73"/>
  <c r="AD72"/>
  <c r="AH72" s="1"/>
  <c r="AC72"/>
  <c r="X72"/>
  <c r="AD71"/>
  <c r="AH71" s="1"/>
  <c r="AC71"/>
  <c r="X71"/>
  <c r="AD70"/>
  <c r="AH70" s="1"/>
  <c r="AC70"/>
  <c r="X70"/>
  <c r="X69"/>
  <c r="AZ68"/>
  <c r="X68"/>
  <c r="AZ67"/>
  <c r="X67"/>
  <c r="AZ66"/>
  <c r="AD66"/>
  <c r="AH66" s="1"/>
  <c r="AC66"/>
  <c r="X66"/>
  <c r="AZ65"/>
  <c r="AD65"/>
  <c r="AH65" s="1"/>
  <c r="AC65"/>
  <c r="AL65" s="1"/>
  <c r="X65"/>
  <c r="AZ64"/>
  <c r="AD64"/>
  <c r="AH64" s="1"/>
  <c r="AC64"/>
  <c r="X64"/>
  <c r="AZ63"/>
  <c r="AD63"/>
  <c r="AH63" s="1"/>
  <c r="AC63"/>
  <c r="X63"/>
  <c r="AZ62"/>
  <c r="AD62"/>
  <c r="AH62" s="1"/>
  <c r="AC62"/>
  <c r="X62"/>
  <c r="AZ61"/>
  <c r="AD61"/>
  <c r="AH61" s="1"/>
  <c r="AC61"/>
  <c r="X61"/>
  <c r="AZ60"/>
  <c r="AD60"/>
  <c r="AH60" s="1"/>
  <c r="AC60"/>
  <c r="X60"/>
  <c r="AZ59"/>
  <c r="BA68" s="1"/>
  <c r="BB68" s="1"/>
  <c r="AD59"/>
  <c r="AH59" s="1"/>
  <c r="AC59"/>
  <c r="X59"/>
  <c r="BA58"/>
  <c r="BB58" s="1"/>
  <c r="AZ58"/>
  <c r="AA58"/>
  <c r="Z58"/>
  <c r="X58"/>
  <c r="AD55"/>
  <c r="AH55" s="1"/>
  <c r="AC55"/>
  <c r="AO54"/>
  <c r="AM54" s="1"/>
  <c r="AD54"/>
  <c r="AH54" s="1"/>
  <c r="AC54"/>
  <c r="V54"/>
  <c r="AO53"/>
  <c r="AM53" s="1"/>
  <c r="AD53"/>
  <c r="AH53" s="1"/>
  <c r="AC53"/>
  <c r="V53"/>
  <c r="AA64" s="1"/>
  <c r="F64" s="1"/>
  <c r="AO52"/>
  <c r="AM52" s="1"/>
  <c r="AD52"/>
  <c r="AH52" s="1"/>
  <c r="AC52"/>
  <c r="V52"/>
  <c r="AO51"/>
  <c r="AM51" s="1"/>
  <c r="AD51"/>
  <c r="AH51" s="1"/>
  <c r="AC51"/>
  <c r="V51"/>
  <c r="Z66" s="1"/>
  <c r="D66" s="1"/>
  <c r="AD50"/>
  <c r="AH50" s="1"/>
  <c r="AC50"/>
  <c r="AD49"/>
  <c r="AH49" s="1"/>
  <c r="AC49"/>
  <c r="AO48"/>
  <c r="AM48" s="1"/>
  <c r="AD48"/>
  <c r="AH48" s="1"/>
  <c r="AC48"/>
  <c r="V48"/>
  <c r="AO47"/>
  <c r="AM47" s="1"/>
  <c r="AD47"/>
  <c r="AH47" s="1"/>
  <c r="AC47"/>
  <c r="V47"/>
  <c r="AO46"/>
  <c r="AM46" s="1"/>
  <c r="AD46"/>
  <c r="AH46" s="1"/>
  <c r="AC46"/>
  <c r="V46"/>
  <c r="AA66" s="1"/>
  <c r="F66" s="1"/>
  <c r="F72" s="1"/>
  <c r="AO45"/>
  <c r="AM45" s="1"/>
  <c r="AD45"/>
  <c r="AH45" s="1"/>
  <c r="AC45"/>
  <c r="V45"/>
  <c r="Z64" s="1"/>
  <c r="D64" s="1"/>
  <c r="F70" s="1"/>
  <c r="D77" s="1"/>
  <c r="D86" s="1"/>
  <c r="E89" s="1"/>
  <c r="AD44"/>
  <c r="AH44" s="1"/>
  <c r="AC44"/>
  <c r="AD43"/>
  <c r="AH43" s="1"/>
  <c r="AC43"/>
  <c r="AO42"/>
  <c r="AM42" s="1"/>
  <c r="AD42"/>
  <c r="AH42" s="1"/>
  <c r="AC42"/>
  <c r="V42"/>
  <c r="AA63" s="1"/>
  <c r="F63" s="1"/>
  <c r="AO41"/>
  <c r="AM41" s="1"/>
  <c r="AD41"/>
  <c r="AH41" s="1"/>
  <c r="AC41"/>
  <c r="V41"/>
  <c r="AO40"/>
  <c r="AM40" s="1"/>
  <c r="AD40"/>
  <c r="AH40" s="1"/>
  <c r="AC40"/>
  <c r="V40"/>
  <c r="AO39"/>
  <c r="AM39" s="1"/>
  <c r="AD39"/>
  <c r="AH39" s="1"/>
  <c r="AC39"/>
  <c r="V39"/>
  <c r="Z65" s="1"/>
  <c r="D65" s="1"/>
  <c r="D72" s="1"/>
  <c r="D78" s="1"/>
  <c r="F82" s="1"/>
  <c r="E92" s="1"/>
  <c r="AD38"/>
  <c r="AH38" s="1"/>
  <c r="AC38"/>
  <c r="AD37"/>
  <c r="AH37" s="1"/>
  <c r="AC37"/>
  <c r="AK37" s="1"/>
  <c r="AO36"/>
  <c r="AM36" s="1"/>
  <c r="AD36"/>
  <c r="AH36" s="1"/>
  <c r="AC36"/>
  <c r="V36"/>
  <c r="AO35"/>
  <c r="AM35" s="1"/>
  <c r="AD35"/>
  <c r="AH35" s="1"/>
  <c r="AC35"/>
  <c r="V35"/>
  <c r="Z63" s="1"/>
  <c r="D63" s="1"/>
  <c r="D70" s="1"/>
  <c r="AO34"/>
  <c r="AM34" s="1"/>
  <c r="AD34"/>
  <c r="AH34" s="1"/>
  <c r="AC34"/>
  <c r="V34"/>
  <c r="AO33"/>
  <c r="AM33" s="1"/>
  <c r="AD33"/>
  <c r="AH33" s="1"/>
  <c r="AC33"/>
  <c r="V33"/>
  <c r="AA65" s="1"/>
  <c r="F65" s="1"/>
  <c r="AD32"/>
  <c r="AH32" s="1"/>
  <c r="AC32"/>
  <c r="AD31"/>
  <c r="AH31" s="1"/>
  <c r="AC31"/>
  <c r="AO30"/>
  <c r="AM30" s="1"/>
  <c r="AD30"/>
  <c r="AH30" s="1"/>
  <c r="AC30"/>
  <c r="V30"/>
  <c r="AA60" s="1"/>
  <c r="F60" s="1"/>
  <c r="F71" s="1"/>
  <c r="AO29"/>
  <c r="AM29" s="1"/>
  <c r="AD29"/>
  <c r="AH29" s="1"/>
  <c r="AC29"/>
  <c r="V29"/>
  <c r="Z62" s="1"/>
  <c r="D62" s="1"/>
  <c r="F73" s="1"/>
  <c r="AO28"/>
  <c r="AM28" s="1"/>
  <c r="AD28"/>
  <c r="AH28" s="1"/>
  <c r="AC28"/>
  <c r="V28"/>
  <c r="AO27"/>
  <c r="AM27" s="1"/>
  <c r="AD27"/>
  <c r="AH27" s="1"/>
  <c r="AC27"/>
  <c r="V27"/>
  <c r="AD26"/>
  <c r="AH26" s="1"/>
  <c r="AC26"/>
  <c r="AD25"/>
  <c r="AH25" s="1"/>
  <c r="AC25"/>
  <c r="AO24"/>
  <c r="AM24" s="1"/>
  <c r="AD24"/>
  <c r="AH24" s="1"/>
  <c r="AC24"/>
  <c r="V24"/>
  <c r="AA62" s="1"/>
  <c r="F62" s="1"/>
  <c r="AO23"/>
  <c r="AM23" s="1"/>
  <c r="AD23"/>
  <c r="AH23" s="1"/>
  <c r="AC23"/>
  <c r="V23"/>
  <c r="Z60" s="1"/>
  <c r="D60" s="1"/>
  <c r="AO22"/>
  <c r="AM22" s="1"/>
  <c r="AD22"/>
  <c r="AH22" s="1"/>
  <c r="AC22"/>
  <c r="V22"/>
  <c r="AO21"/>
  <c r="AM21" s="1"/>
  <c r="AD21"/>
  <c r="AH21" s="1"/>
  <c r="AC21"/>
  <c r="V21"/>
  <c r="AD20"/>
  <c r="AH20" s="1"/>
  <c r="AC20"/>
  <c r="AD19"/>
  <c r="AH19" s="1"/>
  <c r="AC19"/>
  <c r="AO18"/>
  <c r="AM18" s="1"/>
  <c r="AD18"/>
  <c r="AH18" s="1"/>
  <c r="AC18"/>
  <c r="V18"/>
  <c r="AO17"/>
  <c r="AM17" s="1"/>
  <c r="AD17"/>
  <c r="AH17" s="1"/>
  <c r="AC17"/>
  <c r="V17"/>
  <c r="AO16"/>
  <c r="AM16" s="1"/>
  <c r="AD16"/>
  <c r="AH16" s="1"/>
  <c r="AC16"/>
  <c r="V16"/>
  <c r="AA59" s="1"/>
  <c r="F59" s="1"/>
  <c r="AO15"/>
  <c r="AM15" s="1"/>
  <c r="AD15"/>
  <c r="AH15" s="1"/>
  <c r="AC15"/>
  <c r="V15"/>
  <c r="Z61" s="1"/>
  <c r="D61" s="1"/>
  <c r="D73" s="1"/>
  <c r="F78" s="1"/>
  <c r="F86" s="1"/>
  <c r="E90" s="1"/>
  <c r="AD14"/>
  <c r="AH14" s="1"/>
  <c r="AC14"/>
  <c r="AD13"/>
  <c r="AH13" s="1"/>
  <c r="AC13"/>
  <c r="AK13" s="1"/>
  <c r="AO12"/>
  <c r="AM12" s="1"/>
  <c r="AD12"/>
  <c r="AH12" s="1"/>
  <c r="AC12"/>
  <c r="V12"/>
  <c r="AO11"/>
  <c r="AM11" s="1"/>
  <c r="AD11"/>
  <c r="AH11" s="1"/>
  <c r="AC11"/>
  <c r="V11"/>
  <c r="AO10"/>
  <c r="AM10" s="1"/>
  <c r="AD10"/>
  <c r="AH10" s="1"/>
  <c r="AC10"/>
  <c r="V10"/>
  <c r="AA61" s="1"/>
  <c r="F61" s="1"/>
  <c r="AO9"/>
  <c r="AM9" s="1"/>
  <c r="AD9"/>
  <c r="AH9" s="1"/>
  <c r="AC9"/>
  <c r="AG9" s="1"/>
  <c r="V9"/>
  <c r="Z59" s="1"/>
  <c r="D59" s="1"/>
  <c r="D71" s="1"/>
  <c r="F77" s="1"/>
  <c r="D82" s="1"/>
  <c r="E91" s="1"/>
  <c r="AD8"/>
  <c r="AH8" s="1"/>
  <c r="AC8"/>
  <c r="N3"/>
  <c r="C44" i="22" s="1"/>
  <c r="X98" i="61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X77"/>
  <c r="X76"/>
  <c r="X75"/>
  <c r="X74"/>
  <c r="AD73"/>
  <c r="AH73" s="1"/>
  <c r="AC73"/>
  <c r="AK73" s="1"/>
  <c r="X73"/>
  <c r="AD72"/>
  <c r="AH72" s="1"/>
  <c r="AC72"/>
  <c r="X72"/>
  <c r="AD71"/>
  <c r="AH71" s="1"/>
  <c r="AC71"/>
  <c r="AK71" s="1"/>
  <c r="X71"/>
  <c r="AD70"/>
  <c r="AH70" s="1"/>
  <c r="AC70"/>
  <c r="X70"/>
  <c r="X69"/>
  <c r="AZ68"/>
  <c r="X68"/>
  <c r="AZ67"/>
  <c r="X67"/>
  <c r="AZ66"/>
  <c r="AD66"/>
  <c r="AH66" s="1"/>
  <c r="AC66"/>
  <c r="X66"/>
  <c r="AZ65"/>
  <c r="AD65"/>
  <c r="AH65" s="1"/>
  <c r="AC65"/>
  <c r="X65"/>
  <c r="AZ64"/>
  <c r="AD64"/>
  <c r="AH64" s="1"/>
  <c r="AC64"/>
  <c r="X64"/>
  <c r="AZ63"/>
  <c r="AD63"/>
  <c r="AH63" s="1"/>
  <c r="AC63"/>
  <c r="X63"/>
  <c r="AZ62"/>
  <c r="AD62"/>
  <c r="AH62" s="1"/>
  <c r="AC62"/>
  <c r="X62"/>
  <c r="AZ61"/>
  <c r="AD61"/>
  <c r="AH61" s="1"/>
  <c r="AC61"/>
  <c r="X61"/>
  <c r="AZ60"/>
  <c r="AD60"/>
  <c r="AH60" s="1"/>
  <c r="AC60"/>
  <c r="X60"/>
  <c r="AZ59"/>
  <c r="AD59"/>
  <c r="AH59" s="1"/>
  <c r="AC59"/>
  <c r="X59"/>
  <c r="AZ58"/>
  <c r="BA68" s="1"/>
  <c r="BB68" s="1"/>
  <c r="AA58"/>
  <c r="Z58"/>
  <c r="X58"/>
  <c r="AD55"/>
  <c r="AH55" s="1"/>
  <c r="AC55"/>
  <c r="AO54"/>
  <c r="AM54" s="1"/>
  <c r="AD54"/>
  <c r="AH54" s="1"/>
  <c r="AC54"/>
  <c r="V54"/>
  <c r="AO53"/>
  <c r="AM53" s="1"/>
  <c r="AD53"/>
  <c r="AC53"/>
  <c r="AL53" s="1"/>
  <c r="V53"/>
  <c r="AA64" s="1"/>
  <c r="F64" s="1"/>
  <c r="AO52"/>
  <c r="AM52" s="1"/>
  <c r="AD52"/>
  <c r="AC52"/>
  <c r="V52"/>
  <c r="AO51"/>
  <c r="AM51" s="1"/>
  <c r="AD51"/>
  <c r="AC51"/>
  <c r="V51"/>
  <c r="Z66" s="1"/>
  <c r="D66" s="1"/>
  <c r="AD50"/>
  <c r="AC50"/>
  <c r="AD49"/>
  <c r="AH49" s="1"/>
  <c r="AC49"/>
  <c r="AO48"/>
  <c r="AM48" s="1"/>
  <c r="AD48"/>
  <c r="AC48"/>
  <c r="V48"/>
  <c r="AO47"/>
  <c r="AM47" s="1"/>
  <c r="AD47"/>
  <c r="AC47"/>
  <c r="V47"/>
  <c r="AO46"/>
  <c r="AM46" s="1"/>
  <c r="AD46"/>
  <c r="AC46"/>
  <c r="AL46" s="1"/>
  <c r="V46"/>
  <c r="AA66" s="1"/>
  <c r="F66" s="1"/>
  <c r="F72" s="1"/>
  <c r="AO45"/>
  <c r="AM45" s="1"/>
  <c r="AD45"/>
  <c r="AC45"/>
  <c r="V45"/>
  <c r="Z64" s="1"/>
  <c r="D64" s="1"/>
  <c r="F70" s="1"/>
  <c r="AD44"/>
  <c r="AC44"/>
  <c r="AD43"/>
  <c r="AH43" s="1"/>
  <c r="AC43"/>
  <c r="AO42"/>
  <c r="AM42" s="1"/>
  <c r="AD42"/>
  <c r="AC42"/>
  <c r="V42"/>
  <c r="AO41"/>
  <c r="AM41" s="1"/>
  <c r="AD41"/>
  <c r="AC41"/>
  <c r="V41"/>
  <c r="AO40"/>
  <c r="AM40" s="1"/>
  <c r="AD40"/>
  <c r="AC40"/>
  <c r="V40"/>
  <c r="AA63" s="1"/>
  <c r="F63" s="1"/>
  <c r="AO39"/>
  <c r="AM39" s="1"/>
  <c r="AD39"/>
  <c r="AC39"/>
  <c r="V39"/>
  <c r="Z65" s="1"/>
  <c r="D65" s="1"/>
  <c r="D72" s="1"/>
  <c r="D78" s="1"/>
  <c r="F86" s="1"/>
  <c r="E89" s="1"/>
  <c r="AD38"/>
  <c r="AC38"/>
  <c r="AD37"/>
  <c r="AH37" s="1"/>
  <c r="AC37"/>
  <c r="AO36"/>
  <c r="AM36" s="1"/>
  <c r="AD36"/>
  <c r="AC36"/>
  <c r="V36"/>
  <c r="AO35"/>
  <c r="AM35" s="1"/>
  <c r="AD35"/>
  <c r="AC35"/>
  <c r="V35"/>
  <c r="Z63" s="1"/>
  <c r="D63" s="1"/>
  <c r="D70" s="1"/>
  <c r="D77" s="1"/>
  <c r="D82" s="1"/>
  <c r="E91" s="1"/>
  <c r="AO34"/>
  <c r="AM34" s="1"/>
  <c r="AD34"/>
  <c r="AC34"/>
  <c r="V34"/>
  <c r="AO33"/>
  <c r="AM33" s="1"/>
  <c r="AD33"/>
  <c r="AC33"/>
  <c r="V33"/>
  <c r="AA65" s="1"/>
  <c r="F65" s="1"/>
  <c r="AD32"/>
  <c r="AC32"/>
  <c r="AD31"/>
  <c r="AH31" s="1"/>
  <c r="AC31"/>
  <c r="AO30"/>
  <c r="AM30" s="1"/>
  <c r="AD30"/>
  <c r="AC30"/>
  <c r="V30"/>
  <c r="AA60" s="1"/>
  <c r="F60" s="1"/>
  <c r="AO29"/>
  <c r="AM29" s="1"/>
  <c r="AD29"/>
  <c r="AC29"/>
  <c r="V29"/>
  <c r="AO28"/>
  <c r="AM28" s="1"/>
  <c r="AD28"/>
  <c r="AC28"/>
  <c r="V28"/>
  <c r="AO27"/>
  <c r="AM27" s="1"/>
  <c r="AD27"/>
  <c r="AC27"/>
  <c r="AL27" s="1"/>
  <c r="V27"/>
  <c r="Z62" s="1"/>
  <c r="D62" s="1"/>
  <c r="AD26"/>
  <c r="AC26"/>
  <c r="AD25"/>
  <c r="AH25" s="1"/>
  <c r="AC25"/>
  <c r="AO24"/>
  <c r="AM24" s="1"/>
  <c r="AD24"/>
  <c r="AC24"/>
  <c r="V24"/>
  <c r="AO23"/>
  <c r="AM23" s="1"/>
  <c r="AD23"/>
  <c r="AH23" s="1"/>
  <c r="AC23"/>
  <c r="AG23" s="1"/>
  <c r="V23"/>
  <c r="Z60" s="1"/>
  <c r="D60" s="1"/>
  <c r="F71" s="1"/>
  <c r="AO22"/>
  <c r="AM22" s="1"/>
  <c r="AD22"/>
  <c r="AH22" s="1"/>
  <c r="AC22"/>
  <c r="V22"/>
  <c r="AO21"/>
  <c r="AM21" s="1"/>
  <c r="AD21"/>
  <c r="AH21" s="1"/>
  <c r="AC21"/>
  <c r="AG21" s="1"/>
  <c r="V21"/>
  <c r="AA62" s="1"/>
  <c r="F62" s="1"/>
  <c r="F73" s="1"/>
  <c r="AD20"/>
  <c r="AH20" s="1"/>
  <c r="AC20"/>
  <c r="AD19"/>
  <c r="AH19" s="1"/>
  <c r="AC19"/>
  <c r="AO18"/>
  <c r="AM18" s="1"/>
  <c r="AD18"/>
  <c r="AH18" s="1"/>
  <c r="AC18"/>
  <c r="AG18" s="1"/>
  <c r="V18"/>
  <c r="AO17"/>
  <c r="AM17" s="1"/>
  <c r="AD17"/>
  <c r="AH17" s="1"/>
  <c r="AC17"/>
  <c r="AG17" s="1"/>
  <c r="V17"/>
  <c r="AA59" s="1"/>
  <c r="F59" s="1"/>
  <c r="AO16"/>
  <c r="AM16" s="1"/>
  <c r="AD16"/>
  <c r="AH16" s="1"/>
  <c r="AC16"/>
  <c r="AG16" s="1"/>
  <c r="V16"/>
  <c r="AO15"/>
  <c r="AM15" s="1"/>
  <c r="AD15"/>
  <c r="AH15" s="1"/>
  <c r="AC15"/>
  <c r="AG15" s="1"/>
  <c r="V15"/>
  <c r="Z61" s="1"/>
  <c r="D61" s="1"/>
  <c r="D73" s="1"/>
  <c r="F78" s="1"/>
  <c r="F82" s="1"/>
  <c r="E92" s="1"/>
  <c r="AD14"/>
  <c r="AH14" s="1"/>
  <c r="AC14"/>
  <c r="AD13"/>
  <c r="AH13" s="1"/>
  <c r="AC13"/>
  <c r="AK13" s="1"/>
  <c r="AO12"/>
  <c r="AM12" s="1"/>
  <c r="AD12"/>
  <c r="AH12" s="1"/>
  <c r="AC12"/>
  <c r="V12"/>
  <c r="AO11"/>
  <c r="AM11" s="1"/>
  <c r="AD11"/>
  <c r="AH11" s="1"/>
  <c r="AC11"/>
  <c r="V11"/>
  <c r="AA61" s="1"/>
  <c r="F61" s="1"/>
  <c r="AO10"/>
  <c r="AM10" s="1"/>
  <c r="AD10"/>
  <c r="AH10" s="1"/>
  <c r="AC10"/>
  <c r="V10"/>
  <c r="AO9"/>
  <c r="AM9" s="1"/>
  <c r="AD9"/>
  <c r="AH9" s="1"/>
  <c r="AC9"/>
  <c r="AG9" s="1"/>
  <c r="V9"/>
  <c r="Z59" s="1"/>
  <c r="D59" s="1"/>
  <c r="D71" s="1"/>
  <c r="F77" s="1"/>
  <c r="D86" s="1"/>
  <c r="E90" s="1"/>
  <c r="AD8"/>
  <c r="AH8" s="1"/>
  <c r="AC8"/>
  <c r="N3"/>
  <c r="C33" i="22" s="1"/>
  <c r="X98" i="60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X77"/>
  <c r="X76"/>
  <c r="X75"/>
  <c r="X74"/>
  <c r="AD73"/>
  <c r="AH73" s="1"/>
  <c r="AC73"/>
  <c r="X73"/>
  <c r="AD72"/>
  <c r="AH72" s="1"/>
  <c r="AC72"/>
  <c r="X72"/>
  <c r="AD71"/>
  <c r="AH71" s="1"/>
  <c r="AC71"/>
  <c r="X71"/>
  <c r="AD70"/>
  <c r="AH70" s="1"/>
  <c r="AC70"/>
  <c r="X70"/>
  <c r="X69"/>
  <c r="AZ68"/>
  <c r="X68"/>
  <c r="AZ67"/>
  <c r="X67"/>
  <c r="AZ66"/>
  <c r="AD66"/>
  <c r="AH66" s="1"/>
  <c r="AC66"/>
  <c r="X66"/>
  <c r="AZ65"/>
  <c r="AD65"/>
  <c r="AH65" s="1"/>
  <c r="AC65"/>
  <c r="Z65"/>
  <c r="D65" s="1"/>
  <c r="D72" s="1"/>
  <c r="X65"/>
  <c r="AZ64"/>
  <c r="AD64"/>
  <c r="AH64" s="1"/>
  <c r="AC64"/>
  <c r="X64"/>
  <c r="AZ63"/>
  <c r="AD63"/>
  <c r="AH63" s="1"/>
  <c r="AC63"/>
  <c r="Z63"/>
  <c r="D63" s="1"/>
  <c r="D70" s="1"/>
  <c r="D77" s="1"/>
  <c r="D82" s="1"/>
  <c r="E92" s="1"/>
  <c r="X63"/>
  <c r="AZ62"/>
  <c r="AD62"/>
  <c r="AH62" s="1"/>
  <c r="AC62"/>
  <c r="AA62"/>
  <c r="F62" s="1"/>
  <c r="F73" s="1"/>
  <c r="X62"/>
  <c r="AZ61"/>
  <c r="AD61"/>
  <c r="AH61" s="1"/>
  <c r="AC61"/>
  <c r="AL61" s="1"/>
  <c r="Z61"/>
  <c r="D61" s="1"/>
  <c r="D73" s="1"/>
  <c r="F78" s="1"/>
  <c r="F86" s="1"/>
  <c r="E90" s="1"/>
  <c r="X61"/>
  <c r="AZ60"/>
  <c r="AD60"/>
  <c r="AH60" s="1"/>
  <c r="AC60"/>
  <c r="AA60"/>
  <c r="F60" s="1"/>
  <c r="F71" s="1"/>
  <c r="X60"/>
  <c r="AZ59"/>
  <c r="AD59"/>
  <c r="AH59" s="1"/>
  <c r="AC59"/>
  <c r="Z59"/>
  <c r="D59" s="1"/>
  <c r="D71" s="1"/>
  <c r="F77" s="1"/>
  <c r="D86" s="1"/>
  <c r="E89" s="1"/>
  <c r="X59"/>
  <c r="AZ58"/>
  <c r="BA61" s="1"/>
  <c r="BB61" s="1"/>
  <c r="AA58"/>
  <c r="Z58"/>
  <c r="X58"/>
  <c r="AD55"/>
  <c r="AH55" s="1"/>
  <c r="AC55"/>
  <c r="AO54"/>
  <c r="AM54" s="1"/>
  <c r="AD54"/>
  <c r="AH54" s="1"/>
  <c r="AC54"/>
  <c r="V54"/>
  <c r="AO53"/>
  <c r="AM53" s="1"/>
  <c r="AD53"/>
  <c r="AH53" s="1"/>
  <c r="AC53"/>
  <c r="AL53" s="1"/>
  <c r="V53"/>
  <c r="AA64" s="1"/>
  <c r="F64" s="1"/>
  <c r="AO52"/>
  <c r="AM52" s="1"/>
  <c r="AD52"/>
  <c r="AH52" s="1"/>
  <c r="AC52"/>
  <c r="V52"/>
  <c r="AO51"/>
  <c r="AM51" s="1"/>
  <c r="AD51"/>
  <c r="AH51" s="1"/>
  <c r="AC51"/>
  <c r="V51"/>
  <c r="Z66" s="1"/>
  <c r="D66" s="1"/>
  <c r="F72" s="1"/>
  <c r="D78" s="1"/>
  <c r="F82" s="1"/>
  <c r="E91" s="1"/>
  <c r="AD50"/>
  <c r="AH50" s="1"/>
  <c r="AC50"/>
  <c r="AD49"/>
  <c r="AH49" s="1"/>
  <c r="AC49"/>
  <c r="AO48"/>
  <c r="AM48" s="1"/>
  <c r="AD48"/>
  <c r="AH48" s="1"/>
  <c r="AC48"/>
  <c r="V48"/>
  <c r="AO47"/>
  <c r="AM47" s="1"/>
  <c r="AD47"/>
  <c r="AH47" s="1"/>
  <c r="AC47"/>
  <c r="V47"/>
  <c r="AO46"/>
  <c r="AM46" s="1"/>
  <c r="AD46"/>
  <c r="AH46" s="1"/>
  <c r="AC46"/>
  <c r="AL46" s="1"/>
  <c r="V46"/>
  <c r="Z64" s="1"/>
  <c r="D64" s="1"/>
  <c r="F70" s="1"/>
  <c r="AO45"/>
  <c r="AM45" s="1"/>
  <c r="AD45"/>
  <c r="AH45" s="1"/>
  <c r="AC45"/>
  <c r="V45"/>
  <c r="AA66" s="1"/>
  <c r="F66" s="1"/>
  <c r="AD44"/>
  <c r="AH44" s="1"/>
  <c r="AC44"/>
  <c r="AD43"/>
  <c r="AH43" s="1"/>
  <c r="AC43"/>
  <c r="AO42"/>
  <c r="AM42" s="1"/>
  <c r="AD42"/>
  <c r="AH42" s="1"/>
  <c r="AC42"/>
  <c r="V42"/>
  <c r="AA63" s="1"/>
  <c r="F63" s="1"/>
  <c r="AO41"/>
  <c r="AM41" s="1"/>
  <c r="AD41"/>
  <c r="AH41" s="1"/>
  <c r="AC41"/>
  <c r="AG41" s="1"/>
  <c r="V41"/>
  <c r="AO40"/>
  <c r="AM40" s="1"/>
  <c r="AD40"/>
  <c r="AH40" s="1"/>
  <c r="AC40"/>
  <c r="AG40" s="1"/>
  <c r="V40"/>
  <c r="AO39"/>
  <c r="AM39" s="1"/>
  <c r="AD39"/>
  <c r="AH39" s="1"/>
  <c r="AC39"/>
  <c r="V39"/>
  <c r="AD38"/>
  <c r="AH38" s="1"/>
  <c r="AC38"/>
  <c r="AG38" s="1"/>
  <c r="AD37"/>
  <c r="AH37" s="1"/>
  <c r="AC37"/>
  <c r="AO36"/>
  <c r="AM36" s="1"/>
  <c r="AD36"/>
  <c r="AH36" s="1"/>
  <c r="AC36"/>
  <c r="AG36" s="1"/>
  <c r="V36"/>
  <c r="AO35"/>
  <c r="AM35" s="1"/>
  <c r="AD35"/>
  <c r="AH35" s="1"/>
  <c r="AC35"/>
  <c r="V35"/>
  <c r="AA65" s="1"/>
  <c r="F65" s="1"/>
  <c r="AO34"/>
  <c r="AM34" s="1"/>
  <c r="AD34"/>
  <c r="AH34" s="1"/>
  <c r="AC34"/>
  <c r="AG34" s="1"/>
  <c r="V34"/>
  <c r="AO33"/>
  <c r="AM33" s="1"/>
  <c r="AD33"/>
  <c r="AC33"/>
  <c r="AG33" s="1"/>
  <c r="V33"/>
  <c r="AD32"/>
  <c r="AC32"/>
  <c r="AD31"/>
  <c r="AH31" s="1"/>
  <c r="AC31"/>
  <c r="AO30"/>
  <c r="AM30" s="1"/>
  <c r="AD30"/>
  <c r="AC30"/>
  <c r="AL30" s="1"/>
  <c r="V30"/>
  <c r="Z62" s="1"/>
  <c r="D62" s="1"/>
  <c r="AO29"/>
  <c r="AM29" s="1"/>
  <c r="AD29"/>
  <c r="AC29"/>
  <c r="V29"/>
  <c r="AO28"/>
  <c r="AM28" s="1"/>
  <c r="AD28"/>
  <c r="AC28"/>
  <c r="V28"/>
  <c r="AO27"/>
  <c r="AM27" s="1"/>
  <c r="AD27"/>
  <c r="AC27"/>
  <c r="V27"/>
  <c r="AD26"/>
  <c r="AC26"/>
  <c r="AD25"/>
  <c r="AH25" s="1"/>
  <c r="AC25"/>
  <c r="AO24"/>
  <c r="AM24" s="1"/>
  <c r="AD24"/>
  <c r="AC24"/>
  <c r="V24"/>
  <c r="AO23"/>
  <c r="AM23" s="1"/>
  <c r="AD23"/>
  <c r="AC23"/>
  <c r="V23"/>
  <c r="Z60" s="1"/>
  <c r="D60" s="1"/>
  <c r="AO22"/>
  <c r="AM22" s="1"/>
  <c r="AD22"/>
  <c r="AC22"/>
  <c r="V22"/>
  <c r="AO21"/>
  <c r="AM21" s="1"/>
  <c r="AD21"/>
  <c r="AC21"/>
  <c r="V21"/>
  <c r="AD20"/>
  <c r="AC20"/>
  <c r="AD19"/>
  <c r="AH19" s="1"/>
  <c r="AC19"/>
  <c r="AO18"/>
  <c r="AM18" s="1"/>
  <c r="AD18"/>
  <c r="AC18"/>
  <c r="V18"/>
  <c r="AO17"/>
  <c r="AM17" s="1"/>
  <c r="AD17"/>
  <c r="AC17"/>
  <c r="V17"/>
  <c r="AA59" s="1"/>
  <c r="F59" s="1"/>
  <c r="AO16"/>
  <c r="AM16" s="1"/>
  <c r="AD16"/>
  <c r="AC16"/>
  <c r="V16"/>
  <c r="AO15"/>
  <c r="AM15" s="1"/>
  <c r="AD15"/>
  <c r="AC15"/>
  <c r="V15"/>
  <c r="AD14"/>
  <c r="AC14"/>
  <c r="AD13"/>
  <c r="AH13" s="1"/>
  <c r="AC13"/>
  <c r="AL13" s="1"/>
  <c r="AO12"/>
  <c r="AM12" s="1"/>
  <c r="AD12"/>
  <c r="AC12"/>
  <c r="V12"/>
  <c r="AA61" s="1"/>
  <c r="F61" s="1"/>
  <c r="AO11"/>
  <c r="AM11" s="1"/>
  <c r="AD11"/>
  <c r="AC11"/>
  <c r="V11"/>
  <c r="AO10"/>
  <c r="AM10" s="1"/>
  <c r="AD10"/>
  <c r="AK10" s="1"/>
  <c r="AC10"/>
  <c r="V10"/>
  <c r="AO9"/>
  <c r="AM9" s="1"/>
  <c r="AD9"/>
  <c r="AC9"/>
  <c r="AG9" s="1"/>
  <c r="V9"/>
  <c r="AD8"/>
  <c r="AC8"/>
  <c r="N3"/>
  <c r="C48" i="22" s="1"/>
  <c r="X98" i="59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C77"/>
  <c r="X77"/>
  <c r="X76"/>
  <c r="X75"/>
  <c r="X74"/>
  <c r="AD73"/>
  <c r="AC73"/>
  <c r="X73"/>
  <c r="AD72"/>
  <c r="AH72" s="1"/>
  <c r="AC72"/>
  <c r="X72"/>
  <c r="AD71"/>
  <c r="AC71"/>
  <c r="X71"/>
  <c r="AD70"/>
  <c r="AH70" s="1"/>
  <c r="AC70"/>
  <c r="X70"/>
  <c r="X69"/>
  <c r="AZ68"/>
  <c r="X68"/>
  <c r="AZ67"/>
  <c r="X67"/>
  <c r="AZ66"/>
  <c r="AD66"/>
  <c r="AC66"/>
  <c r="X66"/>
  <c r="AZ65"/>
  <c r="AD65"/>
  <c r="AC65"/>
  <c r="X65"/>
  <c r="AZ64"/>
  <c r="AD64"/>
  <c r="AC64"/>
  <c r="X64"/>
  <c r="AZ63"/>
  <c r="AD63"/>
  <c r="AC63"/>
  <c r="X63"/>
  <c r="AZ62"/>
  <c r="AD62"/>
  <c r="AC62"/>
  <c r="Z62"/>
  <c r="D62" s="1"/>
  <c r="F73" s="1"/>
  <c r="X62"/>
  <c r="AZ61"/>
  <c r="AD61"/>
  <c r="AC61"/>
  <c r="AA61"/>
  <c r="F61" s="1"/>
  <c r="X61"/>
  <c r="AZ60"/>
  <c r="AD60"/>
  <c r="AC60"/>
  <c r="X60"/>
  <c r="AZ59"/>
  <c r="AD59"/>
  <c r="AC59"/>
  <c r="X59"/>
  <c r="AZ58"/>
  <c r="BA67" s="1"/>
  <c r="BB67" s="1"/>
  <c r="AA58"/>
  <c r="Z58"/>
  <c r="X58"/>
  <c r="AD55"/>
  <c r="AH55" s="1"/>
  <c r="AC55"/>
  <c r="AO54"/>
  <c r="AM54" s="1"/>
  <c r="AD54"/>
  <c r="AC54"/>
  <c r="V54"/>
  <c r="AO53"/>
  <c r="AM53" s="1"/>
  <c r="AD53"/>
  <c r="AC53"/>
  <c r="AL53" s="1"/>
  <c r="V53"/>
  <c r="AA64" s="1"/>
  <c r="F64" s="1"/>
  <c r="AO52"/>
  <c r="AM52" s="1"/>
  <c r="AD52"/>
  <c r="AC52"/>
  <c r="V52"/>
  <c r="AO51"/>
  <c r="AM51" s="1"/>
  <c r="AD51"/>
  <c r="AC51"/>
  <c r="V51"/>
  <c r="Z66" s="1"/>
  <c r="D66" s="1"/>
  <c r="F72" s="1"/>
  <c r="AD50"/>
  <c r="AC50"/>
  <c r="AD49"/>
  <c r="AH49" s="1"/>
  <c r="AC49"/>
  <c r="AO48"/>
  <c r="AM48" s="1"/>
  <c r="AD48"/>
  <c r="AC48"/>
  <c r="V48"/>
  <c r="AO47"/>
  <c r="AM47" s="1"/>
  <c r="AD47"/>
  <c r="AC47"/>
  <c r="V47"/>
  <c r="AO46"/>
  <c r="AM46" s="1"/>
  <c r="AD46"/>
  <c r="AC46"/>
  <c r="V46"/>
  <c r="AA66" s="1"/>
  <c r="F66" s="1"/>
  <c r="AO45"/>
  <c r="AM45" s="1"/>
  <c r="AD45"/>
  <c r="AC45"/>
  <c r="V45"/>
  <c r="Z64" s="1"/>
  <c r="D64" s="1"/>
  <c r="F70" s="1"/>
  <c r="D77" s="1"/>
  <c r="D82" s="1"/>
  <c r="E92" s="1"/>
  <c r="AD44"/>
  <c r="AC44"/>
  <c r="AD43"/>
  <c r="AH43" s="1"/>
  <c r="AC43"/>
  <c r="AO42"/>
  <c r="AM42" s="1"/>
  <c r="AD42"/>
  <c r="AC42"/>
  <c r="V42"/>
  <c r="AA63" s="1"/>
  <c r="F63" s="1"/>
  <c r="AO41"/>
  <c r="AM41" s="1"/>
  <c r="AD41"/>
  <c r="AC41"/>
  <c r="V41"/>
  <c r="AO40"/>
  <c r="AM40" s="1"/>
  <c r="AD40"/>
  <c r="AC40"/>
  <c r="V40"/>
  <c r="AO39"/>
  <c r="AM39" s="1"/>
  <c r="AD39"/>
  <c r="AC39"/>
  <c r="V39"/>
  <c r="Z65" s="1"/>
  <c r="D65" s="1"/>
  <c r="D72" s="1"/>
  <c r="D78" s="1"/>
  <c r="F86" s="1"/>
  <c r="E90" s="1"/>
  <c r="AD38"/>
  <c r="AC38"/>
  <c r="AD37"/>
  <c r="AH37" s="1"/>
  <c r="AC37"/>
  <c r="AO36"/>
  <c r="AM36" s="1"/>
  <c r="AD36"/>
  <c r="AC36"/>
  <c r="V36"/>
  <c r="AO35"/>
  <c r="AM35" s="1"/>
  <c r="AD35"/>
  <c r="AC35"/>
  <c r="V35"/>
  <c r="Z63" s="1"/>
  <c r="D63" s="1"/>
  <c r="D70" s="1"/>
  <c r="AO34"/>
  <c r="AM34" s="1"/>
  <c r="AD34"/>
  <c r="AH34" s="1"/>
  <c r="AC34"/>
  <c r="AG34" s="1"/>
  <c r="V34"/>
  <c r="AA65" s="1"/>
  <c r="F65" s="1"/>
  <c r="AO33"/>
  <c r="AM33" s="1"/>
  <c r="AD33"/>
  <c r="AH33" s="1"/>
  <c r="AC33"/>
  <c r="V33"/>
  <c r="AD32"/>
  <c r="AH32" s="1"/>
  <c r="AC32"/>
  <c r="AG32" s="1"/>
  <c r="AD31"/>
  <c r="AH31" s="1"/>
  <c r="AC31"/>
  <c r="AO30"/>
  <c r="AM30" s="1"/>
  <c r="AD30"/>
  <c r="AH30" s="1"/>
  <c r="AC30"/>
  <c r="AG30" s="1"/>
  <c r="V30"/>
  <c r="AA60" s="1"/>
  <c r="F60" s="1"/>
  <c r="AO29"/>
  <c r="AM29" s="1"/>
  <c r="AD29"/>
  <c r="AH29" s="1"/>
  <c r="AC29"/>
  <c r="V29"/>
  <c r="AO28"/>
  <c r="AM28" s="1"/>
  <c r="AD28"/>
  <c r="AH28" s="1"/>
  <c r="AC28"/>
  <c r="AG28" s="1"/>
  <c r="V28"/>
  <c r="AO27"/>
  <c r="AM27" s="1"/>
  <c r="AD27"/>
  <c r="AH27" s="1"/>
  <c r="AC27"/>
  <c r="V27"/>
  <c r="AD26"/>
  <c r="AH26" s="1"/>
  <c r="AC26"/>
  <c r="AG26" s="1"/>
  <c r="AD25"/>
  <c r="AH25" s="1"/>
  <c r="AC25"/>
  <c r="AO24"/>
  <c r="AM24" s="1"/>
  <c r="AD24"/>
  <c r="AH24" s="1"/>
  <c r="AC24"/>
  <c r="AG24" s="1"/>
  <c r="V24"/>
  <c r="AO23"/>
  <c r="AM23" s="1"/>
  <c r="AD23"/>
  <c r="AH23" s="1"/>
  <c r="AC23"/>
  <c r="V23"/>
  <c r="AA62" s="1"/>
  <c r="F62" s="1"/>
  <c r="AO22"/>
  <c r="AM22" s="1"/>
  <c r="AD22"/>
  <c r="AH22" s="1"/>
  <c r="AC22"/>
  <c r="AG22" s="1"/>
  <c r="V22"/>
  <c r="AO21"/>
  <c r="AM21" s="1"/>
  <c r="AD21"/>
  <c r="AH21" s="1"/>
  <c r="AC21"/>
  <c r="V21"/>
  <c r="Z60" s="1"/>
  <c r="D60" s="1"/>
  <c r="F71" s="1"/>
  <c r="AD20"/>
  <c r="AH20" s="1"/>
  <c r="AC20"/>
  <c r="AG20" s="1"/>
  <c r="AD19"/>
  <c r="AH19" s="1"/>
  <c r="AC19"/>
  <c r="AO18"/>
  <c r="AM18" s="1"/>
  <c r="AD18"/>
  <c r="AH18" s="1"/>
  <c r="AC18"/>
  <c r="AG18" s="1"/>
  <c r="V18"/>
  <c r="AO17"/>
  <c r="AM17" s="1"/>
  <c r="AD17"/>
  <c r="AH17" s="1"/>
  <c r="AC17"/>
  <c r="V17"/>
  <c r="AA59" s="1"/>
  <c r="F59" s="1"/>
  <c r="AO16"/>
  <c r="AM16" s="1"/>
  <c r="AD16"/>
  <c r="AH16" s="1"/>
  <c r="AC16"/>
  <c r="AG16" s="1"/>
  <c r="V16"/>
  <c r="Z61" s="1"/>
  <c r="D61" s="1"/>
  <c r="D73" s="1"/>
  <c r="F78" s="1"/>
  <c r="F82" s="1"/>
  <c r="E91" s="1"/>
  <c r="AO15"/>
  <c r="AM15" s="1"/>
  <c r="AD15"/>
  <c r="AH15" s="1"/>
  <c r="AC15"/>
  <c r="V15"/>
  <c r="AD14"/>
  <c r="AH14" s="1"/>
  <c r="AC14"/>
  <c r="AG14" s="1"/>
  <c r="AD13"/>
  <c r="AH13" s="1"/>
  <c r="AC13"/>
  <c r="AO12"/>
  <c r="AM12" s="1"/>
  <c r="AD12"/>
  <c r="AH12" s="1"/>
  <c r="AC12"/>
  <c r="AG12" s="1"/>
  <c r="V12"/>
  <c r="AO11"/>
  <c r="AM11" s="1"/>
  <c r="AD11"/>
  <c r="AH11" s="1"/>
  <c r="AC11"/>
  <c r="V11"/>
  <c r="AO10"/>
  <c r="AM10" s="1"/>
  <c r="AD10"/>
  <c r="AH10" s="1"/>
  <c r="AC10"/>
  <c r="AG10" s="1"/>
  <c r="V10"/>
  <c r="AO9"/>
  <c r="AM9" s="1"/>
  <c r="AD9"/>
  <c r="AH9" s="1"/>
  <c r="AC9"/>
  <c r="AG9" s="1"/>
  <c r="V9"/>
  <c r="Z59" s="1"/>
  <c r="D59" s="1"/>
  <c r="D71" s="1"/>
  <c r="F77" s="1"/>
  <c r="D86" s="1"/>
  <c r="E89" s="1"/>
  <c r="AD8"/>
  <c r="AH8" s="1"/>
  <c r="AC8"/>
  <c r="AG8" s="1"/>
  <c r="N3"/>
  <c r="C6" i="22" s="1"/>
  <c r="X98" i="58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H82"/>
  <c r="AD82"/>
  <c r="AC82"/>
  <c r="X82"/>
  <c r="X81"/>
  <c r="X80"/>
  <c r="X79"/>
  <c r="AD78"/>
  <c r="AH78" s="1"/>
  <c r="AC78"/>
  <c r="X78"/>
  <c r="AD77"/>
  <c r="AH77" s="1"/>
  <c r="AC77"/>
  <c r="X77"/>
  <c r="X76"/>
  <c r="X75"/>
  <c r="X74"/>
  <c r="AD73"/>
  <c r="AH73" s="1"/>
  <c r="AC73"/>
  <c r="X73"/>
  <c r="AD72"/>
  <c r="AH72" s="1"/>
  <c r="AC72"/>
  <c r="X72"/>
  <c r="AD71"/>
  <c r="AH71" s="1"/>
  <c r="AC71"/>
  <c r="X71"/>
  <c r="AD70"/>
  <c r="AH70" s="1"/>
  <c r="AC70"/>
  <c r="X70"/>
  <c r="X69"/>
  <c r="AZ68"/>
  <c r="X68"/>
  <c r="AZ67"/>
  <c r="X67"/>
  <c r="AZ66"/>
  <c r="AD66"/>
  <c r="AH66" s="1"/>
  <c r="AC66"/>
  <c r="AG66" s="1"/>
  <c r="X66"/>
  <c r="AZ65"/>
  <c r="AD65"/>
  <c r="AH65" s="1"/>
  <c r="AC65"/>
  <c r="AG65" s="1"/>
  <c r="X65"/>
  <c r="AZ64"/>
  <c r="AD64"/>
  <c r="AH64" s="1"/>
  <c r="AC64"/>
  <c r="X64"/>
  <c r="AZ63"/>
  <c r="AD63"/>
  <c r="AH63" s="1"/>
  <c r="AC63"/>
  <c r="X63"/>
  <c r="AZ62"/>
  <c r="AD62"/>
  <c r="AH62" s="1"/>
  <c r="AC62"/>
  <c r="X62"/>
  <c r="AZ61"/>
  <c r="AD61"/>
  <c r="AH61" s="1"/>
  <c r="AC61"/>
  <c r="X61"/>
  <c r="AZ60"/>
  <c r="AD60"/>
  <c r="AH60" s="1"/>
  <c r="AC60"/>
  <c r="X60"/>
  <c r="AZ59"/>
  <c r="AD59"/>
  <c r="AH59" s="1"/>
  <c r="AC59"/>
  <c r="X59"/>
  <c r="AZ58"/>
  <c r="BA67" s="1"/>
  <c r="BB67" s="1"/>
  <c r="AA58"/>
  <c r="Z58"/>
  <c r="X58"/>
  <c r="AD55"/>
  <c r="AH55" s="1"/>
  <c r="AC55"/>
  <c r="AO54"/>
  <c r="AM54" s="1"/>
  <c r="AD54"/>
  <c r="AH54" s="1"/>
  <c r="AC54"/>
  <c r="V54"/>
  <c r="AO53"/>
  <c r="AM53" s="1"/>
  <c r="AD53"/>
  <c r="AH53" s="1"/>
  <c r="AC53"/>
  <c r="AL53" s="1"/>
  <c r="V53"/>
  <c r="AA64" s="1"/>
  <c r="F64" s="1"/>
  <c r="AO52"/>
  <c r="AM52" s="1"/>
  <c r="AD52"/>
  <c r="AH52" s="1"/>
  <c r="AC52"/>
  <c r="V52"/>
  <c r="AO51"/>
  <c r="AM51" s="1"/>
  <c r="AD51"/>
  <c r="AH51" s="1"/>
  <c r="AC51"/>
  <c r="V51"/>
  <c r="Z66" s="1"/>
  <c r="D66" s="1"/>
  <c r="F72" s="1"/>
  <c r="AD50"/>
  <c r="AH50" s="1"/>
  <c r="AC50"/>
  <c r="AD49"/>
  <c r="AH49" s="1"/>
  <c r="AC49"/>
  <c r="AO48"/>
  <c r="AM48" s="1"/>
  <c r="AD48"/>
  <c r="AH48" s="1"/>
  <c r="AC48"/>
  <c r="V48"/>
  <c r="AO47"/>
  <c r="AM47" s="1"/>
  <c r="AD47"/>
  <c r="AH47" s="1"/>
  <c r="AC47"/>
  <c r="V47"/>
  <c r="AO46"/>
  <c r="AM46" s="1"/>
  <c r="AD46"/>
  <c r="AH46" s="1"/>
  <c r="AC46"/>
  <c r="V46"/>
  <c r="AA66" s="1"/>
  <c r="F66" s="1"/>
  <c r="AO45"/>
  <c r="AM45" s="1"/>
  <c r="AD45"/>
  <c r="AH45" s="1"/>
  <c r="AC45"/>
  <c r="V45"/>
  <c r="Z64" s="1"/>
  <c r="D64" s="1"/>
  <c r="F70" s="1"/>
  <c r="D77" s="1"/>
  <c r="D82" s="1"/>
  <c r="E92" s="1"/>
  <c r="AD44"/>
  <c r="AH44" s="1"/>
  <c r="AC44"/>
  <c r="AD43"/>
  <c r="AH43" s="1"/>
  <c r="AC43"/>
  <c r="AO42"/>
  <c r="AM42" s="1"/>
  <c r="AD42"/>
  <c r="AH42" s="1"/>
  <c r="AC42"/>
  <c r="V42"/>
  <c r="AA63" s="1"/>
  <c r="F63" s="1"/>
  <c r="AO41"/>
  <c r="AM41" s="1"/>
  <c r="AD41"/>
  <c r="AH41" s="1"/>
  <c r="AC41"/>
  <c r="V41"/>
  <c r="AO40"/>
  <c r="AM40" s="1"/>
  <c r="AD40"/>
  <c r="AH40" s="1"/>
  <c r="AC40"/>
  <c r="V40"/>
  <c r="AO39"/>
  <c r="AM39" s="1"/>
  <c r="AD39"/>
  <c r="AH39" s="1"/>
  <c r="AC39"/>
  <c r="V39"/>
  <c r="Z65" s="1"/>
  <c r="D65" s="1"/>
  <c r="D72" s="1"/>
  <c r="D78" s="1"/>
  <c r="F82" s="1"/>
  <c r="E91" s="1"/>
  <c r="AD38"/>
  <c r="AH38" s="1"/>
  <c r="AC38"/>
  <c r="AD37"/>
  <c r="AH37" s="1"/>
  <c r="AC37"/>
  <c r="AO36"/>
  <c r="AM36" s="1"/>
  <c r="AD36"/>
  <c r="AH36" s="1"/>
  <c r="AC36"/>
  <c r="V36"/>
  <c r="AO35"/>
  <c r="AM35" s="1"/>
  <c r="AD35"/>
  <c r="AH35" s="1"/>
  <c r="AC35"/>
  <c r="V35"/>
  <c r="Z63" s="1"/>
  <c r="D63" s="1"/>
  <c r="D70" s="1"/>
  <c r="AO34"/>
  <c r="AM34" s="1"/>
  <c r="AD34"/>
  <c r="AH34" s="1"/>
  <c r="AC34"/>
  <c r="V34"/>
  <c r="AO33"/>
  <c r="AM33" s="1"/>
  <c r="AD33"/>
  <c r="AH33" s="1"/>
  <c r="AC33"/>
  <c r="V33"/>
  <c r="AA65" s="1"/>
  <c r="F65" s="1"/>
  <c r="AD32"/>
  <c r="AH32" s="1"/>
  <c r="AC32"/>
  <c r="AD31"/>
  <c r="AH31" s="1"/>
  <c r="AC31"/>
  <c r="AO30"/>
  <c r="AM30" s="1"/>
  <c r="AD30"/>
  <c r="AH30" s="1"/>
  <c r="AC30"/>
  <c r="V30"/>
  <c r="Z62" s="1"/>
  <c r="D62" s="1"/>
  <c r="AO29"/>
  <c r="AM29" s="1"/>
  <c r="AD29"/>
  <c r="AH29" s="1"/>
  <c r="AC29"/>
  <c r="V29"/>
  <c r="AO28"/>
  <c r="AM28" s="1"/>
  <c r="AD28"/>
  <c r="AH28" s="1"/>
  <c r="AC28"/>
  <c r="V28"/>
  <c r="AO27"/>
  <c r="AM27" s="1"/>
  <c r="AD27"/>
  <c r="AH27" s="1"/>
  <c r="AC27"/>
  <c r="AL27" s="1"/>
  <c r="V27"/>
  <c r="AA60" s="1"/>
  <c r="F60" s="1"/>
  <c r="F71" s="1"/>
  <c r="AD26"/>
  <c r="AH26" s="1"/>
  <c r="AC26"/>
  <c r="AD25"/>
  <c r="AH25" s="1"/>
  <c r="AC25"/>
  <c r="AO24"/>
  <c r="AM24" s="1"/>
  <c r="AD24"/>
  <c r="AH24" s="1"/>
  <c r="AC24"/>
  <c r="V24"/>
  <c r="Z60" s="1"/>
  <c r="D60" s="1"/>
  <c r="AO23"/>
  <c r="AM23" s="1"/>
  <c r="AD23"/>
  <c r="AH23" s="1"/>
  <c r="AC23"/>
  <c r="V23"/>
  <c r="AO22"/>
  <c r="AM22" s="1"/>
  <c r="AD22"/>
  <c r="AH22" s="1"/>
  <c r="AC22"/>
  <c r="V22"/>
  <c r="AO21"/>
  <c r="AM21" s="1"/>
  <c r="AD21"/>
  <c r="AH21" s="1"/>
  <c r="AC21"/>
  <c r="V21"/>
  <c r="AA62" s="1"/>
  <c r="F62" s="1"/>
  <c r="F73" s="1"/>
  <c r="AD20"/>
  <c r="AH20" s="1"/>
  <c r="AC20"/>
  <c r="AD19"/>
  <c r="AH19" s="1"/>
  <c r="AC19"/>
  <c r="AO18"/>
  <c r="AM18" s="1"/>
  <c r="AD18"/>
  <c r="AH18" s="1"/>
  <c r="AC18"/>
  <c r="V18"/>
  <c r="AO17"/>
  <c r="AM17" s="1"/>
  <c r="AD17"/>
  <c r="AH17" s="1"/>
  <c r="AC17"/>
  <c r="V17"/>
  <c r="AO16"/>
  <c r="AM16" s="1"/>
  <c r="AD16"/>
  <c r="AH16" s="1"/>
  <c r="AC16"/>
  <c r="V16"/>
  <c r="AA59" s="1"/>
  <c r="F59" s="1"/>
  <c r="AO15"/>
  <c r="AM15" s="1"/>
  <c r="AD15"/>
  <c r="AH15" s="1"/>
  <c r="AC15"/>
  <c r="V15"/>
  <c r="Z61" s="1"/>
  <c r="D61" s="1"/>
  <c r="D73" s="1"/>
  <c r="F78" s="1"/>
  <c r="F86" s="1"/>
  <c r="E90" s="1"/>
  <c r="AD14"/>
  <c r="AH14" s="1"/>
  <c r="AC14"/>
  <c r="AD13"/>
  <c r="AH13" s="1"/>
  <c r="AC13"/>
  <c r="AO12"/>
  <c r="AM12" s="1"/>
  <c r="AD12"/>
  <c r="AH12" s="1"/>
  <c r="AC12"/>
  <c r="V12"/>
  <c r="AO11"/>
  <c r="AM11" s="1"/>
  <c r="AD11"/>
  <c r="AH11" s="1"/>
  <c r="AC11"/>
  <c r="V11"/>
  <c r="AO10"/>
  <c r="AM10" s="1"/>
  <c r="AD10"/>
  <c r="AH10" s="1"/>
  <c r="AC10"/>
  <c r="AG10" s="1"/>
  <c r="V10"/>
  <c r="AA61" s="1"/>
  <c r="F61" s="1"/>
  <c r="AO9"/>
  <c r="AM9" s="1"/>
  <c r="AD9"/>
  <c r="AH9" s="1"/>
  <c r="AC9"/>
  <c r="AG9" s="1"/>
  <c r="V9"/>
  <c r="Z59" s="1"/>
  <c r="D59" s="1"/>
  <c r="D71" s="1"/>
  <c r="F77" s="1"/>
  <c r="D86" s="1"/>
  <c r="E89" s="1"/>
  <c r="AD8"/>
  <c r="AH8" s="1"/>
  <c r="AC8"/>
  <c r="AG8" s="1"/>
  <c r="N3"/>
  <c r="C24" i="22" s="1"/>
  <c r="X98" i="57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AG77" s="1"/>
  <c r="X77"/>
  <c r="X76"/>
  <c r="X75"/>
  <c r="X74"/>
  <c r="AD73"/>
  <c r="AH73" s="1"/>
  <c r="AC73"/>
  <c r="AG73" s="1"/>
  <c r="X73"/>
  <c r="AD72"/>
  <c r="AH72" s="1"/>
  <c r="AC72"/>
  <c r="X72"/>
  <c r="AD71"/>
  <c r="AH71" s="1"/>
  <c r="AC71"/>
  <c r="AG71" s="1"/>
  <c r="X71"/>
  <c r="AD70"/>
  <c r="AH70" s="1"/>
  <c r="AC70"/>
  <c r="X70"/>
  <c r="X69"/>
  <c r="AZ68"/>
  <c r="X68"/>
  <c r="AZ67"/>
  <c r="X67"/>
  <c r="AZ66"/>
  <c r="AD66"/>
  <c r="AH66" s="1"/>
  <c r="AC66"/>
  <c r="X66"/>
  <c r="AZ65"/>
  <c r="AD65"/>
  <c r="AH65" s="1"/>
  <c r="AC65"/>
  <c r="X65"/>
  <c r="AZ64"/>
  <c r="AD64"/>
  <c r="AH64" s="1"/>
  <c r="AC64"/>
  <c r="X64"/>
  <c r="AZ63"/>
  <c r="AD63"/>
  <c r="AH63" s="1"/>
  <c r="AC63"/>
  <c r="X63"/>
  <c r="AZ62"/>
  <c r="AD62"/>
  <c r="AH62" s="1"/>
  <c r="AC62"/>
  <c r="X62"/>
  <c r="AZ61"/>
  <c r="AD61"/>
  <c r="AH61" s="1"/>
  <c r="AC61"/>
  <c r="X61"/>
  <c r="AZ60"/>
  <c r="AD60"/>
  <c r="AH60" s="1"/>
  <c r="AC60"/>
  <c r="X60"/>
  <c r="AZ59"/>
  <c r="AD59"/>
  <c r="AH59" s="1"/>
  <c r="AC59"/>
  <c r="X59"/>
  <c r="BA58"/>
  <c r="AZ58"/>
  <c r="AA58"/>
  <c r="Z58"/>
  <c r="X58"/>
  <c r="AD55"/>
  <c r="AH55" s="1"/>
  <c r="AC55"/>
  <c r="AO54"/>
  <c r="AM54" s="1"/>
  <c r="AD54"/>
  <c r="AH54" s="1"/>
  <c r="AC54"/>
  <c r="V54"/>
  <c r="AA64" s="1"/>
  <c r="F64" s="1"/>
  <c r="AO53"/>
  <c r="AM53" s="1"/>
  <c r="AD53"/>
  <c r="AH53" s="1"/>
  <c r="AC53"/>
  <c r="AG53" s="1"/>
  <c r="V53"/>
  <c r="AO52"/>
  <c r="AM52" s="1"/>
  <c r="AD52"/>
  <c r="AH52" s="1"/>
  <c r="AC52"/>
  <c r="V52"/>
  <c r="AO51"/>
  <c r="AM51" s="1"/>
  <c r="AD51"/>
  <c r="AH51" s="1"/>
  <c r="AC51"/>
  <c r="AG51" s="1"/>
  <c r="V51"/>
  <c r="Z66" s="1"/>
  <c r="D66" s="1"/>
  <c r="AD50"/>
  <c r="AH50" s="1"/>
  <c r="AC50"/>
  <c r="AD49"/>
  <c r="AH49" s="1"/>
  <c r="AC49"/>
  <c r="AO48"/>
  <c r="AM48" s="1"/>
  <c r="AD48"/>
  <c r="AH48" s="1"/>
  <c r="AC48"/>
  <c r="V48"/>
  <c r="AO47"/>
  <c r="AM47" s="1"/>
  <c r="AD47"/>
  <c r="AH47" s="1"/>
  <c r="AC47"/>
  <c r="AG47" s="1"/>
  <c r="V47"/>
  <c r="AO46"/>
  <c r="AM46" s="1"/>
  <c r="AD46"/>
  <c r="AH46" s="1"/>
  <c r="AC46"/>
  <c r="V46"/>
  <c r="AA66" s="1"/>
  <c r="F66" s="1"/>
  <c r="F72" s="1"/>
  <c r="D78" s="1"/>
  <c r="F82" s="1"/>
  <c r="E92" s="1"/>
  <c r="AO45"/>
  <c r="AM45" s="1"/>
  <c r="AD45"/>
  <c r="AH45" s="1"/>
  <c r="AC45"/>
  <c r="AG45" s="1"/>
  <c r="V45"/>
  <c r="Z64" s="1"/>
  <c r="D64" s="1"/>
  <c r="F70" s="1"/>
  <c r="D77" s="1"/>
  <c r="D82" s="1"/>
  <c r="E91" s="1"/>
  <c r="AD44"/>
  <c r="AH44" s="1"/>
  <c r="AC44"/>
  <c r="AD43"/>
  <c r="AH43" s="1"/>
  <c r="AC43"/>
  <c r="AO42"/>
  <c r="AM42" s="1"/>
  <c r="AD42"/>
  <c r="AH42" s="1"/>
  <c r="AC42"/>
  <c r="V42"/>
  <c r="AA63" s="1"/>
  <c r="F63" s="1"/>
  <c r="AO41"/>
  <c r="AM41" s="1"/>
  <c r="AD41"/>
  <c r="AH41" s="1"/>
  <c r="AC41"/>
  <c r="AL41" s="1"/>
  <c r="V41"/>
  <c r="AO40"/>
  <c r="AM40" s="1"/>
  <c r="AD40"/>
  <c r="AH40" s="1"/>
  <c r="AC40"/>
  <c r="V40"/>
  <c r="AO39"/>
  <c r="AM39" s="1"/>
  <c r="AD39"/>
  <c r="AH39" s="1"/>
  <c r="AC39"/>
  <c r="V39"/>
  <c r="Z65" s="1"/>
  <c r="D65" s="1"/>
  <c r="D72" s="1"/>
  <c r="AD38"/>
  <c r="AH38" s="1"/>
  <c r="AC38"/>
  <c r="AD37"/>
  <c r="AH37" s="1"/>
  <c r="AC37"/>
  <c r="AO36"/>
  <c r="AM36" s="1"/>
  <c r="AD36"/>
  <c r="AH36" s="1"/>
  <c r="AC36"/>
  <c r="V36"/>
  <c r="AO35"/>
  <c r="AM35" s="1"/>
  <c r="AD35"/>
  <c r="AH35" s="1"/>
  <c r="AC35"/>
  <c r="V35"/>
  <c r="Z63" s="1"/>
  <c r="D63" s="1"/>
  <c r="D70" s="1"/>
  <c r="AO34"/>
  <c r="AM34" s="1"/>
  <c r="AD34"/>
  <c r="AH34" s="1"/>
  <c r="AC34"/>
  <c r="V34"/>
  <c r="AA65" s="1"/>
  <c r="F65" s="1"/>
  <c r="AO33"/>
  <c r="AM33"/>
  <c r="AD33"/>
  <c r="AH33" s="1"/>
  <c r="AC33"/>
  <c r="V33"/>
  <c r="AD32"/>
  <c r="AH32" s="1"/>
  <c r="AC32"/>
  <c r="AD31"/>
  <c r="AH31" s="1"/>
  <c r="AC31"/>
  <c r="AO30"/>
  <c r="AM30" s="1"/>
  <c r="AD30"/>
  <c r="AH30" s="1"/>
  <c r="AC30"/>
  <c r="V30"/>
  <c r="AA60" s="1"/>
  <c r="F60" s="1"/>
  <c r="F71" s="1"/>
  <c r="AO29"/>
  <c r="AM29" s="1"/>
  <c r="AD29"/>
  <c r="AH29" s="1"/>
  <c r="AC29"/>
  <c r="V29"/>
  <c r="Z62" s="1"/>
  <c r="D62" s="1"/>
  <c r="F73" s="1"/>
  <c r="AO28"/>
  <c r="AM28" s="1"/>
  <c r="AD28"/>
  <c r="AH28" s="1"/>
  <c r="AC28"/>
  <c r="V28"/>
  <c r="AO27"/>
  <c r="AM27" s="1"/>
  <c r="AD27"/>
  <c r="AH27" s="1"/>
  <c r="AC27"/>
  <c r="V27"/>
  <c r="AD26"/>
  <c r="AH26" s="1"/>
  <c r="AC26"/>
  <c r="AD25"/>
  <c r="AH25" s="1"/>
  <c r="AC25"/>
  <c r="AO24"/>
  <c r="AM24" s="1"/>
  <c r="AD24"/>
  <c r="AH24" s="1"/>
  <c r="AC24"/>
  <c r="V24"/>
  <c r="AO23"/>
  <c r="AM23" s="1"/>
  <c r="AD23"/>
  <c r="AH23" s="1"/>
  <c r="AC23"/>
  <c r="V23"/>
  <c r="Z60" s="1"/>
  <c r="D60" s="1"/>
  <c r="AO22"/>
  <c r="AM22" s="1"/>
  <c r="AD22"/>
  <c r="AH22" s="1"/>
  <c r="AC22"/>
  <c r="V22"/>
  <c r="AA62" s="1"/>
  <c r="F62" s="1"/>
  <c r="AO21"/>
  <c r="AM21" s="1"/>
  <c r="AD21"/>
  <c r="AH21" s="1"/>
  <c r="AC21"/>
  <c r="V21"/>
  <c r="AD20"/>
  <c r="AH20" s="1"/>
  <c r="AC20"/>
  <c r="AD19"/>
  <c r="AH19" s="1"/>
  <c r="AC19"/>
  <c r="AO18"/>
  <c r="AM18" s="1"/>
  <c r="AD18"/>
  <c r="AH18" s="1"/>
  <c r="AC18"/>
  <c r="V18"/>
  <c r="AO17"/>
  <c r="AM17" s="1"/>
  <c r="AD17"/>
  <c r="AH17" s="1"/>
  <c r="AC17"/>
  <c r="V17"/>
  <c r="AO16"/>
  <c r="AM16" s="1"/>
  <c r="AD16"/>
  <c r="AH16" s="1"/>
  <c r="AC16"/>
  <c r="V16"/>
  <c r="AA59" s="1"/>
  <c r="F59" s="1"/>
  <c r="AO15"/>
  <c r="AM15" s="1"/>
  <c r="AD15"/>
  <c r="AH15" s="1"/>
  <c r="AC15"/>
  <c r="V15"/>
  <c r="Z61" s="1"/>
  <c r="D61" s="1"/>
  <c r="D73" s="1"/>
  <c r="F78" s="1"/>
  <c r="F86" s="1"/>
  <c r="E90" s="1"/>
  <c r="AD14"/>
  <c r="AH14" s="1"/>
  <c r="AC14"/>
  <c r="AD13"/>
  <c r="AH13" s="1"/>
  <c r="AC13"/>
  <c r="AO12"/>
  <c r="AM12" s="1"/>
  <c r="AD12"/>
  <c r="AH12" s="1"/>
  <c r="AC12"/>
  <c r="V12"/>
  <c r="AO11"/>
  <c r="AM11" s="1"/>
  <c r="AD11"/>
  <c r="AH11" s="1"/>
  <c r="AC11"/>
  <c r="AL11" s="1"/>
  <c r="V11"/>
  <c r="AO10"/>
  <c r="AM10" s="1"/>
  <c r="AD10"/>
  <c r="AH10" s="1"/>
  <c r="AC10"/>
  <c r="V10"/>
  <c r="AA61" s="1"/>
  <c r="F61" s="1"/>
  <c r="AO9"/>
  <c r="AM9" s="1"/>
  <c r="AD9"/>
  <c r="AH9" s="1"/>
  <c r="AC9"/>
  <c r="AG9" s="1"/>
  <c r="V9"/>
  <c r="Z59" s="1"/>
  <c r="D59" s="1"/>
  <c r="D71" s="1"/>
  <c r="F77" s="1"/>
  <c r="D86" s="1"/>
  <c r="E89" s="1"/>
  <c r="AD8"/>
  <c r="AH8" s="1"/>
  <c r="AC8"/>
  <c r="N3"/>
  <c r="C67" i="22" s="1"/>
  <c r="X98" i="56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X77"/>
  <c r="X76"/>
  <c r="X75"/>
  <c r="X74"/>
  <c r="AD73"/>
  <c r="AH73" s="1"/>
  <c r="AC73"/>
  <c r="X73"/>
  <c r="AD72"/>
  <c r="AH72" s="1"/>
  <c r="AC72"/>
  <c r="X72"/>
  <c r="AD71"/>
  <c r="AH71" s="1"/>
  <c r="AC71"/>
  <c r="X71"/>
  <c r="AD70"/>
  <c r="AH70" s="1"/>
  <c r="AC70"/>
  <c r="X70"/>
  <c r="X69"/>
  <c r="AZ68"/>
  <c r="X68"/>
  <c r="AZ67"/>
  <c r="X67"/>
  <c r="AZ66"/>
  <c r="AD66"/>
  <c r="AH66" s="1"/>
  <c r="AC66"/>
  <c r="X66"/>
  <c r="AZ65"/>
  <c r="AD65"/>
  <c r="AH65" s="1"/>
  <c r="AC65"/>
  <c r="X65"/>
  <c r="AZ64"/>
  <c r="AD64"/>
  <c r="AH64" s="1"/>
  <c r="AC64"/>
  <c r="X64"/>
  <c r="AZ63"/>
  <c r="AD63"/>
  <c r="AH63" s="1"/>
  <c r="AC63"/>
  <c r="X63"/>
  <c r="AZ62"/>
  <c r="AD62"/>
  <c r="AH62" s="1"/>
  <c r="AC62"/>
  <c r="X62"/>
  <c r="AZ61"/>
  <c r="AD61"/>
  <c r="AH61" s="1"/>
  <c r="AC61"/>
  <c r="X61"/>
  <c r="AZ60"/>
  <c r="AD60"/>
  <c r="AH60" s="1"/>
  <c r="AC60"/>
  <c r="X60"/>
  <c r="AZ59"/>
  <c r="AD59"/>
  <c r="AH59" s="1"/>
  <c r="AC59"/>
  <c r="X59"/>
  <c r="BA58"/>
  <c r="BB58" s="1"/>
  <c r="AZ58"/>
  <c r="BA68" s="1"/>
  <c r="BB68" s="1"/>
  <c r="AA58"/>
  <c r="Z58"/>
  <c r="X58"/>
  <c r="AD55"/>
  <c r="AH55" s="1"/>
  <c r="AC55"/>
  <c r="AO54"/>
  <c r="AM54" s="1"/>
  <c r="AD54"/>
  <c r="AH54" s="1"/>
  <c r="AC54"/>
  <c r="V54"/>
  <c r="AO53"/>
  <c r="AM53" s="1"/>
  <c r="AD53"/>
  <c r="AH53" s="1"/>
  <c r="AC53"/>
  <c r="AL53" s="1"/>
  <c r="V53"/>
  <c r="AA64" s="1"/>
  <c r="F64" s="1"/>
  <c r="AO52"/>
  <c r="AM52" s="1"/>
  <c r="AD52"/>
  <c r="AH52" s="1"/>
  <c r="AC52"/>
  <c r="V52"/>
  <c r="AO51"/>
  <c r="AM51" s="1"/>
  <c r="AD51"/>
  <c r="AH51" s="1"/>
  <c r="AC51"/>
  <c r="V51"/>
  <c r="Z66" s="1"/>
  <c r="D66" s="1"/>
  <c r="F72" s="1"/>
  <c r="D78" s="1"/>
  <c r="F86" s="1"/>
  <c r="E89" s="1"/>
  <c r="AD50"/>
  <c r="AH50" s="1"/>
  <c r="AC50"/>
  <c r="AD49"/>
  <c r="AH49" s="1"/>
  <c r="AC49"/>
  <c r="AO48"/>
  <c r="AM48" s="1"/>
  <c r="AD48"/>
  <c r="AH48" s="1"/>
  <c r="AC48"/>
  <c r="V48"/>
  <c r="AO47"/>
  <c r="AM47" s="1"/>
  <c r="AD47"/>
  <c r="AH47" s="1"/>
  <c r="AC47"/>
  <c r="V47"/>
  <c r="AO46"/>
  <c r="AM46" s="1"/>
  <c r="AD46"/>
  <c r="AH46" s="1"/>
  <c r="AC46"/>
  <c r="V46"/>
  <c r="AA66" s="1"/>
  <c r="F66" s="1"/>
  <c r="AO45"/>
  <c r="AM45" s="1"/>
  <c r="AD45"/>
  <c r="AH45" s="1"/>
  <c r="AC45"/>
  <c r="V45"/>
  <c r="Z64" s="1"/>
  <c r="D64" s="1"/>
  <c r="F70" s="1"/>
  <c r="D77" s="1"/>
  <c r="D86" s="1"/>
  <c r="E90" s="1"/>
  <c r="AD44"/>
  <c r="AH44" s="1"/>
  <c r="AC44"/>
  <c r="AD43"/>
  <c r="AH43" s="1"/>
  <c r="AC43"/>
  <c r="AO42"/>
  <c r="AM42" s="1"/>
  <c r="AD42"/>
  <c r="AH42" s="1"/>
  <c r="AC42"/>
  <c r="V42"/>
  <c r="AA63" s="1"/>
  <c r="F63" s="1"/>
  <c r="AO41"/>
  <c r="AM41" s="1"/>
  <c r="AD41"/>
  <c r="AH41" s="1"/>
  <c r="AC41"/>
  <c r="V41"/>
  <c r="AO40"/>
  <c r="AM40" s="1"/>
  <c r="AD40"/>
  <c r="AH40" s="1"/>
  <c r="AC40"/>
  <c r="V40"/>
  <c r="AO39"/>
  <c r="AM39" s="1"/>
  <c r="AD39"/>
  <c r="AH39" s="1"/>
  <c r="AC39"/>
  <c r="V39"/>
  <c r="Z65" s="1"/>
  <c r="D65" s="1"/>
  <c r="D72" s="1"/>
  <c r="AD38"/>
  <c r="AH38" s="1"/>
  <c r="AC38"/>
  <c r="AD37"/>
  <c r="AH37" s="1"/>
  <c r="AC37"/>
  <c r="AO36"/>
  <c r="AM36" s="1"/>
  <c r="AD36"/>
  <c r="AH36" s="1"/>
  <c r="AC36"/>
  <c r="V36"/>
  <c r="AO35"/>
  <c r="AM35" s="1"/>
  <c r="AD35"/>
  <c r="AH35" s="1"/>
  <c r="AC35"/>
  <c r="AL35" s="1"/>
  <c r="V35"/>
  <c r="Z63" s="1"/>
  <c r="D63" s="1"/>
  <c r="D70" s="1"/>
  <c r="AO34"/>
  <c r="AM34" s="1"/>
  <c r="AD34"/>
  <c r="AH34" s="1"/>
  <c r="AC34"/>
  <c r="AL34" s="1"/>
  <c r="V34"/>
  <c r="AO33"/>
  <c r="AM33" s="1"/>
  <c r="AD33"/>
  <c r="AH33" s="1"/>
  <c r="AC33"/>
  <c r="V33"/>
  <c r="AA65" s="1"/>
  <c r="F65" s="1"/>
  <c r="AD32"/>
  <c r="AH32" s="1"/>
  <c r="AC32"/>
  <c r="AD31"/>
  <c r="AH31" s="1"/>
  <c r="AC31"/>
  <c r="AO30"/>
  <c r="AM30" s="1"/>
  <c r="AD30"/>
  <c r="AH30" s="1"/>
  <c r="AC30"/>
  <c r="V30"/>
  <c r="Z62" s="1"/>
  <c r="D62" s="1"/>
  <c r="F73" s="1"/>
  <c r="F78" s="1"/>
  <c r="F82" s="1"/>
  <c r="E92" s="1"/>
  <c r="AO29"/>
  <c r="AM29" s="1"/>
  <c r="AD29"/>
  <c r="AH29" s="1"/>
  <c r="AC29"/>
  <c r="V29"/>
  <c r="AO28"/>
  <c r="AM28" s="1"/>
  <c r="AD28"/>
  <c r="AH28" s="1"/>
  <c r="AC28"/>
  <c r="V28"/>
  <c r="AO27"/>
  <c r="AM27" s="1"/>
  <c r="AD27"/>
  <c r="AH27" s="1"/>
  <c r="AC27"/>
  <c r="V27"/>
  <c r="AA60" s="1"/>
  <c r="F60" s="1"/>
  <c r="F71" s="1"/>
  <c r="AD26"/>
  <c r="AH26" s="1"/>
  <c r="AC26"/>
  <c r="AD25"/>
  <c r="AH25" s="1"/>
  <c r="AC25"/>
  <c r="AO24"/>
  <c r="AM24" s="1"/>
  <c r="AD24"/>
  <c r="AH24" s="1"/>
  <c r="AC24"/>
  <c r="V24"/>
  <c r="AA62" s="1"/>
  <c r="F62" s="1"/>
  <c r="AO23"/>
  <c r="AM23" s="1"/>
  <c r="AD23"/>
  <c r="AH23" s="1"/>
  <c r="AC23"/>
  <c r="AL23" s="1"/>
  <c r="V23"/>
  <c r="Z60" s="1"/>
  <c r="D60" s="1"/>
  <c r="AO22"/>
  <c r="AM22" s="1"/>
  <c r="AD22"/>
  <c r="AH22" s="1"/>
  <c r="AC22"/>
  <c r="AL22" s="1"/>
  <c r="V22"/>
  <c r="AO21"/>
  <c r="AM21" s="1"/>
  <c r="AD21"/>
  <c r="AH21" s="1"/>
  <c r="AC21"/>
  <c r="V21"/>
  <c r="AD20"/>
  <c r="AH20" s="1"/>
  <c r="AC20"/>
  <c r="AD19"/>
  <c r="AH19" s="1"/>
  <c r="AC19"/>
  <c r="AO18"/>
  <c r="AM18" s="1"/>
  <c r="AD18"/>
  <c r="AH18" s="1"/>
  <c r="AC18"/>
  <c r="V18"/>
  <c r="AO17"/>
  <c r="AM17" s="1"/>
  <c r="AD17"/>
  <c r="AH17" s="1"/>
  <c r="AC17"/>
  <c r="V17"/>
  <c r="AO16"/>
  <c r="AM16" s="1"/>
  <c r="AD16"/>
  <c r="AH16" s="1"/>
  <c r="AC16"/>
  <c r="V16"/>
  <c r="AA59" s="1"/>
  <c r="F59" s="1"/>
  <c r="AO15"/>
  <c r="AM15" s="1"/>
  <c r="AD15"/>
  <c r="AH15" s="1"/>
  <c r="AC15"/>
  <c r="V15"/>
  <c r="Z61" s="1"/>
  <c r="D61" s="1"/>
  <c r="D73" s="1"/>
  <c r="AD14"/>
  <c r="AH14" s="1"/>
  <c r="AC14"/>
  <c r="AD13"/>
  <c r="AH13" s="1"/>
  <c r="AC13"/>
  <c r="AO12"/>
  <c r="AM12" s="1"/>
  <c r="AD12"/>
  <c r="AH12" s="1"/>
  <c r="AC12"/>
  <c r="V12"/>
  <c r="AO11"/>
  <c r="AM11" s="1"/>
  <c r="AD11"/>
  <c r="AH11" s="1"/>
  <c r="AC11"/>
  <c r="AL11" s="1"/>
  <c r="V11"/>
  <c r="AO10"/>
  <c r="AM10" s="1"/>
  <c r="AD10"/>
  <c r="AH10" s="1"/>
  <c r="AC10"/>
  <c r="V10"/>
  <c r="AA61" s="1"/>
  <c r="F61" s="1"/>
  <c r="AO9"/>
  <c r="AM9" s="1"/>
  <c r="AD9"/>
  <c r="AH9" s="1"/>
  <c r="AC9"/>
  <c r="AG9" s="1"/>
  <c r="V9"/>
  <c r="Z59" s="1"/>
  <c r="D59" s="1"/>
  <c r="D71" s="1"/>
  <c r="F77" s="1"/>
  <c r="D82" s="1"/>
  <c r="E91" s="1"/>
  <c r="AD8"/>
  <c r="AH8" s="1"/>
  <c r="AC8"/>
  <c r="N3"/>
  <c r="C31" i="22" s="1"/>
  <c r="L55" i="49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Q12"/>
  <c r="P12"/>
  <c r="R12" s="1"/>
  <c r="L12"/>
  <c r="S22" s="1"/>
  <c r="K12"/>
  <c r="S21" s="1"/>
  <c r="J12"/>
  <c r="S11"/>
  <c r="Q11"/>
  <c r="P11"/>
  <c r="R11" s="1"/>
  <c r="L11"/>
  <c r="S18" s="1"/>
  <c r="K11"/>
  <c r="S17" s="1"/>
  <c r="J11"/>
  <c r="Q10"/>
  <c r="P10"/>
  <c r="R10" s="1"/>
  <c r="L10"/>
  <c r="S16" s="1"/>
  <c r="K10"/>
  <c r="S15" s="1"/>
  <c r="J10"/>
  <c r="Q9"/>
  <c r="P9"/>
  <c r="R9" s="1"/>
  <c r="L9"/>
  <c r="S12" s="1"/>
  <c r="K9"/>
  <c r="J9"/>
  <c r="L8"/>
  <c r="S10" s="1"/>
  <c r="K8"/>
  <c r="S9" s="1"/>
  <c r="J8"/>
  <c r="C49" i="22"/>
  <c r="L55" i="48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S24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S18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K15"/>
  <c r="S23" s="1"/>
  <c r="J15"/>
  <c r="L14"/>
  <c r="S30" s="1"/>
  <c r="K14"/>
  <c r="S29" s="1"/>
  <c r="J14"/>
  <c r="L13"/>
  <c r="S28" s="1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L55" i="47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S18" s="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C79" i="22"/>
  <c r="L55" i="46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Q12"/>
  <c r="P12"/>
  <c r="R12" s="1"/>
  <c r="L12"/>
  <c r="S22" s="1"/>
  <c r="K12"/>
  <c r="S21" s="1"/>
  <c r="J12"/>
  <c r="Q11"/>
  <c r="P11"/>
  <c r="R11" s="1"/>
  <c r="L11"/>
  <c r="S18" s="1"/>
  <c r="K11"/>
  <c r="S17" s="1"/>
  <c r="J11"/>
  <c r="Q10"/>
  <c r="P10"/>
  <c r="R10" s="1"/>
  <c r="L10"/>
  <c r="S16" s="1"/>
  <c r="K10"/>
  <c r="S15" s="1"/>
  <c r="J10"/>
  <c r="Q9"/>
  <c r="P9"/>
  <c r="R9" s="1"/>
  <c r="L9"/>
  <c r="S12" s="1"/>
  <c r="K9"/>
  <c r="S11" s="1"/>
  <c r="J9"/>
  <c r="L8"/>
  <c r="S10" s="1"/>
  <c r="K8"/>
  <c r="S9" s="1"/>
  <c r="J8"/>
  <c r="L55" i="45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S18" s="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L55" i="43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Q12"/>
  <c r="P12"/>
  <c r="R12" s="1"/>
  <c r="L12"/>
  <c r="S22" s="1"/>
  <c r="K12"/>
  <c r="S21" s="1"/>
  <c r="J12"/>
  <c r="Q11"/>
  <c r="P11"/>
  <c r="R11" s="1"/>
  <c r="L11"/>
  <c r="S18" s="1"/>
  <c r="K11"/>
  <c r="S17" s="1"/>
  <c r="J11"/>
  <c r="Q10"/>
  <c r="P10"/>
  <c r="R10" s="1"/>
  <c r="L10"/>
  <c r="S16" s="1"/>
  <c r="K10"/>
  <c r="S15" s="1"/>
  <c r="J10"/>
  <c r="Q9"/>
  <c r="P9"/>
  <c r="R9" s="1"/>
  <c r="L9"/>
  <c r="S12" s="1"/>
  <c r="K9"/>
  <c r="S11" s="1"/>
  <c r="J9"/>
  <c r="L8"/>
  <c r="S10" s="1"/>
  <c r="K8"/>
  <c r="S9" s="1"/>
  <c r="J8"/>
  <c r="L55" i="41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Q12"/>
  <c r="P12"/>
  <c r="R12" s="1"/>
  <c r="L12"/>
  <c r="S22" s="1"/>
  <c r="K12"/>
  <c r="S21" s="1"/>
  <c r="J12"/>
  <c r="Q11"/>
  <c r="P11"/>
  <c r="R11" s="1"/>
  <c r="L11"/>
  <c r="S18" s="1"/>
  <c r="K11"/>
  <c r="S17" s="1"/>
  <c r="J11"/>
  <c r="Q10"/>
  <c r="P10"/>
  <c r="R10" s="1"/>
  <c r="L10"/>
  <c r="S16" s="1"/>
  <c r="K10"/>
  <c r="S15" s="1"/>
  <c r="J10"/>
  <c r="Q9"/>
  <c r="P9"/>
  <c r="R9" s="1"/>
  <c r="L9"/>
  <c r="S12" s="1"/>
  <c r="K9"/>
  <c r="S11" s="1"/>
  <c r="J9"/>
  <c r="L8"/>
  <c r="S10" s="1"/>
  <c r="K8"/>
  <c r="S9" s="1"/>
  <c r="J8"/>
  <c r="L55" i="38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S18" s="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P3" i="103" l="1"/>
  <c r="E27" i="22" s="1"/>
  <c r="T3" i="102"/>
  <c r="I61" i="22" s="1"/>
  <c r="P3" i="76"/>
  <c r="AL86" i="70"/>
  <c r="AL86" i="73"/>
  <c r="AL86" i="59"/>
  <c r="AL86" i="64"/>
  <c r="AK86" i="71"/>
  <c r="AL86" i="57"/>
  <c r="AL86" i="65"/>
  <c r="AK82" i="56"/>
  <c r="AL82" i="57"/>
  <c r="AK82" i="71"/>
  <c r="AL82" i="68"/>
  <c r="AL82" i="73"/>
  <c r="AL82" i="65"/>
  <c r="AK78" i="60"/>
  <c r="AK78" i="71"/>
  <c r="AL78" i="57"/>
  <c r="AL78" i="64"/>
  <c r="AL78" i="73"/>
  <c r="AL77" i="59"/>
  <c r="AK77" i="61"/>
  <c r="AK77" i="75"/>
  <c r="T3" i="88"/>
  <c r="I37" i="22" s="1"/>
  <c r="AK77" i="68"/>
  <c r="AL73" i="62"/>
  <c r="AK73" i="75"/>
  <c r="AL73" i="69"/>
  <c r="AL72" i="57"/>
  <c r="AL72" i="63"/>
  <c r="AK72" i="71"/>
  <c r="AK72" i="62"/>
  <c r="AL72" i="69"/>
  <c r="AL72" i="73"/>
  <c r="AL72" i="65"/>
  <c r="AL71" i="56"/>
  <c r="AL71" i="68"/>
  <c r="AL71" i="70"/>
  <c r="AL70" i="57"/>
  <c r="AK70" i="56"/>
  <c r="AL70" i="65"/>
  <c r="AL70" i="70"/>
  <c r="AL70" i="73"/>
  <c r="AK66" i="67"/>
  <c r="AK66" i="72"/>
  <c r="AK66" i="75"/>
  <c r="AL66" i="59"/>
  <c r="AL66" i="62"/>
  <c r="AK66" i="64"/>
  <c r="AK65" i="67"/>
  <c r="P3" i="88"/>
  <c r="E37" i="22" s="1"/>
  <c r="AL64" i="69"/>
  <c r="AK64" i="64"/>
  <c r="AL64" i="65"/>
  <c r="AK64" i="72"/>
  <c r="AK64" i="73"/>
  <c r="AK64" i="68"/>
  <c r="AL63" i="58"/>
  <c r="AL63" i="59"/>
  <c r="AK63" i="75"/>
  <c r="AL63" i="60"/>
  <c r="AK62" i="64"/>
  <c r="AL62" i="58"/>
  <c r="AL62" i="59"/>
  <c r="AL62" i="62"/>
  <c r="AK62" i="72"/>
  <c r="P3" i="100"/>
  <c r="T3"/>
  <c r="I65" i="22" s="1"/>
  <c r="AL61" i="62"/>
  <c r="AK61" i="67"/>
  <c r="AK61" i="73"/>
  <c r="AK59" i="65"/>
  <c r="AK59" i="64"/>
  <c r="AK60" i="67"/>
  <c r="AL60" i="69"/>
  <c r="AK60" i="73"/>
  <c r="AL54" i="57"/>
  <c r="AL54" i="60"/>
  <c r="AK54" i="61"/>
  <c r="AL54" i="68"/>
  <c r="AL54" i="71"/>
  <c r="AL54" i="56"/>
  <c r="AL54" i="74"/>
  <c r="AL55" i="61"/>
  <c r="AL55" i="70"/>
  <c r="AL55" i="71"/>
  <c r="AL55" i="65"/>
  <c r="AL52" i="56"/>
  <c r="AL52" i="60"/>
  <c r="AL52" i="61"/>
  <c r="AK52" i="63"/>
  <c r="AL52" i="68"/>
  <c r="AL52" i="69"/>
  <c r="AL52" i="71"/>
  <c r="AL52" i="74"/>
  <c r="AK52" i="73"/>
  <c r="Y51" i="84"/>
  <c r="T3"/>
  <c r="I39" i="22" s="1"/>
  <c r="AL51" i="58"/>
  <c r="AL51" i="59"/>
  <c r="AL51" i="60"/>
  <c r="AL51" i="61"/>
  <c r="AL51" i="66"/>
  <c r="AL51" i="68"/>
  <c r="AL51" i="74"/>
  <c r="P3" i="84"/>
  <c r="AL51" i="56"/>
  <c r="AK51" i="75"/>
  <c r="AL50" i="73"/>
  <c r="AL49" i="57"/>
  <c r="AK49" i="62"/>
  <c r="AL49" i="65"/>
  <c r="AL49" i="75"/>
  <c r="AK49" i="71"/>
  <c r="AL49" i="72"/>
  <c r="P3" i="97"/>
  <c r="E84" i="22" s="1"/>
  <c r="AK48" i="65"/>
  <c r="AL48" i="74"/>
  <c r="AL48" i="56"/>
  <c r="AL48" i="57"/>
  <c r="AL48" i="60"/>
  <c r="AL48" i="61"/>
  <c r="AL48" i="66"/>
  <c r="AL48" i="68"/>
  <c r="AK48" i="73"/>
  <c r="AI47" i="70"/>
  <c r="AL47" i="74"/>
  <c r="AL47" i="56"/>
  <c r="AL47" i="58"/>
  <c r="AL47" i="59"/>
  <c r="AL47" i="60"/>
  <c r="AL47" i="61"/>
  <c r="AL47" i="66"/>
  <c r="AL47" i="68"/>
  <c r="AK47" i="75"/>
  <c r="AK47" i="72"/>
  <c r="AL46" i="56"/>
  <c r="AL46" i="74"/>
  <c r="AK46" i="66"/>
  <c r="AK46" i="73"/>
  <c r="AK46" i="75"/>
  <c r="AL44" i="57"/>
  <c r="AK44" i="67"/>
  <c r="AK44" i="64"/>
  <c r="AL44" i="69"/>
  <c r="AL44" i="73"/>
  <c r="AK44" i="75"/>
  <c r="AK44" i="66"/>
  <c r="AL45" i="56"/>
  <c r="AL45" i="58"/>
  <c r="AL45" i="59"/>
  <c r="AL45" i="60"/>
  <c r="AL45" i="61"/>
  <c r="AK45" i="64"/>
  <c r="AK45" i="67"/>
  <c r="AL45" i="74"/>
  <c r="AL45" i="68"/>
  <c r="AK45" i="72"/>
  <c r="AL43" i="65"/>
  <c r="AL43" i="75"/>
  <c r="AL42" i="56"/>
  <c r="AL42" i="68"/>
  <c r="AL42" i="74"/>
  <c r="AL42" i="60"/>
  <c r="AL42" i="71"/>
  <c r="AK42" i="72"/>
  <c r="AK42" i="73"/>
  <c r="AK40" i="63"/>
  <c r="AL40" i="68"/>
  <c r="AL40" i="56"/>
  <c r="AL40" i="61"/>
  <c r="AL40" i="71"/>
  <c r="AK40" i="72"/>
  <c r="AK40" i="73"/>
  <c r="AL41" i="56"/>
  <c r="AL41" i="68"/>
  <c r="AL41" i="74"/>
  <c r="AL41" i="58"/>
  <c r="AL41" i="59"/>
  <c r="AL41" i="61"/>
  <c r="AK41" i="64"/>
  <c r="AK41" i="67"/>
  <c r="AL41" i="70"/>
  <c r="AK41" i="75"/>
  <c r="AK41" i="66"/>
  <c r="AL39" i="58"/>
  <c r="AL39" i="59"/>
  <c r="AL39" i="61"/>
  <c r="AL39" i="70"/>
  <c r="AL39" i="56"/>
  <c r="AL39" i="68"/>
  <c r="AK39" i="75"/>
  <c r="AL38" i="73"/>
  <c r="AK38" i="72"/>
  <c r="AK37" i="71"/>
  <c r="AL37" i="72"/>
  <c r="T3" i="97"/>
  <c r="I84" i="22" s="1"/>
  <c r="T3" i="99"/>
  <c r="I70" i="22" s="1"/>
  <c r="AL37" i="74"/>
  <c r="AL36" i="61"/>
  <c r="AL36" i="56"/>
  <c r="AL36" i="68"/>
  <c r="AK36" i="66"/>
  <c r="AK36" i="73"/>
  <c r="AK36" i="75"/>
  <c r="AL35" i="68"/>
  <c r="AL35" i="69"/>
  <c r="AL35" i="58"/>
  <c r="AL35" i="59"/>
  <c r="AL35" i="61"/>
  <c r="AL35" i="70"/>
  <c r="AK35" i="72"/>
  <c r="AL34" i="61"/>
  <c r="AK34" i="63"/>
  <c r="AL34" i="68"/>
  <c r="AL34" i="74"/>
  <c r="AK34" i="73"/>
  <c r="AK34" i="75"/>
  <c r="AK34" i="66"/>
  <c r="AL33" i="58"/>
  <c r="AL33" i="61"/>
  <c r="AK33" i="64"/>
  <c r="AL33" i="68"/>
  <c r="AL33" i="56"/>
  <c r="AK33" i="72"/>
  <c r="AK33" i="60"/>
  <c r="Y32" i="109"/>
  <c r="T3"/>
  <c r="I74" i="22" s="1"/>
  <c r="Y32" i="110"/>
  <c r="T3"/>
  <c r="AL32" i="73"/>
  <c r="P3" i="109"/>
  <c r="P3" i="110"/>
  <c r="AK32" i="66"/>
  <c r="AK32" i="74"/>
  <c r="AK32" i="75"/>
  <c r="AL31" i="65"/>
  <c r="AK31" i="71"/>
  <c r="AL31" i="75"/>
  <c r="AK31" i="57"/>
  <c r="AL31" i="74"/>
  <c r="AL30" i="56"/>
  <c r="AL30" i="71"/>
  <c r="AL30" i="61"/>
  <c r="AL30" i="68"/>
  <c r="AK30" i="73"/>
  <c r="AL29" i="56"/>
  <c r="AL29" i="70"/>
  <c r="AL29" i="58"/>
  <c r="AL29" i="61"/>
  <c r="AK29" i="64"/>
  <c r="AK29" i="66"/>
  <c r="AK29" i="75"/>
  <c r="AK29" i="74"/>
  <c r="AL28" i="60"/>
  <c r="AL28" i="61"/>
  <c r="AL28" i="56"/>
  <c r="AK28" i="73"/>
  <c r="AK27" i="66"/>
  <c r="AK27" i="75"/>
  <c r="AK27" i="74"/>
  <c r="AL27" i="56"/>
  <c r="AL27" i="59"/>
  <c r="AL27" i="69"/>
  <c r="AL27" i="72"/>
  <c r="AL26" i="73"/>
  <c r="AL26" i="62"/>
  <c r="AL26" i="72"/>
  <c r="AK26" i="60"/>
  <c r="AK25" i="57"/>
  <c r="AL25" i="59"/>
  <c r="AL25" i="60"/>
  <c r="T3" i="83"/>
  <c r="I21" i="22" s="1"/>
  <c r="BA67" i="57"/>
  <c r="BB67" s="1"/>
  <c r="BA58" i="60"/>
  <c r="BB58" s="1"/>
  <c r="BA64" i="67"/>
  <c r="BB64" s="1"/>
  <c r="BA58" i="68"/>
  <c r="BB58" s="1"/>
  <c r="BA62" i="73"/>
  <c r="BB62" s="1"/>
  <c r="BA66" i="64"/>
  <c r="BB66" s="1"/>
  <c r="AL24" i="56"/>
  <c r="AK24" i="75"/>
  <c r="AK24" i="66"/>
  <c r="AK24" i="73"/>
  <c r="AK24" i="74"/>
  <c r="AL23" i="58"/>
  <c r="AL23" i="72"/>
  <c r="AL23" i="70"/>
  <c r="AK23" i="60"/>
  <c r="AL22" i="71"/>
  <c r="AK22" i="66"/>
  <c r="AK22" i="73"/>
  <c r="AK22" i="74"/>
  <c r="AL21" i="56"/>
  <c r="AK21" i="67"/>
  <c r="AL21" i="58"/>
  <c r="AK21" i="64"/>
  <c r="AL21" i="70"/>
  <c r="AL21" i="75"/>
  <c r="AK21" i="60"/>
  <c r="AK20" i="64"/>
  <c r="AK20" i="67"/>
  <c r="AL20" i="57"/>
  <c r="AL20" i="63"/>
  <c r="AL20" i="72"/>
  <c r="AK20" i="66"/>
  <c r="AK20" i="74"/>
  <c r="AL18" i="56"/>
  <c r="AL18" i="57"/>
  <c r="AL18" i="60"/>
  <c r="AL17" i="58"/>
  <c r="AK17" i="64"/>
  <c r="AL17" i="69"/>
  <c r="AL17" i="70"/>
  <c r="AL17" i="56"/>
  <c r="AL17" i="57"/>
  <c r="AL17" i="72"/>
  <c r="AK17" i="66"/>
  <c r="AK17" i="74"/>
  <c r="AL16" i="56"/>
  <c r="AL16" i="57"/>
  <c r="AL16" i="60"/>
  <c r="AK16" i="68"/>
  <c r="AL16" i="69"/>
  <c r="AL16" i="71"/>
  <c r="AL16" i="73"/>
  <c r="AL15" i="56"/>
  <c r="AL15" i="57"/>
  <c r="AL15" i="69"/>
  <c r="AL15" i="70"/>
  <c r="AL15" i="58"/>
  <c r="AK15" i="66"/>
  <c r="AL14" i="63"/>
  <c r="AL14" i="75"/>
  <c r="AK14" i="60"/>
  <c r="AL13" i="65"/>
  <c r="AK13" i="71"/>
  <c r="AK13" i="72"/>
  <c r="Y12" i="108"/>
  <c r="T3"/>
  <c r="I77" i="22" s="1"/>
  <c r="AL12" i="56"/>
  <c r="AL12" i="57"/>
  <c r="AL12" i="69"/>
  <c r="AL11" i="58"/>
  <c r="AL11" i="59"/>
  <c r="AL11" i="75"/>
  <c r="P3" i="78"/>
  <c r="P3" i="108"/>
  <c r="E77" i="22" s="1"/>
  <c r="AK11" i="60"/>
  <c r="AK11" i="74"/>
  <c r="AL14" i="56"/>
  <c r="AL20"/>
  <c r="AL26"/>
  <c r="AL32"/>
  <c r="AL38"/>
  <c r="AL44"/>
  <c r="AL50"/>
  <c r="BA62"/>
  <c r="BB62" s="1"/>
  <c r="AL61"/>
  <c r="AL62"/>
  <c r="AL65"/>
  <c r="AL66"/>
  <c r="AK72"/>
  <c r="AL73"/>
  <c r="AL14" i="57"/>
  <c r="AK37"/>
  <c r="AL14" i="58"/>
  <c r="AL20"/>
  <c r="AL26"/>
  <c r="AL32"/>
  <c r="AL38"/>
  <c r="AL44"/>
  <c r="AL50"/>
  <c r="BA58"/>
  <c r="AL59"/>
  <c r="AL73"/>
  <c r="AL77"/>
  <c r="BA59" i="59"/>
  <c r="BB59" s="1"/>
  <c r="BA62"/>
  <c r="BB62" s="1"/>
  <c r="AL44" i="60"/>
  <c r="AL50"/>
  <c r="AL60"/>
  <c r="AL62"/>
  <c r="AL77"/>
  <c r="AK86"/>
  <c r="AL19" i="61"/>
  <c r="AK24"/>
  <c r="AL26"/>
  <c r="AL32"/>
  <c r="AL38"/>
  <c r="AK42"/>
  <c r="AL44"/>
  <c r="AL50"/>
  <c r="AK66"/>
  <c r="BA68" i="64"/>
  <c r="BB68" s="1"/>
  <c r="BA65" i="67"/>
  <c r="BB65" s="1"/>
  <c r="BA66"/>
  <c r="BB66" s="1"/>
  <c r="BA68"/>
  <c r="BB68" s="1"/>
  <c r="AK77"/>
  <c r="AL78"/>
  <c r="AL86"/>
  <c r="AK12" i="68"/>
  <c r="AL13"/>
  <c r="AK18"/>
  <c r="AL19"/>
  <c r="AK24"/>
  <c r="AL25"/>
  <c r="AL59"/>
  <c r="BA68"/>
  <c r="BB68" s="1"/>
  <c r="AK61"/>
  <c r="AL62"/>
  <c r="AL65"/>
  <c r="AL66"/>
  <c r="AL72"/>
  <c r="AL73"/>
  <c r="AL14" i="69"/>
  <c r="BA59"/>
  <c r="BB59" s="1"/>
  <c r="BA61"/>
  <c r="BB61" s="1"/>
  <c r="BA67"/>
  <c r="BB67" s="1"/>
  <c r="Q3" i="70"/>
  <c r="F12" i="22" s="1"/>
  <c r="AL53" i="70"/>
  <c r="BA58"/>
  <c r="AL18" i="71"/>
  <c r="AL28"/>
  <c r="AL21" i="72"/>
  <c r="AK25"/>
  <c r="BA63" i="73"/>
  <c r="BB63" s="1"/>
  <c r="BA64"/>
  <c r="BB64" s="1"/>
  <c r="AK65"/>
  <c r="AK14" i="74"/>
  <c r="AK16"/>
  <c r="AK18"/>
  <c r="AK21"/>
  <c r="AK23"/>
  <c r="AL25"/>
  <c r="AK26"/>
  <c r="AK28"/>
  <c r="AK30"/>
  <c r="AK33"/>
  <c r="AL44"/>
  <c r="AL50"/>
  <c r="AL61"/>
  <c r="AL62"/>
  <c r="AL65"/>
  <c r="AK72"/>
  <c r="AL73"/>
  <c r="AI15" i="75"/>
  <c r="AL17"/>
  <c r="AL25"/>
  <c r="AK26"/>
  <c r="AK28"/>
  <c r="AK30"/>
  <c r="AK33"/>
  <c r="AK35"/>
  <c r="AL37"/>
  <c r="AK38"/>
  <c r="AK40"/>
  <c r="AK42"/>
  <c r="AK45"/>
  <c r="AK50"/>
  <c r="AK52"/>
  <c r="BA59" i="58"/>
  <c r="BB59" s="1"/>
  <c r="BA62"/>
  <c r="BB62" s="1"/>
  <c r="AL13" i="59"/>
  <c r="AL15"/>
  <c r="AL23"/>
  <c r="AK36"/>
  <c r="AL38"/>
  <c r="AK40"/>
  <c r="AK42"/>
  <c r="AL44"/>
  <c r="AK46"/>
  <c r="AK48"/>
  <c r="AL50"/>
  <c r="AK52"/>
  <c r="AK54"/>
  <c r="BA58"/>
  <c r="AL59"/>
  <c r="AK60"/>
  <c r="AL61"/>
  <c r="AK64"/>
  <c r="AK65"/>
  <c r="AK71"/>
  <c r="AK73"/>
  <c r="AL78"/>
  <c r="AL12" i="60"/>
  <c r="AK15"/>
  <c r="AK17"/>
  <c r="AL19"/>
  <c r="AK20"/>
  <c r="AL22"/>
  <c r="AL24"/>
  <c r="AK27"/>
  <c r="AK29"/>
  <c r="AL31"/>
  <c r="AK32"/>
  <c r="AK19" i="62"/>
  <c r="AL22"/>
  <c r="AL23"/>
  <c r="AL24"/>
  <c r="AL27"/>
  <c r="AK31"/>
  <c r="AK43"/>
  <c r="BA64"/>
  <c r="BB64" s="1"/>
  <c r="AK70"/>
  <c r="AL71"/>
  <c r="AK82"/>
  <c r="AL11" i="63"/>
  <c r="AL12"/>
  <c r="AL15"/>
  <c r="AL16"/>
  <c r="AL17"/>
  <c r="AL18"/>
  <c r="AL21"/>
  <c r="AL22"/>
  <c r="AL23"/>
  <c r="AK24"/>
  <c r="AL25"/>
  <c r="AK30"/>
  <c r="AL31"/>
  <c r="AK36"/>
  <c r="AL37"/>
  <c r="AK42"/>
  <c r="AL43"/>
  <c r="AK48"/>
  <c r="AL49"/>
  <c r="AK54"/>
  <c r="AL55"/>
  <c r="AL70"/>
  <c r="AK73"/>
  <c r="AL82"/>
  <c r="AK10" i="64"/>
  <c r="AK11"/>
  <c r="AK14"/>
  <c r="AK15"/>
  <c r="AK23"/>
  <c r="AK26"/>
  <c r="AK27"/>
  <c r="AK35"/>
  <c r="AK38"/>
  <c r="AK39"/>
  <c r="AK47"/>
  <c r="AK50"/>
  <c r="AK51"/>
  <c r="AK16" i="65"/>
  <c r="AK22"/>
  <c r="AK28"/>
  <c r="AK34"/>
  <c r="AK40"/>
  <c r="AK46"/>
  <c r="AK52"/>
  <c r="BA68"/>
  <c r="BB68" s="1"/>
  <c r="AK60"/>
  <c r="AL12" i="66"/>
  <c r="AK16"/>
  <c r="AK18"/>
  <c r="AK21"/>
  <c r="AK23"/>
  <c r="AL25"/>
  <c r="AK26"/>
  <c r="AK28"/>
  <c r="AK30"/>
  <c r="AK33"/>
  <c r="AK35"/>
  <c r="AL37"/>
  <c r="AK38"/>
  <c r="AK40"/>
  <c r="AK42"/>
  <c r="AK45"/>
  <c r="AL50"/>
  <c r="AK54"/>
  <c r="AL55"/>
  <c r="AL70"/>
  <c r="AL72"/>
  <c r="AL78"/>
  <c r="AL82"/>
  <c r="AL86"/>
  <c r="AK10" i="67"/>
  <c r="AK11"/>
  <c r="AK14"/>
  <c r="AK15"/>
  <c r="AK23"/>
  <c r="AK26"/>
  <c r="AK27"/>
  <c r="AK35"/>
  <c r="AK38"/>
  <c r="AK39"/>
  <c r="AK47"/>
  <c r="AK50"/>
  <c r="AK51"/>
  <c r="AK28" i="68"/>
  <c r="AL32"/>
  <c r="AL38"/>
  <c r="AL44"/>
  <c r="AL50"/>
  <c r="BA59"/>
  <c r="AK60"/>
  <c r="AL18" i="69"/>
  <c r="AL23"/>
  <c r="AL37"/>
  <c r="AL40"/>
  <c r="AL46"/>
  <c r="AK54"/>
  <c r="BA58"/>
  <c r="AL59"/>
  <c r="BA60"/>
  <c r="BB60" s="1"/>
  <c r="AL61"/>
  <c r="AK62"/>
  <c r="AK63"/>
  <c r="AK66"/>
  <c r="AL70"/>
  <c r="AL71"/>
  <c r="AK77"/>
  <c r="AL82"/>
  <c r="AK12" i="70"/>
  <c r="AL14"/>
  <c r="AK16"/>
  <c r="AK18"/>
  <c r="AL20"/>
  <c r="AK22"/>
  <c r="AK24"/>
  <c r="AL26"/>
  <c r="AK28"/>
  <c r="AK30"/>
  <c r="AL32"/>
  <c r="AK34"/>
  <c r="AK36"/>
  <c r="AL38"/>
  <c r="AK40"/>
  <c r="AK42"/>
  <c r="AL44"/>
  <c r="AK46"/>
  <c r="BA67"/>
  <c r="BB67" s="1"/>
  <c r="AL78"/>
  <c r="AL12" i="71"/>
  <c r="AL24"/>
  <c r="AL34"/>
  <c r="AL36"/>
  <c r="AK43"/>
  <c r="AL46"/>
  <c r="AL48"/>
  <c r="AL10" i="72"/>
  <c r="AL11"/>
  <c r="AL14"/>
  <c r="AL15"/>
  <c r="AK19"/>
  <c r="AL31"/>
  <c r="AK34"/>
  <c r="AK36"/>
  <c r="AK39"/>
  <c r="AK41"/>
  <c r="AL43"/>
  <c r="AK44"/>
  <c r="AK46"/>
  <c r="AK48"/>
  <c r="AK54"/>
  <c r="AL55"/>
  <c r="AK61"/>
  <c r="AK63"/>
  <c r="AK65"/>
  <c r="AK77"/>
  <c r="AL78"/>
  <c r="AL86"/>
  <c r="AK12" i="73"/>
  <c r="AL13"/>
  <c r="AL23"/>
  <c r="AL27"/>
  <c r="AL29"/>
  <c r="AL33"/>
  <c r="AL35"/>
  <c r="AL39"/>
  <c r="AL41"/>
  <c r="AL45"/>
  <c r="AL47"/>
  <c r="AL51"/>
  <c r="AL53"/>
  <c r="AK12" i="74"/>
  <c r="AK48" i="75"/>
  <c r="AK62"/>
  <c r="AK13" i="56"/>
  <c r="AK19"/>
  <c r="AK25"/>
  <c r="AK31"/>
  <c r="AK37"/>
  <c r="AK43"/>
  <c r="AK49"/>
  <c r="AK55"/>
  <c r="AL59"/>
  <c r="AG59"/>
  <c r="BA59"/>
  <c r="BB59" s="1"/>
  <c r="AL60"/>
  <c r="AG60"/>
  <c r="BA60"/>
  <c r="BB60" s="1"/>
  <c r="AL63"/>
  <c r="AG63"/>
  <c r="BA63"/>
  <c r="BB63" s="1"/>
  <c r="AL64"/>
  <c r="AG64"/>
  <c r="BA64"/>
  <c r="BB64" s="1"/>
  <c r="AL77"/>
  <c r="AG77"/>
  <c r="AK78"/>
  <c r="AK86"/>
  <c r="AL10" i="57"/>
  <c r="AK13"/>
  <c r="AK19"/>
  <c r="AG44"/>
  <c r="AI44" s="1"/>
  <c r="AI45"/>
  <c r="AK46"/>
  <c r="AG48"/>
  <c r="AI48" s="1"/>
  <c r="AK50"/>
  <c r="AK52"/>
  <c r="AG54"/>
  <c r="AL59"/>
  <c r="AG59"/>
  <c r="AK60"/>
  <c r="BA60"/>
  <c r="BB60" s="1"/>
  <c r="AL61"/>
  <c r="AG61"/>
  <c r="AK62"/>
  <c r="BA62"/>
  <c r="BB62" s="1"/>
  <c r="AL63"/>
  <c r="AG63"/>
  <c r="AK64"/>
  <c r="BA64"/>
  <c r="BB64" s="1"/>
  <c r="AL65"/>
  <c r="AG65"/>
  <c r="AK66"/>
  <c r="BA66"/>
  <c r="BB66" s="1"/>
  <c r="BA68"/>
  <c r="BB68" s="1"/>
  <c r="AG11" i="58"/>
  <c r="AI11" s="1"/>
  <c r="AG14"/>
  <c r="AG15"/>
  <c r="AI15" s="1"/>
  <c r="AG17"/>
  <c r="AG20"/>
  <c r="AI20" s="1"/>
  <c r="AG21"/>
  <c r="AI21" s="1"/>
  <c r="AG23"/>
  <c r="AI23" s="1"/>
  <c r="AG26"/>
  <c r="AI26" s="1"/>
  <c r="AG27"/>
  <c r="AI27" s="1"/>
  <c r="AG29"/>
  <c r="AI29" s="1"/>
  <c r="AG32"/>
  <c r="AG33"/>
  <c r="AI33" s="1"/>
  <c r="AG35"/>
  <c r="AI35" s="1"/>
  <c r="AG38"/>
  <c r="AG39"/>
  <c r="AI39" s="1"/>
  <c r="AG41"/>
  <c r="AI41" s="1"/>
  <c r="AG44"/>
  <c r="AG45"/>
  <c r="AI45" s="1"/>
  <c r="AG47"/>
  <c r="AI47" s="1"/>
  <c r="AG50"/>
  <c r="AG51"/>
  <c r="AI51" s="1"/>
  <c r="AG53"/>
  <c r="AI53" s="1"/>
  <c r="AG59"/>
  <c r="AG62"/>
  <c r="AI62" s="1"/>
  <c r="AG63"/>
  <c r="BA63"/>
  <c r="BB63" s="1"/>
  <c r="BA66"/>
  <c r="BB66" s="1"/>
  <c r="BA68"/>
  <c r="BB68" s="1"/>
  <c r="AK71"/>
  <c r="AG73"/>
  <c r="AG77"/>
  <c r="AG11" i="59"/>
  <c r="AI11" s="1"/>
  <c r="AI12"/>
  <c r="AG15"/>
  <c r="AI15" s="1"/>
  <c r="AI16"/>
  <c r="AK17"/>
  <c r="AL19"/>
  <c r="AI20"/>
  <c r="AK21"/>
  <c r="AG23"/>
  <c r="AI23" s="1"/>
  <c r="AI24"/>
  <c r="AG27"/>
  <c r="AI27" s="1"/>
  <c r="AI28"/>
  <c r="AK29"/>
  <c r="AL31"/>
  <c r="AI32"/>
  <c r="AK33"/>
  <c r="AG35"/>
  <c r="AG38"/>
  <c r="AG39"/>
  <c r="AG41"/>
  <c r="AG44"/>
  <c r="AG45"/>
  <c r="AG47"/>
  <c r="AG50"/>
  <c r="AG51"/>
  <c r="AG53"/>
  <c r="AG59"/>
  <c r="AG61"/>
  <c r="BA61"/>
  <c r="BB61" s="1"/>
  <c r="AG62"/>
  <c r="AG63"/>
  <c r="BA63"/>
  <c r="BB63" s="1"/>
  <c r="AG66"/>
  <c r="BA66"/>
  <c r="BB66" s="1"/>
  <c r="BA68"/>
  <c r="BB68" s="1"/>
  <c r="AG77"/>
  <c r="AG12" i="60"/>
  <c r="AG16"/>
  <c r="AG18"/>
  <c r="AG22"/>
  <c r="AG24"/>
  <c r="AG28"/>
  <c r="AG30"/>
  <c r="AK35"/>
  <c r="AL37"/>
  <c r="AK39"/>
  <c r="AG42"/>
  <c r="AG44"/>
  <c r="AG45"/>
  <c r="AG46"/>
  <c r="AG47"/>
  <c r="AG48"/>
  <c r="AG50"/>
  <c r="AG51"/>
  <c r="AG52"/>
  <c r="AG53"/>
  <c r="AG54"/>
  <c r="AL59"/>
  <c r="AG59"/>
  <c r="BA59"/>
  <c r="BB59" s="1"/>
  <c r="AG62"/>
  <c r="BA62"/>
  <c r="BB62" s="1"/>
  <c r="AG63"/>
  <c r="BA63"/>
  <c r="BB63" s="1"/>
  <c r="AL64"/>
  <c r="AG64"/>
  <c r="BA64"/>
  <c r="BB64" s="1"/>
  <c r="AL65"/>
  <c r="AG65"/>
  <c r="BA65"/>
  <c r="BB65" s="1"/>
  <c r="AL66"/>
  <c r="AG66"/>
  <c r="BA66"/>
  <c r="BB66" s="1"/>
  <c r="BA67"/>
  <c r="BB67" s="1"/>
  <c r="BA68"/>
  <c r="BB68" s="1"/>
  <c r="AK70"/>
  <c r="AL71"/>
  <c r="AG71"/>
  <c r="AK72"/>
  <c r="AL73"/>
  <c r="AG73"/>
  <c r="AK82"/>
  <c r="AL11" i="61"/>
  <c r="AG11"/>
  <c r="AL12"/>
  <c r="AG12"/>
  <c r="AL14"/>
  <c r="AG14"/>
  <c r="AL20"/>
  <c r="AG20"/>
  <c r="AL22"/>
  <c r="AG22"/>
  <c r="AI22" s="1"/>
  <c r="AL24"/>
  <c r="AG24"/>
  <c r="AL25"/>
  <c r="AK26"/>
  <c r="AK27"/>
  <c r="AK28"/>
  <c r="AK29"/>
  <c r="AK30"/>
  <c r="AL31"/>
  <c r="AK32"/>
  <c r="AK33"/>
  <c r="AK34"/>
  <c r="AK35"/>
  <c r="AK36"/>
  <c r="AL37"/>
  <c r="AK38"/>
  <c r="AK39"/>
  <c r="AK40"/>
  <c r="AK41"/>
  <c r="AL42"/>
  <c r="AG42"/>
  <c r="AL43"/>
  <c r="AK44"/>
  <c r="AK45"/>
  <c r="AK46"/>
  <c r="AK47"/>
  <c r="AK48"/>
  <c r="AL49"/>
  <c r="AK50"/>
  <c r="AK51"/>
  <c r="AK52"/>
  <c r="AK53"/>
  <c r="BA58"/>
  <c r="AK59"/>
  <c r="BA59"/>
  <c r="BB59" s="1"/>
  <c r="AK60"/>
  <c r="BA60"/>
  <c r="BB60" s="1"/>
  <c r="AK61"/>
  <c r="BA61"/>
  <c r="BB61" s="1"/>
  <c r="AK62"/>
  <c r="BA62"/>
  <c r="BB62" s="1"/>
  <c r="AK63"/>
  <c r="BA63"/>
  <c r="BB63" s="1"/>
  <c r="AK64"/>
  <c r="BA64"/>
  <c r="BB64" s="1"/>
  <c r="AK65"/>
  <c r="BA67"/>
  <c r="BB67" s="1"/>
  <c r="AL70"/>
  <c r="AL72"/>
  <c r="AL78"/>
  <c r="AL82"/>
  <c r="AL86"/>
  <c r="AL11" i="62"/>
  <c r="AG11"/>
  <c r="AL12"/>
  <c r="AG12"/>
  <c r="AL14"/>
  <c r="AG14"/>
  <c r="AL15"/>
  <c r="AG15"/>
  <c r="AL16"/>
  <c r="AG16"/>
  <c r="AL17"/>
  <c r="AG17"/>
  <c r="AI17" s="1"/>
  <c r="AL18"/>
  <c r="AG18"/>
  <c r="AL20"/>
  <c r="AG20"/>
  <c r="AL21"/>
  <c r="AG21"/>
  <c r="AK25"/>
  <c r="AL28"/>
  <c r="AG28"/>
  <c r="AL29"/>
  <c r="AG29"/>
  <c r="AL30"/>
  <c r="AG30"/>
  <c r="AL32"/>
  <c r="AG32"/>
  <c r="AL33"/>
  <c r="AG33"/>
  <c r="AL34"/>
  <c r="AG34"/>
  <c r="AL35"/>
  <c r="AG35"/>
  <c r="AL36"/>
  <c r="AG36"/>
  <c r="AL38"/>
  <c r="AG38"/>
  <c r="AL39"/>
  <c r="AG39"/>
  <c r="AL40"/>
  <c r="AG40"/>
  <c r="AL41"/>
  <c r="AG41"/>
  <c r="AL42"/>
  <c r="AG42"/>
  <c r="AL44"/>
  <c r="AG44"/>
  <c r="AL45"/>
  <c r="AG45"/>
  <c r="AL46"/>
  <c r="AG46"/>
  <c r="AL47"/>
  <c r="AG47"/>
  <c r="AL48"/>
  <c r="AG48"/>
  <c r="AL50"/>
  <c r="AG50"/>
  <c r="AL51"/>
  <c r="AG51"/>
  <c r="AL52"/>
  <c r="AG52"/>
  <c r="AL53"/>
  <c r="AG53"/>
  <c r="AL54"/>
  <c r="AG54"/>
  <c r="AK55"/>
  <c r="AL59"/>
  <c r="AG59"/>
  <c r="AI59" s="1"/>
  <c r="BA59"/>
  <c r="BB59" s="1"/>
  <c r="AL60"/>
  <c r="AG60"/>
  <c r="BA60"/>
  <c r="BB60" s="1"/>
  <c r="AL63"/>
  <c r="AG63"/>
  <c r="AI63" s="1"/>
  <c r="BA63"/>
  <c r="BB63" s="1"/>
  <c r="AL64"/>
  <c r="AG64"/>
  <c r="AL77"/>
  <c r="AG77"/>
  <c r="AK78"/>
  <c r="AK86"/>
  <c r="AK12" i="63"/>
  <c r="AL13"/>
  <c r="AK14"/>
  <c r="AK15"/>
  <c r="AK16"/>
  <c r="AK17"/>
  <c r="AK18"/>
  <c r="AL19"/>
  <c r="AK20"/>
  <c r="AK21"/>
  <c r="AK22"/>
  <c r="AK23"/>
  <c r="AK26"/>
  <c r="AK27"/>
  <c r="AK29"/>
  <c r="AK32"/>
  <c r="AK33"/>
  <c r="AK35"/>
  <c r="AK38"/>
  <c r="AK39"/>
  <c r="AK41"/>
  <c r="AK44"/>
  <c r="AK45"/>
  <c r="AK47"/>
  <c r="AK50"/>
  <c r="AK51"/>
  <c r="AK53"/>
  <c r="BA58"/>
  <c r="BB58" s="1"/>
  <c r="AK59"/>
  <c r="BA59"/>
  <c r="BB59" s="1"/>
  <c r="AK60"/>
  <c r="BA60"/>
  <c r="BB60" s="1"/>
  <c r="AK61"/>
  <c r="BA61"/>
  <c r="BB61" s="1"/>
  <c r="AK62"/>
  <c r="BA62"/>
  <c r="BB62" s="1"/>
  <c r="AK63"/>
  <c r="BA63"/>
  <c r="BB63" s="1"/>
  <c r="AK64"/>
  <c r="BA64"/>
  <c r="BB64" s="1"/>
  <c r="AK65"/>
  <c r="BA65"/>
  <c r="BB65" s="1"/>
  <c r="AK66"/>
  <c r="BA66"/>
  <c r="BB66" s="1"/>
  <c r="BA68"/>
  <c r="BB68" s="1"/>
  <c r="AK77"/>
  <c r="AL78"/>
  <c r="AG78"/>
  <c r="AL86"/>
  <c r="AG86"/>
  <c r="AK12" i="64"/>
  <c r="AL13"/>
  <c r="AG13"/>
  <c r="AK16"/>
  <c r="AK18"/>
  <c r="AL19"/>
  <c r="AG19"/>
  <c r="AK22"/>
  <c r="AK24"/>
  <c r="AL25"/>
  <c r="AG25"/>
  <c r="AK28"/>
  <c r="AK30"/>
  <c r="AL31"/>
  <c r="AG31"/>
  <c r="AK34"/>
  <c r="AK36"/>
  <c r="AL37"/>
  <c r="AG37"/>
  <c r="AK40"/>
  <c r="AK42"/>
  <c r="AL43"/>
  <c r="AG43"/>
  <c r="AK46"/>
  <c r="AK48"/>
  <c r="AL49"/>
  <c r="AG49"/>
  <c r="AK52"/>
  <c r="AK54"/>
  <c r="AL55"/>
  <c r="AG55"/>
  <c r="AL70"/>
  <c r="AG70"/>
  <c r="AI70" s="1"/>
  <c r="AK71"/>
  <c r="AL72"/>
  <c r="AG72"/>
  <c r="AI72" s="1"/>
  <c r="AK73"/>
  <c r="AL82"/>
  <c r="AG82"/>
  <c r="Q3" i="65"/>
  <c r="F34" i="22" s="1"/>
  <c r="AK10" i="65"/>
  <c r="AK11"/>
  <c r="AK14"/>
  <c r="AK15"/>
  <c r="AK17"/>
  <c r="AK20"/>
  <c r="AK21"/>
  <c r="AK23"/>
  <c r="AK26"/>
  <c r="AK27"/>
  <c r="AK29"/>
  <c r="AK32"/>
  <c r="AK33"/>
  <c r="AK35"/>
  <c r="AK38"/>
  <c r="AK39"/>
  <c r="AK41"/>
  <c r="AK44"/>
  <c r="AK45"/>
  <c r="AK47"/>
  <c r="AK50"/>
  <c r="AK51"/>
  <c r="AK53"/>
  <c r="BA58"/>
  <c r="AK62"/>
  <c r="BA62"/>
  <c r="BB62" s="1"/>
  <c r="BA63"/>
  <c r="BB63" s="1"/>
  <c r="AK64"/>
  <c r="BA64"/>
  <c r="BB64" s="1"/>
  <c r="AL65"/>
  <c r="AG65"/>
  <c r="AI65" s="1"/>
  <c r="AL66"/>
  <c r="AG66"/>
  <c r="AI66" s="1"/>
  <c r="AH72"/>
  <c r="AI73"/>
  <c r="AH78"/>
  <c r="AH82"/>
  <c r="AH86"/>
  <c r="AI11" i="66"/>
  <c r="AK12"/>
  <c r="AK14"/>
  <c r="AL15"/>
  <c r="AG15"/>
  <c r="AL16"/>
  <c r="AG16"/>
  <c r="AL17"/>
  <c r="AG17"/>
  <c r="AL18"/>
  <c r="AG18"/>
  <c r="AL20"/>
  <c r="AG20"/>
  <c r="AL21"/>
  <c r="AG21"/>
  <c r="AL22"/>
  <c r="AG22"/>
  <c r="AL23"/>
  <c r="AG23"/>
  <c r="AL24"/>
  <c r="AG24"/>
  <c r="AL26"/>
  <c r="AG26"/>
  <c r="AL27"/>
  <c r="AG27"/>
  <c r="AL28"/>
  <c r="AG28"/>
  <c r="AL29"/>
  <c r="AG29"/>
  <c r="AL30"/>
  <c r="AG30"/>
  <c r="AL32"/>
  <c r="AG32"/>
  <c r="AL33"/>
  <c r="AG33"/>
  <c r="AL34"/>
  <c r="AG34"/>
  <c r="AL35"/>
  <c r="AG35"/>
  <c r="AL36"/>
  <c r="AG36"/>
  <c r="AL38"/>
  <c r="AG38"/>
  <c r="AL39"/>
  <c r="AG39"/>
  <c r="AL40"/>
  <c r="AG40"/>
  <c r="AL41"/>
  <c r="AG41"/>
  <c r="AL42"/>
  <c r="AG42"/>
  <c r="AL44"/>
  <c r="AG44"/>
  <c r="AL45"/>
  <c r="AG45"/>
  <c r="AL46"/>
  <c r="AG46"/>
  <c r="AG47"/>
  <c r="BA68"/>
  <c r="BB68" s="1"/>
  <c r="BA66"/>
  <c r="BB66" s="1"/>
  <c r="BA65"/>
  <c r="BB65" s="1"/>
  <c r="BA64"/>
  <c r="BB64" s="1"/>
  <c r="BA63"/>
  <c r="BB63" s="1"/>
  <c r="BA62"/>
  <c r="BB62" s="1"/>
  <c r="BA61"/>
  <c r="BB61" s="1"/>
  <c r="BA60"/>
  <c r="BB60" s="1"/>
  <c r="BA59"/>
  <c r="BB59" s="1"/>
  <c r="BA58"/>
  <c r="Q3" i="56"/>
  <c r="F31" i="22" s="1"/>
  <c r="AG11" i="56"/>
  <c r="AG12"/>
  <c r="AG14"/>
  <c r="AI14" s="1"/>
  <c r="AG15"/>
  <c r="AG16"/>
  <c r="AG17"/>
  <c r="AG18"/>
  <c r="AG20"/>
  <c r="AG21"/>
  <c r="AG22"/>
  <c r="AG23"/>
  <c r="AG24"/>
  <c r="AG26"/>
  <c r="AG27"/>
  <c r="AI27" s="1"/>
  <c r="AF27" s="1"/>
  <c r="Y27" s="1"/>
  <c r="AG28"/>
  <c r="AG29"/>
  <c r="AG30"/>
  <c r="AG32"/>
  <c r="AG33"/>
  <c r="AG34"/>
  <c r="AG35"/>
  <c r="AG36"/>
  <c r="AG38"/>
  <c r="AG39"/>
  <c r="AG40"/>
  <c r="AG41"/>
  <c r="AG42"/>
  <c r="AG44"/>
  <c r="AG45"/>
  <c r="AG46"/>
  <c r="AG47"/>
  <c r="AG48"/>
  <c r="AG50"/>
  <c r="AG51"/>
  <c r="AG52"/>
  <c r="AG53"/>
  <c r="AG54"/>
  <c r="AG61"/>
  <c r="BA61"/>
  <c r="BB61" s="1"/>
  <c r="AG62"/>
  <c r="AG65"/>
  <c r="BA65"/>
  <c r="BB65" s="1"/>
  <c r="AG66"/>
  <c r="BA66"/>
  <c r="BB66" s="1"/>
  <c r="BA67"/>
  <c r="BB67" s="1"/>
  <c r="AG71"/>
  <c r="AG73"/>
  <c r="AG11" i="57"/>
  <c r="AG12"/>
  <c r="AG14"/>
  <c r="AG15"/>
  <c r="AG16"/>
  <c r="AG17"/>
  <c r="AG18"/>
  <c r="AG20"/>
  <c r="AL21"/>
  <c r="AG21"/>
  <c r="AI21" s="1"/>
  <c r="AL22"/>
  <c r="AG22"/>
  <c r="AL23"/>
  <c r="AG23"/>
  <c r="AL24"/>
  <c r="AG24"/>
  <c r="AL26"/>
  <c r="AG26"/>
  <c r="AL27"/>
  <c r="AG27"/>
  <c r="AL28"/>
  <c r="AG28"/>
  <c r="AL29"/>
  <c r="AG29"/>
  <c r="AL30"/>
  <c r="AG30"/>
  <c r="AL32"/>
  <c r="AG32"/>
  <c r="AL33"/>
  <c r="AG33"/>
  <c r="AL34"/>
  <c r="AG34"/>
  <c r="AL35"/>
  <c r="AG35"/>
  <c r="AL36"/>
  <c r="AG36"/>
  <c r="AL38"/>
  <c r="AG38"/>
  <c r="AL39"/>
  <c r="AG39"/>
  <c r="AL40"/>
  <c r="AL42"/>
  <c r="AL43"/>
  <c r="AK44"/>
  <c r="AL46"/>
  <c r="AG46"/>
  <c r="AK48"/>
  <c r="AL50"/>
  <c r="AG50"/>
  <c r="AL52"/>
  <c r="AG52"/>
  <c r="AI52" s="1"/>
  <c r="AI53"/>
  <c r="AK54"/>
  <c r="AL55"/>
  <c r="AK59"/>
  <c r="BA59"/>
  <c r="BB59" s="1"/>
  <c r="AL60"/>
  <c r="AG60"/>
  <c r="AK61"/>
  <c r="BA61"/>
  <c r="BB61" s="1"/>
  <c r="AL62"/>
  <c r="AG62"/>
  <c r="AK63"/>
  <c r="BA63"/>
  <c r="BB63" s="1"/>
  <c r="AL64"/>
  <c r="AG64"/>
  <c r="AK65"/>
  <c r="BA65"/>
  <c r="BB65" s="1"/>
  <c r="AL66"/>
  <c r="AG66"/>
  <c r="AI71"/>
  <c r="AI77"/>
  <c r="AL12" i="58"/>
  <c r="AG12"/>
  <c r="AK13"/>
  <c r="AL16"/>
  <c r="AG16"/>
  <c r="AL18"/>
  <c r="AG18"/>
  <c r="AI18" s="1"/>
  <c r="AK19"/>
  <c r="AL22"/>
  <c r="AG22"/>
  <c r="AI22" s="1"/>
  <c r="AL24"/>
  <c r="AG24"/>
  <c r="AI24" s="1"/>
  <c r="AK25"/>
  <c r="AL28"/>
  <c r="AG28"/>
  <c r="AL30"/>
  <c r="AG30"/>
  <c r="AK31"/>
  <c r="AL34"/>
  <c r="AG34"/>
  <c r="AL36"/>
  <c r="AG36"/>
  <c r="AK37"/>
  <c r="AL40"/>
  <c r="AG40"/>
  <c r="AL42"/>
  <c r="AG42"/>
  <c r="AK43"/>
  <c r="AL46"/>
  <c r="AG46"/>
  <c r="AL48"/>
  <c r="AG48"/>
  <c r="AK49"/>
  <c r="AL52"/>
  <c r="AG52"/>
  <c r="AL54"/>
  <c r="AG54"/>
  <c r="AK55"/>
  <c r="AL60"/>
  <c r="AG60"/>
  <c r="AI60" s="1"/>
  <c r="BA60"/>
  <c r="BB60" s="1"/>
  <c r="AL61"/>
  <c r="AG61"/>
  <c r="BA61"/>
  <c r="BB61" s="1"/>
  <c r="AL64"/>
  <c r="AG64"/>
  <c r="AI64" s="1"/>
  <c r="BA64"/>
  <c r="BB64" s="1"/>
  <c r="BA65"/>
  <c r="BB65" s="1"/>
  <c r="AL71"/>
  <c r="AG71"/>
  <c r="AK73"/>
  <c r="AK77"/>
  <c r="AK11" i="59"/>
  <c r="AK15"/>
  <c r="AL17"/>
  <c r="AG17"/>
  <c r="AL21"/>
  <c r="AG21"/>
  <c r="AK23"/>
  <c r="AK27"/>
  <c r="AL29"/>
  <c r="AG29"/>
  <c r="AL33"/>
  <c r="AG33"/>
  <c r="AK35"/>
  <c r="AL36"/>
  <c r="AG36"/>
  <c r="AL37"/>
  <c r="AK38"/>
  <c r="AK39"/>
  <c r="AL40"/>
  <c r="AG40"/>
  <c r="AK41"/>
  <c r="AL42"/>
  <c r="AG42"/>
  <c r="AL43"/>
  <c r="AK44"/>
  <c r="AK45"/>
  <c r="AL46"/>
  <c r="AG46"/>
  <c r="AK47"/>
  <c r="AL48"/>
  <c r="AG48"/>
  <c r="AL49"/>
  <c r="AK50"/>
  <c r="AK51"/>
  <c r="AL52"/>
  <c r="AG52"/>
  <c r="AK53"/>
  <c r="AL54"/>
  <c r="AG54"/>
  <c r="AL55"/>
  <c r="AK59"/>
  <c r="AL60"/>
  <c r="AG60"/>
  <c r="BA60"/>
  <c r="BB60" s="1"/>
  <c r="AK61"/>
  <c r="AK62"/>
  <c r="AK63"/>
  <c r="AL64"/>
  <c r="AG64"/>
  <c r="BA64"/>
  <c r="BB64" s="1"/>
  <c r="AL65"/>
  <c r="AG65"/>
  <c r="BA65"/>
  <c r="BB65" s="1"/>
  <c r="AK66"/>
  <c r="AL70"/>
  <c r="AL71"/>
  <c r="AG71"/>
  <c r="AL72"/>
  <c r="AL73"/>
  <c r="AG73"/>
  <c r="AK77"/>
  <c r="AL82"/>
  <c r="AL11" i="60"/>
  <c r="AG11"/>
  <c r="AK12"/>
  <c r="AL14"/>
  <c r="AG14"/>
  <c r="AL15"/>
  <c r="AG15"/>
  <c r="AK16"/>
  <c r="AL17"/>
  <c r="AG17"/>
  <c r="AK18"/>
  <c r="AL20"/>
  <c r="AG20"/>
  <c r="AL21"/>
  <c r="AG21"/>
  <c r="AK22"/>
  <c r="AL23"/>
  <c r="AG23"/>
  <c r="AK24"/>
  <c r="AL26"/>
  <c r="AG26"/>
  <c r="AL27"/>
  <c r="AG27"/>
  <c r="AK28"/>
  <c r="AL29"/>
  <c r="AG29"/>
  <c r="AK30"/>
  <c r="AL32"/>
  <c r="AG32"/>
  <c r="AL35"/>
  <c r="AG35"/>
  <c r="AI35" s="1"/>
  <c r="AI36"/>
  <c r="AL39"/>
  <c r="AG39"/>
  <c r="AI39" s="1"/>
  <c r="AI40"/>
  <c r="AI41"/>
  <c r="AK43"/>
  <c r="AK49"/>
  <c r="AK55"/>
  <c r="AG60"/>
  <c r="BA60"/>
  <c r="BB60" s="1"/>
  <c r="AG61"/>
  <c r="AG77"/>
  <c r="AI77" s="1"/>
  <c r="AI16" i="61"/>
  <c r="AI17"/>
  <c r="AI18"/>
  <c r="AK20"/>
  <c r="AK22"/>
  <c r="AI23"/>
  <c r="AG26"/>
  <c r="AG27"/>
  <c r="AG28"/>
  <c r="AG29"/>
  <c r="AG30"/>
  <c r="AG32"/>
  <c r="AG33"/>
  <c r="AG34"/>
  <c r="AG35"/>
  <c r="AG36"/>
  <c r="AG38"/>
  <c r="AG39"/>
  <c r="AG40"/>
  <c r="AG41"/>
  <c r="AG44"/>
  <c r="AG45"/>
  <c r="AG46"/>
  <c r="AG47"/>
  <c r="AG48"/>
  <c r="AG50"/>
  <c r="AG51"/>
  <c r="AG52"/>
  <c r="AG53"/>
  <c r="AG55"/>
  <c r="BA65"/>
  <c r="BB65" s="1"/>
  <c r="BA66"/>
  <c r="BB66" s="1"/>
  <c r="AG22" i="62"/>
  <c r="AG23"/>
  <c r="AG24"/>
  <c r="AG26"/>
  <c r="AG27"/>
  <c r="AG61"/>
  <c r="AI61" s="1"/>
  <c r="BA61"/>
  <c r="BB61" s="1"/>
  <c r="AG62"/>
  <c r="BA62"/>
  <c r="BB62" s="1"/>
  <c r="AG65"/>
  <c r="AI65" s="1"/>
  <c r="BA65"/>
  <c r="BB65" s="1"/>
  <c r="AG66"/>
  <c r="BA66"/>
  <c r="BB66" s="1"/>
  <c r="BA67"/>
  <c r="BB67" s="1"/>
  <c r="AG71"/>
  <c r="AI71" s="1"/>
  <c r="AG73"/>
  <c r="AI73" s="1"/>
  <c r="AG11" i="63"/>
  <c r="AG12"/>
  <c r="AG14"/>
  <c r="AG15"/>
  <c r="AG16"/>
  <c r="AG17"/>
  <c r="AG18"/>
  <c r="AG20"/>
  <c r="AG21"/>
  <c r="AG22"/>
  <c r="AG23"/>
  <c r="AG25"/>
  <c r="AG31"/>
  <c r="AG37"/>
  <c r="AG43"/>
  <c r="AG49"/>
  <c r="AG55"/>
  <c r="AG70"/>
  <c r="AI70" s="1"/>
  <c r="AG72"/>
  <c r="AG82"/>
  <c r="AG78" i="64"/>
  <c r="AG86"/>
  <c r="AG13" i="65"/>
  <c r="AI13" s="1"/>
  <c r="AG19"/>
  <c r="AI19" s="1"/>
  <c r="AG25"/>
  <c r="AI25" s="1"/>
  <c r="AG31"/>
  <c r="AI31" s="1"/>
  <c r="AG37"/>
  <c r="AI37" s="1"/>
  <c r="AG43"/>
  <c r="AI43" s="1"/>
  <c r="AG49"/>
  <c r="AI49" s="1"/>
  <c r="AG55"/>
  <c r="BA59"/>
  <c r="BB59" s="1"/>
  <c r="BA60"/>
  <c r="BB60" s="1"/>
  <c r="BA61"/>
  <c r="BB61" s="1"/>
  <c r="AG64"/>
  <c r="AI64" s="1"/>
  <c r="AK65"/>
  <c r="BA65"/>
  <c r="BB65" s="1"/>
  <c r="AK66"/>
  <c r="BA66"/>
  <c r="BB66" s="1"/>
  <c r="BA67"/>
  <c r="BB67" s="1"/>
  <c r="AG12" i="66"/>
  <c r="AG14"/>
  <c r="AI14" s="1"/>
  <c r="AG48"/>
  <c r="AG50"/>
  <c r="AG51"/>
  <c r="AG55"/>
  <c r="AG78" i="67"/>
  <c r="AG86"/>
  <c r="AG13" i="68"/>
  <c r="AG19"/>
  <c r="AG25"/>
  <c r="AG30"/>
  <c r="AG32"/>
  <c r="AG33"/>
  <c r="AG34"/>
  <c r="AG35"/>
  <c r="AG36"/>
  <c r="AG38"/>
  <c r="AG39"/>
  <c r="AG40"/>
  <c r="AG41"/>
  <c r="AG42"/>
  <c r="AG44"/>
  <c r="AG45"/>
  <c r="AG46"/>
  <c r="AG47"/>
  <c r="AG48"/>
  <c r="AG50"/>
  <c r="AG51"/>
  <c r="AG52"/>
  <c r="AG53"/>
  <c r="AG54"/>
  <c r="AG59"/>
  <c r="AG62"/>
  <c r="BA62"/>
  <c r="BB62" s="1"/>
  <c r="AG65"/>
  <c r="BA65"/>
  <c r="BB65" s="1"/>
  <c r="AG66"/>
  <c r="BA66"/>
  <c r="BB66" s="1"/>
  <c r="BA67"/>
  <c r="BB67" s="1"/>
  <c r="AG71"/>
  <c r="AG73"/>
  <c r="AG11" i="69"/>
  <c r="AG12"/>
  <c r="AG14"/>
  <c r="AG15"/>
  <c r="AG16"/>
  <c r="AG17"/>
  <c r="AG18"/>
  <c r="AL19"/>
  <c r="AK21"/>
  <c r="AG23"/>
  <c r="AG27"/>
  <c r="AK29"/>
  <c r="AL31"/>
  <c r="AK33"/>
  <c r="AG35"/>
  <c r="AG40"/>
  <c r="AK42"/>
  <c r="AG44"/>
  <c r="AG46"/>
  <c r="AK48"/>
  <c r="AK50"/>
  <c r="AG52"/>
  <c r="AG53"/>
  <c r="AG59"/>
  <c r="AG60"/>
  <c r="AG61"/>
  <c r="AG64"/>
  <c r="BA64"/>
  <c r="BB64" s="1"/>
  <c r="AG65"/>
  <c r="BA65"/>
  <c r="BB65" s="1"/>
  <c r="AG71"/>
  <c r="AG73"/>
  <c r="AG11" i="70"/>
  <c r="AG14"/>
  <c r="AG15"/>
  <c r="AG17"/>
  <c r="AG20"/>
  <c r="AG21"/>
  <c r="AG23"/>
  <c r="AG26"/>
  <c r="AG27"/>
  <c r="AG29"/>
  <c r="AG32"/>
  <c r="AG33"/>
  <c r="AG35"/>
  <c r="AG38"/>
  <c r="AG39"/>
  <c r="AG41"/>
  <c r="AG44"/>
  <c r="AG45"/>
  <c r="AL49"/>
  <c r="AI50"/>
  <c r="AK51"/>
  <c r="AG53"/>
  <c r="AI53" s="1"/>
  <c r="AI54"/>
  <c r="AI59"/>
  <c r="BA61"/>
  <c r="BB61" s="1"/>
  <c r="BA62"/>
  <c r="BB62" s="1"/>
  <c r="AI63"/>
  <c r="BA65"/>
  <c r="BB65" s="1"/>
  <c r="AG71"/>
  <c r="AK73"/>
  <c r="AK77"/>
  <c r="AG12" i="71"/>
  <c r="AI12" s="1"/>
  <c r="AG16"/>
  <c r="AG18"/>
  <c r="AI18" s="1"/>
  <c r="AG22"/>
  <c r="AI22" s="1"/>
  <c r="AG24"/>
  <c r="AI24" s="1"/>
  <c r="AG28"/>
  <c r="AI28" s="1"/>
  <c r="AG30"/>
  <c r="AI30" s="1"/>
  <c r="AG34"/>
  <c r="AI34" s="1"/>
  <c r="AG36"/>
  <c r="AI36" s="1"/>
  <c r="AG40"/>
  <c r="AI40" s="1"/>
  <c r="AG42"/>
  <c r="AI42" s="1"/>
  <c r="AG46"/>
  <c r="AI46" s="1"/>
  <c r="AG48"/>
  <c r="AI48" s="1"/>
  <c r="AK55"/>
  <c r="BA58"/>
  <c r="BB58" s="1"/>
  <c r="AL59"/>
  <c r="BA59"/>
  <c r="BB59" s="1"/>
  <c r="AL60"/>
  <c r="BA60"/>
  <c r="BB60" s="1"/>
  <c r="AL61"/>
  <c r="BA61"/>
  <c r="BB61" s="1"/>
  <c r="AL62"/>
  <c r="BA62"/>
  <c r="BB62" s="1"/>
  <c r="AL63"/>
  <c r="BA63"/>
  <c r="BB63" s="1"/>
  <c r="AL64"/>
  <c r="BA64"/>
  <c r="BB64" s="1"/>
  <c r="AL65"/>
  <c r="BA65"/>
  <c r="BB65" s="1"/>
  <c r="AL66"/>
  <c r="BA66"/>
  <c r="BB66" s="1"/>
  <c r="BA68"/>
  <c r="BB68" s="1"/>
  <c r="AL71"/>
  <c r="AL73"/>
  <c r="AL77"/>
  <c r="AL12" i="72"/>
  <c r="AL13"/>
  <c r="AG13"/>
  <c r="AL16"/>
  <c r="AL18"/>
  <c r="AL19"/>
  <c r="AG19"/>
  <c r="AL22"/>
  <c r="AL24"/>
  <c r="AL25"/>
  <c r="AG25"/>
  <c r="AL29"/>
  <c r="AG29"/>
  <c r="AH31"/>
  <c r="AL33"/>
  <c r="AG33"/>
  <c r="AL34"/>
  <c r="AG34"/>
  <c r="AL35"/>
  <c r="AG35"/>
  <c r="AL36"/>
  <c r="AG36"/>
  <c r="AL38"/>
  <c r="AG38"/>
  <c r="AL39"/>
  <c r="AG39"/>
  <c r="AL40"/>
  <c r="AG40"/>
  <c r="AL41"/>
  <c r="AG41"/>
  <c r="AL42"/>
  <c r="AG42"/>
  <c r="AL44"/>
  <c r="AG44"/>
  <c r="AL45"/>
  <c r="AG45"/>
  <c r="AL46"/>
  <c r="AG46"/>
  <c r="AL47"/>
  <c r="AG47"/>
  <c r="AL48"/>
  <c r="AG48"/>
  <c r="AL50"/>
  <c r="AG50"/>
  <c r="AK51"/>
  <c r="AK53"/>
  <c r="BA58"/>
  <c r="AK59"/>
  <c r="BA59"/>
  <c r="BB59" s="1"/>
  <c r="AK60"/>
  <c r="BA60"/>
  <c r="BB60" s="1"/>
  <c r="BA67"/>
  <c r="BB67" s="1"/>
  <c r="AL70"/>
  <c r="AG70"/>
  <c r="AI70" s="1"/>
  <c r="AK71"/>
  <c r="AL72"/>
  <c r="AG72"/>
  <c r="AI72" s="1"/>
  <c r="AK73"/>
  <c r="AL82"/>
  <c r="AG82"/>
  <c r="AI82" s="1"/>
  <c r="AK10" i="73"/>
  <c r="AK11"/>
  <c r="AK14"/>
  <c r="AL15"/>
  <c r="AK16"/>
  <c r="AL18"/>
  <c r="AG18"/>
  <c r="AL20"/>
  <c r="AG20"/>
  <c r="AL22"/>
  <c r="AG22"/>
  <c r="AK23"/>
  <c r="AL24"/>
  <c r="AG24"/>
  <c r="AL25"/>
  <c r="AK26"/>
  <c r="AK27"/>
  <c r="AL28"/>
  <c r="AG28"/>
  <c r="AK29"/>
  <c r="AL30"/>
  <c r="AG30"/>
  <c r="AL31"/>
  <c r="AK32"/>
  <c r="AK33"/>
  <c r="AL34"/>
  <c r="AG34"/>
  <c r="AK35"/>
  <c r="AL36"/>
  <c r="AG36"/>
  <c r="AL37"/>
  <c r="AK38"/>
  <c r="AK39"/>
  <c r="AL40"/>
  <c r="AG40"/>
  <c r="AK41"/>
  <c r="AL42"/>
  <c r="AG42"/>
  <c r="AL43"/>
  <c r="AK44"/>
  <c r="AK45"/>
  <c r="AL46"/>
  <c r="AG46"/>
  <c r="AK47"/>
  <c r="AL48"/>
  <c r="AG48"/>
  <c r="AL49"/>
  <c r="AK50"/>
  <c r="AK51"/>
  <c r="AL52"/>
  <c r="AG52"/>
  <c r="AK53"/>
  <c r="AK54"/>
  <c r="AL55"/>
  <c r="AG55"/>
  <c r="BA65"/>
  <c r="BB65" s="1"/>
  <c r="AK66"/>
  <c r="BA66"/>
  <c r="BB66" s="1"/>
  <c r="BA68"/>
  <c r="BB68" s="1"/>
  <c r="AK71"/>
  <c r="AK73"/>
  <c r="AK77"/>
  <c r="AL11" i="74"/>
  <c r="AG11"/>
  <c r="AL12"/>
  <c r="AG12"/>
  <c r="AL14"/>
  <c r="AG14"/>
  <c r="AL15"/>
  <c r="AG15"/>
  <c r="AL16"/>
  <c r="AG16"/>
  <c r="AL17"/>
  <c r="AG17"/>
  <c r="AL18"/>
  <c r="AG18"/>
  <c r="AL20"/>
  <c r="AG20"/>
  <c r="AL21"/>
  <c r="AG21"/>
  <c r="AL22"/>
  <c r="AG22"/>
  <c r="AL23"/>
  <c r="AG23"/>
  <c r="AL24"/>
  <c r="AG24"/>
  <c r="AL26"/>
  <c r="AG26"/>
  <c r="AL27"/>
  <c r="AG27"/>
  <c r="AL28"/>
  <c r="AG28"/>
  <c r="AL29"/>
  <c r="AG29"/>
  <c r="AL30"/>
  <c r="AG30"/>
  <c r="AL32"/>
  <c r="AG32"/>
  <c r="AL33"/>
  <c r="AG33"/>
  <c r="AK34"/>
  <c r="AL35"/>
  <c r="AG35"/>
  <c r="AI35" s="1"/>
  <c r="AI36"/>
  <c r="AH37"/>
  <c r="AL39"/>
  <c r="AG39"/>
  <c r="AI39" s="1"/>
  <c r="AI40"/>
  <c r="AK43"/>
  <c r="AK49"/>
  <c r="AK55"/>
  <c r="AL59"/>
  <c r="AG59"/>
  <c r="BA59"/>
  <c r="BB59" s="1"/>
  <c r="AL60"/>
  <c r="AG60"/>
  <c r="BA60"/>
  <c r="BB60" s="1"/>
  <c r="AL63"/>
  <c r="AG63"/>
  <c r="BA63"/>
  <c r="BB63" s="1"/>
  <c r="AL64"/>
  <c r="AG64"/>
  <c r="BA64"/>
  <c r="BB64" s="1"/>
  <c r="AL66"/>
  <c r="AG66"/>
  <c r="AI66" s="1"/>
  <c r="BA66"/>
  <c r="BB66" s="1"/>
  <c r="BA68"/>
  <c r="BB68" s="1"/>
  <c r="AL77"/>
  <c r="AG77"/>
  <c r="AI77" s="1"/>
  <c r="AK78"/>
  <c r="AK86"/>
  <c r="AL12" i="75"/>
  <c r="AG12"/>
  <c r="AI12" s="1"/>
  <c r="AK13"/>
  <c r="AK17"/>
  <c r="AK21"/>
  <c r="AL24"/>
  <c r="AG24"/>
  <c r="AL26"/>
  <c r="AG26"/>
  <c r="AL27"/>
  <c r="AG27"/>
  <c r="AL28"/>
  <c r="AG28"/>
  <c r="AL29"/>
  <c r="AG29"/>
  <c r="AL30"/>
  <c r="AG30"/>
  <c r="AL32"/>
  <c r="AG32"/>
  <c r="AL33"/>
  <c r="AG33"/>
  <c r="AL34"/>
  <c r="AG34"/>
  <c r="AL35"/>
  <c r="AG35"/>
  <c r="AL36"/>
  <c r="AG36"/>
  <c r="AL38"/>
  <c r="AG38"/>
  <c r="AL39"/>
  <c r="AG39"/>
  <c r="AL40"/>
  <c r="AG40"/>
  <c r="AL41"/>
  <c r="AG41"/>
  <c r="AL42"/>
  <c r="AG42"/>
  <c r="AL44"/>
  <c r="AG44"/>
  <c r="AL45"/>
  <c r="AG45"/>
  <c r="AL46"/>
  <c r="AG46"/>
  <c r="AL47"/>
  <c r="AG47"/>
  <c r="AL48"/>
  <c r="AG48"/>
  <c r="AL50"/>
  <c r="AG50"/>
  <c r="AL51"/>
  <c r="AG51"/>
  <c r="AL52"/>
  <c r="AG52"/>
  <c r="AL53"/>
  <c r="AG53"/>
  <c r="AK54"/>
  <c r="AL55"/>
  <c r="AG55"/>
  <c r="AK59"/>
  <c r="BA59"/>
  <c r="BB59" s="1"/>
  <c r="AK60"/>
  <c r="BA60"/>
  <c r="BB60" s="1"/>
  <c r="BA65"/>
  <c r="BB65" s="1"/>
  <c r="BA66"/>
  <c r="BB66" s="1"/>
  <c r="BA68"/>
  <c r="BB68" s="1"/>
  <c r="AK47" i="66"/>
  <c r="AK48"/>
  <c r="AL49"/>
  <c r="AK50"/>
  <c r="AK51"/>
  <c r="AK53"/>
  <c r="AK59"/>
  <c r="AK60"/>
  <c r="AK61"/>
  <c r="AK62"/>
  <c r="AK63"/>
  <c r="AK64"/>
  <c r="AK65"/>
  <c r="AK66"/>
  <c r="AK71"/>
  <c r="AK73"/>
  <c r="AK77"/>
  <c r="AK12" i="67"/>
  <c r="AL13"/>
  <c r="AG13"/>
  <c r="AK16"/>
  <c r="AK18"/>
  <c r="AL19"/>
  <c r="AG19"/>
  <c r="AK22"/>
  <c r="AK24"/>
  <c r="AL25"/>
  <c r="AG25"/>
  <c r="AK28"/>
  <c r="AK30"/>
  <c r="AL31"/>
  <c r="AG31"/>
  <c r="AK34"/>
  <c r="AK36"/>
  <c r="AL37"/>
  <c r="AG37"/>
  <c r="AK40"/>
  <c r="AK42"/>
  <c r="AL43"/>
  <c r="AG43"/>
  <c r="AK46"/>
  <c r="AK48"/>
  <c r="AL49"/>
  <c r="AG49"/>
  <c r="AK52"/>
  <c r="AK54"/>
  <c r="AL55"/>
  <c r="AG55"/>
  <c r="AL70"/>
  <c r="AG70"/>
  <c r="AI70" s="1"/>
  <c r="AK71"/>
  <c r="AL72"/>
  <c r="AG72"/>
  <c r="AK73"/>
  <c r="AL82"/>
  <c r="AG82"/>
  <c r="AK11" i="68"/>
  <c r="AK14"/>
  <c r="AK15"/>
  <c r="AK17"/>
  <c r="AK20"/>
  <c r="AK21"/>
  <c r="AK23"/>
  <c r="AK26"/>
  <c r="AK27"/>
  <c r="AK29"/>
  <c r="AK30"/>
  <c r="AL31"/>
  <c r="AK32"/>
  <c r="AK33"/>
  <c r="AK34"/>
  <c r="AK35"/>
  <c r="AK36"/>
  <c r="AL37"/>
  <c r="AK38"/>
  <c r="AK39"/>
  <c r="AK40"/>
  <c r="AK41"/>
  <c r="AK42"/>
  <c r="AL43"/>
  <c r="AK44"/>
  <c r="AK45"/>
  <c r="AK46"/>
  <c r="AK47"/>
  <c r="AK48"/>
  <c r="AL49"/>
  <c r="AK50"/>
  <c r="AK51"/>
  <c r="AK52"/>
  <c r="AK53"/>
  <c r="AK54"/>
  <c r="AL55"/>
  <c r="AK59"/>
  <c r="AL60"/>
  <c r="AG60"/>
  <c r="BA60"/>
  <c r="BB60" s="1"/>
  <c r="AL61"/>
  <c r="AG61"/>
  <c r="BA61"/>
  <c r="BB61" s="1"/>
  <c r="AK62"/>
  <c r="AL63"/>
  <c r="AG63"/>
  <c r="BA63"/>
  <c r="BB63" s="1"/>
  <c r="AL64"/>
  <c r="AG64"/>
  <c r="AK65"/>
  <c r="AK66"/>
  <c r="AK71"/>
  <c r="AK73"/>
  <c r="AL77"/>
  <c r="AG77"/>
  <c r="AL78"/>
  <c r="AL86"/>
  <c r="AK11" i="69"/>
  <c r="AK12"/>
  <c r="AL13"/>
  <c r="AK14"/>
  <c r="AK15"/>
  <c r="AK16"/>
  <c r="AK17"/>
  <c r="AK18"/>
  <c r="AL21"/>
  <c r="AG21"/>
  <c r="AI21" s="1"/>
  <c r="AI22"/>
  <c r="AK23"/>
  <c r="AI26"/>
  <c r="AK27"/>
  <c r="AL29"/>
  <c r="AG29"/>
  <c r="AI29" s="1"/>
  <c r="AI30"/>
  <c r="AL33"/>
  <c r="AG33"/>
  <c r="AI33" s="1"/>
  <c r="AI34"/>
  <c r="AK35"/>
  <c r="AI38"/>
  <c r="AI39"/>
  <c r="AK40"/>
  <c r="AL42"/>
  <c r="AG42"/>
  <c r="AI42" s="1"/>
  <c r="AK44"/>
  <c r="AK46"/>
  <c r="AL48"/>
  <c r="AG48"/>
  <c r="AL50"/>
  <c r="AG50"/>
  <c r="AI50" s="1"/>
  <c r="AI51"/>
  <c r="AK52"/>
  <c r="AK53"/>
  <c r="AL54"/>
  <c r="AG54"/>
  <c r="AL55"/>
  <c r="AK59"/>
  <c r="AK60"/>
  <c r="AK61"/>
  <c r="AL62"/>
  <c r="AG62"/>
  <c r="BA62"/>
  <c r="BB62" s="1"/>
  <c r="AL63"/>
  <c r="AG63"/>
  <c r="BA63"/>
  <c r="BB63" s="1"/>
  <c r="AK64"/>
  <c r="AK65"/>
  <c r="AL66"/>
  <c r="AG66"/>
  <c r="BA66"/>
  <c r="BB66" s="1"/>
  <c r="AK71"/>
  <c r="AK73"/>
  <c r="AL77"/>
  <c r="AG77"/>
  <c r="AL78"/>
  <c r="AL86"/>
  <c r="AK11" i="70"/>
  <c r="AL12"/>
  <c r="AG12"/>
  <c r="AL13"/>
  <c r="AK14"/>
  <c r="AK15"/>
  <c r="AL16"/>
  <c r="AG16"/>
  <c r="AK17"/>
  <c r="AL18"/>
  <c r="AG18"/>
  <c r="AL19"/>
  <c r="AK20"/>
  <c r="AK21"/>
  <c r="AL22"/>
  <c r="AG22"/>
  <c r="AK23"/>
  <c r="AL24"/>
  <c r="AG24"/>
  <c r="AL25"/>
  <c r="AK26"/>
  <c r="AK27"/>
  <c r="AL28"/>
  <c r="AG28"/>
  <c r="AK29"/>
  <c r="AL30"/>
  <c r="AG30"/>
  <c r="AL31"/>
  <c r="AK32"/>
  <c r="AK33"/>
  <c r="AL34"/>
  <c r="AG34"/>
  <c r="AK35"/>
  <c r="AL36"/>
  <c r="AG36"/>
  <c r="AL37"/>
  <c r="AK38"/>
  <c r="AK39"/>
  <c r="AL40"/>
  <c r="AG40"/>
  <c r="AK41"/>
  <c r="AL42"/>
  <c r="AG42"/>
  <c r="AL43"/>
  <c r="AK44"/>
  <c r="AK45"/>
  <c r="AL46"/>
  <c r="AG46"/>
  <c r="AL51"/>
  <c r="AG51"/>
  <c r="AK53"/>
  <c r="BA59"/>
  <c r="BB59" s="1"/>
  <c r="BA60"/>
  <c r="BB60" s="1"/>
  <c r="AI61"/>
  <c r="BA63"/>
  <c r="BB63" s="1"/>
  <c r="BA64"/>
  <c r="BB64" s="1"/>
  <c r="AI65"/>
  <c r="BA66"/>
  <c r="BB66" s="1"/>
  <c r="AK71"/>
  <c r="AL72"/>
  <c r="AL73"/>
  <c r="AG73"/>
  <c r="AI73" s="1"/>
  <c r="AL77"/>
  <c r="AG77"/>
  <c r="AI77" s="1"/>
  <c r="AL82"/>
  <c r="AL11" i="71"/>
  <c r="AG11"/>
  <c r="AL14"/>
  <c r="AG14"/>
  <c r="AL15"/>
  <c r="AG15"/>
  <c r="AI15" s="1"/>
  <c r="AL17"/>
  <c r="AG17"/>
  <c r="AL20"/>
  <c r="AG20"/>
  <c r="AL21"/>
  <c r="AG21"/>
  <c r="AL23"/>
  <c r="AG23"/>
  <c r="AL26"/>
  <c r="AG26"/>
  <c r="AI26" s="1"/>
  <c r="AL27"/>
  <c r="AG27"/>
  <c r="AL29"/>
  <c r="AG29"/>
  <c r="AL32"/>
  <c r="AG32"/>
  <c r="AL33"/>
  <c r="AG33"/>
  <c r="AL35"/>
  <c r="AG35"/>
  <c r="AL38"/>
  <c r="AG38"/>
  <c r="AI38" s="1"/>
  <c r="AL39"/>
  <c r="AG39"/>
  <c r="AL41"/>
  <c r="AG41"/>
  <c r="AL44"/>
  <c r="AG44"/>
  <c r="AL45"/>
  <c r="AG45"/>
  <c r="AL47"/>
  <c r="AG47"/>
  <c r="AL50"/>
  <c r="AG50"/>
  <c r="AI50" s="1"/>
  <c r="AL51"/>
  <c r="AG51"/>
  <c r="AG55"/>
  <c r="AI28" i="72"/>
  <c r="AK29"/>
  <c r="AG55"/>
  <c r="BA61"/>
  <c r="BB61" s="1"/>
  <c r="BA62"/>
  <c r="BB62" s="1"/>
  <c r="BA63"/>
  <c r="BB63" s="1"/>
  <c r="BA64"/>
  <c r="BB64" s="1"/>
  <c r="BA65"/>
  <c r="BB65" s="1"/>
  <c r="BA66"/>
  <c r="BB66" s="1"/>
  <c r="AG78"/>
  <c r="AG86"/>
  <c r="AG13" i="73"/>
  <c r="AG16"/>
  <c r="AK18"/>
  <c r="AK20"/>
  <c r="AG23"/>
  <c r="AG26"/>
  <c r="AG27"/>
  <c r="AG29"/>
  <c r="AG32"/>
  <c r="AG33"/>
  <c r="AG35"/>
  <c r="AG38"/>
  <c r="AG39"/>
  <c r="AG41"/>
  <c r="AG44"/>
  <c r="AG45"/>
  <c r="AG47"/>
  <c r="AG50"/>
  <c r="AG51"/>
  <c r="AG53"/>
  <c r="AG34" i="74"/>
  <c r="AK35"/>
  <c r="AK39"/>
  <c r="AG41"/>
  <c r="AG42"/>
  <c r="AG44"/>
  <c r="AG45"/>
  <c r="AG46"/>
  <c r="AI46" s="1"/>
  <c r="AG47"/>
  <c r="AG48"/>
  <c r="AG50"/>
  <c r="AG51"/>
  <c r="AI51" s="1"/>
  <c r="AG52"/>
  <c r="AG53"/>
  <c r="AG54"/>
  <c r="AG61"/>
  <c r="AI61" s="1"/>
  <c r="BA61"/>
  <c r="BB61" s="1"/>
  <c r="AG62"/>
  <c r="AI62" s="1"/>
  <c r="BA62"/>
  <c r="BB62" s="1"/>
  <c r="AG65"/>
  <c r="AI65" s="1"/>
  <c r="AF65" s="1"/>
  <c r="Y65" s="1"/>
  <c r="BA65"/>
  <c r="BB65" s="1"/>
  <c r="AG71"/>
  <c r="AI71" s="1"/>
  <c r="AG73"/>
  <c r="AG11" i="75"/>
  <c r="AG14"/>
  <c r="AI14" s="1"/>
  <c r="AG17"/>
  <c r="AI17" s="1"/>
  <c r="AI18"/>
  <c r="AG21"/>
  <c r="AI21" s="1"/>
  <c r="AI22"/>
  <c r="AI23"/>
  <c r="BA61"/>
  <c r="BB61" s="1"/>
  <c r="BA62"/>
  <c r="BB62" s="1"/>
  <c r="BA63"/>
  <c r="BB63" s="1"/>
  <c r="AK64"/>
  <c r="BA64"/>
  <c r="BB64" s="1"/>
  <c r="AK65"/>
  <c r="AL70"/>
  <c r="AL72"/>
  <c r="AL78"/>
  <c r="AL82"/>
  <c r="AL86"/>
  <c r="AL10" i="60"/>
  <c r="AL10" i="61"/>
  <c r="AL10" i="62"/>
  <c r="AL10" i="69"/>
  <c r="AL10" i="71"/>
  <c r="AL10" i="74"/>
  <c r="AL10" i="75"/>
  <c r="AL10" i="56"/>
  <c r="AL10" i="66"/>
  <c r="AK10" i="68"/>
  <c r="AL10" i="70"/>
  <c r="AG10" i="56"/>
  <c r="AG10" i="61"/>
  <c r="AI10" i="63"/>
  <c r="AG10" i="66"/>
  <c r="AI10" s="1"/>
  <c r="AK10" i="69"/>
  <c r="AK10" i="70"/>
  <c r="AG10" i="74"/>
  <c r="AG10" i="57"/>
  <c r="AG10" i="60"/>
  <c r="AG10" i="62"/>
  <c r="AK10" i="66"/>
  <c r="AG10" i="69"/>
  <c r="AG10" i="70"/>
  <c r="AG10" i="71"/>
  <c r="AK10" i="74"/>
  <c r="AG10" i="75"/>
  <c r="AI10" s="1"/>
  <c r="AK9" i="60"/>
  <c r="AK9" i="69"/>
  <c r="AK9" i="70"/>
  <c r="AK9" i="74"/>
  <c r="AL9" i="58"/>
  <c r="AK9" i="59"/>
  <c r="AL9" i="61"/>
  <c r="AL9" i="62"/>
  <c r="AK9" i="63"/>
  <c r="AK9" i="64"/>
  <c r="AK9" i="67"/>
  <c r="AL9" i="69"/>
  <c r="AL9" i="70"/>
  <c r="AL9" i="72"/>
  <c r="AK9" i="73"/>
  <c r="AL9" i="74"/>
  <c r="AL9" i="56"/>
  <c r="AL9" i="57"/>
  <c r="AK9" i="58"/>
  <c r="AL9" i="59"/>
  <c r="AL9" i="60"/>
  <c r="AL9" i="63"/>
  <c r="AI9"/>
  <c r="AK9" i="65"/>
  <c r="AK9" i="68"/>
  <c r="AL9" i="71"/>
  <c r="AL9" i="75"/>
  <c r="AI9"/>
  <c r="E74" i="22"/>
  <c r="AK8" i="60"/>
  <c r="AL8" i="61"/>
  <c r="AL8" i="62"/>
  <c r="AK8" i="64"/>
  <c r="AK8" i="65"/>
  <c r="AL8" i="74"/>
  <c r="AL8" i="56"/>
  <c r="AL8" i="57"/>
  <c r="AL8" i="60"/>
  <c r="AL8" i="63"/>
  <c r="AL8" i="66"/>
  <c r="AK8"/>
  <c r="AK8" i="67"/>
  <c r="AL8" i="69"/>
  <c r="AL8" i="70"/>
  <c r="AL8" i="72"/>
  <c r="AK8" i="73"/>
  <c r="AL8" i="75"/>
  <c r="E7" i="22"/>
  <c r="AG8" i="69"/>
  <c r="AK8" i="70"/>
  <c r="AK8" i="74"/>
  <c r="E14" i="22"/>
  <c r="E75"/>
  <c r="E16"/>
  <c r="E83"/>
  <c r="E65"/>
  <c r="E78"/>
  <c r="E70"/>
  <c r="E61"/>
  <c r="AG8" i="57"/>
  <c r="AI8" s="1"/>
  <c r="AG8" i="62"/>
  <c r="AG8" i="63"/>
  <c r="AI8" s="1"/>
  <c r="AG8" i="56"/>
  <c r="AI8" i="58"/>
  <c r="AI8" i="59"/>
  <c r="AG8" i="60"/>
  <c r="AG8" i="61"/>
  <c r="AG8" i="66"/>
  <c r="AK8" i="69"/>
  <c r="AG8" i="70"/>
  <c r="AG8" i="71"/>
  <c r="AG8" i="72"/>
  <c r="AI8" s="1"/>
  <c r="AG8" i="74"/>
  <c r="AG8" i="75"/>
  <c r="AI8" s="1"/>
  <c r="E42" i="22"/>
  <c r="E89" i="69"/>
  <c r="D64"/>
  <c r="F70" s="1"/>
  <c r="D77" s="1"/>
  <c r="D86" s="1"/>
  <c r="AI46"/>
  <c r="AI47"/>
  <c r="E91"/>
  <c r="D59"/>
  <c r="D71" s="1"/>
  <c r="F77" s="1"/>
  <c r="D82" s="1"/>
  <c r="E92"/>
  <c r="D61"/>
  <c r="D73" s="1"/>
  <c r="F78" s="1"/>
  <c r="F82" s="1"/>
  <c r="E90"/>
  <c r="D65"/>
  <c r="D72" s="1"/>
  <c r="D78" s="1"/>
  <c r="F86" s="1"/>
  <c r="AI8" i="71"/>
  <c r="AI14"/>
  <c r="AI20"/>
  <c r="AI32"/>
  <c r="AI44"/>
  <c r="E95" i="22"/>
  <c r="E39"/>
  <c r="E25"/>
  <c r="E21"/>
  <c r="E92"/>
  <c r="E10"/>
  <c r="E64"/>
  <c r="E54"/>
  <c r="U3" i="75"/>
  <c r="Q3"/>
  <c r="F57" i="22" s="1"/>
  <c r="AI16" i="75"/>
  <c r="AI20"/>
  <c r="U3" i="74"/>
  <c r="Q3"/>
  <c r="F9" i="22" s="1"/>
  <c r="AI38" i="74"/>
  <c r="AI41"/>
  <c r="AI45"/>
  <c r="AI47"/>
  <c r="AI53"/>
  <c r="AI60"/>
  <c r="AI64"/>
  <c r="AI73"/>
  <c r="Q3" i="71"/>
  <c r="F22" i="22" s="1"/>
  <c r="AI20" i="73"/>
  <c r="AI21"/>
  <c r="D61"/>
  <c r="D73" s="1"/>
  <c r="F78" s="1"/>
  <c r="F86" s="1"/>
  <c r="E89" s="1"/>
  <c r="F59"/>
  <c r="D71" s="1"/>
  <c r="F77" s="1"/>
  <c r="D82" s="1"/>
  <c r="E92" s="1"/>
  <c r="F64"/>
  <c r="F70" s="1"/>
  <c r="D77" s="1"/>
  <c r="D86" s="1"/>
  <c r="E90" s="1"/>
  <c r="D66"/>
  <c r="F72" s="1"/>
  <c r="D78" s="1"/>
  <c r="F82" s="1"/>
  <c r="E91" s="1"/>
  <c r="AI16"/>
  <c r="AI17"/>
  <c r="Q3"/>
  <c r="F94" i="22" s="1"/>
  <c r="AI18" i="73"/>
  <c r="U3" i="72"/>
  <c r="Q3"/>
  <c r="F5" i="22" s="1"/>
  <c r="AI29" i="72"/>
  <c r="AI30"/>
  <c r="U3" i="71"/>
  <c r="U3" i="70"/>
  <c r="AI48"/>
  <c r="AI51"/>
  <c r="AI52"/>
  <c r="BB58"/>
  <c r="AI60"/>
  <c r="AI62"/>
  <c r="AI64"/>
  <c r="AI66"/>
  <c r="AI71"/>
  <c r="Q3" i="69"/>
  <c r="F3" i="22" s="1"/>
  <c r="AI20" i="69"/>
  <c r="AI23"/>
  <c r="AI24"/>
  <c r="AI27"/>
  <c r="AI28"/>
  <c r="AI32"/>
  <c r="AI35"/>
  <c r="AI36"/>
  <c r="AI40"/>
  <c r="AI41"/>
  <c r="AI44"/>
  <c r="AI45"/>
  <c r="AI48"/>
  <c r="AI52"/>
  <c r="BB58"/>
  <c r="U3" i="68"/>
  <c r="Q3"/>
  <c r="F13" i="22" s="1"/>
  <c r="AI13" i="68"/>
  <c r="AI19"/>
  <c r="AI25"/>
  <c r="BB59"/>
  <c r="U3" i="67"/>
  <c r="Q3"/>
  <c r="F18" i="22" s="1"/>
  <c r="AI13" i="67"/>
  <c r="AI19"/>
  <c r="AI25"/>
  <c r="AI31"/>
  <c r="AI37"/>
  <c r="AI43"/>
  <c r="AI49"/>
  <c r="AI55"/>
  <c r="AI72"/>
  <c r="AI82"/>
  <c r="U3" i="66"/>
  <c r="Q3"/>
  <c r="F58" i="22" s="1"/>
  <c r="AI8" i="66"/>
  <c r="AI9"/>
  <c r="AI12"/>
  <c r="AI55"/>
  <c r="U3" i="65"/>
  <c r="AI71"/>
  <c r="AI77"/>
  <c r="U3" i="64"/>
  <c r="Q3"/>
  <c r="F30" i="22" s="1"/>
  <c r="AI13" i="64"/>
  <c r="AI19"/>
  <c r="AI25"/>
  <c r="AI31"/>
  <c r="AI37"/>
  <c r="AI43"/>
  <c r="AI49"/>
  <c r="AI55"/>
  <c r="AI82"/>
  <c r="U3" i="63"/>
  <c r="AI25"/>
  <c r="AI31"/>
  <c r="AI37"/>
  <c r="AI43"/>
  <c r="AI49"/>
  <c r="AI55"/>
  <c r="AI72"/>
  <c r="AI82"/>
  <c r="Q3"/>
  <c r="F32" i="22" s="1"/>
  <c r="Q3" i="62"/>
  <c r="F44" i="22" s="1"/>
  <c r="U3" i="62"/>
  <c r="AI9"/>
  <c r="AI10"/>
  <c r="AI11"/>
  <c r="AI16"/>
  <c r="AI22"/>
  <c r="AI23"/>
  <c r="AI28"/>
  <c r="AI33"/>
  <c r="AI36"/>
  <c r="AI38"/>
  <c r="AI39"/>
  <c r="AI41"/>
  <c r="AI42"/>
  <c r="AI44"/>
  <c r="AI45"/>
  <c r="AI47"/>
  <c r="AI52"/>
  <c r="AI54"/>
  <c r="U3" i="61"/>
  <c r="AI9"/>
  <c r="AI10"/>
  <c r="AI12"/>
  <c r="AI14"/>
  <c r="AI20"/>
  <c r="AI21"/>
  <c r="Q3"/>
  <c r="F33" i="22" s="1"/>
  <c r="U3" i="57"/>
  <c r="Q3"/>
  <c r="F67" i="22" s="1"/>
  <c r="AI73" i="57"/>
  <c r="AI12"/>
  <c r="AI14"/>
  <c r="AI15"/>
  <c r="AI18"/>
  <c r="AI20"/>
  <c r="AI22"/>
  <c r="AI24"/>
  <c r="AI26"/>
  <c r="AI28"/>
  <c r="AI30"/>
  <c r="AI32"/>
  <c r="AI34"/>
  <c r="AI36"/>
  <c r="AI38"/>
  <c r="AI46"/>
  <c r="AI47"/>
  <c r="AI50"/>
  <c r="AI51"/>
  <c r="AI54"/>
  <c r="BB58"/>
  <c r="AI59"/>
  <c r="AI60"/>
  <c r="AI61"/>
  <c r="AI62"/>
  <c r="AI63"/>
  <c r="AI64"/>
  <c r="AI65"/>
  <c r="AI66"/>
  <c r="U3" i="59"/>
  <c r="AI9"/>
  <c r="AI10"/>
  <c r="AI14"/>
  <c r="AI17"/>
  <c r="AI18"/>
  <c r="AI21"/>
  <c r="AI22"/>
  <c r="AI26"/>
  <c r="AI29"/>
  <c r="AI30"/>
  <c r="AI33"/>
  <c r="AI34"/>
  <c r="BB58"/>
  <c r="U3" i="60"/>
  <c r="Q3"/>
  <c r="F48" i="22" s="1"/>
  <c r="AI34" i="60"/>
  <c r="AI38"/>
  <c r="AI42"/>
  <c r="AI44"/>
  <c r="AI46"/>
  <c r="AI48"/>
  <c r="AI50"/>
  <c r="AI52"/>
  <c r="AI54"/>
  <c r="Q3" i="58"/>
  <c r="F24" i="22" s="1"/>
  <c r="U3" i="58"/>
  <c r="AI9"/>
  <c r="AI10"/>
  <c r="BB58"/>
  <c r="AI66"/>
  <c r="AI71"/>
  <c r="AI73"/>
  <c r="AI77"/>
  <c r="U3" i="56"/>
  <c r="AI8"/>
  <c r="AI12"/>
  <c r="AI15"/>
  <c r="AI18"/>
  <c r="AI20"/>
  <c r="AI21"/>
  <c r="AI24"/>
  <c r="AI26"/>
  <c r="AI29"/>
  <c r="AI30"/>
  <c r="AI32"/>
  <c r="AI34"/>
  <c r="AI35"/>
  <c r="AI40"/>
  <c r="AI45"/>
  <c r="AI47"/>
  <c r="AI51"/>
  <c r="AI53"/>
  <c r="AI60"/>
  <c r="AI62"/>
  <c r="AI64"/>
  <c r="AI66"/>
  <c r="AI77"/>
  <c r="AK37" i="74"/>
  <c r="AG37"/>
  <c r="AI37" s="1"/>
  <c r="AH8"/>
  <c r="AI8" s="1"/>
  <c r="AJ8"/>
  <c r="AH9"/>
  <c r="AI9" s="1"/>
  <c r="AJ9"/>
  <c r="AH10"/>
  <c r="AI10" s="1"/>
  <c r="AJ10"/>
  <c r="AF10" s="1"/>
  <c r="Y10" s="1"/>
  <c r="AH11"/>
  <c r="AI11" s="1"/>
  <c r="AF11" s="1"/>
  <c r="Y11" s="1"/>
  <c r="AJ11"/>
  <c r="AH12"/>
  <c r="AI12" s="1"/>
  <c r="AF12" s="1"/>
  <c r="Y12" s="1"/>
  <c r="AJ12"/>
  <c r="AG13"/>
  <c r="AI13" s="1"/>
  <c r="AK13"/>
  <c r="AH14"/>
  <c r="AI14" s="1"/>
  <c r="AF14" s="1"/>
  <c r="Y14" s="1"/>
  <c r="AJ14"/>
  <c r="AH15"/>
  <c r="AI15" s="1"/>
  <c r="AJ15"/>
  <c r="AH16"/>
  <c r="AI16" s="1"/>
  <c r="AF16" s="1"/>
  <c r="Y16" s="1"/>
  <c r="AJ16"/>
  <c r="AH17"/>
  <c r="AI17" s="1"/>
  <c r="AF17" s="1"/>
  <c r="Y17" s="1"/>
  <c r="AJ17"/>
  <c r="AH18"/>
  <c r="AI18" s="1"/>
  <c r="AF18" s="1"/>
  <c r="Y18" s="1"/>
  <c r="AJ18"/>
  <c r="AG19"/>
  <c r="AI19" s="1"/>
  <c r="AK19"/>
  <c r="AH20"/>
  <c r="AI20" s="1"/>
  <c r="AF20" s="1"/>
  <c r="Y20" s="1"/>
  <c r="AJ20"/>
  <c r="AH21"/>
  <c r="AJ21"/>
  <c r="AH22"/>
  <c r="AI22" s="1"/>
  <c r="AJ22"/>
  <c r="AF22" s="1"/>
  <c r="Y22" s="1"/>
  <c r="AH23"/>
  <c r="AI23" s="1"/>
  <c r="AJ23"/>
  <c r="AF23" s="1"/>
  <c r="Y23" s="1"/>
  <c r="AH24"/>
  <c r="AI24" s="1"/>
  <c r="AF24" s="1"/>
  <c r="Y24" s="1"/>
  <c r="AJ24"/>
  <c r="AG25"/>
  <c r="AI25" s="1"/>
  <c r="AK25"/>
  <c r="AH26"/>
  <c r="AI26" s="1"/>
  <c r="AF26" s="1"/>
  <c r="Y26" s="1"/>
  <c r="AJ26"/>
  <c r="AH27"/>
  <c r="AI27" s="1"/>
  <c r="AF27" s="1"/>
  <c r="Y27" s="1"/>
  <c r="AJ27"/>
  <c r="AH28"/>
  <c r="AI28" s="1"/>
  <c r="AJ28"/>
  <c r="AH29"/>
  <c r="AI29" s="1"/>
  <c r="AJ29"/>
  <c r="AH30"/>
  <c r="AI30" s="1"/>
  <c r="AF30" s="1"/>
  <c r="Y30" s="1"/>
  <c r="AJ30"/>
  <c r="AG31"/>
  <c r="AI31" s="1"/>
  <c r="AK31"/>
  <c r="AH32"/>
  <c r="AI32" s="1"/>
  <c r="AF32" s="1"/>
  <c r="Y32" s="1"/>
  <c r="AJ32"/>
  <c r="AH33"/>
  <c r="AI33" s="1"/>
  <c r="AJ33"/>
  <c r="AH34"/>
  <c r="AI34" s="1"/>
  <c r="AF34" s="1"/>
  <c r="Y34" s="1"/>
  <c r="AJ34"/>
  <c r="AL36"/>
  <c r="AK36"/>
  <c r="AF37"/>
  <c r="Y37" s="1"/>
  <c r="AJ37"/>
  <c r="AL38"/>
  <c r="AK38"/>
  <c r="AL40"/>
  <c r="AK40"/>
  <c r="AI42"/>
  <c r="AI44"/>
  <c r="AI48"/>
  <c r="AI50"/>
  <c r="AI52"/>
  <c r="AI54"/>
  <c r="AI59"/>
  <c r="AI63"/>
  <c r="AF13"/>
  <c r="Y13" s="1"/>
  <c r="AJ13"/>
  <c r="AF19"/>
  <c r="Y19" s="1"/>
  <c r="AJ19"/>
  <c r="AF25"/>
  <c r="Y25" s="1"/>
  <c r="AJ25"/>
  <c r="AF31"/>
  <c r="Y31" s="1"/>
  <c r="AJ31"/>
  <c r="AI11" i="75"/>
  <c r="AK41" i="74"/>
  <c r="AK42"/>
  <c r="AJ43"/>
  <c r="AL43"/>
  <c r="AK44"/>
  <c r="AK45"/>
  <c r="AK46"/>
  <c r="AK47"/>
  <c r="AK48"/>
  <c r="AJ49"/>
  <c r="AL49"/>
  <c r="AK50"/>
  <c r="AK51"/>
  <c r="AK52"/>
  <c r="AK53"/>
  <c r="AK54"/>
  <c r="AJ55"/>
  <c r="AL55"/>
  <c r="AK59"/>
  <c r="AK60"/>
  <c r="AK61"/>
  <c r="AK62"/>
  <c r="AK63"/>
  <c r="AK64"/>
  <c r="AK65"/>
  <c r="AK66"/>
  <c r="AJ70"/>
  <c r="AL70"/>
  <c r="AK71"/>
  <c r="AJ72"/>
  <c r="AL72"/>
  <c r="AK73"/>
  <c r="AK77"/>
  <c r="AJ78"/>
  <c r="AL78"/>
  <c r="AJ82"/>
  <c r="AL82"/>
  <c r="AJ86"/>
  <c r="AL86"/>
  <c r="AK8" i="75"/>
  <c r="AK9"/>
  <c r="AK10"/>
  <c r="AK11"/>
  <c r="AK12"/>
  <c r="AJ13"/>
  <c r="AL13"/>
  <c r="AF13" s="1"/>
  <c r="Y13" s="1"/>
  <c r="AK14"/>
  <c r="AK15"/>
  <c r="AL23"/>
  <c r="AK23"/>
  <c r="AI55"/>
  <c r="AK19"/>
  <c r="AG19"/>
  <c r="AI19" s="1"/>
  <c r="AF35" i="74"/>
  <c r="Y35" s="1"/>
  <c r="AJ35"/>
  <c r="AF36"/>
  <c r="Y36" s="1"/>
  <c r="AJ36"/>
  <c r="AF38"/>
  <c r="Y38" s="1"/>
  <c r="AJ38"/>
  <c r="AF39"/>
  <c r="Y39" s="1"/>
  <c r="AJ39"/>
  <c r="AF40"/>
  <c r="Y40" s="1"/>
  <c r="AJ40"/>
  <c r="AF41"/>
  <c r="Y41" s="1"/>
  <c r="AJ41"/>
  <c r="AF42"/>
  <c r="Y42" s="1"/>
  <c r="AJ42"/>
  <c r="AG43"/>
  <c r="AI43" s="1"/>
  <c r="AF43" s="1"/>
  <c r="Y43" s="1"/>
  <c r="AF44"/>
  <c r="Y44" s="1"/>
  <c r="AJ44"/>
  <c r="AF45"/>
  <c r="Y45" s="1"/>
  <c r="AJ45"/>
  <c r="AF46"/>
  <c r="Y46" s="1"/>
  <c r="AJ46"/>
  <c r="AF47"/>
  <c r="Y47" s="1"/>
  <c r="AJ47"/>
  <c r="AJ48"/>
  <c r="AF48" s="1"/>
  <c r="Y48" s="1"/>
  <c r="AG49"/>
  <c r="AI49" s="1"/>
  <c r="AF49" s="1"/>
  <c r="Y49" s="1"/>
  <c r="AF50"/>
  <c r="Y50" s="1"/>
  <c r="AJ50"/>
  <c r="AF51"/>
  <c r="Y51" s="1"/>
  <c r="AJ51"/>
  <c r="AF52"/>
  <c r="Y52" s="1"/>
  <c r="AJ52"/>
  <c r="AF53"/>
  <c r="Y53" s="1"/>
  <c r="AJ53"/>
  <c r="AF54"/>
  <c r="Y54" s="1"/>
  <c r="AJ54"/>
  <c r="AG55"/>
  <c r="AI55" s="1"/>
  <c r="AF55" s="1"/>
  <c r="Y55" s="1"/>
  <c r="AF59"/>
  <c r="Y59" s="1"/>
  <c r="AJ59"/>
  <c r="AF60"/>
  <c r="Y60" s="1"/>
  <c r="AJ60"/>
  <c r="AF61"/>
  <c r="Y61" s="1"/>
  <c r="AJ61"/>
  <c r="AF62"/>
  <c r="Y62" s="1"/>
  <c r="AJ62"/>
  <c r="AF63"/>
  <c r="Y63" s="1"/>
  <c r="AJ63"/>
  <c r="AF64"/>
  <c r="Y64" s="1"/>
  <c r="AJ64"/>
  <c r="AJ65"/>
  <c r="AF66"/>
  <c r="Y66" s="1"/>
  <c r="AJ66"/>
  <c r="AG70"/>
  <c r="AI70" s="1"/>
  <c r="AF70" s="1"/>
  <c r="Y70" s="1"/>
  <c r="AF71"/>
  <c r="Y71" s="1"/>
  <c r="AJ71"/>
  <c r="AG72"/>
  <c r="AI72" s="1"/>
  <c r="AF72" s="1"/>
  <c r="Y72" s="1"/>
  <c r="AF73"/>
  <c r="Y73" s="1"/>
  <c r="AJ73"/>
  <c r="AF77"/>
  <c r="Y77" s="1"/>
  <c r="AJ77"/>
  <c r="AG78"/>
  <c r="AI78" s="1"/>
  <c r="AF78" s="1"/>
  <c r="Y78" s="1"/>
  <c r="AG82"/>
  <c r="AI82" s="1"/>
  <c r="AF82" s="1"/>
  <c r="Y82" s="1"/>
  <c r="AG86"/>
  <c r="AI86" s="1"/>
  <c r="AF86" s="1"/>
  <c r="Y86" s="1"/>
  <c r="AJ8" i="75"/>
  <c r="AJ9"/>
  <c r="AF9" s="1"/>
  <c r="Y9" s="1"/>
  <c r="AJ10"/>
  <c r="AF10" s="1"/>
  <c r="Y10" s="1"/>
  <c r="AF11"/>
  <c r="Y11" s="1"/>
  <c r="AJ11"/>
  <c r="AF12"/>
  <c r="Y12" s="1"/>
  <c r="AJ12"/>
  <c r="AG13"/>
  <c r="AI13" s="1"/>
  <c r="AF14"/>
  <c r="Y14" s="1"/>
  <c r="AJ14"/>
  <c r="AL15"/>
  <c r="AJ15"/>
  <c r="AF15" s="1"/>
  <c r="Y15" s="1"/>
  <c r="AL16"/>
  <c r="AK16"/>
  <c r="AL18"/>
  <c r="AK18"/>
  <c r="AJ19"/>
  <c r="AF19" s="1"/>
  <c r="Y19" s="1"/>
  <c r="AL20"/>
  <c r="AK20"/>
  <c r="AL22"/>
  <c r="AK22"/>
  <c r="AF16"/>
  <c r="Y16" s="1"/>
  <c r="AJ16"/>
  <c r="AF17"/>
  <c r="Y17" s="1"/>
  <c r="AJ17"/>
  <c r="AF18"/>
  <c r="Y18" s="1"/>
  <c r="AJ18"/>
  <c r="AF20"/>
  <c r="Y20" s="1"/>
  <c r="AJ20"/>
  <c r="AF21"/>
  <c r="Y21" s="1"/>
  <c r="AJ21"/>
  <c r="AJ22"/>
  <c r="AF22" s="1"/>
  <c r="Y22" s="1"/>
  <c r="AF23"/>
  <c r="Y23" s="1"/>
  <c r="AJ23"/>
  <c r="AH24"/>
  <c r="AI24" s="1"/>
  <c r="AJ24"/>
  <c r="AG25"/>
  <c r="AI25" s="1"/>
  <c r="AK25"/>
  <c r="AH26"/>
  <c r="AI26" s="1"/>
  <c r="AJ26"/>
  <c r="AH27"/>
  <c r="AI27" s="1"/>
  <c r="AJ27"/>
  <c r="AF27" s="1"/>
  <c r="Y27" s="1"/>
  <c r="AH28"/>
  <c r="AI28" s="1"/>
  <c r="AJ28"/>
  <c r="AH29"/>
  <c r="AI29" s="1"/>
  <c r="AF29" s="1"/>
  <c r="Y29" s="1"/>
  <c r="AJ29"/>
  <c r="AH30"/>
  <c r="AI30" s="1"/>
  <c r="AF30" s="1"/>
  <c r="Y30" s="1"/>
  <c r="AJ30"/>
  <c r="AG31"/>
  <c r="AI31" s="1"/>
  <c r="AK31"/>
  <c r="AH32"/>
  <c r="AI32" s="1"/>
  <c r="AJ32"/>
  <c r="AH33"/>
  <c r="AI33" s="1"/>
  <c r="AJ33"/>
  <c r="AH34"/>
  <c r="AI34" s="1"/>
  <c r="AF34" s="1"/>
  <c r="Y34" s="1"/>
  <c r="AJ34"/>
  <c r="AH35"/>
  <c r="AI35" s="1"/>
  <c r="AJ35"/>
  <c r="AH36"/>
  <c r="AI36" s="1"/>
  <c r="AJ36"/>
  <c r="AF36" s="1"/>
  <c r="Y36" s="1"/>
  <c r="AG37"/>
  <c r="AI37" s="1"/>
  <c r="AK37"/>
  <c r="AH38"/>
  <c r="AI38" s="1"/>
  <c r="AJ38"/>
  <c r="AH39"/>
  <c r="AI39" s="1"/>
  <c r="AJ39"/>
  <c r="AF39" s="1"/>
  <c r="Y39" s="1"/>
  <c r="AH40"/>
  <c r="AI40" s="1"/>
  <c r="AJ40"/>
  <c r="AH41"/>
  <c r="AI41" s="1"/>
  <c r="AJ41"/>
  <c r="AH42"/>
  <c r="AI42" s="1"/>
  <c r="AJ42"/>
  <c r="AG43"/>
  <c r="AI43" s="1"/>
  <c r="AK43"/>
  <c r="AH44"/>
  <c r="AI44" s="1"/>
  <c r="AJ44"/>
  <c r="AH45"/>
  <c r="AI45" s="1"/>
  <c r="AJ45"/>
  <c r="AH46"/>
  <c r="AI46" s="1"/>
  <c r="AJ46"/>
  <c r="AH47"/>
  <c r="AI47" s="1"/>
  <c r="AJ47"/>
  <c r="AH48"/>
  <c r="AI48" s="1"/>
  <c r="AJ48"/>
  <c r="AG49"/>
  <c r="AI49" s="1"/>
  <c r="AK49"/>
  <c r="AH50"/>
  <c r="AI50" s="1"/>
  <c r="AJ50"/>
  <c r="AH51"/>
  <c r="AI51" s="1"/>
  <c r="AF51" s="1"/>
  <c r="Y51" s="1"/>
  <c r="AJ51"/>
  <c r="AH52"/>
  <c r="AI52" s="1"/>
  <c r="AF52" s="1"/>
  <c r="Y52" s="1"/>
  <c r="AJ52"/>
  <c r="AH53"/>
  <c r="AI53" s="1"/>
  <c r="AJ53"/>
  <c r="AF53" s="1"/>
  <c r="Y53" s="1"/>
  <c r="AJ54"/>
  <c r="AL54"/>
  <c r="AK55"/>
  <c r="AJ59"/>
  <c r="AL59"/>
  <c r="AJ60"/>
  <c r="AL60"/>
  <c r="AJ61"/>
  <c r="AL61"/>
  <c r="AJ62"/>
  <c r="AL62"/>
  <c r="AJ63"/>
  <c r="AL63"/>
  <c r="AJ64"/>
  <c r="AL64"/>
  <c r="AJ65"/>
  <c r="AL65"/>
  <c r="AJ66"/>
  <c r="AL66"/>
  <c r="AG70"/>
  <c r="AI70" s="1"/>
  <c r="AK70"/>
  <c r="AJ71"/>
  <c r="AL71"/>
  <c r="AG72"/>
  <c r="AI72" s="1"/>
  <c r="AK72"/>
  <c r="AJ73"/>
  <c r="AL73"/>
  <c r="AJ77"/>
  <c r="AL77"/>
  <c r="AG78"/>
  <c r="AI78" s="1"/>
  <c r="AK78"/>
  <c r="AG82"/>
  <c r="AI82" s="1"/>
  <c r="AK82"/>
  <c r="AG86"/>
  <c r="AI86" s="1"/>
  <c r="AK86"/>
  <c r="AF25"/>
  <c r="Y25" s="1"/>
  <c r="AJ25"/>
  <c r="AF31"/>
  <c r="Y31" s="1"/>
  <c r="AJ31"/>
  <c r="AF37"/>
  <c r="Y37" s="1"/>
  <c r="AJ37"/>
  <c r="AF43"/>
  <c r="Y43" s="1"/>
  <c r="AJ43"/>
  <c r="AF49"/>
  <c r="Y49" s="1"/>
  <c r="AJ49"/>
  <c r="AG54"/>
  <c r="AI54" s="1"/>
  <c r="AF54" s="1"/>
  <c r="Y54" s="1"/>
  <c r="AJ55"/>
  <c r="AF55" s="1"/>
  <c r="Y55" s="1"/>
  <c r="BB58"/>
  <c r="AG59"/>
  <c r="AI59" s="1"/>
  <c r="AF59" s="1"/>
  <c r="Y59" s="1"/>
  <c r="AG60"/>
  <c r="AI60" s="1"/>
  <c r="AF60" s="1"/>
  <c r="Y60" s="1"/>
  <c r="AG61"/>
  <c r="AI61" s="1"/>
  <c r="AF61" s="1"/>
  <c r="Y61" s="1"/>
  <c r="AG62"/>
  <c r="AI62" s="1"/>
  <c r="AF62" s="1"/>
  <c r="Y62" s="1"/>
  <c r="AG63"/>
  <c r="AI63" s="1"/>
  <c r="AF63" s="1"/>
  <c r="Y63" s="1"/>
  <c r="AG64"/>
  <c r="AI64" s="1"/>
  <c r="AF64" s="1"/>
  <c r="Y64" s="1"/>
  <c r="AG65"/>
  <c r="AI65" s="1"/>
  <c r="AF65" s="1"/>
  <c r="Y65" s="1"/>
  <c r="AG66"/>
  <c r="AI66" s="1"/>
  <c r="AF66" s="1"/>
  <c r="Y66" s="1"/>
  <c r="AF70"/>
  <c r="Y70" s="1"/>
  <c r="AJ70"/>
  <c r="AG71"/>
  <c r="AI71" s="1"/>
  <c r="AF71" s="1"/>
  <c r="Y71" s="1"/>
  <c r="AF72"/>
  <c r="Y72" s="1"/>
  <c r="AJ72"/>
  <c r="AG73"/>
  <c r="AI73" s="1"/>
  <c r="AF73" s="1"/>
  <c r="Y73" s="1"/>
  <c r="AG77"/>
  <c r="AI77" s="1"/>
  <c r="AF77" s="1"/>
  <c r="Y77" s="1"/>
  <c r="AF78"/>
  <c r="Y78" s="1"/>
  <c r="AJ78"/>
  <c r="AJ82"/>
  <c r="AF82" s="1"/>
  <c r="Y82" s="1"/>
  <c r="AJ86"/>
  <c r="AI8" i="62"/>
  <c r="AI12"/>
  <c r="AI14"/>
  <c r="AI15"/>
  <c r="AI18"/>
  <c r="AI20"/>
  <c r="AI21"/>
  <c r="AI24"/>
  <c r="AI26"/>
  <c r="AI27"/>
  <c r="AI29"/>
  <c r="AI30"/>
  <c r="AI32"/>
  <c r="AI34"/>
  <c r="AI35"/>
  <c r="AI40"/>
  <c r="AI46"/>
  <c r="AI48"/>
  <c r="AI50"/>
  <c r="AI51"/>
  <c r="AI53"/>
  <c r="AI60"/>
  <c r="AI62"/>
  <c r="AI64"/>
  <c r="AI66"/>
  <c r="AI77"/>
  <c r="AK9"/>
  <c r="AK17"/>
  <c r="AK18"/>
  <c r="AJ19"/>
  <c r="AL19"/>
  <c r="AK20"/>
  <c r="AK21"/>
  <c r="AK22"/>
  <c r="AK23"/>
  <c r="AK24"/>
  <c r="AJ25"/>
  <c r="AL25"/>
  <c r="AK26"/>
  <c r="AK27"/>
  <c r="AK29"/>
  <c r="AK30"/>
  <c r="AJ31"/>
  <c r="AL31"/>
  <c r="AK32"/>
  <c r="AK33"/>
  <c r="AK34"/>
  <c r="AK35"/>
  <c r="AK36"/>
  <c r="AJ37"/>
  <c r="AL37"/>
  <c r="AK38"/>
  <c r="AK39"/>
  <c r="AK40"/>
  <c r="AK41"/>
  <c r="AK42"/>
  <c r="AJ43"/>
  <c r="AL43"/>
  <c r="AK44"/>
  <c r="AK45"/>
  <c r="AK46"/>
  <c r="AK47"/>
  <c r="AK48"/>
  <c r="AJ49"/>
  <c r="AL49"/>
  <c r="AK50"/>
  <c r="AK51"/>
  <c r="AK52"/>
  <c r="AK53"/>
  <c r="AK54"/>
  <c r="AJ55"/>
  <c r="AL55"/>
  <c r="AK59"/>
  <c r="AK60"/>
  <c r="AK61"/>
  <c r="AK62"/>
  <c r="AK63"/>
  <c r="AK64"/>
  <c r="AK65"/>
  <c r="AK66"/>
  <c r="AJ70"/>
  <c r="AL70"/>
  <c r="AK71"/>
  <c r="AJ72"/>
  <c r="AL72"/>
  <c r="AK73"/>
  <c r="AK77"/>
  <c r="AJ78"/>
  <c r="AL78"/>
  <c r="AJ82"/>
  <c r="AL82"/>
  <c r="AJ86"/>
  <c r="AL86"/>
  <c r="AK8" i="63"/>
  <c r="AI55" i="65"/>
  <c r="AK11" i="63"/>
  <c r="AH11"/>
  <c r="AI11" s="1"/>
  <c r="AK8" i="62"/>
  <c r="AK10"/>
  <c r="AK11"/>
  <c r="AK12"/>
  <c r="AJ13"/>
  <c r="AL13"/>
  <c r="AK14"/>
  <c r="AK15"/>
  <c r="AK16"/>
  <c r="AK28"/>
  <c r="AJ8"/>
  <c r="AF8" s="1"/>
  <c r="AJ9"/>
  <c r="AF9" s="1"/>
  <c r="Y9" s="1"/>
  <c r="AJ10"/>
  <c r="AJ11"/>
  <c r="AF11" s="1"/>
  <c r="Y11" s="1"/>
  <c r="AJ12"/>
  <c r="AF12" s="1"/>
  <c r="Y12" s="1"/>
  <c r="AG13"/>
  <c r="AI13" s="1"/>
  <c r="AF13" s="1"/>
  <c r="Y13" s="1"/>
  <c r="AJ14"/>
  <c r="AF14" s="1"/>
  <c r="Y14" s="1"/>
  <c r="AJ15"/>
  <c r="AF15" s="1"/>
  <c r="Y15" s="1"/>
  <c r="AJ16"/>
  <c r="AF16" s="1"/>
  <c r="Y16" s="1"/>
  <c r="AF17"/>
  <c r="Y17" s="1"/>
  <c r="AJ17"/>
  <c r="AF18"/>
  <c r="Y18" s="1"/>
  <c r="AJ18"/>
  <c r="AG19"/>
  <c r="AI19" s="1"/>
  <c r="AF20"/>
  <c r="Y20" s="1"/>
  <c r="AJ20"/>
  <c r="AF21"/>
  <c r="Y21" s="1"/>
  <c r="AJ21"/>
  <c r="AF22"/>
  <c r="Y22" s="1"/>
  <c r="AJ22"/>
  <c r="AF23"/>
  <c r="Y23" s="1"/>
  <c r="AJ23"/>
  <c r="AF24"/>
  <c r="Y24" s="1"/>
  <c r="AJ24"/>
  <c r="AG25"/>
  <c r="AI25" s="1"/>
  <c r="AF25" s="1"/>
  <c r="Y25" s="1"/>
  <c r="AF26"/>
  <c r="Y26" s="1"/>
  <c r="AJ26"/>
  <c r="AF27"/>
  <c r="Y27" s="1"/>
  <c r="AJ27"/>
  <c r="AJ28"/>
  <c r="AF28" s="1"/>
  <c r="Y28" s="1"/>
  <c r="AF29"/>
  <c r="Y29" s="1"/>
  <c r="AJ29"/>
  <c r="AF30"/>
  <c r="Y30" s="1"/>
  <c r="AJ30"/>
  <c r="AG31"/>
  <c r="AI31" s="1"/>
  <c r="AF31" s="1"/>
  <c r="Y31" s="1"/>
  <c r="AJ32"/>
  <c r="AF32" s="1"/>
  <c r="Y32" s="1"/>
  <c r="AF33"/>
  <c r="Y33" s="1"/>
  <c r="AJ33"/>
  <c r="AF34"/>
  <c r="Y34" s="1"/>
  <c r="AJ34"/>
  <c r="AF35"/>
  <c r="Y35" s="1"/>
  <c r="AJ35"/>
  <c r="AJ36"/>
  <c r="AF36" s="1"/>
  <c r="Y36" s="1"/>
  <c r="AG37"/>
  <c r="AI37" s="1"/>
  <c r="AF37" s="1"/>
  <c r="Y37" s="1"/>
  <c r="AJ38"/>
  <c r="AF38" s="1"/>
  <c r="Y38" s="1"/>
  <c r="AF39"/>
  <c r="Y39" s="1"/>
  <c r="AJ39"/>
  <c r="AF40"/>
  <c r="Y40" s="1"/>
  <c r="AJ40"/>
  <c r="AJ41"/>
  <c r="AF41" s="1"/>
  <c r="Y41" s="1"/>
  <c r="AJ42"/>
  <c r="AF42" s="1"/>
  <c r="Y42" s="1"/>
  <c r="AG43"/>
  <c r="AI43" s="1"/>
  <c r="AF43" s="1"/>
  <c r="Y43" s="1"/>
  <c r="AF44"/>
  <c r="Y44" s="1"/>
  <c r="AJ44"/>
  <c r="AF45"/>
  <c r="Y45" s="1"/>
  <c r="AJ45"/>
  <c r="AF46"/>
  <c r="Y46" s="1"/>
  <c r="AJ46"/>
  <c r="AF47"/>
  <c r="Y47" s="1"/>
  <c r="AJ47"/>
  <c r="AF48"/>
  <c r="Y48" s="1"/>
  <c r="AJ48"/>
  <c r="AG49"/>
  <c r="AI49" s="1"/>
  <c r="AF49" s="1"/>
  <c r="Y49" s="1"/>
  <c r="AJ50"/>
  <c r="AF50" s="1"/>
  <c r="Y50" s="1"/>
  <c r="AF51"/>
  <c r="Y51" s="1"/>
  <c r="AJ51"/>
  <c r="AF52"/>
  <c r="Y52" s="1"/>
  <c r="AJ52"/>
  <c r="AF53"/>
  <c r="Y53" s="1"/>
  <c r="AJ53"/>
  <c r="AF54"/>
  <c r="Y54" s="1"/>
  <c r="AJ54"/>
  <c r="AG55"/>
  <c r="AI55" s="1"/>
  <c r="AF55" s="1"/>
  <c r="Y55" s="1"/>
  <c r="AF59"/>
  <c r="Y59" s="1"/>
  <c r="AJ59"/>
  <c r="AF60"/>
  <c r="Y60" s="1"/>
  <c r="AJ60"/>
  <c r="AF61"/>
  <c r="Y61" s="1"/>
  <c r="AJ61"/>
  <c r="AF62"/>
  <c r="Y62" s="1"/>
  <c r="AJ62"/>
  <c r="AF63"/>
  <c r="Y63" s="1"/>
  <c r="AJ63"/>
  <c r="AF64"/>
  <c r="Y64" s="1"/>
  <c r="AJ64"/>
  <c r="AJ65"/>
  <c r="AF65" s="1"/>
  <c r="Y65" s="1"/>
  <c r="AF66"/>
  <c r="Y66" s="1"/>
  <c r="AJ66"/>
  <c r="AG70"/>
  <c r="AI70" s="1"/>
  <c r="AF70" s="1"/>
  <c r="Y70" s="1"/>
  <c r="AF71"/>
  <c r="Y71" s="1"/>
  <c r="AJ71"/>
  <c r="AG72"/>
  <c r="AI72" s="1"/>
  <c r="AF72" s="1"/>
  <c r="Y72" s="1"/>
  <c r="AF73"/>
  <c r="Y73" s="1"/>
  <c r="AJ73"/>
  <c r="AJ77"/>
  <c r="AF77" s="1"/>
  <c r="Y77" s="1"/>
  <c r="AG78"/>
  <c r="AI78" s="1"/>
  <c r="AF78" s="1"/>
  <c r="Y78" s="1"/>
  <c r="AG82"/>
  <c r="AI82" s="1"/>
  <c r="AF82" s="1"/>
  <c r="Y82" s="1"/>
  <c r="AG86"/>
  <c r="AI86" s="1"/>
  <c r="AF86" s="1"/>
  <c r="Y86" s="1"/>
  <c r="AJ8" i="63"/>
  <c r="AL10"/>
  <c r="AK10"/>
  <c r="AI78"/>
  <c r="AI86"/>
  <c r="AI78" i="64"/>
  <c r="AI86"/>
  <c r="AL63" i="65"/>
  <c r="AJ63"/>
  <c r="AK13" i="66"/>
  <c r="AG13"/>
  <c r="AI13" s="1"/>
  <c r="AF9" i="63"/>
  <c r="Y9" s="1"/>
  <c r="AJ9"/>
  <c r="AJ10"/>
  <c r="AJ11"/>
  <c r="AF11" s="1"/>
  <c r="Y11" s="1"/>
  <c r="AH12"/>
  <c r="AI12" s="1"/>
  <c r="AJ12"/>
  <c r="AF12" s="1"/>
  <c r="Y12" s="1"/>
  <c r="AG13"/>
  <c r="AI13" s="1"/>
  <c r="AK13"/>
  <c r="AH14"/>
  <c r="AI14" s="1"/>
  <c r="AF14" s="1"/>
  <c r="Y14" s="1"/>
  <c r="AJ14"/>
  <c r="AH15"/>
  <c r="AI15" s="1"/>
  <c r="AJ15"/>
  <c r="AF15" s="1"/>
  <c r="Y15" s="1"/>
  <c r="AH16"/>
  <c r="AI16" s="1"/>
  <c r="AF16" s="1"/>
  <c r="Y16" s="1"/>
  <c r="AJ16"/>
  <c r="AH17"/>
  <c r="AI17" s="1"/>
  <c r="AF17" s="1"/>
  <c r="Y17" s="1"/>
  <c r="AJ17"/>
  <c r="AH18"/>
  <c r="AI18" s="1"/>
  <c r="AF18" s="1"/>
  <c r="Y18" s="1"/>
  <c r="AJ18"/>
  <c r="AG19"/>
  <c r="AI19" s="1"/>
  <c r="AK19"/>
  <c r="AH20"/>
  <c r="AI20" s="1"/>
  <c r="AJ20"/>
  <c r="AF20" s="1"/>
  <c r="Y20" s="1"/>
  <c r="AH21"/>
  <c r="AI21" s="1"/>
  <c r="AF21" s="1"/>
  <c r="Y21" s="1"/>
  <c r="AJ21"/>
  <c r="AH22"/>
  <c r="AI22" s="1"/>
  <c r="AJ22"/>
  <c r="AF22" s="1"/>
  <c r="Y22" s="1"/>
  <c r="AH23"/>
  <c r="AI23" s="1"/>
  <c r="AF23" s="1"/>
  <c r="Y23" s="1"/>
  <c r="AJ23"/>
  <c r="AJ24"/>
  <c r="AL24"/>
  <c r="AK25"/>
  <c r="AJ26"/>
  <c r="AL26"/>
  <c r="AJ27"/>
  <c r="AL27"/>
  <c r="AF27" s="1"/>
  <c r="Y27" s="1"/>
  <c r="AJ28"/>
  <c r="AL28"/>
  <c r="AJ29"/>
  <c r="AL29"/>
  <c r="AJ30"/>
  <c r="AL30"/>
  <c r="AK31"/>
  <c r="AJ32"/>
  <c r="AL32"/>
  <c r="AJ33"/>
  <c r="AL33"/>
  <c r="AJ34"/>
  <c r="AL34"/>
  <c r="AJ35"/>
  <c r="AL35"/>
  <c r="AJ36"/>
  <c r="AL36"/>
  <c r="AK37"/>
  <c r="AJ38"/>
  <c r="AL38"/>
  <c r="AJ39"/>
  <c r="AL39"/>
  <c r="AJ40"/>
  <c r="AL40"/>
  <c r="AJ41"/>
  <c r="AL41"/>
  <c r="AJ42"/>
  <c r="AL42"/>
  <c r="AK43"/>
  <c r="AJ44"/>
  <c r="AL44"/>
  <c r="AJ45"/>
  <c r="AL45"/>
  <c r="AJ46"/>
  <c r="AL46"/>
  <c r="AJ47"/>
  <c r="AL47"/>
  <c r="AJ48"/>
  <c r="AL48"/>
  <c r="AK49"/>
  <c r="AJ50"/>
  <c r="AL50"/>
  <c r="AJ51"/>
  <c r="AL51"/>
  <c r="AJ52"/>
  <c r="AL52"/>
  <c r="AJ53"/>
  <c r="AL53"/>
  <c r="AJ54"/>
  <c r="AL54"/>
  <c r="AK55"/>
  <c r="AJ59"/>
  <c r="AL59"/>
  <c r="AJ60"/>
  <c r="AL60"/>
  <c r="AJ61"/>
  <c r="AL61"/>
  <c r="AJ62"/>
  <c r="AL62"/>
  <c r="AJ63"/>
  <c r="AL63"/>
  <c r="AJ64"/>
  <c r="AL64"/>
  <c r="AJ65"/>
  <c r="AL65"/>
  <c r="AJ66"/>
  <c r="AL66"/>
  <c r="AK70"/>
  <c r="AJ71"/>
  <c r="AL71"/>
  <c r="AK72"/>
  <c r="AJ73"/>
  <c r="AL73"/>
  <c r="AJ77"/>
  <c r="AL77"/>
  <c r="AK78"/>
  <c r="AK82"/>
  <c r="AK86"/>
  <c r="AJ8" i="64"/>
  <c r="AL8"/>
  <c r="AJ9"/>
  <c r="AL9"/>
  <c r="AJ10"/>
  <c r="AL10"/>
  <c r="AJ11"/>
  <c r="AL11"/>
  <c r="AJ12"/>
  <c r="AL12"/>
  <c r="AK13"/>
  <c r="AJ14"/>
  <c r="AL14"/>
  <c r="AJ15"/>
  <c r="AL15"/>
  <c r="AJ16"/>
  <c r="AL16"/>
  <c r="AJ17"/>
  <c r="AL17"/>
  <c r="AJ18"/>
  <c r="AL18"/>
  <c r="AK19"/>
  <c r="AJ20"/>
  <c r="AL20"/>
  <c r="AJ21"/>
  <c r="AL21"/>
  <c r="AJ22"/>
  <c r="AL22"/>
  <c r="AJ23"/>
  <c r="AL23"/>
  <c r="AJ24"/>
  <c r="AL24"/>
  <c r="AK25"/>
  <c r="AJ26"/>
  <c r="AL26"/>
  <c r="AJ27"/>
  <c r="AL27"/>
  <c r="AF27" s="1"/>
  <c r="Y27" s="1"/>
  <c r="AJ28"/>
  <c r="AL28"/>
  <c r="AJ29"/>
  <c r="AL29"/>
  <c r="AJ30"/>
  <c r="AL30"/>
  <c r="AK31"/>
  <c r="AJ32"/>
  <c r="AL32"/>
  <c r="AJ33"/>
  <c r="AL33"/>
  <c r="AJ34"/>
  <c r="AL34"/>
  <c r="AJ35"/>
  <c r="AL35"/>
  <c r="AJ36"/>
  <c r="AL36"/>
  <c r="AK37"/>
  <c r="AJ38"/>
  <c r="AL38"/>
  <c r="AJ39"/>
  <c r="AL39"/>
  <c r="AJ40"/>
  <c r="AL40"/>
  <c r="AJ41"/>
  <c r="AL41"/>
  <c r="AJ42"/>
  <c r="AL42"/>
  <c r="AK43"/>
  <c r="AJ44"/>
  <c r="AL44"/>
  <c r="AJ45"/>
  <c r="AL45"/>
  <c r="AJ46"/>
  <c r="AL46"/>
  <c r="AJ47"/>
  <c r="AL47"/>
  <c r="AJ48"/>
  <c r="AL48"/>
  <c r="AK49"/>
  <c r="AJ50"/>
  <c r="AL50"/>
  <c r="AJ51"/>
  <c r="AL51"/>
  <c r="AJ52"/>
  <c r="AL52"/>
  <c r="AJ53"/>
  <c r="AL53"/>
  <c r="AJ54"/>
  <c r="AL54"/>
  <c r="AK55"/>
  <c r="AJ59"/>
  <c r="AL59"/>
  <c r="AJ60"/>
  <c r="AL60"/>
  <c r="AJ61"/>
  <c r="AL61"/>
  <c r="AJ62"/>
  <c r="AL62"/>
  <c r="AJ63"/>
  <c r="AL63"/>
  <c r="AJ64"/>
  <c r="AL64"/>
  <c r="AJ65"/>
  <c r="AL65"/>
  <c r="AJ66"/>
  <c r="AL66"/>
  <c r="AK70"/>
  <c r="AJ71"/>
  <c r="AL71"/>
  <c r="AK72"/>
  <c r="AJ73"/>
  <c r="AL73"/>
  <c r="AJ77"/>
  <c r="AL77"/>
  <c r="AK78"/>
  <c r="AK82"/>
  <c r="AK86"/>
  <c r="AJ8" i="65"/>
  <c r="AL8"/>
  <c r="AJ9"/>
  <c r="AL9"/>
  <c r="AJ10"/>
  <c r="AL10"/>
  <c r="AJ11"/>
  <c r="AL11"/>
  <c r="AJ12"/>
  <c r="AL12"/>
  <c r="AK13"/>
  <c r="AJ14"/>
  <c r="AL14"/>
  <c r="AJ15"/>
  <c r="AL15"/>
  <c r="AJ16"/>
  <c r="AL16"/>
  <c r="AJ17"/>
  <c r="AL17"/>
  <c r="AJ18"/>
  <c r="AL18"/>
  <c r="AK19"/>
  <c r="AJ20"/>
  <c r="AL20"/>
  <c r="AJ21"/>
  <c r="AL21"/>
  <c r="AJ22"/>
  <c r="AL22"/>
  <c r="AJ23"/>
  <c r="AL23"/>
  <c r="AJ24"/>
  <c r="AL24"/>
  <c r="AK25"/>
  <c r="AJ26"/>
  <c r="AL26"/>
  <c r="AJ27"/>
  <c r="AL27"/>
  <c r="AJ28"/>
  <c r="AL28"/>
  <c r="AJ29"/>
  <c r="AL29"/>
  <c r="AJ30"/>
  <c r="AL30"/>
  <c r="AK31"/>
  <c r="AJ32"/>
  <c r="AL32"/>
  <c r="AJ33"/>
  <c r="AL33"/>
  <c r="AJ34"/>
  <c r="AL34"/>
  <c r="AJ35"/>
  <c r="AL35"/>
  <c r="AJ36"/>
  <c r="AL36"/>
  <c r="AK37"/>
  <c r="AJ38"/>
  <c r="AL38"/>
  <c r="AJ39"/>
  <c r="AL39"/>
  <c r="AJ40"/>
  <c r="AL40"/>
  <c r="AJ41"/>
  <c r="AL41"/>
  <c r="AJ42"/>
  <c r="AL42"/>
  <c r="AK43"/>
  <c r="AJ44"/>
  <c r="AL44"/>
  <c r="AJ45"/>
  <c r="AL45"/>
  <c r="AJ46"/>
  <c r="AL46"/>
  <c r="AJ47"/>
  <c r="AL47"/>
  <c r="AJ48"/>
  <c r="AL48"/>
  <c r="AK49"/>
  <c r="AJ50"/>
  <c r="AL50"/>
  <c r="AJ51"/>
  <c r="AL51"/>
  <c r="AJ52"/>
  <c r="AL52"/>
  <c r="AJ53"/>
  <c r="AL53"/>
  <c r="AJ54"/>
  <c r="AL54"/>
  <c r="AK55"/>
  <c r="AJ59"/>
  <c r="AL59"/>
  <c r="AJ60"/>
  <c r="AL60"/>
  <c r="AJ61"/>
  <c r="AL61"/>
  <c r="AJ62"/>
  <c r="AL62"/>
  <c r="AK63"/>
  <c r="AJ13" i="66"/>
  <c r="AF13" s="1"/>
  <c r="Y13" s="1"/>
  <c r="AK70" i="65"/>
  <c r="AG70"/>
  <c r="AI70" s="1"/>
  <c r="AK72"/>
  <c r="AG72"/>
  <c r="AI72" s="1"/>
  <c r="AK78"/>
  <c r="AG78"/>
  <c r="AI78" s="1"/>
  <c r="AF78" s="1"/>
  <c r="Y78" s="1"/>
  <c r="AK82"/>
  <c r="AG82"/>
  <c r="AI82" s="1"/>
  <c r="AK86"/>
  <c r="AG86"/>
  <c r="AI86" s="1"/>
  <c r="AJ13" i="63"/>
  <c r="AF13" s="1"/>
  <c r="Y13" s="1"/>
  <c r="AF19"/>
  <c r="Y19" s="1"/>
  <c r="AJ19"/>
  <c r="AG24"/>
  <c r="AI24" s="1"/>
  <c r="AF24" s="1"/>
  <c r="Y24" s="1"/>
  <c r="AF25"/>
  <c r="Y25" s="1"/>
  <c r="AJ25"/>
  <c r="AG26"/>
  <c r="AI26" s="1"/>
  <c r="AF26" s="1"/>
  <c r="Y26" s="1"/>
  <c r="AG27"/>
  <c r="AI27" s="1"/>
  <c r="AG28"/>
  <c r="AI28" s="1"/>
  <c r="AF28" s="1"/>
  <c r="Y28" s="1"/>
  <c r="AG29"/>
  <c r="AI29" s="1"/>
  <c r="AF29" s="1"/>
  <c r="Y29" s="1"/>
  <c r="AG30"/>
  <c r="AI30" s="1"/>
  <c r="AF30" s="1"/>
  <c r="Y30" s="1"/>
  <c r="AF31"/>
  <c r="Y31" s="1"/>
  <c r="AJ31"/>
  <c r="AG32"/>
  <c r="AI32" s="1"/>
  <c r="AF32" s="1"/>
  <c r="Y32" s="1"/>
  <c r="AG33"/>
  <c r="AI33" s="1"/>
  <c r="AF33" s="1"/>
  <c r="Y33" s="1"/>
  <c r="AG34"/>
  <c r="AI34" s="1"/>
  <c r="AF34" s="1"/>
  <c r="Y34" s="1"/>
  <c r="AG35"/>
  <c r="AI35" s="1"/>
  <c r="AF35" s="1"/>
  <c r="Y35" s="1"/>
  <c r="AG36"/>
  <c r="AI36" s="1"/>
  <c r="AF36" s="1"/>
  <c r="Y36" s="1"/>
  <c r="AF37"/>
  <c r="Y37" s="1"/>
  <c r="AJ37"/>
  <c r="AG38"/>
  <c r="AI38" s="1"/>
  <c r="AF38" s="1"/>
  <c r="Y38" s="1"/>
  <c r="AG39"/>
  <c r="AI39" s="1"/>
  <c r="AF39" s="1"/>
  <c r="Y39" s="1"/>
  <c r="AG40"/>
  <c r="AI40" s="1"/>
  <c r="AF40" s="1"/>
  <c r="Y40" s="1"/>
  <c r="AG41"/>
  <c r="AI41" s="1"/>
  <c r="AF41" s="1"/>
  <c r="Y41" s="1"/>
  <c r="AG42"/>
  <c r="AI42" s="1"/>
  <c r="AF42" s="1"/>
  <c r="Y42" s="1"/>
  <c r="AF43"/>
  <c r="Y43" s="1"/>
  <c r="AJ43"/>
  <c r="AG44"/>
  <c r="AI44" s="1"/>
  <c r="AF44" s="1"/>
  <c r="Y44" s="1"/>
  <c r="AG45"/>
  <c r="AI45" s="1"/>
  <c r="AF45" s="1"/>
  <c r="Y45" s="1"/>
  <c r="AG46"/>
  <c r="AI46" s="1"/>
  <c r="AF46" s="1"/>
  <c r="Y46" s="1"/>
  <c r="AG47"/>
  <c r="AI47" s="1"/>
  <c r="AF47" s="1"/>
  <c r="Y47" s="1"/>
  <c r="AG48"/>
  <c r="AI48" s="1"/>
  <c r="AF48" s="1"/>
  <c r="Y48" s="1"/>
  <c r="AF49"/>
  <c r="Y49" s="1"/>
  <c r="AJ49"/>
  <c r="AG50"/>
  <c r="AI50" s="1"/>
  <c r="AF50" s="1"/>
  <c r="Y50" s="1"/>
  <c r="AG51"/>
  <c r="AI51" s="1"/>
  <c r="AF51" s="1"/>
  <c r="Y51" s="1"/>
  <c r="AG52"/>
  <c r="AI52" s="1"/>
  <c r="AF52" s="1"/>
  <c r="Y52" s="1"/>
  <c r="AG53"/>
  <c r="AI53" s="1"/>
  <c r="AG54"/>
  <c r="AI54" s="1"/>
  <c r="AF54" s="1"/>
  <c r="Y54" s="1"/>
  <c r="AF55"/>
  <c r="Y55" s="1"/>
  <c r="AJ55"/>
  <c r="AG59"/>
  <c r="AI59" s="1"/>
  <c r="AF59" s="1"/>
  <c r="Y59" s="1"/>
  <c r="AG60"/>
  <c r="AI60" s="1"/>
  <c r="AF60" s="1"/>
  <c r="Y60" s="1"/>
  <c r="AG61"/>
  <c r="AI61" s="1"/>
  <c r="AF61" s="1"/>
  <c r="Y61" s="1"/>
  <c r="AG62"/>
  <c r="AI62" s="1"/>
  <c r="AF62" s="1"/>
  <c r="Y62" s="1"/>
  <c r="AG63"/>
  <c r="AI63" s="1"/>
  <c r="AF63" s="1"/>
  <c r="Y63" s="1"/>
  <c r="AG64"/>
  <c r="AI64" s="1"/>
  <c r="AF64" s="1"/>
  <c r="Y64" s="1"/>
  <c r="AG65"/>
  <c r="AI65" s="1"/>
  <c r="AF65" s="1"/>
  <c r="Y65" s="1"/>
  <c r="AG66"/>
  <c r="AI66" s="1"/>
  <c r="AF66" s="1"/>
  <c r="Y66" s="1"/>
  <c r="AF70"/>
  <c r="Y70" s="1"/>
  <c r="AJ70"/>
  <c r="AG71"/>
  <c r="AI71" s="1"/>
  <c r="AF71" s="1"/>
  <c r="Y71" s="1"/>
  <c r="AF72"/>
  <c r="Y72" s="1"/>
  <c r="AJ72"/>
  <c r="AG73"/>
  <c r="AI73" s="1"/>
  <c r="AF73" s="1"/>
  <c r="Y73" s="1"/>
  <c r="AG77"/>
  <c r="AI77" s="1"/>
  <c r="AF77" s="1"/>
  <c r="Y77" s="1"/>
  <c r="AJ78"/>
  <c r="AF78" s="1"/>
  <c r="Y78" s="1"/>
  <c r="AJ82"/>
  <c r="AF82" s="1"/>
  <c r="Y82" s="1"/>
  <c r="AJ86"/>
  <c r="AF86" s="1"/>
  <c r="Y86" s="1"/>
  <c r="AG8" i="64"/>
  <c r="AI8" s="1"/>
  <c r="AF8" s="1"/>
  <c r="AG9"/>
  <c r="AI9" s="1"/>
  <c r="AF9" s="1"/>
  <c r="Y9" s="1"/>
  <c r="AG10"/>
  <c r="AI10" s="1"/>
  <c r="AF10" s="1"/>
  <c r="Y10" s="1"/>
  <c r="AG11"/>
  <c r="AI11" s="1"/>
  <c r="AF11" s="1"/>
  <c r="Y11" s="1"/>
  <c r="AG12"/>
  <c r="AI12" s="1"/>
  <c r="AF12" s="1"/>
  <c r="Y12" s="1"/>
  <c r="AJ13"/>
  <c r="AF13" s="1"/>
  <c r="Y13" s="1"/>
  <c r="AG14"/>
  <c r="AI14" s="1"/>
  <c r="AF14" s="1"/>
  <c r="Y14" s="1"/>
  <c r="AG15"/>
  <c r="AI15" s="1"/>
  <c r="AF15" s="1"/>
  <c r="Y15" s="1"/>
  <c r="AG16"/>
  <c r="AI16" s="1"/>
  <c r="AF16" s="1"/>
  <c r="Y16" s="1"/>
  <c r="AG17"/>
  <c r="AI17" s="1"/>
  <c r="AF17" s="1"/>
  <c r="Y17" s="1"/>
  <c r="AG18"/>
  <c r="AI18" s="1"/>
  <c r="AF18" s="1"/>
  <c r="Y18" s="1"/>
  <c r="AJ19"/>
  <c r="AF19" s="1"/>
  <c r="Y19" s="1"/>
  <c r="AG20"/>
  <c r="AI20" s="1"/>
  <c r="AF20" s="1"/>
  <c r="Y20" s="1"/>
  <c r="AG21"/>
  <c r="AI21" s="1"/>
  <c r="AF21" s="1"/>
  <c r="Y21" s="1"/>
  <c r="AG22"/>
  <c r="AI22" s="1"/>
  <c r="AF22" s="1"/>
  <c r="Y22" s="1"/>
  <c r="AG23"/>
  <c r="AI23" s="1"/>
  <c r="AF23" s="1"/>
  <c r="Y23" s="1"/>
  <c r="AG24"/>
  <c r="AI24" s="1"/>
  <c r="AF24" s="1"/>
  <c r="Y24" s="1"/>
  <c r="AJ25"/>
  <c r="AF25" s="1"/>
  <c r="Y25" s="1"/>
  <c r="AG26"/>
  <c r="AI26" s="1"/>
  <c r="AF26" s="1"/>
  <c r="Y26" s="1"/>
  <c r="AG27"/>
  <c r="AI27" s="1"/>
  <c r="AG28"/>
  <c r="AI28" s="1"/>
  <c r="AF28" s="1"/>
  <c r="Y28" s="1"/>
  <c r="AG29"/>
  <c r="AI29" s="1"/>
  <c r="AF29" s="1"/>
  <c r="Y29" s="1"/>
  <c r="AG30"/>
  <c r="AI30" s="1"/>
  <c r="AF30" s="1"/>
  <c r="Y30" s="1"/>
  <c r="AF31"/>
  <c r="Y31" s="1"/>
  <c r="AJ31"/>
  <c r="AG32"/>
  <c r="AI32" s="1"/>
  <c r="AF32" s="1"/>
  <c r="Y32" s="1"/>
  <c r="AG33"/>
  <c r="AI33" s="1"/>
  <c r="AF33" s="1"/>
  <c r="Y33" s="1"/>
  <c r="AG34"/>
  <c r="AI34" s="1"/>
  <c r="AF34" s="1"/>
  <c r="Y34" s="1"/>
  <c r="AG35"/>
  <c r="AI35" s="1"/>
  <c r="AF35" s="1"/>
  <c r="Y35" s="1"/>
  <c r="AG36"/>
  <c r="AI36" s="1"/>
  <c r="AF36" s="1"/>
  <c r="Y36" s="1"/>
  <c r="AF37"/>
  <c r="Y37" s="1"/>
  <c r="AJ37"/>
  <c r="AG38"/>
  <c r="AI38" s="1"/>
  <c r="AF38" s="1"/>
  <c r="Y38" s="1"/>
  <c r="AG39"/>
  <c r="AI39" s="1"/>
  <c r="AF39" s="1"/>
  <c r="Y39" s="1"/>
  <c r="AG40"/>
  <c r="AI40" s="1"/>
  <c r="AF40" s="1"/>
  <c r="Y40" s="1"/>
  <c r="AG41"/>
  <c r="AI41" s="1"/>
  <c r="AF41" s="1"/>
  <c r="Y41" s="1"/>
  <c r="AG42"/>
  <c r="AI42" s="1"/>
  <c r="AF42" s="1"/>
  <c r="Y42" s="1"/>
  <c r="AF43"/>
  <c r="Y43" s="1"/>
  <c r="AJ43"/>
  <c r="AG44"/>
  <c r="AI44" s="1"/>
  <c r="AF44" s="1"/>
  <c r="Y44" s="1"/>
  <c r="AG45"/>
  <c r="AI45" s="1"/>
  <c r="AF45" s="1"/>
  <c r="Y45" s="1"/>
  <c r="AG46"/>
  <c r="AI46" s="1"/>
  <c r="AF46" s="1"/>
  <c r="Y46" s="1"/>
  <c r="AG47"/>
  <c r="AI47" s="1"/>
  <c r="AF47" s="1"/>
  <c r="Y47" s="1"/>
  <c r="AG48"/>
  <c r="AI48" s="1"/>
  <c r="AF48" s="1"/>
  <c r="Y48" s="1"/>
  <c r="AF49"/>
  <c r="Y49" s="1"/>
  <c r="AJ49"/>
  <c r="AG50"/>
  <c r="AI50" s="1"/>
  <c r="AF50" s="1"/>
  <c r="Y50" s="1"/>
  <c r="AG51"/>
  <c r="AI51" s="1"/>
  <c r="AF51" s="1"/>
  <c r="Y51" s="1"/>
  <c r="AG52"/>
  <c r="AI52" s="1"/>
  <c r="AF52" s="1"/>
  <c r="Y52" s="1"/>
  <c r="AG53"/>
  <c r="AI53" s="1"/>
  <c r="AG54"/>
  <c r="AI54" s="1"/>
  <c r="AF54" s="1"/>
  <c r="Y54" s="1"/>
  <c r="AF55"/>
  <c r="Y55" s="1"/>
  <c r="AJ55"/>
  <c r="BB58"/>
  <c r="AG59"/>
  <c r="AI59" s="1"/>
  <c r="AF59" s="1"/>
  <c r="Y59" s="1"/>
  <c r="AG60"/>
  <c r="AI60" s="1"/>
  <c r="AF60" s="1"/>
  <c r="Y60" s="1"/>
  <c r="AG61"/>
  <c r="AI61" s="1"/>
  <c r="AF61" s="1"/>
  <c r="Y61" s="1"/>
  <c r="AG62"/>
  <c r="AI62" s="1"/>
  <c r="AF62" s="1"/>
  <c r="Y62" s="1"/>
  <c r="AG63"/>
  <c r="AI63" s="1"/>
  <c r="AF63" s="1"/>
  <c r="Y63" s="1"/>
  <c r="AG64"/>
  <c r="AI64" s="1"/>
  <c r="AF64" s="1"/>
  <c r="Y64" s="1"/>
  <c r="AG65"/>
  <c r="AI65" s="1"/>
  <c r="AF65" s="1"/>
  <c r="Y65" s="1"/>
  <c r="AG66"/>
  <c r="AI66" s="1"/>
  <c r="AF66" s="1"/>
  <c r="Y66" s="1"/>
  <c r="AJ70"/>
  <c r="AF70" s="1"/>
  <c r="Y70" s="1"/>
  <c r="AG71"/>
  <c r="AI71" s="1"/>
  <c r="AF71" s="1"/>
  <c r="Y71" s="1"/>
  <c r="AF72"/>
  <c r="Y72" s="1"/>
  <c r="AJ72"/>
  <c r="AG73"/>
  <c r="AI73" s="1"/>
  <c r="AF73" s="1"/>
  <c r="Y73" s="1"/>
  <c r="AG77"/>
  <c r="AI77" s="1"/>
  <c r="AF77" s="1"/>
  <c r="Y77" s="1"/>
  <c r="AJ78"/>
  <c r="AF78" s="1"/>
  <c r="Y78" s="1"/>
  <c r="AF82"/>
  <c r="Y82" s="1"/>
  <c r="AJ82"/>
  <c r="AJ86"/>
  <c r="AG8" i="65"/>
  <c r="AI8" s="1"/>
  <c r="AF8" s="1"/>
  <c r="AG9"/>
  <c r="AI9" s="1"/>
  <c r="AF9" s="1"/>
  <c r="Y9" s="1"/>
  <c r="AG10"/>
  <c r="AI10" s="1"/>
  <c r="AF10" s="1"/>
  <c r="Y10" s="1"/>
  <c r="AG11"/>
  <c r="AI11" s="1"/>
  <c r="AF11" s="1"/>
  <c r="Y11" s="1"/>
  <c r="AG12"/>
  <c r="AI12" s="1"/>
  <c r="AF12" s="1"/>
  <c r="Y12" s="1"/>
  <c r="AF13"/>
  <c r="Y13" s="1"/>
  <c r="AJ13"/>
  <c r="AG14"/>
  <c r="AI14" s="1"/>
  <c r="AF14" s="1"/>
  <c r="Y14" s="1"/>
  <c r="AG15"/>
  <c r="AI15" s="1"/>
  <c r="AF15" s="1"/>
  <c r="Y15" s="1"/>
  <c r="AG16"/>
  <c r="AI16" s="1"/>
  <c r="AF16" s="1"/>
  <c r="Y16" s="1"/>
  <c r="AG17"/>
  <c r="AI17" s="1"/>
  <c r="AF17" s="1"/>
  <c r="Y17" s="1"/>
  <c r="AG18"/>
  <c r="AI18" s="1"/>
  <c r="AF18" s="1"/>
  <c r="Y18" s="1"/>
  <c r="AJ19"/>
  <c r="AF19" s="1"/>
  <c r="Y19" s="1"/>
  <c r="AG20"/>
  <c r="AI20" s="1"/>
  <c r="AF20" s="1"/>
  <c r="Y20" s="1"/>
  <c r="AG21"/>
  <c r="AI21" s="1"/>
  <c r="AF21" s="1"/>
  <c r="Y21" s="1"/>
  <c r="AG22"/>
  <c r="AI22" s="1"/>
  <c r="AF22" s="1"/>
  <c r="Y22" s="1"/>
  <c r="AG23"/>
  <c r="AI23" s="1"/>
  <c r="AF23" s="1"/>
  <c r="Y23" s="1"/>
  <c r="AG24"/>
  <c r="AI24" s="1"/>
  <c r="AF24" s="1"/>
  <c r="Y24" s="1"/>
  <c r="AF25"/>
  <c r="Y25" s="1"/>
  <c r="AJ25"/>
  <c r="AG26"/>
  <c r="AI26" s="1"/>
  <c r="AF26" s="1"/>
  <c r="Y26" s="1"/>
  <c r="AG27"/>
  <c r="AI27" s="1"/>
  <c r="AG28"/>
  <c r="AI28" s="1"/>
  <c r="AF28" s="1"/>
  <c r="Y28" s="1"/>
  <c r="AG29"/>
  <c r="AI29" s="1"/>
  <c r="AF29" s="1"/>
  <c r="Y29" s="1"/>
  <c r="AG30"/>
  <c r="AI30" s="1"/>
  <c r="AF30" s="1"/>
  <c r="Y30" s="1"/>
  <c r="AJ31"/>
  <c r="AF31" s="1"/>
  <c r="Y31" s="1"/>
  <c r="AG32"/>
  <c r="AI32" s="1"/>
  <c r="AF32" s="1"/>
  <c r="Y32" s="1"/>
  <c r="AG33"/>
  <c r="AI33" s="1"/>
  <c r="AF33" s="1"/>
  <c r="Y33" s="1"/>
  <c r="AG34"/>
  <c r="AI34" s="1"/>
  <c r="AF34" s="1"/>
  <c r="Y34" s="1"/>
  <c r="AG35"/>
  <c r="AI35" s="1"/>
  <c r="AF35" s="1"/>
  <c r="Y35" s="1"/>
  <c r="AG36"/>
  <c r="AI36" s="1"/>
  <c r="AF36" s="1"/>
  <c r="Y36" s="1"/>
  <c r="AF37"/>
  <c r="Y37" s="1"/>
  <c r="AJ37"/>
  <c r="AG38"/>
  <c r="AI38" s="1"/>
  <c r="AF38" s="1"/>
  <c r="Y38" s="1"/>
  <c r="AG39"/>
  <c r="AI39" s="1"/>
  <c r="AF39" s="1"/>
  <c r="Y39" s="1"/>
  <c r="AG40"/>
  <c r="AI40" s="1"/>
  <c r="AF40" s="1"/>
  <c r="Y40" s="1"/>
  <c r="AG41"/>
  <c r="AI41" s="1"/>
  <c r="AF41" s="1"/>
  <c r="Y41" s="1"/>
  <c r="AG42"/>
  <c r="AI42" s="1"/>
  <c r="AF42" s="1"/>
  <c r="Y42" s="1"/>
  <c r="AF43"/>
  <c r="Y43" s="1"/>
  <c r="AJ43"/>
  <c r="AG44"/>
  <c r="AI44" s="1"/>
  <c r="AF44" s="1"/>
  <c r="Y44" s="1"/>
  <c r="AG45"/>
  <c r="AI45" s="1"/>
  <c r="AF45" s="1"/>
  <c r="Y45" s="1"/>
  <c r="AG46"/>
  <c r="AI46" s="1"/>
  <c r="AF46" s="1"/>
  <c r="Y46" s="1"/>
  <c r="AG47"/>
  <c r="AI47" s="1"/>
  <c r="AF47" s="1"/>
  <c r="Y47" s="1"/>
  <c r="AG48"/>
  <c r="AI48" s="1"/>
  <c r="AF48" s="1"/>
  <c r="Y48" s="1"/>
  <c r="AF49"/>
  <c r="Y49" s="1"/>
  <c r="AJ49"/>
  <c r="AG50"/>
  <c r="AI50" s="1"/>
  <c r="AF50" s="1"/>
  <c r="Y50" s="1"/>
  <c r="AG51"/>
  <c r="AI51" s="1"/>
  <c r="AF51" s="1"/>
  <c r="Y51" s="1"/>
  <c r="AG52"/>
  <c r="AI52" s="1"/>
  <c r="AF52" s="1"/>
  <c r="Y52" s="1"/>
  <c r="AG53"/>
  <c r="AI53" s="1"/>
  <c r="AG54"/>
  <c r="AI54" s="1"/>
  <c r="AF54" s="1"/>
  <c r="Y54" s="1"/>
  <c r="AF55"/>
  <c r="Y55" s="1"/>
  <c r="AJ55"/>
  <c r="BB58"/>
  <c r="AG59"/>
  <c r="AI59" s="1"/>
  <c r="AF59" s="1"/>
  <c r="Y59" s="1"/>
  <c r="AG60"/>
  <c r="AI60" s="1"/>
  <c r="AF60" s="1"/>
  <c r="Y60" s="1"/>
  <c r="AG61"/>
  <c r="AI61" s="1"/>
  <c r="AF61" s="1"/>
  <c r="Y61" s="1"/>
  <c r="AG62"/>
  <c r="AI62" s="1"/>
  <c r="AF62" s="1"/>
  <c r="Y62" s="1"/>
  <c r="AG63"/>
  <c r="AI63" s="1"/>
  <c r="AF63" s="1"/>
  <c r="Y63" s="1"/>
  <c r="AF70"/>
  <c r="Y70" s="1"/>
  <c r="AJ70"/>
  <c r="AL71"/>
  <c r="AK71"/>
  <c r="AF72"/>
  <c r="Y72" s="1"/>
  <c r="AJ72"/>
  <c r="AL73"/>
  <c r="AK73"/>
  <c r="AL77"/>
  <c r="AK77"/>
  <c r="AJ78"/>
  <c r="AJ82"/>
  <c r="AF82" s="1"/>
  <c r="Y82" s="1"/>
  <c r="AJ86"/>
  <c r="AF86" s="1"/>
  <c r="Y86" s="1"/>
  <c r="AL9" i="66"/>
  <c r="AK9"/>
  <c r="AL11"/>
  <c r="AK11"/>
  <c r="AL13"/>
  <c r="AI78" i="67"/>
  <c r="AI86"/>
  <c r="AK19" i="69"/>
  <c r="AG19"/>
  <c r="AI19" s="1"/>
  <c r="AK25"/>
  <c r="AG25"/>
  <c r="AI25" s="1"/>
  <c r="AK31"/>
  <c r="AG31"/>
  <c r="AI31" s="1"/>
  <c r="AK37"/>
  <c r="AG37"/>
  <c r="AI37" s="1"/>
  <c r="AK43"/>
  <c r="AG43"/>
  <c r="AI43" s="1"/>
  <c r="AK49"/>
  <c r="AG49"/>
  <c r="AI49" s="1"/>
  <c r="AJ64" i="65"/>
  <c r="AF64" s="1"/>
  <c r="Y64" s="1"/>
  <c r="AF65"/>
  <c r="Y65" s="1"/>
  <c r="AJ65"/>
  <c r="AF66"/>
  <c r="Y66" s="1"/>
  <c r="AJ66"/>
  <c r="AJ71"/>
  <c r="AF71" s="1"/>
  <c r="Y71" s="1"/>
  <c r="AF73"/>
  <c r="Y73" s="1"/>
  <c r="AJ73"/>
  <c r="AJ77"/>
  <c r="AF77" s="1"/>
  <c r="Y77" s="1"/>
  <c r="AJ8" i="66"/>
  <c r="AF8" s="1"/>
  <c r="AJ9"/>
  <c r="AF9" s="1"/>
  <c r="Y9" s="1"/>
  <c r="AJ10"/>
  <c r="AF10" s="1"/>
  <c r="Y10" s="1"/>
  <c r="AJ11"/>
  <c r="AF11" s="1"/>
  <c r="Y11" s="1"/>
  <c r="AF12"/>
  <c r="Y12" s="1"/>
  <c r="AJ12"/>
  <c r="AF14"/>
  <c r="Y14" s="1"/>
  <c r="AJ14"/>
  <c r="AH15"/>
  <c r="AI15" s="1"/>
  <c r="AF15" s="1"/>
  <c r="Y15" s="1"/>
  <c r="AJ15"/>
  <c r="AH16"/>
  <c r="AI16" s="1"/>
  <c r="AF16" s="1"/>
  <c r="Y16" s="1"/>
  <c r="AJ16"/>
  <c r="AH17"/>
  <c r="AI17" s="1"/>
  <c r="AJ17"/>
  <c r="AH18"/>
  <c r="AI18" s="1"/>
  <c r="AF18" s="1"/>
  <c r="Y18" s="1"/>
  <c r="AJ18"/>
  <c r="AG19"/>
  <c r="AI19" s="1"/>
  <c r="AK19"/>
  <c r="AH20"/>
  <c r="AI20" s="1"/>
  <c r="AF20" s="1"/>
  <c r="Y20" s="1"/>
  <c r="AJ20"/>
  <c r="AH21"/>
  <c r="AI21" s="1"/>
  <c r="AJ21"/>
  <c r="AH22"/>
  <c r="AI22" s="1"/>
  <c r="AJ22"/>
  <c r="AH23"/>
  <c r="AI23" s="1"/>
  <c r="AJ23"/>
  <c r="AH24"/>
  <c r="AI24" s="1"/>
  <c r="AF24" s="1"/>
  <c r="Y24" s="1"/>
  <c r="AJ24"/>
  <c r="AG25"/>
  <c r="AI25" s="1"/>
  <c r="AK25"/>
  <c r="AH26"/>
  <c r="AI26" s="1"/>
  <c r="AF26" s="1"/>
  <c r="Y26" s="1"/>
  <c r="AJ26"/>
  <c r="AH27"/>
  <c r="AI27" s="1"/>
  <c r="AF27" s="1"/>
  <c r="Y27" s="1"/>
  <c r="AJ27"/>
  <c r="AH28"/>
  <c r="AI28" s="1"/>
  <c r="AF28" s="1"/>
  <c r="Y28" s="1"/>
  <c r="AJ28"/>
  <c r="AH29"/>
  <c r="AI29" s="1"/>
  <c r="AF29" s="1"/>
  <c r="Y29" s="1"/>
  <c r="AJ29"/>
  <c r="AH30"/>
  <c r="AI30" s="1"/>
  <c r="AF30" s="1"/>
  <c r="Y30" s="1"/>
  <c r="AJ30"/>
  <c r="AG31"/>
  <c r="AI31" s="1"/>
  <c r="AK31"/>
  <c r="AH32"/>
  <c r="AI32" s="1"/>
  <c r="AJ32"/>
  <c r="AH33"/>
  <c r="AI33" s="1"/>
  <c r="AJ33"/>
  <c r="AF33" s="1"/>
  <c r="Y33" s="1"/>
  <c r="AH34"/>
  <c r="AI34" s="1"/>
  <c r="AF34" s="1"/>
  <c r="Y34" s="1"/>
  <c r="AJ34"/>
  <c r="AH35"/>
  <c r="AI35" s="1"/>
  <c r="AF35" s="1"/>
  <c r="Y35" s="1"/>
  <c r="AJ35"/>
  <c r="AH36"/>
  <c r="AI36" s="1"/>
  <c r="AJ36"/>
  <c r="AF36" s="1"/>
  <c r="Y36" s="1"/>
  <c r="AG37"/>
  <c r="AI37" s="1"/>
  <c r="AK37"/>
  <c r="AH38"/>
  <c r="AI38" s="1"/>
  <c r="AJ38"/>
  <c r="AH39"/>
  <c r="AI39" s="1"/>
  <c r="AF39" s="1"/>
  <c r="Y39" s="1"/>
  <c r="AJ39"/>
  <c r="AH40"/>
  <c r="AI40" s="1"/>
  <c r="AF40" s="1"/>
  <c r="Y40" s="1"/>
  <c r="AJ40"/>
  <c r="AH41"/>
  <c r="AI41" s="1"/>
  <c r="AJ41"/>
  <c r="AH42"/>
  <c r="AI42" s="1"/>
  <c r="AF42" s="1"/>
  <c r="Y42" s="1"/>
  <c r="AJ42"/>
  <c r="AG43"/>
  <c r="AI43" s="1"/>
  <c r="AK43"/>
  <c r="AH44"/>
  <c r="AI44" s="1"/>
  <c r="AJ44"/>
  <c r="AF44" s="1"/>
  <c r="Y44" s="1"/>
  <c r="AH45"/>
  <c r="AI45" s="1"/>
  <c r="AJ45"/>
  <c r="AH46"/>
  <c r="AI46" s="1"/>
  <c r="AF46" s="1"/>
  <c r="Y46" s="1"/>
  <c r="AJ46"/>
  <c r="AH47"/>
  <c r="AI47" s="1"/>
  <c r="AJ47"/>
  <c r="AF47" s="1"/>
  <c r="Y47" s="1"/>
  <c r="AH48"/>
  <c r="AI48" s="1"/>
  <c r="AF48" s="1"/>
  <c r="Y48" s="1"/>
  <c r="AJ48"/>
  <c r="AG49"/>
  <c r="AI49" s="1"/>
  <c r="AK49"/>
  <c r="AH50"/>
  <c r="AI50" s="1"/>
  <c r="AJ50"/>
  <c r="AH51"/>
  <c r="AI51" s="1"/>
  <c r="AF51" s="1"/>
  <c r="Y51" s="1"/>
  <c r="AJ51"/>
  <c r="AJ52"/>
  <c r="AL52"/>
  <c r="AJ53"/>
  <c r="AL53"/>
  <c r="AJ54"/>
  <c r="AL54"/>
  <c r="AK55"/>
  <c r="AJ59"/>
  <c r="AL59"/>
  <c r="AJ60"/>
  <c r="AL60"/>
  <c r="AJ61"/>
  <c r="AL61"/>
  <c r="AJ62"/>
  <c r="AL62"/>
  <c r="AJ63"/>
  <c r="AL63"/>
  <c r="AJ64"/>
  <c r="AL64"/>
  <c r="AJ65"/>
  <c r="AL65"/>
  <c r="AJ66"/>
  <c r="AL66"/>
  <c r="AG70"/>
  <c r="AI70" s="1"/>
  <c r="AK70"/>
  <c r="AJ71"/>
  <c r="AL71"/>
  <c r="AF71" s="1"/>
  <c r="Y71" s="1"/>
  <c r="AG72"/>
  <c r="AI72" s="1"/>
  <c r="AK72"/>
  <c r="AJ73"/>
  <c r="AL73"/>
  <c r="AJ77"/>
  <c r="AL77"/>
  <c r="AG78"/>
  <c r="AI78" s="1"/>
  <c r="AK78"/>
  <c r="AG82"/>
  <c r="AI82" s="1"/>
  <c r="AK82"/>
  <c r="AG86"/>
  <c r="AI86" s="1"/>
  <c r="AK86"/>
  <c r="AJ8" i="67"/>
  <c r="AL8"/>
  <c r="AJ9"/>
  <c r="AL9"/>
  <c r="AJ10"/>
  <c r="AL10"/>
  <c r="AJ11"/>
  <c r="AL11"/>
  <c r="AJ12"/>
  <c r="AL12"/>
  <c r="AK13"/>
  <c r="AJ14"/>
  <c r="AL14"/>
  <c r="AJ15"/>
  <c r="AL15"/>
  <c r="AJ16"/>
  <c r="AL16"/>
  <c r="AJ17"/>
  <c r="AL17"/>
  <c r="AJ18"/>
  <c r="AL18"/>
  <c r="AK19"/>
  <c r="AJ20"/>
  <c r="AL20"/>
  <c r="AJ21"/>
  <c r="AL21"/>
  <c r="AJ22"/>
  <c r="AL22"/>
  <c r="AJ23"/>
  <c r="AL23"/>
  <c r="AJ24"/>
  <c r="AL24"/>
  <c r="AK25"/>
  <c r="AJ26"/>
  <c r="AL26"/>
  <c r="AJ27"/>
  <c r="AL27"/>
  <c r="AJ28"/>
  <c r="AL28"/>
  <c r="AJ29"/>
  <c r="AL29"/>
  <c r="AJ30"/>
  <c r="AL30"/>
  <c r="AK31"/>
  <c r="AJ32"/>
  <c r="AL32"/>
  <c r="AJ33"/>
  <c r="AL33"/>
  <c r="AJ34"/>
  <c r="AL34"/>
  <c r="AJ35"/>
  <c r="AL35"/>
  <c r="AJ36"/>
  <c r="AL36"/>
  <c r="AK37"/>
  <c r="AJ38"/>
  <c r="AL38"/>
  <c r="AJ39"/>
  <c r="AL39"/>
  <c r="AJ40"/>
  <c r="AL40"/>
  <c r="AJ41"/>
  <c r="AL41"/>
  <c r="AJ42"/>
  <c r="AL42"/>
  <c r="AK43"/>
  <c r="AJ44"/>
  <c r="AL44"/>
  <c r="AJ45"/>
  <c r="AL45"/>
  <c r="AJ46"/>
  <c r="AL46"/>
  <c r="AJ47"/>
  <c r="AL47"/>
  <c r="AJ48"/>
  <c r="AL48"/>
  <c r="AK49"/>
  <c r="AJ50"/>
  <c r="AL50"/>
  <c r="AJ51"/>
  <c r="AL51"/>
  <c r="AJ52"/>
  <c r="AL52"/>
  <c r="AJ53"/>
  <c r="AL53"/>
  <c r="AJ54"/>
  <c r="AL54"/>
  <c r="AK55"/>
  <c r="AJ59"/>
  <c r="AL59"/>
  <c r="AJ60"/>
  <c r="AL60"/>
  <c r="AJ61"/>
  <c r="AL61"/>
  <c r="AJ62"/>
  <c r="AL62"/>
  <c r="AJ63"/>
  <c r="AL63"/>
  <c r="AJ64"/>
  <c r="AL64"/>
  <c r="AJ65"/>
  <c r="AL65"/>
  <c r="AJ66"/>
  <c r="AL66"/>
  <c r="AK70"/>
  <c r="AJ71"/>
  <c r="AL71"/>
  <c r="AF71" s="1"/>
  <c r="Y71" s="1"/>
  <c r="AK72"/>
  <c r="AJ73"/>
  <c r="AL73"/>
  <c r="AJ77"/>
  <c r="AL77"/>
  <c r="AK78"/>
  <c r="AK82"/>
  <c r="AK86"/>
  <c r="AJ8" i="68"/>
  <c r="AL8"/>
  <c r="AJ9"/>
  <c r="AL9"/>
  <c r="AJ10"/>
  <c r="AL10"/>
  <c r="AJ11"/>
  <c r="AL11"/>
  <c r="AJ12"/>
  <c r="AL12"/>
  <c r="AK13"/>
  <c r="AJ14"/>
  <c r="AL14"/>
  <c r="AJ15"/>
  <c r="AL15"/>
  <c r="AJ16"/>
  <c r="AL16"/>
  <c r="AJ17"/>
  <c r="AL17"/>
  <c r="AJ18"/>
  <c r="AL18"/>
  <c r="AK19"/>
  <c r="AJ20"/>
  <c r="AL20"/>
  <c r="AJ21"/>
  <c r="AL21"/>
  <c r="AJ22"/>
  <c r="AL22"/>
  <c r="AJ23"/>
  <c r="AL23"/>
  <c r="AJ24"/>
  <c r="AL24"/>
  <c r="AK25"/>
  <c r="AJ26"/>
  <c r="AL26"/>
  <c r="AJ27"/>
  <c r="AL27"/>
  <c r="AJ28"/>
  <c r="AL28"/>
  <c r="AJ29"/>
  <c r="AL29"/>
  <c r="AH30"/>
  <c r="AI30" s="1"/>
  <c r="AJ30"/>
  <c r="AG31"/>
  <c r="AI31" s="1"/>
  <c r="AK31"/>
  <c r="AH32"/>
  <c r="AI32" s="1"/>
  <c r="AF32" s="1"/>
  <c r="Y32" s="1"/>
  <c r="AJ32"/>
  <c r="AH33"/>
  <c r="AI33" s="1"/>
  <c r="AJ33"/>
  <c r="AH34"/>
  <c r="AI34" s="1"/>
  <c r="AF34" s="1"/>
  <c r="Y34" s="1"/>
  <c r="AJ34"/>
  <c r="AH35"/>
  <c r="AI35" s="1"/>
  <c r="AF35" s="1"/>
  <c r="Y35" s="1"/>
  <c r="AJ35"/>
  <c r="AH36"/>
  <c r="AI36" s="1"/>
  <c r="AF36" s="1"/>
  <c r="Y36" s="1"/>
  <c r="AJ36"/>
  <c r="AG37"/>
  <c r="AI37" s="1"/>
  <c r="AK37"/>
  <c r="AH38"/>
  <c r="AI38" s="1"/>
  <c r="AF38" s="1"/>
  <c r="Y38" s="1"/>
  <c r="AJ38"/>
  <c r="AH39"/>
  <c r="AI39" s="1"/>
  <c r="AF39" s="1"/>
  <c r="Y39" s="1"/>
  <c r="AJ39"/>
  <c r="AH40"/>
  <c r="AI40" s="1"/>
  <c r="AF40" s="1"/>
  <c r="Y40" s="1"/>
  <c r="AJ40"/>
  <c r="AH41"/>
  <c r="AI41" s="1"/>
  <c r="AJ41"/>
  <c r="AH42"/>
  <c r="AI42" s="1"/>
  <c r="AF42" s="1"/>
  <c r="Y42" s="1"/>
  <c r="AJ42"/>
  <c r="AG43"/>
  <c r="AI43" s="1"/>
  <c r="AK43"/>
  <c r="AH44"/>
  <c r="AI44" s="1"/>
  <c r="AF44" s="1"/>
  <c r="Y44" s="1"/>
  <c r="AJ44"/>
  <c r="AH45"/>
  <c r="AI45" s="1"/>
  <c r="AJ45"/>
  <c r="AH46"/>
  <c r="AI46" s="1"/>
  <c r="AF46" s="1"/>
  <c r="Y46" s="1"/>
  <c r="AJ46"/>
  <c r="AH47"/>
  <c r="AI47" s="1"/>
  <c r="AJ47"/>
  <c r="AF47" s="1"/>
  <c r="Y47" s="1"/>
  <c r="AH48"/>
  <c r="AI48" s="1"/>
  <c r="AF48" s="1"/>
  <c r="Y48" s="1"/>
  <c r="AJ48"/>
  <c r="AG49"/>
  <c r="AI49" s="1"/>
  <c r="AK49"/>
  <c r="AH50"/>
  <c r="AI50" s="1"/>
  <c r="AF50" s="1"/>
  <c r="Y50" s="1"/>
  <c r="AJ50"/>
  <c r="AH51"/>
  <c r="AI51" s="1"/>
  <c r="AF51" s="1"/>
  <c r="Y51" s="1"/>
  <c r="AJ51"/>
  <c r="AH52"/>
  <c r="AI52" s="1"/>
  <c r="AF52" s="1"/>
  <c r="Y52" s="1"/>
  <c r="AJ52"/>
  <c r="AH53"/>
  <c r="AI53" s="1"/>
  <c r="AJ53"/>
  <c r="AF53" s="1"/>
  <c r="Y53" s="1"/>
  <c r="AH54"/>
  <c r="AI54" s="1"/>
  <c r="AF54" s="1"/>
  <c r="Y54" s="1"/>
  <c r="AJ54"/>
  <c r="AG55"/>
  <c r="AI55" s="1"/>
  <c r="AK55"/>
  <c r="AH59"/>
  <c r="AI59" s="1"/>
  <c r="AJ59"/>
  <c r="AF59" s="1"/>
  <c r="Y59" s="1"/>
  <c r="AH60"/>
  <c r="AI60" s="1"/>
  <c r="AJ60"/>
  <c r="AH61"/>
  <c r="AI61" s="1"/>
  <c r="AJ61"/>
  <c r="AH62"/>
  <c r="AI62" s="1"/>
  <c r="AF62" s="1"/>
  <c r="Y62" s="1"/>
  <c r="AJ62"/>
  <c r="AH63"/>
  <c r="AI63" s="1"/>
  <c r="AF63" s="1"/>
  <c r="Y63" s="1"/>
  <c r="AJ63"/>
  <c r="AH64"/>
  <c r="AI64" s="1"/>
  <c r="AF64" s="1"/>
  <c r="Y64" s="1"/>
  <c r="AJ64"/>
  <c r="AH65"/>
  <c r="AI65" s="1"/>
  <c r="AJ65"/>
  <c r="AH66"/>
  <c r="AI66" s="1"/>
  <c r="AF66" s="1"/>
  <c r="Y66" s="1"/>
  <c r="AJ66"/>
  <c r="AG70"/>
  <c r="AI70" s="1"/>
  <c r="AK70"/>
  <c r="AH71"/>
  <c r="AI71" s="1"/>
  <c r="AJ71"/>
  <c r="AF71" s="1"/>
  <c r="Y71" s="1"/>
  <c r="AG72"/>
  <c r="AI72" s="1"/>
  <c r="AK72"/>
  <c r="AH73"/>
  <c r="AI73" s="1"/>
  <c r="AF73" s="1"/>
  <c r="Y73" s="1"/>
  <c r="AJ73"/>
  <c r="AH77"/>
  <c r="AI77" s="1"/>
  <c r="AJ77"/>
  <c r="AG78"/>
  <c r="AI78" s="1"/>
  <c r="AK78"/>
  <c r="AG82"/>
  <c r="AI82" s="1"/>
  <c r="AK82"/>
  <c r="AG86"/>
  <c r="AI86" s="1"/>
  <c r="AK86"/>
  <c r="AH8" i="69"/>
  <c r="AI8" s="1"/>
  <c r="AJ8"/>
  <c r="AH9"/>
  <c r="AI9" s="1"/>
  <c r="AF9" s="1"/>
  <c r="Y9" s="1"/>
  <c r="AJ9"/>
  <c r="AH10"/>
  <c r="AI10" s="1"/>
  <c r="AJ10"/>
  <c r="AH11"/>
  <c r="AI11" s="1"/>
  <c r="AF11" s="1"/>
  <c r="Y11" s="1"/>
  <c r="AJ11"/>
  <c r="AH12"/>
  <c r="AI12" s="1"/>
  <c r="AJ12"/>
  <c r="AF12" s="1"/>
  <c r="Y12" s="1"/>
  <c r="AG13"/>
  <c r="AI13" s="1"/>
  <c r="AK13"/>
  <c r="AH14"/>
  <c r="AI14" s="1"/>
  <c r="AJ14"/>
  <c r="AH15"/>
  <c r="AI15" s="1"/>
  <c r="AF15" s="1"/>
  <c r="Y15" s="1"/>
  <c r="AJ15"/>
  <c r="AH16"/>
  <c r="AI16" s="1"/>
  <c r="AF16" s="1"/>
  <c r="Y16" s="1"/>
  <c r="AJ16"/>
  <c r="AH17"/>
  <c r="AI17" s="1"/>
  <c r="AF17" s="1"/>
  <c r="Y17" s="1"/>
  <c r="AJ17"/>
  <c r="AH18"/>
  <c r="AI18" s="1"/>
  <c r="AJ18"/>
  <c r="AF18" s="1"/>
  <c r="Y18" s="1"/>
  <c r="AF19"/>
  <c r="Y19" s="1"/>
  <c r="AJ19"/>
  <c r="AL20"/>
  <c r="AK20"/>
  <c r="AL22"/>
  <c r="AK22"/>
  <c r="AL24"/>
  <c r="AK24"/>
  <c r="AF25"/>
  <c r="Y25" s="1"/>
  <c r="AJ25"/>
  <c r="AL26"/>
  <c r="AK26"/>
  <c r="AL28"/>
  <c r="AK28"/>
  <c r="AL30"/>
  <c r="AK30"/>
  <c r="AF31"/>
  <c r="Y31" s="1"/>
  <c r="AJ31"/>
  <c r="AL32"/>
  <c r="AK32"/>
  <c r="AL34"/>
  <c r="AK34"/>
  <c r="AL36"/>
  <c r="AK36"/>
  <c r="AF37"/>
  <c r="Y37" s="1"/>
  <c r="AJ37"/>
  <c r="AL38"/>
  <c r="AK38"/>
  <c r="AJ43"/>
  <c r="AJ49"/>
  <c r="AF49" s="1"/>
  <c r="Y49" s="1"/>
  <c r="AF19" i="66"/>
  <c r="Y19" s="1"/>
  <c r="AJ19"/>
  <c r="AF25"/>
  <c r="Y25" s="1"/>
  <c r="AJ25"/>
  <c r="AF31"/>
  <c r="Y31" s="1"/>
  <c r="AJ31"/>
  <c r="AF37"/>
  <c r="Y37" s="1"/>
  <c r="AJ37"/>
  <c r="AF43"/>
  <c r="Y43" s="1"/>
  <c r="AJ43"/>
  <c r="AF49"/>
  <c r="Y49" s="1"/>
  <c r="AJ49"/>
  <c r="AG52"/>
  <c r="AI52" s="1"/>
  <c r="AF52" s="1"/>
  <c r="Y52" s="1"/>
  <c r="AG53"/>
  <c r="AI53" s="1"/>
  <c r="AG54"/>
  <c r="AI54" s="1"/>
  <c r="AF54" s="1"/>
  <c r="Y54" s="1"/>
  <c r="AJ55"/>
  <c r="AF55" s="1"/>
  <c r="Y55" s="1"/>
  <c r="AG59"/>
  <c r="AI59" s="1"/>
  <c r="AF59" s="1"/>
  <c r="Y59" s="1"/>
  <c r="AG60"/>
  <c r="AI60" s="1"/>
  <c r="AF60" s="1"/>
  <c r="Y60" s="1"/>
  <c r="AG61"/>
  <c r="AI61" s="1"/>
  <c r="AF61" s="1"/>
  <c r="Y61" s="1"/>
  <c r="AG62"/>
  <c r="AI62" s="1"/>
  <c r="AF62" s="1"/>
  <c r="Y62" s="1"/>
  <c r="AG63"/>
  <c r="AI63" s="1"/>
  <c r="AF63" s="1"/>
  <c r="Y63" s="1"/>
  <c r="AG64"/>
  <c r="AI64" s="1"/>
  <c r="AF64" s="1"/>
  <c r="Y64" s="1"/>
  <c r="AG65"/>
  <c r="AI65" s="1"/>
  <c r="AF65" s="1"/>
  <c r="Y65" s="1"/>
  <c r="AG66"/>
  <c r="AI66" s="1"/>
  <c r="AF66" s="1"/>
  <c r="Y66" s="1"/>
  <c r="AF70"/>
  <c r="Y70" s="1"/>
  <c r="AJ70"/>
  <c r="AG71"/>
  <c r="AI71" s="1"/>
  <c r="AF72"/>
  <c r="Y72" s="1"/>
  <c r="AJ72"/>
  <c r="AG73"/>
  <c r="AI73" s="1"/>
  <c r="AF73" s="1"/>
  <c r="Y73" s="1"/>
  <c r="AG77"/>
  <c r="AI77" s="1"/>
  <c r="AF77" s="1"/>
  <c r="Y77" s="1"/>
  <c r="AF78"/>
  <c r="Y78" s="1"/>
  <c r="AJ78"/>
  <c r="AJ82"/>
  <c r="AF82" s="1"/>
  <c r="Y82" s="1"/>
  <c r="AF86"/>
  <c r="Y86" s="1"/>
  <c r="AJ86"/>
  <c r="AG8" i="67"/>
  <c r="AI8" s="1"/>
  <c r="AG9"/>
  <c r="AI9" s="1"/>
  <c r="AF9" s="1"/>
  <c r="Y9" s="1"/>
  <c r="AG10"/>
  <c r="AI10" s="1"/>
  <c r="AF10" s="1"/>
  <c r="Y10" s="1"/>
  <c r="AG11"/>
  <c r="AI11" s="1"/>
  <c r="AF11" s="1"/>
  <c r="Y11" s="1"/>
  <c r="AG12"/>
  <c r="AI12" s="1"/>
  <c r="AF12" s="1"/>
  <c r="Y12" s="1"/>
  <c r="AF13"/>
  <c r="Y13" s="1"/>
  <c r="AJ13"/>
  <c r="AG14"/>
  <c r="AI14" s="1"/>
  <c r="AF14" s="1"/>
  <c r="Y14" s="1"/>
  <c r="AG15"/>
  <c r="AI15" s="1"/>
  <c r="AF15" s="1"/>
  <c r="Y15" s="1"/>
  <c r="AG16"/>
  <c r="AI16" s="1"/>
  <c r="AF16" s="1"/>
  <c r="Y16" s="1"/>
  <c r="AG17"/>
  <c r="AI17" s="1"/>
  <c r="AF17" s="1"/>
  <c r="Y17" s="1"/>
  <c r="AG18"/>
  <c r="AI18" s="1"/>
  <c r="AF18" s="1"/>
  <c r="Y18" s="1"/>
  <c r="AJ19"/>
  <c r="AF19" s="1"/>
  <c r="Y19" s="1"/>
  <c r="AG20"/>
  <c r="AI20" s="1"/>
  <c r="AF20" s="1"/>
  <c r="Y20" s="1"/>
  <c r="AG21"/>
  <c r="AI21" s="1"/>
  <c r="AF21" s="1"/>
  <c r="Y21" s="1"/>
  <c r="AG22"/>
  <c r="AI22" s="1"/>
  <c r="AF22" s="1"/>
  <c r="Y22" s="1"/>
  <c r="AG23"/>
  <c r="AI23" s="1"/>
  <c r="AF23" s="1"/>
  <c r="Y23" s="1"/>
  <c r="AG24"/>
  <c r="AI24" s="1"/>
  <c r="AF24" s="1"/>
  <c r="Y24" s="1"/>
  <c r="AF25"/>
  <c r="Y25" s="1"/>
  <c r="AJ25"/>
  <c r="AG26"/>
  <c r="AI26" s="1"/>
  <c r="AF26" s="1"/>
  <c r="Y26" s="1"/>
  <c r="AG27"/>
  <c r="AI27" s="1"/>
  <c r="AG28"/>
  <c r="AI28" s="1"/>
  <c r="AF28" s="1"/>
  <c r="Y28" s="1"/>
  <c r="AG29"/>
  <c r="AI29" s="1"/>
  <c r="AF29" s="1"/>
  <c r="Y29" s="1"/>
  <c r="AG30"/>
  <c r="AI30" s="1"/>
  <c r="AF30" s="1"/>
  <c r="Y30" s="1"/>
  <c r="AJ31"/>
  <c r="AF31" s="1"/>
  <c r="Y31" s="1"/>
  <c r="AG32"/>
  <c r="AI32" s="1"/>
  <c r="AF32" s="1"/>
  <c r="Y32" s="1"/>
  <c r="AG33"/>
  <c r="AI33" s="1"/>
  <c r="AF33" s="1"/>
  <c r="Y33" s="1"/>
  <c r="AG34"/>
  <c r="AI34" s="1"/>
  <c r="AF34" s="1"/>
  <c r="Y34" s="1"/>
  <c r="AG35"/>
  <c r="AI35" s="1"/>
  <c r="AF35" s="1"/>
  <c r="Y35" s="1"/>
  <c r="AG36"/>
  <c r="AI36" s="1"/>
  <c r="AF36" s="1"/>
  <c r="Y36" s="1"/>
  <c r="AJ37"/>
  <c r="AF37" s="1"/>
  <c r="Y37" s="1"/>
  <c r="AG38"/>
  <c r="AI38" s="1"/>
  <c r="AF38" s="1"/>
  <c r="Y38" s="1"/>
  <c r="AG39"/>
  <c r="AI39" s="1"/>
  <c r="AF39" s="1"/>
  <c r="Y39" s="1"/>
  <c r="AG40"/>
  <c r="AI40" s="1"/>
  <c r="AF40" s="1"/>
  <c r="Y40" s="1"/>
  <c r="AG41"/>
  <c r="AI41" s="1"/>
  <c r="AF41" s="1"/>
  <c r="Y41" s="1"/>
  <c r="AG42"/>
  <c r="AI42" s="1"/>
  <c r="AF42" s="1"/>
  <c r="Y42" s="1"/>
  <c r="AJ43"/>
  <c r="AF43" s="1"/>
  <c r="Y43" s="1"/>
  <c r="AG44"/>
  <c r="AI44" s="1"/>
  <c r="AF44" s="1"/>
  <c r="Y44" s="1"/>
  <c r="AG45"/>
  <c r="AI45" s="1"/>
  <c r="AF45" s="1"/>
  <c r="Y45" s="1"/>
  <c r="AG46"/>
  <c r="AI46" s="1"/>
  <c r="AF46" s="1"/>
  <c r="Y46" s="1"/>
  <c r="AG47"/>
  <c r="AI47" s="1"/>
  <c r="AF47" s="1"/>
  <c r="Y47" s="1"/>
  <c r="AG48"/>
  <c r="AI48" s="1"/>
  <c r="AF48" s="1"/>
  <c r="Y48" s="1"/>
  <c r="AJ49"/>
  <c r="AF49" s="1"/>
  <c r="Y49" s="1"/>
  <c r="AG50"/>
  <c r="AI50" s="1"/>
  <c r="AF50" s="1"/>
  <c r="Y50" s="1"/>
  <c r="AG51"/>
  <c r="AI51" s="1"/>
  <c r="AF51" s="1"/>
  <c r="Y51" s="1"/>
  <c r="AG52"/>
  <c r="AI52" s="1"/>
  <c r="AF52" s="1"/>
  <c r="Y52" s="1"/>
  <c r="AG53"/>
  <c r="AI53" s="1"/>
  <c r="AG54"/>
  <c r="AI54" s="1"/>
  <c r="AF54" s="1"/>
  <c r="Y54" s="1"/>
  <c r="AJ55"/>
  <c r="AF55" s="1"/>
  <c r="Y55" s="1"/>
  <c r="BB58"/>
  <c r="AG59"/>
  <c r="AI59" s="1"/>
  <c r="AF59" s="1"/>
  <c r="Y59" s="1"/>
  <c r="AG60"/>
  <c r="AI60" s="1"/>
  <c r="AF60" s="1"/>
  <c r="Y60" s="1"/>
  <c r="AG61"/>
  <c r="AI61" s="1"/>
  <c r="AF61" s="1"/>
  <c r="Y61" s="1"/>
  <c r="AG62"/>
  <c r="AI62" s="1"/>
  <c r="AF62" s="1"/>
  <c r="Y62" s="1"/>
  <c r="AG63"/>
  <c r="AI63" s="1"/>
  <c r="AF63" s="1"/>
  <c r="Y63" s="1"/>
  <c r="AG64"/>
  <c r="AI64" s="1"/>
  <c r="AF64" s="1"/>
  <c r="Y64" s="1"/>
  <c r="AG65"/>
  <c r="AI65" s="1"/>
  <c r="AF65" s="1"/>
  <c r="Y65" s="1"/>
  <c r="AG66"/>
  <c r="AI66" s="1"/>
  <c r="AF66" s="1"/>
  <c r="Y66" s="1"/>
  <c r="AF70"/>
  <c r="Y70" s="1"/>
  <c r="AJ70"/>
  <c r="AG71"/>
  <c r="AI71" s="1"/>
  <c r="AF72"/>
  <c r="Y72" s="1"/>
  <c r="AJ72"/>
  <c r="AG73"/>
  <c r="AI73" s="1"/>
  <c r="AF73" s="1"/>
  <c r="Y73" s="1"/>
  <c r="AG77"/>
  <c r="AI77" s="1"/>
  <c r="AF77" s="1"/>
  <c r="Y77" s="1"/>
  <c r="AF78"/>
  <c r="Y78" s="1"/>
  <c r="AJ78"/>
  <c r="AF82"/>
  <c r="Y82" s="1"/>
  <c r="AJ82"/>
  <c r="AJ86"/>
  <c r="AF86" s="1"/>
  <c r="Y86" s="1"/>
  <c r="AG8" i="68"/>
  <c r="AI8" s="1"/>
  <c r="AG9"/>
  <c r="AI9" s="1"/>
  <c r="AG10"/>
  <c r="AI10" s="1"/>
  <c r="AF10" s="1"/>
  <c r="Y10" s="1"/>
  <c r="AG11"/>
  <c r="AI11" s="1"/>
  <c r="AF11" s="1"/>
  <c r="Y11" s="1"/>
  <c r="AG12"/>
  <c r="AI12" s="1"/>
  <c r="AF12" s="1"/>
  <c r="Y12" s="1"/>
  <c r="AF13"/>
  <c r="Y13" s="1"/>
  <c r="AJ13"/>
  <c r="AG14"/>
  <c r="AI14" s="1"/>
  <c r="AF14" s="1"/>
  <c r="Y14" s="1"/>
  <c r="AG15"/>
  <c r="AI15" s="1"/>
  <c r="AF15" s="1"/>
  <c r="Y15" s="1"/>
  <c r="AG16"/>
  <c r="AI16" s="1"/>
  <c r="AF16" s="1"/>
  <c r="Y16" s="1"/>
  <c r="AG17"/>
  <c r="AI17" s="1"/>
  <c r="AF17" s="1"/>
  <c r="Y17" s="1"/>
  <c r="AG18"/>
  <c r="AI18" s="1"/>
  <c r="AF18" s="1"/>
  <c r="Y18" s="1"/>
  <c r="AF19"/>
  <c r="Y19" s="1"/>
  <c r="AJ19"/>
  <c r="AG20"/>
  <c r="AI20" s="1"/>
  <c r="AF20" s="1"/>
  <c r="Y20" s="1"/>
  <c r="AG21"/>
  <c r="AI21" s="1"/>
  <c r="AF21" s="1"/>
  <c r="Y21" s="1"/>
  <c r="AG22"/>
  <c r="AI22" s="1"/>
  <c r="AF22" s="1"/>
  <c r="Y22" s="1"/>
  <c r="AG23"/>
  <c r="AI23" s="1"/>
  <c r="AF23" s="1"/>
  <c r="Y23" s="1"/>
  <c r="AG24"/>
  <c r="AI24" s="1"/>
  <c r="AF24" s="1"/>
  <c r="Y24" s="1"/>
  <c r="AF25"/>
  <c r="Y25" s="1"/>
  <c r="AJ25"/>
  <c r="AG26"/>
  <c r="AI26" s="1"/>
  <c r="AF26" s="1"/>
  <c r="Y26" s="1"/>
  <c r="AG27"/>
  <c r="AI27" s="1"/>
  <c r="AG28"/>
  <c r="AI28" s="1"/>
  <c r="AF28" s="1"/>
  <c r="Y28" s="1"/>
  <c r="AG29"/>
  <c r="AI29" s="1"/>
  <c r="AF29" s="1"/>
  <c r="Y29" s="1"/>
  <c r="AJ31"/>
  <c r="AF31" s="1"/>
  <c r="Y31" s="1"/>
  <c r="AF37"/>
  <c r="Y37" s="1"/>
  <c r="AJ37"/>
  <c r="AF43"/>
  <c r="Y43" s="1"/>
  <c r="AJ43"/>
  <c r="AF49"/>
  <c r="Y49" s="1"/>
  <c r="AJ49"/>
  <c r="AJ55"/>
  <c r="AF55" s="1"/>
  <c r="Y55" s="1"/>
  <c r="AF70"/>
  <c r="Y70" s="1"/>
  <c r="AJ70"/>
  <c r="AJ72"/>
  <c r="AF72" s="1"/>
  <c r="Y72" s="1"/>
  <c r="AF78"/>
  <c r="Y78" s="1"/>
  <c r="AJ78"/>
  <c r="AF82"/>
  <c r="Y82" s="1"/>
  <c r="AJ82"/>
  <c r="AJ86"/>
  <c r="AF13" i="69"/>
  <c r="Y13" s="1"/>
  <c r="AJ13"/>
  <c r="AL39"/>
  <c r="AK39"/>
  <c r="AL41"/>
  <c r="AK41"/>
  <c r="AL43"/>
  <c r="AF43" s="1"/>
  <c r="Y43" s="1"/>
  <c r="AL45"/>
  <c r="AK45"/>
  <c r="AL47"/>
  <c r="AK47"/>
  <c r="AL49"/>
  <c r="AL51"/>
  <c r="AK51"/>
  <c r="AL47" i="70"/>
  <c r="AJ47"/>
  <c r="AF47" s="1"/>
  <c r="Y47" s="1"/>
  <c r="AK49"/>
  <c r="AG49"/>
  <c r="AI49" s="1"/>
  <c r="AK55"/>
  <c r="AG55"/>
  <c r="AI55" s="1"/>
  <c r="AF20" i="69"/>
  <c r="Y20" s="1"/>
  <c r="AJ20"/>
  <c r="AJ21"/>
  <c r="AF21" s="1"/>
  <c r="Y21" s="1"/>
  <c r="AF22"/>
  <c r="Y22" s="1"/>
  <c r="AJ22"/>
  <c r="AF23"/>
  <c r="Y23" s="1"/>
  <c r="AJ23"/>
  <c r="AF24"/>
  <c r="Y24" s="1"/>
  <c r="AJ24"/>
  <c r="AF26"/>
  <c r="Y26" s="1"/>
  <c r="AJ26"/>
  <c r="AF27"/>
  <c r="Y27" s="1"/>
  <c r="AJ27"/>
  <c r="AJ28"/>
  <c r="AF28" s="1"/>
  <c r="Y28" s="1"/>
  <c r="AF29"/>
  <c r="Y29" s="1"/>
  <c r="AJ29"/>
  <c r="AF30"/>
  <c r="Y30" s="1"/>
  <c r="AJ30"/>
  <c r="AF32"/>
  <c r="Y32" s="1"/>
  <c r="AJ32"/>
  <c r="AJ33"/>
  <c r="AF33" s="1"/>
  <c r="Y33" s="1"/>
  <c r="AF34"/>
  <c r="Y34" s="1"/>
  <c r="AJ34"/>
  <c r="AF35"/>
  <c r="Y35" s="1"/>
  <c r="AJ35"/>
  <c r="AF36"/>
  <c r="Y36" s="1"/>
  <c r="AJ36"/>
  <c r="AF38"/>
  <c r="Y38" s="1"/>
  <c r="AJ38"/>
  <c r="AF39"/>
  <c r="Y39" s="1"/>
  <c r="AJ39"/>
  <c r="AF40"/>
  <c r="Y40" s="1"/>
  <c r="AJ40"/>
  <c r="AF41"/>
  <c r="Y41" s="1"/>
  <c r="AJ41"/>
  <c r="AF42"/>
  <c r="Y42" s="1"/>
  <c r="AJ42"/>
  <c r="AF44"/>
  <c r="Y44" s="1"/>
  <c r="AJ44"/>
  <c r="AF45"/>
  <c r="Y45" s="1"/>
  <c r="AJ45"/>
  <c r="AF46"/>
  <c r="Y46" s="1"/>
  <c r="AJ46"/>
  <c r="AF47"/>
  <c r="Y47" s="1"/>
  <c r="AJ47"/>
  <c r="AF48"/>
  <c r="Y48" s="1"/>
  <c r="AJ48"/>
  <c r="AF50"/>
  <c r="Y50" s="1"/>
  <c r="AJ50"/>
  <c r="AF51"/>
  <c r="Y51" s="1"/>
  <c r="AJ51"/>
  <c r="AF52"/>
  <c r="Y52" s="1"/>
  <c r="AJ52"/>
  <c r="AH53"/>
  <c r="AI53" s="1"/>
  <c r="AJ53"/>
  <c r="AH54"/>
  <c r="AI54" s="1"/>
  <c r="AJ54"/>
  <c r="AG55"/>
  <c r="AI55" s="1"/>
  <c r="AK55"/>
  <c r="AH59"/>
  <c r="AI59" s="1"/>
  <c r="AJ59"/>
  <c r="AH60"/>
  <c r="AI60" s="1"/>
  <c r="AF60" s="1"/>
  <c r="Y60" s="1"/>
  <c r="AJ60"/>
  <c r="AH61"/>
  <c r="AI61" s="1"/>
  <c r="AJ61"/>
  <c r="AF61" s="1"/>
  <c r="Y61" s="1"/>
  <c r="AH62"/>
  <c r="AI62" s="1"/>
  <c r="AJ62"/>
  <c r="AH63"/>
  <c r="AI63" s="1"/>
  <c r="AF63" s="1"/>
  <c r="Y63" s="1"/>
  <c r="AJ63"/>
  <c r="AH64"/>
  <c r="AI64" s="1"/>
  <c r="AJ64"/>
  <c r="AH65"/>
  <c r="AI65" s="1"/>
  <c r="AJ65"/>
  <c r="AH66"/>
  <c r="AI66" s="1"/>
  <c r="AF66" s="1"/>
  <c r="Y66" s="1"/>
  <c r="AJ66"/>
  <c r="AG70"/>
  <c r="AI70" s="1"/>
  <c r="AK70"/>
  <c r="AH71"/>
  <c r="AI71" s="1"/>
  <c r="AJ71"/>
  <c r="AF71" s="1"/>
  <c r="Y71" s="1"/>
  <c r="AG72"/>
  <c r="AI72" s="1"/>
  <c r="AK72"/>
  <c r="AH73"/>
  <c r="AI73" s="1"/>
  <c r="AJ73"/>
  <c r="AH77"/>
  <c r="AJ77"/>
  <c r="AG78"/>
  <c r="AI78" s="1"/>
  <c r="AK78"/>
  <c r="AG82"/>
  <c r="AI82" s="1"/>
  <c r="AK82"/>
  <c r="AG86"/>
  <c r="AI86" s="1"/>
  <c r="AK86"/>
  <c r="AH8" i="70"/>
  <c r="AI8" s="1"/>
  <c r="AJ8"/>
  <c r="AH9"/>
  <c r="AI9" s="1"/>
  <c r="AF9" s="1"/>
  <c r="Y9" s="1"/>
  <c r="AJ9"/>
  <c r="AH10"/>
  <c r="AI10" s="1"/>
  <c r="AJ10"/>
  <c r="AH11"/>
  <c r="AI11" s="1"/>
  <c r="AF11" s="1"/>
  <c r="Y11" s="1"/>
  <c r="AJ11"/>
  <c r="AH12"/>
  <c r="AI12" s="1"/>
  <c r="AF12" s="1"/>
  <c r="Y12" s="1"/>
  <c r="AJ12"/>
  <c r="AG13"/>
  <c r="AI13" s="1"/>
  <c r="AK13"/>
  <c r="AH14"/>
  <c r="AI14" s="1"/>
  <c r="AJ14"/>
  <c r="AF14" s="1"/>
  <c r="Y14" s="1"/>
  <c r="AH15"/>
  <c r="AI15" s="1"/>
  <c r="AF15" s="1"/>
  <c r="Y15" s="1"/>
  <c r="AJ15"/>
  <c r="AH16"/>
  <c r="AI16" s="1"/>
  <c r="AJ16"/>
  <c r="AF16" s="1"/>
  <c r="Y16" s="1"/>
  <c r="AH17"/>
  <c r="AI17" s="1"/>
  <c r="AJ17"/>
  <c r="AH18"/>
  <c r="AI18" s="1"/>
  <c r="AJ18"/>
  <c r="AG19"/>
  <c r="AI19" s="1"/>
  <c r="AK19"/>
  <c r="AH20"/>
  <c r="AI20" s="1"/>
  <c r="AJ20"/>
  <c r="AH21"/>
  <c r="AI21" s="1"/>
  <c r="AJ21"/>
  <c r="AF21" s="1"/>
  <c r="Y21" s="1"/>
  <c r="AH22"/>
  <c r="AI22" s="1"/>
  <c r="AF22" s="1"/>
  <c r="Y22" s="1"/>
  <c r="AJ22"/>
  <c r="AH23"/>
  <c r="AI23" s="1"/>
  <c r="AJ23"/>
  <c r="AF23" s="1"/>
  <c r="Y23" s="1"/>
  <c r="AH24"/>
  <c r="AI24" s="1"/>
  <c r="AF24" s="1"/>
  <c r="Y24" s="1"/>
  <c r="AJ24"/>
  <c r="AG25"/>
  <c r="AI25" s="1"/>
  <c r="AK25"/>
  <c r="AH26"/>
  <c r="AI26" s="1"/>
  <c r="AJ26"/>
  <c r="AH27"/>
  <c r="AI27" s="1"/>
  <c r="AF27" s="1"/>
  <c r="Y27" s="1"/>
  <c r="AJ27"/>
  <c r="AH28"/>
  <c r="AI28" s="1"/>
  <c r="AF28" s="1"/>
  <c r="Y28" s="1"/>
  <c r="AJ28"/>
  <c r="AH29"/>
  <c r="AI29" s="1"/>
  <c r="AF29" s="1"/>
  <c r="Y29" s="1"/>
  <c r="AJ29"/>
  <c r="AH30"/>
  <c r="AI30" s="1"/>
  <c r="AF30" s="1"/>
  <c r="Y30" s="1"/>
  <c r="AJ30"/>
  <c r="AG31"/>
  <c r="AI31" s="1"/>
  <c r="AK31"/>
  <c r="AH32"/>
  <c r="AI32" s="1"/>
  <c r="AF32" s="1"/>
  <c r="Y32" s="1"/>
  <c r="AJ32"/>
  <c r="AH33"/>
  <c r="AI33" s="1"/>
  <c r="AJ33"/>
  <c r="AF33" s="1"/>
  <c r="Y33" s="1"/>
  <c r="AH34"/>
  <c r="AI34" s="1"/>
  <c r="AF34" s="1"/>
  <c r="Y34" s="1"/>
  <c r="AJ34"/>
  <c r="AH35"/>
  <c r="AI35" s="1"/>
  <c r="AJ35"/>
  <c r="AF35" s="1"/>
  <c r="Y35" s="1"/>
  <c r="AH36"/>
  <c r="AI36" s="1"/>
  <c r="AF36" s="1"/>
  <c r="Y36" s="1"/>
  <c r="AJ36"/>
  <c r="AG37"/>
  <c r="AI37" s="1"/>
  <c r="AK37"/>
  <c r="AH38"/>
  <c r="AI38" s="1"/>
  <c r="AF38" s="1"/>
  <c r="Y38" s="1"/>
  <c r="AJ38"/>
  <c r="AH39"/>
  <c r="AI39" s="1"/>
  <c r="AF39" s="1"/>
  <c r="Y39" s="1"/>
  <c r="AJ39"/>
  <c r="AH40"/>
  <c r="AI40" s="1"/>
  <c r="AF40" s="1"/>
  <c r="Y40" s="1"/>
  <c r="AJ40"/>
  <c r="AH41"/>
  <c r="AI41" s="1"/>
  <c r="AJ41"/>
  <c r="AH42"/>
  <c r="AJ42"/>
  <c r="AG43"/>
  <c r="AI43" s="1"/>
  <c r="AK43"/>
  <c r="AH44"/>
  <c r="AI44" s="1"/>
  <c r="AF44" s="1"/>
  <c r="Y44" s="1"/>
  <c r="AJ44"/>
  <c r="AH45"/>
  <c r="AI45" s="1"/>
  <c r="AF45" s="1"/>
  <c r="Y45" s="1"/>
  <c r="AJ45"/>
  <c r="AH46"/>
  <c r="AI46" s="1"/>
  <c r="AF46" s="1"/>
  <c r="Y46" s="1"/>
  <c r="AJ46"/>
  <c r="AL48"/>
  <c r="AK48"/>
  <c r="AF49"/>
  <c r="Y49" s="1"/>
  <c r="AJ49"/>
  <c r="AL50"/>
  <c r="AK50"/>
  <c r="AL52"/>
  <c r="AK52"/>
  <c r="AL54"/>
  <c r="AK54"/>
  <c r="AF55"/>
  <c r="Y55" s="1"/>
  <c r="AJ55"/>
  <c r="AL59"/>
  <c r="AK59"/>
  <c r="AL60"/>
  <c r="AK60"/>
  <c r="AL61"/>
  <c r="AK61"/>
  <c r="AL62"/>
  <c r="AK62"/>
  <c r="AL63"/>
  <c r="AK63"/>
  <c r="AL64"/>
  <c r="AK64"/>
  <c r="AL65"/>
  <c r="AK65"/>
  <c r="AL66"/>
  <c r="AK66"/>
  <c r="AI9" i="71"/>
  <c r="AI10"/>
  <c r="AI11"/>
  <c r="AI16"/>
  <c r="AI17"/>
  <c r="AI21"/>
  <c r="AI23"/>
  <c r="AI27"/>
  <c r="AI29"/>
  <c r="AI33"/>
  <c r="AF33" s="1"/>
  <c r="Y33" s="1"/>
  <c r="AI35"/>
  <c r="AI39"/>
  <c r="AI41"/>
  <c r="AI45"/>
  <c r="AI47"/>
  <c r="AI51"/>
  <c r="AI9" i="72"/>
  <c r="AK70" i="70"/>
  <c r="AG70"/>
  <c r="AI70" s="1"/>
  <c r="AK72"/>
  <c r="AG72"/>
  <c r="AI72" s="1"/>
  <c r="AK78"/>
  <c r="AG78"/>
  <c r="AI78" s="1"/>
  <c r="AK82"/>
  <c r="AG82"/>
  <c r="AI82" s="1"/>
  <c r="AK86"/>
  <c r="AG86"/>
  <c r="AI86" s="1"/>
  <c r="AJ55" i="69"/>
  <c r="AF55" s="1"/>
  <c r="Y55" s="1"/>
  <c r="AF70"/>
  <c r="Y70" s="1"/>
  <c r="AJ70"/>
  <c r="AF72"/>
  <c r="Y72" s="1"/>
  <c r="AJ72"/>
  <c r="AJ78"/>
  <c r="AF78" s="1"/>
  <c r="Y78" s="1"/>
  <c r="AF82"/>
  <c r="Y82" s="1"/>
  <c r="AJ82"/>
  <c r="AJ86"/>
  <c r="AF13" i="70"/>
  <c r="Y13" s="1"/>
  <c r="AJ13"/>
  <c r="AF19"/>
  <c r="Y19" s="1"/>
  <c r="AJ19"/>
  <c r="AJ25"/>
  <c r="AF25" s="1"/>
  <c r="Y25" s="1"/>
  <c r="AF31"/>
  <c r="Y31" s="1"/>
  <c r="AJ31"/>
  <c r="AF37"/>
  <c r="Y37" s="1"/>
  <c r="AJ37"/>
  <c r="AF43"/>
  <c r="Y43" s="1"/>
  <c r="AJ43"/>
  <c r="AK47"/>
  <c r="AF70"/>
  <c r="Y70" s="1"/>
  <c r="AJ70"/>
  <c r="AF72"/>
  <c r="Y72" s="1"/>
  <c r="AJ72"/>
  <c r="AJ78"/>
  <c r="AF78" s="1"/>
  <c r="Y78" s="1"/>
  <c r="AJ82"/>
  <c r="AF82" s="1"/>
  <c r="Y82" s="1"/>
  <c r="AJ86"/>
  <c r="AK31" i="72"/>
  <c r="AG31"/>
  <c r="AI31" s="1"/>
  <c r="AK8" i="71"/>
  <c r="AK9"/>
  <c r="AK10"/>
  <c r="AK11"/>
  <c r="AK12"/>
  <c r="AJ13"/>
  <c r="AL13"/>
  <c r="AK14"/>
  <c r="AK15"/>
  <c r="AK16"/>
  <c r="AK17"/>
  <c r="AK18"/>
  <c r="AJ19"/>
  <c r="AL19"/>
  <c r="AK20"/>
  <c r="AK21"/>
  <c r="AK22"/>
  <c r="AK23"/>
  <c r="AK24"/>
  <c r="AJ25"/>
  <c r="AL25"/>
  <c r="AK26"/>
  <c r="AK27"/>
  <c r="AK28"/>
  <c r="AK29"/>
  <c r="AK30"/>
  <c r="AJ31"/>
  <c r="AL31"/>
  <c r="AK32"/>
  <c r="AK33"/>
  <c r="AK34"/>
  <c r="AK35"/>
  <c r="AK36"/>
  <c r="AJ37"/>
  <c r="AL37"/>
  <c r="AK38"/>
  <c r="AK39"/>
  <c r="AK40"/>
  <c r="AK41"/>
  <c r="AK42"/>
  <c r="AJ43"/>
  <c r="AL43"/>
  <c r="AK44"/>
  <c r="AK45"/>
  <c r="AK46"/>
  <c r="AK47"/>
  <c r="AK48"/>
  <c r="AJ49"/>
  <c r="AL49"/>
  <c r="AK50"/>
  <c r="AK51"/>
  <c r="AG52"/>
  <c r="AI52" s="1"/>
  <c r="AK52"/>
  <c r="AG53"/>
  <c r="AI53" s="1"/>
  <c r="AK53"/>
  <c r="AG54"/>
  <c r="AI54" s="1"/>
  <c r="AK54"/>
  <c r="AH55"/>
  <c r="AI55" s="1"/>
  <c r="AJ55"/>
  <c r="AG59"/>
  <c r="AI59" s="1"/>
  <c r="AK59"/>
  <c r="AG60"/>
  <c r="AI60" s="1"/>
  <c r="AK60"/>
  <c r="AG61"/>
  <c r="AI61" s="1"/>
  <c r="AK61"/>
  <c r="AG62"/>
  <c r="AI62" s="1"/>
  <c r="AK62"/>
  <c r="AG63"/>
  <c r="AI63" s="1"/>
  <c r="AK63"/>
  <c r="AG64"/>
  <c r="AI64" s="1"/>
  <c r="AK64"/>
  <c r="AG65"/>
  <c r="AI65" s="1"/>
  <c r="AK65"/>
  <c r="AG66"/>
  <c r="AI66" s="1"/>
  <c r="AK66"/>
  <c r="AJ70"/>
  <c r="AL70"/>
  <c r="AG71"/>
  <c r="AI71" s="1"/>
  <c r="AF71" s="1"/>
  <c r="Y71" s="1"/>
  <c r="AK71"/>
  <c r="AJ72"/>
  <c r="AL72"/>
  <c r="AG73"/>
  <c r="AI73" s="1"/>
  <c r="AK73"/>
  <c r="AG77"/>
  <c r="AI77" s="1"/>
  <c r="AK77"/>
  <c r="AJ78"/>
  <c r="AL78"/>
  <c r="AF78" s="1"/>
  <c r="Y78" s="1"/>
  <c r="AJ82"/>
  <c r="AL82"/>
  <c r="AJ86"/>
  <c r="AL86"/>
  <c r="AK8" i="72"/>
  <c r="AK9"/>
  <c r="AG10"/>
  <c r="AI10" s="1"/>
  <c r="AK10"/>
  <c r="AG11"/>
  <c r="AI11" s="1"/>
  <c r="AK11"/>
  <c r="AG12"/>
  <c r="AI12" s="1"/>
  <c r="AK12"/>
  <c r="AH13"/>
  <c r="AI13" s="1"/>
  <c r="AJ13"/>
  <c r="AG14"/>
  <c r="AI14" s="1"/>
  <c r="AK14"/>
  <c r="AG15"/>
  <c r="AI15" s="1"/>
  <c r="AK15"/>
  <c r="AG16"/>
  <c r="AI16" s="1"/>
  <c r="AK16"/>
  <c r="AG17"/>
  <c r="AI17" s="1"/>
  <c r="AK17"/>
  <c r="AG18"/>
  <c r="AI18" s="1"/>
  <c r="AK18"/>
  <c r="AH19"/>
  <c r="AI19" s="1"/>
  <c r="AF19" s="1"/>
  <c r="Y19" s="1"/>
  <c r="AJ19"/>
  <c r="AG20"/>
  <c r="AI20" s="1"/>
  <c r="AK20"/>
  <c r="AG21"/>
  <c r="AI21" s="1"/>
  <c r="AK21"/>
  <c r="AG22"/>
  <c r="AI22" s="1"/>
  <c r="AK22"/>
  <c r="AG23"/>
  <c r="AI23" s="1"/>
  <c r="AK23"/>
  <c r="AG24"/>
  <c r="AI24" s="1"/>
  <c r="AK24"/>
  <c r="AH25"/>
  <c r="AI25" s="1"/>
  <c r="AJ25"/>
  <c r="AG26"/>
  <c r="AI26" s="1"/>
  <c r="AK26"/>
  <c r="AG27"/>
  <c r="AI27" s="1"/>
  <c r="AK27"/>
  <c r="AL28"/>
  <c r="AK28"/>
  <c r="AL30"/>
  <c r="AK30"/>
  <c r="AF31"/>
  <c r="Y31" s="1"/>
  <c r="AJ31"/>
  <c r="AL32"/>
  <c r="AI78"/>
  <c r="AF78" s="1"/>
  <c r="Y78" s="1"/>
  <c r="AI86"/>
  <c r="AK32"/>
  <c r="AH32"/>
  <c r="AI32" s="1"/>
  <c r="AJ48" i="70"/>
  <c r="AF48" s="1"/>
  <c r="Y48" s="1"/>
  <c r="AJ50"/>
  <c r="AF50" s="1"/>
  <c r="Y50" s="1"/>
  <c r="AF51"/>
  <c r="Y51" s="1"/>
  <c r="AJ51"/>
  <c r="AJ52"/>
  <c r="AF52" s="1"/>
  <c r="Y52" s="1"/>
  <c r="AF53"/>
  <c r="Y53" s="1"/>
  <c r="AJ53"/>
  <c r="AF54"/>
  <c r="Y54" s="1"/>
  <c r="AJ54"/>
  <c r="AF59"/>
  <c r="Y59" s="1"/>
  <c r="AJ59"/>
  <c r="AF60"/>
  <c r="Y60" s="1"/>
  <c r="AJ60"/>
  <c r="AF61"/>
  <c r="Y61" s="1"/>
  <c r="AJ61"/>
  <c r="AF62"/>
  <c r="Y62" s="1"/>
  <c r="AJ62"/>
  <c r="AF63"/>
  <c r="Y63" s="1"/>
  <c r="AJ63"/>
  <c r="AF64"/>
  <c r="Y64" s="1"/>
  <c r="AJ64"/>
  <c r="AF65"/>
  <c r="Y65" s="1"/>
  <c r="AJ65"/>
  <c r="AF66"/>
  <c r="Y66" s="1"/>
  <c r="AJ66"/>
  <c r="AF71"/>
  <c r="Y71" s="1"/>
  <c r="AJ71"/>
  <c r="AF73"/>
  <c r="Y73" s="1"/>
  <c r="AJ73"/>
  <c r="AF77"/>
  <c r="Y77" s="1"/>
  <c r="AJ77"/>
  <c r="AJ8" i="71"/>
  <c r="AF8" s="1"/>
  <c r="AJ9"/>
  <c r="AF9" s="1"/>
  <c r="Y9" s="1"/>
  <c r="AJ10"/>
  <c r="AF10" s="1"/>
  <c r="Y10" s="1"/>
  <c r="AF11"/>
  <c r="Y11" s="1"/>
  <c r="AJ11"/>
  <c r="AJ12"/>
  <c r="AF12" s="1"/>
  <c r="Y12" s="1"/>
  <c r="AG13"/>
  <c r="AI13" s="1"/>
  <c r="AF13" s="1"/>
  <c r="Y13" s="1"/>
  <c r="AJ14"/>
  <c r="AF14" s="1"/>
  <c r="Y14" s="1"/>
  <c r="AF15"/>
  <c r="Y15" s="1"/>
  <c r="AJ15"/>
  <c r="AF16"/>
  <c r="Y16" s="1"/>
  <c r="AJ16"/>
  <c r="AF17"/>
  <c r="Y17" s="1"/>
  <c r="AJ17"/>
  <c r="AF18"/>
  <c r="Y18" s="1"/>
  <c r="AJ18"/>
  <c r="AG19"/>
  <c r="AI19" s="1"/>
  <c r="AJ20"/>
  <c r="AF20" s="1"/>
  <c r="Y20" s="1"/>
  <c r="AF21"/>
  <c r="Y21" s="1"/>
  <c r="AJ21"/>
  <c r="AF22"/>
  <c r="Y22" s="1"/>
  <c r="AJ22"/>
  <c r="AF23"/>
  <c r="Y23" s="1"/>
  <c r="AJ23"/>
  <c r="AF24"/>
  <c r="Y24" s="1"/>
  <c r="AJ24"/>
  <c r="AG25"/>
  <c r="AI25" s="1"/>
  <c r="AF25" s="1"/>
  <c r="Y25" s="1"/>
  <c r="AF26"/>
  <c r="Y26" s="1"/>
  <c r="AJ26"/>
  <c r="AF27"/>
  <c r="Y27" s="1"/>
  <c r="AJ27"/>
  <c r="AF28"/>
  <c r="Y28" s="1"/>
  <c r="AJ28"/>
  <c r="AF29"/>
  <c r="Y29" s="1"/>
  <c r="AJ29"/>
  <c r="AF30"/>
  <c r="Y30" s="1"/>
  <c r="AJ30"/>
  <c r="AG31"/>
  <c r="AI31" s="1"/>
  <c r="AF31" s="1"/>
  <c r="Y31" s="1"/>
  <c r="AJ32"/>
  <c r="AF32" s="1"/>
  <c r="Y32" s="1"/>
  <c r="AJ33"/>
  <c r="AF34"/>
  <c r="Y34" s="1"/>
  <c r="AJ34"/>
  <c r="AF35"/>
  <c r="Y35" s="1"/>
  <c r="AJ35"/>
  <c r="AF36"/>
  <c r="Y36" s="1"/>
  <c r="AJ36"/>
  <c r="AG37"/>
  <c r="AI37" s="1"/>
  <c r="AF37" s="1"/>
  <c r="Y37" s="1"/>
  <c r="AF38"/>
  <c r="Y38" s="1"/>
  <c r="AJ38"/>
  <c r="AF39"/>
  <c r="Y39" s="1"/>
  <c r="AJ39"/>
  <c r="AF40"/>
  <c r="Y40" s="1"/>
  <c r="AJ40"/>
  <c r="AF41"/>
  <c r="Y41" s="1"/>
  <c r="AJ41"/>
  <c r="AJ42"/>
  <c r="AF42" s="1"/>
  <c r="Y42" s="1"/>
  <c r="AG43"/>
  <c r="AI43" s="1"/>
  <c r="AF43" s="1"/>
  <c r="Y43" s="1"/>
  <c r="AF44"/>
  <c r="Y44" s="1"/>
  <c r="AJ44"/>
  <c r="AF45"/>
  <c r="Y45" s="1"/>
  <c r="AJ45"/>
  <c r="AJ46"/>
  <c r="AF46" s="1"/>
  <c r="Y46" s="1"/>
  <c r="AF47"/>
  <c r="Y47" s="1"/>
  <c r="AJ47"/>
  <c r="AF48"/>
  <c r="Y48" s="1"/>
  <c r="AJ48"/>
  <c r="AG49"/>
  <c r="AI49" s="1"/>
  <c r="AF49" s="1"/>
  <c r="Y49" s="1"/>
  <c r="AF50"/>
  <c r="Y50" s="1"/>
  <c r="AJ50"/>
  <c r="AF51"/>
  <c r="Y51" s="1"/>
  <c r="AJ51"/>
  <c r="AJ52"/>
  <c r="AF52" s="1"/>
  <c r="Y52" s="1"/>
  <c r="AF53"/>
  <c r="Y53" s="1"/>
  <c r="AJ53"/>
  <c r="AF54"/>
  <c r="Y54" s="1"/>
  <c r="AJ54"/>
  <c r="AF59"/>
  <c r="Y59" s="1"/>
  <c r="AJ59"/>
  <c r="AF60"/>
  <c r="Y60" s="1"/>
  <c r="AJ60"/>
  <c r="AF61"/>
  <c r="Y61" s="1"/>
  <c r="AJ61"/>
  <c r="AF62"/>
  <c r="Y62" s="1"/>
  <c r="AJ62"/>
  <c r="AF63"/>
  <c r="Y63" s="1"/>
  <c r="AJ63"/>
  <c r="AF64"/>
  <c r="Y64" s="1"/>
  <c r="AJ64"/>
  <c r="AF65"/>
  <c r="Y65" s="1"/>
  <c r="AJ65"/>
  <c r="AF66"/>
  <c r="Y66" s="1"/>
  <c r="AJ66"/>
  <c r="AG70"/>
  <c r="AI70" s="1"/>
  <c r="AF70" s="1"/>
  <c r="Y70" s="1"/>
  <c r="AJ71"/>
  <c r="AG72"/>
  <c r="AI72" s="1"/>
  <c r="AF72" s="1"/>
  <c r="Y72" s="1"/>
  <c r="AJ73"/>
  <c r="AF73" s="1"/>
  <c r="Y73" s="1"/>
  <c r="AF77"/>
  <c r="Y77" s="1"/>
  <c r="AJ77"/>
  <c r="AG78"/>
  <c r="AI78" s="1"/>
  <c r="AG82"/>
  <c r="AI82" s="1"/>
  <c r="AF82" s="1"/>
  <c r="Y82" s="1"/>
  <c r="AG86"/>
  <c r="AI86" s="1"/>
  <c r="AJ8" i="72"/>
  <c r="AF8" s="1"/>
  <c r="AF9"/>
  <c r="Y9" s="1"/>
  <c r="AJ9"/>
  <c r="AJ10"/>
  <c r="AF11"/>
  <c r="Y11" s="1"/>
  <c r="AJ11"/>
  <c r="AF12"/>
  <c r="Y12" s="1"/>
  <c r="AJ12"/>
  <c r="AF14"/>
  <c r="Y14" s="1"/>
  <c r="AJ14"/>
  <c r="AJ15"/>
  <c r="AF15" s="1"/>
  <c r="Y15" s="1"/>
  <c r="AF16"/>
  <c r="Y16" s="1"/>
  <c r="AJ16"/>
  <c r="AF17"/>
  <c r="Y17" s="1"/>
  <c r="AJ17"/>
  <c r="AJ18"/>
  <c r="AF18" s="1"/>
  <c r="Y18" s="1"/>
  <c r="AF20"/>
  <c r="Y20" s="1"/>
  <c r="AJ20"/>
  <c r="AF21"/>
  <c r="Y21" s="1"/>
  <c r="AJ21"/>
  <c r="AF22"/>
  <c r="Y22" s="1"/>
  <c r="AJ22"/>
  <c r="AF23"/>
  <c r="Y23" s="1"/>
  <c r="AJ23"/>
  <c r="AF24"/>
  <c r="Y24" s="1"/>
  <c r="AJ24"/>
  <c r="AJ26"/>
  <c r="AF26" s="1"/>
  <c r="Y26" s="1"/>
  <c r="AF27"/>
  <c r="Y27" s="1"/>
  <c r="AJ27"/>
  <c r="AI55"/>
  <c r="AI13" i="73"/>
  <c r="AK19"/>
  <c r="AG19"/>
  <c r="AI19" s="1"/>
  <c r="AF28" i="72"/>
  <c r="Y28" s="1"/>
  <c r="AJ28"/>
  <c r="AF29"/>
  <c r="Y29" s="1"/>
  <c r="AJ29"/>
  <c r="AF30"/>
  <c r="Y30" s="1"/>
  <c r="AJ30"/>
  <c r="AJ32"/>
  <c r="AF32" s="1"/>
  <c r="Y32" s="1"/>
  <c r="AH33"/>
  <c r="AI33" s="1"/>
  <c r="AJ33"/>
  <c r="AH34"/>
  <c r="AI34" s="1"/>
  <c r="AF34" s="1"/>
  <c r="Y34" s="1"/>
  <c r="AJ34"/>
  <c r="AH35"/>
  <c r="AI35" s="1"/>
  <c r="AF35" s="1"/>
  <c r="Y35" s="1"/>
  <c r="AJ35"/>
  <c r="AH36"/>
  <c r="AI36" s="1"/>
  <c r="AJ36"/>
  <c r="AF36" s="1"/>
  <c r="Y36" s="1"/>
  <c r="AG37"/>
  <c r="AI37" s="1"/>
  <c r="AK37"/>
  <c r="AH38"/>
  <c r="AI38" s="1"/>
  <c r="AJ38"/>
  <c r="AH39"/>
  <c r="AI39" s="1"/>
  <c r="AJ39"/>
  <c r="AH40"/>
  <c r="AI40" s="1"/>
  <c r="AJ40"/>
  <c r="AH41"/>
  <c r="AI41" s="1"/>
  <c r="AF41" s="1"/>
  <c r="Y41" s="1"/>
  <c r="AJ41"/>
  <c r="AH42"/>
  <c r="AI42" s="1"/>
  <c r="AF42" s="1"/>
  <c r="Y42" s="1"/>
  <c r="AJ42"/>
  <c r="AG43"/>
  <c r="AI43" s="1"/>
  <c r="AK43"/>
  <c r="AH44"/>
  <c r="AI44" s="1"/>
  <c r="AF44" s="1"/>
  <c r="Y44" s="1"/>
  <c r="AJ44"/>
  <c r="AH45"/>
  <c r="AI45" s="1"/>
  <c r="AJ45"/>
  <c r="AH46"/>
  <c r="AI46" s="1"/>
  <c r="AF46" s="1"/>
  <c r="Y46" s="1"/>
  <c r="AJ46"/>
  <c r="AH47"/>
  <c r="AI47" s="1"/>
  <c r="AJ47"/>
  <c r="AF47" s="1"/>
  <c r="Y47" s="1"/>
  <c r="AH48"/>
  <c r="AI48" s="1"/>
  <c r="AF48" s="1"/>
  <c r="Y48" s="1"/>
  <c r="AJ48"/>
  <c r="AG49"/>
  <c r="AI49" s="1"/>
  <c r="AK49"/>
  <c r="AH50"/>
  <c r="AI50" s="1"/>
  <c r="AJ50"/>
  <c r="AJ51"/>
  <c r="AL51"/>
  <c r="AJ52"/>
  <c r="AL52"/>
  <c r="AJ53"/>
  <c r="AL53"/>
  <c r="AJ54"/>
  <c r="AL54"/>
  <c r="AK55"/>
  <c r="AJ59"/>
  <c r="AL59"/>
  <c r="AJ60"/>
  <c r="AL60"/>
  <c r="AJ61"/>
  <c r="AL61"/>
  <c r="AJ62"/>
  <c r="AL62"/>
  <c r="AJ63"/>
  <c r="AL63"/>
  <c r="AJ64"/>
  <c r="AL64"/>
  <c r="AJ65"/>
  <c r="AL65"/>
  <c r="AJ66"/>
  <c r="AL66"/>
  <c r="AK70"/>
  <c r="AJ71"/>
  <c r="AL71"/>
  <c r="AK72"/>
  <c r="AJ73"/>
  <c r="AL73"/>
  <c r="AJ77"/>
  <c r="AL77"/>
  <c r="AK78"/>
  <c r="AK82"/>
  <c r="AK86"/>
  <c r="AJ8" i="73"/>
  <c r="AL8"/>
  <c r="AJ9"/>
  <c r="AL9"/>
  <c r="AJ10"/>
  <c r="AL10"/>
  <c r="AJ11"/>
  <c r="AL11"/>
  <c r="AJ12"/>
  <c r="AL12"/>
  <c r="AK13"/>
  <c r="AJ14"/>
  <c r="AL14"/>
  <c r="AJ15"/>
  <c r="AJ19"/>
  <c r="AF37" i="72"/>
  <c r="Y37" s="1"/>
  <c r="AJ37"/>
  <c r="AF43"/>
  <c r="Y43" s="1"/>
  <c r="AJ43"/>
  <c r="AF49"/>
  <c r="Y49" s="1"/>
  <c r="AJ49"/>
  <c r="AG51"/>
  <c r="AI51" s="1"/>
  <c r="AF51" s="1"/>
  <c r="Y51" s="1"/>
  <c r="AG52"/>
  <c r="AI52" s="1"/>
  <c r="AF52" s="1"/>
  <c r="Y52" s="1"/>
  <c r="AG53"/>
  <c r="AI53" s="1"/>
  <c r="AG54"/>
  <c r="AI54" s="1"/>
  <c r="AF54" s="1"/>
  <c r="Y54" s="1"/>
  <c r="AF55"/>
  <c r="Y55" s="1"/>
  <c r="AJ55"/>
  <c r="BB58"/>
  <c r="AG59"/>
  <c r="AI59" s="1"/>
  <c r="AF59" s="1"/>
  <c r="Y59" s="1"/>
  <c r="AG60"/>
  <c r="AI60" s="1"/>
  <c r="AF60" s="1"/>
  <c r="Y60" s="1"/>
  <c r="AG61"/>
  <c r="AI61" s="1"/>
  <c r="AF61" s="1"/>
  <c r="Y61" s="1"/>
  <c r="AG62"/>
  <c r="AI62" s="1"/>
  <c r="AF62" s="1"/>
  <c r="Y62" s="1"/>
  <c r="AG63"/>
  <c r="AI63" s="1"/>
  <c r="AF63" s="1"/>
  <c r="Y63" s="1"/>
  <c r="AG64"/>
  <c r="AI64" s="1"/>
  <c r="AF64" s="1"/>
  <c r="Y64" s="1"/>
  <c r="AG65"/>
  <c r="AI65" s="1"/>
  <c r="AF65" s="1"/>
  <c r="Y65" s="1"/>
  <c r="AG66"/>
  <c r="AI66" s="1"/>
  <c r="AF66" s="1"/>
  <c r="Y66" s="1"/>
  <c r="AJ70"/>
  <c r="AF70" s="1"/>
  <c r="Y70" s="1"/>
  <c r="AG71"/>
  <c r="AI71" s="1"/>
  <c r="AF71" s="1"/>
  <c r="Y71" s="1"/>
  <c r="AJ72"/>
  <c r="AF72" s="1"/>
  <c r="Y72" s="1"/>
  <c r="AG73"/>
  <c r="AI73" s="1"/>
  <c r="AF73" s="1"/>
  <c r="Y73" s="1"/>
  <c r="AG77"/>
  <c r="AI77" s="1"/>
  <c r="AF77" s="1"/>
  <c r="Y77" s="1"/>
  <c r="AJ78"/>
  <c r="AF82"/>
  <c r="Y82" s="1"/>
  <c r="AJ82"/>
  <c r="AJ86"/>
  <c r="AF86" s="1"/>
  <c r="Y86" s="1"/>
  <c r="AG8" i="73"/>
  <c r="AI8" s="1"/>
  <c r="AG9"/>
  <c r="AI9" s="1"/>
  <c r="AF9" s="1"/>
  <c r="Y9" s="1"/>
  <c r="AG10"/>
  <c r="AI10" s="1"/>
  <c r="AG11"/>
  <c r="AI11" s="1"/>
  <c r="AF11" s="1"/>
  <c r="Y11" s="1"/>
  <c r="AG12"/>
  <c r="AI12" s="1"/>
  <c r="AF12" s="1"/>
  <c r="Y12" s="1"/>
  <c r="AJ13"/>
  <c r="AF13" s="1"/>
  <c r="Y13" s="1"/>
  <c r="AG14"/>
  <c r="AI14" s="1"/>
  <c r="AF14" s="1"/>
  <c r="Y14" s="1"/>
  <c r="AG15"/>
  <c r="AI15" s="1"/>
  <c r="AF15" s="1"/>
  <c r="Y15" s="1"/>
  <c r="AK15"/>
  <c r="AL17"/>
  <c r="AK17"/>
  <c r="AL19"/>
  <c r="AF19" s="1"/>
  <c r="Y19" s="1"/>
  <c r="AL21"/>
  <c r="AK21"/>
  <c r="AI55"/>
  <c r="AF16"/>
  <c r="Y16" s="1"/>
  <c r="AJ16"/>
  <c r="AF17"/>
  <c r="Y17" s="1"/>
  <c r="AJ17"/>
  <c r="AF18"/>
  <c r="Y18" s="1"/>
  <c r="AJ18"/>
  <c r="AF20"/>
  <c r="Y20" s="1"/>
  <c r="AJ20"/>
  <c r="AF21"/>
  <c r="Y21" s="1"/>
  <c r="AJ21"/>
  <c r="AH22"/>
  <c r="AI22" s="1"/>
  <c r="AJ22"/>
  <c r="AH23"/>
  <c r="AI23" s="1"/>
  <c r="AF23" s="1"/>
  <c r="Y23" s="1"/>
  <c r="AJ23"/>
  <c r="AH24"/>
  <c r="AI24" s="1"/>
  <c r="AF24" s="1"/>
  <c r="Y24" s="1"/>
  <c r="AJ24"/>
  <c r="AG25"/>
  <c r="AI25" s="1"/>
  <c r="AK25"/>
  <c r="AH26"/>
  <c r="AI26" s="1"/>
  <c r="AF26" s="1"/>
  <c r="Y26" s="1"/>
  <c r="AJ26"/>
  <c r="AH27"/>
  <c r="AI27" s="1"/>
  <c r="AJ27"/>
  <c r="AF27" s="1"/>
  <c r="Y27" s="1"/>
  <c r="AH28"/>
  <c r="AI28" s="1"/>
  <c r="AF28" s="1"/>
  <c r="Y28" s="1"/>
  <c r="AJ28"/>
  <c r="AH29"/>
  <c r="AI29" s="1"/>
  <c r="AF29" s="1"/>
  <c r="Y29" s="1"/>
  <c r="AJ29"/>
  <c r="AH30"/>
  <c r="AI30" s="1"/>
  <c r="AF30" s="1"/>
  <c r="Y30" s="1"/>
  <c r="AJ30"/>
  <c r="AG31"/>
  <c r="AI31" s="1"/>
  <c r="AK31"/>
  <c r="AH32"/>
  <c r="AI32" s="1"/>
  <c r="AJ32"/>
  <c r="AH33"/>
  <c r="AI33" s="1"/>
  <c r="AJ33"/>
  <c r="AH34"/>
  <c r="AI34" s="1"/>
  <c r="AJ34"/>
  <c r="AF34" s="1"/>
  <c r="Y34" s="1"/>
  <c r="AH35"/>
  <c r="AI35" s="1"/>
  <c r="AJ35"/>
  <c r="AF35" s="1"/>
  <c r="Y35" s="1"/>
  <c r="AH36"/>
  <c r="AI36" s="1"/>
  <c r="AF36" s="1"/>
  <c r="Y36" s="1"/>
  <c r="AJ36"/>
  <c r="AG37"/>
  <c r="AI37" s="1"/>
  <c r="AK37"/>
  <c r="AH38"/>
  <c r="AI38" s="1"/>
  <c r="AJ38"/>
  <c r="AH39"/>
  <c r="AI39" s="1"/>
  <c r="AJ39"/>
  <c r="AF39" s="1"/>
  <c r="Y39" s="1"/>
  <c r="AH40"/>
  <c r="AI40" s="1"/>
  <c r="AF40" s="1"/>
  <c r="Y40" s="1"/>
  <c r="AJ40"/>
  <c r="AH41"/>
  <c r="AI41" s="1"/>
  <c r="AJ41"/>
  <c r="AH42"/>
  <c r="AI42" s="1"/>
  <c r="AF42" s="1"/>
  <c r="Y42" s="1"/>
  <c r="AJ42"/>
  <c r="AG43"/>
  <c r="AI43" s="1"/>
  <c r="AK43"/>
  <c r="AH44"/>
  <c r="AI44" s="1"/>
  <c r="AJ44"/>
  <c r="AF44" s="1"/>
  <c r="Y44" s="1"/>
  <c r="AH45"/>
  <c r="AI45" s="1"/>
  <c r="AJ45"/>
  <c r="AH46"/>
  <c r="AI46" s="1"/>
  <c r="AF46" s="1"/>
  <c r="Y46" s="1"/>
  <c r="AJ46"/>
  <c r="AH47"/>
  <c r="AI47" s="1"/>
  <c r="AJ47"/>
  <c r="AF47" s="1"/>
  <c r="Y47" s="1"/>
  <c r="AH48"/>
  <c r="AI48" s="1"/>
  <c r="AF48" s="1"/>
  <c r="Y48" s="1"/>
  <c r="AJ48"/>
  <c r="AG49"/>
  <c r="AI49" s="1"/>
  <c r="AK49"/>
  <c r="AH50"/>
  <c r="AI50" s="1"/>
  <c r="AJ50"/>
  <c r="AH51"/>
  <c r="AI51" s="1"/>
  <c r="AF51" s="1"/>
  <c r="Y51" s="1"/>
  <c r="AJ51"/>
  <c r="AH52"/>
  <c r="AI52" s="1"/>
  <c r="AJ52"/>
  <c r="AF52" s="1"/>
  <c r="Y52" s="1"/>
  <c r="AH53"/>
  <c r="AI53" s="1"/>
  <c r="AF53" s="1"/>
  <c r="Y53" s="1"/>
  <c r="AJ53"/>
  <c r="AJ54"/>
  <c r="AL54"/>
  <c r="AK55"/>
  <c r="AJ59"/>
  <c r="AL59"/>
  <c r="AJ60"/>
  <c r="AL60"/>
  <c r="AJ61"/>
  <c r="AL61"/>
  <c r="AJ62"/>
  <c r="AL62"/>
  <c r="AJ63"/>
  <c r="AL63"/>
  <c r="AJ64"/>
  <c r="AL64"/>
  <c r="AJ65"/>
  <c r="AL65"/>
  <c r="AJ66"/>
  <c r="AL66"/>
  <c r="AG70"/>
  <c r="AI70" s="1"/>
  <c r="AK70"/>
  <c r="AJ71"/>
  <c r="AL71"/>
  <c r="AF71" s="1"/>
  <c r="Y71" s="1"/>
  <c r="AG72"/>
  <c r="AI72" s="1"/>
  <c r="AK72"/>
  <c r="AJ73"/>
  <c r="AL73"/>
  <c r="AJ77"/>
  <c r="AL77"/>
  <c r="AG78"/>
  <c r="AI78" s="1"/>
  <c r="AK78"/>
  <c r="AG82"/>
  <c r="AI82" s="1"/>
  <c r="AK82"/>
  <c r="AG86"/>
  <c r="AI86" s="1"/>
  <c r="AK86"/>
  <c r="AF25"/>
  <c r="Y25" s="1"/>
  <c r="AJ25"/>
  <c r="AF31"/>
  <c r="Y31" s="1"/>
  <c r="AJ31"/>
  <c r="AF37"/>
  <c r="Y37" s="1"/>
  <c r="AJ37"/>
  <c r="AF43"/>
  <c r="Y43" s="1"/>
  <c r="AJ43"/>
  <c r="AF49"/>
  <c r="Y49" s="1"/>
  <c r="AJ49"/>
  <c r="AG54"/>
  <c r="AI54" s="1"/>
  <c r="AF54" s="1"/>
  <c r="Y54" s="1"/>
  <c r="AF55"/>
  <c r="Y55" s="1"/>
  <c r="AJ55"/>
  <c r="BB58"/>
  <c r="AG59"/>
  <c r="AI59" s="1"/>
  <c r="AF59" s="1"/>
  <c r="Y59" s="1"/>
  <c r="AG60"/>
  <c r="AI60" s="1"/>
  <c r="AF60" s="1"/>
  <c r="Y60" s="1"/>
  <c r="AG61"/>
  <c r="AI61" s="1"/>
  <c r="AF61" s="1"/>
  <c r="Y61" s="1"/>
  <c r="AG62"/>
  <c r="AI62" s="1"/>
  <c r="AF62" s="1"/>
  <c r="Y62" s="1"/>
  <c r="AG63"/>
  <c r="AI63" s="1"/>
  <c r="AF63" s="1"/>
  <c r="Y63" s="1"/>
  <c r="AG64"/>
  <c r="AI64" s="1"/>
  <c r="AF64" s="1"/>
  <c r="Y64" s="1"/>
  <c r="AG65"/>
  <c r="AI65" s="1"/>
  <c r="AF65" s="1"/>
  <c r="Y65" s="1"/>
  <c r="AG66"/>
  <c r="AI66" s="1"/>
  <c r="AF66" s="1"/>
  <c r="Y66" s="1"/>
  <c r="AF70"/>
  <c r="Y70" s="1"/>
  <c r="AJ70"/>
  <c r="AG71"/>
  <c r="AI71" s="1"/>
  <c r="AF72"/>
  <c r="Y72" s="1"/>
  <c r="AJ72"/>
  <c r="AG73"/>
  <c r="AI73" s="1"/>
  <c r="AF73" s="1"/>
  <c r="Y73" s="1"/>
  <c r="AG77"/>
  <c r="AI77" s="1"/>
  <c r="AF77" s="1"/>
  <c r="Y77" s="1"/>
  <c r="AF78"/>
  <c r="Y78" s="1"/>
  <c r="AJ78"/>
  <c r="AF82"/>
  <c r="Y82" s="1"/>
  <c r="AJ82"/>
  <c r="AJ86"/>
  <c r="AI9" i="56"/>
  <c r="AI10"/>
  <c r="AI11"/>
  <c r="AI16"/>
  <c r="AI17"/>
  <c r="AI22"/>
  <c r="AI23"/>
  <c r="AI28"/>
  <c r="AI33"/>
  <c r="AI36"/>
  <c r="AI38"/>
  <c r="AI39"/>
  <c r="AI41"/>
  <c r="AI42"/>
  <c r="AI44"/>
  <c r="AI46"/>
  <c r="AI48"/>
  <c r="AI50"/>
  <c r="AI52"/>
  <c r="AI54"/>
  <c r="AI59"/>
  <c r="AI61"/>
  <c r="AI63"/>
  <c r="AI65"/>
  <c r="AI71"/>
  <c r="AI73"/>
  <c r="AI9" i="57"/>
  <c r="AI10"/>
  <c r="AI11"/>
  <c r="AI16"/>
  <c r="AI17"/>
  <c r="AI23"/>
  <c r="AI27"/>
  <c r="AF27" s="1"/>
  <c r="Y27" s="1"/>
  <c r="AI29"/>
  <c r="AI33"/>
  <c r="AI35"/>
  <c r="AI39"/>
  <c r="AK70"/>
  <c r="AG70"/>
  <c r="AI70" s="1"/>
  <c r="AK72"/>
  <c r="AG72"/>
  <c r="AI72" s="1"/>
  <c r="AK78"/>
  <c r="AG78"/>
  <c r="AI78" s="1"/>
  <c r="AK82"/>
  <c r="AG82"/>
  <c r="AI82" s="1"/>
  <c r="AK86"/>
  <c r="AG86"/>
  <c r="AI86" s="1"/>
  <c r="AK8" i="56"/>
  <c r="AK10"/>
  <c r="AK11"/>
  <c r="AJ19"/>
  <c r="AL19"/>
  <c r="AK20"/>
  <c r="AK21"/>
  <c r="AK22"/>
  <c r="AK23"/>
  <c r="AK24"/>
  <c r="AJ25"/>
  <c r="AL25"/>
  <c r="AK26"/>
  <c r="AK27"/>
  <c r="AK28"/>
  <c r="AK29"/>
  <c r="AK30"/>
  <c r="AJ31"/>
  <c r="AL31"/>
  <c r="AK32"/>
  <c r="AK33"/>
  <c r="AK34"/>
  <c r="AK35"/>
  <c r="AK36"/>
  <c r="AJ37"/>
  <c r="AL37"/>
  <c r="AK38"/>
  <c r="AK39"/>
  <c r="AK40"/>
  <c r="AK41"/>
  <c r="AK42"/>
  <c r="AJ43"/>
  <c r="AL43"/>
  <c r="AK44"/>
  <c r="AK45"/>
  <c r="AK46"/>
  <c r="AK47"/>
  <c r="AK48"/>
  <c r="AJ49"/>
  <c r="AL49"/>
  <c r="AK50"/>
  <c r="AK51"/>
  <c r="AK52"/>
  <c r="AK53"/>
  <c r="AK54"/>
  <c r="AJ55"/>
  <c r="AL55"/>
  <c r="AK59"/>
  <c r="AK60"/>
  <c r="AK61"/>
  <c r="AK62"/>
  <c r="AK63"/>
  <c r="AK64"/>
  <c r="AK65"/>
  <c r="AK66"/>
  <c r="AJ70"/>
  <c r="AL70"/>
  <c r="AK71"/>
  <c r="AJ72"/>
  <c r="AL72"/>
  <c r="AK73"/>
  <c r="AK77"/>
  <c r="AJ78"/>
  <c r="AL78"/>
  <c r="AJ82"/>
  <c r="AL82"/>
  <c r="AJ86"/>
  <c r="AL86"/>
  <c r="AK8" i="57"/>
  <c r="AK9"/>
  <c r="AK10"/>
  <c r="AK11"/>
  <c r="AK12"/>
  <c r="AJ13"/>
  <c r="AL13"/>
  <c r="AK14"/>
  <c r="AK15"/>
  <c r="AK16"/>
  <c r="AK17"/>
  <c r="AK18"/>
  <c r="AJ19"/>
  <c r="AL19"/>
  <c r="AK20"/>
  <c r="AK21"/>
  <c r="AK22"/>
  <c r="AK23"/>
  <c r="AK24"/>
  <c r="AJ25"/>
  <c r="AL25"/>
  <c r="AK26"/>
  <c r="AK27"/>
  <c r="AK28"/>
  <c r="AK29"/>
  <c r="AK30"/>
  <c r="AJ31"/>
  <c r="AL31"/>
  <c r="AK32"/>
  <c r="AK33"/>
  <c r="AK34"/>
  <c r="AK35"/>
  <c r="AK36"/>
  <c r="AJ37"/>
  <c r="AL37"/>
  <c r="AK38"/>
  <c r="AK39"/>
  <c r="AG40"/>
  <c r="AI40" s="1"/>
  <c r="AK40"/>
  <c r="AG41"/>
  <c r="AI41" s="1"/>
  <c r="AK41"/>
  <c r="AG42"/>
  <c r="AI42" s="1"/>
  <c r="AK42"/>
  <c r="AL45"/>
  <c r="AK45"/>
  <c r="AL47"/>
  <c r="AK47"/>
  <c r="AL51"/>
  <c r="AK51"/>
  <c r="AL53"/>
  <c r="AK53"/>
  <c r="AJ70"/>
  <c r="AF70" s="1"/>
  <c r="Y70" s="1"/>
  <c r="AL71"/>
  <c r="AK71"/>
  <c r="AF72"/>
  <c r="Y72" s="1"/>
  <c r="AJ72"/>
  <c r="AL73"/>
  <c r="AK73"/>
  <c r="AL77"/>
  <c r="AK77"/>
  <c r="AF78"/>
  <c r="Y78" s="1"/>
  <c r="AJ78"/>
  <c r="AF82"/>
  <c r="Y82" s="1"/>
  <c r="AJ82"/>
  <c r="AJ86"/>
  <c r="AF86" s="1"/>
  <c r="Y86" s="1"/>
  <c r="AL8" i="58"/>
  <c r="AK8"/>
  <c r="AL10"/>
  <c r="AK10"/>
  <c r="AI16"/>
  <c r="AI17"/>
  <c r="AI28"/>
  <c r="AI30"/>
  <c r="AI32"/>
  <c r="AI34"/>
  <c r="AI36"/>
  <c r="AI38"/>
  <c r="AI40"/>
  <c r="AI42"/>
  <c r="AI44"/>
  <c r="AI46"/>
  <c r="AI48"/>
  <c r="AI50"/>
  <c r="AI52"/>
  <c r="AI54"/>
  <c r="AI59"/>
  <c r="AI61"/>
  <c r="AI63"/>
  <c r="AI65"/>
  <c r="AK43" i="57"/>
  <c r="AG43"/>
  <c r="AI43" s="1"/>
  <c r="AK49"/>
  <c r="AG49"/>
  <c r="AI49" s="1"/>
  <c r="AK55"/>
  <c r="AG55"/>
  <c r="AI55" s="1"/>
  <c r="AK9" i="56"/>
  <c r="AK12"/>
  <c r="AJ13"/>
  <c r="AL13"/>
  <c r="AK14"/>
  <c r="AK15"/>
  <c r="AK16"/>
  <c r="AK17"/>
  <c r="AK18"/>
  <c r="AJ8"/>
  <c r="AF8" s="1"/>
  <c r="AJ9"/>
  <c r="AF9" s="1"/>
  <c r="Y9" s="1"/>
  <c r="AJ10"/>
  <c r="AF10" s="1"/>
  <c r="Y10" s="1"/>
  <c r="AJ11"/>
  <c r="AF11" s="1"/>
  <c r="Y11" s="1"/>
  <c r="AF12"/>
  <c r="Y12" s="1"/>
  <c r="AJ12"/>
  <c r="AG13"/>
  <c r="AI13" s="1"/>
  <c r="AF13" s="1"/>
  <c r="Y13" s="1"/>
  <c r="AF14"/>
  <c r="Y14" s="1"/>
  <c r="AJ14"/>
  <c r="AJ15"/>
  <c r="AF15" s="1"/>
  <c r="Y15" s="1"/>
  <c r="AJ16"/>
  <c r="AF16" s="1"/>
  <c r="Y16" s="1"/>
  <c r="AJ17"/>
  <c r="AF17" s="1"/>
  <c r="Y17" s="1"/>
  <c r="AJ18"/>
  <c r="AF18" s="1"/>
  <c r="Y18" s="1"/>
  <c r="AG19"/>
  <c r="AI19" s="1"/>
  <c r="AF20"/>
  <c r="Y20" s="1"/>
  <c r="AJ20"/>
  <c r="AF21"/>
  <c r="Y21" s="1"/>
  <c r="AJ21"/>
  <c r="AF22"/>
  <c r="Y22" s="1"/>
  <c r="AJ22"/>
  <c r="AJ23"/>
  <c r="AF23" s="1"/>
  <c r="Y23" s="1"/>
  <c r="AF24"/>
  <c r="Y24" s="1"/>
  <c r="AJ24"/>
  <c r="AG25"/>
  <c r="AI25" s="1"/>
  <c r="AF25" s="1"/>
  <c r="Y25" s="1"/>
  <c r="AF26"/>
  <c r="Y26" s="1"/>
  <c r="AJ26"/>
  <c r="AJ27"/>
  <c r="AF28"/>
  <c r="Y28" s="1"/>
  <c r="AJ28"/>
  <c r="AF29"/>
  <c r="Y29" s="1"/>
  <c r="AJ29"/>
  <c r="AF30"/>
  <c r="Y30" s="1"/>
  <c r="AJ30"/>
  <c r="AG31"/>
  <c r="AI31" s="1"/>
  <c r="AF31" s="1"/>
  <c r="Y31" s="1"/>
  <c r="AJ32"/>
  <c r="AF32" s="1"/>
  <c r="Y32" s="1"/>
  <c r="AF33"/>
  <c r="Y33" s="1"/>
  <c r="AJ33"/>
  <c r="AF34"/>
  <c r="Y34" s="1"/>
  <c r="AJ34"/>
  <c r="AF35"/>
  <c r="Y35" s="1"/>
  <c r="AJ35"/>
  <c r="AF36"/>
  <c r="Y36" s="1"/>
  <c r="AJ36"/>
  <c r="AG37"/>
  <c r="AI37" s="1"/>
  <c r="AF37" s="1"/>
  <c r="Y37" s="1"/>
  <c r="AF38"/>
  <c r="Y38" s="1"/>
  <c r="AJ38"/>
  <c r="AF39"/>
  <c r="Y39" s="1"/>
  <c r="AJ39"/>
  <c r="AF40"/>
  <c r="Y40" s="1"/>
  <c r="AJ40"/>
  <c r="AF41"/>
  <c r="Y41" s="1"/>
  <c r="AJ41"/>
  <c r="AF42"/>
  <c r="Y42" s="1"/>
  <c r="AJ42"/>
  <c r="AG43"/>
  <c r="AI43" s="1"/>
  <c r="AF43" s="1"/>
  <c r="Y43" s="1"/>
  <c r="AF44"/>
  <c r="Y44" s="1"/>
  <c r="AJ44"/>
  <c r="AF45"/>
  <c r="Y45" s="1"/>
  <c r="AJ45"/>
  <c r="AJ46"/>
  <c r="AF46" s="1"/>
  <c r="Y46" s="1"/>
  <c r="AF47"/>
  <c r="Y47" s="1"/>
  <c r="AJ47"/>
  <c r="AJ48"/>
  <c r="AF48" s="1"/>
  <c r="Y48" s="1"/>
  <c r="AG49"/>
  <c r="AI49" s="1"/>
  <c r="AF49" s="1"/>
  <c r="Y49" s="1"/>
  <c r="AF50"/>
  <c r="Y50" s="1"/>
  <c r="AJ50"/>
  <c r="AF51"/>
  <c r="Y51" s="1"/>
  <c r="AJ51"/>
  <c r="AF52"/>
  <c r="Y52" s="1"/>
  <c r="AJ52"/>
  <c r="AF53"/>
  <c r="Y53" s="1"/>
  <c r="AJ53"/>
  <c r="AF54"/>
  <c r="Y54" s="1"/>
  <c r="AJ54"/>
  <c r="AG55"/>
  <c r="AI55" s="1"/>
  <c r="AF55" s="1"/>
  <c r="Y55" s="1"/>
  <c r="AF59"/>
  <c r="Y59" s="1"/>
  <c r="AJ59"/>
  <c r="AF60"/>
  <c r="Y60" s="1"/>
  <c r="AJ60"/>
  <c r="AF61"/>
  <c r="Y61" s="1"/>
  <c r="AJ61"/>
  <c r="AF62"/>
  <c r="Y62" s="1"/>
  <c r="AJ62"/>
  <c r="AF63"/>
  <c r="Y63" s="1"/>
  <c r="AJ63"/>
  <c r="AF64"/>
  <c r="Y64" s="1"/>
  <c r="AJ64"/>
  <c r="AF65"/>
  <c r="Y65" s="1"/>
  <c r="AJ65"/>
  <c r="AF66"/>
  <c r="Y66" s="1"/>
  <c r="AJ66"/>
  <c r="AG70"/>
  <c r="AI70" s="1"/>
  <c r="AF70" s="1"/>
  <c r="Y70" s="1"/>
  <c r="AF71"/>
  <c r="Y71" s="1"/>
  <c r="AJ71"/>
  <c r="AG72"/>
  <c r="AI72" s="1"/>
  <c r="AF72" s="1"/>
  <c r="Y72" s="1"/>
  <c r="AF73"/>
  <c r="Y73" s="1"/>
  <c r="AJ73"/>
  <c r="AJ77"/>
  <c r="AF77" s="1"/>
  <c r="Y77" s="1"/>
  <c r="AG78"/>
  <c r="AI78" s="1"/>
  <c r="AF78" s="1"/>
  <c r="Y78" s="1"/>
  <c r="AG82"/>
  <c r="AI82" s="1"/>
  <c r="AF82" s="1"/>
  <c r="Y82" s="1"/>
  <c r="AG86"/>
  <c r="AI86" s="1"/>
  <c r="AF86" s="1"/>
  <c r="Y86" s="1"/>
  <c r="AJ8" i="57"/>
  <c r="AJ9"/>
  <c r="AF9" s="1"/>
  <c r="Y9" s="1"/>
  <c r="AJ10"/>
  <c r="AF10" s="1"/>
  <c r="Y10" s="1"/>
  <c r="AF11"/>
  <c r="Y11" s="1"/>
  <c r="AJ11"/>
  <c r="AF12"/>
  <c r="Y12" s="1"/>
  <c r="AJ12"/>
  <c r="AG13"/>
  <c r="AI13" s="1"/>
  <c r="AF13" s="1"/>
  <c r="Y13" s="1"/>
  <c r="AF14"/>
  <c r="Y14" s="1"/>
  <c r="AJ14"/>
  <c r="AJ15"/>
  <c r="AF15" s="1"/>
  <c r="Y15" s="1"/>
  <c r="AF16"/>
  <c r="Y16" s="1"/>
  <c r="AJ16"/>
  <c r="AF17"/>
  <c r="Y17" s="1"/>
  <c r="AJ17"/>
  <c r="AF18"/>
  <c r="Y18" s="1"/>
  <c r="AJ18"/>
  <c r="AG19"/>
  <c r="AI19" s="1"/>
  <c r="AJ20"/>
  <c r="AF20" s="1"/>
  <c r="Y20" s="1"/>
  <c r="AF21"/>
  <c r="Y21" s="1"/>
  <c r="AJ21"/>
  <c r="AF22"/>
  <c r="Y22" s="1"/>
  <c r="AJ22"/>
  <c r="AF23"/>
  <c r="Y23" s="1"/>
  <c r="AJ23"/>
  <c r="AF24"/>
  <c r="Y24" s="1"/>
  <c r="AJ24"/>
  <c r="AG25"/>
  <c r="AI25" s="1"/>
  <c r="AF25" s="1"/>
  <c r="Y25" s="1"/>
  <c r="AF26"/>
  <c r="Y26" s="1"/>
  <c r="AJ26"/>
  <c r="AJ27"/>
  <c r="AJ28"/>
  <c r="AF28" s="1"/>
  <c r="Y28" s="1"/>
  <c r="AJ29"/>
  <c r="AF29" s="1"/>
  <c r="Y29" s="1"/>
  <c r="AF30"/>
  <c r="Y30" s="1"/>
  <c r="AJ30"/>
  <c r="AG31"/>
  <c r="AI31" s="1"/>
  <c r="AF31" s="1"/>
  <c r="Y31" s="1"/>
  <c r="AJ32"/>
  <c r="AF32" s="1"/>
  <c r="Y32" s="1"/>
  <c r="AF33"/>
  <c r="Y33" s="1"/>
  <c r="AJ33"/>
  <c r="AF34"/>
  <c r="Y34" s="1"/>
  <c r="AJ34"/>
  <c r="AF35"/>
  <c r="Y35" s="1"/>
  <c r="AJ35"/>
  <c r="AF36"/>
  <c r="Y36" s="1"/>
  <c r="AJ36"/>
  <c r="AG37"/>
  <c r="AI37" s="1"/>
  <c r="AF37" s="1"/>
  <c r="Y37" s="1"/>
  <c r="AJ38"/>
  <c r="AF38" s="1"/>
  <c r="Y38" s="1"/>
  <c r="AF39"/>
  <c r="Y39" s="1"/>
  <c r="AJ39"/>
  <c r="AF40"/>
  <c r="Y40" s="1"/>
  <c r="AJ40"/>
  <c r="AJ41"/>
  <c r="AF41" s="1"/>
  <c r="Y41" s="1"/>
  <c r="AF42"/>
  <c r="Y42" s="1"/>
  <c r="AJ42"/>
  <c r="AF43"/>
  <c r="Y43" s="1"/>
  <c r="AJ43"/>
  <c r="AJ49"/>
  <c r="AF49" s="1"/>
  <c r="Y49" s="1"/>
  <c r="AJ55"/>
  <c r="AF55" s="1"/>
  <c r="Y55" s="1"/>
  <c r="AI12" i="58"/>
  <c r="AI14"/>
  <c r="AK70"/>
  <c r="AG70"/>
  <c r="AI70" s="1"/>
  <c r="AK72"/>
  <c r="AG72"/>
  <c r="AI72" s="1"/>
  <c r="AK78"/>
  <c r="AG78"/>
  <c r="AI78" s="1"/>
  <c r="AK82"/>
  <c r="AG82"/>
  <c r="AI82" s="1"/>
  <c r="AK86"/>
  <c r="AG86"/>
  <c r="AI86" s="1"/>
  <c r="AK11"/>
  <c r="AK12"/>
  <c r="AJ13"/>
  <c r="AL13"/>
  <c r="AK14"/>
  <c r="AK15"/>
  <c r="AK16"/>
  <c r="AK17"/>
  <c r="AK18"/>
  <c r="AJ19"/>
  <c r="AL19"/>
  <c r="AK20"/>
  <c r="AK21"/>
  <c r="AK22"/>
  <c r="AK23"/>
  <c r="AK24"/>
  <c r="AJ25"/>
  <c r="AL25"/>
  <c r="AK26"/>
  <c r="AK27"/>
  <c r="AK28"/>
  <c r="AK29"/>
  <c r="AK30"/>
  <c r="AJ31"/>
  <c r="AL31"/>
  <c r="AK32"/>
  <c r="AK33"/>
  <c r="AK34"/>
  <c r="AK35"/>
  <c r="AK36"/>
  <c r="AJ37"/>
  <c r="AL37"/>
  <c r="AK38"/>
  <c r="AK39"/>
  <c r="AK40"/>
  <c r="AK41"/>
  <c r="AK42"/>
  <c r="AJ43"/>
  <c r="AL43"/>
  <c r="AK44"/>
  <c r="AK45"/>
  <c r="AK46"/>
  <c r="AK47"/>
  <c r="AK48"/>
  <c r="AJ49"/>
  <c r="AL49"/>
  <c r="AK50"/>
  <c r="AK51"/>
  <c r="AK52"/>
  <c r="AK53"/>
  <c r="AK54"/>
  <c r="AJ55"/>
  <c r="AL55"/>
  <c r="AK59"/>
  <c r="AK60"/>
  <c r="AK61"/>
  <c r="AK62"/>
  <c r="AK63"/>
  <c r="AK64"/>
  <c r="AJ70"/>
  <c r="AJ72"/>
  <c r="AJ78"/>
  <c r="AF78" s="1"/>
  <c r="Y78" s="1"/>
  <c r="AJ82"/>
  <c r="AJ86"/>
  <c r="AL65"/>
  <c r="AJ65"/>
  <c r="AK13" i="59"/>
  <c r="AG13"/>
  <c r="AI13" s="1"/>
  <c r="AK19"/>
  <c r="AG19"/>
  <c r="AI19" s="1"/>
  <c r="AK25"/>
  <c r="AG25"/>
  <c r="AI25" s="1"/>
  <c r="AK31"/>
  <c r="AG31"/>
  <c r="AI31" s="1"/>
  <c r="AF44" i="57"/>
  <c r="Y44" s="1"/>
  <c r="AJ44"/>
  <c r="AF45"/>
  <c r="Y45" s="1"/>
  <c r="AJ45"/>
  <c r="AF46"/>
  <c r="Y46" s="1"/>
  <c r="AJ46"/>
  <c r="AF47"/>
  <c r="Y47" s="1"/>
  <c r="AJ47"/>
  <c r="AF48"/>
  <c r="Y48" s="1"/>
  <c r="AJ48"/>
  <c r="AJ50"/>
  <c r="AF50" s="1"/>
  <c r="Y50" s="1"/>
  <c r="AF51"/>
  <c r="Y51" s="1"/>
  <c r="AJ51"/>
  <c r="AF52"/>
  <c r="Y52" s="1"/>
  <c r="AJ52"/>
  <c r="AF53"/>
  <c r="Y53" s="1"/>
  <c r="AJ53"/>
  <c r="AF54"/>
  <c r="Y54" s="1"/>
  <c r="AJ54"/>
  <c r="AJ59"/>
  <c r="AF59" s="1"/>
  <c r="Y59" s="1"/>
  <c r="AF60"/>
  <c r="Y60" s="1"/>
  <c r="AJ60"/>
  <c r="AF61"/>
  <c r="Y61" s="1"/>
  <c r="AJ61"/>
  <c r="AF62"/>
  <c r="Y62" s="1"/>
  <c r="AJ62"/>
  <c r="AF63"/>
  <c r="Y63" s="1"/>
  <c r="AJ63"/>
  <c r="AF64"/>
  <c r="Y64" s="1"/>
  <c r="AJ64"/>
  <c r="AF65"/>
  <c r="Y65" s="1"/>
  <c r="AJ65"/>
  <c r="AF66"/>
  <c r="Y66" s="1"/>
  <c r="AJ66"/>
  <c r="AF71"/>
  <c r="Y71" s="1"/>
  <c r="AJ71"/>
  <c r="AF73"/>
  <c r="Y73" s="1"/>
  <c r="AJ73"/>
  <c r="AF77"/>
  <c r="Y77" s="1"/>
  <c r="AJ77"/>
  <c r="AJ8" i="58"/>
  <c r="AF8" s="1"/>
  <c r="AJ9"/>
  <c r="AF9" s="1"/>
  <c r="Y9" s="1"/>
  <c r="AJ10"/>
  <c r="AF10" s="1"/>
  <c r="Y10" s="1"/>
  <c r="AJ11"/>
  <c r="AF11" s="1"/>
  <c r="Y11" s="1"/>
  <c r="AF12"/>
  <c r="Y12" s="1"/>
  <c r="AJ12"/>
  <c r="AG13"/>
  <c r="AI13" s="1"/>
  <c r="AF13" s="1"/>
  <c r="Y13" s="1"/>
  <c r="AF14"/>
  <c r="Y14" s="1"/>
  <c r="AJ14"/>
  <c r="AF15"/>
  <c r="Y15" s="1"/>
  <c r="AJ15"/>
  <c r="AJ16"/>
  <c r="AF16" s="1"/>
  <c r="Y16" s="1"/>
  <c r="AF17"/>
  <c r="Y17" s="1"/>
  <c r="AJ17"/>
  <c r="AF18"/>
  <c r="Y18" s="1"/>
  <c r="AJ18"/>
  <c r="AG19"/>
  <c r="AI19" s="1"/>
  <c r="AF20"/>
  <c r="Y20" s="1"/>
  <c r="AJ20"/>
  <c r="AJ21"/>
  <c r="AF21" s="1"/>
  <c r="Y21" s="1"/>
  <c r="AF22"/>
  <c r="Y22" s="1"/>
  <c r="AJ22"/>
  <c r="AF23"/>
  <c r="Y23" s="1"/>
  <c r="AJ23"/>
  <c r="AF24"/>
  <c r="Y24" s="1"/>
  <c r="AJ24"/>
  <c r="AG25"/>
  <c r="AI25" s="1"/>
  <c r="AF25" s="1"/>
  <c r="Y25" s="1"/>
  <c r="AF26"/>
  <c r="Y26" s="1"/>
  <c r="AJ26"/>
  <c r="AF27"/>
  <c r="Y27" s="1"/>
  <c r="AJ27"/>
  <c r="AF28"/>
  <c r="Y28" s="1"/>
  <c r="AJ28"/>
  <c r="AJ29"/>
  <c r="AF29" s="1"/>
  <c r="Y29" s="1"/>
  <c r="AF30"/>
  <c r="Y30" s="1"/>
  <c r="AJ30"/>
  <c r="AG31"/>
  <c r="AI31" s="1"/>
  <c r="AF31" s="1"/>
  <c r="Y31" s="1"/>
  <c r="AJ32"/>
  <c r="AF32" s="1"/>
  <c r="Y32" s="1"/>
  <c r="AF33"/>
  <c r="Y33" s="1"/>
  <c r="AJ33"/>
  <c r="AF34"/>
  <c r="Y34" s="1"/>
  <c r="AJ34"/>
  <c r="AF35"/>
  <c r="Y35" s="1"/>
  <c r="AJ35"/>
  <c r="AF36"/>
  <c r="Y36" s="1"/>
  <c r="AJ36"/>
  <c r="AG37"/>
  <c r="AI37" s="1"/>
  <c r="AF37" s="1"/>
  <c r="Y37" s="1"/>
  <c r="AF38"/>
  <c r="Y38" s="1"/>
  <c r="AJ38"/>
  <c r="AJ39"/>
  <c r="AF39" s="1"/>
  <c r="Y39" s="1"/>
  <c r="AF40"/>
  <c r="Y40" s="1"/>
  <c r="AJ40"/>
  <c r="AF41"/>
  <c r="Y41" s="1"/>
  <c r="AJ41"/>
  <c r="AF42"/>
  <c r="Y42" s="1"/>
  <c r="AJ42"/>
  <c r="AG43"/>
  <c r="AI43" s="1"/>
  <c r="AF43" s="1"/>
  <c r="Y43" s="1"/>
  <c r="AJ44"/>
  <c r="AF44" s="1"/>
  <c r="Y44" s="1"/>
  <c r="AJ45"/>
  <c r="AF45" s="1"/>
  <c r="Y45" s="1"/>
  <c r="AJ46"/>
  <c r="AF46" s="1"/>
  <c r="Y46" s="1"/>
  <c r="AF47"/>
  <c r="Y47" s="1"/>
  <c r="AJ47"/>
  <c r="AF48"/>
  <c r="Y48" s="1"/>
  <c r="AJ48"/>
  <c r="AG49"/>
  <c r="AI49" s="1"/>
  <c r="AF49" s="1"/>
  <c r="Y49" s="1"/>
  <c r="AF50"/>
  <c r="Y50" s="1"/>
  <c r="AJ50"/>
  <c r="AJ51"/>
  <c r="AF51" s="1"/>
  <c r="Y51" s="1"/>
  <c r="AF52"/>
  <c r="Y52" s="1"/>
  <c r="AJ52"/>
  <c r="AF53"/>
  <c r="Y53" s="1"/>
  <c r="AJ53"/>
  <c r="AF54"/>
  <c r="Y54" s="1"/>
  <c r="AJ54"/>
  <c r="AG55"/>
  <c r="AI55" s="1"/>
  <c r="AF55" s="1"/>
  <c r="Y55" s="1"/>
  <c r="AJ59"/>
  <c r="AF59" s="1"/>
  <c r="Y59" s="1"/>
  <c r="AJ60"/>
  <c r="AF60" s="1"/>
  <c r="Y60" s="1"/>
  <c r="AJ61"/>
  <c r="AF61" s="1"/>
  <c r="Y61" s="1"/>
  <c r="AF62"/>
  <c r="Y62" s="1"/>
  <c r="AJ62"/>
  <c r="AF63"/>
  <c r="Y63" s="1"/>
  <c r="AJ63"/>
  <c r="AF64"/>
  <c r="Y64" s="1"/>
  <c r="AJ64"/>
  <c r="AF65"/>
  <c r="Y65" s="1"/>
  <c r="AK65"/>
  <c r="AL66"/>
  <c r="AK66"/>
  <c r="AL70"/>
  <c r="AF70" s="1"/>
  <c r="Y70" s="1"/>
  <c r="AL72"/>
  <c r="AF72" s="1"/>
  <c r="Y72" s="1"/>
  <c r="AL78"/>
  <c r="AL82"/>
  <c r="AF82" s="1"/>
  <c r="Y82" s="1"/>
  <c r="AL86"/>
  <c r="AL8" i="59"/>
  <c r="AK8"/>
  <c r="Q3"/>
  <c r="F6" i="22" s="1"/>
  <c r="AL10" i="59"/>
  <c r="AK10"/>
  <c r="AL12"/>
  <c r="AK12"/>
  <c r="AF13"/>
  <c r="Y13" s="1"/>
  <c r="AJ13"/>
  <c r="AL14"/>
  <c r="AK14"/>
  <c r="AL16"/>
  <c r="AK16"/>
  <c r="AL18"/>
  <c r="AK18"/>
  <c r="AJ19"/>
  <c r="AF19" s="1"/>
  <c r="Y19" s="1"/>
  <c r="AL20"/>
  <c r="AK20"/>
  <c r="AL22"/>
  <c r="AK22"/>
  <c r="AL24"/>
  <c r="AK24"/>
  <c r="AF25"/>
  <c r="Y25" s="1"/>
  <c r="AJ25"/>
  <c r="AL26"/>
  <c r="AK26"/>
  <c r="AL28"/>
  <c r="AK28"/>
  <c r="AL30"/>
  <c r="AK30"/>
  <c r="AF31"/>
  <c r="Y31" s="1"/>
  <c r="AJ31"/>
  <c r="AL32"/>
  <c r="AK32"/>
  <c r="AL34"/>
  <c r="AK34"/>
  <c r="AK37" i="60"/>
  <c r="AG37"/>
  <c r="AI37" s="1"/>
  <c r="AJ66" i="58"/>
  <c r="AF66" s="1"/>
  <c r="Y66" s="1"/>
  <c r="AF71"/>
  <c r="Y71" s="1"/>
  <c r="AJ71"/>
  <c r="AF73"/>
  <c r="Y73" s="1"/>
  <c r="AJ73"/>
  <c r="AF77"/>
  <c r="Y77" s="1"/>
  <c r="AJ77"/>
  <c r="AJ8" i="59"/>
  <c r="AF8" s="1"/>
  <c r="AJ9"/>
  <c r="AF9" s="1"/>
  <c r="Y9" s="1"/>
  <c r="AF10"/>
  <c r="Y10" s="1"/>
  <c r="AJ10"/>
  <c r="AJ11"/>
  <c r="AF11" s="1"/>
  <c r="Y11" s="1"/>
  <c r="AF12"/>
  <c r="Y12" s="1"/>
  <c r="AJ12"/>
  <c r="AF14"/>
  <c r="Y14" s="1"/>
  <c r="AJ14"/>
  <c r="AJ15"/>
  <c r="AF15" s="1"/>
  <c r="Y15" s="1"/>
  <c r="AF16"/>
  <c r="Y16" s="1"/>
  <c r="AJ16"/>
  <c r="AF17"/>
  <c r="Y17" s="1"/>
  <c r="AJ17"/>
  <c r="AF18"/>
  <c r="Y18" s="1"/>
  <c r="AJ18"/>
  <c r="AF20"/>
  <c r="Y20" s="1"/>
  <c r="AJ20"/>
  <c r="AF21"/>
  <c r="Y21" s="1"/>
  <c r="AJ21"/>
  <c r="AF22"/>
  <c r="Y22" s="1"/>
  <c r="AJ22"/>
  <c r="AF23"/>
  <c r="Y23" s="1"/>
  <c r="AJ23"/>
  <c r="AF24"/>
  <c r="Y24" s="1"/>
  <c r="AJ24"/>
  <c r="AF26"/>
  <c r="Y26" s="1"/>
  <c r="AJ26"/>
  <c r="AJ27"/>
  <c r="AF27" s="1"/>
  <c r="Y27" s="1"/>
  <c r="AF28"/>
  <c r="Y28" s="1"/>
  <c r="AJ28"/>
  <c r="AF29"/>
  <c r="Y29" s="1"/>
  <c r="AJ29"/>
  <c r="AF30"/>
  <c r="Y30" s="1"/>
  <c r="AJ30"/>
  <c r="AF32"/>
  <c r="Y32" s="1"/>
  <c r="AJ32"/>
  <c r="AJ33"/>
  <c r="AF33" s="1"/>
  <c r="Y33" s="1"/>
  <c r="AF34"/>
  <c r="Y34" s="1"/>
  <c r="AJ34"/>
  <c r="AH35"/>
  <c r="AI35" s="1"/>
  <c r="AF35" s="1"/>
  <c r="Y35" s="1"/>
  <c r="AJ35"/>
  <c r="AH36"/>
  <c r="AI36" s="1"/>
  <c r="AJ36"/>
  <c r="AF36" s="1"/>
  <c r="Y36" s="1"/>
  <c r="AG37"/>
  <c r="AI37" s="1"/>
  <c r="AK37"/>
  <c r="AH38"/>
  <c r="AI38" s="1"/>
  <c r="AF38" s="1"/>
  <c r="Y38" s="1"/>
  <c r="AJ38"/>
  <c r="AH39"/>
  <c r="AI39" s="1"/>
  <c r="AF39" s="1"/>
  <c r="Y39" s="1"/>
  <c r="AJ39"/>
  <c r="AH40"/>
  <c r="AI40" s="1"/>
  <c r="AJ40"/>
  <c r="AH41"/>
  <c r="AI41" s="1"/>
  <c r="AF41" s="1"/>
  <c r="Y41" s="1"/>
  <c r="AJ41"/>
  <c r="AH42"/>
  <c r="AI42" s="1"/>
  <c r="AJ42"/>
  <c r="AG43"/>
  <c r="AI43" s="1"/>
  <c r="AK43"/>
  <c r="AH44"/>
  <c r="AI44" s="1"/>
  <c r="AF44" s="1"/>
  <c r="Y44" s="1"/>
  <c r="AJ44"/>
  <c r="AH45"/>
  <c r="AI45" s="1"/>
  <c r="AJ45"/>
  <c r="AH46"/>
  <c r="AI46" s="1"/>
  <c r="AJ46"/>
  <c r="AF46" s="1"/>
  <c r="Y46" s="1"/>
  <c r="AH47"/>
  <c r="AI47" s="1"/>
  <c r="AJ47"/>
  <c r="AH48"/>
  <c r="AI48" s="1"/>
  <c r="AJ48"/>
  <c r="AG49"/>
  <c r="AI49" s="1"/>
  <c r="AK49"/>
  <c r="AF50"/>
  <c r="Y50" s="1"/>
  <c r="AH50"/>
  <c r="AI50" s="1"/>
  <c r="AJ50"/>
  <c r="AH51"/>
  <c r="AI51" s="1"/>
  <c r="AF51" s="1"/>
  <c r="Y51" s="1"/>
  <c r="AJ51"/>
  <c r="AH52"/>
  <c r="AI52" s="1"/>
  <c r="AJ52"/>
  <c r="AH53"/>
  <c r="AI53" s="1"/>
  <c r="AF53" s="1"/>
  <c r="Y53" s="1"/>
  <c r="AJ53"/>
  <c r="AH54"/>
  <c r="AI54" s="1"/>
  <c r="AJ54"/>
  <c r="AG55"/>
  <c r="AI55" s="1"/>
  <c r="AK55"/>
  <c r="AH59"/>
  <c r="AI59" s="1"/>
  <c r="AF59" s="1"/>
  <c r="Y59" s="1"/>
  <c r="AJ59"/>
  <c r="AH60"/>
  <c r="AI60" s="1"/>
  <c r="AJ60"/>
  <c r="AH61"/>
  <c r="AI61" s="1"/>
  <c r="AJ61"/>
  <c r="AH62"/>
  <c r="AI62" s="1"/>
  <c r="AF62" s="1"/>
  <c r="Y62" s="1"/>
  <c r="AJ62"/>
  <c r="AH63"/>
  <c r="AI63" s="1"/>
  <c r="AJ63"/>
  <c r="AF63" s="1"/>
  <c r="Y63" s="1"/>
  <c r="AH64"/>
  <c r="AI64" s="1"/>
  <c r="AF64" s="1"/>
  <c r="Y64" s="1"/>
  <c r="AJ64"/>
  <c r="AH65"/>
  <c r="AI65" s="1"/>
  <c r="AJ65"/>
  <c r="AF65" s="1"/>
  <c r="Y65" s="1"/>
  <c r="AH66"/>
  <c r="AI66" s="1"/>
  <c r="AF66" s="1"/>
  <c r="Y66" s="1"/>
  <c r="AJ66"/>
  <c r="AG70"/>
  <c r="AI70" s="1"/>
  <c r="AK70"/>
  <c r="AH71"/>
  <c r="AI71" s="1"/>
  <c r="AJ71"/>
  <c r="AG72"/>
  <c r="AI72" s="1"/>
  <c r="AK72"/>
  <c r="AH73"/>
  <c r="AI73" s="1"/>
  <c r="AJ73"/>
  <c r="AH77"/>
  <c r="AI77" s="1"/>
  <c r="AJ77"/>
  <c r="AG78"/>
  <c r="AI78" s="1"/>
  <c r="AK78"/>
  <c r="AG82"/>
  <c r="AI82" s="1"/>
  <c r="AK82"/>
  <c r="AG86"/>
  <c r="AI86" s="1"/>
  <c r="AK86"/>
  <c r="AH8" i="60"/>
  <c r="AI8" s="1"/>
  <c r="AJ8"/>
  <c r="AH9"/>
  <c r="AI9" s="1"/>
  <c r="AJ9"/>
  <c r="AH10"/>
  <c r="AI10" s="1"/>
  <c r="AF10" s="1"/>
  <c r="Y10" s="1"/>
  <c r="AJ10"/>
  <c r="AH11"/>
  <c r="AI11" s="1"/>
  <c r="AF11" s="1"/>
  <c r="Y11" s="1"/>
  <c r="AJ11"/>
  <c r="AH12"/>
  <c r="AI12" s="1"/>
  <c r="AJ12"/>
  <c r="AF12" s="1"/>
  <c r="Y12" s="1"/>
  <c r="AG13"/>
  <c r="AI13" s="1"/>
  <c r="AK13"/>
  <c r="AH14"/>
  <c r="AI14" s="1"/>
  <c r="AJ14"/>
  <c r="AH15"/>
  <c r="AI15" s="1"/>
  <c r="AF15" s="1"/>
  <c r="Y15" s="1"/>
  <c r="AJ15"/>
  <c r="AH16"/>
  <c r="AI16" s="1"/>
  <c r="AF16" s="1"/>
  <c r="Y16" s="1"/>
  <c r="AJ16"/>
  <c r="AH17"/>
  <c r="AI17" s="1"/>
  <c r="AJ17"/>
  <c r="AH18"/>
  <c r="AI18" s="1"/>
  <c r="AF18" s="1"/>
  <c r="Y18" s="1"/>
  <c r="AJ18"/>
  <c r="AG19"/>
  <c r="AI19" s="1"/>
  <c r="AK19"/>
  <c r="AH20"/>
  <c r="AI20" s="1"/>
  <c r="AF20" s="1"/>
  <c r="Y20" s="1"/>
  <c r="AJ20"/>
  <c r="AH21"/>
  <c r="AI21" s="1"/>
  <c r="AJ21"/>
  <c r="AH22"/>
  <c r="AI22" s="1"/>
  <c r="AF22" s="1"/>
  <c r="Y22" s="1"/>
  <c r="AJ22"/>
  <c r="AH23"/>
  <c r="AI23" s="1"/>
  <c r="AJ23"/>
  <c r="AF23" s="1"/>
  <c r="Y23" s="1"/>
  <c r="AH24"/>
  <c r="AI24" s="1"/>
  <c r="AF24" s="1"/>
  <c r="Y24" s="1"/>
  <c r="AJ24"/>
  <c r="AG25"/>
  <c r="AI25" s="1"/>
  <c r="AK25"/>
  <c r="AH26"/>
  <c r="AI26" s="1"/>
  <c r="AJ26"/>
  <c r="AH27"/>
  <c r="AI27" s="1"/>
  <c r="AF27" s="1"/>
  <c r="Y27" s="1"/>
  <c r="AJ27"/>
  <c r="AH28"/>
  <c r="AI28" s="1"/>
  <c r="AJ28"/>
  <c r="AF28" s="1"/>
  <c r="Y28" s="1"/>
  <c r="AH29"/>
  <c r="AI29" s="1"/>
  <c r="AJ29"/>
  <c r="AH30"/>
  <c r="AI30" s="1"/>
  <c r="AJ30"/>
  <c r="AF30" s="1"/>
  <c r="Y30" s="1"/>
  <c r="AG31"/>
  <c r="AI31" s="1"/>
  <c r="AK31"/>
  <c r="AH32"/>
  <c r="AI32" s="1"/>
  <c r="AF32" s="1"/>
  <c r="Y32" s="1"/>
  <c r="AJ32"/>
  <c r="AL33"/>
  <c r="AH33"/>
  <c r="AI33" s="1"/>
  <c r="AJ33"/>
  <c r="AF33" s="1"/>
  <c r="Y33" s="1"/>
  <c r="AL34"/>
  <c r="AK34"/>
  <c r="AL36"/>
  <c r="AK36"/>
  <c r="AF37"/>
  <c r="Y37" s="1"/>
  <c r="AJ37"/>
  <c r="AL38"/>
  <c r="AK38"/>
  <c r="AL40"/>
  <c r="AK40"/>
  <c r="AI59"/>
  <c r="AI61"/>
  <c r="AI63"/>
  <c r="AI65"/>
  <c r="AI71"/>
  <c r="AI73"/>
  <c r="AI8" i="61"/>
  <c r="AI11"/>
  <c r="AI15"/>
  <c r="AF37" i="59"/>
  <c r="Y37" s="1"/>
  <c r="AJ37"/>
  <c r="AF43"/>
  <c r="Y43" s="1"/>
  <c r="AJ43"/>
  <c r="AF49"/>
  <c r="Y49" s="1"/>
  <c r="AJ49"/>
  <c r="AF55"/>
  <c r="Y55" s="1"/>
  <c r="AJ55"/>
  <c r="AF70"/>
  <c r="Y70" s="1"/>
  <c r="AJ70"/>
  <c r="AF72"/>
  <c r="Y72" s="1"/>
  <c r="AJ72"/>
  <c r="AF78"/>
  <c r="Y78" s="1"/>
  <c r="AJ78"/>
  <c r="AF82"/>
  <c r="Y82" s="1"/>
  <c r="AJ82"/>
  <c r="AJ86"/>
  <c r="AF86" s="1"/>
  <c r="Y86" s="1"/>
  <c r="AF13" i="60"/>
  <c r="Y13" s="1"/>
  <c r="AJ13"/>
  <c r="AF19"/>
  <c r="Y19" s="1"/>
  <c r="AJ19"/>
  <c r="AJ25"/>
  <c r="AF25" s="1"/>
  <c r="Y25" s="1"/>
  <c r="AF31"/>
  <c r="Y31" s="1"/>
  <c r="AJ31"/>
  <c r="AL41"/>
  <c r="AK41"/>
  <c r="AI45"/>
  <c r="AI47"/>
  <c r="AI51"/>
  <c r="AI53"/>
  <c r="AI60"/>
  <c r="AI62"/>
  <c r="AI64"/>
  <c r="AI66"/>
  <c r="AK42"/>
  <c r="AJ43"/>
  <c r="AL43"/>
  <c r="AK44"/>
  <c r="AK45"/>
  <c r="AK46"/>
  <c r="AK47"/>
  <c r="AK48"/>
  <c r="AJ49"/>
  <c r="AL49"/>
  <c r="AK50"/>
  <c r="AK51"/>
  <c r="AK52"/>
  <c r="AK53"/>
  <c r="AK54"/>
  <c r="AJ55"/>
  <c r="AL55"/>
  <c r="AK59"/>
  <c r="AK60"/>
  <c r="AK61"/>
  <c r="AK62"/>
  <c r="AK63"/>
  <c r="AK64"/>
  <c r="AK65"/>
  <c r="AK66"/>
  <c r="AJ70"/>
  <c r="AL70"/>
  <c r="AK71"/>
  <c r="AJ72"/>
  <c r="AL72"/>
  <c r="AK73"/>
  <c r="AK77"/>
  <c r="AJ78"/>
  <c r="AL78"/>
  <c r="AJ82"/>
  <c r="AL82"/>
  <c r="AJ86"/>
  <c r="AL86"/>
  <c r="AK8" i="61"/>
  <c r="AK9"/>
  <c r="AK10"/>
  <c r="AK11"/>
  <c r="AK12"/>
  <c r="AJ13"/>
  <c r="AL13"/>
  <c r="AK14"/>
  <c r="AK15"/>
  <c r="AL17"/>
  <c r="AK17"/>
  <c r="AL21"/>
  <c r="AK21"/>
  <c r="AL23"/>
  <c r="AK23"/>
  <c r="AI55"/>
  <c r="AK19"/>
  <c r="AG19"/>
  <c r="AI19" s="1"/>
  <c r="AF34" i="60"/>
  <c r="Y34" s="1"/>
  <c r="AJ34"/>
  <c r="AF35"/>
  <c r="Y35" s="1"/>
  <c r="AJ35"/>
  <c r="AF36"/>
  <c r="Y36" s="1"/>
  <c r="AJ36"/>
  <c r="AF38"/>
  <c r="Y38" s="1"/>
  <c r="AJ38"/>
  <c r="AJ39"/>
  <c r="AF39" s="1"/>
  <c r="Y39" s="1"/>
  <c r="AF40"/>
  <c r="Y40" s="1"/>
  <c r="AJ40"/>
  <c r="AJ41"/>
  <c r="AF41" s="1"/>
  <c r="Y41" s="1"/>
  <c r="AJ42"/>
  <c r="AF42" s="1"/>
  <c r="Y42" s="1"/>
  <c r="AG43"/>
  <c r="AI43" s="1"/>
  <c r="AF43" s="1"/>
  <c r="Y43" s="1"/>
  <c r="AF44"/>
  <c r="Y44" s="1"/>
  <c r="AJ44"/>
  <c r="AJ45"/>
  <c r="AF45" s="1"/>
  <c r="Y45" s="1"/>
  <c r="AF46"/>
  <c r="Y46" s="1"/>
  <c r="AJ46"/>
  <c r="AF47"/>
  <c r="Y47" s="1"/>
  <c r="AJ47"/>
  <c r="AJ48"/>
  <c r="AF48" s="1"/>
  <c r="Y48" s="1"/>
  <c r="AG49"/>
  <c r="AI49" s="1"/>
  <c r="AF49" s="1"/>
  <c r="Y49" s="1"/>
  <c r="AF50"/>
  <c r="Y50" s="1"/>
  <c r="AJ50"/>
  <c r="AF51"/>
  <c r="Y51" s="1"/>
  <c r="AJ51"/>
  <c r="AF52"/>
  <c r="Y52" s="1"/>
  <c r="AJ52"/>
  <c r="AF53"/>
  <c r="Y53" s="1"/>
  <c r="AJ53"/>
  <c r="AF54"/>
  <c r="Y54" s="1"/>
  <c r="AJ54"/>
  <c r="AG55"/>
  <c r="AI55" s="1"/>
  <c r="AF55" s="1"/>
  <c r="Y55" s="1"/>
  <c r="AF59"/>
  <c r="Y59" s="1"/>
  <c r="AJ59"/>
  <c r="AF60"/>
  <c r="Y60" s="1"/>
  <c r="AJ60"/>
  <c r="AF61"/>
  <c r="Y61" s="1"/>
  <c r="AJ61"/>
  <c r="AF62"/>
  <c r="Y62" s="1"/>
  <c r="AJ62"/>
  <c r="AF63"/>
  <c r="Y63" s="1"/>
  <c r="AJ63"/>
  <c r="AF64"/>
  <c r="Y64" s="1"/>
  <c r="AJ64"/>
  <c r="AJ65"/>
  <c r="AF65" s="1"/>
  <c r="Y65" s="1"/>
  <c r="AF66"/>
  <c r="Y66" s="1"/>
  <c r="AJ66"/>
  <c r="AG70"/>
  <c r="AI70" s="1"/>
  <c r="AF70" s="1"/>
  <c r="Y70" s="1"/>
  <c r="AJ71"/>
  <c r="AF71" s="1"/>
  <c r="Y71" s="1"/>
  <c r="AG72"/>
  <c r="AI72" s="1"/>
  <c r="AF72" s="1"/>
  <c r="Y72" s="1"/>
  <c r="AF73"/>
  <c r="Y73" s="1"/>
  <c r="AJ73"/>
  <c r="AJ77"/>
  <c r="AF77" s="1"/>
  <c r="Y77" s="1"/>
  <c r="AG78"/>
  <c r="AI78" s="1"/>
  <c r="AF78" s="1"/>
  <c r="Y78" s="1"/>
  <c r="AG82"/>
  <c r="AI82" s="1"/>
  <c r="AF82" s="1"/>
  <c r="Y82" s="1"/>
  <c r="AG86"/>
  <c r="AI86" s="1"/>
  <c r="AJ8" i="61"/>
  <c r="AF8" s="1"/>
  <c r="AJ9"/>
  <c r="AF10"/>
  <c r="Y10" s="1"/>
  <c r="AJ10"/>
  <c r="AF11"/>
  <c r="Y11" s="1"/>
  <c r="AJ11"/>
  <c r="AF12"/>
  <c r="Y12" s="1"/>
  <c r="AJ12"/>
  <c r="AG13"/>
  <c r="AI13" s="1"/>
  <c r="AF13" s="1"/>
  <c r="Y13" s="1"/>
  <c r="AJ14"/>
  <c r="AF14" s="1"/>
  <c r="Y14" s="1"/>
  <c r="AL15"/>
  <c r="AJ15"/>
  <c r="AF15" s="1"/>
  <c r="Y15" s="1"/>
  <c r="AL16"/>
  <c r="AK16"/>
  <c r="AL18"/>
  <c r="AK18"/>
  <c r="AJ19"/>
  <c r="AF19" s="1"/>
  <c r="Y19" s="1"/>
  <c r="AF16"/>
  <c r="Y16" s="1"/>
  <c r="AJ16"/>
  <c r="AF17"/>
  <c r="Y17" s="1"/>
  <c r="AJ17"/>
  <c r="AJ18"/>
  <c r="AF18" s="1"/>
  <c r="Y18" s="1"/>
  <c r="AF20"/>
  <c r="Y20" s="1"/>
  <c r="AJ20"/>
  <c r="AJ21"/>
  <c r="AF21" s="1"/>
  <c r="Y21" s="1"/>
  <c r="AF22"/>
  <c r="Y22" s="1"/>
  <c r="AJ22"/>
  <c r="AF23"/>
  <c r="Y23" s="1"/>
  <c r="AJ23"/>
  <c r="AH24"/>
  <c r="AI24" s="1"/>
  <c r="AF24" s="1"/>
  <c r="Y24" s="1"/>
  <c r="AJ24"/>
  <c r="AG25"/>
  <c r="AI25" s="1"/>
  <c r="AK25"/>
  <c r="AH26"/>
  <c r="AI26" s="1"/>
  <c r="AF26" s="1"/>
  <c r="Y26" s="1"/>
  <c r="AJ26"/>
  <c r="AH27"/>
  <c r="AI27" s="1"/>
  <c r="AF27" s="1"/>
  <c r="Y27" s="1"/>
  <c r="AJ27"/>
  <c r="AH28"/>
  <c r="AI28" s="1"/>
  <c r="AF28" s="1"/>
  <c r="Y28" s="1"/>
  <c r="AJ28"/>
  <c r="AH29"/>
  <c r="AI29" s="1"/>
  <c r="AF29" s="1"/>
  <c r="Y29" s="1"/>
  <c r="AJ29"/>
  <c r="AH30"/>
  <c r="AI30" s="1"/>
  <c r="AF30" s="1"/>
  <c r="Y30" s="1"/>
  <c r="AJ30"/>
  <c r="AG31"/>
  <c r="AI31" s="1"/>
  <c r="AK31"/>
  <c r="AH32"/>
  <c r="AI32" s="1"/>
  <c r="AF32" s="1"/>
  <c r="Y32" s="1"/>
  <c r="AJ32"/>
  <c r="AH33"/>
  <c r="AI33" s="1"/>
  <c r="AJ33"/>
  <c r="AF33" s="1"/>
  <c r="Y33" s="1"/>
  <c r="AH34"/>
  <c r="AI34" s="1"/>
  <c r="AJ34"/>
  <c r="AH35"/>
  <c r="AI35" s="1"/>
  <c r="AF35" s="1"/>
  <c r="Y35" s="1"/>
  <c r="AJ35"/>
  <c r="AH36"/>
  <c r="AI36" s="1"/>
  <c r="AF36" s="1"/>
  <c r="Y36" s="1"/>
  <c r="AJ36"/>
  <c r="AG37"/>
  <c r="AI37" s="1"/>
  <c r="AK37"/>
  <c r="AH38"/>
  <c r="AI38" s="1"/>
  <c r="AF38" s="1"/>
  <c r="Y38" s="1"/>
  <c r="AJ38"/>
  <c r="AH39"/>
  <c r="AI39" s="1"/>
  <c r="AF39" s="1"/>
  <c r="Y39" s="1"/>
  <c r="AJ39"/>
  <c r="AH40"/>
  <c r="AI40" s="1"/>
  <c r="AJ40"/>
  <c r="AH41"/>
  <c r="AI41" s="1"/>
  <c r="AJ41"/>
  <c r="AH42"/>
  <c r="AI42" s="1"/>
  <c r="AJ42"/>
  <c r="AG43"/>
  <c r="AI43" s="1"/>
  <c r="AK43"/>
  <c r="AH44"/>
  <c r="AI44" s="1"/>
  <c r="AF44" s="1"/>
  <c r="Y44" s="1"/>
  <c r="AJ44"/>
  <c r="AH45"/>
  <c r="AI45" s="1"/>
  <c r="AJ45"/>
  <c r="AH46"/>
  <c r="AI46" s="1"/>
  <c r="AJ46"/>
  <c r="AF46" s="1"/>
  <c r="Y46" s="1"/>
  <c r="AH47"/>
  <c r="AI47" s="1"/>
  <c r="AJ47"/>
  <c r="AF47" s="1"/>
  <c r="Y47" s="1"/>
  <c r="AH48"/>
  <c r="AI48" s="1"/>
  <c r="AF48" s="1"/>
  <c r="Y48" s="1"/>
  <c r="AJ48"/>
  <c r="AG49"/>
  <c r="AI49" s="1"/>
  <c r="AK49"/>
  <c r="AH50"/>
  <c r="AI50" s="1"/>
  <c r="AJ50"/>
  <c r="AH51"/>
  <c r="AI51" s="1"/>
  <c r="AF51" s="1"/>
  <c r="Y51" s="1"/>
  <c r="AJ51"/>
  <c r="AH52"/>
  <c r="AI52" s="1"/>
  <c r="AJ52"/>
  <c r="AF52" s="1"/>
  <c r="Y52" s="1"/>
  <c r="AH53"/>
  <c r="AI53" s="1"/>
  <c r="AF53" s="1"/>
  <c r="Y53" s="1"/>
  <c r="AJ53"/>
  <c r="AJ54"/>
  <c r="AL54"/>
  <c r="AK55"/>
  <c r="AJ59"/>
  <c r="AL59"/>
  <c r="AJ60"/>
  <c r="AL60"/>
  <c r="AJ61"/>
  <c r="AL61"/>
  <c r="AJ62"/>
  <c r="AL62"/>
  <c r="AJ63"/>
  <c r="AL63"/>
  <c r="AJ64"/>
  <c r="AL64"/>
  <c r="AJ65"/>
  <c r="AL65"/>
  <c r="AJ66"/>
  <c r="AL66"/>
  <c r="AG70"/>
  <c r="AI70" s="1"/>
  <c r="AK70"/>
  <c r="AJ71"/>
  <c r="AL71"/>
  <c r="AG72"/>
  <c r="AI72" s="1"/>
  <c r="AK72"/>
  <c r="AJ73"/>
  <c r="AL73"/>
  <c r="AJ77"/>
  <c r="AL77"/>
  <c r="AG78"/>
  <c r="AI78" s="1"/>
  <c r="AF78" s="1"/>
  <c r="Y78" s="1"/>
  <c r="AK78"/>
  <c r="AG82"/>
  <c r="AI82" s="1"/>
  <c r="AK82"/>
  <c r="AG86"/>
  <c r="AI86" s="1"/>
  <c r="AK86"/>
  <c r="AF25"/>
  <c r="Y25" s="1"/>
  <c r="AJ25"/>
  <c r="AF31"/>
  <c r="Y31" s="1"/>
  <c r="AJ31"/>
  <c r="AF37"/>
  <c r="Y37" s="1"/>
  <c r="AJ37"/>
  <c r="AF43"/>
  <c r="Y43" s="1"/>
  <c r="AJ43"/>
  <c r="AJ49"/>
  <c r="AF49" s="1"/>
  <c r="Y49" s="1"/>
  <c r="AG54"/>
  <c r="AI54" s="1"/>
  <c r="AF54" s="1"/>
  <c r="Y54" s="1"/>
  <c r="AF55"/>
  <c r="Y55" s="1"/>
  <c r="AJ55"/>
  <c r="BB58"/>
  <c r="AG59"/>
  <c r="AI59" s="1"/>
  <c r="AF59" s="1"/>
  <c r="Y59" s="1"/>
  <c r="AG60"/>
  <c r="AI60" s="1"/>
  <c r="AF60" s="1"/>
  <c r="Y60" s="1"/>
  <c r="AG61"/>
  <c r="AI61" s="1"/>
  <c r="AF61" s="1"/>
  <c r="Y61" s="1"/>
  <c r="AG62"/>
  <c r="AI62" s="1"/>
  <c r="AF62" s="1"/>
  <c r="Y62" s="1"/>
  <c r="AG63"/>
  <c r="AI63" s="1"/>
  <c r="AF63" s="1"/>
  <c r="Y63" s="1"/>
  <c r="AG64"/>
  <c r="AI64" s="1"/>
  <c r="AF64" s="1"/>
  <c r="Y64" s="1"/>
  <c r="AG65"/>
  <c r="AI65" s="1"/>
  <c r="AF65" s="1"/>
  <c r="Y65" s="1"/>
  <c r="AG66"/>
  <c r="AI66" s="1"/>
  <c r="AF66" s="1"/>
  <c r="Y66" s="1"/>
  <c r="AJ70"/>
  <c r="AF70" s="1"/>
  <c r="Y70" s="1"/>
  <c r="AG71"/>
  <c r="AI71" s="1"/>
  <c r="AF71" s="1"/>
  <c r="Y71" s="1"/>
  <c r="AF72"/>
  <c r="Y72" s="1"/>
  <c r="AJ72"/>
  <c r="AG73"/>
  <c r="AI73" s="1"/>
  <c r="AF73" s="1"/>
  <c r="Y73" s="1"/>
  <c r="AG77"/>
  <c r="AI77" s="1"/>
  <c r="AJ78"/>
  <c r="AJ82"/>
  <c r="AF82" s="1"/>
  <c r="Y82" s="1"/>
  <c r="AJ86"/>
  <c r="L55" i="36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S24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S18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K15"/>
  <c r="S23" s="1"/>
  <c r="J15"/>
  <c r="L14"/>
  <c r="S30" s="1"/>
  <c r="K14"/>
  <c r="S29" s="1"/>
  <c r="J14"/>
  <c r="L13"/>
  <c r="S28" s="1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L55" i="35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S18" s="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L55" i="34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S18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L55" i="33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S18" s="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L55" i="29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S18" s="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L55" i="32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S18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L55" i="31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Q12"/>
  <c r="P12"/>
  <c r="R12" s="1"/>
  <c r="L12"/>
  <c r="S22" s="1"/>
  <c r="K12"/>
  <c r="S21" s="1"/>
  <c r="J12"/>
  <c r="Q11"/>
  <c r="P11"/>
  <c r="R11" s="1"/>
  <c r="L11"/>
  <c r="S18" s="1"/>
  <c r="K11"/>
  <c r="S17" s="1"/>
  <c r="J11"/>
  <c r="Q10"/>
  <c r="P10"/>
  <c r="R10" s="1"/>
  <c r="L10"/>
  <c r="S16" s="1"/>
  <c r="K10"/>
  <c r="S15" s="1"/>
  <c r="J10"/>
  <c r="Q9"/>
  <c r="P9"/>
  <c r="R9" s="1"/>
  <c r="L9"/>
  <c r="S12" s="1"/>
  <c r="K9"/>
  <c r="S11" s="1"/>
  <c r="J9"/>
  <c r="L8"/>
  <c r="S10" s="1"/>
  <c r="K8"/>
  <c r="S9" s="1"/>
  <c r="J8"/>
  <c r="L55" i="28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S18" s="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AF86" i="58" l="1"/>
  <c r="Y86" s="1"/>
  <c r="AF86" i="68"/>
  <c r="Y86" s="1"/>
  <c r="AF86" i="64"/>
  <c r="Y86" s="1"/>
  <c r="AF86" i="75"/>
  <c r="Y86" s="1"/>
  <c r="AF86" i="61"/>
  <c r="Y86" s="1"/>
  <c r="AF86" i="60"/>
  <c r="Y86" s="1"/>
  <c r="AF86" i="70"/>
  <c r="Y86" s="1"/>
  <c r="AF86" i="69"/>
  <c r="Y86" s="1"/>
  <c r="AF86" i="73"/>
  <c r="Y86" s="1"/>
  <c r="AF86" i="71"/>
  <c r="Y86" s="1"/>
  <c r="AF77" i="61"/>
  <c r="Y77" s="1"/>
  <c r="AF77" i="59"/>
  <c r="Y77" s="1"/>
  <c r="AF77" i="68"/>
  <c r="Y77" s="1"/>
  <c r="AI77" i="69"/>
  <c r="AF77" s="1"/>
  <c r="AF73"/>
  <c r="Y73" s="1"/>
  <c r="AF73" i="59"/>
  <c r="Y73" s="1"/>
  <c r="AF71"/>
  <c r="Y71" s="1"/>
  <c r="AF65" i="69"/>
  <c r="Y65" s="1"/>
  <c r="AF65" i="68"/>
  <c r="Y65" s="1"/>
  <c r="AF64" i="69"/>
  <c r="Y64" s="1"/>
  <c r="AF62"/>
  <c r="Y62" s="1"/>
  <c r="AF61" i="59"/>
  <c r="Y61" s="1"/>
  <c r="AF61" i="68"/>
  <c r="Y61" s="1"/>
  <c r="AF59" i="69"/>
  <c r="Y59" s="1"/>
  <c r="AF60" i="59"/>
  <c r="Y60" s="1"/>
  <c r="AF60" i="68"/>
  <c r="Y60" s="1"/>
  <c r="AF54" i="59"/>
  <c r="Y54" s="1"/>
  <c r="AF54" i="69"/>
  <c r="Y54" s="1"/>
  <c r="AF55" i="71"/>
  <c r="Y55" s="1"/>
  <c r="AF53" i="72"/>
  <c r="Y53" s="1"/>
  <c r="AF53" i="69"/>
  <c r="Y53" s="1"/>
  <c r="AF53" i="66"/>
  <c r="Y53" s="1"/>
  <c r="AF53" i="65"/>
  <c r="Y53" s="1"/>
  <c r="AF53" i="64"/>
  <c r="Y53" s="1"/>
  <c r="AF53" i="63"/>
  <c r="Y53" s="1"/>
  <c r="AF53" i="67"/>
  <c r="Y53" s="1"/>
  <c r="AF52" i="59"/>
  <c r="Y52" s="1"/>
  <c r="AF50" i="61"/>
  <c r="Y50" s="1"/>
  <c r="AF50" i="73"/>
  <c r="Y50" s="1"/>
  <c r="AF50" i="72"/>
  <c r="Y50" s="1"/>
  <c r="AF50" i="66"/>
  <c r="Y50" s="1"/>
  <c r="AF50" i="75"/>
  <c r="Y50" s="1"/>
  <c r="AF48" i="59"/>
  <c r="Y48" s="1"/>
  <c r="AF48" i="75"/>
  <c r="Y48" s="1"/>
  <c r="AF47" i="59"/>
  <c r="Y47" s="1"/>
  <c r="AF47" i="75"/>
  <c r="Y47" s="1"/>
  <c r="AF46"/>
  <c r="Y46" s="1"/>
  <c r="AF44"/>
  <c r="Y44" s="1"/>
  <c r="AF45" i="61"/>
  <c r="Y45" s="1"/>
  <c r="AF45" i="72"/>
  <c r="Y45" s="1"/>
  <c r="AF45" i="66"/>
  <c r="Y45" s="1"/>
  <c r="AF45" i="75"/>
  <c r="Y45" s="1"/>
  <c r="AF45" i="59"/>
  <c r="Y45" s="1"/>
  <c r="AF45" i="73"/>
  <c r="Y45" s="1"/>
  <c r="AF45" i="68"/>
  <c r="Y45" s="1"/>
  <c r="AF42" i="75"/>
  <c r="Y42" s="1"/>
  <c r="AF42" i="61"/>
  <c r="Y42" s="1"/>
  <c r="AF42" i="59"/>
  <c r="Y42" s="1"/>
  <c r="AI42" i="70"/>
  <c r="AF42" s="1"/>
  <c r="Y42" s="1"/>
  <c r="AF40" i="61"/>
  <c r="Y40" s="1"/>
  <c r="AF40" i="72"/>
  <c r="Y40" s="1"/>
  <c r="AF40" i="75"/>
  <c r="Y40" s="1"/>
  <c r="AF40" i="59"/>
  <c r="Y40" s="1"/>
  <c r="AF41" i="73"/>
  <c r="Y41" s="1"/>
  <c r="AF41" i="68"/>
  <c r="Y41" s="1"/>
  <c r="AF41" i="61"/>
  <c r="Y41" s="1"/>
  <c r="AF41" i="70"/>
  <c r="Y41" s="1"/>
  <c r="AF41" i="66"/>
  <c r="Y41" s="1"/>
  <c r="AF41" i="75"/>
  <c r="Y41" s="1"/>
  <c r="AF39" i="72"/>
  <c r="Y39" s="1"/>
  <c r="AF38" i="73"/>
  <c r="Y38" s="1"/>
  <c r="AF38" i="72"/>
  <c r="Y38" s="1"/>
  <c r="AF38" i="75"/>
  <c r="Y38" s="1"/>
  <c r="AF38" i="66"/>
  <c r="Y38" s="1"/>
  <c r="AF35" i="75"/>
  <c r="Y35" s="1"/>
  <c r="AF34" i="61"/>
  <c r="Y34" s="1"/>
  <c r="AF33" i="73"/>
  <c r="Y33" s="1"/>
  <c r="AF33" i="72"/>
  <c r="Y33" s="1"/>
  <c r="AF33" i="68"/>
  <c r="Y33" s="1"/>
  <c r="AF33" i="75"/>
  <c r="Y33" s="1"/>
  <c r="AF33" i="74"/>
  <c r="Y33" s="1"/>
  <c r="E81" i="22"/>
  <c r="AF32" i="73"/>
  <c r="Y32" s="1"/>
  <c r="AF32" i="66"/>
  <c r="Y32" s="1"/>
  <c r="AF32" i="75"/>
  <c r="Y32" s="1"/>
  <c r="AF30" i="68"/>
  <c r="Y30" s="1"/>
  <c r="AF29" i="60"/>
  <c r="Y29" s="1"/>
  <c r="AF29" i="74"/>
  <c r="Y29" s="1"/>
  <c r="AF28" i="75"/>
  <c r="Y28" s="1"/>
  <c r="AF28" i="74"/>
  <c r="Y28" s="1"/>
  <c r="AF27" i="68"/>
  <c r="Y27" s="1"/>
  <c r="AF27" i="67"/>
  <c r="Y27" s="1"/>
  <c r="AF27" i="65"/>
  <c r="Y27" s="1"/>
  <c r="AF26" i="70"/>
  <c r="Y26" s="1"/>
  <c r="AF26" i="75"/>
  <c r="Y26" s="1"/>
  <c r="AF26" i="60"/>
  <c r="Y26" s="1"/>
  <c r="AF25" i="72"/>
  <c r="Y25" s="1"/>
  <c r="BA69" i="74"/>
  <c r="BB69" s="1"/>
  <c r="S3" s="1"/>
  <c r="H9" i="22" s="1"/>
  <c r="BA69" i="67"/>
  <c r="BB69" s="1"/>
  <c r="S3" s="1"/>
  <c r="H18" i="22" s="1"/>
  <c r="BA69" i="64"/>
  <c r="BB69" s="1"/>
  <c r="BA69" i="66"/>
  <c r="BB69" s="1"/>
  <c r="BA69" i="62"/>
  <c r="BB69" s="1"/>
  <c r="S3" s="1"/>
  <c r="H44" i="22" s="1"/>
  <c r="BB58" i="66"/>
  <c r="S3" i="64"/>
  <c r="H30" i="22" s="1"/>
  <c r="BA69" i="60"/>
  <c r="BB69" s="1"/>
  <c r="S3" s="1"/>
  <c r="H48" i="22" s="1"/>
  <c r="BA69" i="73"/>
  <c r="BB69" s="1"/>
  <c r="S3" s="1"/>
  <c r="H94" i="22" s="1"/>
  <c r="AF24" i="75"/>
  <c r="Y24" s="1"/>
  <c r="AF23" i="66"/>
  <c r="Y23" s="1"/>
  <c r="AF22"/>
  <c r="Y22" s="1"/>
  <c r="AF22" i="73"/>
  <c r="Y22" s="1"/>
  <c r="AF21" i="60"/>
  <c r="Y21" s="1"/>
  <c r="AF21" i="66"/>
  <c r="Y21" s="1"/>
  <c r="AI21" i="74"/>
  <c r="AF21" s="1"/>
  <c r="AF20" i="70"/>
  <c r="Y20" s="1"/>
  <c r="AF19" i="58"/>
  <c r="Y19" s="1"/>
  <c r="AF19" i="57"/>
  <c r="Y19" s="1"/>
  <c r="AF19" i="56"/>
  <c r="Y19" s="1"/>
  <c r="AF19" i="71"/>
  <c r="Y19" s="1"/>
  <c r="AF19" i="62"/>
  <c r="Y19" s="1"/>
  <c r="AF18" i="70"/>
  <c r="Y18" s="1"/>
  <c r="AF17" i="60"/>
  <c r="Y17" s="1"/>
  <c r="AF17" i="70"/>
  <c r="Y17" s="1"/>
  <c r="AF17" i="66"/>
  <c r="Y17" s="1"/>
  <c r="AF15" i="74"/>
  <c r="Y15" s="1"/>
  <c r="AF14" i="60"/>
  <c r="Y14" s="1"/>
  <c r="AF14" i="69"/>
  <c r="Y14" s="1"/>
  <c r="AF13" i="72"/>
  <c r="Y13" s="1"/>
  <c r="AF9" i="61"/>
  <c r="Y9" s="1"/>
  <c r="AF10" i="73"/>
  <c r="Y10" s="1"/>
  <c r="AF10" i="72"/>
  <c r="Y10" s="1"/>
  <c r="AF10" i="70"/>
  <c r="Y10" s="1"/>
  <c r="AF9" i="68"/>
  <c r="Y9" s="1"/>
  <c r="AF10" i="62"/>
  <c r="Y10" s="1"/>
  <c r="AF8" i="75"/>
  <c r="Y8" s="1"/>
  <c r="P3" s="1"/>
  <c r="AF9" i="74"/>
  <c r="Y9" s="1"/>
  <c r="AF8"/>
  <c r="BA69" i="72"/>
  <c r="BB69" s="1"/>
  <c r="S3" s="1"/>
  <c r="H5" i="22" s="1"/>
  <c r="AF10" i="63"/>
  <c r="Y10" s="1"/>
  <c r="BA69" i="75"/>
  <c r="BB69" s="1"/>
  <c r="S3" s="1"/>
  <c r="H57" i="22" s="1"/>
  <c r="BA69" i="71"/>
  <c r="BB69" s="1"/>
  <c r="S3" s="1"/>
  <c r="H22" i="22" s="1"/>
  <c r="BA69" i="69"/>
  <c r="BB69" s="1"/>
  <c r="S3" s="1"/>
  <c r="H3" i="22" s="1"/>
  <c r="BA69" i="59"/>
  <c r="BB69" s="1"/>
  <c r="S3" s="1"/>
  <c r="H6" i="22" s="1"/>
  <c r="BA69" i="58"/>
  <c r="BB69" s="1"/>
  <c r="S3" s="1"/>
  <c r="H24" i="22" s="1"/>
  <c r="BA69" i="57"/>
  <c r="BB69" s="1"/>
  <c r="S3" s="1"/>
  <c r="H67" i="22" s="1"/>
  <c r="BA69" i="56"/>
  <c r="BB69" s="1"/>
  <c r="S3" s="1"/>
  <c r="H31" i="22" s="1"/>
  <c r="AF8" i="57"/>
  <c r="BA69" i="70"/>
  <c r="BB69" s="1"/>
  <c r="S3" s="1"/>
  <c r="H12" i="22" s="1"/>
  <c r="BA69" i="68"/>
  <c r="BB69" s="1"/>
  <c r="S3" s="1"/>
  <c r="H13" i="22" s="1"/>
  <c r="BA69" i="65"/>
  <c r="BB69" s="1"/>
  <c r="S3" s="1"/>
  <c r="H34" i="22" s="1"/>
  <c r="BA69" i="63"/>
  <c r="BB69" s="1"/>
  <c r="S3" s="1"/>
  <c r="H32" i="22" s="1"/>
  <c r="BA69" i="61"/>
  <c r="BB69" s="1"/>
  <c r="S3" s="1"/>
  <c r="H33" i="22" s="1"/>
  <c r="AF10" i="69"/>
  <c r="Y10" s="1"/>
  <c r="AF9" i="60"/>
  <c r="Y9" s="1"/>
  <c r="AF8" i="73"/>
  <c r="AF8" i="68"/>
  <c r="Y8" s="1"/>
  <c r="AF8" i="67"/>
  <c r="AF8" i="69"/>
  <c r="Y8" s="1"/>
  <c r="AF8" i="63"/>
  <c r="AF8" i="60"/>
  <c r="T3" s="1"/>
  <c r="I48" i="22" s="1"/>
  <c r="AF8" i="70"/>
  <c r="U3" i="69"/>
  <c r="U3" i="73"/>
  <c r="T3" i="75"/>
  <c r="I57" i="22" s="1"/>
  <c r="Y8" i="74"/>
  <c r="Y8" i="65"/>
  <c r="P3" s="1"/>
  <c r="T3"/>
  <c r="I34" i="22" s="1"/>
  <c r="Y8" i="64"/>
  <c r="P3" s="1"/>
  <c r="Y8" i="63"/>
  <c r="P3" s="1"/>
  <c r="T3"/>
  <c r="I32" i="22" s="1"/>
  <c r="Y8" i="73"/>
  <c r="P3" s="1"/>
  <c r="T3"/>
  <c r="I94" i="22" s="1"/>
  <c r="Y8" i="72"/>
  <c r="P3" s="1"/>
  <c r="Y8" i="71"/>
  <c r="P3" s="1"/>
  <c r="T3"/>
  <c r="I22" i="22" s="1"/>
  <c r="Y8" i="70"/>
  <c r="P3" s="1"/>
  <c r="T3"/>
  <c r="I12" i="22" s="1"/>
  <c r="T3" i="68"/>
  <c r="I13" i="22" s="1"/>
  <c r="Y8" i="67"/>
  <c r="P3" s="1"/>
  <c r="T3"/>
  <c r="I18" i="22" s="1"/>
  <c r="Y8" i="66"/>
  <c r="P3" s="1"/>
  <c r="T3"/>
  <c r="I58" i="22" s="1"/>
  <c r="Y8" i="62"/>
  <c r="T3"/>
  <c r="I44" i="22" s="1"/>
  <c r="Y8" i="58"/>
  <c r="P3" s="1"/>
  <c r="T3"/>
  <c r="I24" i="22" s="1"/>
  <c r="Y8" i="56"/>
  <c r="P3" s="1"/>
  <c r="T3"/>
  <c r="I31" i="22" s="1"/>
  <c r="Y8" i="61"/>
  <c r="P3" s="1"/>
  <c r="Y8" i="60"/>
  <c r="P3" s="1"/>
  <c r="Y8" i="59"/>
  <c r="T3"/>
  <c r="I6" i="22" s="1"/>
  <c r="Y8" i="57"/>
  <c r="P3" s="1"/>
  <c r="T3"/>
  <c r="I67" i="22" s="1"/>
  <c r="L55" i="30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S18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T3" i="64" l="1"/>
  <c r="I30" i="22" s="1"/>
  <c r="Y77" i="69"/>
  <c r="T3"/>
  <c r="I3" i="22" s="1"/>
  <c r="P3" i="59"/>
  <c r="T3" i="72"/>
  <c r="I5" i="22" s="1"/>
  <c r="S3" i="66"/>
  <c r="H58" i="22" s="1"/>
  <c r="Y21" i="74"/>
  <c r="T3"/>
  <c r="I9" i="22" s="1"/>
  <c r="P3" i="69"/>
  <c r="E3" i="22" s="1"/>
  <c r="P3" i="68"/>
  <c r="E13" i="22" s="1"/>
  <c r="T3" i="61"/>
  <c r="I33" i="22" s="1"/>
  <c r="P3" i="62"/>
  <c r="P3" i="74"/>
  <c r="E57" i="22"/>
  <c r="E94"/>
  <c r="E5"/>
  <c r="E22"/>
  <c r="E12"/>
  <c r="E18"/>
  <c r="E58"/>
  <c r="E34"/>
  <c r="E30"/>
  <c r="E32"/>
  <c r="E33"/>
  <c r="E67"/>
  <c r="E6"/>
  <c r="E48"/>
  <c r="E24"/>
  <c r="E31"/>
  <c r="L55" i="27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J38"/>
  <c r="L37"/>
  <c r="K37"/>
  <c r="J37"/>
  <c r="Q36"/>
  <c r="P36"/>
  <c r="R36" s="1"/>
  <c r="L36"/>
  <c r="K36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S28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S24"/>
  <c r="Q24"/>
  <c r="P24"/>
  <c r="R24" s="1"/>
  <c r="L24"/>
  <c r="S54" s="1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S42" s="1"/>
  <c r="K20"/>
  <c r="S41" s="1"/>
  <c r="J20"/>
  <c r="L19"/>
  <c r="S46" s="1"/>
  <c r="K19"/>
  <c r="S45" s="1"/>
  <c r="J19"/>
  <c r="S18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K15"/>
  <c r="S23" s="1"/>
  <c r="J15"/>
  <c r="L14"/>
  <c r="S30" s="1"/>
  <c r="K14"/>
  <c r="S29" s="1"/>
  <c r="J14"/>
  <c r="L13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L55" i="25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S24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S18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K15"/>
  <c r="S23" s="1"/>
  <c r="J15"/>
  <c r="L14"/>
  <c r="S30" s="1"/>
  <c r="K14"/>
  <c r="S29" s="1"/>
  <c r="J14"/>
  <c r="L13"/>
  <c r="S28" s="1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L55" i="21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S18" s="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L55" i="20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S30"/>
  <c r="Q30"/>
  <c r="P30"/>
  <c r="R30" s="1"/>
  <c r="L30"/>
  <c r="K30"/>
  <c r="J30"/>
  <c r="Q29"/>
  <c r="P29"/>
  <c r="R29" s="1"/>
  <c r="L29"/>
  <c r="K29"/>
  <c r="J29"/>
  <c r="S28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S24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S18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K15"/>
  <c r="S23" s="1"/>
  <c r="J15"/>
  <c r="L14"/>
  <c r="K14"/>
  <c r="S29" s="1"/>
  <c r="J14"/>
  <c r="L13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L55" i="19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S18" s="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L55" i="8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S18" s="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L55" i="7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S18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C86" i="22"/>
  <c r="C68"/>
  <c r="C23"/>
  <c r="C36"/>
  <c r="E44" l="1"/>
  <c r="E9"/>
  <c r="X98" i="55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X77"/>
  <c r="X76"/>
  <c r="X75"/>
  <c r="X74"/>
  <c r="AD73"/>
  <c r="AH73" s="1"/>
  <c r="AC73"/>
  <c r="X73"/>
  <c r="AD72"/>
  <c r="AH72" s="1"/>
  <c r="AC72"/>
  <c r="X72"/>
  <c r="AD71"/>
  <c r="AH71" s="1"/>
  <c r="AC71"/>
  <c r="X71"/>
  <c r="AD70"/>
  <c r="AH70" s="1"/>
  <c r="AC70"/>
  <c r="AL70" s="1"/>
  <c r="X70"/>
  <c r="X69"/>
  <c r="AZ68"/>
  <c r="X68"/>
  <c r="AZ67"/>
  <c r="X67"/>
  <c r="AZ66"/>
  <c r="AD66"/>
  <c r="AH66" s="1"/>
  <c r="AC66"/>
  <c r="X66"/>
  <c r="AZ65"/>
  <c r="AD65"/>
  <c r="AH65" s="1"/>
  <c r="AC65"/>
  <c r="X65"/>
  <c r="BA64"/>
  <c r="BB64" s="1"/>
  <c r="AZ64"/>
  <c r="AD64"/>
  <c r="AH64" s="1"/>
  <c r="AC64"/>
  <c r="X64"/>
  <c r="BA63"/>
  <c r="BB63" s="1"/>
  <c r="AZ63"/>
  <c r="AD63"/>
  <c r="AH63" s="1"/>
  <c r="AC63"/>
  <c r="X63"/>
  <c r="BA62"/>
  <c r="BB62" s="1"/>
  <c r="AZ62"/>
  <c r="AD62"/>
  <c r="AH62" s="1"/>
  <c r="AC62"/>
  <c r="X62"/>
  <c r="BA61"/>
  <c r="BB61" s="1"/>
  <c r="AZ61"/>
  <c r="AD61"/>
  <c r="AH61" s="1"/>
  <c r="AC61"/>
  <c r="X61"/>
  <c r="BA60"/>
  <c r="BB60" s="1"/>
  <c r="AZ60"/>
  <c r="AD60"/>
  <c r="AH60" s="1"/>
  <c r="AC60"/>
  <c r="X60"/>
  <c r="BA59"/>
  <c r="BB59" s="1"/>
  <c r="AZ59"/>
  <c r="AD59"/>
  <c r="AH59" s="1"/>
  <c r="AC59"/>
  <c r="X59"/>
  <c r="BA58"/>
  <c r="AZ58"/>
  <c r="BA68" s="1"/>
  <c r="BB68" s="1"/>
  <c r="AA58"/>
  <c r="Z58"/>
  <c r="X58"/>
  <c r="AD55"/>
  <c r="AH55" s="1"/>
  <c r="AC55"/>
  <c r="AO54"/>
  <c r="AM54" s="1"/>
  <c r="AD54"/>
  <c r="AH54" s="1"/>
  <c r="AC54"/>
  <c r="V54"/>
  <c r="AA64" s="1"/>
  <c r="F64" s="1"/>
  <c r="AO53"/>
  <c r="AM53" s="1"/>
  <c r="AD53"/>
  <c r="AC53"/>
  <c r="V53"/>
  <c r="AO52"/>
  <c r="AM52" s="1"/>
  <c r="AD52"/>
  <c r="AC52"/>
  <c r="V52"/>
  <c r="AO51"/>
  <c r="AM51" s="1"/>
  <c r="AD51"/>
  <c r="AC51"/>
  <c r="V51"/>
  <c r="Z66" s="1"/>
  <c r="D66" s="1"/>
  <c r="AD50"/>
  <c r="AC50"/>
  <c r="AD49"/>
  <c r="AH49" s="1"/>
  <c r="AC49"/>
  <c r="AO48"/>
  <c r="AM48" s="1"/>
  <c r="AD48"/>
  <c r="AC48"/>
  <c r="V48"/>
  <c r="AO47"/>
  <c r="AM47" s="1"/>
  <c r="AD47"/>
  <c r="AC47"/>
  <c r="V47"/>
  <c r="AO46"/>
  <c r="AM46" s="1"/>
  <c r="AD46"/>
  <c r="AC46"/>
  <c r="V46"/>
  <c r="AA66" s="1"/>
  <c r="F66" s="1"/>
  <c r="F72" s="1"/>
  <c r="AO45"/>
  <c r="AM45" s="1"/>
  <c r="AD45"/>
  <c r="AC45"/>
  <c r="V45"/>
  <c r="Z64" s="1"/>
  <c r="D64" s="1"/>
  <c r="F70" s="1"/>
  <c r="D77" s="1"/>
  <c r="D82" s="1"/>
  <c r="E91" s="1"/>
  <c r="AD44"/>
  <c r="AC44"/>
  <c r="AD43"/>
  <c r="AH43" s="1"/>
  <c r="AC43"/>
  <c r="AO42"/>
  <c r="AM42" s="1"/>
  <c r="AD42"/>
  <c r="AC42"/>
  <c r="V42"/>
  <c r="AA63" s="1"/>
  <c r="F63" s="1"/>
  <c r="AO41"/>
  <c r="AM41" s="1"/>
  <c r="AD41"/>
  <c r="AC41"/>
  <c r="V41"/>
  <c r="AO40"/>
  <c r="AM40" s="1"/>
  <c r="AD40"/>
  <c r="AC40"/>
  <c r="V40"/>
  <c r="AO39"/>
  <c r="AM39" s="1"/>
  <c r="AD39"/>
  <c r="AC39"/>
  <c r="V39"/>
  <c r="Z65" s="1"/>
  <c r="D65" s="1"/>
  <c r="D72" s="1"/>
  <c r="D78" s="1"/>
  <c r="F82" s="1"/>
  <c r="E92" s="1"/>
  <c r="AD38"/>
  <c r="AC38"/>
  <c r="AD37"/>
  <c r="AH37" s="1"/>
  <c r="AC37"/>
  <c r="AL37" s="1"/>
  <c r="AO36"/>
  <c r="AM36" s="1"/>
  <c r="AD36"/>
  <c r="AC36"/>
  <c r="V36"/>
  <c r="AO35"/>
  <c r="AM35" s="1"/>
  <c r="AD35"/>
  <c r="AC35"/>
  <c r="V35"/>
  <c r="Z63" s="1"/>
  <c r="D63" s="1"/>
  <c r="D70" s="1"/>
  <c r="AO34"/>
  <c r="AM34" s="1"/>
  <c r="AD34"/>
  <c r="AC34"/>
  <c r="V34"/>
  <c r="AA65" s="1"/>
  <c r="F65" s="1"/>
  <c r="AO33"/>
  <c r="AM33" s="1"/>
  <c r="AD33"/>
  <c r="AC33"/>
  <c r="V33"/>
  <c r="AD32"/>
  <c r="AC32"/>
  <c r="AD31"/>
  <c r="AH31" s="1"/>
  <c r="AC31"/>
  <c r="AO30"/>
  <c r="AM30" s="1"/>
  <c r="AD30"/>
  <c r="AC30"/>
  <c r="V30"/>
  <c r="AO29"/>
  <c r="AM29" s="1"/>
  <c r="AD29"/>
  <c r="AC29"/>
  <c r="V29"/>
  <c r="Z62" s="1"/>
  <c r="D62" s="1"/>
  <c r="F73" s="1"/>
  <c r="AO28"/>
  <c r="AM28" s="1"/>
  <c r="AD28"/>
  <c r="AC28"/>
  <c r="V28"/>
  <c r="AO27"/>
  <c r="AM27" s="1"/>
  <c r="AD27"/>
  <c r="AC27"/>
  <c r="V27"/>
  <c r="AA60" s="1"/>
  <c r="F60" s="1"/>
  <c r="F71" s="1"/>
  <c r="AD26"/>
  <c r="AC26"/>
  <c r="AD25"/>
  <c r="AH25" s="1"/>
  <c r="AC25"/>
  <c r="AO24"/>
  <c r="AM24" s="1"/>
  <c r="AD24"/>
  <c r="AC24"/>
  <c r="V24"/>
  <c r="AO23"/>
  <c r="AM23" s="1"/>
  <c r="AD23"/>
  <c r="AC23"/>
  <c r="V23"/>
  <c r="AO22"/>
  <c r="AM22" s="1"/>
  <c r="AD22"/>
  <c r="AH22" s="1"/>
  <c r="AC22"/>
  <c r="AL22" s="1"/>
  <c r="V22"/>
  <c r="AA62" s="1"/>
  <c r="F62" s="1"/>
  <c r="AO21"/>
  <c r="AM21" s="1"/>
  <c r="AD21"/>
  <c r="AH21" s="1"/>
  <c r="AC21"/>
  <c r="AG21" s="1"/>
  <c r="V21"/>
  <c r="Z60" s="1"/>
  <c r="D60" s="1"/>
  <c r="AD20"/>
  <c r="AH20" s="1"/>
  <c r="AC20"/>
  <c r="AD19"/>
  <c r="AH19" s="1"/>
  <c r="AC19"/>
  <c r="AO18"/>
  <c r="AM18" s="1"/>
  <c r="AD18"/>
  <c r="AH18" s="1"/>
  <c r="AC18"/>
  <c r="AG18" s="1"/>
  <c r="V18"/>
  <c r="AO17"/>
  <c r="AM17" s="1"/>
  <c r="AD17"/>
  <c r="AH17" s="1"/>
  <c r="AC17"/>
  <c r="AG17" s="1"/>
  <c r="V17"/>
  <c r="AO16"/>
  <c r="AM16" s="1"/>
  <c r="AD16"/>
  <c r="AH16" s="1"/>
  <c r="AC16"/>
  <c r="V16"/>
  <c r="Z61" s="1"/>
  <c r="D61" s="1"/>
  <c r="D73" s="1"/>
  <c r="F78" s="1"/>
  <c r="F86" s="1"/>
  <c r="E90" s="1"/>
  <c r="AO15"/>
  <c r="AM15" s="1"/>
  <c r="AD15"/>
  <c r="AH15" s="1"/>
  <c r="AC15"/>
  <c r="V15"/>
  <c r="AA59" s="1"/>
  <c r="F59" s="1"/>
  <c r="AD14"/>
  <c r="AH14" s="1"/>
  <c r="AC14"/>
  <c r="AD13"/>
  <c r="AK13" s="1"/>
  <c r="AC13"/>
  <c r="AO12"/>
  <c r="AM12" s="1"/>
  <c r="AD12"/>
  <c r="AH12" s="1"/>
  <c r="AC12"/>
  <c r="V12"/>
  <c r="AO11"/>
  <c r="AM11" s="1"/>
  <c r="AD11"/>
  <c r="AH11" s="1"/>
  <c r="AC11"/>
  <c r="V11"/>
  <c r="AO10"/>
  <c r="AM10" s="1"/>
  <c r="AD10"/>
  <c r="AH10" s="1"/>
  <c r="AC10"/>
  <c r="V10"/>
  <c r="AA61" s="1"/>
  <c r="F61" s="1"/>
  <c r="AO9"/>
  <c r="AM9" s="1"/>
  <c r="AD9"/>
  <c r="AH9" s="1"/>
  <c r="AC9"/>
  <c r="AG9" s="1"/>
  <c r="V9"/>
  <c r="Z59" s="1"/>
  <c r="D59" s="1"/>
  <c r="D71" s="1"/>
  <c r="F77" s="1"/>
  <c r="D86" s="1"/>
  <c r="E89" s="1"/>
  <c r="AD8"/>
  <c r="AH8" s="1"/>
  <c r="AC8"/>
  <c r="N3"/>
  <c r="C28" i="22" s="1"/>
  <c r="X98" i="54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X77"/>
  <c r="X76"/>
  <c r="X75"/>
  <c r="X74"/>
  <c r="AD73"/>
  <c r="AH73" s="1"/>
  <c r="AC73"/>
  <c r="X73"/>
  <c r="AD72"/>
  <c r="AH72" s="1"/>
  <c r="AC72"/>
  <c r="X72"/>
  <c r="AD71"/>
  <c r="AH71" s="1"/>
  <c r="AC71"/>
  <c r="X71"/>
  <c r="AD70"/>
  <c r="AH70" s="1"/>
  <c r="AC70"/>
  <c r="X70"/>
  <c r="X69"/>
  <c r="AZ68"/>
  <c r="X68"/>
  <c r="AZ67"/>
  <c r="X67"/>
  <c r="AZ66"/>
  <c r="AD66"/>
  <c r="AH66" s="1"/>
  <c r="AC66"/>
  <c r="X66"/>
  <c r="AZ65"/>
  <c r="AD65"/>
  <c r="AH65" s="1"/>
  <c r="AC65"/>
  <c r="X65"/>
  <c r="AZ64"/>
  <c r="AD64"/>
  <c r="AH64" s="1"/>
  <c r="AC64"/>
  <c r="X64"/>
  <c r="AZ63"/>
  <c r="AD63"/>
  <c r="AH63" s="1"/>
  <c r="AC63"/>
  <c r="X63"/>
  <c r="AZ62"/>
  <c r="AD62"/>
  <c r="AH62" s="1"/>
  <c r="AC62"/>
  <c r="X62"/>
  <c r="AZ61"/>
  <c r="AD61"/>
  <c r="AH61" s="1"/>
  <c r="AC61"/>
  <c r="X61"/>
  <c r="AZ60"/>
  <c r="AD60"/>
  <c r="AH60" s="1"/>
  <c r="AC60"/>
  <c r="X60"/>
  <c r="AZ59"/>
  <c r="AD59"/>
  <c r="AH59" s="1"/>
  <c r="AC59"/>
  <c r="X59"/>
  <c r="AZ58"/>
  <c r="BA67" s="1"/>
  <c r="BB67" s="1"/>
  <c r="AA58"/>
  <c r="Z58"/>
  <c r="X58"/>
  <c r="AD55"/>
  <c r="AC55"/>
  <c r="AO54"/>
  <c r="AM54" s="1"/>
  <c r="AD54"/>
  <c r="AH54" s="1"/>
  <c r="AC54"/>
  <c r="V54"/>
  <c r="AO53"/>
  <c r="AM53" s="1"/>
  <c r="AD53"/>
  <c r="AH53" s="1"/>
  <c r="AC53"/>
  <c r="V53"/>
  <c r="AA64" s="1"/>
  <c r="F64" s="1"/>
  <c r="AO52"/>
  <c r="AM52" s="1"/>
  <c r="AD52"/>
  <c r="AH52" s="1"/>
  <c r="AC52"/>
  <c r="V52"/>
  <c r="AO51"/>
  <c r="AM51" s="1"/>
  <c r="AD51"/>
  <c r="AH51" s="1"/>
  <c r="AC51"/>
  <c r="V51"/>
  <c r="Z66" s="1"/>
  <c r="D66" s="1"/>
  <c r="AD50"/>
  <c r="AH50" s="1"/>
  <c r="AC50"/>
  <c r="AD49"/>
  <c r="AH49" s="1"/>
  <c r="AC49"/>
  <c r="AO48"/>
  <c r="AM48" s="1"/>
  <c r="AD48"/>
  <c r="AH48" s="1"/>
  <c r="AC48"/>
  <c r="V48"/>
  <c r="AO47"/>
  <c r="AM47" s="1"/>
  <c r="AD47"/>
  <c r="AH47" s="1"/>
  <c r="AC47"/>
  <c r="V47"/>
  <c r="AO46"/>
  <c r="AM46" s="1"/>
  <c r="AD46"/>
  <c r="AH46" s="1"/>
  <c r="AC46"/>
  <c r="V46"/>
  <c r="AA66" s="1"/>
  <c r="F66" s="1"/>
  <c r="F72" s="1"/>
  <c r="AO45"/>
  <c r="AM45" s="1"/>
  <c r="AD45"/>
  <c r="AH45" s="1"/>
  <c r="AC45"/>
  <c r="V45"/>
  <c r="Z64" s="1"/>
  <c r="D64" s="1"/>
  <c r="F70" s="1"/>
  <c r="D77" s="1"/>
  <c r="D82" s="1"/>
  <c r="E91" s="1"/>
  <c r="AD44"/>
  <c r="AH44" s="1"/>
  <c r="AC44"/>
  <c r="AD43"/>
  <c r="AH43" s="1"/>
  <c r="AC43"/>
  <c r="AO42"/>
  <c r="AM42" s="1"/>
  <c r="AD42"/>
  <c r="AH42" s="1"/>
  <c r="AC42"/>
  <c r="V42"/>
  <c r="AA63" s="1"/>
  <c r="F63" s="1"/>
  <c r="AO41"/>
  <c r="AM41" s="1"/>
  <c r="AD41"/>
  <c r="AH41" s="1"/>
  <c r="AC41"/>
  <c r="V41"/>
  <c r="AO40"/>
  <c r="AM40" s="1"/>
  <c r="AD40"/>
  <c r="AH40" s="1"/>
  <c r="AC40"/>
  <c r="V40"/>
  <c r="AO39"/>
  <c r="AM39"/>
  <c r="AD39"/>
  <c r="AH39" s="1"/>
  <c r="AC39"/>
  <c r="V39"/>
  <c r="Z65" s="1"/>
  <c r="D65" s="1"/>
  <c r="D72" s="1"/>
  <c r="D78" s="1"/>
  <c r="F86" s="1"/>
  <c r="E89" s="1"/>
  <c r="AD38"/>
  <c r="AH38" s="1"/>
  <c r="AC38"/>
  <c r="AD37"/>
  <c r="AH37" s="1"/>
  <c r="AC37"/>
  <c r="AO36"/>
  <c r="AM36" s="1"/>
  <c r="AD36"/>
  <c r="AH36" s="1"/>
  <c r="AC36"/>
  <c r="V36"/>
  <c r="AO35"/>
  <c r="AM35" s="1"/>
  <c r="AD35"/>
  <c r="AH35" s="1"/>
  <c r="AC35"/>
  <c r="V35"/>
  <c r="Z63" s="1"/>
  <c r="D63" s="1"/>
  <c r="D70" s="1"/>
  <c r="AO34"/>
  <c r="AM34" s="1"/>
  <c r="AD34"/>
  <c r="AH34" s="1"/>
  <c r="AC34"/>
  <c r="AG34" s="1"/>
  <c r="V34"/>
  <c r="AA65" s="1"/>
  <c r="F65" s="1"/>
  <c r="AO33"/>
  <c r="AM33" s="1"/>
  <c r="AD33"/>
  <c r="AH33" s="1"/>
  <c r="AC33"/>
  <c r="V33"/>
  <c r="AD32"/>
  <c r="AH32" s="1"/>
  <c r="AC32"/>
  <c r="AG32" s="1"/>
  <c r="AD31"/>
  <c r="AH31" s="1"/>
  <c r="AC31"/>
  <c r="AO30"/>
  <c r="AM30" s="1"/>
  <c r="AD30"/>
  <c r="AH30" s="1"/>
  <c r="AC30"/>
  <c r="V30"/>
  <c r="AO29"/>
  <c r="AM29" s="1"/>
  <c r="AD29"/>
  <c r="AH29" s="1"/>
  <c r="AC29"/>
  <c r="V29"/>
  <c r="AA60" s="1"/>
  <c r="F60" s="1"/>
  <c r="AO28"/>
  <c r="AM28" s="1"/>
  <c r="AD28"/>
  <c r="AH28" s="1"/>
  <c r="AC28"/>
  <c r="V28"/>
  <c r="AO27"/>
  <c r="AM27" s="1"/>
  <c r="AD27"/>
  <c r="AH27" s="1"/>
  <c r="AC27"/>
  <c r="V27"/>
  <c r="Z62" s="1"/>
  <c r="D62" s="1"/>
  <c r="F73" s="1"/>
  <c r="AD26"/>
  <c r="AH26" s="1"/>
  <c r="AC26"/>
  <c r="AD25"/>
  <c r="AH25" s="1"/>
  <c r="AC25"/>
  <c r="AO24"/>
  <c r="AM24" s="1"/>
  <c r="AD24"/>
  <c r="AH24" s="1"/>
  <c r="AC24"/>
  <c r="V24"/>
  <c r="AO23"/>
  <c r="AM23" s="1"/>
  <c r="AD23"/>
  <c r="AH23" s="1"/>
  <c r="AC23"/>
  <c r="V23"/>
  <c r="AA62" s="1"/>
  <c r="F62" s="1"/>
  <c r="AO22"/>
  <c r="AM22" s="1"/>
  <c r="AD22"/>
  <c r="AH22" s="1"/>
  <c r="AC22"/>
  <c r="V22"/>
  <c r="AO21"/>
  <c r="AM21" s="1"/>
  <c r="AD21"/>
  <c r="AH21" s="1"/>
  <c r="AC21"/>
  <c r="V21"/>
  <c r="Z60" s="1"/>
  <c r="D60" s="1"/>
  <c r="F71" s="1"/>
  <c r="AD20"/>
  <c r="AH20" s="1"/>
  <c r="AC20"/>
  <c r="AD19"/>
  <c r="AH19" s="1"/>
  <c r="AC19"/>
  <c r="AO18"/>
  <c r="AM18" s="1"/>
  <c r="AD18"/>
  <c r="AH18" s="1"/>
  <c r="AC18"/>
  <c r="V18"/>
  <c r="AO17"/>
  <c r="AM17" s="1"/>
  <c r="AD17"/>
  <c r="AH17" s="1"/>
  <c r="AC17"/>
  <c r="V17"/>
  <c r="AO16"/>
  <c r="AM16" s="1"/>
  <c r="AD16"/>
  <c r="AH16" s="1"/>
  <c r="AC16"/>
  <c r="V16"/>
  <c r="AA59" s="1"/>
  <c r="F59" s="1"/>
  <c r="AO15"/>
  <c r="AM15" s="1"/>
  <c r="AD15"/>
  <c r="AH15" s="1"/>
  <c r="AC15"/>
  <c r="V15"/>
  <c r="Z61" s="1"/>
  <c r="D61" s="1"/>
  <c r="D73" s="1"/>
  <c r="F78" s="1"/>
  <c r="F82" s="1"/>
  <c r="E92" s="1"/>
  <c r="AD14"/>
  <c r="AH14" s="1"/>
  <c r="AC14"/>
  <c r="AD13"/>
  <c r="AH13" s="1"/>
  <c r="AC13"/>
  <c r="AO12"/>
  <c r="AM12" s="1"/>
  <c r="AD12"/>
  <c r="AH12" s="1"/>
  <c r="AC12"/>
  <c r="V12"/>
  <c r="AO11"/>
  <c r="AM11" s="1"/>
  <c r="AD11"/>
  <c r="AH11" s="1"/>
  <c r="AC11"/>
  <c r="V11"/>
  <c r="AA61" s="1"/>
  <c r="F61" s="1"/>
  <c r="AO10"/>
  <c r="AM10" s="1"/>
  <c r="AD10"/>
  <c r="AH10" s="1"/>
  <c r="AC10"/>
  <c r="V10"/>
  <c r="AO9"/>
  <c r="AM9" s="1"/>
  <c r="AD9"/>
  <c r="AC9"/>
  <c r="AG9" s="1"/>
  <c r="V9"/>
  <c r="Z59" s="1"/>
  <c r="D59" s="1"/>
  <c r="D71" s="1"/>
  <c r="F77" s="1"/>
  <c r="D86" s="1"/>
  <c r="E90" s="1"/>
  <c r="AD8"/>
  <c r="AC8"/>
  <c r="N3"/>
  <c r="C46" i="22" s="1"/>
  <c r="X98" i="53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C77"/>
  <c r="X77"/>
  <c r="X76"/>
  <c r="X75"/>
  <c r="X74"/>
  <c r="AD73"/>
  <c r="AC73"/>
  <c r="X73"/>
  <c r="AD72"/>
  <c r="AH72" s="1"/>
  <c r="AC72"/>
  <c r="X72"/>
  <c r="AD71"/>
  <c r="AC71"/>
  <c r="X71"/>
  <c r="AD70"/>
  <c r="AH70" s="1"/>
  <c r="AC70"/>
  <c r="X70"/>
  <c r="X69"/>
  <c r="AZ68"/>
  <c r="X68"/>
  <c r="AZ67"/>
  <c r="X67"/>
  <c r="AZ66"/>
  <c r="AD66"/>
  <c r="AC66"/>
  <c r="X66"/>
  <c r="AZ65"/>
  <c r="AD65"/>
  <c r="AC65"/>
  <c r="X65"/>
  <c r="AZ64"/>
  <c r="AD64"/>
  <c r="AC64"/>
  <c r="X64"/>
  <c r="AZ63"/>
  <c r="AD63"/>
  <c r="AC63"/>
  <c r="X63"/>
  <c r="AZ62"/>
  <c r="AD62"/>
  <c r="AC62"/>
  <c r="X62"/>
  <c r="AZ61"/>
  <c r="AD61"/>
  <c r="AC61"/>
  <c r="X61"/>
  <c r="AZ60"/>
  <c r="AD60"/>
  <c r="AH60" s="1"/>
  <c r="AC60"/>
  <c r="X60"/>
  <c r="AZ59"/>
  <c r="BA68" s="1"/>
  <c r="BB68" s="1"/>
  <c r="AD59"/>
  <c r="AH59" s="1"/>
  <c r="AC59"/>
  <c r="X59"/>
  <c r="BA58"/>
  <c r="AZ58"/>
  <c r="BA67" s="1"/>
  <c r="BB67" s="1"/>
  <c r="AA58"/>
  <c r="Z58"/>
  <c r="X58"/>
  <c r="AD55"/>
  <c r="AH55" s="1"/>
  <c r="AC55"/>
  <c r="AO54"/>
  <c r="AM54" s="1"/>
  <c r="AD54"/>
  <c r="AH54" s="1"/>
  <c r="AC54"/>
  <c r="V54"/>
  <c r="AO53"/>
  <c r="AM53" s="1"/>
  <c r="AD53"/>
  <c r="AC53"/>
  <c r="V53"/>
  <c r="AA64" s="1"/>
  <c r="F64" s="1"/>
  <c r="AO52"/>
  <c r="AM52" s="1"/>
  <c r="AD52"/>
  <c r="AC52"/>
  <c r="V52"/>
  <c r="AO51"/>
  <c r="AM51" s="1"/>
  <c r="AD51"/>
  <c r="AC51"/>
  <c r="V51"/>
  <c r="Z66" s="1"/>
  <c r="D66" s="1"/>
  <c r="F72" s="1"/>
  <c r="AD50"/>
  <c r="AC50"/>
  <c r="AD49"/>
  <c r="AH49" s="1"/>
  <c r="AC49"/>
  <c r="AO48"/>
  <c r="AM48" s="1"/>
  <c r="AD48"/>
  <c r="AC48"/>
  <c r="V48"/>
  <c r="AO47"/>
  <c r="AM47" s="1"/>
  <c r="AD47"/>
  <c r="AC47"/>
  <c r="V47"/>
  <c r="AO46"/>
  <c r="AM46" s="1"/>
  <c r="AD46"/>
  <c r="AC46"/>
  <c r="V46"/>
  <c r="AA66" s="1"/>
  <c r="F66" s="1"/>
  <c r="AO45"/>
  <c r="AM45" s="1"/>
  <c r="AD45"/>
  <c r="AC45"/>
  <c r="V45"/>
  <c r="Z64" s="1"/>
  <c r="D64" s="1"/>
  <c r="F70" s="1"/>
  <c r="D77" s="1"/>
  <c r="D82" s="1"/>
  <c r="E91" s="1"/>
  <c r="AD44"/>
  <c r="AC44"/>
  <c r="AD43"/>
  <c r="AH43" s="1"/>
  <c r="AC43"/>
  <c r="AO42"/>
  <c r="AM42" s="1"/>
  <c r="AD42"/>
  <c r="AC42"/>
  <c r="V42"/>
  <c r="AA63" s="1"/>
  <c r="F63" s="1"/>
  <c r="AO41"/>
  <c r="AM41" s="1"/>
  <c r="AD41"/>
  <c r="AC41"/>
  <c r="V41"/>
  <c r="AO40"/>
  <c r="AM40" s="1"/>
  <c r="AD40"/>
  <c r="AC40"/>
  <c r="V40"/>
  <c r="AO39"/>
  <c r="AM39" s="1"/>
  <c r="AD39"/>
  <c r="AC39"/>
  <c r="V39"/>
  <c r="Z65" s="1"/>
  <c r="D65" s="1"/>
  <c r="D72" s="1"/>
  <c r="D78" s="1"/>
  <c r="F82" s="1"/>
  <c r="E92" s="1"/>
  <c r="AD38"/>
  <c r="AC38"/>
  <c r="AD37"/>
  <c r="AH37" s="1"/>
  <c r="AC37"/>
  <c r="AO36"/>
  <c r="AM36" s="1"/>
  <c r="AD36"/>
  <c r="AC36"/>
  <c r="V36"/>
  <c r="AO35"/>
  <c r="AM35" s="1"/>
  <c r="AD35"/>
  <c r="AC35"/>
  <c r="AL35" s="1"/>
  <c r="V35"/>
  <c r="Z63" s="1"/>
  <c r="D63" s="1"/>
  <c r="D70" s="1"/>
  <c r="AO34"/>
  <c r="AM34" s="1"/>
  <c r="AD34"/>
  <c r="AC34"/>
  <c r="V34"/>
  <c r="AA65" s="1"/>
  <c r="F65" s="1"/>
  <c r="AO33"/>
  <c r="AM33" s="1"/>
  <c r="AD33"/>
  <c r="AC33"/>
  <c r="V33"/>
  <c r="AD32"/>
  <c r="AC32"/>
  <c r="AD31"/>
  <c r="AH31" s="1"/>
  <c r="AC31"/>
  <c r="AO30"/>
  <c r="AM30" s="1"/>
  <c r="AD30"/>
  <c r="AC30"/>
  <c r="V30"/>
  <c r="AA60" s="1"/>
  <c r="F60" s="1"/>
  <c r="F71" s="1"/>
  <c r="AO29"/>
  <c r="AM29" s="1"/>
  <c r="AD29"/>
  <c r="AC29"/>
  <c r="V29"/>
  <c r="AO28"/>
  <c r="AM28" s="1"/>
  <c r="AD28"/>
  <c r="AC28"/>
  <c r="V28"/>
  <c r="AO27"/>
  <c r="AM27" s="1"/>
  <c r="AD27"/>
  <c r="AC27"/>
  <c r="V27"/>
  <c r="Z62" s="1"/>
  <c r="D62" s="1"/>
  <c r="F73" s="1"/>
  <c r="AD26"/>
  <c r="AC26"/>
  <c r="AD25"/>
  <c r="AH25" s="1"/>
  <c r="AC25"/>
  <c r="AO24"/>
  <c r="AM24" s="1"/>
  <c r="AD24"/>
  <c r="AC24"/>
  <c r="V24"/>
  <c r="Z60" s="1"/>
  <c r="D60" s="1"/>
  <c r="AO23"/>
  <c r="AM23" s="1"/>
  <c r="AD23"/>
  <c r="AC23"/>
  <c r="V23"/>
  <c r="AA62" s="1"/>
  <c r="F62" s="1"/>
  <c r="AO22"/>
  <c r="AM22" s="1"/>
  <c r="AD22"/>
  <c r="AC22"/>
  <c r="V22"/>
  <c r="AO21"/>
  <c r="AM21" s="1"/>
  <c r="AD21"/>
  <c r="AC21"/>
  <c r="V21"/>
  <c r="AD20"/>
  <c r="AC20"/>
  <c r="AD19"/>
  <c r="AH19" s="1"/>
  <c r="AC19"/>
  <c r="AO18"/>
  <c r="AM18" s="1"/>
  <c r="AD18"/>
  <c r="AC18"/>
  <c r="V18"/>
  <c r="AO17"/>
  <c r="AM17" s="1"/>
  <c r="AD17"/>
  <c r="AC17"/>
  <c r="V17"/>
  <c r="AO16"/>
  <c r="AM16" s="1"/>
  <c r="AD16"/>
  <c r="AC16"/>
  <c r="V16"/>
  <c r="AA59" s="1"/>
  <c r="F59" s="1"/>
  <c r="AO15"/>
  <c r="AM15" s="1"/>
  <c r="AD15"/>
  <c r="AC15"/>
  <c r="V15"/>
  <c r="Z61" s="1"/>
  <c r="D61" s="1"/>
  <c r="D73" s="1"/>
  <c r="F78" s="1"/>
  <c r="F86" s="1"/>
  <c r="E90" s="1"/>
  <c r="AD14"/>
  <c r="AC14"/>
  <c r="AD13"/>
  <c r="AH13" s="1"/>
  <c r="AC13"/>
  <c r="AO12"/>
  <c r="AM12" s="1"/>
  <c r="AD12"/>
  <c r="AC12"/>
  <c r="V12"/>
  <c r="AO11"/>
  <c r="AM11" s="1"/>
  <c r="AD11"/>
  <c r="AC11"/>
  <c r="V11"/>
  <c r="AO10"/>
  <c r="AM10" s="1"/>
  <c r="AD10"/>
  <c r="AC10"/>
  <c r="V10"/>
  <c r="AA61" s="1"/>
  <c r="F61" s="1"/>
  <c r="AO9"/>
  <c r="AM9" s="1"/>
  <c r="AD9"/>
  <c r="AH9" s="1"/>
  <c r="AC9"/>
  <c r="AG9" s="1"/>
  <c r="V9"/>
  <c r="Z59" s="1"/>
  <c r="D59" s="1"/>
  <c r="D71" s="1"/>
  <c r="F77" s="1"/>
  <c r="D86" s="1"/>
  <c r="E89" s="1"/>
  <c r="AD8"/>
  <c r="AH8" s="1"/>
  <c r="AC8"/>
  <c r="N3"/>
  <c r="C72" i="22" s="1"/>
  <c r="X98" i="52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AL78" s="1"/>
  <c r="X78"/>
  <c r="AD77"/>
  <c r="AH77" s="1"/>
  <c r="AC77"/>
  <c r="AG77" s="1"/>
  <c r="X77"/>
  <c r="X76"/>
  <c r="X75"/>
  <c r="X74"/>
  <c r="AD73"/>
  <c r="AH73" s="1"/>
  <c r="AC73"/>
  <c r="AG73" s="1"/>
  <c r="X73"/>
  <c r="AD72"/>
  <c r="AH72" s="1"/>
  <c r="AC72"/>
  <c r="X72"/>
  <c r="AD71"/>
  <c r="AH71" s="1"/>
  <c r="AC71"/>
  <c r="AG71" s="1"/>
  <c r="X71"/>
  <c r="AD70"/>
  <c r="AC70"/>
  <c r="X70"/>
  <c r="X69"/>
  <c r="AZ68"/>
  <c r="X68"/>
  <c r="AZ67"/>
  <c r="X67"/>
  <c r="AZ66"/>
  <c r="AD66"/>
  <c r="AH66" s="1"/>
  <c r="AC66"/>
  <c r="X66"/>
  <c r="AZ65"/>
  <c r="AD65"/>
  <c r="AH65" s="1"/>
  <c r="AC65"/>
  <c r="X65"/>
  <c r="AZ64"/>
  <c r="AD64"/>
  <c r="AH64" s="1"/>
  <c r="AC64"/>
  <c r="X64"/>
  <c r="AZ63"/>
  <c r="AD63"/>
  <c r="AH63" s="1"/>
  <c r="AC63"/>
  <c r="X63"/>
  <c r="AZ62"/>
  <c r="AD62"/>
  <c r="AH62" s="1"/>
  <c r="AC62"/>
  <c r="X62"/>
  <c r="AZ61"/>
  <c r="AD61"/>
  <c r="AH61" s="1"/>
  <c r="AC61"/>
  <c r="X61"/>
  <c r="AZ60"/>
  <c r="AD60"/>
  <c r="AH60" s="1"/>
  <c r="AC60"/>
  <c r="X60"/>
  <c r="AZ59"/>
  <c r="BA68" s="1"/>
  <c r="BB68" s="1"/>
  <c r="AD59"/>
  <c r="AH59" s="1"/>
  <c r="AC59"/>
  <c r="X59"/>
  <c r="BA58"/>
  <c r="AZ58"/>
  <c r="AA58"/>
  <c r="Z58"/>
  <c r="X58"/>
  <c r="AD55"/>
  <c r="AH55" s="1"/>
  <c r="AC55"/>
  <c r="AO54"/>
  <c r="AM54" s="1"/>
  <c r="AD54"/>
  <c r="AH54" s="1"/>
  <c r="AC54"/>
  <c r="V54"/>
  <c r="AO53"/>
  <c r="AM53" s="1"/>
  <c r="AD53"/>
  <c r="AH53" s="1"/>
  <c r="AC53"/>
  <c r="AG53" s="1"/>
  <c r="V53"/>
  <c r="Z66" s="1"/>
  <c r="D66" s="1"/>
  <c r="F72" s="1"/>
  <c r="AO52"/>
  <c r="AM52" s="1"/>
  <c r="AD52"/>
  <c r="AH52" s="1"/>
  <c r="AC52"/>
  <c r="V52"/>
  <c r="AO51"/>
  <c r="AM51" s="1"/>
  <c r="AD51"/>
  <c r="AH51" s="1"/>
  <c r="AC51"/>
  <c r="AG51" s="1"/>
  <c r="V51"/>
  <c r="AA64" s="1"/>
  <c r="F64" s="1"/>
  <c r="AD50"/>
  <c r="AH50" s="1"/>
  <c r="AC50"/>
  <c r="AD49"/>
  <c r="AH49" s="1"/>
  <c r="AC49"/>
  <c r="AO48"/>
  <c r="AM48" s="1"/>
  <c r="AD48"/>
  <c r="AC48"/>
  <c r="AG48" s="1"/>
  <c r="V48"/>
  <c r="AO47"/>
  <c r="AM47" s="1"/>
  <c r="AD47"/>
  <c r="AC47"/>
  <c r="V47"/>
  <c r="AO46"/>
  <c r="AM46" s="1"/>
  <c r="AD46"/>
  <c r="AC46"/>
  <c r="V46"/>
  <c r="AA66" s="1"/>
  <c r="F66" s="1"/>
  <c r="AO45"/>
  <c r="AM45"/>
  <c r="AD45"/>
  <c r="AC45"/>
  <c r="V45"/>
  <c r="Z64" s="1"/>
  <c r="D64" s="1"/>
  <c r="F70" s="1"/>
  <c r="D77" s="1"/>
  <c r="D82" s="1"/>
  <c r="E92" s="1"/>
  <c r="AD44"/>
  <c r="AC44"/>
  <c r="AD43"/>
  <c r="AH43" s="1"/>
  <c r="AC43"/>
  <c r="AL43" s="1"/>
  <c r="AO42"/>
  <c r="AM42" s="1"/>
  <c r="AD42"/>
  <c r="AC42"/>
  <c r="V42"/>
  <c r="AA63" s="1"/>
  <c r="F63" s="1"/>
  <c r="AO41"/>
  <c r="AM41" s="1"/>
  <c r="AD41"/>
  <c r="AC41"/>
  <c r="V41"/>
  <c r="AO40"/>
  <c r="AM40" s="1"/>
  <c r="AD40"/>
  <c r="AC40"/>
  <c r="V40"/>
  <c r="AO39"/>
  <c r="AM39" s="1"/>
  <c r="AD39"/>
  <c r="AC39"/>
  <c r="V39"/>
  <c r="Z65" s="1"/>
  <c r="D65" s="1"/>
  <c r="D72" s="1"/>
  <c r="D78" s="1"/>
  <c r="F82" s="1"/>
  <c r="E91" s="1"/>
  <c r="AD38"/>
  <c r="AC38"/>
  <c r="AD37"/>
  <c r="AH37" s="1"/>
  <c r="AC37"/>
  <c r="AO36"/>
  <c r="AM36" s="1"/>
  <c r="AD36"/>
  <c r="AC36"/>
  <c r="V36"/>
  <c r="AO35"/>
  <c r="AM35" s="1"/>
  <c r="AD35"/>
  <c r="AC35"/>
  <c r="V35"/>
  <c r="Z63" s="1"/>
  <c r="D63" s="1"/>
  <c r="D70" s="1"/>
  <c r="AO34"/>
  <c r="AM34" s="1"/>
  <c r="AD34"/>
  <c r="AC34"/>
  <c r="V34"/>
  <c r="AA65" s="1"/>
  <c r="F65" s="1"/>
  <c r="AO33"/>
  <c r="AM33"/>
  <c r="AD33"/>
  <c r="AC33"/>
  <c r="V33"/>
  <c r="AD32"/>
  <c r="AC32"/>
  <c r="AD31"/>
  <c r="AH31" s="1"/>
  <c r="AC31"/>
  <c r="AO30"/>
  <c r="AM30" s="1"/>
  <c r="AD30"/>
  <c r="AC30"/>
  <c r="V30"/>
  <c r="AA60" s="1"/>
  <c r="F60" s="1"/>
  <c r="F71" s="1"/>
  <c r="AO29"/>
  <c r="AM29" s="1"/>
  <c r="AD29"/>
  <c r="AC29"/>
  <c r="V29"/>
  <c r="Z62" s="1"/>
  <c r="D62" s="1"/>
  <c r="F73" s="1"/>
  <c r="AO28"/>
  <c r="AM28" s="1"/>
  <c r="AD28"/>
  <c r="AC28"/>
  <c r="V28"/>
  <c r="AO27"/>
  <c r="AM27" s="1"/>
  <c r="AD27"/>
  <c r="AC27"/>
  <c r="V27"/>
  <c r="AD26"/>
  <c r="AC26"/>
  <c r="AD25"/>
  <c r="AH25" s="1"/>
  <c r="AC25"/>
  <c r="AO24"/>
  <c r="AM24" s="1"/>
  <c r="AD24"/>
  <c r="AC24"/>
  <c r="V24"/>
  <c r="AA62" s="1"/>
  <c r="F62" s="1"/>
  <c r="AO23"/>
  <c r="AM23" s="1"/>
  <c r="AD23"/>
  <c r="AC23"/>
  <c r="V23"/>
  <c r="AO22"/>
  <c r="AM22" s="1"/>
  <c r="AD22"/>
  <c r="AC22"/>
  <c r="V22"/>
  <c r="AO21"/>
  <c r="AM21" s="1"/>
  <c r="AD21"/>
  <c r="AC21"/>
  <c r="V21"/>
  <c r="Z60" s="1"/>
  <c r="D60" s="1"/>
  <c r="AD20"/>
  <c r="AC20"/>
  <c r="AD19"/>
  <c r="AH19" s="1"/>
  <c r="AC19"/>
  <c r="AL19" s="1"/>
  <c r="AO18"/>
  <c r="AM18" s="1"/>
  <c r="AD18"/>
  <c r="AC18"/>
  <c r="V18"/>
  <c r="AO17"/>
  <c r="AM17" s="1"/>
  <c r="AD17"/>
  <c r="AC17"/>
  <c r="V17"/>
  <c r="AO16"/>
  <c r="AM16" s="1"/>
  <c r="AD16"/>
  <c r="AC16"/>
  <c r="V16"/>
  <c r="Z61" s="1"/>
  <c r="D61" s="1"/>
  <c r="D73" s="1"/>
  <c r="F78" s="1"/>
  <c r="F86" s="1"/>
  <c r="E89" s="1"/>
  <c r="AO15"/>
  <c r="AM15" s="1"/>
  <c r="AD15"/>
  <c r="AC15"/>
  <c r="V15"/>
  <c r="AA59" s="1"/>
  <c r="F59" s="1"/>
  <c r="AD14"/>
  <c r="AC14"/>
  <c r="AD13"/>
  <c r="AH13" s="1"/>
  <c r="AC13"/>
  <c r="AL13" s="1"/>
  <c r="AO12"/>
  <c r="AM12" s="1"/>
  <c r="AD12"/>
  <c r="AC12"/>
  <c r="V12"/>
  <c r="AO11"/>
  <c r="AM11" s="1"/>
  <c r="AD11"/>
  <c r="AC11"/>
  <c r="V11"/>
  <c r="AO10"/>
  <c r="AM10" s="1"/>
  <c r="AD10"/>
  <c r="AC10"/>
  <c r="V10"/>
  <c r="AA61" s="1"/>
  <c r="F61" s="1"/>
  <c r="AO9"/>
  <c r="AM9" s="1"/>
  <c r="AD9"/>
  <c r="AC9"/>
  <c r="AG9" s="1"/>
  <c r="V9"/>
  <c r="Z59" s="1"/>
  <c r="D59" s="1"/>
  <c r="D71" s="1"/>
  <c r="F77" s="1"/>
  <c r="D86" s="1"/>
  <c r="E90" s="1"/>
  <c r="AD8"/>
  <c r="AC8"/>
  <c r="N3"/>
  <c r="C59" i="22" s="1"/>
  <c r="X98" i="51"/>
  <c r="X97"/>
  <c r="X96"/>
  <c r="X95"/>
  <c r="X94"/>
  <c r="X93"/>
  <c r="X92"/>
  <c r="E92"/>
  <c r="X91"/>
  <c r="E91"/>
  <c r="X90"/>
  <c r="E90"/>
  <c r="X89"/>
  <c r="E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C77"/>
  <c r="X77"/>
  <c r="X76"/>
  <c r="X75"/>
  <c r="X74"/>
  <c r="AD73"/>
  <c r="AC73"/>
  <c r="X73"/>
  <c r="AD72"/>
  <c r="AH72" s="1"/>
  <c r="AC72"/>
  <c r="X72"/>
  <c r="AD71"/>
  <c r="AC71"/>
  <c r="X71"/>
  <c r="AD70"/>
  <c r="AH70" s="1"/>
  <c r="AC70"/>
  <c r="X70"/>
  <c r="X69"/>
  <c r="AZ68"/>
  <c r="X68"/>
  <c r="AZ67"/>
  <c r="X67"/>
  <c r="AZ66"/>
  <c r="AD66"/>
  <c r="AC66"/>
  <c r="X66"/>
  <c r="AZ65"/>
  <c r="AD65"/>
  <c r="AC65"/>
  <c r="X65"/>
  <c r="AZ64"/>
  <c r="AD64"/>
  <c r="AC64"/>
  <c r="X64"/>
  <c r="AZ63"/>
  <c r="AD63"/>
  <c r="AC63"/>
  <c r="X63"/>
  <c r="AZ62"/>
  <c r="AD62"/>
  <c r="AC62"/>
  <c r="X62"/>
  <c r="AZ61"/>
  <c r="AD61"/>
  <c r="AC61"/>
  <c r="X61"/>
  <c r="AZ60"/>
  <c r="AD60"/>
  <c r="AC60"/>
  <c r="Z60"/>
  <c r="X60"/>
  <c r="AZ59"/>
  <c r="AD59"/>
  <c r="AC59"/>
  <c r="AA59"/>
  <c r="X59"/>
  <c r="AZ58"/>
  <c r="BA67" s="1"/>
  <c r="BB67" s="1"/>
  <c r="AA58"/>
  <c r="Z58"/>
  <c r="X58"/>
  <c r="AD55"/>
  <c r="AH55" s="1"/>
  <c r="AC55"/>
  <c r="AO54"/>
  <c r="AM54" s="1"/>
  <c r="AD54"/>
  <c r="AC54"/>
  <c r="V54"/>
  <c r="AO53"/>
  <c r="AM53" s="1"/>
  <c r="AD53"/>
  <c r="AC53"/>
  <c r="AL53" s="1"/>
  <c r="V53"/>
  <c r="AO52"/>
  <c r="AM52" s="1"/>
  <c r="AD52"/>
  <c r="AC52"/>
  <c r="V52"/>
  <c r="Z66" s="1"/>
  <c r="AO51"/>
  <c r="AM51" s="1"/>
  <c r="AD51"/>
  <c r="AC51"/>
  <c r="V51"/>
  <c r="AA64" s="1"/>
  <c r="AD50"/>
  <c r="AC50"/>
  <c r="AD49"/>
  <c r="AH49" s="1"/>
  <c r="AC49"/>
  <c r="AO48"/>
  <c r="AM48" s="1"/>
  <c r="AD48"/>
  <c r="AC48"/>
  <c r="V48"/>
  <c r="AO47"/>
  <c r="AM47" s="1"/>
  <c r="AD47"/>
  <c r="AC47"/>
  <c r="V47"/>
  <c r="AO46"/>
  <c r="AM46" s="1"/>
  <c r="AD46"/>
  <c r="AC46"/>
  <c r="V46"/>
  <c r="AA66" s="1"/>
  <c r="AO45"/>
  <c r="AM45" s="1"/>
  <c r="AD45"/>
  <c r="AC45"/>
  <c r="V45"/>
  <c r="Z64" s="1"/>
  <c r="AD44"/>
  <c r="AC44"/>
  <c r="AD43"/>
  <c r="AH43" s="1"/>
  <c r="AC43"/>
  <c r="AO42"/>
  <c r="AM42" s="1"/>
  <c r="AD42"/>
  <c r="AC42"/>
  <c r="V42"/>
  <c r="AA63" s="1"/>
  <c r="AO41"/>
  <c r="AM41" s="1"/>
  <c r="AD41"/>
  <c r="AC41"/>
  <c r="V41"/>
  <c r="AO40"/>
  <c r="AM40" s="1"/>
  <c r="AD40"/>
  <c r="AC40"/>
  <c r="V40"/>
  <c r="AO39"/>
  <c r="AM39" s="1"/>
  <c r="AD39"/>
  <c r="AC39"/>
  <c r="V39"/>
  <c r="Z65" s="1"/>
  <c r="AD38"/>
  <c r="AC38"/>
  <c r="AD37"/>
  <c r="AH37" s="1"/>
  <c r="AC37"/>
  <c r="AO36"/>
  <c r="AM36" s="1"/>
  <c r="AD36"/>
  <c r="AC36"/>
  <c r="V36"/>
  <c r="AO35"/>
  <c r="AM35" s="1"/>
  <c r="AD35"/>
  <c r="AC35"/>
  <c r="V35"/>
  <c r="AA65" s="1"/>
  <c r="AO34"/>
  <c r="AM34" s="1"/>
  <c r="AD34"/>
  <c r="AC34"/>
  <c r="V34"/>
  <c r="Z63" s="1"/>
  <c r="AO33"/>
  <c r="AM33" s="1"/>
  <c r="AD33"/>
  <c r="AC33"/>
  <c r="AL33" s="1"/>
  <c r="V33"/>
  <c r="AD32"/>
  <c r="AC32"/>
  <c r="AD31"/>
  <c r="AH31" s="1"/>
  <c r="AC31"/>
  <c r="AO30"/>
  <c r="AM30" s="1"/>
  <c r="AD30"/>
  <c r="AC30"/>
  <c r="V30"/>
  <c r="Z62" s="1"/>
  <c r="AO29"/>
  <c r="AM29" s="1"/>
  <c r="AD29"/>
  <c r="AC29"/>
  <c r="V29"/>
  <c r="AO28"/>
  <c r="AM28" s="1"/>
  <c r="AD28"/>
  <c r="AC28"/>
  <c r="V28"/>
  <c r="AO27"/>
  <c r="AM27" s="1"/>
  <c r="AD27"/>
  <c r="AC27"/>
  <c r="V27"/>
  <c r="AA60" s="1"/>
  <c r="AD26"/>
  <c r="AC26"/>
  <c r="AD25"/>
  <c r="AH25" s="1"/>
  <c r="AC25"/>
  <c r="AO24"/>
  <c r="AM24" s="1"/>
  <c r="AD24"/>
  <c r="AC24"/>
  <c r="V24"/>
  <c r="AO23"/>
  <c r="AM23" s="1"/>
  <c r="AD23"/>
  <c r="AC23"/>
  <c r="V23"/>
  <c r="AA62" s="1"/>
  <c r="AO22"/>
  <c r="AM22" s="1"/>
  <c r="AD22"/>
  <c r="AC22"/>
  <c r="V22"/>
  <c r="AO21"/>
  <c r="AM21" s="1"/>
  <c r="AD21"/>
  <c r="AC21"/>
  <c r="V21"/>
  <c r="AD20"/>
  <c r="AC20"/>
  <c r="AD19"/>
  <c r="AH19" s="1"/>
  <c r="AC19"/>
  <c r="AO18"/>
  <c r="AM18" s="1"/>
  <c r="AD18"/>
  <c r="AC18"/>
  <c r="V18"/>
  <c r="AO17"/>
  <c r="AM17" s="1"/>
  <c r="AD17"/>
  <c r="AC17"/>
  <c r="V17"/>
  <c r="AO16"/>
  <c r="AM16" s="1"/>
  <c r="AD16"/>
  <c r="AC16"/>
  <c r="V16"/>
  <c r="AO15"/>
  <c r="AM15" s="1"/>
  <c r="AD15"/>
  <c r="AC15"/>
  <c r="V15"/>
  <c r="Z61" s="1"/>
  <c r="AD14"/>
  <c r="AC14"/>
  <c r="AD13"/>
  <c r="AH13" s="1"/>
  <c r="AC13"/>
  <c r="AO12"/>
  <c r="AM12" s="1"/>
  <c r="AD12"/>
  <c r="AC12"/>
  <c r="V12"/>
  <c r="AO11"/>
  <c r="AM11" s="1"/>
  <c r="AD11"/>
  <c r="AC11"/>
  <c r="V11"/>
  <c r="AA61" s="1"/>
  <c r="AO10"/>
  <c r="AM10" s="1"/>
  <c r="AD10"/>
  <c r="AC10"/>
  <c r="V10"/>
  <c r="AO9"/>
  <c r="AM9" s="1"/>
  <c r="AD9"/>
  <c r="AC9"/>
  <c r="AG9" s="1"/>
  <c r="V9"/>
  <c r="Z59" s="1"/>
  <c r="AD8"/>
  <c r="AC8"/>
  <c r="N3"/>
  <c r="C96" i="22" s="1"/>
  <c r="X98" i="50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C77"/>
  <c r="X77"/>
  <c r="X76"/>
  <c r="X75"/>
  <c r="X74"/>
  <c r="AD73"/>
  <c r="AC73"/>
  <c r="X73"/>
  <c r="AD72"/>
  <c r="AH72" s="1"/>
  <c r="AC72"/>
  <c r="AL72" s="1"/>
  <c r="X72"/>
  <c r="AD71"/>
  <c r="AC71"/>
  <c r="X71"/>
  <c r="AD70"/>
  <c r="AH70" s="1"/>
  <c r="AC70"/>
  <c r="X70"/>
  <c r="X69"/>
  <c r="AZ68"/>
  <c r="X68"/>
  <c r="AZ67"/>
  <c r="X67"/>
  <c r="AZ66"/>
  <c r="AD66"/>
  <c r="AC66"/>
  <c r="X66"/>
  <c r="AZ65"/>
  <c r="AD65"/>
  <c r="AC65"/>
  <c r="X65"/>
  <c r="AZ64"/>
  <c r="AD64"/>
  <c r="AC64"/>
  <c r="AL64" s="1"/>
  <c r="X64"/>
  <c r="AZ63"/>
  <c r="AD63"/>
  <c r="AC63"/>
  <c r="X63"/>
  <c r="AZ62"/>
  <c r="AD62"/>
  <c r="AC62"/>
  <c r="X62"/>
  <c r="AZ61"/>
  <c r="AD61"/>
  <c r="AC61"/>
  <c r="X61"/>
  <c r="AZ60"/>
  <c r="AD60"/>
  <c r="AC60"/>
  <c r="X60"/>
  <c r="AZ59"/>
  <c r="AD59"/>
  <c r="AC59"/>
  <c r="X59"/>
  <c r="AZ58"/>
  <c r="BA67" s="1"/>
  <c r="BB67" s="1"/>
  <c r="AA58"/>
  <c r="Z58"/>
  <c r="X58"/>
  <c r="AD55"/>
  <c r="AH55" s="1"/>
  <c r="AC55"/>
  <c r="AL55" s="1"/>
  <c r="AO54"/>
  <c r="AM54" s="1"/>
  <c r="AD54"/>
  <c r="AC54"/>
  <c r="V54"/>
  <c r="AO53"/>
  <c r="AM53" s="1"/>
  <c r="AD53"/>
  <c r="AK53" s="1"/>
  <c r="AC53"/>
  <c r="V53"/>
  <c r="AO52"/>
  <c r="AM52" s="1"/>
  <c r="AD52"/>
  <c r="AC52"/>
  <c r="V52"/>
  <c r="AA64" s="1"/>
  <c r="F64" s="1"/>
  <c r="F70" s="1"/>
  <c r="AO51"/>
  <c r="AM51" s="1"/>
  <c r="AD51"/>
  <c r="AC51"/>
  <c r="V51"/>
  <c r="Z66" s="1"/>
  <c r="D66" s="1"/>
  <c r="AD50"/>
  <c r="AC50"/>
  <c r="AD49"/>
  <c r="AH49" s="1"/>
  <c r="AC49"/>
  <c r="AO48"/>
  <c r="AM48" s="1"/>
  <c r="AD48"/>
  <c r="AC48"/>
  <c r="V48"/>
  <c r="AO47"/>
  <c r="AM47" s="1"/>
  <c r="AD47"/>
  <c r="AC47"/>
  <c r="V47"/>
  <c r="AO46"/>
  <c r="AM46" s="1"/>
  <c r="AD46"/>
  <c r="AC46"/>
  <c r="V46"/>
  <c r="AA66" s="1"/>
  <c r="F66" s="1"/>
  <c r="F72" s="1"/>
  <c r="AO45"/>
  <c r="AM45" s="1"/>
  <c r="AD45"/>
  <c r="AH45" s="1"/>
  <c r="AC45"/>
  <c r="AG45" s="1"/>
  <c r="V45"/>
  <c r="Z64" s="1"/>
  <c r="D64" s="1"/>
  <c r="AD44"/>
  <c r="AH44" s="1"/>
  <c r="AC44"/>
  <c r="AD43"/>
  <c r="AH43" s="1"/>
  <c r="AC43"/>
  <c r="AO42"/>
  <c r="AM42" s="1"/>
  <c r="AD42"/>
  <c r="AH42" s="1"/>
  <c r="AC42"/>
  <c r="V42"/>
  <c r="AA63" s="1"/>
  <c r="F63" s="1"/>
  <c r="AO41"/>
  <c r="AM41" s="1"/>
  <c r="AD41"/>
  <c r="AH41" s="1"/>
  <c r="AC41"/>
  <c r="AG41" s="1"/>
  <c r="V41"/>
  <c r="AO40"/>
  <c r="AM40" s="1"/>
  <c r="AD40"/>
  <c r="AH40" s="1"/>
  <c r="AC40"/>
  <c r="V40"/>
  <c r="AO39"/>
  <c r="AM39" s="1"/>
  <c r="AD39"/>
  <c r="AH39" s="1"/>
  <c r="AC39"/>
  <c r="AG39" s="1"/>
  <c r="V39"/>
  <c r="Z65" s="1"/>
  <c r="D65" s="1"/>
  <c r="D72" s="1"/>
  <c r="D78" s="1"/>
  <c r="F82" s="1"/>
  <c r="E92" s="1"/>
  <c r="AD38"/>
  <c r="AH38" s="1"/>
  <c r="AC38"/>
  <c r="AD37"/>
  <c r="AH37" s="1"/>
  <c r="AC37"/>
  <c r="AL37" s="1"/>
  <c r="AO36"/>
  <c r="AM36" s="1"/>
  <c r="AD36"/>
  <c r="AH36" s="1"/>
  <c r="AC36"/>
  <c r="V36"/>
  <c r="AO35"/>
  <c r="AM35" s="1"/>
  <c r="AD35"/>
  <c r="AH35" s="1"/>
  <c r="AC35"/>
  <c r="AG35" s="1"/>
  <c r="V35"/>
  <c r="AA65" s="1"/>
  <c r="F65" s="1"/>
  <c r="AO34"/>
  <c r="AM34" s="1"/>
  <c r="AD34"/>
  <c r="AH34" s="1"/>
  <c r="AC34"/>
  <c r="V34"/>
  <c r="AO33"/>
  <c r="AM33" s="1"/>
  <c r="AD33"/>
  <c r="AH33" s="1"/>
  <c r="AC33"/>
  <c r="AG33" s="1"/>
  <c r="V33"/>
  <c r="Z63" s="1"/>
  <c r="D63" s="1"/>
  <c r="D70" s="1"/>
  <c r="D77" s="1"/>
  <c r="D86" s="1"/>
  <c r="E90" s="1"/>
  <c r="AD32"/>
  <c r="AH32" s="1"/>
  <c r="AC32"/>
  <c r="AL32" s="1"/>
  <c r="AD31"/>
  <c r="AH31" s="1"/>
  <c r="AC31"/>
  <c r="AO30"/>
  <c r="AM30" s="1"/>
  <c r="AD30"/>
  <c r="AH30" s="1"/>
  <c r="AC30"/>
  <c r="V30"/>
  <c r="AA60" s="1"/>
  <c r="F60" s="1"/>
  <c r="F71" s="1"/>
  <c r="F77" s="1"/>
  <c r="D82" s="1"/>
  <c r="E91" s="1"/>
  <c r="AO29"/>
  <c r="AM29" s="1"/>
  <c r="AD29"/>
  <c r="AH29" s="1"/>
  <c r="AC29"/>
  <c r="AG29" s="1"/>
  <c r="V29"/>
  <c r="Z62" s="1"/>
  <c r="D62" s="1"/>
  <c r="AO28"/>
  <c r="AM28" s="1"/>
  <c r="AD28"/>
  <c r="AH28" s="1"/>
  <c r="AC28"/>
  <c r="V28"/>
  <c r="AO27"/>
  <c r="AM27" s="1"/>
  <c r="AD27"/>
  <c r="AH27" s="1"/>
  <c r="AC27"/>
  <c r="AG27" s="1"/>
  <c r="V27"/>
  <c r="AD26"/>
  <c r="AH26" s="1"/>
  <c r="AC26"/>
  <c r="AD25"/>
  <c r="AH25" s="1"/>
  <c r="AC25"/>
  <c r="AO24"/>
  <c r="AM24" s="1"/>
  <c r="AD24"/>
  <c r="AH24" s="1"/>
  <c r="AC24"/>
  <c r="V24"/>
  <c r="AA62" s="1"/>
  <c r="F62" s="1"/>
  <c r="F73" s="1"/>
  <c r="F78" s="1"/>
  <c r="F86" s="1"/>
  <c r="E89" s="1"/>
  <c r="AO23"/>
  <c r="AM23" s="1"/>
  <c r="AD23"/>
  <c r="AH23" s="1"/>
  <c r="AC23"/>
  <c r="AG23" s="1"/>
  <c r="V23"/>
  <c r="AO22"/>
  <c r="AM22" s="1"/>
  <c r="AD22"/>
  <c r="AH22" s="1"/>
  <c r="AC22"/>
  <c r="V22"/>
  <c r="Z60" s="1"/>
  <c r="D60" s="1"/>
  <c r="AO21"/>
  <c r="AM21" s="1"/>
  <c r="AD21"/>
  <c r="AH21" s="1"/>
  <c r="AC21"/>
  <c r="AG21" s="1"/>
  <c r="V21"/>
  <c r="AD20"/>
  <c r="AH20" s="1"/>
  <c r="AC20"/>
  <c r="AD19"/>
  <c r="AH19" s="1"/>
  <c r="AC19"/>
  <c r="AO18"/>
  <c r="AM18" s="1"/>
  <c r="AD18"/>
  <c r="AH18" s="1"/>
  <c r="AC18"/>
  <c r="V18"/>
  <c r="AO17"/>
  <c r="AM17" s="1"/>
  <c r="AD17"/>
  <c r="AH17" s="1"/>
  <c r="AC17"/>
  <c r="AG17" s="1"/>
  <c r="V17"/>
  <c r="AO16"/>
  <c r="AM16" s="1"/>
  <c r="AD16"/>
  <c r="AH16" s="1"/>
  <c r="AC16"/>
  <c r="V16"/>
  <c r="Z61" s="1"/>
  <c r="D61" s="1"/>
  <c r="D73" s="1"/>
  <c r="AO15"/>
  <c r="AM15" s="1"/>
  <c r="AD15"/>
  <c r="AH15" s="1"/>
  <c r="AC15"/>
  <c r="AG15" s="1"/>
  <c r="V15"/>
  <c r="AA59" s="1"/>
  <c r="F59" s="1"/>
  <c r="AD14"/>
  <c r="AH14" s="1"/>
  <c r="AC14"/>
  <c r="AD13"/>
  <c r="AH13" s="1"/>
  <c r="AC13"/>
  <c r="AO12"/>
  <c r="AM12" s="1"/>
  <c r="AD12"/>
  <c r="AH12" s="1"/>
  <c r="AC12"/>
  <c r="V12"/>
  <c r="AO11"/>
  <c r="AM11" s="1"/>
  <c r="AD11"/>
  <c r="AH11" s="1"/>
  <c r="AC11"/>
  <c r="AG11" s="1"/>
  <c r="V11"/>
  <c r="AA61" s="1"/>
  <c r="F61" s="1"/>
  <c r="AO10"/>
  <c r="AM10" s="1"/>
  <c r="AD10"/>
  <c r="AH10" s="1"/>
  <c r="AC10"/>
  <c r="V10"/>
  <c r="AO9"/>
  <c r="AM9" s="1"/>
  <c r="AD9"/>
  <c r="AH9" s="1"/>
  <c r="AC9"/>
  <c r="AG9" s="1"/>
  <c r="V9"/>
  <c r="Z59" s="1"/>
  <c r="D59" s="1"/>
  <c r="D71" s="1"/>
  <c r="AD8"/>
  <c r="AH8" s="1"/>
  <c r="AC8"/>
  <c r="N3"/>
  <c r="C55" i="22" s="1"/>
  <c r="X98" i="49"/>
  <c r="X97"/>
  <c r="X96"/>
  <c r="X95"/>
  <c r="X94"/>
  <c r="X93"/>
  <c r="X92"/>
  <c r="X91"/>
  <c r="X90"/>
  <c r="X89"/>
  <c r="X88"/>
  <c r="X87"/>
  <c r="AD86"/>
  <c r="AC86"/>
  <c r="AG86" s="1"/>
  <c r="X86"/>
  <c r="X85"/>
  <c r="X84"/>
  <c r="X83"/>
  <c r="AD82"/>
  <c r="AC82"/>
  <c r="X82"/>
  <c r="X81"/>
  <c r="X80"/>
  <c r="X79"/>
  <c r="AD78"/>
  <c r="AC78"/>
  <c r="X78"/>
  <c r="AD77"/>
  <c r="AH77" s="1"/>
  <c r="AC77"/>
  <c r="X77"/>
  <c r="X76"/>
  <c r="X75"/>
  <c r="X74"/>
  <c r="AD73"/>
  <c r="AH73" s="1"/>
  <c r="AC73"/>
  <c r="X73"/>
  <c r="AD72"/>
  <c r="AC72"/>
  <c r="X72"/>
  <c r="AD71"/>
  <c r="AH71" s="1"/>
  <c r="AC71"/>
  <c r="AL71" s="1"/>
  <c r="X71"/>
  <c r="AD70"/>
  <c r="AC70"/>
  <c r="X70"/>
  <c r="X69"/>
  <c r="AZ68"/>
  <c r="X68"/>
  <c r="AZ67"/>
  <c r="X67"/>
  <c r="AZ66"/>
  <c r="AD66"/>
  <c r="AH66" s="1"/>
  <c r="AC66"/>
  <c r="X66"/>
  <c r="AZ65"/>
  <c r="AD65"/>
  <c r="AH65" s="1"/>
  <c r="AC65"/>
  <c r="X65"/>
  <c r="AZ64"/>
  <c r="AD64"/>
  <c r="AH64" s="1"/>
  <c r="AC64"/>
  <c r="X64"/>
  <c r="AZ63"/>
  <c r="AD63"/>
  <c r="AH63" s="1"/>
  <c r="AC63"/>
  <c r="X63"/>
  <c r="AZ62"/>
  <c r="AD62"/>
  <c r="AH62" s="1"/>
  <c r="AC62"/>
  <c r="X62"/>
  <c r="AZ61"/>
  <c r="AD61"/>
  <c r="AH61" s="1"/>
  <c r="AC61"/>
  <c r="X61"/>
  <c r="AZ60"/>
  <c r="AD60"/>
  <c r="AH60" s="1"/>
  <c r="AC60"/>
  <c r="X60"/>
  <c r="AZ59"/>
  <c r="AD59"/>
  <c r="AH59" s="1"/>
  <c r="AC59"/>
  <c r="X59"/>
  <c r="AZ58"/>
  <c r="BA67" s="1"/>
  <c r="BB67" s="1"/>
  <c r="AA58"/>
  <c r="Z58"/>
  <c r="X58"/>
  <c r="AD55"/>
  <c r="AC55"/>
  <c r="AO54"/>
  <c r="AM54" s="1"/>
  <c r="AD54"/>
  <c r="AH54" s="1"/>
  <c r="AC54"/>
  <c r="V54"/>
  <c r="AO53"/>
  <c r="AM53" s="1"/>
  <c r="AD53"/>
  <c r="AH53" s="1"/>
  <c r="AC53"/>
  <c r="V53"/>
  <c r="AA64" s="1"/>
  <c r="F64" s="1"/>
  <c r="AO52"/>
  <c r="AM52" s="1"/>
  <c r="AD52"/>
  <c r="AH52" s="1"/>
  <c r="AC52"/>
  <c r="AL52" s="1"/>
  <c r="V52"/>
  <c r="AO51"/>
  <c r="AM51" s="1"/>
  <c r="AD51"/>
  <c r="AH51" s="1"/>
  <c r="AC51"/>
  <c r="V51"/>
  <c r="Z66" s="1"/>
  <c r="D66" s="1"/>
  <c r="F72" s="1"/>
  <c r="AD50"/>
  <c r="AH50" s="1"/>
  <c r="AC50"/>
  <c r="AD49"/>
  <c r="AC49"/>
  <c r="AO48"/>
  <c r="AM48" s="1"/>
  <c r="AD48"/>
  <c r="AH48" s="1"/>
  <c r="AC48"/>
  <c r="V48"/>
  <c r="AO47"/>
  <c r="AM47" s="1"/>
  <c r="AD47"/>
  <c r="AH47" s="1"/>
  <c r="AC47"/>
  <c r="V47"/>
  <c r="AO46"/>
  <c r="AM46" s="1"/>
  <c r="AD46"/>
  <c r="AH46" s="1"/>
  <c r="AC46"/>
  <c r="AL46" s="1"/>
  <c r="V46"/>
  <c r="AA66" s="1"/>
  <c r="F66" s="1"/>
  <c r="AO45"/>
  <c r="AM45" s="1"/>
  <c r="AD45"/>
  <c r="AH45" s="1"/>
  <c r="AC45"/>
  <c r="V45"/>
  <c r="Z64" s="1"/>
  <c r="D64" s="1"/>
  <c r="F70" s="1"/>
  <c r="D77" s="1"/>
  <c r="D82" s="1"/>
  <c r="E92" s="1"/>
  <c r="AD44"/>
  <c r="AH44" s="1"/>
  <c r="AC44"/>
  <c r="AD43"/>
  <c r="AC43"/>
  <c r="AO42"/>
  <c r="AM42" s="1"/>
  <c r="AD42"/>
  <c r="AH42" s="1"/>
  <c r="AC42"/>
  <c r="V42"/>
  <c r="AO41"/>
  <c r="AM41" s="1"/>
  <c r="AD41"/>
  <c r="AH41" s="1"/>
  <c r="AC41"/>
  <c r="V41"/>
  <c r="AO40"/>
  <c r="AM40" s="1"/>
  <c r="AD40"/>
  <c r="AH40" s="1"/>
  <c r="AC40"/>
  <c r="AL40" s="1"/>
  <c r="V40"/>
  <c r="AA63" s="1"/>
  <c r="F63" s="1"/>
  <c r="AO39"/>
  <c r="AM39" s="1"/>
  <c r="AD39"/>
  <c r="AH39" s="1"/>
  <c r="AC39"/>
  <c r="V39"/>
  <c r="Z65" s="1"/>
  <c r="D65" s="1"/>
  <c r="D72" s="1"/>
  <c r="D78" s="1"/>
  <c r="F82" s="1"/>
  <c r="E91" s="1"/>
  <c r="AD38"/>
  <c r="AH38" s="1"/>
  <c r="AC38"/>
  <c r="AD37"/>
  <c r="AC37"/>
  <c r="AO36"/>
  <c r="AM36" s="1"/>
  <c r="AD36"/>
  <c r="AH36" s="1"/>
  <c r="AC36"/>
  <c r="V36"/>
  <c r="AO35"/>
  <c r="AM35" s="1"/>
  <c r="AD35"/>
  <c r="AH35" s="1"/>
  <c r="AC35"/>
  <c r="V35"/>
  <c r="Z63" s="1"/>
  <c r="D63" s="1"/>
  <c r="D70" s="1"/>
  <c r="AO34"/>
  <c r="AM34" s="1"/>
  <c r="AD34"/>
  <c r="AH34" s="1"/>
  <c r="AC34"/>
  <c r="V34"/>
  <c r="AO33"/>
  <c r="AM33" s="1"/>
  <c r="AD33"/>
  <c r="AH33" s="1"/>
  <c r="AC33"/>
  <c r="V33"/>
  <c r="AA65" s="1"/>
  <c r="F65" s="1"/>
  <c r="AD32"/>
  <c r="AH32" s="1"/>
  <c r="AC32"/>
  <c r="AD31"/>
  <c r="AC31"/>
  <c r="AO30"/>
  <c r="AM30" s="1"/>
  <c r="AD30"/>
  <c r="AH30" s="1"/>
  <c r="AC30"/>
  <c r="V30"/>
  <c r="AA60" s="1"/>
  <c r="F60" s="1"/>
  <c r="F71" s="1"/>
  <c r="AO29"/>
  <c r="AM29" s="1"/>
  <c r="AD29"/>
  <c r="AH29" s="1"/>
  <c r="AC29"/>
  <c r="V29"/>
  <c r="AO28"/>
  <c r="AM28" s="1"/>
  <c r="AD28"/>
  <c r="AH28" s="1"/>
  <c r="AC28"/>
  <c r="V28"/>
  <c r="AO27"/>
  <c r="AM27" s="1"/>
  <c r="AD27"/>
  <c r="AH27" s="1"/>
  <c r="AC27"/>
  <c r="V27"/>
  <c r="Z62" s="1"/>
  <c r="D62" s="1"/>
  <c r="F73" s="1"/>
  <c r="F78" s="1"/>
  <c r="F86" s="1"/>
  <c r="E90" s="1"/>
  <c r="AD26"/>
  <c r="AH26" s="1"/>
  <c r="AC26"/>
  <c r="AD25"/>
  <c r="AC25"/>
  <c r="AO24"/>
  <c r="AM24" s="1"/>
  <c r="AD24"/>
  <c r="AH24" s="1"/>
  <c r="AC24"/>
  <c r="V24"/>
  <c r="AO23"/>
  <c r="AM23" s="1"/>
  <c r="AD23"/>
  <c r="AH23" s="1"/>
  <c r="AC23"/>
  <c r="V23"/>
  <c r="AA62" s="1"/>
  <c r="F62" s="1"/>
  <c r="AO22"/>
  <c r="AM22" s="1"/>
  <c r="AD22"/>
  <c r="AH22" s="1"/>
  <c r="AC22"/>
  <c r="V22"/>
  <c r="AO21"/>
  <c r="AM21" s="1"/>
  <c r="AD21"/>
  <c r="AH21" s="1"/>
  <c r="AC21"/>
  <c r="V21"/>
  <c r="Z60" s="1"/>
  <c r="D60" s="1"/>
  <c r="AD20"/>
  <c r="AH20" s="1"/>
  <c r="AC20"/>
  <c r="AD19"/>
  <c r="AC19"/>
  <c r="AO18"/>
  <c r="AM18" s="1"/>
  <c r="AD18"/>
  <c r="AH18" s="1"/>
  <c r="AC18"/>
  <c r="V18"/>
  <c r="AO17"/>
  <c r="AM17" s="1"/>
  <c r="AD17"/>
  <c r="AH17" s="1"/>
  <c r="AC17"/>
  <c r="V17"/>
  <c r="AA59" s="1"/>
  <c r="F59" s="1"/>
  <c r="AO16"/>
  <c r="AM16" s="1"/>
  <c r="AD16"/>
  <c r="AH16" s="1"/>
  <c r="AC16"/>
  <c r="V16"/>
  <c r="AO15"/>
  <c r="AM15" s="1"/>
  <c r="AD15"/>
  <c r="AH15" s="1"/>
  <c r="AC15"/>
  <c r="V15"/>
  <c r="Z61" s="1"/>
  <c r="D61" s="1"/>
  <c r="D73" s="1"/>
  <c r="AD14"/>
  <c r="AH14" s="1"/>
  <c r="AC14"/>
  <c r="AD13"/>
  <c r="AC13"/>
  <c r="AO12"/>
  <c r="AM12" s="1"/>
  <c r="AD12"/>
  <c r="AH12" s="1"/>
  <c r="AC12"/>
  <c r="V12"/>
  <c r="AO11"/>
  <c r="AM11" s="1"/>
  <c r="AD11"/>
  <c r="AH11" s="1"/>
  <c r="AC11"/>
  <c r="V11"/>
  <c r="AA61" s="1"/>
  <c r="F61" s="1"/>
  <c r="AO10"/>
  <c r="AM10" s="1"/>
  <c r="AD10"/>
  <c r="AH10" s="1"/>
  <c r="AC10"/>
  <c r="V10"/>
  <c r="AO9"/>
  <c r="AM9" s="1"/>
  <c r="AD9"/>
  <c r="AH9" s="1"/>
  <c r="AC9"/>
  <c r="AG9" s="1"/>
  <c r="V9"/>
  <c r="Z59" s="1"/>
  <c r="D59" s="1"/>
  <c r="D71" s="1"/>
  <c r="F77" s="1"/>
  <c r="D86" s="1"/>
  <c r="E89" s="1"/>
  <c r="AD8"/>
  <c r="AH8" s="1"/>
  <c r="AC8"/>
  <c r="N3"/>
  <c r="C20" i="22" s="1"/>
  <c r="X98" i="48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X77"/>
  <c r="X76"/>
  <c r="X75"/>
  <c r="X74"/>
  <c r="AD73"/>
  <c r="AH73" s="1"/>
  <c r="AC73"/>
  <c r="X73"/>
  <c r="AD72"/>
  <c r="AH72" s="1"/>
  <c r="AC72"/>
  <c r="X72"/>
  <c r="AD71"/>
  <c r="AH71" s="1"/>
  <c r="AC71"/>
  <c r="X71"/>
  <c r="AD70"/>
  <c r="AH70" s="1"/>
  <c r="AC70"/>
  <c r="X70"/>
  <c r="X69"/>
  <c r="AZ68"/>
  <c r="X68"/>
  <c r="AZ67"/>
  <c r="X67"/>
  <c r="AZ66"/>
  <c r="AD66"/>
  <c r="AH66" s="1"/>
  <c r="AC66"/>
  <c r="AA66"/>
  <c r="F66" s="1"/>
  <c r="F72" s="1"/>
  <c r="X66"/>
  <c r="AZ65"/>
  <c r="AD65"/>
  <c r="AH65" s="1"/>
  <c r="AC65"/>
  <c r="Z65"/>
  <c r="D65" s="1"/>
  <c r="D72" s="1"/>
  <c r="D78" s="1"/>
  <c r="F86" s="1"/>
  <c r="E90" s="1"/>
  <c r="X65"/>
  <c r="AZ64"/>
  <c r="AD64"/>
  <c r="AH64" s="1"/>
  <c r="AC64"/>
  <c r="Z64"/>
  <c r="D64" s="1"/>
  <c r="F70" s="1"/>
  <c r="D77" s="1"/>
  <c r="D82" s="1"/>
  <c r="E92" s="1"/>
  <c r="X64"/>
  <c r="AZ63"/>
  <c r="AD63"/>
  <c r="AH63" s="1"/>
  <c r="AC63"/>
  <c r="Z63"/>
  <c r="D63" s="1"/>
  <c r="D70" s="1"/>
  <c r="X63"/>
  <c r="AZ62"/>
  <c r="AH62"/>
  <c r="AD62"/>
  <c r="AC62"/>
  <c r="AL62" s="1"/>
  <c r="Z62"/>
  <c r="D62" s="1"/>
  <c r="X62"/>
  <c r="AZ61"/>
  <c r="AD61"/>
  <c r="AH61" s="1"/>
  <c r="AC61"/>
  <c r="Z61"/>
  <c r="D61" s="1"/>
  <c r="D73" s="1"/>
  <c r="F78" s="1"/>
  <c r="F82" s="1"/>
  <c r="E91" s="1"/>
  <c r="X61"/>
  <c r="AZ60"/>
  <c r="AD60"/>
  <c r="AH60" s="1"/>
  <c r="AC60"/>
  <c r="Z60"/>
  <c r="D60" s="1"/>
  <c r="X60"/>
  <c r="AZ59"/>
  <c r="AD59"/>
  <c r="AH59" s="1"/>
  <c r="AC59"/>
  <c r="Z59"/>
  <c r="D59" s="1"/>
  <c r="D71" s="1"/>
  <c r="F77" s="1"/>
  <c r="D86" s="1"/>
  <c r="E89" s="1"/>
  <c r="X59"/>
  <c r="AZ58"/>
  <c r="BA68" s="1"/>
  <c r="BB68" s="1"/>
  <c r="AA58"/>
  <c r="Z58"/>
  <c r="X58"/>
  <c r="AD55"/>
  <c r="AC55"/>
  <c r="AO54"/>
  <c r="AM54" s="1"/>
  <c r="AD54"/>
  <c r="AH54" s="1"/>
  <c r="AC54"/>
  <c r="V54"/>
  <c r="AA64" s="1"/>
  <c r="F64" s="1"/>
  <c r="AO53"/>
  <c r="AM53" s="1"/>
  <c r="AD53"/>
  <c r="AH53" s="1"/>
  <c r="AC53"/>
  <c r="V53"/>
  <c r="Z66" s="1"/>
  <c r="D66" s="1"/>
  <c r="AO52"/>
  <c r="AM52" s="1"/>
  <c r="AD52"/>
  <c r="AH52" s="1"/>
  <c r="AC52"/>
  <c r="V52"/>
  <c r="AO51"/>
  <c r="AM51" s="1"/>
  <c r="AD51"/>
  <c r="AH51" s="1"/>
  <c r="AC51"/>
  <c r="V51"/>
  <c r="AD50"/>
  <c r="AH50" s="1"/>
  <c r="AC50"/>
  <c r="AD49"/>
  <c r="AH49" s="1"/>
  <c r="AC49"/>
  <c r="AO48"/>
  <c r="AM48" s="1"/>
  <c r="AD48"/>
  <c r="AH48" s="1"/>
  <c r="AC48"/>
  <c r="V48"/>
  <c r="AO47"/>
  <c r="AM47" s="1"/>
  <c r="AD47"/>
  <c r="AH47" s="1"/>
  <c r="AC47"/>
  <c r="V47"/>
  <c r="AO46"/>
  <c r="AM46" s="1"/>
  <c r="AD46"/>
  <c r="AH46" s="1"/>
  <c r="AC46"/>
  <c r="V46"/>
  <c r="AO45"/>
  <c r="AM45" s="1"/>
  <c r="AD45"/>
  <c r="AH45" s="1"/>
  <c r="AC45"/>
  <c r="V45"/>
  <c r="AD44"/>
  <c r="AH44" s="1"/>
  <c r="AC44"/>
  <c r="AD43"/>
  <c r="AH43" s="1"/>
  <c r="AC43"/>
  <c r="AO42"/>
  <c r="AM42" s="1"/>
  <c r="AD42"/>
  <c r="AH42" s="1"/>
  <c r="AC42"/>
  <c r="V42"/>
  <c r="AA63" s="1"/>
  <c r="F63" s="1"/>
  <c r="AO41"/>
  <c r="AM41" s="1"/>
  <c r="AD41"/>
  <c r="AH41" s="1"/>
  <c r="AC41"/>
  <c r="V41"/>
  <c r="AO40"/>
  <c r="AM40" s="1"/>
  <c r="AD40"/>
  <c r="AH40" s="1"/>
  <c r="AC40"/>
  <c r="V40"/>
  <c r="AO39"/>
  <c r="AM39" s="1"/>
  <c r="AD39"/>
  <c r="AH39" s="1"/>
  <c r="AC39"/>
  <c r="V39"/>
  <c r="AD38"/>
  <c r="AH38" s="1"/>
  <c r="AC38"/>
  <c r="AD37"/>
  <c r="AH37" s="1"/>
  <c r="AC37"/>
  <c r="AO36"/>
  <c r="AM36" s="1"/>
  <c r="AD36"/>
  <c r="AH36" s="1"/>
  <c r="AC36"/>
  <c r="V36"/>
  <c r="AO35"/>
  <c r="AM35" s="1"/>
  <c r="AD35"/>
  <c r="AH35" s="1"/>
  <c r="AC35"/>
  <c r="V35"/>
  <c r="AO34"/>
  <c r="AM34" s="1"/>
  <c r="AD34"/>
  <c r="AH34" s="1"/>
  <c r="AC34"/>
  <c r="V34"/>
  <c r="AO33"/>
  <c r="AM33" s="1"/>
  <c r="AD33"/>
  <c r="AH33" s="1"/>
  <c r="AC33"/>
  <c r="V33"/>
  <c r="AA65" s="1"/>
  <c r="F65" s="1"/>
  <c r="AD32"/>
  <c r="AH32" s="1"/>
  <c r="AC32"/>
  <c r="AD31"/>
  <c r="AH31" s="1"/>
  <c r="AC31"/>
  <c r="AO30"/>
  <c r="AM30" s="1"/>
  <c r="AD30"/>
  <c r="AH30" s="1"/>
  <c r="AC30"/>
  <c r="V30"/>
  <c r="AA60" s="1"/>
  <c r="F60" s="1"/>
  <c r="F71" s="1"/>
  <c r="AO29"/>
  <c r="AM29" s="1"/>
  <c r="AD29"/>
  <c r="AH29" s="1"/>
  <c r="AC29"/>
  <c r="V29"/>
  <c r="AO28"/>
  <c r="AM28" s="1"/>
  <c r="AD28"/>
  <c r="AH28" s="1"/>
  <c r="AC28"/>
  <c r="V28"/>
  <c r="AO27"/>
  <c r="AM27" s="1"/>
  <c r="AD27"/>
  <c r="AH27" s="1"/>
  <c r="AC27"/>
  <c r="V27"/>
  <c r="AD26"/>
  <c r="AH26" s="1"/>
  <c r="AC26"/>
  <c r="AD25"/>
  <c r="AH25" s="1"/>
  <c r="AC25"/>
  <c r="AO24"/>
  <c r="AM24" s="1"/>
  <c r="AD24"/>
  <c r="AH24" s="1"/>
  <c r="AC24"/>
  <c r="V24"/>
  <c r="AO23"/>
  <c r="AM23" s="1"/>
  <c r="AD23"/>
  <c r="AH23" s="1"/>
  <c r="AC23"/>
  <c r="V23"/>
  <c r="AA62" s="1"/>
  <c r="F62" s="1"/>
  <c r="F73" s="1"/>
  <c r="AO22"/>
  <c r="AM22" s="1"/>
  <c r="AD22"/>
  <c r="AH22" s="1"/>
  <c r="AC22"/>
  <c r="V22"/>
  <c r="AO21"/>
  <c r="AM21" s="1"/>
  <c r="AD21"/>
  <c r="AH21" s="1"/>
  <c r="AC21"/>
  <c r="V21"/>
  <c r="AD20"/>
  <c r="AH20" s="1"/>
  <c r="AC20"/>
  <c r="AD19"/>
  <c r="AH19" s="1"/>
  <c r="AC19"/>
  <c r="AO18"/>
  <c r="AM18" s="1"/>
  <c r="AD18"/>
  <c r="AH18" s="1"/>
  <c r="AC18"/>
  <c r="V18"/>
  <c r="AO17"/>
  <c r="AM17" s="1"/>
  <c r="AD17"/>
  <c r="AH17" s="1"/>
  <c r="AC17"/>
  <c r="V17"/>
  <c r="AO16"/>
  <c r="AM16" s="1"/>
  <c r="AD16"/>
  <c r="AH16" s="1"/>
  <c r="AC16"/>
  <c r="V16"/>
  <c r="AA59" s="1"/>
  <c r="F59" s="1"/>
  <c r="AO15"/>
  <c r="AM15" s="1"/>
  <c r="AD15"/>
  <c r="AH15" s="1"/>
  <c r="AC15"/>
  <c r="V15"/>
  <c r="AD14"/>
  <c r="AH14" s="1"/>
  <c r="AC14"/>
  <c r="AD13"/>
  <c r="AH13" s="1"/>
  <c r="AC13"/>
  <c r="AO12"/>
  <c r="AM12" s="1"/>
  <c r="AD12"/>
  <c r="AH12" s="1"/>
  <c r="AC12"/>
  <c r="V12"/>
  <c r="AO11"/>
  <c r="AM11" s="1"/>
  <c r="AD11"/>
  <c r="AH11" s="1"/>
  <c r="AC11"/>
  <c r="V11"/>
  <c r="AO10"/>
  <c r="AM10" s="1"/>
  <c r="AD10"/>
  <c r="AH10" s="1"/>
  <c r="AC10"/>
  <c r="V10"/>
  <c r="AA61" s="1"/>
  <c r="F61" s="1"/>
  <c r="AO9"/>
  <c r="AM9" s="1"/>
  <c r="AD9"/>
  <c r="AH9" s="1"/>
  <c r="AC9"/>
  <c r="AG9" s="1"/>
  <c r="V9"/>
  <c r="AD8"/>
  <c r="AH8" s="1"/>
  <c r="AC8"/>
  <c r="N3"/>
  <c r="C85" i="22" s="1"/>
  <c r="X98" i="47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X77"/>
  <c r="X76"/>
  <c r="X75"/>
  <c r="X74"/>
  <c r="AD73"/>
  <c r="AH73" s="1"/>
  <c r="AC73"/>
  <c r="X73"/>
  <c r="AD72"/>
  <c r="AH72" s="1"/>
  <c r="AC72"/>
  <c r="X72"/>
  <c r="AD71"/>
  <c r="AH71" s="1"/>
  <c r="AC71"/>
  <c r="X71"/>
  <c r="AD70"/>
  <c r="AH70" s="1"/>
  <c r="AC70"/>
  <c r="AK70" s="1"/>
  <c r="X70"/>
  <c r="X69"/>
  <c r="AZ68"/>
  <c r="X68"/>
  <c r="AZ67"/>
  <c r="X67"/>
  <c r="AZ66"/>
  <c r="AD66"/>
  <c r="AH66" s="1"/>
  <c r="AC66"/>
  <c r="X66"/>
  <c r="AZ65"/>
  <c r="AD65"/>
  <c r="AH65" s="1"/>
  <c r="AC65"/>
  <c r="X65"/>
  <c r="AZ64"/>
  <c r="AD64"/>
  <c r="AH64" s="1"/>
  <c r="AC64"/>
  <c r="X64"/>
  <c r="AZ63"/>
  <c r="AD63"/>
  <c r="AH63" s="1"/>
  <c r="AC63"/>
  <c r="X63"/>
  <c r="AZ62"/>
  <c r="AD62"/>
  <c r="AH62" s="1"/>
  <c r="AC62"/>
  <c r="X62"/>
  <c r="AZ61"/>
  <c r="AD61"/>
  <c r="AH61" s="1"/>
  <c r="AC61"/>
  <c r="X61"/>
  <c r="AZ60"/>
  <c r="AD60"/>
  <c r="AH60" s="1"/>
  <c r="AC60"/>
  <c r="X60"/>
  <c r="AZ59"/>
  <c r="AD59"/>
  <c r="AH59" s="1"/>
  <c r="AC59"/>
  <c r="X59"/>
  <c r="AZ58"/>
  <c r="BA67" s="1"/>
  <c r="BB67" s="1"/>
  <c r="AA58"/>
  <c r="Z58"/>
  <c r="X58"/>
  <c r="AD55"/>
  <c r="AH55" s="1"/>
  <c r="AC55"/>
  <c r="AO54"/>
  <c r="AM54" s="1"/>
  <c r="AD54"/>
  <c r="AH54" s="1"/>
  <c r="AC54"/>
  <c r="V54"/>
  <c r="AA64" s="1"/>
  <c r="F64" s="1"/>
  <c r="AO53"/>
  <c r="AM53" s="1"/>
  <c r="AD53"/>
  <c r="AH53" s="1"/>
  <c r="AC53"/>
  <c r="V53"/>
  <c r="AO52"/>
  <c r="AM52" s="1"/>
  <c r="AD52"/>
  <c r="AH52" s="1"/>
  <c r="AC52"/>
  <c r="AG52" s="1"/>
  <c r="V52"/>
  <c r="Z66" s="1"/>
  <c r="D66" s="1"/>
  <c r="AO51"/>
  <c r="AM51" s="1"/>
  <c r="AD51"/>
  <c r="AH51" s="1"/>
  <c r="AC51"/>
  <c r="V51"/>
  <c r="AD50"/>
  <c r="AH50" s="1"/>
  <c r="AC50"/>
  <c r="AG50" s="1"/>
  <c r="AD49"/>
  <c r="AH49" s="1"/>
  <c r="AC49"/>
  <c r="AO48"/>
  <c r="AM48" s="1"/>
  <c r="AD48"/>
  <c r="AH48" s="1"/>
  <c r="AC48"/>
  <c r="AG48" s="1"/>
  <c r="V48"/>
  <c r="AO47"/>
  <c r="AM47" s="1"/>
  <c r="AD47"/>
  <c r="AH47" s="1"/>
  <c r="AC47"/>
  <c r="V47"/>
  <c r="AO46"/>
  <c r="AM46" s="1"/>
  <c r="AD46"/>
  <c r="AH46" s="1"/>
  <c r="AC46"/>
  <c r="AG46" s="1"/>
  <c r="V46"/>
  <c r="Z64" s="1"/>
  <c r="D64" s="1"/>
  <c r="F70" s="1"/>
  <c r="D77" s="1"/>
  <c r="D86" s="1"/>
  <c r="E90" s="1"/>
  <c r="AO45"/>
  <c r="AM45" s="1"/>
  <c r="AD45"/>
  <c r="AH45" s="1"/>
  <c r="AC45"/>
  <c r="V45"/>
  <c r="AA66" s="1"/>
  <c r="F66" s="1"/>
  <c r="F72" s="1"/>
  <c r="D78" s="1"/>
  <c r="F86" s="1"/>
  <c r="E89" s="1"/>
  <c r="AD44"/>
  <c r="AH44" s="1"/>
  <c r="AC44"/>
  <c r="AG44" s="1"/>
  <c r="AD43"/>
  <c r="AC43"/>
  <c r="AO42"/>
  <c r="AM42" s="1"/>
  <c r="AD42"/>
  <c r="AH42" s="1"/>
  <c r="AC42"/>
  <c r="AG42" s="1"/>
  <c r="V42"/>
  <c r="AA63" s="1"/>
  <c r="F63" s="1"/>
  <c r="AO41"/>
  <c r="AM41" s="1"/>
  <c r="AD41"/>
  <c r="AH41" s="1"/>
  <c r="AC41"/>
  <c r="V41"/>
  <c r="AO40"/>
  <c r="AM40" s="1"/>
  <c r="AD40"/>
  <c r="AH40" s="1"/>
  <c r="AC40"/>
  <c r="AG40" s="1"/>
  <c r="V40"/>
  <c r="AO39"/>
  <c r="AM39" s="1"/>
  <c r="AD39"/>
  <c r="AH39" s="1"/>
  <c r="AC39"/>
  <c r="V39"/>
  <c r="Z65" s="1"/>
  <c r="D65" s="1"/>
  <c r="D72" s="1"/>
  <c r="AD38"/>
  <c r="AH38" s="1"/>
  <c r="AC38"/>
  <c r="AG38" s="1"/>
  <c r="AD37"/>
  <c r="AH37" s="1"/>
  <c r="AC37"/>
  <c r="AO36"/>
  <c r="AM36" s="1"/>
  <c r="AD36"/>
  <c r="AH36" s="1"/>
  <c r="AC36"/>
  <c r="AG36" s="1"/>
  <c r="V36"/>
  <c r="AO35"/>
  <c r="AM35" s="1"/>
  <c r="AD35"/>
  <c r="AH35" s="1"/>
  <c r="AC35"/>
  <c r="V35"/>
  <c r="Z63" s="1"/>
  <c r="D63" s="1"/>
  <c r="D70" s="1"/>
  <c r="AO34"/>
  <c r="AM34" s="1"/>
  <c r="AD34"/>
  <c r="AH34" s="1"/>
  <c r="AC34"/>
  <c r="AG34" s="1"/>
  <c r="V34"/>
  <c r="AA65" s="1"/>
  <c r="F65" s="1"/>
  <c r="AO33"/>
  <c r="AM33" s="1"/>
  <c r="AD33"/>
  <c r="AH33" s="1"/>
  <c r="AC33"/>
  <c r="V33"/>
  <c r="AD32"/>
  <c r="AH32" s="1"/>
  <c r="AC32"/>
  <c r="AG32" s="1"/>
  <c r="AD31"/>
  <c r="AC31"/>
  <c r="AO30"/>
  <c r="AM30" s="1"/>
  <c r="AD30"/>
  <c r="AH30" s="1"/>
  <c r="AC30"/>
  <c r="AG30" s="1"/>
  <c r="V30"/>
  <c r="Z62" s="1"/>
  <c r="D62" s="1"/>
  <c r="F73" s="1"/>
  <c r="AO29"/>
  <c r="AM29" s="1"/>
  <c r="AD29"/>
  <c r="AH29" s="1"/>
  <c r="AC29"/>
  <c r="V29"/>
  <c r="AA60" s="1"/>
  <c r="F60" s="1"/>
  <c r="F71" s="1"/>
  <c r="AO28"/>
  <c r="AM28" s="1"/>
  <c r="AD28"/>
  <c r="AH28" s="1"/>
  <c r="AC28"/>
  <c r="AG28" s="1"/>
  <c r="V28"/>
  <c r="AO27"/>
  <c r="AM27" s="1"/>
  <c r="AD27"/>
  <c r="AH27" s="1"/>
  <c r="AC27"/>
  <c r="AL27" s="1"/>
  <c r="V27"/>
  <c r="AD26"/>
  <c r="AH26" s="1"/>
  <c r="AC26"/>
  <c r="AG26" s="1"/>
  <c r="AD25"/>
  <c r="AH25" s="1"/>
  <c r="AC25"/>
  <c r="AO24"/>
  <c r="AM24" s="1"/>
  <c r="AD24"/>
  <c r="AH24" s="1"/>
  <c r="AC24"/>
  <c r="AG24" s="1"/>
  <c r="V24"/>
  <c r="Z60" s="1"/>
  <c r="D60" s="1"/>
  <c r="AO23"/>
  <c r="AM23" s="1"/>
  <c r="AD23"/>
  <c r="AH23" s="1"/>
  <c r="AC23"/>
  <c r="V23"/>
  <c r="AO22"/>
  <c r="AM22" s="1"/>
  <c r="AD22"/>
  <c r="AH22" s="1"/>
  <c r="AC22"/>
  <c r="AG22" s="1"/>
  <c r="V22"/>
  <c r="AO21"/>
  <c r="AM21" s="1"/>
  <c r="AD21"/>
  <c r="AH21" s="1"/>
  <c r="AC21"/>
  <c r="V21"/>
  <c r="AA62" s="1"/>
  <c r="F62" s="1"/>
  <c r="AD20"/>
  <c r="AH20" s="1"/>
  <c r="AC20"/>
  <c r="AG20" s="1"/>
  <c r="AD19"/>
  <c r="AL19" s="1"/>
  <c r="AC19"/>
  <c r="AO18"/>
  <c r="AM18" s="1"/>
  <c r="AD18"/>
  <c r="AH18" s="1"/>
  <c r="AC18"/>
  <c r="AG18" s="1"/>
  <c r="V18"/>
  <c r="AO17"/>
  <c r="AM17" s="1"/>
  <c r="AD17"/>
  <c r="AH17" s="1"/>
  <c r="AC17"/>
  <c r="V17"/>
  <c r="AO16"/>
  <c r="AM16" s="1"/>
  <c r="AD16"/>
  <c r="AH16" s="1"/>
  <c r="AC16"/>
  <c r="AG16" s="1"/>
  <c r="V16"/>
  <c r="AA59" s="1"/>
  <c r="F59" s="1"/>
  <c r="AO15"/>
  <c r="AM15" s="1"/>
  <c r="AD15"/>
  <c r="AH15" s="1"/>
  <c r="AC15"/>
  <c r="V15"/>
  <c r="Z61" s="1"/>
  <c r="D61" s="1"/>
  <c r="D73" s="1"/>
  <c r="F78" s="1"/>
  <c r="F82" s="1"/>
  <c r="E92" s="1"/>
  <c r="AD14"/>
  <c r="AH14" s="1"/>
  <c r="AC14"/>
  <c r="AG14" s="1"/>
  <c r="AD13"/>
  <c r="AH13" s="1"/>
  <c r="AC13"/>
  <c r="AO12"/>
  <c r="AM12" s="1"/>
  <c r="AD12"/>
  <c r="AH12" s="1"/>
  <c r="AC12"/>
  <c r="AG12" s="1"/>
  <c r="V12"/>
  <c r="AO11"/>
  <c r="AM11" s="1"/>
  <c r="AD11"/>
  <c r="AH11" s="1"/>
  <c r="AC11"/>
  <c r="V11"/>
  <c r="AO10"/>
  <c r="AM10" s="1"/>
  <c r="AD10"/>
  <c r="AH10" s="1"/>
  <c r="AC10"/>
  <c r="AG10" s="1"/>
  <c r="V10"/>
  <c r="AA61" s="1"/>
  <c r="F61" s="1"/>
  <c r="AO9"/>
  <c r="AM9" s="1"/>
  <c r="AD9"/>
  <c r="AH9" s="1"/>
  <c r="AC9"/>
  <c r="AG9" s="1"/>
  <c r="V9"/>
  <c r="Z59" s="1"/>
  <c r="D59" s="1"/>
  <c r="D71" s="1"/>
  <c r="F77" s="1"/>
  <c r="D82" s="1"/>
  <c r="E91" s="1"/>
  <c r="AD8"/>
  <c r="AH8" s="1"/>
  <c r="AC8"/>
  <c r="AG8" s="1"/>
  <c r="N3"/>
  <c r="X98" i="46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X77"/>
  <c r="X76"/>
  <c r="X75"/>
  <c r="X74"/>
  <c r="AD73"/>
  <c r="AH73" s="1"/>
  <c r="AC73"/>
  <c r="X73"/>
  <c r="AD72"/>
  <c r="AH72" s="1"/>
  <c r="AC72"/>
  <c r="X72"/>
  <c r="AD71"/>
  <c r="AH71" s="1"/>
  <c r="AC71"/>
  <c r="X71"/>
  <c r="AD70"/>
  <c r="AH70" s="1"/>
  <c r="AC70"/>
  <c r="X70"/>
  <c r="X69"/>
  <c r="AZ68"/>
  <c r="X68"/>
  <c r="AZ67"/>
  <c r="X67"/>
  <c r="AZ66"/>
  <c r="AD66"/>
  <c r="AH66" s="1"/>
  <c r="AC66"/>
  <c r="AG66" s="1"/>
  <c r="X66"/>
  <c r="AZ65"/>
  <c r="AD65"/>
  <c r="AH65" s="1"/>
  <c r="AC65"/>
  <c r="AG65" s="1"/>
  <c r="X65"/>
  <c r="AZ64"/>
  <c r="AD64"/>
  <c r="AH64" s="1"/>
  <c r="AC64"/>
  <c r="AG64" s="1"/>
  <c r="X64"/>
  <c r="AZ63"/>
  <c r="AD63"/>
  <c r="AH63" s="1"/>
  <c r="AC63"/>
  <c r="AG63" s="1"/>
  <c r="X63"/>
  <c r="AZ62"/>
  <c r="AD62"/>
  <c r="AH62" s="1"/>
  <c r="AC62"/>
  <c r="AG62" s="1"/>
  <c r="X62"/>
  <c r="AZ61"/>
  <c r="AD61"/>
  <c r="AH61" s="1"/>
  <c r="AC61"/>
  <c r="AG61" s="1"/>
  <c r="X61"/>
  <c r="AZ60"/>
  <c r="AD60"/>
  <c r="AH60" s="1"/>
  <c r="AC60"/>
  <c r="AG60" s="1"/>
  <c r="X60"/>
  <c r="AZ59"/>
  <c r="AD59"/>
  <c r="AH59" s="1"/>
  <c r="AC59"/>
  <c r="AG59" s="1"/>
  <c r="X59"/>
  <c r="AZ58"/>
  <c r="BA67" s="1"/>
  <c r="BB67" s="1"/>
  <c r="AA58"/>
  <c r="Z58"/>
  <c r="X58"/>
  <c r="AD55"/>
  <c r="AH55" s="1"/>
  <c r="AC55"/>
  <c r="AO54"/>
  <c r="AM54" s="1"/>
  <c r="AD54"/>
  <c r="AH54" s="1"/>
  <c r="AC54"/>
  <c r="AG54" s="1"/>
  <c r="V54"/>
  <c r="AO53"/>
  <c r="AM53" s="1"/>
  <c r="AD53"/>
  <c r="AH53" s="1"/>
  <c r="AC53"/>
  <c r="V53"/>
  <c r="AA64" s="1"/>
  <c r="F64" s="1"/>
  <c r="AO52"/>
  <c r="AM52" s="1"/>
  <c r="AD52"/>
  <c r="AH52" s="1"/>
  <c r="AC52"/>
  <c r="V52"/>
  <c r="AO51"/>
  <c r="AM51" s="1"/>
  <c r="AD51"/>
  <c r="AH51" s="1"/>
  <c r="AC51"/>
  <c r="V51"/>
  <c r="Z66" s="1"/>
  <c r="D66" s="1"/>
  <c r="F72" s="1"/>
  <c r="AD50"/>
  <c r="AH50" s="1"/>
  <c r="AC50"/>
  <c r="AD49"/>
  <c r="AH49" s="1"/>
  <c r="AC49"/>
  <c r="AO48"/>
  <c r="AM48" s="1"/>
  <c r="AD48"/>
  <c r="AH48" s="1"/>
  <c r="AC48"/>
  <c r="V48"/>
  <c r="AO47"/>
  <c r="AM47" s="1"/>
  <c r="AD47"/>
  <c r="AH47" s="1"/>
  <c r="AC47"/>
  <c r="V47"/>
  <c r="AO46"/>
  <c r="AM46" s="1"/>
  <c r="AD46"/>
  <c r="AH46" s="1"/>
  <c r="AC46"/>
  <c r="V46"/>
  <c r="AA66" s="1"/>
  <c r="F66" s="1"/>
  <c r="AO45"/>
  <c r="AM45" s="1"/>
  <c r="AD45"/>
  <c r="AH45" s="1"/>
  <c r="AC45"/>
  <c r="V45"/>
  <c r="Z64" s="1"/>
  <c r="D64" s="1"/>
  <c r="F70" s="1"/>
  <c r="D77" s="1"/>
  <c r="D82" s="1"/>
  <c r="E92" s="1"/>
  <c r="AD44"/>
  <c r="AH44" s="1"/>
  <c r="AC44"/>
  <c r="AD43"/>
  <c r="AH43" s="1"/>
  <c r="AC43"/>
  <c r="AO42"/>
  <c r="AM42" s="1"/>
  <c r="AD42"/>
  <c r="AH42" s="1"/>
  <c r="AC42"/>
  <c r="V42"/>
  <c r="AA63" s="1"/>
  <c r="F63" s="1"/>
  <c r="D70" s="1"/>
  <c r="AO41"/>
  <c r="AM41" s="1"/>
  <c r="AD41"/>
  <c r="AH41" s="1"/>
  <c r="AC41"/>
  <c r="V41"/>
  <c r="AO40"/>
  <c r="AM40" s="1"/>
  <c r="AD40"/>
  <c r="AH40" s="1"/>
  <c r="AC40"/>
  <c r="V40"/>
  <c r="AO39"/>
  <c r="AM39" s="1"/>
  <c r="AD39"/>
  <c r="AH39" s="1"/>
  <c r="AC39"/>
  <c r="V39"/>
  <c r="Z65" s="1"/>
  <c r="D65" s="1"/>
  <c r="D72" s="1"/>
  <c r="D78" s="1"/>
  <c r="F82" s="1"/>
  <c r="E91" s="1"/>
  <c r="AD38"/>
  <c r="AH38" s="1"/>
  <c r="AC38"/>
  <c r="AD37"/>
  <c r="AH37" s="1"/>
  <c r="AC37"/>
  <c r="AO36"/>
  <c r="AM36" s="1"/>
  <c r="AD36"/>
  <c r="AH36" s="1"/>
  <c r="AC36"/>
  <c r="V36"/>
  <c r="AO35"/>
  <c r="AM35" s="1"/>
  <c r="AD35"/>
  <c r="AH35" s="1"/>
  <c r="AC35"/>
  <c r="V35"/>
  <c r="Z63" s="1"/>
  <c r="D63" s="1"/>
  <c r="AO34"/>
  <c r="AM34" s="1"/>
  <c r="AD34"/>
  <c r="AH34" s="1"/>
  <c r="AC34"/>
  <c r="V34"/>
  <c r="AA65" s="1"/>
  <c r="F65" s="1"/>
  <c r="AO33"/>
  <c r="AM33" s="1"/>
  <c r="AD33"/>
  <c r="AH33" s="1"/>
  <c r="AC33"/>
  <c r="AL33" s="1"/>
  <c r="V33"/>
  <c r="AD32"/>
  <c r="AH32" s="1"/>
  <c r="AC32"/>
  <c r="AD31"/>
  <c r="AH31" s="1"/>
  <c r="AC31"/>
  <c r="AO30"/>
  <c r="AM30" s="1"/>
  <c r="AD30"/>
  <c r="AH30" s="1"/>
  <c r="AC30"/>
  <c r="V30"/>
  <c r="Z62" s="1"/>
  <c r="D62" s="1"/>
  <c r="F73" s="1"/>
  <c r="AO29"/>
  <c r="AM29" s="1"/>
  <c r="AD29"/>
  <c r="AH29" s="1"/>
  <c r="AC29"/>
  <c r="V29"/>
  <c r="AO28"/>
  <c r="AM28" s="1"/>
  <c r="AD28"/>
  <c r="AH28" s="1"/>
  <c r="AC28"/>
  <c r="AL28" s="1"/>
  <c r="V28"/>
  <c r="AO27"/>
  <c r="AM27" s="1"/>
  <c r="AD27"/>
  <c r="AH27" s="1"/>
  <c r="AC27"/>
  <c r="AL27" s="1"/>
  <c r="V27"/>
  <c r="AA60" s="1"/>
  <c r="F60" s="1"/>
  <c r="F71" s="1"/>
  <c r="AD26"/>
  <c r="AH26" s="1"/>
  <c r="AC26"/>
  <c r="AD25"/>
  <c r="AH25" s="1"/>
  <c r="AC25"/>
  <c r="AO24"/>
  <c r="AM24" s="1"/>
  <c r="AD24"/>
  <c r="AH24" s="1"/>
  <c r="AC24"/>
  <c r="V24"/>
  <c r="AO23"/>
  <c r="AM23" s="1"/>
  <c r="AD23"/>
  <c r="AH23" s="1"/>
  <c r="AC23"/>
  <c r="V23"/>
  <c r="Z60" s="1"/>
  <c r="D60" s="1"/>
  <c r="AO22"/>
  <c r="AM22" s="1"/>
  <c r="AD22"/>
  <c r="AH22" s="1"/>
  <c r="AC22"/>
  <c r="AL22" s="1"/>
  <c r="V22"/>
  <c r="AO21"/>
  <c r="AM21" s="1"/>
  <c r="AD21"/>
  <c r="AH21" s="1"/>
  <c r="AC21"/>
  <c r="V21"/>
  <c r="AA62" s="1"/>
  <c r="F62" s="1"/>
  <c r="AD20"/>
  <c r="AH20" s="1"/>
  <c r="AC20"/>
  <c r="AD19"/>
  <c r="AH19" s="1"/>
  <c r="AC19"/>
  <c r="AO18"/>
  <c r="AM18" s="1"/>
  <c r="AD18"/>
  <c r="AH18" s="1"/>
  <c r="AC18"/>
  <c r="V18"/>
  <c r="AO17"/>
  <c r="AM17" s="1"/>
  <c r="AD17"/>
  <c r="AH17" s="1"/>
  <c r="AC17"/>
  <c r="V17"/>
  <c r="AO16"/>
  <c r="AM16" s="1"/>
  <c r="AD16"/>
  <c r="AH16" s="1"/>
  <c r="AC16"/>
  <c r="V16"/>
  <c r="Z61" s="1"/>
  <c r="D61" s="1"/>
  <c r="D73" s="1"/>
  <c r="F78" s="1"/>
  <c r="F86" s="1"/>
  <c r="E89" s="1"/>
  <c r="AO15"/>
  <c r="AM15" s="1"/>
  <c r="AD15"/>
  <c r="AH15" s="1"/>
  <c r="AC15"/>
  <c r="V15"/>
  <c r="AA59" s="1"/>
  <c r="F59" s="1"/>
  <c r="D71" s="1"/>
  <c r="F77" s="1"/>
  <c r="D86" s="1"/>
  <c r="E90" s="1"/>
  <c r="AD14"/>
  <c r="AH14" s="1"/>
  <c r="AC14"/>
  <c r="AD13"/>
  <c r="AH13" s="1"/>
  <c r="AC13"/>
  <c r="AO12"/>
  <c r="AM12" s="1"/>
  <c r="AD12"/>
  <c r="AH12" s="1"/>
  <c r="AC12"/>
  <c r="V12"/>
  <c r="AO11"/>
  <c r="AM11" s="1"/>
  <c r="AD11"/>
  <c r="AH11" s="1"/>
  <c r="AC11"/>
  <c r="V11"/>
  <c r="AA61" s="1"/>
  <c r="F61" s="1"/>
  <c r="AO10"/>
  <c r="AM10" s="1"/>
  <c r="AD10"/>
  <c r="AH10" s="1"/>
  <c r="AC10"/>
  <c r="V10"/>
  <c r="AO9"/>
  <c r="AM9" s="1"/>
  <c r="AD9"/>
  <c r="AH9" s="1"/>
  <c r="AC9"/>
  <c r="AG9" s="1"/>
  <c r="V9"/>
  <c r="Z59" s="1"/>
  <c r="D59" s="1"/>
  <c r="AD8"/>
  <c r="AH8" s="1"/>
  <c r="AC8"/>
  <c r="N3"/>
  <c r="X98" i="45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X77"/>
  <c r="X76"/>
  <c r="X75"/>
  <c r="X74"/>
  <c r="AD73"/>
  <c r="AH73" s="1"/>
  <c r="AC73"/>
  <c r="X73"/>
  <c r="AD72"/>
  <c r="AH72" s="1"/>
  <c r="AC72"/>
  <c r="X72"/>
  <c r="AD71"/>
  <c r="AH71" s="1"/>
  <c r="AC71"/>
  <c r="X71"/>
  <c r="AD70"/>
  <c r="AH70" s="1"/>
  <c r="AC70"/>
  <c r="X70"/>
  <c r="X69"/>
  <c r="AZ68"/>
  <c r="X68"/>
  <c r="AZ67"/>
  <c r="X67"/>
  <c r="AZ66"/>
  <c r="AD66"/>
  <c r="AH66" s="1"/>
  <c r="AC66"/>
  <c r="X66"/>
  <c r="AZ65"/>
  <c r="AD65"/>
  <c r="AH65" s="1"/>
  <c r="AC65"/>
  <c r="X65"/>
  <c r="AZ64"/>
  <c r="AD64"/>
  <c r="AH64" s="1"/>
  <c r="AC64"/>
  <c r="X64"/>
  <c r="AZ63"/>
  <c r="AD63"/>
  <c r="AH63" s="1"/>
  <c r="AC63"/>
  <c r="X63"/>
  <c r="AZ62"/>
  <c r="AD62"/>
  <c r="AH62" s="1"/>
  <c r="AC62"/>
  <c r="X62"/>
  <c r="AZ61"/>
  <c r="AD61"/>
  <c r="AH61" s="1"/>
  <c r="AC61"/>
  <c r="X61"/>
  <c r="AZ60"/>
  <c r="AD60"/>
  <c r="AH60" s="1"/>
  <c r="AC60"/>
  <c r="X60"/>
  <c r="AZ59"/>
  <c r="AD59"/>
  <c r="AH59" s="1"/>
  <c r="AC59"/>
  <c r="X59"/>
  <c r="AZ58"/>
  <c r="BA67" s="1"/>
  <c r="BB67" s="1"/>
  <c r="AA58"/>
  <c r="Z58"/>
  <c r="X58"/>
  <c r="AD55"/>
  <c r="AH55" s="1"/>
  <c r="AC55"/>
  <c r="AO54"/>
  <c r="AM54" s="1"/>
  <c r="AD54"/>
  <c r="AH54" s="1"/>
  <c r="AC54"/>
  <c r="V54"/>
  <c r="AO53"/>
  <c r="AM53" s="1"/>
  <c r="AD53"/>
  <c r="AH53" s="1"/>
  <c r="AC53"/>
  <c r="V53"/>
  <c r="AA64" s="1"/>
  <c r="F64" s="1"/>
  <c r="AO52"/>
  <c r="AM52" s="1"/>
  <c r="AD52"/>
  <c r="AH52" s="1"/>
  <c r="AC52"/>
  <c r="V52"/>
  <c r="AO51"/>
  <c r="AM51" s="1"/>
  <c r="AD51"/>
  <c r="AH51" s="1"/>
  <c r="AC51"/>
  <c r="V51"/>
  <c r="Z66" s="1"/>
  <c r="D66" s="1"/>
  <c r="AD50"/>
  <c r="AH50" s="1"/>
  <c r="AC50"/>
  <c r="AD49"/>
  <c r="AH49" s="1"/>
  <c r="AC49"/>
  <c r="AO48"/>
  <c r="AM48" s="1"/>
  <c r="AD48"/>
  <c r="AH48" s="1"/>
  <c r="AC48"/>
  <c r="V48"/>
  <c r="AO47"/>
  <c r="AM47" s="1"/>
  <c r="AD47"/>
  <c r="AH47" s="1"/>
  <c r="AC47"/>
  <c r="V47"/>
  <c r="AO46"/>
  <c r="AM46" s="1"/>
  <c r="AD46"/>
  <c r="AH46" s="1"/>
  <c r="AC46"/>
  <c r="V46"/>
  <c r="AA66" s="1"/>
  <c r="F66" s="1"/>
  <c r="F72" s="1"/>
  <c r="AO45"/>
  <c r="AM45" s="1"/>
  <c r="AD45"/>
  <c r="AH45" s="1"/>
  <c r="AC45"/>
  <c r="V45"/>
  <c r="Z64" s="1"/>
  <c r="D64" s="1"/>
  <c r="F70" s="1"/>
  <c r="D77" s="1"/>
  <c r="D82" s="1"/>
  <c r="E91" s="1"/>
  <c r="AD44"/>
  <c r="AH44" s="1"/>
  <c r="AC44"/>
  <c r="AD43"/>
  <c r="AH43" s="1"/>
  <c r="AC43"/>
  <c r="AK43" s="1"/>
  <c r="AO42"/>
  <c r="AM42" s="1"/>
  <c r="AD42"/>
  <c r="AH42" s="1"/>
  <c r="AC42"/>
  <c r="V42"/>
  <c r="AA63" s="1"/>
  <c r="F63" s="1"/>
  <c r="AO41"/>
  <c r="AM41" s="1"/>
  <c r="AD41"/>
  <c r="AH41" s="1"/>
  <c r="AC41"/>
  <c r="V41"/>
  <c r="AO40"/>
  <c r="AM40" s="1"/>
  <c r="AD40"/>
  <c r="AH40" s="1"/>
  <c r="AC40"/>
  <c r="V40"/>
  <c r="AO39"/>
  <c r="AM39" s="1"/>
  <c r="AD39"/>
  <c r="AH39" s="1"/>
  <c r="AC39"/>
  <c r="V39"/>
  <c r="Z65" s="1"/>
  <c r="D65" s="1"/>
  <c r="D72" s="1"/>
  <c r="D78" s="1"/>
  <c r="F86" s="1"/>
  <c r="E89" s="1"/>
  <c r="AD38"/>
  <c r="AH38" s="1"/>
  <c r="AC38"/>
  <c r="AD37"/>
  <c r="AH37" s="1"/>
  <c r="AC37"/>
  <c r="AO36"/>
  <c r="AM36" s="1"/>
  <c r="AD36"/>
  <c r="AH36" s="1"/>
  <c r="AC36"/>
  <c r="V36"/>
  <c r="AO35"/>
  <c r="AM35" s="1"/>
  <c r="AD35"/>
  <c r="AH35" s="1"/>
  <c r="AC35"/>
  <c r="V35"/>
  <c r="Z63" s="1"/>
  <c r="D63" s="1"/>
  <c r="D70" s="1"/>
  <c r="AO34"/>
  <c r="AM34" s="1"/>
  <c r="AD34"/>
  <c r="AH34" s="1"/>
  <c r="AC34"/>
  <c r="V34"/>
  <c r="AO33"/>
  <c r="AM33" s="1"/>
  <c r="AD33"/>
  <c r="AH33" s="1"/>
  <c r="AC33"/>
  <c r="V33"/>
  <c r="AA65" s="1"/>
  <c r="F65" s="1"/>
  <c r="AD32"/>
  <c r="AH32" s="1"/>
  <c r="AC32"/>
  <c r="AD31"/>
  <c r="AH31" s="1"/>
  <c r="AC31"/>
  <c r="AK31" s="1"/>
  <c r="AO30"/>
  <c r="AM30" s="1"/>
  <c r="AD30"/>
  <c r="AH30" s="1"/>
  <c r="AC30"/>
  <c r="V30"/>
  <c r="AA60" s="1"/>
  <c r="F60" s="1"/>
  <c r="F71" s="1"/>
  <c r="AO29"/>
  <c r="AM29" s="1"/>
  <c r="AD29"/>
  <c r="AH29" s="1"/>
  <c r="AC29"/>
  <c r="V29"/>
  <c r="AO28"/>
  <c r="AM28" s="1"/>
  <c r="AD28"/>
  <c r="AH28" s="1"/>
  <c r="AC28"/>
  <c r="V28"/>
  <c r="AO27"/>
  <c r="AM27" s="1"/>
  <c r="AD27"/>
  <c r="AH27" s="1"/>
  <c r="AC27"/>
  <c r="V27"/>
  <c r="Z62" s="1"/>
  <c r="D62" s="1"/>
  <c r="F73" s="1"/>
  <c r="F78" s="1"/>
  <c r="F82" s="1"/>
  <c r="E92" s="1"/>
  <c r="AD26"/>
  <c r="AH26" s="1"/>
  <c r="AC26"/>
  <c r="AD25"/>
  <c r="AH25" s="1"/>
  <c r="AC25"/>
  <c r="AO24"/>
  <c r="AM24" s="1"/>
  <c r="AD24"/>
  <c r="AH24" s="1"/>
  <c r="AC24"/>
  <c r="V24"/>
  <c r="AA62" s="1"/>
  <c r="F62" s="1"/>
  <c r="AO23"/>
  <c r="AM23" s="1"/>
  <c r="AD23"/>
  <c r="AH23" s="1"/>
  <c r="AC23"/>
  <c r="V23"/>
  <c r="AO22"/>
  <c r="AM22" s="1"/>
  <c r="AD22"/>
  <c r="AH22" s="1"/>
  <c r="AC22"/>
  <c r="V22"/>
  <c r="AO21"/>
  <c r="AM21" s="1"/>
  <c r="AD21"/>
  <c r="AH21" s="1"/>
  <c r="AC21"/>
  <c r="V21"/>
  <c r="Z60" s="1"/>
  <c r="D60" s="1"/>
  <c r="AD20"/>
  <c r="AH20" s="1"/>
  <c r="AC20"/>
  <c r="AD19"/>
  <c r="AH19" s="1"/>
  <c r="AC19"/>
  <c r="AK19" s="1"/>
  <c r="AO18"/>
  <c r="AM18" s="1"/>
  <c r="AD18"/>
  <c r="AH18" s="1"/>
  <c r="AC18"/>
  <c r="V18"/>
  <c r="AO17"/>
  <c r="AM17" s="1"/>
  <c r="AD17"/>
  <c r="AH17" s="1"/>
  <c r="AC17"/>
  <c r="V17"/>
  <c r="AO16"/>
  <c r="AM16" s="1"/>
  <c r="AD16"/>
  <c r="AH16" s="1"/>
  <c r="AC16"/>
  <c r="V16"/>
  <c r="Z61" s="1"/>
  <c r="D61" s="1"/>
  <c r="D73" s="1"/>
  <c r="AO15"/>
  <c r="AM15" s="1"/>
  <c r="AD15"/>
  <c r="AH15" s="1"/>
  <c r="AC15"/>
  <c r="V15"/>
  <c r="AA59" s="1"/>
  <c r="F59" s="1"/>
  <c r="AD14"/>
  <c r="AH14" s="1"/>
  <c r="AC14"/>
  <c r="AD13"/>
  <c r="AH13" s="1"/>
  <c r="AC13"/>
  <c r="AO12"/>
  <c r="AM12" s="1"/>
  <c r="AD12"/>
  <c r="AH12" s="1"/>
  <c r="AC12"/>
  <c r="V12"/>
  <c r="AO11"/>
  <c r="AM11" s="1"/>
  <c r="AD11"/>
  <c r="AH11" s="1"/>
  <c r="AC11"/>
  <c r="V11"/>
  <c r="AO10"/>
  <c r="AM10" s="1"/>
  <c r="AD10"/>
  <c r="AH10" s="1"/>
  <c r="AC10"/>
  <c r="V10"/>
  <c r="AA61" s="1"/>
  <c r="F61" s="1"/>
  <c r="AO9"/>
  <c r="AM9" s="1"/>
  <c r="AD9"/>
  <c r="AH9" s="1"/>
  <c r="AC9"/>
  <c r="AG9" s="1"/>
  <c r="V9"/>
  <c r="Z59" s="1"/>
  <c r="D59" s="1"/>
  <c r="D71" s="1"/>
  <c r="F77" s="1"/>
  <c r="D86" s="1"/>
  <c r="E90" s="1"/>
  <c r="AD8"/>
  <c r="AH8" s="1"/>
  <c r="AC8"/>
  <c r="N3"/>
  <c r="C47" i="22" s="1"/>
  <c r="X98" i="44"/>
  <c r="X97"/>
  <c r="X96"/>
  <c r="X95"/>
  <c r="X94"/>
  <c r="X93"/>
  <c r="X92"/>
  <c r="E92"/>
  <c r="X91"/>
  <c r="E91"/>
  <c r="X90"/>
  <c r="E90"/>
  <c r="X89"/>
  <c r="E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X77"/>
  <c r="X76"/>
  <c r="X75"/>
  <c r="X74"/>
  <c r="AD73"/>
  <c r="AH73" s="1"/>
  <c r="AC73"/>
  <c r="X73"/>
  <c r="AD72"/>
  <c r="AH72" s="1"/>
  <c r="AC72"/>
  <c r="X72"/>
  <c r="AD71"/>
  <c r="AH71" s="1"/>
  <c r="AC71"/>
  <c r="X71"/>
  <c r="AD70"/>
  <c r="AH70" s="1"/>
  <c r="AC70"/>
  <c r="X70"/>
  <c r="X69"/>
  <c r="AZ68"/>
  <c r="X68"/>
  <c r="AZ67"/>
  <c r="X67"/>
  <c r="AZ66"/>
  <c r="AD66"/>
  <c r="AH66" s="1"/>
  <c r="AC66"/>
  <c r="Z66"/>
  <c r="X66"/>
  <c r="AZ65"/>
  <c r="AD65"/>
  <c r="AH65" s="1"/>
  <c r="AC65"/>
  <c r="AA65"/>
  <c r="X65"/>
  <c r="AZ64"/>
  <c r="AD64"/>
  <c r="AH64" s="1"/>
  <c r="AC64"/>
  <c r="Z64"/>
  <c r="X64"/>
  <c r="AZ63"/>
  <c r="AD63"/>
  <c r="AH63" s="1"/>
  <c r="AC63"/>
  <c r="AA63"/>
  <c r="X63"/>
  <c r="AZ62"/>
  <c r="AD62"/>
  <c r="AH62" s="1"/>
  <c r="AC62"/>
  <c r="Z62"/>
  <c r="X62"/>
  <c r="AZ61"/>
  <c r="AD61"/>
  <c r="AH61" s="1"/>
  <c r="AC61"/>
  <c r="AA61"/>
  <c r="X61"/>
  <c r="AZ60"/>
  <c r="AD60"/>
  <c r="AH60" s="1"/>
  <c r="AC60"/>
  <c r="Z60"/>
  <c r="X60"/>
  <c r="AZ59"/>
  <c r="AD59"/>
  <c r="AH59" s="1"/>
  <c r="AC59"/>
  <c r="AA59"/>
  <c r="X59"/>
  <c r="AZ58"/>
  <c r="AA58"/>
  <c r="Z58"/>
  <c r="X58"/>
  <c r="AD55"/>
  <c r="AH55" s="1"/>
  <c r="AC55"/>
  <c r="AO54"/>
  <c r="AM54" s="1"/>
  <c r="AD54"/>
  <c r="AH54" s="1"/>
  <c r="AC54"/>
  <c r="V54"/>
  <c r="AO53"/>
  <c r="AM53" s="1"/>
  <c r="AD53"/>
  <c r="AH53" s="1"/>
  <c r="AC53"/>
  <c r="AL53" s="1"/>
  <c r="V53"/>
  <c r="AA64" s="1"/>
  <c r="AO52"/>
  <c r="AM52" s="1"/>
  <c r="AD52"/>
  <c r="AH52" s="1"/>
  <c r="AC52"/>
  <c r="V52"/>
  <c r="AO51"/>
  <c r="AM51" s="1"/>
  <c r="AD51"/>
  <c r="AH51" s="1"/>
  <c r="AC51"/>
  <c r="V51"/>
  <c r="AD50"/>
  <c r="AH50" s="1"/>
  <c r="AC50"/>
  <c r="AD49"/>
  <c r="AH49" s="1"/>
  <c r="AC49"/>
  <c r="AO48"/>
  <c r="AM48" s="1"/>
  <c r="AD48"/>
  <c r="AH48" s="1"/>
  <c r="AC48"/>
  <c r="V48"/>
  <c r="AO47"/>
  <c r="AM47" s="1"/>
  <c r="AD47"/>
  <c r="AH47" s="1"/>
  <c r="AC47"/>
  <c r="V47"/>
  <c r="AO46"/>
  <c r="AM46" s="1"/>
  <c r="AD46"/>
  <c r="AH46" s="1"/>
  <c r="AC46"/>
  <c r="V46"/>
  <c r="AO45"/>
  <c r="AM45" s="1"/>
  <c r="AD45"/>
  <c r="AH45" s="1"/>
  <c r="AC45"/>
  <c r="AL45" s="1"/>
  <c r="V45"/>
  <c r="AA66" s="1"/>
  <c r="AD44"/>
  <c r="AH44" s="1"/>
  <c r="AC44"/>
  <c r="AD43"/>
  <c r="AH43" s="1"/>
  <c r="AC43"/>
  <c r="AO42"/>
  <c r="AM42" s="1"/>
  <c r="AD42"/>
  <c r="AH42" s="1"/>
  <c r="AC42"/>
  <c r="V42"/>
  <c r="AO41"/>
  <c r="AM41" s="1"/>
  <c r="AD41"/>
  <c r="AH41" s="1"/>
  <c r="AC41"/>
  <c r="V41"/>
  <c r="AO40"/>
  <c r="AM40" s="1"/>
  <c r="AD40"/>
  <c r="AH40" s="1"/>
  <c r="AC40"/>
  <c r="V40"/>
  <c r="AO39"/>
  <c r="AM39" s="1"/>
  <c r="AD39"/>
  <c r="AH39" s="1"/>
  <c r="AC39"/>
  <c r="V39"/>
  <c r="Z65" s="1"/>
  <c r="AD38"/>
  <c r="AH38" s="1"/>
  <c r="AC38"/>
  <c r="AD37"/>
  <c r="AH37" s="1"/>
  <c r="AC37"/>
  <c r="AO36"/>
  <c r="AM36" s="1"/>
  <c r="AD36"/>
  <c r="AH36" s="1"/>
  <c r="AC36"/>
  <c r="V36"/>
  <c r="AO35"/>
  <c r="AM35" s="1"/>
  <c r="AD35"/>
  <c r="AH35" s="1"/>
  <c r="AC35"/>
  <c r="V35"/>
  <c r="Z63" s="1"/>
  <c r="AO34"/>
  <c r="AM34" s="1"/>
  <c r="AD34"/>
  <c r="AH34" s="1"/>
  <c r="AC34"/>
  <c r="V34"/>
  <c r="AO33"/>
  <c r="AM33" s="1"/>
  <c r="AD33"/>
  <c r="AH33" s="1"/>
  <c r="AC33"/>
  <c r="AL33" s="1"/>
  <c r="V33"/>
  <c r="AD32"/>
  <c r="AH32" s="1"/>
  <c r="AC32"/>
  <c r="AD31"/>
  <c r="AH31" s="1"/>
  <c r="AC31"/>
  <c r="AO30"/>
  <c r="AM30" s="1"/>
  <c r="AD30"/>
  <c r="AH30" s="1"/>
  <c r="AC30"/>
  <c r="V30"/>
  <c r="AA60" s="1"/>
  <c r="AO29"/>
  <c r="AM29" s="1"/>
  <c r="AD29"/>
  <c r="AH29" s="1"/>
  <c r="AC29"/>
  <c r="V29"/>
  <c r="AO28"/>
  <c r="AM28" s="1"/>
  <c r="AD28"/>
  <c r="AH28" s="1"/>
  <c r="AC28"/>
  <c r="V28"/>
  <c r="AO27"/>
  <c r="AM27" s="1"/>
  <c r="AD27"/>
  <c r="AH27" s="1"/>
  <c r="AC27"/>
  <c r="V27"/>
  <c r="AD26"/>
  <c r="AH26" s="1"/>
  <c r="AC26"/>
  <c r="AD25"/>
  <c r="AH25" s="1"/>
  <c r="AC25"/>
  <c r="AO24"/>
  <c r="AM24" s="1"/>
  <c r="AD24"/>
  <c r="AH24" s="1"/>
  <c r="AC24"/>
  <c r="V24"/>
  <c r="AO23"/>
  <c r="AM23" s="1"/>
  <c r="AD23"/>
  <c r="AH23" s="1"/>
  <c r="AC23"/>
  <c r="V23"/>
  <c r="AO22"/>
  <c r="AM22" s="1"/>
  <c r="AD22"/>
  <c r="AH22" s="1"/>
  <c r="AC22"/>
  <c r="V22"/>
  <c r="AO21"/>
  <c r="AM21" s="1"/>
  <c r="AD21"/>
  <c r="AH21" s="1"/>
  <c r="AC21"/>
  <c r="V21"/>
  <c r="AA62" s="1"/>
  <c r="AD20"/>
  <c r="AH20" s="1"/>
  <c r="AC20"/>
  <c r="AD19"/>
  <c r="AH19" s="1"/>
  <c r="AC19"/>
  <c r="AO18"/>
  <c r="AM18" s="1"/>
  <c r="AD18"/>
  <c r="AH18" s="1"/>
  <c r="AC18"/>
  <c r="V18"/>
  <c r="AO17"/>
  <c r="AM17" s="1"/>
  <c r="AD17"/>
  <c r="AH17" s="1"/>
  <c r="AC17"/>
  <c r="V17"/>
  <c r="AO16"/>
  <c r="AM16" s="1"/>
  <c r="AD16"/>
  <c r="AH16" s="1"/>
  <c r="AC16"/>
  <c r="V16"/>
  <c r="AO15"/>
  <c r="AM15" s="1"/>
  <c r="AD15"/>
  <c r="AH15" s="1"/>
  <c r="AC15"/>
  <c r="V15"/>
  <c r="Z61" s="1"/>
  <c r="AD14"/>
  <c r="AH14" s="1"/>
  <c r="AC14"/>
  <c r="AD13"/>
  <c r="AH13" s="1"/>
  <c r="AC13"/>
  <c r="AO12"/>
  <c r="AM12" s="1"/>
  <c r="AD12"/>
  <c r="AH12" s="1"/>
  <c r="AC12"/>
  <c r="V12"/>
  <c r="AO11"/>
  <c r="AM11" s="1"/>
  <c r="AD11"/>
  <c r="AH11" s="1"/>
  <c r="AC11"/>
  <c r="V11"/>
  <c r="AO10"/>
  <c r="AM10" s="1"/>
  <c r="AD10"/>
  <c r="AH10" s="1"/>
  <c r="AC10"/>
  <c r="V10"/>
  <c r="AO9"/>
  <c r="AM9" s="1"/>
  <c r="Q3" s="1"/>
  <c r="F71" i="22" s="1"/>
  <c r="AD9" i="44"/>
  <c r="AH9" s="1"/>
  <c r="AC9"/>
  <c r="AG9" s="1"/>
  <c r="V9"/>
  <c r="Z59" s="1"/>
  <c r="AD8"/>
  <c r="AH8" s="1"/>
  <c r="AC8"/>
  <c r="N3"/>
  <c r="C71" i="22" s="1"/>
  <c r="X98" i="43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X77"/>
  <c r="X76"/>
  <c r="X75"/>
  <c r="X74"/>
  <c r="AD73"/>
  <c r="AH73" s="1"/>
  <c r="AC73"/>
  <c r="X73"/>
  <c r="AD72"/>
  <c r="AH72" s="1"/>
  <c r="AC72"/>
  <c r="X72"/>
  <c r="AD71"/>
  <c r="AH71" s="1"/>
  <c r="AC71"/>
  <c r="X71"/>
  <c r="AD70"/>
  <c r="AH70" s="1"/>
  <c r="AC70"/>
  <c r="X70"/>
  <c r="X69"/>
  <c r="AZ68"/>
  <c r="X68"/>
  <c r="AZ67"/>
  <c r="X67"/>
  <c r="AZ66"/>
  <c r="AD66"/>
  <c r="AH66" s="1"/>
  <c r="AC66"/>
  <c r="Z66"/>
  <c r="D66" s="1"/>
  <c r="X66"/>
  <c r="AZ65"/>
  <c r="AD65"/>
  <c r="AH65" s="1"/>
  <c r="AC65"/>
  <c r="AA65"/>
  <c r="F65" s="1"/>
  <c r="X65"/>
  <c r="AZ64"/>
  <c r="AD64"/>
  <c r="AH64" s="1"/>
  <c r="AC64"/>
  <c r="Z64"/>
  <c r="D64" s="1"/>
  <c r="F70" s="1"/>
  <c r="D77" s="1"/>
  <c r="D86" s="1"/>
  <c r="E90" s="1"/>
  <c r="X64"/>
  <c r="AZ63"/>
  <c r="AD63"/>
  <c r="AH63" s="1"/>
  <c r="AC63"/>
  <c r="AA63"/>
  <c r="F63" s="1"/>
  <c r="X63"/>
  <c r="AZ62"/>
  <c r="AD62"/>
  <c r="AH62" s="1"/>
  <c r="AC62"/>
  <c r="Z62"/>
  <c r="D62" s="1"/>
  <c r="F73" s="1"/>
  <c r="X62"/>
  <c r="AZ61"/>
  <c r="AD61"/>
  <c r="AH61" s="1"/>
  <c r="AC61"/>
  <c r="AA61"/>
  <c r="F61" s="1"/>
  <c r="X61"/>
  <c r="AZ60"/>
  <c r="AD60"/>
  <c r="AH60" s="1"/>
  <c r="AC60"/>
  <c r="AL60" s="1"/>
  <c r="Z60"/>
  <c r="D60" s="1"/>
  <c r="X60"/>
  <c r="AZ59"/>
  <c r="AD59"/>
  <c r="AH59" s="1"/>
  <c r="AC59"/>
  <c r="AA59"/>
  <c r="F59" s="1"/>
  <c r="X59"/>
  <c r="AZ58"/>
  <c r="BA67" s="1"/>
  <c r="BB67" s="1"/>
  <c r="AA58"/>
  <c r="Z58"/>
  <c r="X58"/>
  <c r="AD55"/>
  <c r="AH55" s="1"/>
  <c r="AC55"/>
  <c r="AO54"/>
  <c r="AM54" s="1"/>
  <c r="AD54"/>
  <c r="AH54" s="1"/>
  <c r="AC54"/>
  <c r="V54"/>
  <c r="AA64" s="1"/>
  <c r="F64" s="1"/>
  <c r="AO53"/>
  <c r="AM53" s="1"/>
  <c r="AD53"/>
  <c r="AH53" s="1"/>
  <c r="AC53"/>
  <c r="V53"/>
  <c r="AO52"/>
  <c r="AM52" s="1"/>
  <c r="AD52"/>
  <c r="AH52" s="1"/>
  <c r="AC52"/>
  <c r="V52"/>
  <c r="AO51"/>
  <c r="AM51" s="1"/>
  <c r="AD51"/>
  <c r="AH51" s="1"/>
  <c r="AC51"/>
  <c r="V51"/>
  <c r="AD50"/>
  <c r="AH50" s="1"/>
  <c r="AC50"/>
  <c r="AD49"/>
  <c r="AH49" s="1"/>
  <c r="AC49"/>
  <c r="AO48"/>
  <c r="AM48" s="1"/>
  <c r="AD48"/>
  <c r="AH48" s="1"/>
  <c r="AC48"/>
  <c r="V48"/>
  <c r="AO47"/>
  <c r="AM47" s="1"/>
  <c r="AD47"/>
  <c r="AH47" s="1"/>
  <c r="AC47"/>
  <c r="V47"/>
  <c r="AO46"/>
  <c r="AM46" s="1"/>
  <c r="AD46"/>
  <c r="AH46" s="1"/>
  <c r="AC46"/>
  <c r="V46"/>
  <c r="AO45"/>
  <c r="AM45" s="1"/>
  <c r="AD45"/>
  <c r="AH45" s="1"/>
  <c r="AC45"/>
  <c r="V45"/>
  <c r="AA66" s="1"/>
  <c r="F66" s="1"/>
  <c r="F72" s="1"/>
  <c r="AD44"/>
  <c r="AH44" s="1"/>
  <c r="AC44"/>
  <c r="AD43"/>
  <c r="AH43" s="1"/>
  <c r="AC43"/>
  <c r="AK43" s="1"/>
  <c r="AO42"/>
  <c r="AM42" s="1"/>
  <c r="AD42"/>
  <c r="AH42" s="1"/>
  <c r="AC42"/>
  <c r="V42"/>
  <c r="AO41"/>
  <c r="AM41" s="1"/>
  <c r="AD41"/>
  <c r="AH41" s="1"/>
  <c r="AC41"/>
  <c r="V41"/>
  <c r="AO40"/>
  <c r="AM40" s="1"/>
  <c r="AD40"/>
  <c r="AH40" s="1"/>
  <c r="AC40"/>
  <c r="V40"/>
  <c r="AO39"/>
  <c r="AM39" s="1"/>
  <c r="AD39"/>
  <c r="AH39" s="1"/>
  <c r="AC39"/>
  <c r="V39"/>
  <c r="Z65" s="1"/>
  <c r="D65" s="1"/>
  <c r="D72" s="1"/>
  <c r="D78" s="1"/>
  <c r="F82" s="1"/>
  <c r="E92" s="1"/>
  <c r="AD38"/>
  <c r="AH38" s="1"/>
  <c r="AC38"/>
  <c r="AD37"/>
  <c r="AH37" s="1"/>
  <c r="AC37"/>
  <c r="AO36"/>
  <c r="AM36" s="1"/>
  <c r="AD36"/>
  <c r="AH36" s="1"/>
  <c r="AC36"/>
  <c r="V36"/>
  <c r="AO35"/>
  <c r="AM35" s="1"/>
  <c r="AD35"/>
  <c r="AH35" s="1"/>
  <c r="AC35"/>
  <c r="V35"/>
  <c r="Z63" s="1"/>
  <c r="D63" s="1"/>
  <c r="D70" s="1"/>
  <c r="AO34"/>
  <c r="AM34" s="1"/>
  <c r="AD34"/>
  <c r="AH34" s="1"/>
  <c r="AC34"/>
  <c r="V34"/>
  <c r="AO33"/>
  <c r="AM33" s="1"/>
  <c r="AD33"/>
  <c r="AH33" s="1"/>
  <c r="AC33"/>
  <c r="V33"/>
  <c r="AD32"/>
  <c r="AH32" s="1"/>
  <c r="AC32"/>
  <c r="AD31"/>
  <c r="AH31" s="1"/>
  <c r="AC31"/>
  <c r="AK31" s="1"/>
  <c r="AO30"/>
  <c r="AM30" s="1"/>
  <c r="AD30"/>
  <c r="AH30" s="1"/>
  <c r="AC30"/>
  <c r="V30"/>
  <c r="AA60" s="1"/>
  <c r="F60" s="1"/>
  <c r="F71" s="1"/>
  <c r="AO29"/>
  <c r="AM29" s="1"/>
  <c r="AD29"/>
  <c r="AH29" s="1"/>
  <c r="AC29"/>
  <c r="V29"/>
  <c r="AO28"/>
  <c r="AM28" s="1"/>
  <c r="AD28"/>
  <c r="AH28" s="1"/>
  <c r="AC28"/>
  <c r="V28"/>
  <c r="AO27"/>
  <c r="AM27" s="1"/>
  <c r="AD27"/>
  <c r="AH27" s="1"/>
  <c r="AC27"/>
  <c r="V27"/>
  <c r="AD26"/>
  <c r="AH26" s="1"/>
  <c r="AC26"/>
  <c r="AD25"/>
  <c r="AH25" s="1"/>
  <c r="AC25"/>
  <c r="AO24"/>
  <c r="AM24" s="1"/>
  <c r="AD24"/>
  <c r="AH24" s="1"/>
  <c r="AC24"/>
  <c r="V24"/>
  <c r="AO23"/>
  <c r="AM23" s="1"/>
  <c r="AD23"/>
  <c r="AH23" s="1"/>
  <c r="AC23"/>
  <c r="V23"/>
  <c r="AO22"/>
  <c r="AM22" s="1"/>
  <c r="AD22"/>
  <c r="AH22" s="1"/>
  <c r="AC22"/>
  <c r="V22"/>
  <c r="AA62" s="1"/>
  <c r="F62" s="1"/>
  <c r="AO21"/>
  <c r="AM21" s="1"/>
  <c r="AD21"/>
  <c r="AH21" s="1"/>
  <c r="AC21"/>
  <c r="V21"/>
  <c r="AD20"/>
  <c r="AH20" s="1"/>
  <c r="AC20"/>
  <c r="AD19"/>
  <c r="AH19" s="1"/>
  <c r="AC19"/>
  <c r="AK19" s="1"/>
  <c r="AO18"/>
  <c r="AM18" s="1"/>
  <c r="AD18"/>
  <c r="AH18" s="1"/>
  <c r="AC18"/>
  <c r="V18"/>
  <c r="AO17"/>
  <c r="AM17" s="1"/>
  <c r="AD17"/>
  <c r="AH17" s="1"/>
  <c r="AC17"/>
  <c r="V17"/>
  <c r="AO16"/>
  <c r="AM16" s="1"/>
  <c r="AD16"/>
  <c r="AH16" s="1"/>
  <c r="AC16"/>
  <c r="V16"/>
  <c r="AO15"/>
  <c r="AM15" s="1"/>
  <c r="AD15"/>
  <c r="AH15" s="1"/>
  <c r="AC15"/>
  <c r="V15"/>
  <c r="Z61" s="1"/>
  <c r="D61" s="1"/>
  <c r="D73" s="1"/>
  <c r="F78" s="1"/>
  <c r="F86" s="1"/>
  <c r="E89" s="1"/>
  <c r="AD14"/>
  <c r="AH14" s="1"/>
  <c r="AC14"/>
  <c r="AD13"/>
  <c r="AH13" s="1"/>
  <c r="AC13"/>
  <c r="AO12"/>
  <c r="AM12" s="1"/>
  <c r="AD12"/>
  <c r="AH12" s="1"/>
  <c r="AC12"/>
  <c r="V12"/>
  <c r="AO11"/>
  <c r="AM11" s="1"/>
  <c r="AD11"/>
  <c r="AH11" s="1"/>
  <c r="AC11"/>
  <c r="V11"/>
  <c r="AO10"/>
  <c r="AM10" s="1"/>
  <c r="AD10"/>
  <c r="AH10" s="1"/>
  <c r="AC10"/>
  <c r="V10"/>
  <c r="AO9"/>
  <c r="AM9" s="1"/>
  <c r="AD9"/>
  <c r="AH9" s="1"/>
  <c r="AC9"/>
  <c r="AG9" s="1"/>
  <c r="V9"/>
  <c r="Z59" s="1"/>
  <c r="D59" s="1"/>
  <c r="D71" s="1"/>
  <c r="F77" s="1"/>
  <c r="D82" s="1"/>
  <c r="E91" s="1"/>
  <c r="AD8"/>
  <c r="AH8" s="1"/>
  <c r="AC8"/>
  <c r="N3"/>
  <c r="C41" i="22" s="1"/>
  <c r="X98" i="42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X77"/>
  <c r="X76"/>
  <c r="X75"/>
  <c r="X74"/>
  <c r="AD73"/>
  <c r="AH73" s="1"/>
  <c r="AC73"/>
  <c r="X73"/>
  <c r="AD72"/>
  <c r="AH72" s="1"/>
  <c r="AC72"/>
  <c r="X72"/>
  <c r="AD71"/>
  <c r="AH71" s="1"/>
  <c r="AC71"/>
  <c r="X71"/>
  <c r="AD70"/>
  <c r="AH70" s="1"/>
  <c r="AC70"/>
  <c r="X70"/>
  <c r="X69"/>
  <c r="AZ68"/>
  <c r="X68"/>
  <c r="AZ67"/>
  <c r="X67"/>
  <c r="AZ66"/>
  <c r="AD66"/>
  <c r="AH66" s="1"/>
  <c r="AC66"/>
  <c r="X66"/>
  <c r="AZ65"/>
  <c r="AD65"/>
  <c r="AH65" s="1"/>
  <c r="AC65"/>
  <c r="X65"/>
  <c r="AZ64"/>
  <c r="AD64"/>
  <c r="AH64" s="1"/>
  <c r="AC64"/>
  <c r="X64"/>
  <c r="AZ63"/>
  <c r="AD63"/>
  <c r="AH63" s="1"/>
  <c r="AC63"/>
  <c r="AL63" s="1"/>
  <c r="X63"/>
  <c r="AZ62"/>
  <c r="AD62"/>
  <c r="AH62" s="1"/>
  <c r="AC62"/>
  <c r="X62"/>
  <c r="AZ61"/>
  <c r="AD61"/>
  <c r="AH61" s="1"/>
  <c r="AC61"/>
  <c r="X61"/>
  <c r="AZ60"/>
  <c r="AD60"/>
  <c r="AH60" s="1"/>
  <c r="AC60"/>
  <c r="X60"/>
  <c r="AZ59"/>
  <c r="AD59"/>
  <c r="AH59" s="1"/>
  <c r="AC59"/>
  <c r="X59"/>
  <c r="AZ58"/>
  <c r="BA67" s="1"/>
  <c r="BB67" s="1"/>
  <c r="AA58"/>
  <c r="Z58"/>
  <c r="X58"/>
  <c r="AD55"/>
  <c r="AH55" s="1"/>
  <c r="AC55"/>
  <c r="AO54"/>
  <c r="AM54" s="1"/>
  <c r="AD54"/>
  <c r="AH54" s="1"/>
  <c r="AC54"/>
  <c r="V54"/>
  <c r="AO53"/>
  <c r="AM53" s="1"/>
  <c r="AD53"/>
  <c r="AH53" s="1"/>
  <c r="AC53"/>
  <c r="AL53" s="1"/>
  <c r="V53"/>
  <c r="AA64" s="1"/>
  <c r="F64" s="1"/>
  <c r="AO52"/>
  <c r="AM52" s="1"/>
  <c r="AD52"/>
  <c r="AH52" s="1"/>
  <c r="AC52"/>
  <c r="V52"/>
  <c r="AO51"/>
  <c r="AM51" s="1"/>
  <c r="AD51"/>
  <c r="AH51" s="1"/>
  <c r="AC51"/>
  <c r="V51"/>
  <c r="Z66" s="1"/>
  <c r="D66" s="1"/>
  <c r="AD50"/>
  <c r="AH50" s="1"/>
  <c r="AC50"/>
  <c r="AD49"/>
  <c r="AH49" s="1"/>
  <c r="AC49"/>
  <c r="AO48"/>
  <c r="AM48" s="1"/>
  <c r="AD48"/>
  <c r="AH48" s="1"/>
  <c r="AC48"/>
  <c r="V48"/>
  <c r="AO47"/>
  <c r="AM47" s="1"/>
  <c r="AD47"/>
  <c r="AH47" s="1"/>
  <c r="AC47"/>
  <c r="V47"/>
  <c r="AO46"/>
  <c r="AM46" s="1"/>
  <c r="AD46"/>
  <c r="AH46" s="1"/>
  <c r="AC46"/>
  <c r="V46"/>
  <c r="Z64" s="1"/>
  <c r="D64" s="1"/>
  <c r="F70" s="1"/>
  <c r="AO45"/>
  <c r="AM45" s="1"/>
  <c r="AD45"/>
  <c r="AH45" s="1"/>
  <c r="AC45"/>
  <c r="V45"/>
  <c r="AA66" s="1"/>
  <c r="F66" s="1"/>
  <c r="F72" s="1"/>
  <c r="AD44"/>
  <c r="AH44" s="1"/>
  <c r="AC44"/>
  <c r="AD43"/>
  <c r="AH43" s="1"/>
  <c r="AC43"/>
  <c r="AL43" s="1"/>
  <c r="AO42"/>
  <c r="AM42" s="1"/>
  <c r="AD42"/>
  <c r="AH42" s="1"/>
  <c r="AC42"/>
  <c r="AL42" s="1"/>
  <c r="V42"/>
  <c r="AA63" s="1"/>
  <c r="F63" s="1"/>
  <c r="AO41"/>
  <c r="AM41" s="1"/>
  <c r="AD41"/>
  <c r="AH41" s="1"/>
  <c r="AC41"/>
  <c r="AG41" s="1"/>
  <c r="V41"/>
  <c r="AO40"/>
  <c r="AM40" s="1"/>
  <c r="AD40"/>
  <c r="AH40" s="1"/>
  <c r="AC40"/>
  <c r="V40"/>
  <c r="AO39"/>
  <c r="AM39" s="1"/>
  <c r="AD39"/>
  <c r="AH39" s="1"/>
  <c r="AC39"/>
  <c r="AG39" s="1"/>
  <c r="V39"/>
  <c r="Z65" s="1"/>
  <c r="D65" s="1"/>
  <c r="D72" s="1"/>
  <c r="D78" s="1"/>
  <c r="F82" s="1"/>
  <c r="E91" s="1"/>
  <c r="AD38"/>
  <c r="AH38" s="1"/>
  <c r="AC38"/>
  <c r="AL38" s="1"/>
  <c r="AD37"/>
  <c r="AH37" s="1"/>
  <c r="AC37"/>
  <c r="AO36"/>
  <c r="AM36" s="1"/>
  <c r="AD36"/>
  <c r="AH36" s="1"/>
  <c r="AC36"/>
  <c r="AG36" s="1"/>
  <c r="V36"/>
  <c r="AO35"/>
  <c r="AM35" s="1"/>
  <c r="AD35"/>
  <c r="AH35" s="1"/>
  <c r="AC35"/>
  <c r="AG35" s="1"/>
  <c r="V35"/>
  <c r="Z63" s="1"/>
  <c r="D63" s="1"/>
  <c r="D70" s="1"/>
  <c r="D77" s="1"/>
  <c r="D82" s="1"/>
  <c r="E92" s="1"/>
  <c r="AO34"/>
  <c r="AM34" s="1"/>
  <c r="AD34"/>
  <c r="AH34" s="1"/>
  <c r="AC34"/>
  <c r="AG34" s="1"/>
  <c r="V34"/>
  <c r="AO33"/>
  <c r="AM33" s="1"/>
  <c r="AD33"/>
  <c r="AH33" s="1"/>
  <c r="AC33"/>
  <c r="V33"/>
  <c r="AA65" s="1"/>
  <c r="F65" s="1"/>
  <c r="AD32"/>
  <c r="AH32" s="1"/>
  <c r="AC32"/>
  <c r="AG32" s="1"/>
  <c r="AD31"/>
  <c r="AC31"/>
  <c r="AO30"/>
  <c r="AM30" s="1"/>
  <c r="AD30"/>
  <c r="AH30" s="1"/>
  <c r="AC30"/>
  <c r="AG30" s="1"/>
  <c r="V30"/>
  <c r="Z62" s="1"/>
  <c r="D62" s="1"/>
  <c r="F73" s="1"/>
  <c r="AO29"/>
  <c r="AM29" s="1"/>
  <c r="AD29"/>
  <c r="AH29" s="1"/>
  <c r="AC29"/>
  <c r="V29"/>
  <c r="AO28"/>
  <c r="AM28" s="1"/>
  <c r="AD28"/>
  <c r="AH28" s="1"/>
  <c r="AC28"/>
  <c r="AG28" s="1"/>
  <c r="V28"/>
  <c r="AO27"/>
  <c r="AM27" s="1"/>
  <c r="AD27"/>
  <c r="AH27" s="1"/>
  <c r="AC27"/>
  <c r="V27"/>
  <c r="AA60" s="1"/>
  <c r="F60" s="1"/>
  <c r="F71" s="1"/>
  <c r="AD26"/>
  <c r="AH26" s="1"/>
  <c r="AC26"/>
  <c r="AG26" s="1"/>
  <c r="AD25"/>
  <c r="AH25" s="1"/>
  <c r="AC25"/>
  <c r="AO24"/>
  <c r="AM24" s="1"/>
  <c r="AD24"/>
  <c r="AH24" s="1"/>
  <c r="AC24"/>
  <c r="AG24" s="1"/>
  <c r="V24"/>
  <c r="AA62" s="1"/>
  <c r="F62" s="1"/>
  <c r="AO23"/>
  <c r="AM23" s="1"/>
  <c r="AD23"/>
  <c r="AH23" s="1"/>
  <c r="AC23"/>
  <c r="V23"/>
  <c r="Z60" s="1"/>
  <c r="D60" s="1"/>
  <c r="AO22"/>
  <c r="AM22" s="1"/>
  <c r="AD22"/>
  <c r="AH22" s="1"/>
  <c r="AC22"/>
  <c r="AG22" s="1"/>
  <c r="V22"/>
  <c r="AO21"/>
  <c r="AM21" s="1"/>
  <c r="AD21"/>
  <c r="AH21" s="1"/>
  <c r="AC21"/>
  <c r="AG21" s="1"/>
  <c r="V21"/>
  <c r="AD20"/>
  <c r="AH20" s="1"/>
  <c r="AC20"/>
  <c r="AG20" s="1"/>
  <c r="AD19"/>
  <c r="AH19" s="1"/>
  <c r="AC19"/>
  <c r="AL19" s="1"/>
  <c r="AO18"/>
  <c r="AM18" s="1"/>
  <c r="AD18"/>
  <c r="AH18" s="1"/>
  <c r="AC18"/>
  <c r="AG18" s="1"/>
  <c r="V18"/>
  <c r="AO17"/>
  <c r="AM17" s="1"/>
  <c r="AD17"/>
  <c r="AH17" s="1"/>
  <c r="AC17"/>
  <c r="V17"/>
  <c r="AO16"/>
  <c r="AM16" s="1"/>
  <c r="AD16"/>
  <c r="AH16" s="1"/>
  <c r="AC16"/>
  <c r="AG16" s="1"/>
  <c r="V16"/>
  <c r="AA59" s="1"/>
  <c r="F59" s="1"/>
  <c r="AO15"/>
  <c r="AM15" s="1"/>
  <c r="AD15"/>
  <c r="AH15" s="1"/>
  <c r="AC15"/>
  <c r="V15"/>
  <c r="Z61" s="1"/>
  <c r="D61" s="1"/>
  <c r="D73" s="1"/>
  <c r="F78" s="1"/>
  <c r="F86" s="1"/>
  <c r="E89" s="1"/>
  <c r="AD14"/>
  <c r="AH14" s="1"/>
  <c r="AC14"/>
  <c r="AG14" s="1"/>
  <c r="AD13"/>
  <c r="AC13"/>
  <c r="AO12"/>
  <c r="AM12" s="1"/>
  <c r="AD12"/>
  <c r="AH12" s="1"/>
  <c r="AC12"/>
  <c r="AG12" s="1"/>
  <c r="V12"/>
  <c r="AO11"/>
  <c r="AM11" s="1"/>
  <c r="AD11"/>
  <c r="AH11" s="1"/>
  <c r="AC11"/>
  <c r="V11"/>
  <c r="AA61" s="1"/>
  <c r="F61" s="1"/>
  <c r="AO10"/>
  <c r="AM10" s="1"/>
  <c r="AD10"/>
  <c r="AH10" s="1"/>
  <c r="AC10"/>
  <c r="AG10" s="1"/>
  <c r="V10"/>
  <c r="AO9"/>
  <c r="AM9" s="1"/>
  <c r="AD9"/>
  <c r="AH9" s="1"/>
  <c r="AC9"/>
  <c r="AG9" s="1"/>
  <c r="V9"/>
  <c r="Z59" s="1"/>
  <c r="D59" s="1"/>
  <c r="D71" s="1"/>
  <c r="F77" s="1"/>
  <c r="D86" s="1"/>
  <c r="E90" s="1"/>
  <c r="AD8"/>
  <c r="AH8" s="1"/>
  <c r="AC8"/>
  <c r="AG8" s="1"/>
  <c r="N3"/>
  <c r="C56" i="22" s="1"/>
  <c r="X98" i="41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X77"/>
  <c r="X76"/>
  <c r="X75"/>
  <c r="X74"/>
  <c r="AD73"/>
  <c r="AH73" s="1"/>
  <c r="AC73"/>
  <c r="X73"/>
  <c r="AD72"/>
  <c r="AH72" s="1"/>
  <c r="AC72"/>
  <c r="X72"/>
  <c r="AD71"/>
  <c r="AH71" s="1"/>
  <c r="AC71"/>
  <c r="X71"/>
  <c r="AD70"/>
  <c r="AH70" s="1"/>
  <c r="AC70"/>
  <c r="X70"/>
  <c r="X69"/>
  <c r="AZ68"/>
  <c r="X68"/>
  <c r="AZ67"/>
  <c r="X67"/>
  <c r="AZ66"/>
  <c r="AD66"/>
  <c r="AH66" s="1"/>
  <c r="AC66"/>
  <c r="AG66" s="1"/>
  <c r="X66"/>
  <c r="AZ65"/>
  <c r="AD65"/>
  <c r="AH65" s="1"/>
  <c r="AC65"/>
  <c r="AG65" s="1"/>
  <c r="X65"/>
  <c r="AZ64"/>
  <c r="AD64"/>
  <c r="AH64" s="1"/>
  <c r="AC64"/>
  <c r="AG64" s="1"/>
  <c r="X64"/>
  <c r="AZ63"/>
  <c r="AD63"/>
  <c r="AH63" s="1"/>
  <c r="AC63"/>
  <c r="AG63" s="1"/>
  <c r="X63"/>
  <c r="AZ62"/>
  <c r="AD62"/>
  <c r="AH62" s="1"/>
  <c r="AC62"/>
  <c r="AG62" s="1"/>
  <c r="X62"/>
  <c r="AZ61"/>
  <c r="AD61"/>
  <c r="AH61" s="1"/>
  <c r="AC61"/>
  <c r="AG61" s="1"/>
  <c r="X61"/>
  <c r="AZ60"/>
  <c r="AD60"/>
  <c r="AH60" s="1"/>
  <c r="AC60"/>
  <c r="AG60" s="1"/>
  <c r="X60"/>
  <c r="AZ59"/>
  <c r="AD59"/>
  <c r="AH59" s="1"/>
  <c r="AC59"/>
  <c r="AG59" s="1"/>
  <c r="X59"/>
  <c r="AZ58"/>
  <c r="BA67" s="1"/>
  <c r="BB67" s="1"/>
  <c r="AA58"/>
  <c r="Z58"/>
  <c r="X58"/>
  <c r="AD55"/>
  <c r="AC55"/>
  <c r="AO54"/>
  <c r="AM54" s="1"/>
  <c r="AD54"/>
  <c r="AH54" s="1"/>
  <c r="AC54"/>
  <c r="AG54" s="1"/>
  <c r="V54"/>
  <c r="AO53"/>
  <c r="AM53" s="1"/>
  <c r="AD53"/>
  <c r="AH53" s="1"/>
  <c r="AC53"/>
  <c r="V53"/>
  <c r="AA64" s="1"/>
  <c r="F64" s="1"/>
  <c r="AO52"/>
  <c r="AM52" s="1"/>
  <c r="AD52"/>
  <c r="AH52" s="1"/>
  <c r="AC52"/>
  <c r="AG52" s="1"/>
  <c r="V52"/>
  <c r="AO51"/>
  <c r="AM51" s="1"/>
  <c r="AD51"/>
  <c r="AH51" s="1"/>
  <c r="AC51"/>
  <c r="V51"/>
  <c r="Z66" s="1"/>
  <c r="D66" s="1"/>
  <c r="AD50"/>
  <c r="AH50" s="1"/>
  <c r="AC50"/>
  <c r="AG50" s="1"/>
  <c r="AD49"/>
  <c r="AH49" s="1"/>
  <c r="AC49"/>
  <c r="AO48"/>
  <c r="AM48" s="1"/>
  <c r="AD48"/>
  <c r="AH48" s="1"/>
  <c r="AC48"/>
  <c r="AG48" s="1"/>
  <c r="V48"/>
  <c r="AO47"/>
  <c r="AM47" s="1"/>
  <c r="AD47"/>
  <c r="AH47" s="1"/>
  <c r="AC47"/>
  <c r="V47"/>
  <c r="AO46"/>
  <c r="AM46" s="1"/>
  <c r="AD46"/>
  <c r="AH46" s="1"/>
  <c r="AC46"/>
  <c r="AG46" s="1"/>
  <c r="V46"/>
  <c r="AA66" s="1"/>
  <c r="F66" s="1"/>
  <c r="F72" s="1"/>
  <c r="AO45"/>
  <c r="AM45" s="1"/>
  <c r="AD45"/>
  <c r="AH45" s="1"/>
  <c r="AC45"/>
  <c r="V45"/>
  <c r="Z64" s="1"/>
  <c r="D64" s="1"/>
  <c r="F70" s="1"/>
  <c r="D77" s="1"/>
  <c r="D82" s="1"/>
  <c r="E92" s="1"/>
  <c r="AD44"/>
  <c r="AH44" s="1"/>
  <c r="AC44"/>
  <c r="AG44" s="1"/>
  <c r="AD43"/>
  <c r="AC43"/>
  <c r="AO42"/>
  <c r="AM42" s="1"/>
  <c r="AD42"/>
  <c r="AH42" s="1"/>
  <c r="AC42"/>
  <c r="AG42" s="1"/>
  <c r="V42"/>
  <c r="AA63" s="1"/>
  <c r="F63" s="1"/>
  <c r="AO41"/>
  <c r="AM41" s="1"/>
  <c r="AD41"/>
  <c r="AH41" s="1"/>
  <c r="AC41"/>
  <c r="V41"/>
  <c r="AO40"/>
  <c r="AM40" s="1"/>
  <c r="AD40"/>
  <c r="AH40" s="1"/>
  <c r="AC40"/>
  <c r="AG40" s="1"/>
  <c r="V40"/>
  <c r="AO39"/>
  <c r="AM39" s="1"/>
  <c r="AD39"/>
  <c r="AH39" s="1"/>
  <c r="AC39"/>
  <c r="V39"/>
  <c r="Z65" s="1"/>
  <c r="D65" s="1"/>
  <c r="D72" s="1"/>
  <c r="D78" s="1"/>
  <c r="F82" s="1"/>
  <c r="E91" s="1"/>
  <c r="AD38"/>
  <c r="AH38" s="1"/>
  <c r="AC38"/>
  <c r="AG38" s="1"/>
  <c r="AD37"/>
  <c r="AH37" s="1"/>
  <c r="AC37"/>
  <c r="AO36"/>
  <c r="AM36" s="1"/>
  <c r="AD36"/>
  <c r="AH36" s="1"/>
  <c r="AC36"/>
  <c r="AG36" s="1"/>
  <c r="V36"/>
  <c r="AO35"/>
  <c r="AM35" s="1"/>
  <c r="AD35"/>
  <c r="AH35" s="1"/>
  <c r="AC35"/>
  <c r="V35"/>
  <c r="Z63" s="1"/>
  <c r="D63" s="1"/>
  <c r="D70" s="1"/>
  <c r="AO34"/>
  <c r="AM34" s="1"/>
  <c r="AD34"/>
  <c r="AH34" s="1"/>
  <c r="AC34"/>
  <c r="AG34" s="1"/>
  <c r="V34"/>
  <c r="AO33"/>
  <c r="AM33" s="1"/>
  <c r="AD33"/>
  <c r="AH33" s="1"/>
  <c r="AC33"/>
  <c r="V33"/>
  <c r="AA65" s="1"/>
  <c r="F65" s="1"/>
  <c r="AD32"/>
  <c r="AH32" s="1"/>
  <c r="AC32"/>
  <c r="AG32" s="1"/>
  <c r="AD31"/>
  <c r="AC31"/>
  <c r="AO30"/>
  <c r="AM30" s="1"/>
  <c r="AD30"/>
  <c r="AH30" s="1"/>
  <c r="AC30"/>
  <c r="AG30" s="1"/>
  <c r="V30"/>
  <c r="AO29"/>
  <c r="AM29" s="1"/>
  <c r="AD29"/>
  <c r="AH29" s="1"/>
  <c r="AC29"/>
  <c r="V29"/>
  <c r="AA60" s="1"/>
  <c r="F60" s="1"/>
  <c r="F71" s="1"/>
  <c r="AO28"/>
  <c r="AM28" s="1"/>
  <c r="AD28"/>
  <c r="AH28" s="1"/>
  <c r="AC28"/>
  <c r="AG28" s="1"/>
  <c r="V28"/>
  <c r="AO27"/>
  <c r="AM27" s="1"/>
  <c r="AD27"/>
  <c r="AH27" s="1"/>
  <c r="AC27"/>
  <c r="V27"/>
  <c r="Z62" s="1"/>
  <c r="D62" s="1"/>
  <c r="F73" s="1"/>
  <c r="AD26"/>
  <c r="AH26" s="1"/>
  <c r="AC26"/>
  <c r="AG26" s="1"/>
  <c r="AD25"/>
  <c r="AH25" s="1"/>
  <c r="AC25"/>
  <c r="AL25" s="1"/>
  <c r="AO24"/>
  <c r="AM24" s="1"/>
  <c r="AD24"/>
  <c r="AH24" s="1"/>
  <c r="AC24"/>
  <c r="AG24" s="1"/>
  <c r="V24"/>
  <c r="AO23"/>
  <c r="AM23" s="1"/>
  <c r="AD23"/>
  <c r="AH23" s="1"/>
  <c r="AC23"/>
  <c r="V23"/>
  <c r="Z60" s="1"/>
  <c r="D60" s="1"/>
  <c r="AO22"/>
  <c r="AM22" s="1"/>
  <c r="AD22"/>
  <c r="AH22" s="1"/>
  <c r="AC22"/>
  <c r="AG22" s="1"/>
  <c r="V22"/>
  <c r="AO21"/>
  <c r="AM21" s="1"/>
  <c r="AD21"/>
  <c r="AH21" s="1"/>
  <c r="AC21"/>
  <c r="V21"/>
  <c r="AA62" s="1"/>
  <c r="F62" s="1"/>
  <c r="AD20"/>
  <c r="AH20" s="1"/>
  <c r="AC20"/>
  <c r="AG20" s="1"/>
  <c r="AD19"/>
  <c r="AC19"/>
  <c r="AO18"/>
  <c r="AM18" s="1"/>
  <c r="AD18"/>
  <c r="AH18" s="1"/>
  <c r="AC18"/>
  <c r="AG18" s="1"/>
  <c r="V18"/>
  <c r="AO17"/>
  <c r="AM17" s="1"/>
  <c r="AD17"/>
  <c r="AH17" s="1"/>
  <c r="AC17"/>
  <c r="V17"/>
  <c r="AO16"/>
  <c r="AM16" s="1"/>
  <c r="AD16"/>
  <c r="AH16" s="1"/>
  <c r="AC16"/>
  <c r="AG16" s="1"/>
  <c r="V16"/>
  <c r="AA59" s="1"/>
  <c r="F59" s="1"/>
  <c r="AO15"/>
  <c r="AM15" s="1"/>
  <c r="AD15"/>
  <c r="AH15" s="1"/>
  <c r="AC15"/>
  <c r="V15"/>
  <c r="Z61" s="1"/>
  <c r="D61" s="1"/>
  <c r="D73" s="1"/>
  <c r="F78" s="1"/>
  <c r="F86" s="1"/>
  <c r="E90" s="1"/>
  <c r="AD14"/>
  <c r="AH14" s="1"/>
  <c r="AC14"/>
  <c r="AG14" s="1"/>
  <c r="AD13"/>
  <c r="AH13" s="1"/>
  <c r="AC13"/>
  <c r="AO12"/>
  <c r="AM12" s="1"/>
  <c r="AD12"/>
  <c r="AH12" s="1"/>
  <c r="AC12"/>
  <c r="AG12" s="1"/>
  <c r="V12"/>
  <c r="AA61" s="1"/>
  <c r="F61" s="1"/>
  <c r="AO11"/>
  <c r="AM11" s="1"/>
  <c r="AD11"/>
  <c r="AH11" s="1"/>
  <c r="AC11"/>
  <c r="V11"/>
  <c r="AO10"/>
  <c r="AM10" s="1"/>
  <c r="AD10"/>
  <c r="AH10" s="1"/>
  <c r="AC10"/>
  <c r="AG10" s="1"/>
  <c r="V10"/>
  <c r="AO9"/>
  <c r="AM9" s="1"/>
  <c r="AD9"/>
  <c r="AH9" s="1"/>
  <c r="AC9"/>
  <c r="AG9" s="1"/>
  <c r="V9"/>
  <c r="Z59" s="1"/>
  <c r="D59" s="1"/>
  <c r="D71" s="1"/>
  <c r="F77" s="1"/>
  <c r="D86" s="1"/>
  <c r="E89" s="1"/>
  <c r="AD8"/>
  <c r="AH8" s="1"/>
  <c r="AC8"/>
  <c r="AG8" s="1"/>
  <c r="N3"/>
  <c r="C40" i="22" s="1"/>
  <c r="X98" i="40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X77"/>
  <c r="X76"/>
  <c r="X75"/>
  <c r="X74"/>
  <c r="AD73"/>
  <c r="AH73" s="1"/>
  <c r="AC73"/>
  <c r="X73"/>
  <c r="AD72"/>
  <c r="AH72" s="1"/>
  <c r="AC72"/>
  <c r="X72"/>
  <c r="AD71"/>
  <c r="AH71" s="1"/>
  <c r="AC71"/>
  <c r="X71"/>
  <c r="AD70"/>
  <c r="AH70" s="1"/>
  <c r="AC70"/>
  <c r="X70"/>
  <c r="X69"/>
  <c r="AZ68"/>
  <c r="X68"/>
  <c r="AZ67"/>
  <c r="X67"/>
  <c r="AZ66"/>
  <c r="AD66"/>
  <c r="AH66" s="1"/>
  <c r="AC66"/>
  <c r="AG66" s="1"/>
  <c r="X66"/>
  <c r="AZ65"/>
  <c r="AD65"/>
  <c r="AH65" s="1"/>
  <c r="AC65"/>
  <c r="AG65" s="1"/>
  <c r="X65"/>
  <c r="AZ64"/>
  <c r="AD64"/>
  <c r="AH64" s="1"/>
  <c r="AC64"/>
  <c r="AG64" s="1"/>
  <c r="X64"/>
  <c r="AZ63"/>
  <c r="AD63"/>
  <c r="AH63" s="1"/>
  <c r="AC63"/>
  <c r="AG63" s="1"/>
  <c r="X63"/>
  <c r="AZ62"/>
  <c r="AD62"/>
  <c r="AH62" s="1"/>
  <c r="AC62"/>
  <c r="AG62" s="1"/>
  <c r="X62"/>
  <c r="AZ61"/>
  <c r="AD61"/>
  <c r="AH61" s="1"/>
  <c r="AC61"/>
  <c r="AG61" s="1"/>
  <c r="X61"/>
  <c r="AZ60"/>
  <c r="AD60"/>
  <c r="AH60" s="1"/>
  <c r="AC60"/>
  <c r="AG60" s="1"/>
  <c r="X60"/>
  <c r="AZ59"/>
  <c r="BA68" s="1"/>
  <c r="BB68" s="1"/>
  <c r="AD59"/>
  <c r="AH59" s="1"/>
  <c r="AC59"/>
  <c r="AG59" s="1"/>
  <c r="X59"/>
  <c r="BA58"/>
  <c r="BB58" s="1"/>
  <c r="AZ58"/>
  <c r="AA58"/>
  <c r="Z58"/>
  <c r="X58"/>
  <c r="AD55"/>
  <c r="AH55" s="1"/>
  <c r="AC55"/>
  <c r="AO54"/>
  <c r="AM54" s="1"/>
  <c r="AD54"/>
  <c r="AH54" s="1"/>
  <c r="AC54"/>
  <c r="AG54" s="1"/>
  <c r="V54"/>
  <c r="AO53"/>
  <c r="AM53" s="1"/>
  <c r="AD53"/>
  <c r="AH53" s="1"/>
  <c r="AC53"/>
  <c r="AL53" s="1"/>
  <c r="V53"/>
  <c r="AA64" s="1"/>
  <c r="F64" s="1"/>
  <c r="AO52"/>
  <c r="AM52" s="1"/>
  <c r="AD52"/>
  <c r="AH52" s="1"/>
  <c r="AC52"/>
  <c r="AG52" s="1"/>
  <c r="V52"/>
  <c r="AO51"/>
  <c r="AM51" s="1"/>
  <c r="AD51"/>
  <c r="AH51" s="1"/>
  <c r="AC51"/>
  <c r="V51"/>
  <c r="Z66" s="1"/>
  <c r="D66" s="1"/>
  <c r="AD50"/>
  <c r="AH50" s="1"/>
  <c r="AC50"/>
  <c r="AG50" s="1"/>
  <c r="AD49"/>
  <c r="AL49" s="1"/>
  <c r="AC49"/>
  <c r="AO48"/>
  <c r="AM48" s="1"/>
  <c r="AD48"/>
  <c r="AH48" s="1"/>
  <c r="AC48"/>
  <c r="AG48" s="1"/>
  <c r="V48"/>
  <c r="AO47"/>
  <c r="AM47" s="1"/>
  <c r="AD47"/>
  <c r="AH47" s="1"/>
  <c r="AC47"/>
  <c r="V47"/>
  <c r="AO46"/>
  <c r="AM46" s="1"/>
  <c r="AD46"/>
  <c r="AH46" s="1"/>
  <c r="AC46"/>
  <c r="AG46" s="1"/>
  <c r="V46"/>
  <c r="AA66" s="1"/>
  <c r="F66" s="1"/>
  <c r="F72" s="1"/>
  <c r="AO45"/>
  <c r="AM45" s="1"/>
  <c r="AD45"/>
  <c r="AH45" s="1"/>
  <c r="AC45"/>
  <c r="V45"/>
  <c r="Z64" s="1"/>
  <c r="D64" s="1"/>
  <c r="F70" s="1"/>
  <c r="D77" s="1"/>
  <c r="D82" s="1"/>
  <c r="E92" s="1"/>
  <c r="AD44"/>
  <c r="AH44" s="1"/>
  <c r="AC44"/>
  <c r="AD43"/>
  <c r="AH43" s="1"/>
  <c r="AC43"/>
  <c r="AO42"/>
  <c r="AM42" s="1"/>
  <c r="AD42"/>
  <c r="AH42" s="1"/>
  <c r="AC42"/>
  <c r="V42"/>
  <c r="AA63" s="1"/>
  <c r="F63" s="1"/>
  <c r="AO41"/>
  <c r="AM41" s="1"/>
  <c r="AD41"/>
  <c r="AH41" s="1"/>
  <c r="AC41"/>
  <c r="V41"/>
  <c r="AO40"/>
  <c r="AM40" s="1"/>
  <c r="AD40"/>
  <c r="AH40" s="1"/>
  <c r="AC40"/>
  <c r="AK40" s="1"/>
  <c r="V40"/>
  <c r="AO39"/>
  <c r="AM39" s="1"/>
  <c r="AD39"/>
  <c r="AH39" s="1"/>
  <c r="AC39"/>
  <c r="V39"/>
  <c r="Z65" s="1"/>
  <c r="D65" s="1"/>
  <c r="D72" s="1"/>
  <c r="D78" s="1"/>
  <c r="F82" s="1"/>
  <c r="E91" s="1"/>
  <c r="AD38"/>
  <c r="AH38" s="1"/>
  <c r="AC38"/>
  <c r="AD37"/>
  <c r="AH37" s="1"/>
  <c r="AC37"/>
  <c r="AO36"/>
  <c r="AM36" s="1"/>
  <c r="AD36"/>
  <c r="AH36" s="1"/>
  <c r="AC36"/>
  <c r="V36"/>
  <c r="AO35"/>
  <c r="AM35" s="1"/>
  <c r="AD35"/>
  <c r="AH35" s="1"/>
  <c r="AC35"/>
  <c r="V35"/>
  <c r="Z63" s="1"/>
  <c r="D63" s="1"/>
  <c r="D70" s="1"/>
  <c r="AO34"/>
  <c r="AM34" s="1"/>
  <c r="AD34"/>
  <c r="AH34" s="1"/>
  <c r="AC34"/>
  <c r="AK34" s="1"/>
  <c r="V34"/>
  <c r="AO33"/>
  <c r="AM33" s="1"/>
  <c r="AD33"/>
  <c r="AC33"/>
  <c r="V33"/>
  <c r="AA65" s="1"/>
  <c r="F65" s="1"/>
  <c r="AD32"/>
  <c r="AC32"/>
  <c r="AD31"/>
  <c r="AH31" s="1"/>
  <c r="AC31"/>
  <c r="AL31" s="1"/>
  <c r="AO30"/>
  <c r="AM30" s="1"/>
  <c r="AD30"/>
  <c r="AC30"/>
  <c r="V30"/>
  <c r="Z62" s="1"/>
  <c r="D62" s="1"/>
  <c r="F73" s="1"/>
  <c r="AO29"/>
  <c r="AM29" s="1"/>
  <c r="AD29"/>
  <c r="AC29"/>
  <c r="V29"/>
  <c r="AO28"/>
  <c r="AM28" s="1"/>
  <c r="AD28"/>
  <c r="AC28"/>
  <c r="V28"/>
  <c r="AO27"/>
  <c r="AM27" s="1"/>
  <c r="AD27"/>
  <c r="AC27"/>
  <c r="V27"/>
  <c r="AA60" s="1"/>
  <c r="F60" s="1"/>
  <c r="F71" s="1"/>
  <c r="AD26"/>
  <c r="AC26"/>
  <c r="AD25"/>
  <c r="AH25" s="1"/>
  <c r="AC25"/>
  <c r="AO24"/>
  <c r="AM24" s="1"/>
  <c r="AD24"/>
  <c r="AC24"/>
  <c r="V24"/>
  <c r="AO23"/>
  <c r="AM23" s="1"/>
  <c r="AD23"/>
  <c r="AC23"/>
  <c r="V23"/>
  <c r="AA62" s="1"/>
  <c r="F62" s="1"/>
  <c r="AO22"/>
  <c r="AM22" s="1"/>
  <c r="AD22"/>
  <c r="AC22"/>
  <c r="V22"/>
  <c r="AO21"/>
  <c r="AM21" s="1"/>
  <c r="AD21"/>
  <c r="AC21"/>
  <c r="V21"/>
  <c r="Z60" s="1"/>
  <c r="D60" s="1"/>
  <c r="AD20"/>
  <c r="AC20"/>
  <c r="AD19"/>
  <c r="AH19" s="1"/>
  <c r="AC19"/>
  <c r="AL19" s="1"/>
  <c r="AO18"/>
  <c r="AM18" s="1"/>
  <c r="AD18"/>
  <c r="AC18"/>
  <c r="V18"/>
  <c r="AO17"/>
  <c r="AM17" s="1"/>
  <c r="AD17"/>
  <c r="AC17"/>
  <c r="V17"/>
  <c r="AO16"/>
  <c r="AM16" s="1"/>
  <c r="AD16"/>
  <c r="AC16"/>
  <c r="V16"/>
  <c r="AA59" s="1"/>
  <c r="F59" s="1"/>
  <c r="AO15"/>
  <c r="AM15" s="1"/>
  <c r="AD15"/>
  <c r="AC15"/>
  <c r="V15"/>
  <c r="Z61" s="1"/>
  <c r="D61" s="1"/>
  <c r="D73" s="1"/>
  <c r="F78" s="1"/>
  <c r="F86" s="1"/>
  <c r="E90" s="1"/>
  <c r="AD14"/>
  <c r="AC14"/>
  <c r="AD13"/>
  <c r="AH13" s="1"/>
  <c r="AC13"/>
  <c r="AO12"/>
  <c r="AM12" s="1"/>
  <c r="AD12"/>
  <c r="AC12"/>
  <c r="V12"/>
  <c r="AO11"/>
  <c r="AM11" s="1"/>
  <c r="AD11"/>
  <c r="AC11"/>
  <c r="V11"/>
  <c r="AA61" s="1"/>
  <c r="F61" s="1"/>
  <c r="AO10"/>
  <c r="AM10" s="1"/>
  <c r="AD10"/>
  <c r="AC10"/>
  <c r="V10"/>
  <c r="AO9"/>
  <c r="AM9" s="1"/>
  <c r="AD9"/>
  <c r="AC9"/>
  <c r="AG9" s="1"/>
  <c r="V9"/>
  <c r="Z59" s="1"/>
  <c r="D59" s="1"/>
  <c r="D71" s="1"/>
  <c r="F77" s="1"/>
  <c r="D86" s="1"/>
  <c r="E89" s="1"/>
  <c r="AD8"/>
  <c r="AC8"/>
  <c r="N3"/>
  <c r="C17" i="22" s="1"/>
  <c r="X98" i="39"/>
  <c r="X97"/>
  <c r="X96"/>
  <c r="X95"/>
  <c r="X94"/>
  <c r="X93"/>
  <c r="X92"/>
  <c r="E92"/>
  <c r="X91"/>
  <c r="E91"/>
  <c r="X90"/>
  <c r="E90"/>
  <c r="X89"/>
  <c r="E89"/>
  <c r="X88"/>
  <c r="X87"/>
  <c r="AD86"/>
  <c r="AH86" s="1"/>
  <c r="AC86"/>
  <c r="X86"/>
  <c r="F86"/>
  <c r="D86"/>
  <c r="X85"/>
  <c r="X84"/>
  <c r="X83"/>
  <c r="AD82"/>
  <c r="AH82" s="1"/>
  <c r="AC82"/>
  <c r="X82"/>
  <c r="F82"/>
  <c r="D82"/>
  <c r="X81"/>
  <c r="X80"/>
  <c r="X79"/>
  <c r="AD78"/>
  <c r="AH78" s="1"/>
  <c r="AC78"/>
  <c r="X78"/>
  <c r="F78"/>
  <c r="D78"/>
  <c r="AD77"/>
  <c r="AC77"/>
  <c r="X77"/>
  <c r="F77"/>
  <c r="D77"/>
  <c r="X76"/>
  <c r="X75"/>
  <c r="X74"/>
  <c r="AD73"/>
  <c r="AC73"/>
  <c r="X73"/>
  <c r="F73"/>
  <c r="D73"/>
  <c r="AD72"/>
  <c r="AH72" s="1"/>
  <c r="AC72"/>
  <c r="X72"/>
  <c r="F72"/>
  <c r="D72"/>
  <c r="AD71"/>
  <c r="AC71"/>
  <c r="X71"/>
  <c r="F71"/>
  <c r="D71"/>
  <c r="AD70"/>
  <c r="AH70" s="1"/>
  <c r="AC70"/>
  <c r="X70"/>
  <c r="F70"/>
  <c r="D70"/>
  <c r="X69"/>
  <c r="AZ68"/>
  <c r="X68"/>
  <c r="AZ67"/>
  <c r="X67"/>
  <c r="AZ66"/>
  <c r="AD66"/>
  <c r="AC66"/>
  <c r="AA66"/>
  <c r="F66" s="1"/>
  <c r="Z66"/>
  <c r="D66" s="1"/>
  <c r="X66"/>
  <c r="AZ65"/>
  <c r="AD65"/>
  <c r="AC65"/>
  <c r="AA65"/>
  <c r="F65" s="1"/>
  <c r="Z65"/>
  <c r="X65"/>
  <c r="D65"/>
  <c r="AZ64"/>
  <c r="AD64"/>
  <c r="AC64"/>
  <c r="AA64"/>
  <c r="F64" s="1"/>
  <c r="Z64"/>
  <c r="D64" s="1"/>
  <c r="X64"/>
  <c r="AZ63"/>
  <c r="AD63"/>
  <c r="AC63"/>
  <c r="AA63"/>
  <c r="F63" s="1"/>
  <c r="Z63"/>
  <c r="D63" s="1"/>
  <c r="X63"/>
  <c r="AZ62"/>
  <c r="AD62"/>
  <c r="AC62"/>
  <c r="AA62"/>
  <c r="F62" s="1"/>
  <c r="Z62"/>
  <c r="D62" s="1"/>
  <c r="X62"/>
  <c r="AZ61"/>
  <c r="AD61"/>
  <c r="AC61"/>
  <c r="AA61"/>
  <c r="F61" s="1"/>
  <c r="Z61"/>
  <c r="D61" s="1"/>
  <c r="X61"/>
  <c r="AZ60"/>
  <c r="AD60"/>
  <c r="AC60"/>
  <c r="AA60"/>
  <c r="F60" s="1"/>
  <c r="Z60"/>
  <c r="D60" s="1"/>
  <c r="X60"/>
  <c r="AZ59"/>
  <c r="AD59"/>
  <c r="AC59"/>
  <c r="AA59"/>
  <c r="F59" s="1"/>
  <c r="Z59"/>
  <c r="D59" s="1"/>
  <c r="X59"/>
  <c r="AZ58"/>
  <c r="AA58"/>
  <c r="Z58"/>
  <c r="X58"/>
  <c r="AD55"/>
  <c r="AH55" s="1"/>
  <c r="AC55"/>
  <c r="L55"/>
  <c r="K55"/>
  <c r="J55"/>
  <c r="AO54"/>
  <c r="AM54" s="1"/>
  <c r="AD54"/>
  <c r="AC54"/>
  <c r="V54"/>
  <c r="Q54"/>
  <c r="P54"/>
  <c r="L54"/>
  <c r="K54"/>
  <c r="J54"/>
  <c r="AO53"/>
  <c r="AM53" s="1"/>
  <c r="AD53"/>
  <c r="AC53"/>
  <c r="V53"/>
  <c r="Q53"/>
  <c r="P53"/>
  <c r="L53"/>
  <c r="K53"/>
  <c r="J53"/>
  <c r="AO52"/>
  <c r="AM52" s="1"/>
  <c r="AD52"/>
  <c r="AC52"/>
  <c r="V52"/>
  <c r="Q52"/>
  <c r="P52"/>
  <c r="L52"/>
  <c r="K52"/>
  <c r="J52"/>
  <c r="AO51"/>
  <c r="AM51" s="1"/>
  <c r="AD51"/>
  <c r="AC51"/>
  <c r="V51"/>
  <c r="Q51"/>
  <c r="P51"/>
  <c r="L51"/>
  <c r="K51"/>
  <c r="J51"/>
  <c r="AD50"/>
  <c r="AC50"/>
  <c r="L50"/>
  <c r="K50"/>
  <c r="J50"/>
  <c r="AD49"/>
  <c r="AH49" s="1"/>
  <c r="AC49"/>
  <c r="L49"/>
  <c r="K49"/>
  <c r="J49"/>
  <c r="AO48"/>
  <c r="AM48" s="1"/>
  <c r="AD48"/>
  <c r="AC48"/>
  <c r="V48"/>
  <c r="Q48"/>
  <c r="P48"/>
  <c r="L48"/>
  <c r="K48"/>
  <c r="J48"/>
  <c r="AO47"/>
  <c r="AM47" s="1"/>
  <c r="AD47"/>
  <c r="AC47"/>
  <c r="V47"/>
  <c r="Q47"/>
  <c r="P47"/>
  <c r="L47"/>
  <c r="K47"/>
  <c r="J47"/>
  <c r="AO46"/>
  <c r="AM46" s="1"/>
  <c r="AD46"/>
  <c r="AC46"/>
  <c r="V46"/>
  <c r="Q46"/>
  <c r="P46"/>
  <c r="L46"/>
  <c r="K46"/>
  <c r="J46"/>
  <c r="AO45"/>
  <c r="AM45" s="1"/>
  <c r="AD45"/>
  <c r="AC45"/>
  <c r="V45"/>
  <c r="Q45"/>
  <c r="P45"/>
  <c r="L45"/>
  <c r="K45"/>
  <c r="J45"/>
  <c r="AD44"/>
  <c r="AC44"/>
  <c r="L44"/>
  <c r="K44"/>
  <c r="J44"/>
  <c r="AD43"/>
  <c r="AH43" s="1"/>
  <c r="AC43"/>
  <c r="L43"/>
  <c r="K43"/>
  <c r="J43"/>
  <c r="AO42"/>
  <c r="AM42" s="1"/>
  <c r="AD42"/>
  <c r="AC42"/>
  <c r="V42"/>
  <c r="Q42"/>
  <c r="P42"/>
  <c r="L42"/>
  <c r="K42"/>
  <c r="J42"/>
  <c r="AO41"/>
  <c r="AM41" s="1"/>
  <c r="AD41"/>
  <c r="AC41"/>
  <c r="V41"/>
  <c r="Q41"/>
  <c r="P41"/>
  <c r="L41"/>
  <c r="K41"/>
  <c r="J41"/>
  <c r="AO40"/>
  <c r="AM40" s="1"/>
  <c r="AD40"/>
  <c r="AC40"/>
  <c r="V40"/>
  <c r="Q40"/>
  <c r="P40"/>
  <c r="L40"/>
  <c r="K40"/>
  <c r="J40"/>
  <c r="AO39"/>
  <c r="AM39" s="1"/>
  <c r="AD39"/>
  <c r="AC39"/>
  <c r="V39"/>
  <c r="Q39"/>
  <c r="P39"/>
  <c r="L39"/>
  <c r="K39"/>
  <c r="J39"/>
  <c r="AD38"/>
  <c r="AC38"/>
  <c r="L38"/>
  <c r="K38"/>
  <c r="J38"/>
  <c r="AD37"/>
  <c r="AH37" s="1"/>
  <c r="AC37"/>
  <c r="L37"/>
  <c r="K37"/>
  <c r="J37"/>
  <c r="AO36"/>
  <c r="AM36" s="1"/>
  <c r="AD36"/>
  <c r="AC36"/>
  <c r="V36"/>
  <c r="Q36"/>
  <c r="P36"/>
  <c r="L36"/>
  <c r="K36"/>
  <c r="J36"/>
  <c r="AO35"/>
  <c r="AM35" s="1"/>
  <c r="AD35"/>
  <c r="AC35"/>
  <c r="V35"/>
  <c r="Q35"/>
  <c r="P35"/>
  <c r="L35"/>
  <c r="K35"/>
  <c r="J35"/>
  <c r="AO34"/>
  <c r="AM34" s="1"/>
  <c r="AD34"/>
  <c r="AC34"/>
  <c r="V34"/>
  <c r="Q34"/>
  <c r="P34"/>
  <c r="L34"/>
  <c r="K34"/>
  <c r="J34"/>
  <c r="AO33"/>
  <c r="AM33" s="1"/>
  <c r="AD33"/>
  <c r="AC33"/>
  <c r="V33"/>
  <c r="Q33"/>
  <c r="P33"/>
  <c r="L33"/>
  <c r="K33"/>
  <c r="J33"/>
  <c r="AD32"/>
  <c r="AC32"/>
  <c r="L32"/>
  <c r="K32"/>
  <c r="J32"/>
  <c r="AD31"/>
  <c r="AH31" s="1"/>
  <c r="AC31"/>
  <c r="L31"/>
  <c r="K31"/>
  <c r="J31"/>
  <c r="AO30"/>
  <c r="AM30" s="1"/>
  <c r="AD30"/>
  <c r="AC30"/>
  <c r="V30"/>
  <c r="Q30"/>
  <c r="P30"/>
  <c r="L30"/>
  <c r="K30"/>
  <c r="J30"/>
  <c r="AO29"/>
  <c r="AM29" s="1"/>
  <c r="AD29"/>
  <c r="AC29"/>
  <c r="V29"/>
  <c r="Q29"/>
  <c r="P29"/>
  <c r="L29"/>
  <c r="K29"/>
  <c r="J29"/>
  <c r="AO28"/>
  <c r="AM28" s="1"/>
  <c r="AD28"/>
  <c r="AC28"/>
  <c r="V28"/>
  <c r="Q28"/>
  <c r="P28"/>
  <c r="L28"/>
  <c r="K28"/>
  <c r="J28"/>
  <c r="AO27"/>
  <c r="AM27" s="1"/>
  <c r="AD27"/>
  <c r="AC27"/>
  <c r="V27"/>
  <c r="Q27"/>
  <c r="P27"/>
  <c r="L27"/>
  <c r="K27"/>
  <c r="J27"/>
  <c r="AD26"/>
  <c r="AC26"/>
  <c r="L26"/>
  <c r="K26"/>
  <c r="J26"/>
  <c r="AD25"/>
  <c r="AH25" s="1"/>
  <c r="AC25"/>
  <c r="L25"/>
  <c r="K25"/>
  <c r="J25"/>
  <c r="AO24"/>
  <c r="AM24" s="1"/>
  <c r="AD24"/>
  <c r="AC24"/>
  <c r="V24"/>
  <c r="Q24"/>
  <c r="P24"/>
  <c r="L24"/>
  <c r="K24"/>
  <c r="S53" s="1"/>
  <c r="J24"/>
  <c r="AO23"/>
  <c r="AM23" s="1"/>
  <c r="AD23"/>
  <c r="AC23"/>
  <c r="V23"/>
  <c r="Q23"/>
  <c r="P23"/>
  <c r="L23"/>
  <c r="K23"/>
  <c r="J23"/>
  <c r="AO22"/>
  <c r="AM22" s="1"/>
  <c r="AD22"/>
  <c r="AC22"/>
  <c r="V22"/>
  <c r="Q22"/>
  <c r="P22"/>
  <c r="L22"/>
  <c r="S52" s="1"/>
  <c r="K22"/>
  <c r="S51" s="1"/>
  <c r="J22"/>
  <c r="AO21"/>
  <c r="AM21" s="1"/>
  <c r="AD21"/>
  <c r="AC21"/>
  <c r="V21"/>
  <c r="Q21"/>
  <c r="P21"/>
  <c r="L21"/>
  <c r="S48" s="1"/>
  <c r="K21"/>
  <c r="J21"/>
  <c r="AD20"/>
  <c r="AC20"/>
  <c r="L20"/>
  <c r="S42" s="1"/>
  <c r="K20"/>
  <c r="S41" s="1"/>
  <c r="J20"/>
  <c r="AD19"/>
  <c r="AH19" s="1"/>
  <c r="AC19"/>
  <c r="L19"/>
  <c r="S46" s="1"/>
  <c r="K19"/>
  <c r="S45" s="1"/>
  <c r="J19"/>
  <c r="AO18"/>
  <c r="AM18" s="1"/>
  <c r="AD18"/>
  <c r="AC18"/>
  <c r="V18"/>
  <c r="Q18"/>
  <c r="P18"/>
  <c r="L18"/>
  <c r="S40" s="1"/>
  <c r="K18"/>
  <c r="S39" s="1"/>
  <c r="J18"/>
  <c r="AO17"/>
  <c r="AM17" s="1"/>
  <c r="AD17"/>
  <c r="AC17"/>
  <c r="V17"/>
  <c r="Q17"/>
  <c r="P17"/>
  <c r="L17"/>
  <c r="S36" s="1"/>
  <c r="K17"/>
  <c r="S35" s="1"/>
  <c r="J17"/>
  <c r="AO16"/>
  <c r="AM16" s="1"/>
  <c r="AD16"/>
  <c r="AC16"/>
  <c r="V16"/>
  <c r="Q16"/>
  <c r="P16"/>
  <c r="L16"/>
  <c r="S34" s="1"/>
  <c r="K16"/>
  <c r="J16"/>
  <c r="AO15"/>
  <c r="AM15" s="1"/>
  <c r="AD15"/>
  <c r="AC15"/>
  <c r="V15"/>
  <c r="Q15"/>
  <c r="P15"/>
  <c r="L15"/>
  <c r="S24" s="1"/>
  <c r="K15"/>
  <c r="S23" s="1"/>
  <c r="J15"/>
  <c r="AD14"/>
  <c r="AC14"/>
  <c r="L14"/>
  <c r="S30" s="1"/>
  <c r="K14"/>
  <c r="S29" s="1"/>
  <c r="J14"/>
  <c r="AD13"/>
  <c r="AH13" s="1"/>
  <c r="AC13"/>
  <c r="L13"/>
  <c r="S28" s="1"/>
  <c r="K13"/>
  <c r="S27" s="1"/>
  <c r="J13"/>
  <c r="AO12"/>
  <c r="AM12" s="1"/>
  <c r="AD12"/>
  <c r="AC12"/>
  <c r="V12"/>
  <c r="Q12"/>
  <c r="P12"/>
  <c r="L12"/>
  <c r="S22" s="1"/>
  <c r="K12"/>
  <c r="S21" s="1"/>
  <c r="J12"/>
  <c r="AO11"/>
  <c r="AM11" s="1"/>
  <c r="AD11"/>
  <c r="AC11"/>
  <c r="V11"/>
  <c r="Q11"/>
  <c r="P11"/>
  <c r="L11"/>
  <c r="S18" s="1"/>
  <c r="K11"/>
  <c r="J11"/>
  <c r="AO10"/>
  <c r="AM10" s="1"/>
  <c r="AD10"/>
  <c r="AC10"/>
  <c r="V10"/>
  <c r="Q10"/>
  <c r="P10"/>
  <c r="L10"/>
  <c r="S16" s="1"/>
  <c r="K10"/>
  <c r="S15" s="1"/>
  <c r="J10"/>
  <c r="AO9"/>
  <c r="AM9" s="1"/>
  <c r="AD9"/>
  <c r="AC9"/>
  <c r="AG9" s="1"/>
  <c r="V9"/>
  <c r="Q9"/>
  <c r="P9"/>
  <c r="L9"/>
  <c r="S12" s="1"/>
  <c r="K9"/>
  <c r="J9"/>
  <c r="AD8"/>
  <c r="AC8"/>
  <c r="L8"/>
  <c r="S10" s="1"/>
  <c r="K8"/>
  <c r="S9" s="1"/>
  <c r="J8"/>
  <c r="N3"/>
  <c r="C15" i="22" s="1"/>
  <c r="X98" i="38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C77"/>
  <c r="X77"/>
  <c r="X76"/>
  <c r="X75"/>
  <c r="X74"/>
  <c r="AD73"/>
  <c r="AC73"/>
  <c r="X73"/>
  <c r="AD72"/>
  <c r="AH72" s="1"/>
  <c r="AC72"/>
  <c r="X72"/>
  <c r="AD71"/>
  <c r="AC71"/>
  <c r="X71"/>
  <c r="AD70"/>
  <c r="AH70" s="1"/>
  <c r="AC70"/>
  <c r="X70"/>
  <c r="X69"/>
  <c r="AZ68"/>
  <c r="X68"/>
  <c r="AZ67"/>
  <c r="X67"/>
  <c r="AZ66"/>
  <c r="AD66"/>
  <c r="AC66"/>
  <c r="X66"/>
  <c r="AZ65"/>
  <c r="AD65"/>
  <c r="AC65"/>
  <c r="X65"/>
  <c r="AZ64"/>
  <c r="AD64"/>
  <c r="AC64"/>
  <c r="X64"/>
  <c r="AZ63"/>
  <c r="AD63"/>
  <c r="AC63"/>
  <c r="X63"/>
  <c r="AZ62"/>
  <c r="AD62"/>
  <c r="AC62"/>
  <c r="X62"/>
  <c r="AZ61"/>
  <c r="AD61"/>
  <c r="AC61"/>
  <c r="X61"/>
  <c r="AZ60"/>
  <c r="AD60"/>
  <c r="AC60"/>
  <c r="X60"/>
  <c r="AZ59"/>
  <c r="AD59"/>
  <c r="AC59"/>
  <c r="X59"/>
  <c r="AZ58"/>
  <c r="BA67" s="1"/>
  <c r="BB67" s="1"/>
  <c r="AA58"/>
  <c r="Z58"/>
  <c r="X58"/>
  <c r="AD55"/>
  <c r="AH55" s="1"/>
  <c r="AC55"/>
  <c r="AO54"/>
  <c r="AM54" s="1"/>
  <c r="AD54"/>
  <c r="AC54"/>
  <c r="V54"/>
  <c r="AO53"/>
  <c r="AM53" s="1"/>
  <c r="AD53"/>
  <c r="AC53"/>
  <c r="V53"/>
  <c r="AA64" s="1"/>
  <c r="F64" s="1"/>
  <c r="AO52"/>
  <c r="AM52" s="1"/>
  <c r="AD52"/>
  <c r="AC52"/>
  <c r="V52"/>
  <c r="AO51"/>
  <c r="AM51" s="1"/>
  <c r="AD51"/>
  <c r="AC51"/>
  <c r="V51"/>
  <c r="Z66" s="1"/>
  <c r="D66" s="1"/>
  <c r="F72" s="1"/>
  <c r="D78" s="1"/>
  <c r="F82" s="1"/>
  <c r="E91" s="1"/>
  <c r="AD50"/>
  <c r="AC50"/>
  <c r="AD49"/>
  <c r="AH49" s="1"/>
  <c r="AC49"/>
  <c r="AO48"/>
  <c r="AM48" s="1"/>
  <c r="AD48"/>
  <c r="AC48"/>
  <c r="V48"/>
  <c r="AO47"/>
  <c r="AM47" s="1"/>
  <c r="AD47"/>
  <c r="AC47"/>
  <c r="V47"/>
  <c r="AO46"/>
  <c r="AM46" s="1"/>
  <c r="AD46"/>
  <c r="AC46"/>
  <c r="V46"/>
  <c r="AA66" s="1"/>
  <c r="F66" s="1"/>
  <c r="AO45"/>
  <c r="AM45" s="1"/>
  <c r="AD45"/>
  <c r="AC45"/>
  <c r="V45"/>
  <c r="Z64" s="1"/>
  <c r="D64" s="1"/>
  <c r="F70" s="1"/>
  <c r="D77" s="1"/>
  <c r="D86" s="1"/>
  <c r="E89" s="1"/>
  <c r="AD44"/>
  <c r="AC44"/>
  <c r="AD43"/>
  <c r="AH43" s="1"/>
  <c r="AC43"/>
  <c r="AO42"/>
  <c r="AM42" s="1"/>
  <c r="AD42"/>
  <c r="AC42"/>
  <c r="V42"/>
  <c r="AA63" s="1"/>
  <c r="F63" s="1"/>
  <c r="AO41"/>
  <c r="AM41" s="1"/>
  <c r="AD41"/>
  <c r="AC41"/>
  <c r="AL41" s="1"/>
  <c r="V41"/>
  <c r="AO40"/>
  <c r="AM40" s="1"/>
  <c r="AD40"/>
  <c r="AC40"/>
  <c r="V40"/>
  <c r="AO39"/>
  <c r="AM39" s="1"/>
  <c r="AD39"/>
  <c r="AC39"/>
  <c r="V39"/>
  <c r="Z65" s="1"/>
  <c r="D65" s="1"/>
  <c r="D72" s="1"/>
  <c r="AD38"/>
  <c r="AC38"/>
  <c r="AD37"/>
  <c r="AH37" s="1"/>
  <c r="AC37"/>
  <c r="AO36"/>
  <c r="AM36" s="1"/>
  <c r="AD36"/>
  <c r="AC36"/>
  <c r="V36"/>
  <c r="AO35"/>
  <c r="AM35" s="1"/>
  <c r="AD35"/>
  <c r="AC35"/>
  <c r="V35"/>
  <c r="Z63" s="1"/>
  <c r="D63" s="1"/>
  <c r="D70" s="1"/>
  <c r="AO34"/>
  <c r="AM34" s="1"/>
  <c r="AD34"/>
  <c r="AC34"/>
  <c r="V34"/>
  <c r="AO33"/>
  <c r="AM33" s="1"/>
  <c r="AD33"/>
  <c r="AC33"/>
  <c r="V33"/>
  <c r="AA65" s="1"/>
  <c r="F65" s="1"/>
  <c r="AD32"/>
  <c r="AC32"/>
  <c r="AD31"/>
  <c r="AH31" s="1"/>
  <c r="AC31"/>
  <c r="AO30"/>
  <c r="AM30" s="1"/>
  <c r="AD30"/>
  <c r="AC30"/>
  <c r="AL30" s="1"/>
  <c r="V30"/>
  <c r="AA60" s="1"/>
  <c r="F60" s="1"/>
  <c r="F71" s="1"/>
  <c r="F77" s="1"/>
  <c r="D82" s="1"/>
  <c r="E92" s="1"/>
  <c r="AO29"/>
  <c r="AM29" s="1"/>
  <c r="AD29"/>
  <c r="AC29"/>
  <c r="V29"/>
  <c r="AO28"/>
  <c r="AM28" s="1"/>
  <c r="AD28"/>
  <c r="AC28"/>
  <c r="V28"/>
  <c r="AO27"/>
  <c r="AM27" s="1"/>
  <c r="AD27"/>
  <c r="AC27"/>
  <c r="V27"/>
  <c r="Z62" s="1"/>
  <c r="D62" s="1"/>
  <c r="F73" s="1"/>
  <c r="AD26"/>
  <c r="AC26"/>
  <c r="AD25"/>
  <c r="AH25" s="1"/>
  <c r="AC25"/>
  <c r="AO24"/>
  <c r="AM24" s="1"/>
  <c r="AD24"/>
  <c r="AC24"/>
  <c r="V24"/>
  <c r="AO23"/>
  <c r="AM23" s="1"/>
  <c r="AD23"/>
  <c r="AC23"/>
  <c r="V23"/>
  <c r="AO22"/>
  <c r="AM22" s="1"/>
  <c r="AD22"/>
  <c r="AC22"/>
  <c r="V22"/>
  <c r="AA62" s="1"/>
  <c r="F62" s="1"/>
  <c r="AO21"/>
  <c r="AM21" s="1"/>
  <c r="AD21"/>
  <c r="AC21"/>
  <c r="V21"/>
  <c r="Z60" s="1"/>
  <c r="D60" s="1"/>
  <c r="AD20"/>
  <c r="AC20"/>
  <c r="AD19"/>
  <c r="AH19" s="1"/>
  <c r="AC19"/>
  <c r="AO18"/>
  <c r="AM18" s="1"/>
  <c r="AD18"/>
  <c r="AC18"/>
  <c r="V18"/>
  <c r="AO17"/>
  <c r="AM17" s="1"/>
  <c r="AD17"/>
  <c r="AC17"/>
  <c r="V17"/>
  <c r="AO16"/>
  <c r="AM16" s="1"/>
  <c r="AD16"/>
  <c r="AC16"/>
  <c r="V16"/>
  <c r="AA59" s="1"/>
  <c r="F59" s="1"/>
  <c r="AO15"/>
  <c r="AM15" s="1"/>
  <c r="AD15"/>
  <c r="AC15"/>
  <c r="V15"/>
  <c r="Z61" s="1"/>
  <c r="D61" s="1"/>
  <c r="D73" s="1"/>
  <c r="F78" s="1"/>
  <c r="F86" s="1"/>
  <c r="E90" s="1"/>
  <c r="AD14"/>
  <c r="AC14"/>
  <c r="AD13"/>
  <c r="AH13" s="1"/>
  <c r="AC13"/>
  <c r="AO12"/>
  <c r="AM12" s="1"/>
  <c r="AD12"/>
  <c r="AC12"/>
  <c r="V12"/>
  <c r="AO11"/>
  <c r="AM11" s="1"/>
  <c r="AD11"/>
  <c r="AC11"/>
  <c r="V11"/>
  <c r="AO10"/>
  <c r="AM10" s="1"/>
  <c r="AD10"/>
  <c r="AC10"/>
  <c r="V10"/>
  <c r="AA61" s="1"/>
  <c r="F61" s="1"/>
  <c r="AO9"/>
  <c r="AM9" s="1"/>
  <c r="AD9"/>
  <c r="AC9"/>
  <c r="AG9" s="1"/>
  <c r="V9"/>
  <c r="Z59" s="1"/>
  <c r="D59" s="1"/>
  <c r="D71" s="1"/>
  <c r="AD8"/>
  <c r="AC8"/>
  <c r="N3"/>
  <c r="C8" i="22" s="1"/>
  <c r="X98" i="37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X77"/>
  <c r="X76"/>
  <c r="X75"/>
  <c r="X74"/>
  <c r="AD73"/>
  <c r="AH73" s="1"/>
  <c r="AC73"/>
  <c r="X73"/>
  <c r="AD72"/>
  <c r="AH72" s="1"/>
  <c r="AC72"/>
  <c r="X72"/>
  <c r="AD71"/>
  <c r="AH71" s="1"/>
  <c r="AC71"/>
  <c r="X71"/>
  <c r="AD70"/>
  <c r="AH70" s="1"/>
  <c r="AC70"/>
  <c r="X70"/>
  <c r="X69"/>
  <c r="AZ68"/>
  <c r="X68"/>
  <c r="AZ67"/>
  <c r="X67"/>
  <c r="AZ66"/>
  <c r="AD66"/>
  <c r="AH66" s="1"/>
  <c r="AC66"/>
  <c r="X66"/>
  <c r="AZ65"/>
  <c r="AD65"/>
  <c r="AH65" s="1"/>
  <c r="AC65"/>
  <c r="X65"/>
  <c r="AZ64"/>
  <c r="AD64"/>
  <c r="AH64" s="1"/>
  <c r="AC64"/>
  <c r="X64"/>
  <c r="AZ63"/>
  <c r="AD63"/>
  <c r="AH63" s="1"/>
  <c r="AC63"/>
  <c r="X63"/>
  <c r="AZ62"/>
  <c r="AD62"/>
  <c r="AH62" s="1"/>
  <c r="AC62"/>
  <c r="X62"/>
  <c r="AZ61"/>
  <c r="AD61"/>
  <c r="AH61" s="1"/>
  <c r="AC61"/>
  <c r="X61"/>
  <c r="AZ60"/>
  <c r="AD60"/>
  <c r="AH60" s="1"/>
  <c r="AC60"/>
  <c r="X60"/>
  <c r="AZ59"/>
  <c r="AD59"/>
  <c r="AH59" s="1"/>
  <c r="AC59"/>
  <c r="X59"/>
  <c r="AZ58"/>
  <c r="BA67" s="1"/>
  <c r="BB67" s="1"/>
  <c r="AA58"/>
  <c r="Z58"/>
  <c r="X58"/>
  <c r="AD55"/>
  <c r="AH55" s="1"/>
  <c r="AC55"/>
  <c r="AO54"/>
  <c r="AM54" s="1"/>
  <c r="AD54"/>
  <c r="AH54" s="1"/>
  <c r="AC54"/>
  <c r="V54"/>
  <c r="AO53"/>
  <c r="AM53" s="1"/>
  <c r="AD53"/>
  <c r="AH53" s="1"/>
  <c r="AC53"/>
  <c r="V53"/>
  <c r="AA64" s="1"/>
  <c r="F64" s="1"/>
  <c r="AO52"/>
  <c r="AM52" s="1"/>
  <c r="AD52"/>
  <c r="AC52"/>
  <c r="V52"/>
  <c r="AO51"/>
  <c r="AM51" s="1"/>
  <c r="AD51"/>
  <c r="AC51"/>
  <c r="V51"/>
  <c r="Z66" s="1"/>
  <c r="D66" s="1"/>
  <c r="AD50"/>
  <c r="AC50"/>
  <c r="AD49"/>
  <c r="AH49" s="1"/>
  <c r="AC49"/>
  <c r="AO48"/>
  <c r="AM48" s="1"/>
  <c r="AD48"/>
  <c r="AC48"/>
  <c r="V48"/>
  <c r="AO47"/>
  <c r="AM47" s="1"/>
  <c r="AD47"/>
  <c r="AC47"/>
  <c r="V47"/>
  <c r="AO46"/>
  <c r="AM46" s="1"/>
  <c r="AD46"/>
  <c r="AC46"/>
  <c r="V46"/>
  <c r="AO45"/>
  <c r="AM45" s="1"/>
  <c r="AD45"/>
  <c r="AC45"/>
  <c r="V45"/>
  <c r="AA66" s="1"/>
  <c r="AD44"/>
  <c r="AC44"/>
  <c r="AD43"/>
  <c r="AH43" s="1"/>
  <c r="AC43"/>
  <c r="AO42"/>
  <c r="AM42"/>
  <c r="AD42"/>
  <c r="AC42"/>
  <c r="V42"/>
  <c r="AO41"/>
  <c r="AM41" s="1"/>
  <c r="AD41"/>
  <c r="AC41"/>
  <c r="V41"/>
  <c r="AO40"/>
  <c r="AM40" s="1"/>
  <c r="AD40"/>
  <c r="AC40"/>
  <c r="V40"/>
  <c r="AA63" s="1"/>
  <c r="F63" s="1"/>
  <c r="AO39"/>
  <c r="AM39" s="1"/>
  <c r="AD39"/>
  <c r="AC39"/>
  <c r="V39"/>
  <c r="Z65" s="1"/>
  <c r="D65" s="1"/>
  <c r="D72" s="1"/>
  <c r="D78" s="1"/>
  <c r="F82" s="1"/>
  <c r="AD38"/>
  <c r="AC38"/>
  <c r="AD37"/>
  <c r="AH37" s="1"/>
  <c r="AC37"/>
  <c r="AO36"/>
  <c r="AM36" s="1"/>
  <c r="AD36"/>
  <c r="AC36"/>
  <c r="V36"/>
  <c r="AO35"/>
  <c r="AM35" s="1"/>
  <c r="AD35"/>
  <c r="AC35"/>
  <c r="V35"/>
  <c r="Z63" s="1"/>
  <c r="AO34"/>
  <c r="AM34" s="1"/>
  <c r="AD34"/>
  <c r="AC34"/>
  <c r="V34"/>
  <c r="AO33"/>
  <c r="AM33"/>
  <c r="AD33"/>
  <c r="AC33"/>
  <c r="V33"/>
  <c r="AA65" s="1"/>
  <c r="F65" s="1"/>
  <c r="AD32"/>
  <c r="AC32"/>
  <c r="AD31"/>
  <c r="AH31" s="1"/>
  <c r="AC31"/>
  <c r="AL31" s="1"/>
  <c r="AO30"/>
  <c r="AM30" s="1"/>
  <c r="AD30"/>
  <c r="AC30"/>
  <c r="V30"/>
  <c r="AA60" s="1"/>
  <c r="F60" s="1"/>
  <c r="AO29"/>
  <c r="AM29" s="1"/>
  <c r="AD29"/>
  <c r="AC29"/>
  <c r="V29"/>
  <c r="AO28"/>
  <c r="AM28" s="1"/>
  <c r="AD28"/>
  <c r="AC28"/>
  <c r="V28"/>
  <c r="AO27"/>
  <c r="AM27" s="1"/>
  <c r="AD27"/>
  <c r="AC27"/>
  <c r="V27"/>
  <c r="Z62" s="1"/>
  <c r="AD26"/>
  <c r="AC26"/>
  <c r="AD25"/>
  <c r="AH25" s="1"/>
  <c r="AC25"/>
  <c r="AO24"/>
  <c r="AM24" s="1"/>
  <c r="AD24"/>
  <c r="AC24"/>
  <c r="V24"/>
  <c r="AO23"/>
  <c r="AM23" s="1"/>
  <c r="AD23"/>
  <c r="AC23"/>
  <c r="V23"/>
  <c r="AA62" s="1"/>
  <c r="F62" s="1"/>
  <c r="AO22"/>
  <c r="AM22" s="1"/>
  <c r="AD22"/>
  <c r="AH22" s="1"/>
  <c r="AC22"/>
  <c r="V22"/>
  <c r="AO21"/>
  <c r="AM21" s="1"/>
  <c r="AD21"/>
  <c r="AH21" s="1"/>
  <c r="AC21"/>
  <c r="AG21" s="1"/>
  <c r="V21"/>
  <c r="Z60" s="1"/>
  <c r="D60" s="1"/>
  <c r="F71" s="1"/>
  <c r="AD20"/>
  <c r="AH20" s="1"/>
  <c r="AC20"/>
  <c r="AD19"/>
  <c r="AH19" s="1"/>
  <c r="AC19"/>
  <c r="AO18"/>
  <c r="AM18" s="1"/>
  <c r="AD18"/>
  <c r="AH18" s="1"/>
  <c r="AC18"/>
  <c r="AG18" s="1"/>
  <c r="V18"/>
  <c r="AO17"/>
  <c r="AM17" s="1"/>
  <c r="AD17"/>
  <c r="AH17" s="1"/>
  <c r="AC17"/>
  <c r="AG17" s="1"/>
  <c r="V17"/>
  <c r="AO16"/>
  <c r="AM16" s="1"/>
  <c r="AD16"/>
  <c r="AH16" s="1"/>
  <c r="AC16"/>
  <c r="V16"/>
  <c r="AA59" s="1"/>
  <c r="F59" s="1"/>
  <c r="AO15"/>
  <c r="AM15" s="1"/>
  <c r="AD15"/>
  <c r="AH15" s="1"/>
  <c r="AC15"/>
  <c r="V15"/>
  <c r="Z61" s="1"/>
  <c r="D61" s="1"/>
  <c r="D73" s="1"/>
  <c r="AD14"/>
  <c r="AH14" s="1"/>
  <c r="AC14"/>
  <c r="AD13"/>
  <c r="AC13"/>
  <c r="AO12"/>
  <c r="AM12" s="1"/>
  <c r="AD12"/>
  <c r="AH12" s="1"/>
  <c r="AC12"/>
  <c r="V12"/>
  <c r="AA61" s="1"/>
  <c r="F61" s="1"/>
  <c r="AO11"/>
  <c r="AM11" s="1"/>
  <c r="AD11"/>
  <c r="AH11" s="1"/>
  <c r="AC11"/>
  <c r="V11"/>
  <c r="AO10"/>
  <c r="AM10" s="1"/>
  <c r="AD10"/>
  <c r="AH10" s="1"/>
  <c r="AC10"/>
  <c r="V10"/>
  <c r="AO9"/>
  <c r="AM9" s="1"/>
  <c r="AD9"/>
  <c r="AH9" s="1"/>
  <c r="AC9"/>
  <c r="AG9" s="1"/>
  <c r="V9"/>
  <c r="Z59" s="1"/>
  <c r="AD8"/>
  <c r="AH8" s="1"/>
  <c r="AC8"/>
  <c r="N3"/>
  <c r="C43" i="22" s="1"/>
  <c r="X98" i="36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AK78" s="1"/>
  <c r="X78"/>
  <c r="AD77"/>
  <c r="AH77" s="1"/>
  <c r="AC77"/>
  <c r="X77"/>
  <c r="X76"/>
  <c r="X75"/>
  <c r="X74"/>
  <c r="AD73"/>
  <c r="AH73" s="1"/>
  <c r="AC73"/>
  <c r="X73"/>
  <c r="AD72"/>
  <c r="AH72" s="1"/>
  <c r="AC72"/>
  <c r="X72"/>
  <c r="AD71"/>
  <c r="AH71" s="1"/>
  <c r="AC71"/>
  <c r="X71"/>
  <c r="AD70"/>
  <c r="AH70" s="1"/>
  <c r="AC70"/>
  <c r="X70"/>
  <c r="X69"/>
  <c r="AZ68"/>
  <c r="X68"/>
  <c r="AZ67"/>
  <c r="X67"/>
  <c r="AZ66"/>
  <c r="AD66"/>
  <c r="AH66" s="1"/>
  <c r="AC66"/>
  <c r="X66"/>
  <c r="AZ65"/>
  <c r="AD65"/>
  <c r="AH65" s="1"/>
  <c r="AC65"/>
  <c r="X65"/>
  <c r="AZ64"/>
  <c r="AD64"/>
  <c r="AH64" s="1"/>
  <c r="AC64"/>
  <c r="X64"/>
  <c r="AZ63"/>
  <c r="AD63"/>
  <c r="AH63" s="1"/>
  <c r="AC63"/>
  <c r="X63"/>
  <c r="AZ62"/>
  <c r="AD62"/>
  <c r="AH62" s="1"/>
  <c r="AC62"/>
  <c r="X62"/>
  <c r="AZ61"/>
  <c r="AD61"/>
  <c r="AH61" s="1"/>
  <c r="AC61"/>
  <c r="X61"/>
  <c r="AZ60"/>
  <c r="AD60"/>
  <c r="AH60" s="1"/>
  <c r="AC60"/>
  <c r="X60"/>
  <c r="AZ59"/>
  <c r="AD59"/>
  <c r="AH59" s="1"/>
  <c r="AC59"/>
  <c r="X59"/>
  <c r="BA58"/>
  <c r="AZ58"/>
  <c r="AA58"/>
  <c r="Z58"/>
  <c r="X58"/>
  <c r="AD55"/>
  <c r="AC55"/>
  <c r="AO54"/>
  <c r="AM54" s="1"/>
  <c r="AD54"/>
  <c r="AH54" s="1"/>
  <c r="AC54"/>
  <c r="V54"/>
  <c r="AA64" s="1"/>
  <c r="F64" s="1"/>
  <c r="AO53"/>
  <c r="AM53" s="1"/>
  <c r="AD53"/>
  <c r="AH53" s="1"/>
  <c r="AC53"/>
  <c r="AL53" s="1"/>
  <c r="V53"/>
  <c r="AO52"/>
  <c r="AM52" s="1"/>
  <c r="AD52"/>
  <c r="AH52" s="1"/>
  <c r="AC52"/>
  <c r="V52"/>
  <c r="AO51"/>
  <c r="AM51" s="1"/>
  <c r="AD51"/>
  <c r="AH51" s="1"/>
  <c r="AC51"/>
  <c r="V51"/>
  <c r="Z66" s="1"/>
  <c r="D66" s="1"/>
  <c r="AD50"/>
  <c r="AH50" s="1"/>
  <c r="AC50"/>
  <c r="AD49"/>
  <c r="AH49" s="1"/>
  <c r="AC49"/>
  <c r="AO48"/>
  <c r="AM48" s="1"/>
  <c r="AD48"/>
  <c r="AH48" s="1"/>
  <c r="AC48"/>
  <c r="V48"/>
  <c r="AO47"/>
  <c r="AM47" s="1"/>
  <c r="AD47"/>
  <c r="AH47" s="1"/>
  <c r="AC47"/>
  <c r="V47"/>
  <c r="AO46"/>
  <c r="AM46" s="1"/>
  <c r="AD46"/>
  <c r="AH46" s="1"/>
  <c r="AC46"/>
  <c r="V46"/>
  <c r="Z64" s="1"/>
  <c r="D64" s="1"/>
  <c r="F70" s="1"/>
  <c r="AO45"/>
  <c r="AM45" s="1"/>
  <c r="AD45"/>
  <c r="AH45" s="1"/>
  <c r="AC45"/>
  <c r="V45"/>
  <c r="AA66" s="1"/>
  <c r="F66" s="1"/>
  <c r="F72" s="1"/>
  <c r="AD44"/>
  <c r="AH44" s="1"/>
  <c r="AC44"/>
  <c r="AD43"/>
  <c r="AH43" s="1"/>
  <c r="AC43"/>
  <c r="AO42"/>
  <c r="AM42" s="1"/>
  <c r="AD42"/>
  <c r="AH42" s="1"/>
  <c r="AC42"/>
  <c r="V42"/>
  <c r="AO41"/>
  <c r="AM41" s="1"/>
  <c r="AD41"/>
  <c r="AH41" s="1"/>
  <c r="AC41"/>
  <c r="V41"/>
  <c r="AO40"/>
  <c r="AM40" s="1"/>
  <c r="AD40"/>
  <c r="AH40" s="1"/>
  <c r="AC40"/>
  <c r="V40"/>
  <c r="AA63" s="1"/>
  <c r="F63" s="1"/>
  <c r="AO39"/>
  <c r="AM39" s="1"/>
  <c r="AD39"/>
  <c r="AH39" s="1"/>
  <c r="AC39"/>
  <c r="V39"/>
  <c r="Z65" s="1"/>
  <c r="D65" s="1"/>
  <c r="D72" s="1"/>
  <c r="D78" s="1"/>
  <c r="F86" s="1"/>
  <c r="E89" s="1"/>
  <c r="AD38"/>
  <c r="AH38" s="1"/>
  <c r="AC38"/>
  <c r="AD37"/>
  <c r="AH37" s="1"/>
  <c r="AC37"/>
  <c r="AO36"/>
  <c r="AM36" s="1"/>
  <c r="AD36"/>
  <c r="AH36" s="1"/>
  <c r="AC36"/>
  <c r="V36"/>
  <c r="AO35"/>
  <c r="AM35" s="1"/>
  <c r="AD35"/>
  <c r="AH35" s="1"/>
  <c r="AC35"/>
  <c r="V35"/>
  <c r="Z63" s="1"/>
  <c r="D63" s="1"/>
  <c r="D70" s="1"/>
  <c r="D77" s="1"/>
  <c r="D82" s="1"/>
  <c r="E91" s="1"/>
  <c r="AO34"/>
  <c r="AM34" s="1"/>
  <c r="AD34"/>
  <c r="AH34" s="1"/>
  <c r="AC34"/>
  <c r="V34"/>
  <c r="AO33"/>
  <c r="AM33" s="1"/>
  <c r="AD33"/>
  <c r="AH33" s="1"/>
  <c r="AC33"/>
  <c r="AG33" s="1"/>
  <c r="V33"/>
  <c r="AA65" s="1"/>
  <c r="F65" s="1"/>
  <c r="AD32"/>
  <c r="AH32" s="1"/>
  <c r="AC32"/>
  <c r="AD31"/>
  <c r="AH31" s="1"/>
  <c r="AC31"/>
  <c r="AL31" s="1"/>
  <c r="AO30"/>
  <c r="AM30" s="1"/>
  <c r="AD30"/>
  <c r="AC30"/>
  <c r="AG30" s="1"/>
  <c r="V30"/>
  <c r="Z62" s="1"/>
  <c r="D62" s="1"/>
  <c r="F73" s="1"/>
  <c r="F78" s="1"/>
  <c r="F82" s="1"/>
  <c r="E92" s="1"/>
  <c r="AO29"/>
  <c r="AM29" s="1"/>
  <c r="AD29"/>
  <c r="AC29"/>
  <c r="V29"/>
  <c r="AO28"/>
  <c r="AM28" s="1"/>
  <c r="AD28"/>
  <c r="AC28"/>
  <c r="V28"/>
  <c r="AO27"/>
  <c r="AM27" s="1"/>
  <c r="AD27"/>
  <c r="AC27"/>
  <c r="V27"/>
  <c r="AA60" s="1"/>
  <c r="F60" s="1"/>
  <c r="F71" s="1"/>
  <c r="AD26"/>
  <c r="AC26"/>
  <c r="AD25"/>
  <c r="AH25" s="1"/>
  <c r="AC25"/>
  <c r="AO24"/>
  <c r="AM24" s="1"/>
  <c r="AD24"/>
  <c r="AC24"/>
  <c r="AL24" s="1"/>
  <c r="V24"/>
  <c r="Z60" s="1"/>
  <c r="D60" s="1"/>
  <c r="AO23"/>
  <c r="AM23" s="1"/>
  <c r="AD23"/>
  <c r="AC23"/>
  <c r="V23"/>
  <c r="AO22"/>
  <c r="AM22" s="1"/>
  <c r="AD22"/>
  <c r="AC22"/>
  <c r="AL22" s="1"/>
  <c r="V22"/>
  <c r="AA62" s="1"/>
  <c r="F62" s="1"/>
  <c r="AO21"/>
  <c r="AM21" s="1"/>
  <c r="AD21"/>
  <c r="AC21"/>
  <c r="V21"/>
  <c r="AD20"/>
  <c r="AC20"/>
  <c r="AD19"/>
  <c r="AH19" s="1"/>
  <c r="AC19"/>
  <c r="AL19" s="1"/>
  <c r="AO18"/>
  <c r="AM18" s="1"/>
  <c r="AD18"/>
  <c r="AC18"/>
  <c r="V18"/>
  <c r="AO17"/>
  <c r="AM17" s="1"/>
  <c r="AD17"/>
  <c r="AC17"/>
  <c r="V17"/>
  <c r="AO16"/>
  <c r="AM16" s="1"/>
  <c r="AD16"/>
  <c r="AC16"/>
  <c r="V16"/>
  <c r="AA59" s="1"/>
  <c r="F59" s="1"/>
  <c r="AO15"/>
  <c r="AM15" s="1"/>
  <c r="AD15"/>
  <c r="AC15"/>
  <c r="V15"/>
  <c r="Z61" s="1"/>
  <c r="D61" s="1"/>
  <c r="D73" s="1"/>
  <c r="AD14"/>
  <c r="AC14"/>
  <c r="AD13"/>
  <c r="AH13" s="1"/>
  <c r="AC13"/>
  <c r="AO12"/>
  <c r="AM12" s="1"/>
  <c r="AD12"/>
  <c r="AC12"/>
  <c r="AL12" s="1"/>
  <c r="V12"/>
  <c r="AO11"/>
  <c r="AM11" s="1"/>
  <c r="AD11"/>
  <c r="AC11"/>
  <c r="V11"/>
  <c r="AA61" s="1"/>
  <c r="F61" s="1"/>
  <c r="AO10"/>
  <c r="AM10" s="1"/>
  <c r="AD10"/>
  <c r="AC10"/>
  <c r="V10"/>
  <c r="AO9"/>
  <c r="AM9" s="1"/>
  <c r="AD9"/>
  <c r="AC9"/>
  <c r="AG9" s="1"/>
  <c r="V9"/>
  <c r="Z59" s="1"/>
  <c r="D59" s="1"/>
  <c r="D71" s="1"/>
  <c r="F77" s="1"/>
  <c r="D86" s="1"/>
  <c r="E90" s="1"/>
  <c r="AD8"/>
  <c r="AC8"/>
  <c r="N3"/>
  <c r="C50" i="22" s="1"/>
  <c r="X98" i="35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C77"/>
  <c r="X77"/>
  <c r="X76"/>
  <c r="X75"/>
  <c r="X74"/>
  <c r="AD73"/>
  <c r="AC73"/>
  <c r="X73"/>
  <c r="AD72"/>
  <c r="AH72" s="1"/>
  <c r="AC72"/>
  <c r="X72"/>
  <c r="AD71"/>
  <c r="AC71"/>
  <c r="X71"/>
  <c r="AD70"/>
  <c r="AH70" s="1"/>
  <c r="AC70"/>
  <c r="X70"/>
  <c r="X69"/>
  <c r="AZ68"/>
  <c r="X68"/>
  <c r="AZ67"/>
  <c r="X67"/>
  <c r="AZ66"/>
  <c r="AD66"/>
  <c r="AC66"/>
  <c r="X66"/>
  <c r="AZ65"/>
  <c r="AD65"/>
  <c r="AC65"/>
  <c r="X65"/>
  <c r="AZ64"/>
  <c r="AD64"/>
  <c r="AC64"/>
  <c r="X64"/>
  <c r="AZ63"/>
  <c r="AD63"/>
  <c r="AC63"/>
  <c r="X63"/>
  <c r="AZ62"/>
  <c r="AD62"/>
  <c r="AC62"/>
  <c r="X62"/>
  <c r="AZ61"/>
  <c r="AD61"/>
  <c r="AC61"/>
  <c r="X61"/>
  <c r="AZ60"/>
  <c r="AD60"/>
  <c r="AC60"/>
  <c r="X60"/>
  <c r="AZ59"/>
  <c r="AD59"/>
  <c r="AC59"/>
  <c r="X59"/>
  <c r="AZ58"/>
  <c r="BA58" s="1"/>
  <c r="AA58"/>
  <c r="Z58"/>
  <c r="X58"/>
  <c r="AD55"/>
  <c r="AH55" s="1"/>
  <c r="AC55"/>
  <c r="AO54"/>
  <c r="AM54" s="1"/>
  <c r="AD54"/>
  <c r="AC54"/>
  <c r="V54"/>
  <c r="AO53"/>
  <c r="AM53" s="1"/>
  <c r="AD53"/>
  <c r="AC53"/>
  <c r="AL53" s="1"/>
  <c r="V53"/>
  <c r="AA64" s="1"/>
  <c r="F64" s="1"/>
  <c r="AO52"/>
  <c r="AM52" s="1"/>
  <c r="AD52"/>
  <c r="AC52"/>
  <c r="V52"/>
  <c r="AO51"/>
  <c r="AM51" s="1"/>
  <c r="AD51"/>
  <c r="AC51"/>
  <c r="V51"/>
  <c r="Z66" s="1"/>
  <c r="D66" s="1"/>
  <c r="AD50"/>
  <c r="AC50"/>
  <c r="AD49"/>
  <c r="AH49" s="1"/>
  <c r="AC49"/>
  <c r="AO48"/>
  <c r="AM48" s="1"/>
  <c r="AD48"/>
  <c r="AC48"/>
  <c r="V48"/>
  <c r="AO47"/>
  <c r="AM47" s="1"/>
  <c r="AD47"/>
  <c r="AC47"/>
  <c r="V47"/>
  <c r="AO46"/>
  <c r="AM46" s="1"/>
  <c r="AD46"/>
  <c r="AC46"/>
  <c r="V46"/>
  <c r="AA66" s="1"/>
  <c r="F66" s="1"/>
  <c r="F72" s="1"/>
  <c r="AO45"/>
  <c r="AM45" s="1"/>
  <c r="AD45"/>
  <c r="AC45"/>
  <c r="V45"/>
  <c r="Z64" s="1"/>
  <c r="D64" s="1"/>
  <c r="F70" s="1"/>
  <c r="AD44"/>
  <c r="AC44"/>
  <c r="AD43"/>
  <c r="AH43" s="1"/>
  <c r="AC43"/>
  <c r="AO42"/>
  <c r="AM42" s="1"/>
  <c r="AD42"/>
  <c r="AC42"/>
  <c r="V42"/>
  <c r="AO41"/>
  <c r="AM41" s="1"/>
  <c r="AD41"/>
  <c r="AC41"/>
  <c r="V41"/>
  <c r="AO40"/>
  <c r="AM40" s="1"/>
  <c r="AD40"/>
  <c r="AC40"/>
  <c r="V40"/>
  <c r="AA63" s="1"/>
  <c r="F63" s="1"/>
  <c r="AO39"/>
  <c r="AM39" s="1"/>
  <c r="AD39"/>
  <c r="AC39"/>
  <c r="V39"/>
  <c r="Z65" s="1"/>
  <c r="D65" s="1"/>
  <c r="D72" s="1"/>
  <c r="D78" s="1"/>
  <c r="F86" s="1"/>
  <c r="E90" s="1"/>
  <c r="AD38"/>
  <c r="AC38"/>
  <c r="AD37"/>
  <c r="AH37" s="1"/>
  <c r="AC37"/>
  <c r="AO36"/>
  <c r="AM36" s="1"/>
  <c r="AD36"/>
  <c r="AC36"/>
  <c r="V36"/>
  <c r="AA65" s="1"/>
  <c r="F65" s="1"/>
  <c r="AO35"/>
  <c r="AM35" s="1"/>
  <c r="AD35"/>
  <c r="AC35"/>
  <c r="V35"/>
  <c r="Z63" s="1"/>
  <c r="D63" s="1"/>
  <c r="D70" s="1"/>
  <c r="D77" s="1"/>
  <c r="D82" s="1"/>
  <c r="E92" s="1"/>
  <c r="AO34"/>
  <c r="AM34" s="1"/>
  <c r="AD34"/>
  <c r="AC34"/>
  <c r="V34"/>
  <c r="AO33"/>
  <c r="AM33" s="1"/>
  <c r="AD33"/>
  <c r="AC33"/>
  <c r="AL33" s="1"/>
  <c r="V33"/>
  <c r="AD32"/>
  <c r="AC32"/>
  <c r="AD31"/>
  <c r="AH31" s="1"/>
  <c r="AC31"/>
  <c r="AO30"/>
  <c r="AM30" s="1"/>
  <c r="AD30"/>
  <c r="AC30"/>
  <c r="V30"/>
  <c r="AA60" s="1"/>
  <c r="F60" s="1"/>
  <c r="F71" s="1"/>
  <c r="AO29"/>
  <c r="AM29" s="1"/>
  <c r="AD29"/>
  <c r="AC29"/>
  <c r="V29"/>
  <c r="AO28"/>
  <c r="AM28" s="1"/>
  <c r="AD28"/>
  <c r="AC28"/>
  <c r="V28"/>
  <c r="AO27"/>
  <c r="AM27" s="1"/>
  <c r="AD27"/>
  <c r="AC27"/>
  <c r="V27"/>
  <c r="Z62" s="1"/>
  <c r="D62" s="1"/>
  <c r="F73" s="1"/>
  <c r="F78" s="1"/>
  <c r="F82" s="1"/>
  <c r="E91" s="1"/>
  <c r="AD26"/>
  <c r="AH26" s="1"/>
  <c r="AC26"/>
  <c r="AD25"/>
  <c r="AH25" s="1"/>
  <c r="AC25"/>
  <c r="AO24"/>
  <c r="AM24" s="1"/>
  <c r="AD24"/>
  <c r="AH24" s="1"/>
  <c r="AC24"/>
  <c r="V24"/>
  <c r="AA62" s="1"/>
  <c r="F62" s="1"/>
  <c r="AO23"/>
  <c r="AM23" s="1"/>
  <c r="AD23"/>
  <c r="AH23" s="1"/>
  <c r="AC23"/>
  <c r="AG23" s="1"/>
  <c r="V23"/>
  <c r="AO22"/>
  <c r="AM22" s="1"/>
  <c r="AD22"/>
  <c r="AH22" s="1"/>
  <c r="AC22"/>
  <c r="V22"/>
  <c r="AO21"/>
  <c r="AM21" s="1"/>
  <c r="AD21"/>
  <c r="AH21" s="1"/>
  <c r="AC21"/>
  <c r="AG21" s="1"/>
  <c r="V21"/>
  <c r="Z60" s="1"/>
  <c r="D60" s="1"/>
  <c r="AD20"/>
  <c r="AH20" s="1"/>
  <c r="AC20"/>
  <c r="AD19"/>
  <c r="AH19" s="1"/>
  <c r="AC19"/>
  <c r="AO18"/>
  <c r="AM18" s="1"/>
  <c r="AD18"/>
  <c r="AH18" s="1"/>
  <c r="AC18"/>
  <c r="V18"/>
  <c r="AO17"/>
  <c r="AM17" s="1"/>
  <c r="AD17"/>
  <c r="AH17" s="1"/>
  <c r="AC17"/>
  <c r="AG17" s="1"/>
  <c r="V17"/>
  <c r="AA59" s="1"/>
  <c r="F59" s="1"/>
  <c r="AO16"/>
  <c r="AM16" s="1"/>
  <c r="AD16"/>
  <c r="AH16" s="1"/>
  <c r="AC16"/>
  <c r="V16"/>
  <c r="AO15"/>
  <c r="AM15" s="1"/>
  <c r="AD15"/>
  <c r="AH15" s="1"/>
  <c r="AC15"/>
  <c r="AG15" s="1"/>
  <c r="V15"/>
  <c r="Z61" s="1"/>
  <c r="D61" s="1"/>
  <c r="D73" s="1"/>
  <c r="AD14"/>
  <c r="AH14" s="1"/>
  <c r="AC14"/>
  <c r="AD13"/>
  <c r="AH13" s="1"/>
  <c r="AC13"/>
  <c r="AO12"/>
  <c r="AM12" s="1"/>
  <c r="AD12"/>
  <c r="AH12" s="1"/>
  <c r="AC12"/>
  <c r="V12"/>
  <c r="AO11"/>
  <c r="AM11" s="1"/>
  <c r="AD11"/>
  <c r="AH11" s="1"/>
  <c r="AC11"/>
  <c r="AG11" s="1"/>
  <c r="V11"/>
  <c r="AA61" s="1"/>
  <c r="F61" s="1"/>
  <c r="AO10"/>
  <c r="AM10" s="1"/>
  <c r="AD10"/>
  <c r="AH10" s="1"/>
  <c r="AC10"/>
  <c r="V10"/>
  <c r="AO9"/>
  <c r="AM9" s="1"/>
  <c r="AD9"/>
  <c r="AH9" s="1"/>
  <c r="AC9"/>
  <c r="AG9" s="1"/>
  <c r="V9"/>
  <c r="Z59" s="1"/>
  <c r="D59" s="1"/>
  <c r="D71" s="1"/>
  <c r="F77" s="1"/>
  <c r="D86" s="1"/>
  <c r="E89" s="1"/>
  <c r="AD8"/>
  <c r="AH8" s="1"/>
  <c r="AC8"/>
  <c r="N3"/>
  <c r="C38" i="22" s="1"/>
  <c r="X98" i="34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AG77" s="1"/>
  <c r="X77"/>
  <c r="X76"/>
  <c r="X75"/>
  <c r="X74"/>
  <c r="AD73"/>
  <c r="AH73" s="1"/>
  <c r="AC73"/>
  <c r="AG73" s="1"/>
  <c r="X73"/>
  <c r="AD72"/>
  <c r="AH72" s="1"/>
  <c r="AC72"/>
  <c r="X72"/>
  <c r="AD71"/>
  <c r="AH71" s="1"/>
  <c r="AC71"/>
  <c r="AG71" s="1"/>
  <c r="X71"/>
  <c r="AD70"/>
  <c r="AH70" s="1"/>
  <c r="AC70"/>
  <c r="X70"/>
  <c r="X69"/>
  <c r="AZ68"/>
  <c r="X68"/>
  <c r="AZ67"/>
  <c r="X67"/>
  <c r="AZ66"/>
  <c r="AD66"/>
  <c r="AH66" s="1"/>
  <c r="AC66"/>
  <c r="X66"/>
  <c r="AZ65"/>
  <c r="AD65"/>
  <c r="AH65" s="1"/>
  <c r="AC65"/>
  <c r="X65"/>
  <c r="AZ64"/>
  <c r="AD64"/>
  <c r="AH64" s="1"/>
  <c r="AC64"/>
  <c r="X64"/>
  <c r="AZ63"/>
  <c r="AD63"/>
  <c r="AH63" s="1"/>
  <c r="AC63"/>
  <c r="X63"/>
  <c r="AZ62"/>
  <c r="AD62"/>
  <c r="AH62" s="1"/>
  <c r="AC62"/>
  <c r="X62"/>
  <c r="AZ61"/>
  <c r="AD61"/>
  <c r="AH61" s="1"/>
  <c r="AC61"/>
  <c r="X61"/>
  <c r="AZ60"/>
  <c r="AD60"/>
  <c r="AH60" s="1"/>
  <c r="AC60"/>
  <c r="X60"/>
  <c r="AZ59"/>
  <c r="AD59"/>
  <c r="AH59" s="1"/>
  <c r="AC59"/>
  <c r="X59"/>
  <c r="AZ58"/>
  <c r="AA58"/>
  <c r="Z58"/>
  <c r="X58"/>
  <c r="AD55"/>
  <c r="AH55" s="1"/>
  <c r="AC55"/>
  <c r="AO54"/>
  <c r="AM54" s="1"/>
  <c r="AD54"/>
  <c r="AH54" s="1"/>
  <c r="AC54"/>
  <c r="V54"/>
  <c r="AO53"/>
  <c r="AM53" s="1"/>
  <c r="AD53"/>
  <c r="AH53" s="1"/>
  <c r="AC53"/>
  <c r="V53"/>
  <c r="Z66" s="1"/>
  <c r="D66" s="1"/>
  <c r="AO52"/>
  <c r="AM52" s="1"/>
  <c r="AD52"/>
  <c r="AH52" s="1"/>
  <c r="AC52"/>
  <c r="V52"/>
  <c r="AO51"/>
  <c r="AM51" s="1"/>
  <c r="AD51"/>
  <c r="AH51" s="1"/>
  <c r="AC51"/>
  <c r="V51"/>
  <c r="AA64" s="1"/>
  <c r="F64" s="1"/>
  <c r="AD50"/>
  <c r="AH50" s="1"/>
  <c r="AC50"/>
  <c r="AD49"/>
  <c r="AH49" s="1"/>
  <c r="AC49"/>
  <c r="AO48"/>
  <c r="AM48" s="1"/>
  <c r="AD48"/>
  <c r="AH48" s="1"/>
  <c r="AC48"/>
  <c r="V48"/>
  <c r="AO47"/>
  <c r="AM47" s="1"/>
  <c r="AD47"/>
  <c r="AH47" s="1"/>
  <c r="AC47"/>
  <c r="V47"/>
  <c r="AA66" s="1"/>
  <c r="F66" s="1"/>
  <c r="F72" s="1"/>
  <c r="AO46"/>
  <c r="AM46" s="1"/>
  <c r="AD46"/>
  <c r="AH46" s="1"/>
  <c r="AC46"/>
  <c r="V46"/>
  <c r="AO45"/>
  <c r="AM45" s="1"/>
  <c r="AD45"/>
  <c r="AH45" s="1"/>
  <c r="AC45"/>
  <c r="V45"/>
  <c r="Z64" s="1"/>
  <c r="D64" s="1"/>
  <c r="F70" s="1"/>
  <c r="D77" s="1"/>
  <c r="D86" s="1"/>
  <c r="E89" s="1"/>
  <c r="AD44"/>
  <c r="AH44" s="1"/>
  <c r="AC44"/>
  <c r="AD43"/>
  <c r="AH43" s="1"/>
  <c r="AC43"/>
  <c r="AO42"/>
  <c r="AM42" s="1"/>
  <c r="AD42"/>
  <c r="AH42" s="1"/>
  <c r="AC42"/>
  <c r="V42"/>
  <c r="Z65" s="1"/>
  <c r="D65" s="1"/>
  <c r="D72" s="1"/>
  <c r="D78" s="1"/>
  <c r="F82" s="1"/>
  <c r="E92" s="1"/>
  <c r="AO41"/>
  <c r="AM41" s="1"/>
  <c r="AD41"/>
  <c r="AH41" s="1"/>
  <c r="AC41"/>
  <c r="V41"/>
  <c r="AO40"/>
  <c r="AM40" s="1"/>
  <c r="AD40"/>
  <c r="AH40" s="1"/>
  <c r="AC40"/>
  <c r="V40"/>
  <c r="AO39"/>
  <c r="AM39" s="1"/>
  <c r="AD39"/>
  <c r="AH39" s="1"/>
  <c r="AC39"/>
  <c r="V39"/>
  <c r="AA63" s="1"/>
  <c r="F63" s="1"/>
  <c r="D70" s="1"/>
  <c r="AD38"/>
  <c r="AH38" s="1"/>
  <c r="AC38"/>
  <c r="AD37"/>
  <c r="AH37" s="1"/>
  <c r="AC37"/>
  <c r="AO36"/>
  <c r="AM36" s="1"/>
  <c r="AD36"/>
  <c r="AH36" s="1"/>
  <c r="AC36"/>
  <c r="V36"/>
  <c r="AO35"/>
  <c r="AM35" s="1"/>
  <c r="AD35"/>
  <c r="AH35" s="1"/>
  <c r="AC35"/>
  <c r="V35"/>
  <c r="Z63" s="1"/>
  <c r="D63" s="1"/>
  <c r="AO34"/>
  <c r="AM34" s="1"/>
  <c r="AD34"/>
  <c r="AH34" s="1"/>
  <c r="AC34"/>
  <c r="V34"/>
  <c r="AA65" s="1"/>
  <c r="F65" s="1"/>
  <c r="AO33"/>
  <c r="AM33" s="1"/>
  <c r="AD33"/>
  <c r="AH33" s="1"/>
  <c r="AC33"/>
  <c r="V33"/>
  <c r="AD32"/>
  <c r="AH32" s="1"/>
  <c r="AC32"/>
  <c r="AD31"/>
  <c r="AH31" s="1"/>
  <c r="AC31"/>
  <c r="AO30"/>
  <c r="AM30" s="1"/>
  <c r="AD30"/>
  <c r="AH30" s="1"/>
  <c r="AC30"/>
  <c r="V30"/>
  <c r="Z62" s="1"/>
  <c r="D62" s="1"/>
  <c r="F73" s="1"/>
  <c r="AO29"/>
  <c r="AM29" s="1"/>
  <c r="AD29"/>
  <c r="AH29" s="1"/>
  <c r="AC29"/>
  <c r="V29"/>
  <c r="AA60" s="1"/>
  <c r="F60" s="1"/>
  <c r="AO28"/>
  <c r="AM28" s="1"/>
  <c r="AD28"/>
  <c r="AH28" s="1"/>
  <c r="AC28"/>
  <c r="V28"/>
  <c r="AO27"/>
  <c r="AM27" s="1"/>
  <c r="AD27"/>
  <c r="AH27" s="1"/>
  <c r="AC27"/>
  <c r="V27"/>
  <c r="AD26"/>
  <c r="AH26" s="1"/>
  <c r="AC26"/>
  <c r="AD25"/>
  <c r="AH25" s="1"/>
  <c r="AC25"/>
  <c r="AO24"/>
  <c r="AM24" s="1"/>
  <c r="AD24"/>
  <c r="AH24" s="1"/>
  <c r="AC24"/>
  <c r="V24"/>
  <c r="AO23"/>
  <c r="AM23" s="1"/>
  <c r="AD23"/>
  <c r="AH23" s="1"/>
  <c r="AC23"/>
  <c r="V23"/>
  <c r="Z60" s="1"/>
  <c r="D60" s="1"/>
  <c r="F71" s="1"/>
  <c r="AO22"/>
  <c r="AM22" s="1"/>
  <c r="AD22"/>
  <c r="AH22" s="1"/>
  <c r="AC22"/>
  <c r="AK22" s="1"/>
  <c r="V22"/>
  <c r="AO21"/>
  <c r="AM21" s="1"/>
  <c r="AD21"/>
  <c r="AH21" s="1"/>
  <c r="AC21"/>
  <c r="V21"/>
  <c r="AA62" s="1"/>
  <c r="F62" s="1"/>
  <c r="AD20"/>
  <c r="AH20" s="1"/>
  <c r="AC20"/>
  <c r="AD19"/>
  <c r="AH19" s="1"/>
  <c r="AC19"/>
  <c r="AO18"/>
  <c r="AM18" s="1"/>
  <c r="AD18"/>
  <c r="AH18" s="1"/>
  <c r="AC18"/>
  <c r="V18"/>
  <c r="AO17"/>
  <c r="AM17" s="1"/>
  <c r="AD17"/>
  <c r="AH17" s="1"/>
  <c r="AC17"/>
  <c r="V17"/>
  <c r="AA59" s="1"/>
  <c r="F59" s="1"/>
  <c r="AO16"/>
  <c r="AM16" s="1"/>
  <c r="AD16"/>
  <c r="AH16" s="1"/>
  <c r="AC16"/>
  <c r="V16"/>
  <c r="AO15"/>
  <c r="AM15" s="1"/>
  <c r="AD15"/>
  <c r="AH15" s="1"/>
  <c r="AC15"/>
  <c r="V15"/>
  <c r="Z61" s="1"/>
  <c r="D61" s="1"/>
  <c r="D73" s="1"/>
  <c r="F78" s="1"/>
  <c r="F86" s="1"/>
  <c r="E90" s="1"/>
  <c r="AD14"/>
  <c r="AH14" s="1"/>
  <c r="AC14"/>
  <c r="AD13"/>
  <c r="AH13" s="1"/>
  <c r="AC13"/>
  <c r="AO12"/>
  <c r="AM12" s="1"/>
  <c r="AD12"/>
  <c r="AH12" s="1"/>
  <c r="AC12"/>
  <c r="V12"/>
  <c r="AA61" s="1"/>
  <c r="F61" s="1"/>
  <c r="AO11"/>
  <c r="AM11" s="1"/>
  <c r="AD11"/>
  <c r="AH11" s="1"/>
  <c r="AC11"/>
  <c r="V11"/>
  <c r="AO10"/>
  <c r="AM10" s="1"/>
  <c r="AD10"/>
  <c r="AH10" s="1"/>
  <c r="AC10"/>
  <c r="V10"/>
  <c r="AO9"/>
  <c r="AM9" s="1"/>
  <c r="AD9"/>
  <c r="AH9" s="1"/>
  <c r="AC9"/>
  <c r="V9"/>
  <c r="Z59" s="1"/>
  <c r="D59" s="1"/>
  <c r="D71" s="1"/>
  <c r="F77" s="1"/>
  <c r="D82" s="1"/>
  <c r="E91" s="1"/>
  <c r="AD8"/>
  <c r="AH8" s="1"/>
  <c r="AC8"/>
  <c r="N3"/>
  <c r="C62" i="22" s="1"/>
  <c r="X98" i="33"/>
  <c r="X97"/>
  <c r="X96"/>
  <c r="X95"/>
  <c r="X94"/>
  <c r="X93"/>
  <c r="X92"/>
  <c r="X91"/>
  <c r="X90"/>
  <c r="X89"/>
  <c r="X88"/>
  <c r="X87"/>
  <c r="AD86"/>
  <c r="AH86" s="1"/>
  <c r="AC86"/>
  <c r="AG86" s="1"/>
  <c r="X86"/>
  <c r="X85"/>
  <c r="X84"/>
  <c r="X83"/>
  <c r="AD82"/>
  <c r="AH82" s="1"/>
  <c r="AC82"/>
  <c r="AG82" s="1"/>
  <c r="X82"/>
  <c r="X81"/>
  <c r="X80"/>
  <c r="X79"/>
  <c r="AD78"/>
  <c r="AH78" s="1"/>
  <c r="AC78"/>
  <c r="AG78" s="1"/>
  <c r="X78"/>
  <c r="AD77"/>
  <c r="AH77" s="1"/>
  <c r="AC77"/>
  <c r="X77"/>
  <c r="X76"/>
  <c r="X75"/>
  <c r="X74"/>
  <c r="AD73"/>
  <c r="AH73" s="1"/>
  <c r="AC73"/>
  <c r="X73"/>
  <c r="AD72"/>
  <c r="AH72" s="1"/>
  <c r="AC72"/>
  <c r="AG72" s="1"/>
  <c r="X72"/>
  <c r="AD71"/>
  <c r="AH71" s="1"/>
  <c r="AC71"/>
  <c r="X71"/>
  <c r="AD70"/>
  <c r="AH70" s="1"/>
  <c r="AC70"/>
  <c r="AG70" s="1"/>
  <c r="X70"/>
  <c r="X69"/>
  <c r="AZ68"/>
  <c r="X68"/>
  <c r="AZ67"/>
  <c r="X67"/>
  <c r="AZ66"/>
  <c r="AD66"/>
  <c r="AH66" s="1"/>
  <c r="AC66"/>
  <c r="X66"/>
  <c r="AZ65"/>
  <c r="AD65"/>
  <c r="AH65" s="1"/>
  <c r="AC65"/>
  <c r="X65"/>
  <c r="AZ64"/>
  <c r="AD64"/>
  <c r="AH64" s="1"/>
  <c r="AC64"/>
  <c r="X64"/>
  <c r="AZ63"/>
  <c r="AD63"/>
  <c r="AH63" s="1"/>
  <c r="AC63"/>
  <c r="X63"/>
  <c r="AZ62"/>
  <c r="AD62"/>
  <c r="AH62" s="1"/>
  <c r="AC62"/>
  <c r="X62"/>
  <c r="AZ61"/>
  <c r="AD61"/>
  <c r="AH61" s="1"/>
  <c r="AC61"/>
  <c r="X61"/>
  <c r="AZ60"/>
  <c r="AD60"/>
  <c r="AH60" s="1"/>
  <c r="AC60"/>
  <c r="X60"/>
  <c r="AZ59"/>
  <c r="AD59"/>
  <c r="AH59" s="1"/>
  <c r="AC59"/>
  <c r="X59"/>
  <c r="AZ58"/>
  <c r="BA67" s="1"/>
  <c r="BB67" s="1"/>
  <c r="AA58"/>
  <c r="Z58"/>
  <c r="X58"/>
  <c r="AD55"/>
  <c r="AH55" s="1"/>
  <c r="AC55"/>
  <c r="AG55" s="1"/>
  <c r="AO54"/>
  <c r="AM54" s="1"/>
  <c r="AD54"/>
  <c r="AH54" s="1"/>
  <c r="AC54"/>
  <c r="V54"/>
  <c r="AO53"/>
  <c r="AM53" s="1"/>
  <c r="AD53"/>
  <c r="AH53" s="1"/>
  <c r="AC53"/>
  <c r="V53"/>
  <c r="Z66" s="1"/>
  <c r="D66" s="1"/>
  <c r="AO52"/>
  <c r="AM52" s="1"/>
  <c r="AD52"/>
  <c r="AH52" s="1"/>
  <c r="AC52"/>
  <c r="AL52" s="1"/>
  <c r="V52"/>
  <c r="AO51"/>
  <c r="AM51" s="1"/>
  <c r="AD51"/>
  <c r="AH51" s="1"/>
  <c r="AC51"/>
  <c r="V51"/>
  <c r="AA64" s="1"/>
  <c r="F64" s="1"/>
  <c r="AD50"/>
  <c r="AH50" s="1"/>
  <c r="AC50"/>
  <c r="AL50" s="1"/>
  <c r="AD49"/>
  <c r="AH49" s="1"/>
  <c r="AC49"/>
  <c r="AG49" s="1"/>
  <c r="AO48"/>
  <c r="AM48" s="1"/>
  <c r="AD48"/>
  <c r="AH48" s="1"/>
  <c r="AC48"/>
  <c r="V48"/>
  <c r="AO47"/>
  <c r="AM47" s="1"/>
  <c r="AH47"/>
  <c r="AD47"/>
  <c r="AC47"/>
  <c r="AL47" s="1"/>
  <c r="V47"/>
  <c r="AO46"/>
  <c r="AM46" s="1"/>
  <c r="AD46"/>
  <c r="AH46" s="1"/>
  <c r="AC46"/>
  <c r="V46"/>
  <c r="Z64" s="1"/>
  <c r="D64" s="1"/>
  <c r="F70" s="1"/>
  <c r="D77" s="1"/>
  <c r="D86" s="1"/>
  <c r="E89" s="1"/>
  <c r="AO45"/>
  <c r="AM45" s="1"/>
  <c r="AD45"/>
  <c r="AH45" s="1"/>
  <c r="AC45"/>
  <c r="V45"/>
  <c r="AA66" s="1"/>
  <c r="F66" s="1"/>
  <c r="F72" s="1"/>
  <c r="D78" s="1"/>
  <c r="F82" s="1"/>
  <c r="E92" s="1"/>
  <c r="AD44"/>
  <c r="AH44" s="1"/>
  <c r="AC44"/>
  <c r="AD43"/>
  <c r="AC43"/>
  <c r="AO42"/>
  <c r="AM42" s="1"/>
  <c r="AD42"/>
  <c r="AH42" s="1"/>
  <c r="AC42"/>
  <c r="V42"/>
  <c r="AA63" s="1"/>
  <c r="F63" s="1"/>
  <c r="D70" s="1"/>
  <c r="AO41"/>
  <c r="AM41" s="1"/>
  <c r="AD41"/>
  <c r="AH41" s="1"/>
  <c r="AC41"/>
  <c r="V41"/>
  <c r="AO40"/>
  <c r="AM40" s="1"/>
  <c r="AD40"/>
  <c r="AH40" s="1"/>
  <c r="AC40"/>
  <c r="V40"/>
  <c r="AO39"/>
  <c r="AM39" s="1"/>
  <c r="AD39"/>
  <c r="AH39" s="1"/>
  <c r="AC39"/>
  <c r="AL39" s="1"/>
  <c r="V39"/>
  <c r="Z65" s="1"/>
  <c r="D65" s="1"/>
  <c r="D72" s="1"/>
  <c r="AD38"/>
  <c r="AH38" s="1"/>
  <c r="AC38"/>
  <c r="AL38" s="1"/>
  <c r="AD37"/>
  <c r="AC37"/>
  <c r="AO36"/>
  <c r="AM36" s="1"/>
  <c r="AD36"/>
  <c r="AH36" s="1"/>
  <c r="AC36"/>
  <c r="V36"/>
  <c r="AO35"/>
  <c r="AM35" s="1"/>
  <c r="AD35"/>
  <c r="AH35" s="1"/>
  <c r="AC35"/>
  <c r="AL35" s="1"/>
  <c r="V35"/>
  <c r="Z63" s="1"/>
  <c r="D63" s="1"/>
  <c r="AO34"/>
  <c r="AM34" s="1"/>
  <c r="AD34"/>
  <c r="AH34" s="1"/>
  <c r="AC34"/>
  <c r="V34"/>
  <c r="AA65" s="1"/>
  <c r="F65" s="1"/>
  <c r="AO33"/>
  <c r="AM33" s="1"/>
  <c r="AD33"/>
  <c r="AH33" s="1"/>
  <c r="AC33"/>
  <c r="V33"/>
  <c r="AD32"/>
  <c r="AH32" s="1"/>
  <c r="AC32"/>
  <c r="AD31"/>
  <c r="AC31"/>
  <c r="AO30"/>
  <c r="AM30" s="1"/>
  <c r="AD30"/>
  <c r="AH30" s="1"/>
  <c r="AC30"/>
  <c r="V30"/>
  <c r="AA60" s="1"/>
  <c r="F60" s="1"/>
  <c r="AO29"/>
  <c r="AM29" s="1"/>
  <c r="AD29"/>
  <c r="AH29" s="1"/>
  <c r="AC29"/>
  <c r="V29"/>
  <c r="Z62" s="1"/>
  <c r="D62" s="1"/>
  <c r="F73" s="1"/>
  <c r="AO28"/>
  <c r="AM28" s="1"/>
  <c r="AD28"/>
  <c r="AH28" s="1"/>
  <c r="AC28"/>
  <c r="V28"/>
  <c r="AO27"/>
  <c r="AM27" s="1"/>
  <c r="AD27"/>
  <c r="AH27" s="1"/>
  <c r="AC27"/>
  <c r="AL27" s="1"/>
  <c r="V27"/>
  <c r="AD26"/>
  <c r="AH26" s="1"/>
  <c r="AC26"/>
  <c r="AL26" s="1"/>
  <c r="AD25"/>
  <c r="AC25"/>
  <c r="AO24"/>
  <c r="AM24" s="1"/>
  <c r="AD24"/>
  <c r="AH24" s="1"/>
  <c r="AC24"/>
  <c r="V24"/>
  <c r="AO23"/>
  <c r="AM23" s="1"/>
  <c r="AD23"/>
  <c r="AH23" s="1"/>
  <c r="AC23"/>
  <c r="V23"/>
  <c r="Z60" s="1"/>
  <c r="D60" s="1"/>
  <c r="F71" s="1"/>
  <c r="AO22"/>
  <c r="AM22" s="1"/>
  <c r="AD22"/>
  <c r="AH22" s="1"/>
  <c r="AC22"/>
  <c r="V22"/>
  <c r="AO21"/>
  <c r="AM21" s="1"/>
  <c r="AD21"/>
  <c r="AH21" s="1"/>
  <c r="AC21"/>
  <c r="V21"/>
  <c r="AA62" s="1"/>
  <c r="F62" s="1"/>
  <c r="AD20"/>
  <c r="AH20" s="1"/>
  <c r="AC20"/>
  <c r="AD19"/>
  <c r="AK19" s="1"/>
  <c r="AC19"/>
  <c r="AO18"/>
  <c r="AM18" s="1"/>
  <c r="AD18"/>
  <c r="AH18" s="1"/>
  <c r="AC18"/>
  <c r="V18"/>
  <c r="AO17"/>
  <c r="AM17" s="1"/>
  <c r="AD17"/>
  <c r="AH17" s="1"/>
  <c r="AC17"/>
  <c r="V17"/>
  <c r="AO16"/>
  <c r="AM16" s="1"/>
  <c r="AD16"/>
  <c r="AH16" s="1"/>
  <c r="AC16"/>
  <c r="V16"/>
  <c r="AA59" s="1"/>
  <c r="F59" s="1"/>
  <c r="AO15"/>
  <c r="AM15" s="1"/>
  <c r="AD15"/>
  <c r="AH15" s="1"/>
  <c r="AC15"/>
  <c r="V15"/>
  <c r="Z61" s="1"/>
  <c r="D61" s="1"/>
  <c r="D73" s="1"/>
  <c r="F78" s="1"/>
  <c r="F86" s="1"/>
  <c r="E90" s="1"/>
  <c r="AD14"/>
  <c r="AH14" s="1"/>
  <c r="AC14"/>
  <c r="AD13"/>
  <c r="AC13"/>
  <c r="AO12"/>
  <c r="AM12" s="1"/>
  <c r="AD12"/>
  <c r="AH12" s="1"/>
  <c r="AC12"/>
  <c r="V12"/>
  <c r="AA61" s="1"/>
  <c r="F61" s="1"/>
  <c r="AO11"/>
  <c r="AM11" s="1"/>
  <c r="AD11"/>
  <c r="AH11" s="1"/>
  <c r="AC11"/>
  <c r="V11"/>
  <c r="AO10"/>
  <c r="AM10" s="1"/>
  <c r="AD10"/>
  <c r="AH10" s="1"/>
  <c r="AC10"/>
  <c r="V10"/>
  <c r="AO9"/>
  <c r="AM9" s="1"/>
  <c r="Q3" s="1"/>
  <c r="F89" i="22" s="1"/>
  <c r="AD9" i="33"/>
  <c r="AH9" s="1"/>
  <c r="AC9"/>
  <c r="V9"/>
  <c r="Z59" s="1"/>
  <c r="D59" s="1"/>
  <c r="D71" s="1"/>
  <c r="F77" s="1"/>
  <c r="D82" s="1"/>
  <c r="E91" s="1"/>
  <c r="AD8"/>
  <c r="AH8" s="1"/>
  <c r="AC8"/>
  <c r="N3"/>
  <c r="C89" i="22" s="1"/>
  <c r="X98" i="32"/>
  <c r="X97"/>
  <c r="X96"/>
  <c r="X95"/>
  <c r="X94"/>
  <c r="X93"/>
  <c r="X92"/>
  <c r="X91"/>
  <c r="X90"/>
  <c r="X89"/>
  <c r="X88"/>
  <c r="X87"/>
  <c r="AD86"/>
  <c r="AC86"/>
  <c r="X86"/>
  <c r="X85"/>
  <c r="X84"/>
  <c r="X83"/>
  <c r="AD82"/>
  <c r="AC82"/>
  <c r="X82"/>
  <c r="X81"/>
  <c r="X80"/>
  <c r="X79"/>
  <c r="AD78"/>
  <c r="AC78"/>
  <c r="X78"/>
  <c r="AD77"/>
  <c r="AH77" s="1"/>
  <c r="AC77"/>
  <c r="X77"/>
  <c r="X76"/>
  <c r="X75"/>
  <c r="X74"/>
  <c r="AD73"/>
  <c r="AH73" s="1"/>
  <c r="AC73"/>
  <c r="AL73" s="1"/>
  <c r="X73"/>
  <c r="AD72"/>
  <c r="AC72"/>
  <c r="X72"/>
  <c r="AD71"/>
  <c r="AH71" s="1"/>
  <c r="AC71"/>
  <c r="X71"/>
  <c r="AD70"/>
  <c r="AC70"/>
  <c r="X70"/>
  <c r="X69"/>
  <c r="AZ68"/>
  <c r="X68"/>
  <c r="AZ67"/>
  <c r="X67"/>
  <c r="AZ66"/>
  <c r="AD66"/>
  <c r="AH66" s="1"/>
  <c r="AC66"/>
  <c r="X66"/>
  <c r="AZ65"/>
  <c r="AD65"/>
  <c r="AH65" s="1"/>
  <c r="AC65"/>
  <c r="X65"/>
  <c r="AZ64"/>
  <c r="AD64"/>
  <c r="AH64" s="1"/>
  <c r="AC64"/>
  <c r="Z64"/>
  <c r="D64" s="1"/>
  <c r="X64"/>
  <c r="AZ63"/>
  <c r="AD63"/>
  <c r="AH63" s="1"/>
  <c r="AC63"/>
  <c r="AL63" s="1"/>
  <c r="Z63"/>
  <c r="D63" s="1"/>
  <c r="D70" s="1"/>
  <c r="D77" s="1"/>
  <c r="D82" s="1"/>
  <c r="E91" s="1"/>
  <c r="X63"/>
  <c r="AZ62"/>
  <c r="AD62"/>
  <c r="AH62" s="1"/>
  <c r="AC62"/>
  <c r="Z62"/>
  <c r="D62" s="1"/>
  <c r="F73" s="1"/>
  <c r="F78" s="1"/>
  <c r="F82" s="1"/>
  <c r="E92" s="1"/>
  <c r="X62"/>
  <c r="BA61"/>
  <c r="BB61" s="1"/>
  <c r="AZ61"/>
  <c r="AD61"/>
  <c r="AH61" s="1"/>
  <c r="AC61"/>
  <c r="Z61"/>
  <c r="D61" s="1"/>
  <c r="D73" s="1"/>
  <c r="X61"/>
  <c r="AZ60"/>
  <c r="AD60"/>
  <c r="AH60" s="1"/>
  <c r="AC60"/>
  <c r="Z60"/>
  <c r="D60" s="1"/>
  <c r="F71" s="1"/>
  <c r="X60"/>
  <c r="BA59"/>
  <c r="BB59" s="1"/>
  <c r="AZ59"/>
  <c r="AD59"/>
  <c r="AH59" s="1"/>
  <c r="AC59"/>
  <c r="AL59" s="1"/>
  <c r="Z59"/>
  <c r="D59" s="1"/>
  <c r="D71" s="1"/>
  <c r="F77" s="1"/>
  <c r="D86" s="1"/>
  <c r="E89" s="1"/>
  <c r="X59"/>
  <c r="AZ58"/>
  <c r="BA67" s="1"/>
  <c r="BB67" s="1"/>
  <c r="AA58"/>
  <c r="Z58"/>
  <c r="X58"/>
  <c r="AD55"/>
  <c r="AC55"/>
  <c r="AO54"/>
  <c r="AM54" s="1"/>
  <c r="AD54"/>
  <c r="AH54" s="1"/>
  <c r="AC54"/>
  <c r="V54"/>
  <c r="AO53"/>
  <c r="AM53" s="1"/>
  <c r="AD53"/>
  <c r="AH53" s="1"/>
  <c r="AC53"/>
  <c r="V53"/>
  <c r="AA64" s="1"/>
  <c r="F64" s="1"/>
  <c r="F70" s="1"/>
  <c r="AO52"/>
  <c r="AM52" s="1"/>
  <c r="AD52"/>
  <c r="AH52" s="1"/>
  <c r="AC52"/>
  <c r="V52"/>
  <c r="AO51"/>
  <c r="AM51" s="1"/>
  <c r="AD51"/>
  <c r="AH51" s="1"/>
  <c r="AC51"/>
  <c r="V51"/>
  <c r="Z66" s="1"/>
  <c r="D66" s="1"/>
  <c r="F72" s="1"/>
  <c r="D78" s="1"/>
  <c r="F86" s="1"/>
  <c r="E90" s="1"/>
  <c r="AD50"/>
  <c r="AH50" s="1"/>
  <c r="AC50"/>
  <c r="AD49"/>
  <c r="AC49"/>
  <c r="AO48"/>
  <c r="AM48" s="1"/>
  <c r="AD48"/>
  <c r="AH48" s="1"/>
  <c r="AC48"/>
  <c r="AL48" s="1"/>
  <c r="V48"/>
  <c r="AO47"/>
  <c r="AM47" s="1"/>
  <c r="AD47"/>
  <c r="AH47" s="1"/>
  <c r="AC47"/>
  <c r="V47"/>
  <c r="AA66" s="1"/>
  <c r="F66" s="1"/>
  <c r="AO46"/>
  <c r="AM46" s="1"/>
  <c r="AD46"/>
  <c r="AH46" s="1"/>
  <c r="AC46"/>
  <c r="V46"/>
  <c r="AO45"/>
  <c r="AM45" s="1"/>
  <c r="AD45"/>
  <c r="AH45" s="1"/>
  <c r="AC45"/>
  <c r="V45"/>
  <c r="AD44"/>
  <c r="AH44" s="1"/>
  <c r="AC44"/>
  <c r="AD43"/>
  <c r="AC43"/>
  <c r="AO42"/>
  <c r="AM42" s="1"/>
  <c r="AD42"/>
  <c r="AH42" s="1"/>
  <c r="AC42"/>
  <c r="AL42" s="1"/>
  <c r="V42"/>
  <c r="AA63" s="1"/>
  <c r="F63" s="1"/>
  <c r="AO41"/>
  <c r="AM41" s="1"/>
  <c r="AD41"/>
  <c r="AH41" s="1"/>
  <c r="AC41"/>
  <c r="V41"/>
  <c r="AO40"/>
  <c r="AM40" s="1"/>
  <c r="AD40"/>
  <c r="AH40" s="1"/>
  <c r="AC40"/>
  <c r="V40"/>
  <c r="AO39"/>
  <c r="AM39" s="1"/>
  <c r="AD39"/>
  <c r="AH39" s="1"/>
  <c r="AC39"/>
  <c r="V39"/>
  <c r="Z65" s="1"/>
  <c r="D65" s="1"/>
  <c r="D72" s="1"/>
  <c r="AD38"/>
  <c r="AH38" s="1"/>
  <c r="AC38"/>
  <c r="AD37"/>
  <c r="AC37"/>
  <c r="AO36"/>
  <c r="AM36" s="1"/>
  <c r="AD36"/>
  <c r="AH36" s="1"/>
  <c r="AC36"/>
  <c r="V36"/>
  <c r="AO35"/>
  <c r="AM35" s="1"/>
  <c r="AD35"/>
  <c r="AH35" s="1"/>
  <c r="AC35"/>
  <c r="V35"/>
  <c r="AO34"/>
  <c r="AM34" s="1"/>
  <c r="AD34"/>
  <c r="AH34" s="1"/>
  <c r="AC34"/>
  <c r="V34"/>
  <c r="AA65" s="1"/>
  <c r="F65" s="1"/>
  <c r="AO33"/>
  <c r="AM33" s="1"/>
  <c r="AD33"/>
  <c r="AH33" s="1"/>
  <c r="AC33"/>
  <c r="V33"/>
  <c r="AD32"/>
  <c r="AH32" s="1"/>
  <c r="AC32"/>
  <c r="AD31"/>
  <c r="AC31"/>
  <c r="AO30"/>
  <c r="AM30" s="1"/>
  <c r="AD30"/>
  <c r="AH30" s="1"/>
  <c r="AC30"/>
  <c r="AL30" s="1"/>
  <c r="V30"/>
  <c r="AO29"/>
  <c r="AM29" s="1"/>
  <c r="AD29"/>
  <c r="AH29" s="1"/>
  <c r="AC29"/>
  <c r="V29"/>
  <c r="AA60" s="1"/>
  <c r="F60" s="1"/>
  <c r="AO28"/>
  <c r="AM28" s="1"/>
  <c r="AD28"/>
  <c r="AH28" s="1"/>
  <c r="AC28"/>
  <c r="V28"/>
  <c r="AO27"/>
  <c r="AM27" s="1"/>
  <c r="AD27"/>
  <c r="AH27" s="1"/>
  <c r="AC27"/>
  <c r="V27"/>
  <c r="AD26"/>
  <c r="AH26" s="1"/>
  <c r="AC26"/>
  <c r="AD25"/>
  <c r="AC25"/>
  <c r="AO24"/>
  <c r="AM24" s="1"/>
  <c r="AD24"/>
  <c r="AH24" s="1"/>
  <c r="AC24"/>
  <c r="V24"/>
  <c r="AO23"/>
  <c r="AM23" s="1"/>
  <c r="AD23"/>
  <c r="AH23" s="1"/>
  <c r="AC23"/>
  <c r="V23"/>
  <c r="AO22"/>
  <c r="AM22" s="1"/>
  <c r="AD22"/>
  <c r="AH22" s="1"/>
  <c r="AC22"/>
  <c r="V22"/>
  <c r="AO21"/>
  <c r="AM21" s="1"/>
  <c r="AD21"/>
  <c r="AH21" s="1"/>
  <c r="AC21"/>
  <c r="V21"/>
  <c r="AA62" s="1"/>
  <c r="F62" s="1"/>
  <c r="AD20"/>
  <c r="AH20" s="1"/>
  <c r="AC20"/>
  <c r="AD19"/>
  <c r="AC19"/>
  <c r="AL19" s="1"/>
  <c r="AO18"/>
  <c r="AM18" s="1"/>
  <c r="AD18"/>
  <c r="AH18" s="1"/>
  <c r="AC18"/>
  <c r="AL18" s="1"/>
  <c r="V18"/>
  <c r="AO17"/>
  <c r="AM17" s="1"/>
  <c r="AD17"/>
  <c r="AH17" s="1"/>
  <c r="AC17"/>
  <c r="V17"/>
  <c r="AO16"/>
  <c r="AM16" s="1"/>
  <c r="AD16"/>
  <c r="AH16" s="1"/>
  <c r="AC16"/>
  <c r="V16"/>
  <c r="AA59" s="1"/>
  <c r="F59" s="1"/>
  <c r="AO15"/>
  <c r="AM15" s="1"/>
  <c r="AD15"/>
  <c r="AH15" s="1"/>
  <c r="AC15"/>
  <c r="V15"/>
  <c r="AD14"/>
  <c r="AH14" s="1"/>
  <c r="AC14"/>
  <c r="AD13"/>
  <c r="AC13"/>
  <c r="AO12"/>
  <c r="AM12" s="1"/>
  <c r="AD12"/>
  <c r="AH12" s="1"/>
  <c r="AC12"/>
  <c r="AL12" s="1"/>
  <c r="V12"/>
  <c r="AO11"/>
  <c r="AM11" s="1"/>
  <c r="AD11"/>
  <c r="AH11" s="1"/>
  <c r="AC11"/>
  <c r="V11"/>
  <c r="AO10"/>
  <c r="AM10" s="1"/>
  <c r="AD10"/>
  <c r="AH10" s="1"/>
  <c r="AC10"/>
  <c r="V10"/>
  <c r="AA61" s="1"/>
  <c r="F61" s="1"/>
  <c r="AO9"/>
  <c r="AM9" s="1"/>
  <c r="AD9"/>
  <c r="AH9" s="1"/>
  <c r="AC9"/>
  <c r="V9"/>
  <c r="AD8"/>
  <c r="AH8" s="1"/>
  <c r="AC8"/>
  <c r="N3"/>
  <c r="C51" i="22" s="1"/>
  <c r="X98" i="31"/>
  <c r="X97"/>
  <c r="X96"/>
  <c r="X95"/>
  <c r="X94"/>
  <c r="X93"/>
  <c r="X92"/>
  <c r="X91"/>
  <c r="X90"/>
  <c r="X89"/>
  <c r="X88"/>
  <c r="X87"/>
  <c r="AD86"/>
  <c r="AC86"/>
  <c r="X86"/>
  <c r="X85"/>
  <c r="X84"/>
  <c r="X83"/>
  <c r="AD82"/>
  <c r="AC82"/>
  <c r="X82"/>
  <c r="X81"/>
  <c r="X80"/>
  <c r="X79"/>
  <c r="AD78"/>
  <c r="AC78"/>
  <c r="X78"/>
  <c r="AD77"/>
  <c r="AH77" s="1"/>
  <c r="AC77"/>
  <c r="AL77" s="1"/>
  <c r="X77"/>
  <c r="X76"/>
  <c r="X75"/>
  <c r="X74"/>
  <c r="AD73"/>
  <c r="AH73" s="1"/>
  <c r="AC73"/>
  <c r="X73"/>
  <c r="AD72"/>
  <c r="AC72"/>
  <c r="X72"/>
  <c r="AD71"/>
  <c r="AH71" s="1"/>
  <c r="AC71"/>
  <c r="X71"/>
  <c r="AD70"/>
  <c r="AK70" s="1"/>
  <c r="AC70"/>
  <c r="X70"/>
  <c r="X69"/>
  <c r="AZ68"/>
  <c r="X68"/>
  <c r="AZ67"/>
  <c r="X67"/>
  <c r="AZ66"/>
  <c r="AD66"/>
  <c r="AH66" s="1"/>
  <c r="AC66"/>
  <c r="X66"/>
  <c r="AZ65"/>
  <c r="AD65"/>
  <c r="AH65" s="1"/>
  <c r="AC65"/>
  <c r="X65"/>
  <c r="BA64"/>
  <c r="BB64" s="1"/>
  <c r="AZ64"/>
  <c r="AD64"/>
  <c r="AH64" s="1"/>
  <c r="AC64"/>
  <c r="AL64" s="1"/>
  <c r="X64"/>
  <c r="BA63"/>
  <c r="BB63" s="1"/>
  <c r="AZ63"/>
  <c r="AD63"/>
  <c r="AH63" s="1"/>
  <c r="AC63"/>
  <c r="AL63" s="1"/>
  <c r="X63"/>
  <c r="BA62"/>
  <c r="BB62" s="1"/>
  <c r="AZ62"/>
  <c r="AD62"/>
  <c r="AH62" s="1"/>
  <c r="AC62"/>
  <c r="AL62" s="1"/>
  <c r="X62"/>
  <c r="BA61"/>
  <c r="BB61" s="1"/>
  <c r="AZ61"/>
  <c r="AD61"/>
  <c r="AH61" s="1"/>
  <c r="AC61"/>
  <c r="X61"/>
  <c r="BA60"/>
  <c r="BB60" s="1"/>
  <c r="AZ60"/>
  <c r="AD60"/>
  <c r="AH60" s="1"/>
  <c r="AC60"/>
  <c r="AL60" s="1"/>
  <c r="X60"/>
  <c r="BA59"/>
  <c r="BB59" s="1"/>
  <c r="AZ59"/>
  <c r="BA66" s="1"/>
  <c r="BB66" s="1"/>
  <c r="AD59"/>
  <c r="AH59" s="1"/>
  <c r="AC59"/>
  <c r="AL59" s="1"/>
  <c r="X59"/>
  <c r="BA58"/>
  <c r="AZ58"/>
  <c r="AA58"/>
  <c r="Z58"/>
  <c r="X58"/>
  <c r="AD55"/>
  <c r="AC55"/>
  <c r="AO54"/>
  <c r="AM54" s="1"/>
  <c r="AD54"/>
  <c r="AH54" s="1"/>
  <c r="AC54"/>
  <c r="V54"/>
  <c r="AA64" s="1"/>
  <c r="F64" s="1"/>
  <c r="AO53"/>
  <c r="AM53" s="1"/>
  <c r="AD53"/>
  <c r="AH53" s="1"/>
  <c r="AC53"/>
  <c r="AL53" s="1"/>
  <c r="V53"/>
  <c r="AO52"/>
  <c r="AM52" s="1"/>
  <c r="AD52"/>
  <c r="AH52" s="1"/>
  <c r="AC52"/>
  <c r="V52"/>
  <c r="AO51"/>
  <c r="AM51" s="1"/>
  <c r="AD51"/>
  <c r="AH51" s="1"/>
  <c r="AC51"/>
  <c r="V51"/>
  <c r="Z66" s="1"/>
  <c r="D66" s="1"/>
  <c r="F72" s="1"/>
  <c r="D78" s="1"/>
  <c r="F82" s="1"/>
  <c r="E91" s="1"/>
  <c r="AD50"/>
  <c r="AH50" s="1"/>
  <c r="AC50"/>
  <c r="AD49"/>
  <c r="AC49"/>
  <c r="AO48"/>
  <c r="AM48" s="1"/>
  <c r="AD48"/>
  <c r="AH48" s="1"/>
  <c r="AC48"/>
  <c r="V48"/>
  <c r="AO47"/>
  <c r="AM47" s="1"/>
  <c r="AD47"/>
  <c r="AH47" s="1"/>
  <c r="AC47"/>
  <c r="V47"/>
  <c r="AO46"/>
  <c r="AM46" s="1"/>
  <c r="AD46"/>
  <c r="AH46" s="1"/>
  <c r="AC46"/>
  <c r="V46"/>
  <c r="Z64" s="1"/>
  <c r="D64" s="1"/>
  <c r="F70" s="1"/>
  <c r="D77" s="1"/>
  <c r="D82" s="1"/>
  <c r="E92" s="1"/>
  <c r="AO45"/>
  <c r="AM45" s="1"/>
  <c r="AD45"/>
  <c r="AH45" s="1"/>
  <c r="AC45"/>
  <c r="AL45" s="1"/>
  <c r="V45"/>
  <c r="AA66" s="1"/>
  <c r="F66" s="1"/>
  <c r="AD44"/>
  <c r="AH44" s="1"/>
  <c r="AC44"/>
  <c r="AD43"/>
  <c r="AC43"/>
  <c r="AO42"/>
  <c r="AM42" s="1"/>
  <c r="AD42"/>
  <c r="AH42" s="1"/>
  <c r="AC42"/>
  <c r="V42"/>
  <c r="AA63" s="1"/>
  <c r="F63" s="1"/>
  <c r="D70" s="1"/>
  <c r="AO41"/>
  <c r="AM41" s="1"/>
  <c r="AD41"/>
  <c r="AH41" s="1"/>
  <c r="AC41"/>
  <c r="V41"/>
  <c r="AO40"/>
  <c r="AM40" s="1"/>
  <c r="AD40"/>
  <c r="AH40" s="1"/>
  <c r="AC40"/>
  <c r="V40"/>
  <c r="AO39"/>
  <c r="AM39" s="1"/>
  <c r="AD39"/>
  <c r="AH39" s="1"/>
  <c r="AC39"/>
  <c r="V39"/>
  <c r="Z65" s="1"/>
  <c r="D65" s="1"/>
  <c r="D72" s="1"/>
  <c r="AD38"/>
  <c r="AH38" s="1"/>
  <c r="AC38"/>
  <c r="AD37"/>
  <c r="AC37"/>
  <c r="AO36"/>
  <c r="AM36" s="1"/>
  <c r="AD36"/>
  <c r="AH36" s="1"/>
  <c r="AC36"/>
  <c r="V36"/>
  <c r="AO35"/>
  <c r="AM35" s="1"/>
  <c r="AD35"/>
  <c r="AH35" s="1"/>
  <c r="AC35"/>
  <c r="V35"/>
  <c r="AA65" s="1"/>
  <c r="F65" s="1"/>
  <c r="AO34"/>
  <c r="AM34" s="1"/>
  <c r="AD34"/>
  <c r="AH34" s="1"/>
  <c r="AC34"/>
  <c r="V34"/>
  <c r="Z63" s="1"/>
  <c r="D63" s="1"/>
  <c r="AO33"/>
  <c r="AM33" s="1"/>
  <c r="AD33"/>
  <c r="AH33" s="1"/>
  <c r="AC33"/>
  <c r="V33"/>
  <c r="AD32"/>
  <c r="AH32" s="1"/>
  <c r="AC32"/>
  <c r="AD31"/>
  <c r="AC31"/>
  <c r="AO30"/>
  <c r="AM30" s="1"/>
  <c r="AD30"/>
  <c r="AH30" s="1"/>
  <c r="AC30"/>
  <c r="V30"/>
  <c r="AO29"/>
  <c r="AM29" s="1"/>
  <c r="AD29"/>
  <c r="AH29" s="1"/>
  <c r="AC29"/>
  <c r="AL29" s="1"/>
  <c r="V29"/>
  <c r="AA60" s="1"/>
  <c r="F60" s="1"/>
  <c r="AO28"/>
  <c r="AM28" s="1"/>
  <c r="AD28"/>
  <c r="AH28" s="1"/>
  <c r="AC28"/>
  <c r="V28"/>
  <c r="Z62" s="1"/>
  <c r="D62" s="1"/>
  <c r="F73" s="1"/>
  <c r="AO27"/>
  <c r="AM27" s="1"/>
  <c r="AD27"/>
  <c r="AH27" s="1"/>
  <c r="AC27"/>
  <c r="V27"/>
  <c r="AD26"/>
  <c r="AH26" s="1"/>
  <c r="AC26"/>
  <c r="AD25"/>
  <c r="AC25"/>
  <c r="AO24"/>
  <c r="AM24" s="1"/>
  <c r="AD24"/>
  <c r="AH24" s="1"/>
  <c r="AC24"/>
  <c r="V24"/>
  <c r="Z60" s="1"/>
  <c r="D60" s="1"/>
  <c r="F71" s="1"/>
  <c r="AO23"/>
  <c r="AM23" s="1"/>
  <c r="AD23"/>
  <c r="AH23" s="1"/>
  <c r="AC23"/>
  <c r="V23"/>
  <c r="AO22"/>
  <c r="AM22" s="1"/>
  <c r="AD22"/>
  <c r="AH22" s="1"/>
  <c r="AC22"/>
  <c r="V22"/>
  <c r="AO21"/>
  <c r="AM21" s="1"/>
  <c r="AD21"/>
  <c r="AH21" s="1"/>
  <c r="AC21"/>
  <c r="V21"/>
  <c r="AA62" s="1"/>
  <c r="F62" s="1"/>
  <c r="AD20"/>
  <c r="AH20" s="1"/>
  <c r="AC20"/>
  <c r="AD19"/>
  <c r="AC19"/>
  <c r="AL19" s="1"/>
  <c r="AO18"/>
  <c r="AM18" s="1"/>
  <c r="AD18"/>
  <c r="AH18" s="1"/>
  <c r="AC18"/>
  <c r="AL18" s="1"/>
  <c r="V18"/>
  <c r="AO17"/>
  <c r="AM17" s="1"/>
  <c r="AD17"/>
  <c r="AH17" s="1"/>
  <c r="AC17"/>
  <c r="V17"/>
  <c r="AA59" s="1"/>
  <c r="F59" s="1"/>
  <c r="AO16"/>
  <c r="AM16" s="1"/>
  <c r="AD16"/>
  <c r="AH16" s="1"/>
  <c r="AC16"/>
  <c r="V16"/>
  <c r="Z61" s="1"/>
  <c r="D61" s="1"/>
  <c r="D73" s="1"/>
  <c r="F78" s="1"/>
  <c r="F86" s="1"/>
  <c r="E89" s="1"/>
  <c r="AO15"/>
  <c r="AM15" s="1"/>
  <c r="AD15"/>
  <c r="AH15" s="1"/>
  <c r="AC15"/>
  <c r="V15"/>
  <c r="AD14"/>
  <c r="AH14" s="1"/>
  <c r="AC14"/>
  <c r="AD13"/>
  <c r="AH13" s="1"/>
  <c r="AC13"/>
  <c r="AG13" s="1"/>
  <c r="AO12"/>
  <c r="AM12" s="1"/>
  <c r="AD12"/>
  <c r="AH12" s="1"/>
  <c r="AC12"/>
  <c r="V12"/>
  <c r="AO11"/>
  <c r="AM11" s="1"/>
  <c r="AD11"/>
  <c r="AH11" s="1"/>
  <c r="AC11"/>
  <c r="V11"/>
  <c r="AA61" s="1"/>
  <c r="F61" s="1"/>
  <c r="AO10"/>
  <c r="AM10" s="1"/>
  <c r="AD10"/>
  <c r="AH10" s="1"/>
  <c r="AC10"/>
  <c r="V10"/>
  <c r="AO9"/>
  <c r="AM9" s="1"/>
  <c r="AD9"/>
  <c r="AH9" s="1"/>
  <c r="AC9"/>
  <c r="V9"/>
  <c r="Z59" s="1"/>
  <c r="D59" s="1"/>
  <c r="D71" s="1"/>
  <c r="F77" s="1"/>
  <c r="D86" s="1"/>
  <c r="E90" s="1"/>
  <c r="AD8"/>
  <c r="AH8" s="1"/>
  <c r="AC8"/>
  <c r="N3"/>
  <c r="C26" i="22" s="1"/>
  <c r="X98" i="30"/>
  <c r="X97"/>
  <c r="X96"/>
  <c r="X95"/>
  <c r="X94"/>
  <c r="X93"/>
  <c r="X92"/>
  <c r="X91"/>
  <c r="X90"/>
  <c r="X89"/>
  <c r="X88"/>
  <c r="X87"/>
  <c r="AD86"/>
  <c r="AH86" s="1"/>
  <c r="AC86"/>
  <c r="AG86" s="1"/>
  <c r="X86"/>
  <c r="X85"/>
  <c r="X84"/>
  <c r="X83"/>
  <c r="AD82"/>
  <c r="AH82" s="1"/>
  <c r="AC82"/>
  <c r="AG82" s="1"/>
  <c r="X82"/>
  <c r="X81"/>
  <c r="X80"/>
  <c r="X79"/>
  <c r="AD78"/>
  <c r="AH78" s="1"/>
  <c r="AC78"/>
  <c r="AG78" s="1"/>
  <c r="X78"/>
  <c r="AD77"/>
  <c r="AH77" s="1"/>
  <c r="AC77"/>
  <c r="X77"/>
  <c r="X76"/>
  <c r="X75"/>
  <c r="X74"/>
  <c r="AD73"/>
  <c r="AH73" s="1"/>
  <c r="AC73"/>
  <c r="X73"/>
  <c r="AD72"/>
  <c r="AH72" s="1"/>
  <c r="AC72"/>
  <c r="AG72" s="1"/>
  <c r="X72"/>
  <c r="AD71"/>
  <c r="AC71"/>
  <c r="X71"/>
  <c r="AD70"/>
  <c r="AH70" s="1"/>
  <c r="AC70"/>
  <c r="AG70" s="1"/>
  <c r="X70"/>
  <c r="X69"/>
  <c r="AZ68"/>
  <c r="X68"/>
  <c r="AZ67"/>
  <c r="X67"/>
  <c r="AZ66"/>
  <c r="AD66"/>
  <c r="AC66"/>
  <c r="X66"/>
  <c r="AZ65"/>
  <c r="AD65"/>
  <c r="AH65" s="1"/>
  <c r="AC65"/>
  <c r="X65"/>
  <c r="AZ64"/>
  <c r="AD64"/>
  <c r="AH64" s="1"/>
  <c r="AC64"/>
  <c r="AA64"/>
  <c r="F64" s="1"/>
  <c r="X64"/>
  <c r="AZ63"/>
  <c r="AD63"/>
  <c r="AC63"/>
  <c r="AG63" s="1"/>
  <c r="AA63"/>
  <c r="F63" s="1"/>
  <c r="X63"/>
  <c r="AZ62"/>
  <c r="AD62"/>
  <c r="AC62"/>
  <c r="X62"/>
  <c r="AZ61"/>
  <c r="AD61"/>
  <c r="AC61"/>
  <c r="X61"/>
  <c r="AZ60"/>
  <c r="AD60"/>
  <c r="AC60"/>
  <c r="X60"/>
  <c r="AZ59"/>
  <c r="AD59"/>
  <c r="AC59"/>
  <c r="X59"/>
  <c r="BA58"/>
  <c r="BB58" s="1"/>
  <c r="AZ58"/>
  <c r="AA58"/>
  <c r="Z58"/>
  <c r="X58"/>
  <c r="AD55"/>
  <c r="AH55" s="1"/>
  <c r="AC55"/>
  <c r="AO54"/>
  <c r="AM54" s="1"/>
  <c r="AD54"/>
  <c r="AC54"/>
  <c r="V54"/>
  <c r="AO53"/>
  <c r="AM53" s="1"/>
  <c r="AD53"/>
  <c r="AC53"/>
  <c r="V53"/>
  <c r="AO52"/>
  <c r="AM52" s="1"/>
  <c r="AD52"/>
  <c r="AC52"/>
  <c r="V52"/>
  <c r="AO51"/>
  <c r="AM51" s="1"/>
  <c r="AD51"/>
  <c r="AC51"/>
  <c r="V51"/>
  <c r="Z66" s="1"/>
  <c r="D66" s="1"/>
  <c r="AD50"/>
  <c r="AC50"/>
  <c r="AD49"/>
  <c r="AH49" s="1"/>
  <c r="AC49"/>
  <c r="AO48"/>
  <c r="AM48" s="1"/>
  <c r="AD48"/>
  <c r="AC48"/>
  <c r="V48"/>
  <c r="AO47"/>
  <c r="AM47" s="1"/>
  <c r="AD47"/>
  <c r="AC47"/>
  <c r="V47"/>
  <c r="AO46"/>
  <c r="AM46" s="1"/>
  <c r="AD46"/>
  <c r="AC46"/>
  <c r="V46"/>
  <c r="AA66" s="1"/>
  <c r="F66" s="1"/>
  <c r="F72" s="1"/>
  <c r="AO45"/>
  <c r="AM45" s="1"/>
  <c r="AD45"/>
  <c r="AC45"/>
  <c r="V45"/>
  <c r="Z64" s="1"/>
  <c r="D64" s="1"/>
  <c r="F70" s="1"/>
  <c r="AD44"/>
  <c r="AC44"/>
  <c r="AD43"/>
  <c r="AH43" s="1"/>
  <c r="AC43"/>
  <c r="AO42"/>
  <c r="AM42" s="1"/>
  <c r="AD42"/>
  <c r="AC42"/>
  <c r="V42"/>
  <c r="AO41"/>
  <c r="AM41" s="1"/>
  <c r="AD41"/>
  <c r="AC41"/>
  <c r="V41"/>
  <c r="AO40"/>
  <c r="AM40" s="1"/>
  <c r="AD40"/>
  <c r="AC40"/>
  <c r="V40"/>
  <c r="AO39"/>
  <c r="AM39" s="1"/>
  <c r="AD39"/>
  <c r="AC39"/>
  <c r="V39"/>
  <c r="Z65" s="1"/>
  <c r="D65" s="1"/>
  <c r="D72" s="1"/>
  <c r="D78" s="1"/>
  <c r="F86" s="1"/>
  <c r="E89" s="1"/>
  <c r="AD38"/>
  <c r="AC38"/>
  <c r="AL38" s="1"/>
  <c r="AD37"/>
  <c r="AH37" s="1"/>
  <c r="AC37"/>
  <c r="AO36"/>
  <c r="AM36" s="1"/>
  <c r="AD36"/>
  <c r="AC36"/>
  <c r="V36"/>
  <c r="AO35"/>
  <c r="AM35" s="1"/>
  <c r="AD35"/>
  <c r="AC35"/>
  <c r="V35"/>
  <c r="Z63" s="1"/>
  <c r="D63" s="1"/>
  <c r="D70" s="1"/>
  <c r="D77" s="1"/>
  <c r="D82" s="1"/>
  <c r="E91" s="1"/>
  <c r="AO34"/>
  <c r="AM34" s="1"/>
  <c r="AD34"/>
  <c r="AC34"/>
  <c r="V34"/>
  <c r="AA65" s="1"/>
  <c r="F65" s="1"/>
  <c r="AO33"/>
  <c r="AM33" s="1"/>
  <c r="AD33"/>
  <c r="AC33"/>
  <c r="V33"/>
  <c r="AD32"/>
  <c r="AC32"/>
  <c r="AD31"/>
  <c r="AH31" s="1"/>
  <c r="AC31"/>
  <c r="AO30"/>
  <c r="AM30" s="1"/>
  <c r="AD30"/>
  <c r="AC30"/>
  <c r="V30"/>
  <c r="Z62" s="1"/>
  <c r="D62" s="1"/>
  <c r="F73" s="1"/>
  <c r="F78" s="1"/>
  <c r="F82" s="1"/>
  <c r="E92" s="1"/>
  <c r="AO29"/>
  <c r="AM29" s="1"/>
  <c r="AD29"/>
  <c r="AC29"/>
  <c r="V29"/>
  <c r="AO28"/>
  <c r="AM28" s="1"/>
  <c r="AD28"/>
  <c r="AC28"/>
  <c r="V28"/>
  <c r="AO27"/>
  <c r="AM27" s="1"/>
  <c r="AD27"/>
  <c r="AC27"/>
  <c r="V27"/>
  <c r="AA60" s="1"/>
  <c r="F60" s="1"/>
  <c r="F71" s="1"/>
  <c r="AD26"/>
  <c r="AC26"/>
  <c r="AD25"/>
  <c r="AH25" s="1"/>
  <c r="AC25"/>
  <c r="AO24"/>
  <c r="AM24" s="1"/>
  <c r="AD24"/>
  <c r="AC24"/>
  <c r="V24"/>
  <c r="AO23"/>
  <c r="AM23" s="1"/>
  <c r="AD23"/>
  <c r="AC23"/>
  <c r="V23"/>
  <c r="Z60" s="1"/>
  <c r="D60" s="1"/>
  <c r="AO22"/>
  <c r="AM22" s="1"/>
  <c r="AD22"/>
  <c r="AC22"/>
  <c r="V22"/>
  <c r="AO21"/>
  <c r="AM21" s="1"/>
  <c r="AD21"/>
  <c r="AC21"/>
  <c r="V21"/>
  <c r="AA62" s="1"/>
  <c r="F62" s="1"/>
  <c r="AD20"/>
  <c r="AC20"/>
  <c r="AD19"/>
  <c r="AH19" s="1"/>
  <c r="AC19"/>
  <c r="AO18"/>
  <c r="AM18" s="1"/>
  <c r="AD18"/>
  <c r="AK18" s="1"/>
  <c r="AC18"/>
  <c r="V18"/>
  <c r="AO17"/>
  <c r="AM17" s="1"/>
  <c r="AD17"/>
  <c r="AC17"/>
  <c r="V17"/>
  <c r="AA59" s="1"/>
  <c r="F59" s="1"/>
  <c r="AO16"/>
  <c r="AM16" s="1"/>
  <c r="AD16"/>
  <c r="AC16"/>
  <c r="V16"/>
  <c r="AO15"/>
  <c r="AM15" s="1"/>
  <c r="AD15"/>
  <c r="AH15" s="1"/>
  <c r="AC15"/>
  <c r="V15"/>
  <c r="Z61" s="1"/>
  <c r="D61" s="1"/>
  <c r="D73" s="1"/>
  <c r="AD14"/>
  <c r="AC14"/>
  <c r="AD13"/>
  <c r="AH13" s="1"/>
  <c r="AC13"/>
  <c r="AO12"/>
  <c r="AM12" s="1"/>
  <c r="AD12"/>
  <c r="AC12"/>
  <c r="V12"/>
  <c r="AO11"/>
  <c r="AM11" s="1"/>
  <c r="AD11"/>
  <c r="AC11"/>
  <c r="V11"/>
  <c r="AO10"/>
  <c r="AM10" s="1"/>
  <c r="AD10"/>
  <c r="AC10"/>
  <c r="V10"/>
  <c r="AA61" s="1"/>
  <c r="F61" s="1"/>
  <c r="AO9"/>
  <c r="AM9" s="1"/>
  <c r="Q3" s="1"/>
  <c r="F63" i="22" s="1"/>
  <c r="AD9" i="30"/>
  <c r="AH9" s="1"/>
  <c r="AC9"/>
  <c r="AG9" s="1"/>
  <c r="V9"/>
  <c r="Z59" s="1"/>
  <c r="D59" s="1"/>
  <c r="D71" s="1"/>
  <c r="F77" s="1"/>
  <c r="D86" s="1"/>
  <c r="E90" s="1"/>
  <c r="AD8"/>
  <c r="AC8"/>
  <c r="N3"/>
  <c r="C63" i="22" s="1"/>
  <c r="X98" i="29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X77"/>
  <c r="X76"/>
  <c r="X75"/>
  <c r="X74"/>
  <c r="AD73"/>
  <c r="AH73" s="1"/>
  <c r="AC73"/>
  <c r="X73"/>
  <c r="AD72"/>
  <c r="AH72" s="1"/>
  <c r="AC72"/>
  <c r="X72"/>
  <c r="AD71"/>
  <c r="AH71" s="1"/>
  <c r="AC71"/>
  <c r="X71"/>
  <c r="AD70"/>
  <c r="AH70" s="1"/>
  <c r="AC70"/>
  <c r="X70"/>
  <c r="X69"/>
  <c r="AZ68"/>
  <c r="X68"/>
  <c r="AZ67"/>
  <c r="X67"/>
  <c r="AZ66"/>
  <c r="AD66"/>
  <c r="AC66"/>
  <c r="X66"/>
  <c r="AZ65"/>
  <c r="AD65"/>
  <c r="AH65" s="1"/>
  <c r="AC65"/>
  <c r="X65"/>
  <c r="AZ64"/>
  <c r="AD64"/>
  <c r="AH64" s="1"/>
  <c r="AC64"/>
  <c r="X64"/>
  <c r="AZ63"/>
  <c r="AD63"/>
  <c r="AH63" s="1"/>
  <c r="AC63"/>
  <c r="X63"/>
  <c r="AZ62"/>
  <c r="AD62"/>
  <c r="AH62" s="1"/>
  <c r="AC62"/>
  <c r="X62"/>
  <c r="AZ61"/>
  <c r="AD61"/>
  <c r="AC61"/>
  <c r="X61"/>
  <c r="AZ60"/>
  <c r="AD60"/>
  <c r="AC60"/>
  <c r="X60"/>
  <c r="AZ59"/>
  <c r="AD59"/>
  <c r="AH59" s="1"/>
  <c r="AC59"/>
  <c r="X59"/>
  <c r="AZ58"/>
  <c r="BA67" s="1"/>
  <c r="BB67" s="1"/>
  <c r="AA58"/>
  <c r="Z58"/>
  <c r="X58"/>
  <c r="AD55"/>
  <c r="AH55" s="1"/>
  <c r="AC55"/>
  <c r="AO54"/>
  <c r="AM54" s="1"/>
  <c r="AD54"/>
  <c r="AC54"/>
  <c r="V54"/>
  <c r="AA64" s="1"/>
  <c r="F64" s="1"/>
  <c r="AO53"/>
  <c r="AM53" s="1"/>
  <c r="AD53"/>
  <c r="AH53" s="1"/>
  <c r="AC53"/>
  <c r="V53"/>
  <c r="Z66" s="1"/>
  <c r="D66" s="1"/>
  <c r="AO52"/>
  <c r="AM52" s="1"/>
  <c r="AD52"/>
  <c r="AH52" s="1"/>
  <c r="AC52"/>
  <c r="V52"/>
  <c r="AO51"/>
  <c r="AM51" s="1"/>
  <c r="AD51"/>
  <c r="AH51" s="1"/>
  <c r="AC51"/>
  <c r="V51"/>
  <c r="AD50"/>
  <c r="AH50" s="1"/>
  <c r="AC50"/>
  <c r="AD49"/>
  <c r="AH49" s="1"/>
  <c r="AC49"/>
  <c r="AO48"/>
  <c r="AM48" s="1"/>
  <c r="AD48"/>
  <c r="AH48" s="1"/>
  <c r="AC48"/>
  <c r="V48"/>
  <c r="AO47"/>
  <c r="AM47" s="1"/>
  <c r="AD47"/>
  <c r="AH47" s="1"/>
  <c r="AC47"/>
  <c r="V47"/>
  <c r="AO46"/>
  <c r="AM46" s="1"/>
  <c r="AD46"/>
  <c r="AH46" s="1"/>
  <c r="AC46"/>
  <c r="V46"/>
  <c r="AA66" s="1"/>
  <c r="F66" s="1"/>
  <c r="F72" s="1"/>
  <c r="AO45"/>
  <c r="AM45" s="1"/>
  <c r="AD45"/>
  <c r="AH45" s="1"/>
  <c r="AC45"/>
  <c r="V45"/>
  <c r="Z64" s="1"/>
  <c r="D64" s="1"/>
  <c r="F70" s="1"/>
  <c r="AD44"/>
  <c r="AH44" s="1"/>
  <c r="AC44"/>
  <c r="AD43"/>
  <c r="AH43" s="1"/>
  <c r="AC43"/>
  <c r="AO42"/>
  <c r="AM42" s="1"/>
  <c r="AD42"/>
  <c r="AC42"/>
  <c r="V42"/>
  <c r="AA63" s="1"/>
  <c r="F63" s="1"/>
  <c r="AO41"/>
  <c r="AM41" s="1"/>
  <c r="AD41"/>
  <c r="AH41" s="1"/>
  <c r="AC41"/>
  <c r="V41"/>
  <c r="AO40"/>
  <c r="AM40" s="1"/>
  <c r="AD40"/>
  <c r="AC40"/>
  <c r="V40"/>
  <c r="AO39"/>
  <c r="AM39" s="1"/>
  <c r="AD39"/>
  <c r="AC39"/>
  <c r="V39"/>
  <c r="Z65" s="1"/>
  <c r="D65" s="1"/>
  <c r="D72" s="1"/>
  <c r="D78" s="1"/>
  <c r="F82" s="1"/>
  <c r="E91" s="1"/>
  <c r="AD38"/>
  <c r="AH38" s="1"/>
  <c r="AC38"/>
  <c r="AD37"/>
  <c r="AH37" s="1"/>
  <c r="AC37"/>
  <c r="AO36"/>
  <c r="AM36" s="1"/>
  <c r="AD36"/>
  <c r="AH36" s="1"/>
  <c r="AC36"/>
  <c r="V36"/>
  <c r="AO35"/>
  <c r="AM35" s="1"/>
  <c r="AD35"/>
  <c r="AH35" s="1"/>
  <c r="AC35"/>
  <c r="V35"/>
  <c r="Z63" s="1"/>
  <c r="D63" s="1"/>
  <c r="D70" s="1"/>
  <c r="D77" s="1"/>
  <c r="D82" s="1"/>
  <c r="E92" s="1"/>
  <c r="AO34"/>
  <c r="AM34" s="1"/>
  <c r="AD34"/>
  <c r="AH34" s="1"/>
  <c r="AC34"/>
  <c r="V34"/>
  <c r="AA65" s="1"/>
  <c r="F65" s="1"/>
  <c r="AO33"/>
  <c r="AM33" s="1"/>
  <c r="AD33"/>
  <c r="AH33" s="1"/>
  <c r="AC33"/>
  <c r="V33"/>
  <c r="AD32"/>
  <c r="AH32" s="1"/>
  <c r="AC32"/>
  <c r="AD31"/>
  <c r="AH31" s="1"/>
  <c r="AC31"/>
  <c r="AO30"/>
  <c r="AM30" s="1"/>
  <c r="AD30"/>
  <c r="AH30" s="1"/>
  <c r="AC30"/>
  <c r="V30"/>
  <c r="Z62" s="1"/>
  <c r="D62" s="1"/>
  <c r="F73" s="1"/>
  <c r="AO29"/>
  <c r="AM29" s="1"/>
  <c r="AD29"/>
  <c r="AH29" s="1"/>
  <c r="AC29"/>
  <c r="V29"/>
  <c r="AO28"/>
  <c r="AM28" s="1"/>
  <c r="AD28"/>
  <c r="AH28" s="1"/>
  <c r="AC28"/>
  <c r="V28"/>
  <c r="AO27"/>
  <c r="AM27" s="1"/>
  <c r="AD27"/>
  <c r="AC27"/>
  <c r="V27"/>
  <c r="AA60" s="1"/>
  <c r="F60" s="1"/>
  <c r="F71" s="1"/>
  <c r="AD26"/>
  <c r="AC26"/>
  <c r="AD25"/>
  <c r="AH25" s="1"/>
  <c r="AC25"/>
  <c r="AO24"/>
  <c r="AM24" s="1"/>
  <c r="AD24"/>
  <c r="AC24"/>
  <c r="V24"/>
  <c r="AO23"/>
  <c r="AM23" s="1"/>
  <c r="AD23"/>
  <c r="AK23" s="1"/>
  <c r="AC23"/>
  <c r="V23"/>
  <c r="Z60" s="1"/>
  <c r="D60" s="1"/>
  <c r="AO22"/>
  <c r="AM22" s="1"/>
  <c r="AD22"/>
  <c r="AC22"/>
  <c r="V22"/>
  <c r="AO21"/>
  <c r="AM21" s="1"/>
  <c r="AD21"/>
  <c r="AC21"/>
  <c r="V21"/>
  <c r="AA62" s="1"/>
  <c r="F62" s="1"/>
  <c r="AD20"/>
  <c r="AC20"/>
  <c r="AD19"/>
  <c r="AH19" s="1"/>
  <c r="AC19"/>
  <c r="AO18"/>
  <c r="AM18" s="1"/>
  <c r="AD18"/>
  <c r="AC18"/>
  <c r="V18"/>
  <c r="AO17"/>
  <c r="AM17" s="1"/>
  <c r="AD17"/>
  <c r="AH17" s="1"/>
  <c r="AC17"/>
  <c r="V17"/>
  <c r="AO16"/>
  <c r="AM16" s="1"/>
  <c r="AD16"/>
  <c r="AH16" s="1"/>
  <c r="AC16"/>
  <c r="V16"/>
  <c r="AA59" s="1"/>
  <c r="F59" s="1"/>
  <c r="AO15"/>
  <c r="AM15" s="1"/>
  <c r="AD15"/>
  <c r="AC15"/>
  <c r="V15"/>
  <c r="Z61" s="1"/>
  <c r="D61" s="1"/>
  <c r="D73" s="1"/>
  <c r="F78" s="1"/>
  <c r="F86" s="1"/>
  <c r="E90" s="1"/>
  <c r="AD14"/>
  <c r="AC14"/>
  <c r="AD13"/>
  <c r="AH13" s="1"/>
  <c r="AC13"/>
  <c r="AO12"/>
  <c r="AM12" s="1"/>
  <c r="AD12"/>
  <c r="AH12" s="1"/>
  <c r="AC12"/>
  <c r="V12"/>
  <c r="AO11"/>
  <c r="AM11" s="1"/>
  <c r="AD11"/>
  <c r="AH11" s="1"/>
  <c r="AC11"/>
  <c r="V11"/>
  <c r="AA61" s="1"/>
  <c r="F61" s="1"/>
  <c r="AO10"/>
  <c r="AM10" s="1"/>
  <c r="AD10"/>
  <c r="AH10" s="1"/>
  <c r="AC10"/>
  <c r="V10"/>
  <c r="AO9"/>
  <c r="AM9" s="1"/>
  <c r="AD9"/>
  <c r="AH9" s="1"/>
  <c r="AC9"/>
  <c r="AG9" s="1"/>
  <c r="V9"/>
  <c r="Z59" s="1"/>
  <c r="D59" s="1"/>
  <c r="D71" s="1"/>
  <c r="F77" s="1"/>
  <c r="D86" s="1"/>
  <c r="E89" s="1"/>
  <c r="AD8"/>
  <c r="AH8" s="1"/>
  <c r="AC8"/>
  <c r="N3"/>
  <c r="C93" i="22" s="1"/>
  <c r="X98" i="28"/>
  <c r="X97"/>
  <c r="X96"/>
  <c r="X95"/>
  <c r="X94"/>
  <c r="X93"/>
  <c r="X92"/>
  <c r="X91"/>
  <c r="X90"/>
  <c r="X89"/>
  <c r="X88"/>
  <c r="X87"/>
  <c r="AD86"/>
  <c r="AH86" s="1"/>
  <c r="AC86"/>
  <c r="AG86" s="1"/>
  <c r="X86"/>
  <c r="X85"/>
  <c r="X84"/>
  <c r="X83"/>
  <c r="AD82"/>
  <c r="AH82" s="1"/>
  <c r="AC82"/>
  <c r="AG82" s="1"/>
  <c r="X82"/>
  <c r="X81"/>
  <c r="X80"/>
  <c r="X79"/>
  <c r="AD78"/>
  <c r="AH78" s="1"/>
  <c r="AC78"/>
  <c r="AG78" s="1"/>
  <c r="X78"/>
  <c r="AD77"/>
  <c r="AC77"/>
  <c r="X77"/>
  <c r="X76"/>
  <c r="X75"/>
  <c r="X74"/>
  <c r="AD73"/>
  <c r="AC73"/>
  <c r="X73"/>
  <c r="AD72"/>
  <c r="AH72" s="1"/>
  <c r="AC72"/>
  <c r="AG72" s="1"/>
  <c r="X72"/>
  <c r="AD71"/>
  <c r="AH71" s="1"/>
  <c r="AC71"/>
  <c r="X71"/>
  <c r="AD70"/>
  <c r="AH70" s="1"/>
  <c r="AC70"/>
  <c r="AG70" s="1"/>
  <c r="X70"/>
  <c r="X69"/>
  <c r="AZ68"/>
  <c r="X68"/>
  <c r="AZ67"/>
  <c r="X67"/>
  <c r="AZ66"/>
  <c r="AD66"/>
  <c r="AH66" s="1"/>
  <c r="AC66"/>
  <c r="X66"/>
  <c r="AZ65"/>
  <c r="AD65"/>
  <c r="AH65" s="1"/>
  <c r="AC65"/>
  <c r="X65"/>
  <c r="AZ64"/>
  <c r="AD64"/>
  <c r="AC64"/>
  <c r="X64"/>
  <c r="AZ63"/>
  <c r="AD63"/>
  <c r="AH63" s="1"/>
  <c r="AC63"/>
  <c r="X63"/>
  <c r="AZ62"/>
  <c r="AD62"/>
  <c r="AH62" s="1"/>
  <c r="AC62"/>
  <c r="X62"/>
  <c r="AZ61"/>
  <c r="AD61"/>
  <c r="AH61" s="1"/>
  <c r="AC61"/>
  <c r="AL61" s="1"/>
  <c r="X61"/>
  <c r="AZ60"/>
  <c r="AD60"/>
  <c r="AC60"/>
  <c r="X60"/>
  <c r="AZ59"/>
  <c r="AD59"/>
  <c r="AH59" s="1"/>
  <c r="AC59"/>
  <c r="X59"/>
  <c r="AZ58"/>
  <c r="AA58"/>
  <c r="Z58"/>
  <c r="X58"/>
  <c r="AD55"/>
  <c r="AH55" s="1"/>
  <c r="AC55"/>
  <c r="AG55" s="1"/>
  <c r="AO54"/>
  <c r="AM54" s="1"/>
  <c r="AD54"/>
  <c r="AH54" s="1"/>
  <c r="AC54"/>
  <c r="V54"/>
  <c r="AO53"/>
  <c r="AM53" s="1"/>
  <c r="AD53"/>
  <c r="AH53" s="1"/>
  <c r="AC53"/>
  <c r="V53"/>
  <c r="AA64" s="1"/>
  <c r="F64" s="1"/>
  <c r="AO52"/>
  <c r="AM52" s="1"/>
  <c r="AD52"/>
  <c r="AH52" s="1"/>
  <c r="AC52"/>
  <c r="V52"/>
  <c r="AO51"/>
  <c r="AM51" s="1"/>
  <c r="AD51"/>
  <c r="AH51" s="1"/>
  <c r="AC51"/>
  <c r="V51"/>
  <c r="Z66" s="1"/>
  <c r="D66" s="1"/>
  <c r="AD50"/>
  <c r="AH50" s="1"/>
  <c r="AC50"/>
  <c r="AD49"/>
  <c r="AH49" s="1"/>
  <c r="AC49"/>
  <c r="AG49" s="1"/>
  <c r="AO48"/>
  <c r="AM48" s="1"/>
  <c r="AD48"/>
  <c r="AH48" s="1"/>
  <c r="AC48"/>
  <c r="V48"/>
  <c r="AO47"/>
  <c r="AM47" s="1"/>
  <c r="AD47"/>
  <c r="AH47" s="1"/>
  <c r="AC47"/>
  <c r="AL47" s="1"/>
  <c r="V47"/>
  <c r="AO46"/>
  <c r="AM46" s="1"/>
  <c r="AD46"/>
  <c r="AH46" s="1"/>
  <c r="AC46"/>
  <c r="V46"/>
  <c r="Z64" s="1"/>
  <c r="D64" s="1"/>
  <c r="F70" s="1"/>
  <c r="AO45"/>
  <c r="AM45" s="1"/>
  <c r="AD45"/>
  <c r="AH45" s="1"/>
  <c r="AC45"/>
  <c r="V45"/>
  <c r="AA66" s="1"/>
  <c r="F66" s="1"/>
  <c r="F72" s="1"/>
  <c r="AD44"/>
  <c r="AC44"/>
  <c r="AD43"/>
  <c r="AH43" s="1"/>
  <c r="AC43"/>
  <c r="AG43" s="1"/>
  <c r="AO42"/>
  <c r="AM42" s="1"/>
  <c r="AD42"/>
  <c r="AH42" s="1"/>
  <c r="AC42"/>
  <c r="AL42" s="1"/>
  <c r="V42"/>
  <c r="AO41"/>
  <c r="AM41" s="1"/>
  <c r="AD41"/>
  <c r="AH41" s="1"/>
  <c r="AC41"/>
  <c r="V41"/>
  <c r="AO40"/>
  <c r="AM40" s="1"/>
  <c r="AD40"/>
  <c r="AH40" s="1"/>
  <c r="AC40"/>
  <c r="V40"/>
  <c r="AA63" s="1"/>
  <c r="F63" s="1"/>
  <c r="AO39"/>
  <c r="AM39" s="1"/>
  <c r="AD39"/>
  <c r="AH39" s="1"/>
  <c r="AC39"/>
  <c r="V39"/>
  <c r="Z65" s="1"/>
  <c r="D65" s="1"/>
  <c r="D72" s="1"/>
  <c r="D78" s="1"/>
  <c r="F86" s="1"/>
  <c r="E90" s="1"/>
  <c r="AD38"/>
  <c r="AH38" s="1"/>
  <c r="AC38"/>
  <c r="AD37"/>
  <c r="AH37" s="1"/>
  <c r="AC37"/>
  <c r="AG37" s="1"/>
  <c r="AO36"/>
  <c r="AM36" s="1"/>
  <c r="AD36"/>
  <c r="AH36" s="1"/>
  <c r="AC36"/>
  <c r="V36"/>
  <c r="AO35"/>
  <c r="AM35" s="1"/>
  <c r="AD35"/>
  <c r="AH35" s="1"/>
  <c r="AC35"/>
  <c r="V35"/>
  <c r="Z63" s="1"/>
  <c r="D63" s="1"/>
  <c r="D70" s="1"/>
  <c r="D77" s="1"/>
  <c r="D82" s="1"/>
  <c r="E92" s="1"/>
  <c r="AO34"/>
  <c r="AM34" s="1"/>
  <c r="AD34"/>
  <c r="AH34" s="1"/>
  <c r="AC34"/>
  <c r="V34"/>
  <c r="AO33"/>
  <c r="AM33" s="1"/>
  <c r="AH33"/>
  <c r="AD33"/>
  <c r="AC33"/>
  <c r="AL33" s="1"/>
  <c r="V33"/>
  <c r="AA65" s="1"/>
  <c r="F65" s="1"/>
  <c r="AD32"/>
  <c r="AC32"/>
  <c r="AD31"/>
  <c r="AH31" s="1"/>
  <c r="AC31"/>
  <c r="AG31" s="1"/>
  <c r="AO30"/>
  <c r="AM30" s="1"/>
  <c r="AD30"/>
  <c r="AH30" s="1"/>
  <c r="AC30"/>
  <c r="V30"/>
  <c r="Z62" s="1"/>
  <c r="D62" s="1"/>
  <c r="F73" s="1"/>
  <c r="AO29"/>
  <c r="AM29" s="1"/>
  <c r="AD29"/>
  <c r="AH29" s="1"/>
  <c r="AC29"/>
  <c r="V29"/>
  <c r="AA60" s="1"/>
  <c r="F60" s="1"/>
  <c r="F71" s="1"/>
  <c r="AO28"/>
  <c r="AM28" s="1"/>
  <c r="AH28"/>
  <c r="AD28"/>
  <c r="AC28"/>
  <c r="V28"/>
  <c r="AO27"/>
  <c r="AM27" s="1"/>
  <c r="AD27"/>
  <c r="AH27" s="1"/>
  <c r="AC27"/>
  <c r="V27"/>
  <c r="AD26"/>
  <c r="AH26" s="1"/>
  <c r="AC26"/>
  <c r="AD25"/>
  <c r="AC25"/>
  <c r="AG25" s="1"/>
  <c r="AO24"/>
  <c r="AM24" s="1"/>
  <c r="AD24"/>
  <c r="AH24" s="1"/>
  <c r="AC24"/>
  <c r="V24"/>
  <c r="AO23"/>
  <c r="AM23" s="1"/>
  <c r="AD23"/>
  <c r="AH23" s="1"/>
  <c r="AC23"/>
  <c r="V23"/>
  <c r="Z60" s="1"/>
  <c r="D60" s="1"/>
  <c r="AO22"/>
  <c r="AM22" s="1"/>
  <c r="AD22"/>
  <c r="AH22" s="1"/>
  <c r="AC22"/>
  <c r="AG22" s="1"/>
  <c r="V22"/>
  <c r="AA62" s="1"/>
  <c r="F62" s="1"/>
  <c r="AO21"/>
  <c r="AM21" s="1"/>
  <c r="AD21"/>
  <c r="AH21" s="1"/>
  <c r="AC21"/>
  <c r="V21"/>
  <c r="AD20"/>
  <c r="AH20" s="1"/>
  <c r="AC20"/>
  <c r="AG20" s="1"/>
  <c r="AD19"/>
  <c r="AH19" s="1"/>
  <c r="AC19"/>
  <c r="AO18"/>
  <c r="AM18" s="1"/>
  <c r="AD18"/>
  <c r="AH18" s="1"/>
  <c r="AC18"/>
  <c r="AG18" s="1"/>
  <c r="V18"/>
  <c r="AO17"/>
  <c r="AM17" s="1"/>
  <c r="AD17"/>
  <c r="AH17" s="1"/>
  <c r="AC17"/>
  <c r="V17"/>
  <c r="AO16"/>
  <c r="AM16" s="1"/>
  <c r="AD16"/>
  <c r="AH16" s="1"/>
  <c r="AC16"/>
  <c r="AG16" s="1"/>
  <c r="V16"/>
  <c r="AA59" s="1"/>
  <c r="F59" s="1"/>
  <c r="AO15"/>
  <c r="AM15" s="1"/>
  <c r="AD15"/>
  <c r="AH15" s="1"/>
  <c r="AC15"/>
  <c r="V15"/>
  <c r="Z61" s="1"/>
  <c r="D61" s="1"/>
  <c r="D73" s="1"/>
  <c r="F78" s="1"/>
  <c r="F82" s="1"/>
  <c r="E91" s="1"/>
  <c r="AD14"/>
  <c r="AH14" s="1"/>
  <c r="AC14"/>
  <c r="AG14" s="1"/>
  <c r="AD13"/>
  <c r="AC13"/>
  <c r="AO12"/>
  <c r="AM12" s="1"/>
  <c r="AD12"/>
  <c r="AH12" s="1"/>
  <c r="AC12"/>
  <c r="AG12" s="1"/>
  <c r="V12"/>
  <c r="AO11"/>
  <c r="AM11" s="1"/>
  <c r="AD11"/>
  <c r="AH11" s="1"/>
  <c r="AC11"/>
  <c r="V11"/>
  <c r="AO10"/>
  <c r="AM10" s="1"/>
  <c r="AD10"/>
  <c r="AH10" s="1"/>
  <c r="AC10"/>
  <c r="AG10" s="1"/>
  <c r="V10"/>
  <c r="AA61" s="1"/>
  <c r="F61" s="1"/>
  <c r="AO9"/>
  <c r="AM9" s="1"/>
  <c r="AD9"/>
  <c r="AH9" s="1"/>
  <c r="AC9"/>
  <c r="AG9" s="1"/>
  <c r="V9"/>
  <c r="Z59" s="1"/>
  <c r="D59" s="1"/>
  <c r="D71" s="1"/>
  <c r="F77" s="1"/>
  <c r="D86" s="1"/>
  <c r="E89" s="1"/>
  <c r="AD8"/>
  <c r="AH8" s="1"/>
  <c r="AC8"/>
  <c r="AG8" s="1"/>
  <c r="N3"/>
  <c r="C73" i="22" s="1"/>
  <c r="X98" i="27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X77"/>
  <c r="X76"/>
  <c r="X75"/>
  <c r="X74"/>
  <c r="AD73"/>
  <c r="AH73" s="1"/>
  <c r="AC73"/>
  <c r="X73"/>
  <c r="AD72"/>
  <c r="AH72" s="1"/>
  <c r="AC72"/>
  <c r="X72"/>
  <c r="AD71"/>
  <c r="AH71" s="1"/>
  <c r="AC71"/>
  <c r="X71"/>
  <c r="AD70"/>
  <c r="AH70" s="1"/>
  <c r="AC70"/>
  <c r="AL70" s="1"/>
  <c r="X70"/>
  <c r="X69"/>
  <c r="AZ68"/>
  <c r="X68"/>
  <c r="AZ67"/>
  <c r="X67"/>
  <c r="AZ66"/>
  <c r="AD66"/>
  <c r="AH66" s="1"/>
  <c r="AC66"/>
  <c r="AG66" s="1"/>
  <c r="X66"/>
  <c r="AZ65"/>
  <c r="AD65"/>
  <c r="AH65" s="1"/>
  <c r="AC65"/>
  <c r="AG65" s="1"/>
  <c r="X65"/>
  <c r="AZ64"/>
  <c r="AD64"/>
  <c r="AH64" s="1"/>
  <c r="AC64"/>
  <c r="AG64" s="1"/>
  <c r="X64"/>
  <c r="AZ63"/>
  <c r="AD63"/>
  <c r="AH63" s="1"/>
  <c r="AC63"/>
  <c r="AG63" s="1"/>
  <c r="X63"/>
  <c r="AZ62"/>
  <c r="AD62"/>
  <c r="AH62" s="1"/>
  <c r="AC62"/>
  <c r="AG62" s="1"/>
  <c r="X62"/>
  <c r="AZ61"/>
  <c r="AD61"/>
  <c r="AH61" s="1"/>
  <c r="AC61"/>
  <c r="AG61" s="1"/>
  <c r="X61"/>
  <c r="AZ60"/>
  <c r="AD60"/>
  <c r="AH60" s="1"/>
  <c r="AC60"/>
  <c r="AG60" s="1"/>
  <c r="X60"/>
  <c r="AZ59"/>
  <c r="AD59"/>
  <c r="AH59" s="1"/>
  <c r="AC59"/>
  <c r="AG59" s="1"/>
  <c r="X59"/>
  <c r="AZ58"/>
  <c r="BA64" s="1"/>
  <c r="BB64" s="1"/>
  <c r="AA58"/>
  <c r="Z58"/>
  <c r="X58"/>
  <c r="AD55"/>
  <c r="AH55" s="1"/>
  <c r="AC55"/>
  <c r="AO54"/>
  <c r="AM54" s="1"/>
  <c r="AD54"/>
  <c r="AH54" s="1"/>
  <c r="AC54"/>
  <c r="AG54" s="1"/>
  <c r="V54"/>
  <c r="AO53"/>
  <c r="AM53" s="1"/>
  <c r="AD53"/>
  <c r="AH53" s="1"/>
  <c r="AC53"/>
  <c r="V53"/>
  <c r="AA64" s="1"/>
  <c r="F64" s="1"/>
  <c r="AO52"/>
  <c r="AM52" s="1"/>
  <c r="AD52"/>
  <c r="AH52" s="1"/>
  <c r="AC52"/>
  <c r="V52"/>
  <c r="AO51"/>
  <c r="AM51" s="1"/>
  <c r="AD51"/>
  <c r="AH51" s="1"/>
  <c r="AC51"/>
  <c r="V51"/>
  <c r="Z66" s="1"/>
  <c r="D66" s="1"/>
  <c r="AD50"/>
  <c r="AH50" s="1"/>
  <c r="AC50"/>
  <c r="AL50" s="1"/>
  <c r="AD49"/>
  <c r="AC49"/>
  <c r="AO48"/>
  <c r="AM48" s="1"/>
  <c r="AD48"/>
  <c r="AH48" s="1"/>
  <c r="AC48"/>
  <c r="V48"/>
  <c r="AO47"/>
  <c r="AM47" s="1"/>
  <c r="AD47"/>
  <c r="AH47" s="1"/>
  <c r="AC47"/>
  <c r="V47"/>
  <c r="AO46"/>
  <c r="AM46" s="1"/>
  <c r="AD46"/>
  <c r="AH46" s="1"/>
  <c r="AC46"/>
  <c r="V46"/>
  <c r="Z64" s="1"/>
  <c r="D64" s="1"/>
  <c r="F70" s="1"/>
  <c r="D77" s="1"/>
  <c r="D82" s="1"/>
  <c r="E91" s="1"/>
  <c r="AO45"/>
  <c r="AM45" s="1"/>
  <c r="AD45"/>
  <c r="AH45" s="1"/>
  <c r="AC45"/>
  <c r="V45"/>
  <c r="AA66" s="1"/>
  <c r="F66" s="1"/>
  <c r="F72" s="1"/>
  <c r="AD44"/>
  <c r="AH44" s="1"/>
  <c r="AC44"/>
  <c r="AD43"/>
  <c r="AC43"/>
  <c r="AO42"/>
  <c r="AM42" s="1"/>
  <c r="AD42"/>
  <c r="AH42" s="1"/>
  <c r="AC42"/>
  <c r="V42"/>
  <c r="AA63" s="1"/>
  <c r="F63" s="1"/>
  <c r="AO41"/>
  <c r="AM41" s="1"/>
  <c r="AD41"/>
  <c r="AH41" s="1"/>
  <c r="AC41"/>
  <c r="V41"/>
  <c r="AO40"/>
  <c r="AM40" s="1"/>
  <c r="AD40"/>
  <c r="AH40" s="1"/>
  <c r="AC40"/>
  <c r="V40"/>
  <c r="AO39"/>
  <c r="AM39" s="1"/>
  <c r="AD39"/>
  <c r="AH39" s="1"/>
  <c r="AC39"/>
  <c r="V39"/>
  <c r="Z65" s="1"/>
  <c r="D65" s="1"/>
  <c r="D72" s="1"/>
  <c r="D78" s="1"/>
  <c r="F86" s="1"/>
  <c r="E90" s="1"/>
  <c r="AH38"/>
  <c r="AD38"/>
  <c r="AC38"/>
  <c r="AL38" s="1"/>
  <c r="AD37"/>
  <c r="AC37"/>
  <c r="AO36"/>
  <c r="AM36" s="1"/>
  <c r="AD36"/>
  <c r="AH36" s="1"/>
  <c r="AC36"/>
  <c r="V36"/>
  <c r="AO35"/>
  <c r="AM35" s="1"/>
  <c r="AD35"/>
  <c r="AH35" s="1"/>
  <c r="AC35"/>
  <c r="V35"/>
  <c r="Z63" s="1"/>
  <c r="D63" s="1"/>
  <c r="D70" s="1"/>
  <c r="AO34"/>
  <c r="AM34" s="1"/>
  <c r="AD34"/>
  <c r="AH34" s="1"/>
  <c r="AC34"/>
  <c r="V34"/>
  <c r="AA65" s="1"/>
  <c r="F65" s="1"/>
  <c r="AO33"/>
  <c r="AM33" s="1"/>
  <c r="AD33"/>
  <c r="AH33" s="1"/>
  <c r="AC33"/>
  <c r="V33"/>
  <c r="AD32"/>
  <c r="AH32" s="1"/>
  <c r="AC32"/>
  <c r="AD31"/>
  <c r="AC31"/>
  <c r="AO30"/>
  <c r="AM30" s="1"/>
  <c r="AD30"/>
  <c r="AH30" s="1"/>
  <c r="AC30"/>
  <c r="V30"/>
  <c r="AO29"/>
  <c r="AM29" s="1"/>
  <c r="AD29"/>
  <c r="AH29" s="1"/>
  <c r="AC29"/>
  <c r="V29"/>
  <c r="AA60" s="1"/>
  <c r="F60" s="1"/>
  <c r="AO28"/>
  <c r="AM28" s="1"/>
  <c r="AD28"/>
  <c r="AH28" s="1"/>
  <c r="AC28"/>
  <c r="V28"/>
  <c r="AO27"/>
  <c r="AM27" s="1"/>
  <c r="AD27"/>
  <c r="AH27" s="1"/>
  <c r="AC27"/>
  <c r="V27"/>
  <c r="Z62" s="1"/>
  <c r="D62" s="1"/>
  <c r="F73" s="1"/>
  <c r="F78" s="1"/>
  <c r="F82" s="1"/>
  <c r="E92" s="1"/>
  <c r="AD26"/>
  <c r="AH26" s="1"/>
  <c r="AC26"/>
  <c r="AD25"/>
  <c r="AC25"/>
  <c r="AO24"/>
  <c r="AM24" s="1"/>
  <c r="AD24"/>
  <c r="AH24" s="1"/>
  <c r="AC24"/>
  <c r="V24"/>
  <c r="AO23"/>
  <c r="AM23" s="1"/>
  <c r="AD23"/>
  <c r="AH23" s="1"/>
  <c r="AC23"/>
  <c r="V23"/>
  <c r="AA62" s="1"/>
  <c r="F62" s="1"/>
  <c r="AO22"/>
  <c r="AM22" s="1"/>
  <c r="AD22"/>
  <c r="AH22" s="1"/>
  <c r="AC22"/>
  <c r="V22"/>
  <c r="AO21"/>
  <c r="AM21" s="1"/>
  <c r="AD21"/>
  <c r="AH21" s="1"/>
  <c r="AC21"/>
  <c r="V21"/>
  <c r="Z60" s="1"/>
  <c r="D60" s="1"/>
  <c r="F71" s="1"/>
  <c r="AD20"/>
  <c r="AH20" s="1"/>
  <c r="AC20"/>
  <c r="AD19"/>
  <c r="AK19" s="1"/>
  <c r="AC19"/>
  <c r="AO18"/>
  <c r="AM18" s="1"/>
  <c r="AD18"/>
  <c r="AH18" s="1"/>
  <c r="AC18"/>
  <c r="V18"/>
  <c r="AO17"/>
  <c r="AM17" s="1"/>
  <c r="AD17"/>
  <c r="AH17" s="1"/>
  <c r="AC17"/>
  <c r="V17"/>
  <c r="AA59" s="1"/>
  <c r="F59" s="1"/>
  <c r="AO16"/>
  <c r="AM16" s="1"/>
  <c r="AD16"/>
  <c r="AH16" s="1"/>
  <c r="AC16"/>
  <c r="V16"/>
  <c r="AO15"/>
  <c r="AM15" s="1"/>
  <c r="AD15"/>
  <c r="AH15" s="1"/>
  <c r="AC15"/>
  <c r="V15"/>
  <c r="Z61" s="1"/>
  <c r="D61" s="1"/>
  <c r="D73" s="1"/>
  <c r="AD14"/>
  <c r="AH14" s="1"/>
  <c r="AC14"/>
  <c r="AL14" s="1"/>
  <c r="AD13"/>
  <c r="AC13"/>
  <c r="AO12"/>
  <c r="AM12" s="1"/>
  <c r="AD12"/>
  <c r="AH12" s="1"/>
  <c r="AC12"/>
  <c r="V12"/>
  <c r="AO11"/>
  <c r="AM11" s="1"/>
  <c r="AD11"/>
  <c r="AH11" s="1"/>
  <c r="AC11"/>
  <c r="V11"/>
  <c r="AA61" s="1"/>
  <c r="F61" s="1"/>
  <c r="AO10"/>
  <c r="AM10" s="1"/>
  <c r="AD10"/>
  <c r="AH10" s="1"/>
  <c r="AC10"/>
  <c r="AL10" s="1"/>
  <c r="V10"/>
  <c r="AO9"/>
  <c r="AM9" s="1"/>
  <c r="AD9"/>
  <c r="AH9" s="1"/>
  <c r="AC9"/>
  <c r="V9"/>
  <c r="Z59" s="1"/>
  <c r="D59" s="1"/>
  <c r="D71" s="1"/>
  <c r="F77" s="1"/>
  <c r="D86" s="1"/>
  <c r="E89" s="1"/>
  <c r="AD8"/>
  <c r="AH8" s="1"/>
  <c r="AC8"/>
  <c r="N3"/>
  <c r="C45" i="22" s="1"/>
  <c r="X98" i="26"/>
  <c r="X97"/>
  <c r="X96"/>
  <c r="X95"/>
  <c r="X94"/>
  <c r="X93"/>
  <c r="X92"/>
  <c r="X91"/>
  <c r="X90"/>
  <c r="X89"/>
  <c r="X88"/>
  <c r="X87"/>
  <c r="AD86"/>
  <c r="AC86"/>
  <c r="X86"/>
  <c r="X85"/>
  <c r="X84"/>
  <c r="X83"/>
  <c r="AD82"/>
  <c r="AC82"/>
  <c r="X82"/>
  <c r="X81"/>
  <c r="X80"/>
  <c r="X79"/>
  <c r="AD78"/>
  <c r="AC78"/>
  <c r="X78"/>
  <c r="AD77"/>
  <c r="AH77" s="1"/>
  <c r="AC77"/>
  <c r="X77"/>
  <c r="X76"/>
  <c r="X75"/>
  <c r="X74"/>
  <c r="AD73"/>
  <c r="AH73" s="1"/>
  <c r="AC73"/>
  <c r="X73"/>
  <c r="AD72"/>
  <c r="AC72"/>
  <c r="X72"/>
  <c r="AD71"/>
  <c r="AH71" s="1"/>
  <c r="AC71"/>
  <c r="X71"/>
  <c r="AD70"/>
  <c r="AC70"/>
  <c r="X70"/>
  <c r="X69"/>
  <c r="AZ68"/>
  <c r="X68"/>
  <c r="AZ67"/>
  <c r="X67"/>
  <c r="AZ66"/>
  <c r="AD66"/>
  <c r="AH66" s="1"/>
  <c r="AC66"/>
  <c r="X66"/>
  <c r="AZ65"/>
  <c r="AD65"/>
  <c r="AH65" s="1"/>
  <c r="AC65"/>
  <c r="X65"/>
  <c r="AZ64"/>
  <c r="AD64"/>
  <c r="AH64" s="1"/>
  <c r="AC64"/>
  <c r="X64"/>
  <c r="AZ63"/>
  <c r="AD63"/>
  <c r="AH63" s="1"/>
  <c r="AC63"/>
  <c r="X63"/>
  <c r="AZ62"/>
  <c r="AD62"/>
  <c r="AH62" s="1"/>
  <c r="AC62"/>
  <c r="X62"/>
  <c r="AZ61"/>
  <c r="AD61"/>
  <c r="AH61" s="1"/>
  <c r="AC61"/>
  <c r="X61"/>
  <c r="AZ60"/>
  <c r="AD60"/>
  <c r="AH60" s="1"/>
  <c r="AC60"/>
  <c r="X60"/>
  <c r="AZ59"/>
  <c r="AD59"/>
  <c r="AH59" s="1"/>
  <c r="AC59"/>
  <c r="X59"/>
  <c r="AZ58"/>
  <c r="BA67" s="1"/>
  <c r="BB67" s="1"/>
  <c r="AA58"/>
  <c r="Z58"/>
  <c r="X58"/>
  <c r="AD55"/>
  <c r="AC55"/>
  <c r="AO54"/>
  <c r="AM54" s="1"/>
  <c r="AH54"/>
  <c r="AD54"/>
  <c r="AC54"/>
  <c r="AL54" s="1"/>
  <c r="V54"/>
  <c r="Z66" s="1"/>
  <c r="D66" s="1"/>
  <c r="AO53"/>
  <c r="AM53" s="1"/>
  <c r="AD53"/>
  <c r="AH53" s="1"/>
  <c r="AC53"/>
  <c r="V53"/>
  <c r="AO52"/>
  <c r="AM52" s="1"/>
  <c r="AD52"/>
  <c r="AH52" s="1"/>
  <c r="AC52"/>
  <c r="V52"/>
  <c r="AO51"/>
  <c r="AM51" s="1"/>
  <c r="AD51"/>
  <c r="AH51" s="1"/>
  <c r="AC51"/>
  <c r="V51"/>
  <c r="AA64" s="1"/>
  <c r="F64" s="1"/>
  <c r="AD50"/>
  <c r="AH50" s="1"/>
  <c r="AC50"/>
  <c r="AD49"/>
  <c r="AC49"/>
  <c r="AO48"/>
  <c r="AM48" s="1"/>
  <c r="AD48"/>
  <c r="AH48" s="1"/>
  <c r="AC48"/>
  <c r="V48"/>
  <c r="AO47"/>
  <c r="AM47" s="1"/>
  <c r="AD47"/>
  <c r="AH47" s="1"/>
  <c r="AC47"/>
  <c r="V47"/>
  <c r="AO46"/>
  <c r="AM46" s="1"/>
  <c r="AD46"/>
  <c r="AH46" s="1"/>
  <c r="AC46"/>
  <c r="V46"/>
  <c r="Z64" s="1"/>
  <c r="AO45"/>
  <c r="AM45" s="1"/>
  <c r="AD45"/>
  <c r="AH45" s="1"/>
  <c r="AC45"/>
  <c r="V45"/>
  <c r="AA66" s="1"/>
  <c r="AD44"/>
  <c r="AH44" s="1"/>
  <c r="AC44"/>
  <c r="AD43"/>
  <c r="AC43"/>
  <c r="AO42"/>
  <c r="AM42" s="1"/>
  <c r="AD42"/>
  <c r="AH42" s="1"/>
  <c r="AC42"/>
  <c r="AL42" s="1"/>
  <c r="V42"/>
  <c r="AO41"/>
  <c r="AM41" s="1"/>
  <c r="AD41"/>
  <c r="AH41" s="1"/>
  <c r="AC41"/>
  <c r="V41"/>
  <c r="AA63" s="1"/>
  <c r="F63" s="1"/>
  <c r="AO40"/>
  <c r="AM40" s="1"/>
  <c r="AD40"/>
  <c r="AH40" s="1"/>
  <c r="AC40"/>
  <c r="V40"/>
  <c r="AO39"/>
  <c r="AM39" s="1"/>
  <c r="AD39"/>
  <c r="AH39" s="1"/>
  <c r="AC39"/>
  <c r="V39"/>
  <c r="Z65" s="1"/>
  <c r="D65" s="1"/>
  <c r="D72" s="1"/>
  <c r="AD38"/>
  <c r="AH38" s="1"/>
  <c r="AC38"/>
  <c r="AD37"/>
  <c r="AH37" s="1"/>
  <c r="AC37"/>
  <c r="AO36"/>
  <c r="AM36" s="1"/>
  <c r="AD36"/>
  <c r="AH36" s="1"/>
  <c r="AC36"/>
  <c r="V36"/>
  <c r="AO35"/>
  <c r="AM35" s="1"/>
  <c r="AD35"/>
  <c r="AH35" s="1"/>
  <c r="AC35"/>
  <c r="V35"/>
  <c r="Z63" s="1"/>
  <c r="D63" s="1"/>
  <c r="D70" s="1"/>
  <c r="AO34"/>
  <c r="AM34" s="1"/>
  <c r="AD34"/>
  <c r="AH34" s="1"/>
  <c r="AC34"/>
  <c r="V34"/>
  <c r="AA65" s="1"/>
  <c r="F65" s="1"/>
  <c r="AO33"/>
  <c r="AM33" s="1"/>
  <c r="AD33"/>
  <c r="AH33" s="1"/>
  <c r="AC33"/>
  <c r="V33"/>
  <c r="AD32"/>
  <c r="AH32" s="1"/>
  <c r="AC32"/>
  <c r="AD31"/>
  <c r="AH31" s="1"/>
  <c r="AC31"/>
  <c r="AO30"/>
  <c r="AM30" s="1"/>
  <c r="AD30"/>
  <c r="AH30" s="1"/>
  <c r="AC30"/>
  <c r="V30"/>
  <c r="AA60" s="1"/>
  <c r="F60" s="1"/>
  <c r="F71" s="1"/>
  <c r="AO29"/>
  <c r="AM29" s="1"/>
  <c r="AD29"/>
  <c r="AH29" s="1"/>
  <c r="AC29"/>
  <c r="V29"/>
  <c r="Z62" s="1"/>
  <c r="D62" s="1"/>
  <c r="F73" s="1"/>
  <c r="AO28"/>
  <c r="AM28" s="1"/>
  <c r="AD28"/>
  <c r="AH28" s="1"/>
  <c r="AC28"/>
  <c r="V28"/>
  <c r="AO27"/>
  <c r="AM27" s="1"/>
  <c r="AD27"/>
  <c r="AH27" s="1"/>
  <c r="AC27"/>
  <c r="V27"/>
  <c r="AD26"/>
  <c r="AH26" s="1"/>
  <c r="AC26"/>
  <c r="AD25"/>
  <c r="AH25" s="1"/>
  <c r="AC25"/>
  <c r="AO24"/>
  <c r="AM24" s="1"/>
  <c r="AD24"/>
  <c r="AH24" s="1"/>
  <c r="AC24"/>
  <c r="V24"/>
  <c r="AA62" s="1"/>
  <c r="F62" s="1"/>
  <c r="AO23"/>
  <c r="AM23" s="1"/>
  <c r="AD23"/>
  <c r="AH23" s="1"/>
  <c r="AC23"/>
  <c r="V23"/>
  <c r="AO22"/>
  <c r="AM22" s="1"/>
  <c r="AD22"/>
  <c r="AH22" s="1"/>
  <c r="AC22"/>
  <c r="V22"/>
  <c r="Z60" s="1"/>
  <c r="D60" s="1"/>
  <c r="AO21"/>
  <c r="AM21" s="1"/>
  <c r="AD21"/>
  <c r="AH21" s="1"/>
  <c r="AC21"/>
  <c r="V21"/>
  <c r="AD20"/>
  <c r="AH20" s="1"/>
  <c r="AC20"/>
  <c r="AD19"/>
  <c r="AH19" s="1"/>
  <c r="AC19"/>
  <c r="AO18"/>
  <c r="AM18" s="1"/>
  <c r="AD18"/>
  <c r="AH18" s="1"/>
  <c r="AC18"/>
  <c r="V18"/>
  <c r="AO17"/>
  <c r="AM17" s="1"/>
  <c r="AD17"/>
  <c r="AH17" s="1"/>
  <c r="AC17"/>
  <c r="V17"/>
  <c r="AO16"/>
  <c r="AM16" s="1"/>
  <c r="AD16"/>
  <c r="AH16" s="1"/>
  <c r="AC16"/>
  <c r="V16"/>
  <c r="AA59" s="1"/>
  <c r="AO15"/>
  <c r="AM15" s="1"/>
  <c r="AD15"/>
  <c r="AH15" s="1"/>
  <c r="AC15"/>
  <c r="V15"/>
  <c r="Z61" s="1"/>
  <c r="AD14"/>
  <c r="AH14" s="1"/>
  <c r="AC14"/>
  <c r="AH13"/>
  <c r="AD13"/>
  <c r="AC13"/>
  <c r="AK13" s="1"/>
  <c r="AO12"/>
  <c r="AM12" s="1"/>
  <c r="AD12"/>
  <c r="AH12" s="1"/>
  <c r="AC12"/>
  <c r="V12"/>
  <c r="AO11"/>
  <c r="AM11" s="1"/>
  <c r="AD11"/>
  <c r="AH11" s="1"/>
  <c r="AC11"/>
  <c r="V11"/>
  <c r="AA61" s="1"/>
  <c r="F61" s="1"/>
  <c r="AO10"/>
  <c r="AM10" s="1"/>
  <c r="AD10"/>
  <c r="AH10" s="1"/>
  <c r="AC10"/>
  <c r="V10"/>
  <c r="AO9"/>
  <c r="AM9" s="1"/>
  <c r="AD9"/>
  <c r="AH9" s="1"/>
  <c r="AC9"/>
  <c r="AG9" s="1"/>
  <c r="V9"/>
  <c r="Z59" s="1"/>
  <c r="D59" s="1"/>
  <c r="AD8"/>
  <c r="AH8" s="1"/>
  <c r="AC8"/>
  <c r="N3"/>
  <c r="C88" i="22" s="1"/>
  <c r="X98" i="25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X77"/>
  <c r="X76"/>
  <c r="X75"/>
  <c r="X74"/>
  <c r="AD73"/>
  <c r="AH73" s="1"/>
  <c r="AC73"/>
  <c r="X73"/>
  <c r="AD72"/>
  <c r="AH72" s="1"/>
  <c r="AC72"/>
  <c r="X72"/>
  <c r="AD71"/>
  <c r="AH71" s="1"/>
  <c r="AC71"/>
  <c r="X71"/>
  <c r="AD70"/>
  <c r="AH70" s="1"/>
  <c r="AC70"/>
  <c r="X70"/>
  <c r="X69"/>
  <c r="AZ68"/>
  <c r="X68"/>
  <c r="AZ67"/>
  <c r="X67"/>
  <c r="AZ66"/>
  <c r="AD66"/>
  <c r="AH66" s="1"/>
  <c r="AC66"/>
  <c r="X66"/>
  <c r="AZ65"/>
  <c r="AD65"/>
  <c r="AH65" s="1"/>
  <c r="AC65"/>
  <c r="X65"/>
  <c r="AZ64"/>
  <c r="AD64"/>
  <c r="AH64" s="1"/>
  <c r="AC64"/>
  <c r="X64"/>
  <c r="AZ63"/>
  <c r="AD63"/>
  <c r="AH63" s="1"/>
  <c r="AC63"/>
  <c r="X63"/>
  <c r="AZ62"/>
  <c r="BA60" s="1"/>
  <c r="BB60" s="1"/>
  <c r="AD62"/>
  <c r="AH62" s="1"/>
  <c r="AC62"/>
  <c r="X62"/>
  <c r="AZ61"/>
  <c r="AD61"/>
  <c r="AH61" s="1"/>
  <c r="AC61"/>
  <c r="X61"/>
  <c r="AZ60"/>
  <c r="AD60"/>
  <c r="AH60" s="1"/>
  <c r="AC60"/>
  <c r="X60"/>
  <c r="AZ59"/>
  <c r="AD59"/>
  <c r="AH59" s="1"/>
  <c r="AC59"/>
  <c r="X59"/>
  <c r="BA58"/>
  <c r="AZ58"/>
  <c r="BA68" s="1"/>
  <c r="BB68" s="1"/>
  <c r="AA58"/>
  <c r="Z58"/>
  <c r="X58"/>
  <c r="AD55"/>
  <c r="AH55" s="1"/>
  <c r="AC55"/>
  <c r="AO54"/>
  <c r="AM54" s="1"/>
  <c r="AD54"/>
  <c r="AH54" s="1"/>
  <c r="AC54"/>
  <c r="V54"/>
  <c r="AO53"/>
  <c r="AM53" s="1"/>
  <c r="AD53"/>
  <c r="AC53"/>
  <c r="V53"/>
  <c r="AA64" s="1"/>
  <c r="F64" s="1"/>
  <c r="AO52"/>
  <c r="AM52" s="1"/>
  <c r="AD52"/>
  <c r="AC52"/>
  <c r="V52"/>
  <c r="AO51"/>
  <c r="AM51" s="1"/>
  <c r="AD51"/>
  <c r="AC51"/>
  <c r="V51"/>
  <c r="Z66" s="1"/>
  <c r="D66" s="1"/>
  <c r="F72" s="1"/>
  <c r="AD50"/>
  <c r="AC50"/>
  <c r="AD49"/>
  <c r="AH49" s="1"/>
  <c r="AC49"/>
  <c r="AO48"/>
  <c r="AM48" s="1"/>
  <c r="AD48"/>
  <c r="AC48"/>
  <c r="V48"/>
  <c r="AO47"/>
  <c r="AM47" s="1"/>
  <c r="AD47"/>
  <c r="AC47"/>
  <c r="V47"/>
  <c r="AO46"/>
  <c r="AM46" s="1"/>
  <c r="AD46"/>
  <c r="AC46"/>
  <c r="V46"/>
  <c r="AA66" s="1"/>
  <c r="F66" s="1"/>
  <c r="AO45"/>
  <c r="AM45" s="1"/>
  <c r="AD45"/>
  <c r="AC45"/>
  <c r="V45"/>
  <c r="Z64" s="1"/>
  <c r="D64" s="1"/>
  <c r="F70" s="1"/>
  <c r="D77" s="1"/>
  <c r="D82" s="1"/>
  <c r="E92" s="1"/>
  <c r="AD44"/>
  <c r="AC44"/>
  <c r="AD43"/>
  <c r="AH43" s="1"/>
  <c r="AC43"/>
  <c r="AO42"/>
  <c r="AM42" s="1"/>
  <c r="AD42"/>
  <c r="AC42"/>
  <c r="V42"/>
  <c r="AO41"/>
  <c r="AM41" s="1"/>
  <c r="AD41"/>
  <c r="AC41"/>
  <c r="V41"/>
  <c r="AO40"/>
  <c r="AM40" s="1"/>
  <c r="AD40"/>
  <c r="AC40"/>
  <c r="V40"/>
  <c r="AA63" s="1"/>
  <c r="F63" s="1"/>
  <c r="AO39"/>
  <c r="AM39" s="1"/>
  <c r="AD39"/>
  <c r="AC39"/>
  <c r="V39"/>
  <c r="Z65" s="1"/>
  <c r="D65" s="1"/>
  <c r="D72" s="1"/>
  <c r="D78" s="1"/>
  <c r="F86" s="1"/>
  <c r="E90" s="1"/>
  <c r="AD38"/>
  <c r="AC38"/>
  <c r="AD37"/>
  <c r="AH37" s="1"/>
  <c r="AC37"/>
  <c r="AO36"/>
  <c r="AM36" s="1"/>
  <c r="AD36"/>
  <c r="AC36"/>
  <c r="V36"/>
  <c r="AO35"/>
  <c r="AM35" s="1"/>
  <c r="AD35"/>
  <c r="AC35"/>
  <c r="V35"/>
  <c r="Z63" s="1"/>
  <c r="D63" s="1"/>
  <c r="D70" s="1"/>
  <c r="AO34"/>
  <c r="AM34" s="1"/>
  <c r="AD34"/>
  <c r="AC34"/>
  <c r="V34"/>
  <c r="AA65" s="1"/>
  <c r="F65" s="1"/>
  <c r="AO33"/>
  <c r="AM33" s="1"/>
  <c r="AD33"/>
  <c r="AC33"/>
  <c r="V33"/>
  <c r="AD32"/>
  <c r="AC32"/>
  <c r="AD31"/>
  <c r="AH31" s="1"/>
  <c r="AC31"/>
  <c r="AO30"/>
  <c r="AM30" s="1"/>
  <c r="AD30"/>
  <c r="AC30"/>
  <c r="V30"/>
  <c r="AO29"/>
  <c r="AM29" s="1"/>
  <c r="AD29"/>
  <c r="AC29"/>
  <c r="V29"/>
  <c r="AA60" s="1"/>
  <c r="F60" s="1"/>
  <c r="AO28"/>
  <c r="AM28" s="1"/>
  <c r="AD28"/>
  <c r="AC28"/>
  <c r="V28"/>
  <c r="AO27"/>
  <c r="AM27" s="1"/>
  <c r="AD27"/>
  <c r="AC27"/>
  <c r="V27"/>
  <c r="Z62" s="1"/>
  <c r="D62" s="1"/>
  <c r="F73" s="1"/>
  <c r="F78" s="1"/>
  <c r="F82" s="1"/>
  <c r="E91" s="1"/>
  <c r="AD26"/>
  <c r="AC26"/>
  <c r="AD25"/>
  <c r="AH25" s="1"/>
  <c r="AC25"/>
  <c r="AO24"/>
  <c r="AM24" s="1"/>
  <c r="AD24"/>
  <c r="AC24"/>
  <c r="V24"/>
  <c r="AO23"/>
  <c r="AM23" s="1"/>
  <c r="AD23"/>
  <c r="AC23"/>
  <c r="V23"/>
  <c r="AA62" s="1"/>
  <c r="F62" s="1"/>
  <c r="AO22"/>
  <c r="AM22" s="1"/>
  <c r="AD22"/>
  <c r="AC22"/>
  <c r="V22"/>
  <c r="AO21"/>
  <c r="AM21" s="1"/>
  <c r="AD21"/>
  <c r="AC21"/>
  <c r="V21"/>
  <c r="Z60" s="1"/>
  <c r="D60" s="1"/>
  <c r="F71" s="1"/>
  <c r="AD20"/>
  <c r="AH20" s="1"/>
  <c r="AC20"/>
  <c r="AD19"/>
  <c r="AH19" s="1"/>
  <c r="AC19"/>
  <c r="AO18"/>
  <c r="AM18" s="1"/>
  <c r="AD18"/>
  <c r="AH18" s="1"/>
  <c r="AC18"/>
  <c r="V18"/>
  <c r="AO17"/>
  <c r="AM17" s="1"/>
  <c r="AD17"/>
  <c r="AH17" s="1"/>
  <c r="AC17"/>
  <c r="AG17" s="1"/>
  <c r="V17"/>
  <c r="AO16"/>
  <c r="AM16" s="1"/>
  <c r="AD16"/>
  <c r="AH16" s="1"/>
  <c r="AC16"/>
  <c r="V16"/>
  <c r="Z61" s="1"/>
  <c r="D61" s="1"/>
  <c r="D73" s="1"/>
  <c r="AO15"/>
  <c r="AM15" s="1"/>
  <c r="AD15"/>
  <c r="AH15" s="1"/>
  <c r="AC15"/>
  <c r="AL15" s="1"/>
  <c r="V15"/>
  <c r="AA59" s="1"/>
  <c r="F59" s="1"/>
  <c r="AD14"/>
  <c r="AH14" s="1"/>
  <c r="AC14"/>
  <c r="AD13"/>
  <c r="AC13"/>
  <c r="AO12"/>
  <c r="AM12" s="1"/>
  <c r="AD12"/>
  <c r="AH12" s="1"/>
  <c r="AC12"/>
  <c r="V12"/>
  <c r="AO11"/>
  <c r="AM11" s="1"/>
  <c r="AD11"/>
  <c r="AH11" s="1"/>
  <c r="AC11"/>
  <c r="V11"/>
  <c r="AA61" s="1"/>
  <c r="F61" s="1"/>
  <c r="AO10"/>
  <c r="AM10" s="1"/>
  <c r="AD10"/>
  <c r="AH10" s="1"/>
  <c r="AC10"/>
  <c r="V10"/>
  <c r="AO9"/>
  <c r="AM9" s="1"/>
  <c r="AD9"/>
  <c r="AH9" s="1"/>
  <c r="AC9"/>
  <c r="AG9" s="1"/>
  <c r="V9"/>
  <c r="Z59" s="1"/>
  <c r="D59" s="1"/>
  <c r="D71" s="1"/>
  <c r="F77" s="1"/>
  <c r="D86" s="1"/>
  <c r="E89" s="1"/>
  <c r="AD8"/>
  <c r="AH8" s="1"/>
  <c r="AC8"/>
  <c r="N3"/>
  <c r="C35" i="22" s="1"/>
  <c r="L55" i="6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S18" s="1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S35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S24" s="1"/>
  <c r="J30"/>
  <c r="Q29"/>
  <c r="P29"/>
  <c r="R29" s="1"/>
  <c r="L29"/>
  <c r="K29"/>
  <c r="J29"/>
  <c r="Q28"/>
  <c r="P28"/>
  <c r="R28" s="1"/>
  <c r="L28"/>
  <c r="K28"/>
  <c r="J28"/>
  <c r="S27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S23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Q18"/>
  <c r="P18"/>
  <c r="R18" s="1"/>
  <c r="L18"/>
  <c r="S40" s="1"/>
  <c r="K18"/>
  <c r="S39" s="1"/>
  <c r="J18"/>
  <c r="S17"/>
  <c r="Q17"/>
  <c r="P17"/>
  <c r="R17" s="1"/>
  <c r="L17"/>
  <c r="K17"/>
  <c r="J17"/>
  <c r="Q16"/>
  <c r="P16"/>
  <c r="R16" s="1"/>
  <c r="L16"/>
  <c r="S34" s="1"/>
  <c r="K16"/>
  <c r="S33" s="1"/>
  <c r="J16"/>
  <c r="Q15"/>
  <c r="P15"/>
  <c r="R15" s="1"/>
  <c r="L15"/>
  <c r="K15"/>
  <c r="J15"/>
  <c r="L14"/>
  <c r="S30" s="1"/>
  <c r="K14"/>
  <c r="S29" s="1"/>
  <c r="J14"/>
  <c r="L13"/>
  <c r="S28" s="1"/>
  <c r="K13"/>
  <c r="J13"/>
  <c r="Q12"/>
  <c r="P12"/>
  <c r="R12" s="1"/>
  <c r="L12"/>
  <c r="S22" s="1"/>
  <c r="K12"/>
  <c r="S21" s="1"/>
  <c r="J12"/>
  <c r="S11"/>
  <c r="Q11"/>
  <c r="P11"/>
  <c r="R11" s="1"/>
  <c r="L11"/>
  <c r="K11"/>
  <c r="J11"/>
  <c r="Q10"/>
  <c r="P10"/>
  <c r="R10" s="1"/>
  <c r="L10"/>
  <c r="S16" s="1"/>
  <c r="K10"/>
  <c r="S15" s="1"/>
  <c r="J10"/>
  <c r="Q9"/>
  <c r="P9"/>
  <c r="R9" s="1"/>
  <c r="L9"/>
  <c r="S12" s="1"/>
  <c r="K9"/>
  <c r="J9"/>
  <c r="L8"/>
  <c r="S10" s="1"/>
  <c r="K8"/>
  <c r="S9" s="1"/>
  <c r="J8"/>
  <c r="L55" i="5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S42" s="1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K20"/>
  <c r="S41" s="1"/>
  <c r="J20"/>
  <c r="L19"/>
  <c r="S46" s="1"/>
  <c r="K19"/>
  <c r="S45" s="1"/>
  <c r="J19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S24" s="1"/>
  <c r="K15"/>
  <c r="S23" s="1"/>
  <c r="J15"/>
  <c r="L14"/>
  <c r="S30" s="1"/>
  <c r="K14"/>
  <c r="S29" s="1"/>
  <c r="J14"/>
  <c r="L13"/>
  <c r="S28" s="1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S18" s="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L55" i="4"/>
  <c r="K55"/>
  <c r="J55"/>
  <c r="Q54"/>
  <c r="P54"/>
  <c r="R54" s="1"/>
  <c r="L54"/>
  <c r="K54"/>
  <c r="J54"/>
  <c r="Q53"/>
  <c r="P53"/>
  <c r="R53" s="1"/>
  <c r="L53"/>
  <c r="K53"/>
  <c r="J53"/>
  <c r="Q52"/>
  <c r="P52"/>
  <c r="R52" s="1"/>
  <c r="L52"/>
  <c r="K52"/>
  <c r="J52"/>
  <c r="Q51"/>
  <c r="P51"/>
  <c r="R51" s="1"/>
  <c r="L51"/>
  <c r="K51"/>
  <c r="J51"/>
  <c r="L50"/>
  <c r="K50"/>
  <c r="J50"/>
  <c r="L49"/>
  <c r="K49"/>
  <c r="J49"/>
  <c r="Q48"/>
  <c r="P48"/>
  <c r="R48" s="1"/>
  <c r="L48"/>
  <c r="K48"/>
  <c r="J48"/>
  <c r="Q47"/>
  <c r="P47"/>
  <c r="R47" s="1"/>
  <c r="L47"/>
  <c r="K47"/>
  <c r="J47"/>
  <c r="Q46"/>
  <c r="P46"/>
  <c r="R46" s="1"/>
  <c r="L46"/>
  <c r="K46"/>
  <c r="J46"/>
  <c r="Q45"/>
  <c r="P45"/>
  <c r="R45" s="1"/>
  <c r="L45"/>
  <c r="K45"/>
  <c r="J45"/>
  <c r="L44"/>
  <c r="K44"/>
  <c r="J44"/>
  <c r="L43"/>
  <c r="K43"/>
  <c r="J43"/>
  <c r="Q42"/>
  <c r="P42"/>
  <c r="R42" s="1"/>
  <c r="L42"/>
  <c r="K42"/>
  <c r="J42"/>
  <c r="Q41"/>
  <c r="P41"/>
  <c r="R41" s="1"/>
  <c r="L41"/>
  <c r="K41"/>
  <c r="J41"/>
  <c r="Q40"/>
  <c r="P40"/>
  <c r="R40" s="1"/>
  <c r="L40"/>
  <c r="K40"/>
  <c r="J40"/>
  <c r="Q39"/>
  <c r="P39"/>
  <c r="R39" s="1"/>
  <c r="L39"/>
  <c r="K39"/>
  <c r="S48" s="1"/>
  <c r="J39"/>
  <c r="L38"/>
  <c r="K38"/>
  <c r="S54" s="1"/>
  <c r="J38"/>
  <c r="L37"/>
  <c r="K37"/>
  <c r="J37"/>
  <c r="Q36"/>
  <c r="P36"/>
  <c r="R36" s="1"/>
  <c r="L36"/>
  <c r="K36"/>
  <c r="J36"/>
  <c r="Q35"/>
  <c r="P35"/>
  <c r="R35" s="1"/>
  <c r="L35"/>
  <c r="K35"/>
  <c r="J35"/>
  <c r="Q34"/>
  <c r="P34"/>
  <c r="R34" s="1"/>
  <c r="L34"/>
  <c r="K34"/>
  <c r="J34"/>
  <c r="Q33"/>
  <c r="P33"/>
  <c r="R33" s="1"/>
  <c r="L33"/>
  <c r="K33"/>
  <c r="S36" s="1"/>
  <c r="J33"/>
  <c r="L32"/>
  <c r="K32"/>
  <c r="J32"/>
  <c r="L31"/>
  <c r="K31"/>
  <c r="J31"/>
  <c r="Q30"/>
  <c r="P30"/>
  <c r="R30" s="1"/>
  <c r="L30"/>
  <c r="K30"/>
  <c r="J30"/>
  <c r="Q29"/>
  <c r="P29"/>
  <c r="R29" s="1"/>
  <c r="L29"/>
  <c r="K29"/>
  <c r="J29"/>
  <c r="S28"/>
  <c r="Q28"/>
  <c r="P28"/>
  <c r="R28" s="1"/>
  <c r="L28"/>
  <c r="K28"/>
  <c r="J28"/>
  <c r="Q27"/>
  <c r="P27"/>
  <c r="R27" s="1"/>
  <c r="L27"/>
  <c r="K27"/>
  <c r="J27"/>
  <c r="L26"/>
  <c r="K26"/>
  <c r="J26"/>
  <c r="L25"/>
  <c r="K25"/>
  <c r="J25"/>
  <c r="S24"/>
  <c r="Q24"/>
  <c r="P24"/>
  <c r="R24" s="1"/>
  <c r="L24"/>
  <c r="K24"/>
  <c r="S53" s="1"/>
  <c r="J24"/>
  <c r="Q23"/>
  <c r="P23"/>
  <c r="R23" s="1"/>
  <c r="L23"/>
  <c r="K23"/>
  <c r="J23"/>
  <c r="Q22"/>
  <c r="P22"/>
  <c r="R22" s="1"/>
  <c r="L22"/>
  <c r="S52" s="1"/>
  <c r="K22"/>
  <c r="S51" s="1"/>
  <c r="J22"/>
  <c r="Q21"/>
  <c r="P21"/>
  <c r="R21" s="1"/>
  <c r="L21"/>
  <c r="K21"/>
  <c r="S47" s="1"/>
  <c r="J21"/>
  <c r="L20"/>
  <c r="S42" s="1"/>
  <c r="K20"/>
  <c r="S41" s="1"/>
  <c r="J20"/>
  <c r="L19"/>
  <c r="S46" s="1"/>
  <c r="K19"/>
  <c r="S45" s="1"/>
  <c r="J19"/>
  <c r="S18"/>
  <c r="Q18"/>
  <c r="P18"/>
  <c r="R18" s="1"/>
  <c r="L18"/>
  <c r="S40" s="1"/>
  <c r="K18"/>
  <c r="S39" s="1"/>
  <c r="J18"/>
  <c r="Q17"/>
  <c r="P17"/>
  <c r="R17" s="1"/>
  <c r="L17"/>
  <c r="K17"/>
  <c r="S35" s="1"/>
  <c r="J17"/>
  <c r="Q16"/>
  <c r="P16"/>
  <c r="R16" s="1"/>
  <c r="L16"/>
  <c r="S34" s="1"/>
  <c r="K16"/>
  <c r="S33" s="1"/>
  <c r="J16"/>
  <c r="Q15"/>
  <c r="P15"/>
  <c r="R15" s="1"/>
  <c r="L15"/>
  <c r="K15"/>
  <c r="S23" s="1"/>
  <c r="J15"/>
  <c r="L14"/>
  <c r="S30" s="1"/>
  <c r="K14"/>
  <c r="S29" s="1"/>
  <c r="J14"/>
  <c r="L13"/>
  <c r="K13"/>
  <c r="S27" s="1"/>
  <c r="J13"/>
  <c r="S12"/>
  <c r="Q12"/>
  <c r="P12"/>
  <c r="R12" s="1"/>
  <c r="L12"/>
  <c r="S22" s="1"/>
  <c r="K12"/>
  <c r="S21" s="1"/>
  <c r="J12"/>
  <c r="Q11"/>
  <c r="P11"/>
  <c r="R11" s="1"/>
  <c r="L11"/>
  <c r="K11"/>
  <c r="S17" s="1"/>
  <c r="J11"/>
  <c r="Q10"/>
  <c r="P10"/>
  <c r="R10" s="1"/>
  <c r="L10"/>
  <c r="S16" s="1"/>
  <c r="K10"/>
  <c r="S15" s="1"/>
  <c r="J10"/>
  <c r="Q9"/>
  <c r="P9"/>
  <c r="R9" s="1"/>
  <c r="L9"/>
  <c r="K9"/>
  <c r="S11" s="1"/>
  <c r="J9"/>
  <c r="L8"/>
  <c r="S10" s="1"/>
  <c r="K8"/>
  <c r="S9" s="1"/>
  <c r="J8"/>
  <c r="X98" i="21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X77"/>
  <c r="X76"/>
  <c r="X75"/>
  <c r="X74"/>
  <c r="AD73"/>
  <c r="AH73" s="1"/>
  <c r="AC73"/>
  <c r="X73"/>
  <c r="AD72"/>
  <c r="AH72" s="1"/>
  <c r="AC72"/>
  <c r="X72"/>
  <c r="AD71"/>
  <c r="AH71" s="1"/>
  <c r="AC71"/>
  <c r="X71"/>
  <c r="AD70"/>
  <c r="AH70" s="1"/>
  <c r="AC70"/>
  <c r="X70"/>
  <c r="X69"/>
  <c r="AZ68"/>
  <c r="X68"/>
  <c r="AZ67"/>
  <c r="X67"/>
  <c r="AZ66"/>
  <c r="AD66"/>
  <c r="AH66" s="1"/>
  <c r="AC66"/>
  <c r="X66"/>
  <c r="AZ65"/>
  <c r="AD65"/>
  <c r="AH65" s="1"/>
  <c r="AC65"/>
  <c r="X65"/>
  <c r="AZ64"/>
  <c r="AD64"/>
  <c r="AH64" s="1"/>
  <c r="AC64"/>
  <c r="X64"/>
  <c r="AZ63"/>
  <c r="AD63"/>
  <c r="AH63" s="1"/>
  <c r="AC63"/>
  <c r="X63"/>
  <c r="AZ62"/>
  <c r="AD62"/>
  <c r="AH62" s="1"/>
  <c r="AC62"/>
  <c r="X62"/>
  <c r="AZ61"/>
  <c r="AD61"/>
  <c r="AH61" s="1"/>
  <c r="AC61"/>
  <c r="X61"/>
  <c r="AZ60"/>
  <c r="AD60"/>
  <c r="AH60" s="1"/>
  <c r="AC60"/>
  <c r="X60"/>
  <c r="BA59"/>
  <c r="BB59" s="1"/>
  <c r="AZ59"/>
  <c r="AD59"/>
  <c r="AH59" s="1"/>
  <c r="AC59"/>
  <c r="X59"/>
  <c r="BA58"/>
  <c r="AZ58"/>
  <c r="BA67" s="1"/>
  <c r="BB67" s="1"/>
  <c r="AA58"/>
  <c r="Z58"/>
  <c r="X58"/>
  <c r="AD55"/>
  <c r="AH55" s="1"/>
  <c r="AC55"/>
  <c r="AO54"/>
  <c r="AM54" s="1"/>
  <c r="AD54"/>
  <c r="AH54" s="1"/>
  <c r="AC54"/>
  <c r="V54"/>
  <c r="AA64" s="1"/>
  <c r="F64" s="1"/>
  <c r="AO53"/>
  <c r="AM53" s="1"/>
  <c r="AD53"/>
  <c r="AH53" s="1"/>
  <c r="AC53"/>
  <c r="AK53" s="1"/>
  <c r="V53"/>
  <c r="AO52"/>
  <c r="AM52" s="1"/>
  <c r="AD52"/>
  <c r="AC52"/>
  <c r="V52"/>
  <c r="AO51"/>
  <c r="AM51" s="1"/>
  <c r="AD51"/>
  <c r="AC51"/>
  <c r="AL51" s="1"/>
  <c r="V51"/>
  <c r="Z66" s="1"/>
  <c r="D66" s="1"/>
  <c r="AD50"/>
  <c r="AC50"/>
  <c r="AD49"/>
  <c r="AH49" s="1"/>
  <c r="AC49"/>
  <c r="AO48"/>
  <c r="AM48" s="1"/>
  <c r="AD48"/>
  <c r="AC48"/>
  <c r="V48"/>
  <c r="AO47"/>
  <c r="AM47" s="1"/>
  <c r="AD47"/>
  <c r="AC47"/>
  <c r="V47"/>
  <c r="AO46"/>
  <c r="AM46" s="1"/>
  <c r="AD46"/>
  <c r="AC46"/>
  <c r="V46"/>
  <c r="Z64" s="1"/>
  <c r="D64" s="1"/>
  <c r="F70" s="1"/>
  <c r="D77" s="1"/>
  <c r="D82" s="1"/>
  <c r="E92" s="1"/>
  <c r="AO45"/>
  <c r="AM45" s="1"/>
  <c r="AD45"/>
  <c r="AC45"/>
  <c r="V45"/>
  <c r="AA66" s="1"/>
  <c r="F66" s="1"/>
  <c r="F72" s="1"/>
  <c r="D78" s="1"/>
  <c r="F86" s="1"/>
  <c r="E90" s="1"/>
  <c r="AD44"/>
  <c r="AC44"/>
  <c r="AD43"/>
  <c r="AH43" s="1"/>
  <c r="AC43"/>
  <c r="AO42"/>
  <c r="AM42" s="1"/>
  <c r="AD42"/>
  <c r="AC42"/>
  <c r="V42"/>
  <c r="AO41"/>
  <c r="AM41" s="1"/>
  <c r="AD41"/>
  <c r="AC41"/>
  <c r="V41"/>
  <c r="AO40"/>
  <c r="AM40" s="1"/>
  <c r="AD40"/>
  <c r="AC40"/>
  <c r="V40"/>
  <c r="AA63" s="1"/>
  <c r="F63" s="1"/>
  <c r="AO39"/>
  <c r="AM39" s="1"/>
  <c r="AD39"/>
  <c r="AC39"/>
  <c r="V39"/>
  <c r="Z65" s="1"/>
  <c r="D65" s="1"/>
  <c r="D72" s="1"/>
  <c r="AD38"/>
  <c r="AC38"/>
  <c r="AD37"/>
  <c r="AH37" s="1"/>
  <c r="AC37"/>
  <c r="AO36"/>
  <c r="AM36" s="1"/>
  <c r="AD36"/>
  <c r="AC36"/>
  <c r="V36"/>
  <c r="AO35"/>
  <c r="AM35" s="1"/>
  <c r="AD35"/>
  <c r="AC35"/>
  <c r="V35"/>
  <c r="Z63" s="1"/>
  <c r="D63" s="1"/>
  <c r="D70" s="1"/>
  <c r="AO34"/>
  <c r="AM34" s="1"/>
  <c r="AD34"/>
  <c r="AC34"/>
  <c r="V34"/>
  <c r="AA65" s="1"/>
  <c r="F65" s="1"/>
  <c r="AO33"/>
  <c r="AM33" s="1"/>
  <c r="AD33"/>
  <c r="AC33"/>
  <c r="AL33" s="1"/>
  <c r="V33"/>
  <c r="AD32"/>
  <c r="AC32"/>
  <c r="AD31"/>
  <c r="AH31" s="1"/>
  <c r="AC31"/>
  <c r="AO30"/>
  <c r="AM30" s="1"/>
  <c r="AD30"/>
  <c r="AC30"/>
  <c r="V30"/>
  <c r="Z62" s="1"/>
  <c r="D62" s="1"/>
  <c r="F73" s="1"/>
  <c r="AO29"/>
  <c r="AM29" s="1"/>
  <c r="AD29"/>
  <c r="AC29"/>
  <c r="V29"/>
  <c r="AO28"/>
  <c r="AM28" s="1"/>
  <c r="AD28"/>
  <c r="AC28"/>
  <c r="V28"/>
  <c r="AO27"/>
  <c r="AM27" s="1"/>
  <c r="AD27"/>
  <c r="AC27"/>
  <c r="V27"/>
  <c r="AA60" s="1"/>
  <c r="F60" s="1"/>
  <c r="F71" s="1"/>
  <c r="AD26"/>
  <c r="AC26"/>
  <c r="AD25"/>
  <c r="AH25" s="1"/>
  <c r="AC25"/>
  <c r="AO24"/>
  <c r="AM24" s="1"/>
  <c r="AD24"/>
  <c r="AC24"/>
  <c r="V24"/>
  <c r="AO23"/>
  <c r="AM23" s="1"/>
  <c r="AD23"/>
  <c r="AH23" s="1"/>
  <c r="AC23"/>
  <c r="AG23" s="1"/>
  <c r="V23"/>
  <c r="Z60" s="1"/>
  <c r="D60" s="1"/>
  <c r="AO22"/>
  <c r="AM22" s="1"/>
  <c r="AD22"/>
  <c r="AH22" s="1"/>
  <c r="AC22"/>
  <c r="AG22" s="1"/>
  <c r="V22"/>
  <c r="AA62" s="1"/>
  <c r="F62" s="1"/>
  <c r="AO21"/>
  <c r="AM21" s="1"/>
  <c r="AD21"/>
  <c r="AH21" s="1"/>
  <c r="AC21"/>
  <c r="V21"/>
  <c r="AD20"/>
  <c r="AH20" s="1"/>
  <c r="AC20"/>
  <c r="AD19"/>
  <c r="AH19" s="1"/>
  <c r="AC19"/>
  <c r="AL19" s="1"/>
  <c r="AO18"/>
  <c r="AM18" s="1"/>
  <c r="AD18"/>
  <c r="AH18" s="1"/>
  <c r="AC18"/>
  <c r="AG18" s="1"/>
  <c r="V18"/>
  <c r="AO17"/>
  <c r="AM17" s="1"/>
  <c r="AD17"/>
  <c r="AH17" s="1"/>
  <c r="AC17"/>
  <c r="V17"/>
  <c r="Z61" s="1"/>
  <c r="D61" s="1"/>
  <c r="D73" s="1"/>
  <c r="F78" s="1"/>
  <c r="F82" s="1"/>
  <c r="E91" s="1"/>
  <c r="AO16"/>
  <c r="AM16" s="1"/>
  <c r="AD16"/>
  <c r="AH16" s="1"/>
  <c r="AC16"/>
  <c r="AG16" s="1"/>
  <c r="V16"/>
  <c r="AO15"/>
  <c r="AM15" s="1"/>
  <c r="AD15"/>
  <c r="AC15"/>
  <c r="AG15" s="1"/>
  <c r="V15"/>
  <c r="AA59" s="1"/>
  <c r="F59" s="1"/>
  <c r="AD14"/>
  <c r="AC14"/>
  <c r="AD13"/>
  <c r="AH13" s="1"/>
  <c r="AC13"/>
  <c r="AO12"/>
  <c r="AM12" s="1"/>
  <c r="AD12"/>
  <c r="AC12"/>
  <c r="V12"/>
  <c r="AO11"/>
  <c r="AM11" s="1"/>
  <c r="AD11"/>
  <c r="AC11"/>
  <c r="V11"/>
  <c r="AO10"/>
  <c r="AM10" s="1"/>
  <c r="AD10"/>
  <c r="AC10"/>
  <c r="V10"/>
  <c r="AA61" s="1"/>
  <c r="F61" s="1"/>
  <c r="AO9"/>
  <c r="AM9" s="1"/>
  <c r="AD9"/>
  <c r="AC9"/>
  <c r="AG9" s="1"/>
  <c r="V9"/>
  <c r="Z59" s="1"/>
  <c r="D59" s="1"/>
  <c r="D71" s="1"/>
  <c r="F77" s="1"/>
  <c r="D86" s="1"/>
  <c r="E89" s="1"/>
  <c r="AD8"/>
  <c r="AC8"/>
  <c r="N3"/>
  <c r="C60" i="22" s="1"/>
  <c r="X98" i="20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X77"/>
  <c r="X76"/>
  <c r="X75"/>
  <c r="X74"/>
  <c r="AD73"/>
  <c r="AH73" s="1"/>
  <c r="AC73"/>
  <c r="X73"/>
  <c r="AD72"/>
  <c r="AH72" s="1"/>
  <c r="AC72"/>
  <c r="X72"/>
  <c r="AD71"/>
  <c r="AH71" s="1"/>
  <c r="AC71"/>
  <c r="X71"/>
  <c r="AD70"/>
  <c r="AH70" s="1"/>
  <c r="AC70"/>
  <c r="X70"/>
  <c r="X69"/>
  <c r="AZ68"/>
  <c r="X68"/>
  <c r="AZ67"/>
  <c r="X67"/>
  <c r="AZ66"/>
  <c r="AD66"/>
  <c r="AH66" s="1"/>
  <c r="AC66"/>
  <c r="X66"/>
  <c r="AZ65"/>
  <c r="AD65"/>
  <c r="AH65" s="1"/>
  <c r="AC65"/>
  <c r="X65"/>
  <c r="AZ64"/>
  <c r="AD64"/>
  <c r="AH64" s="1"/>
  <c r="AC64"/>
  <c r="X64"/>
  <c r="AZ63"/>
  <c r="AD63"/>
  <c r="AH63" s="1"/>
  <c r="AC63"/>
  <c r="X63"/>
  <c r="AZ62"/>
  <c r="AD62"/>
  <c r="AH62" s="1"/>
  <c r="AC62"/>
  <c r="X62"/>
  <c r="BA61"/>
  <c r="BB61" s="1"/>
  <c r="AZ61"/>
  <c r="AD61"/>
  <c r="AH61" s="1"/>
  <c r="AC61"/>
  <c r="X61"/>
  <c r="BA60"/>
  <c r="BB60" s="1"/>
  <c r="AZ60"/>
  <c r="AD60"/>
  <c r="AH60" s="1"/>
  <c r="AC60"/>
  <c r="X60"/>
  <c r="BA59"/>
  <c r="BB59" s="1"/>
  <c r="AZ59"/>
  <c r="AD59"/>
  <c r="AH59" s="1"/>
  <c r="AC59"/>
  <c r="AK59" s="1"/>
  <c r="X59"/>
  <c r="BA58"/>
  <c r="AZ58"/>
  <c r="BA67" s="1"/>
  <c r="BB67" s="1"/>
  <c r="AA58"/>
  <c r="Z58"/>
  <c r="X58"/>
  <c r="AD55"/>
  <c r="AH55" s="1"/>
  <c r="AC55"/>
  <c r="AO54"/>
  <c r="AM54" s="1"/>
  <c r="AD54"/>
  <c r="AH54" s="1"/>
  <c r="AC54"/>
  <c r="V54"/>
  <c r="AO53"/>
  <c r="AM53" s="1"/>
  <c r="AD53"/>
  <c r="AH53" s="1"/>
  <c r="AC53"/>
  <c r="AK53" s="1"/>
  <c r="V53"/>
  <c r="AO52"/>
  <c r="AM52" s="1"/>
  <c r="AD52"/>
  <c r="AC52"/>
  <c r="V52"/>
  <c r="AA64" s="1"/>
  <c r="F64" s="1"/>
  <c r="AO51"/>
  <c r="AM51" s="1"/>
  <c r="AD51"/>
  <c r="AC51"/>
  <c r="V51"/>
  <c r="Z66" s="1"/>
  <c r="D66" s="1"/>
  <c r="AD50"/>
  <c r="AC50"/>
  <c r="AD49"/>
  <c r="AH49" s="1"/>
  <c r="AC49"/>
  <c r="AO48"/>
  <c r="AM48" s="1"/>
  <c r="AD48"/>
  <c r="AC48"/>
  <c r="V48"/>
  <c r="AO47"/>
  <c r="AM47" s="1"/>
  <c r="AD47"/>
  <c r="AC47"/>
  <c r="V47"/>
  <c r="AO46"/>
  <c r="AM46" s="1"/>
  <c r="AD46"/>
  <c r="AC46"/>
  <c r="V46"/>
  <c r="AA66" s="1"/>
  <c r="F66" s="1"/>
  <c r="F72" s="1"/>
  <c r="AO45"/>
  <c r="AM45" s="1"/>
  <c r="AD45"/>
  <c r="AC45"/>
  <c r="V45"/>
  <c r="Z64" s="1"/>
  <c r="D64" s="1"/>
  <c r="F70" s="1"/>
  <c r="AD44"/>
  <c r="AC44"/>
  <c r="AD43"/>
  <c r="AH43" s="1"/>
  <c r="AC43"/>
  <c r="AO42"/>
  <c r="AM42" s="1"/>
  <c r="AD42"/>
  <c r="AC42"/>
  <c r="V42"/>
  <c r="AA63" s="1"/>
  <c r="F63" s="1"/>
  <c r="AO41"/>
  <c r="AM41" s="1"/>
  <c r="AD41"/>
  <c r="AC41"/>
  <c r="V41"/>
  <c r="AO40"/>
  <c r="AM40" s="1"/>
  <c r="AD40"/>
  <c r="AC40"/>
  <c r="V40"/>
  <c r="AO39"/>
  <c r="AM39" s="1"/>
  <c r="AD39"/>
  <c r="AC39"/>
  <c r="V39"/>
  <c r="Z65" s="1"/>
  <c r="D65" s="1"/>
  <c r="D72" s="1"/>
  <c r="D78" s="1"/>
  <c r="F86" s="1"/>
  <c r="E89" s="1"/>
  <c r="AD38"/>
  <c r="AC38"/>
  <c r="AD37"/>
  <c r="AH37" s="1"/>
  <c r="AC37"/>
  <c r="AO36"/>
  <c r="AM36" s="1"/>
  <c r="AD36"/>
  <c r="AC36"/>
  <c r="V36"/>
  <c r="AO35"/>
  <c r="AM35" s="1"/>
  <c r="AD35"/>
  <c r="AC35"/>
  <c r="V35"/>
  <c r="Z63" s="1"/>
  <c r="D63" s="1"/>
  <c r="D70" s="1"/>
  <c r="D77" s="1"/>
  <c r="D82" s="1"/>
  <c r="E92" s="1"/>
  <c r="AO34"/>
  <c r="AM34" s="1"/>
  <c r="AD34"/>
  <c r="AC34"/>
  <c r="V34"/>
  <c r="AA65" s="1"/>
  <c r="F65" s="1"/>
  <c r="AO33"/>
  <c r="AM33" s="1"/>
  <c r="AD33"/>
  <c r="AC33"/>
  <c r="AL33" s="1"/>
  <c r="V33"/>
  <c r="AD32"/>
  <c r="AC32"/>
  <c r="AD31"/>
  <c r="AH31" s="1"/>
  <c r="AC31"/>
  <c r="AO30"/>
  <c r="AM30" s="1"/>
  <c r="AD30"/>
  <c r="AC30"/>
  <c r="V30"/>
  <c r="AO29"/>
  <c r="AM29" s="1"/>
  <c r="AD29"/>
  <c r="AC29"/>
  <c r="V29"/>
  <c r="AA60" s="1"/>
  <c r="F60" s="1"/>
  <c r="AO28"/>
  <c r="AM28" s="1"/>
  <c r="AD28"/>
  <c r="AC28"/>
  <c r="V28"/>
  <c r="AO27"/>
  <c r="AM27" s="1"/>
  <c r="AD27"/>
  <c r="AC27"/>
  <c r="V27"/>
  <c r="Z62" s="1"/>
  <c r="D62" s="1"/>
  <c r="F73" s="1"/>
  <c r="AD26"/>
  <c r="AC26"/>
  <c r="AD25"/>
  <c r="AH25" s="1"/>
  <c r="AC25"/>
  <c r="AO24"/>
  <c r="AM24" s="1"/>
  <c r="AD24"/>
  <c r="AC24"/>
  <c r="V24"/>
  <c r="AO23"/>
  <c r="AM23" s="1"/>
  <c r="AD23"/>
  <c r="AH23" s="1"/>
  <c r="AC23"/>
  <c r="V23"/>
  <c r="AA62" s="1"/>
  <c r="F62" s="1"/>
  <c r="AO22"/>
  <c r="AM22" s="1"/>
  <c r="AD22"/>
  <c r="AH22" s="1"/>
  <c r="AC22"/>
  <c r="AG22" s="1"/>
  <c r="V22"/>
  <c r="AO21"/>
  <c r="AM21" s="1"/>
  <c r="AD21"/>
  <c r="AH21" s="1"/>
  <c r="AC21"/>
  <c r="V21"/>
  <c r="Z60" s="1"/>
  <c r="D60" s="1"/>
  <c r="F71" s="1"/>
  <c r="AD20"/>
  <c r="AH20" s="1"/>
  <c r="AC20"/>
  <c r="AG20" s="1"/>
  <c r="AD19"/>
  <c r="AH19" s="1"/>
  <c r="AC19"/>
  <c r="AL19" s="1"/>
  <c r="AO18"/>
  <c r="AM18" s="1"/>
  <c r="AD18"/>
  <c r="AH18" s="1"/>
  <c r="AC18"/>
  <c r="AG18" s="1"/>
  <c r="V18"/>
  <c r="AO17"/>
  <c r="AM17" s="1"/>
  <c r="AD17"/>
  <c r="AH17" s="1"/>
  <c r="AC17"/>
  <c r="V17"/>
  <c r="AA59" s="1"/>
  <c r="F59" s="1"/>
  <c r="AO16"/>
  <c r="AM16" s="1"/>
  <c r="AD16"/>
  <c r="AH16" s="1"/>
  <c r="AC16"/>
  <c r="AG16" s="1"/>
  <c r="V16"/>
  <c r="AO15"/>
  <c r="AM15" s="1"/>
  <c r="AD15"/>
  <c r="AH15" s="1"/>
  <c r="AC15"/>
  <c r="V15"/>
  <c r="Z61" s="1"/>
  <c r="D61" s="1"/>
  <c r="D73" s="1"/>
  <c r="F78" s="1"/>
  <c r="F82" s="1"/>
  <c r="E91" s="1"/>
  <c r="AD14"/>
  <c r="AH14" s="1"/>
  <c r="AC14"/>
  <c r="AD13"/>
  <c r="AH13" s="1"/>
  <c r="AC13"/>
  <c r="AO12"/>
  <c r="AM12" s="1"/>
  <c r="AD12"/>
  <c r="AH12" s="1"/>
  <c r="AC12"/>
  <c r="V12"/>
  <c r="AO11"/>
  <c r="AM11" s="1"/>
  <c r="AD11"/>
  <c r="AH11" s="1"/>
  <c r="AC11"/>
  <c r="V11"/>
  <c r="AA61" s="1"/>
  <c r="F61" s="1"/>
  <c r="AO10"/>
  <c r="AM10" s="1"/>
  <c r="AD10"/>
  <c r="AH10" s="1"/>
  <c r="AC10"/>
  <c r="AK10" s="1"/>
  <c r="V10"/>
  <c r="AO9"/>
  <c r="AM9" s="1"/>
  <c r="AD9"/>
  <c r="AH9" s="1"/>
  <c r="AC9"/>
  <c r="V9"/>
  <c r="Z59" s="1"/>
  <c r="D59" s="1"/>
  <c r="D71" s="1"/>
  <c r="F77" s="1"/>
  <c r="D86" s="1"/>
  <c r="E90" s="1"/>
  <c r="AD8"/>
  <c r="AH8" s="1"/>
  <c r="AC8"/>
  <c r="N3"/>
  <c r="C4" i="22" s="1"/>
  <c r="X98" i="19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X77"/>
  <c r="X76"/>
  <c r="X75"/>
  <c r="X74"/>
  <c r="AD73"/>
  <c r="AH73" s="1"/>
  <c r="AC73"/>
  <c r="X73"/>
  <c r="AD72"/>
  <c r="AH72" s="1"/>
  <c r="AC72"/>
  <c r="AL72" s="1"/>
  <c r="X72"/>
  <c r="AD71"/>
  <c r="AH71" s="1"/>
  <c r="AC71"/>
  <c r="X71"/>
  <c r="AD70"/>
  <c r="AH70" s="1"/>
  <c r="AC70"/>
  <c r="X70"/>
  <c r="X69"/>
  <c r="AZ68"/>
  <c r="X68"/>
  <c r="AZ67"/>
  <c r="X67"/>
  <c r="AZ66"/>
  <c r="AD66"/>
  <c r="AH66" s="1"/>
  <c r="AC66"/>
  <c r="X66"/>
  <c r="AZ65"/>
  <c r="AD65"/>
  <c r="AH65" s="1"/>
  <c r="AC65"/>
  <c r="X65"/>
  <c r="AZ64"/>
  <c r="AD64"/>
  <c r="AH64" s="1"/>
  <c r="AC64"/>
  <c r="X64"/>
  <c r="AZ63"/>
  <c r="AD63"/>
  <c r="AH63" s="1"/>
  <c r="AC63"/>
  <c r="X63"/>
  <c r="AZ62"/>
  <c r="AD62"/>
  <c r="AH62" s="1"/>
  <c r="AC62"/>
  <c r="X62"/>
  <c r="AZ61"/>
  <c r="AD61"/>
  <c r="AH61" s="1"/>
  <c r="AC61"/>
  <c r="X61"/>
  <c r="AZ60"/>
  <c r="AD60"/>
  <c r="AH60" s="1"/>
  <c r="AC60"/>
  <c r="X60"/>
  <c r="BA59"/>
  <c r="BB59" s="1"/>
  <c r="AZ59"/>
  <c r="AD59"/>
  <c r="AH59" s="1"/>
  <c r="AC59"/>
  <c r="AK59" s="1"/>
  <c r="X59"/>
  <c r="BA58"/>
  <c r="AZ58"/>
  <c r="BA67" s="1"/>
  <c r="BB67" s="1"/>
  <c r="AA58"/>
  <c r="Z58"/>
  <c r="X58"/>
  <c r="AD55"/>
  <c r="AH55" s="1"/>
  <c r="AC55"/>
  <c r="AO54"/>
  <c r="AM54" s="1"/>
  <c r="AD54"/>
  <c r="AH54" s="1"/>
  <c r="AC54"/>
  <c r="V54"/>
  <c r="AA64" s="1"/>
  <c r="F64" s="1"/>
  <c r="AO53"/>
  <c r="AM53" s="1"/>
  <c r="AD53"/>
  <c r="AH53" s="1"/>
  <c r="AC53"/>
  <c r="AK53" s="1"/>
  <c r="V53"/>
  <c r="AO52"/>
  <c r="AM52" s="1"/>
  <c r="AD52"/>
  <c r="AC52"/>
  <c r="V52"/>
  <c r="AO51"/>
  <c r="AM51" s="1"/>
  <c r="AD51"/>
  <c r="AC51"/>
  <c r="V51"/>
  <c r="Z66" s="1"/>
  <c r="D66" s="1"/>
  <c r="AD50"/>
  <c r="AC50"/>
  <c r="AD49"/>
  <c r="AH49" s="1"/>
  <c r="AC49"/>
  <c r="AO48"/>
  <c r="AM48" s="1"/>
  <c r="AD48"/>
  <c r="AC48"/>
  <c r="V48"/>
  <c r="AO47"/>
  <c r="AM47" s="1"/>
  <c r="AD47"/>
  <c r="AC47"/>
  <c r="V47"/>
  <c r="AO46"/>
  <c r="AM46" s="1"/>
  <c r="AD46"/>
  <c r="AC46"/>
  <c r="V46"/>
  <c r="AA66" s="1"/>
  <c r="F66" s="1"/>
  <c r="F72" s="1"/>
  <c r="AO45"/>
  <c r="AM45" s="1"/>
  <c r="AD45"/>
  <c r="AC45"/>
  <c r="V45"/>
  <c r="Z64" s="1"/>
  <c r="D64" s="1"/>
  <c r="F70" s="1"/>
  <c r="D77" s="1"/>
  <c r="D86" s="1"/>
  <c r="E90" s="1"/>
  <c r="AD44"/>
  <c r="AC44"/>
  <c r="AD43"/>
  <c r="AH43" s="1"/>
  <c r="AC43"/>
  <c r="AO42"/>
  <c r="AM42" s="1"/>
  <c r="AD42"/>
  <c r="AC42"/>
  <c r="V42"/>
  <c r="AO41"/>
  <c r="AM41" s="1"/>
  <c r="AD41"/>
  <c r="AC41"/>
  <c r="V41"/>
  <c r="AO40"/>
  <c r="AM40" s="1"/>
  <c r="AD40"/>
  <c r="AC40"/>
  <c r="V40"/>
  <c r="AA63" s="1"/>
  <c r="F63" s="1"/>
  <c r="D70" s="1"/>
  <c r="AO39"/>
  <c r="AM39" s="1"/>
  <c r="AD39"/>
  <c r="AC39"/>
  <c r="V39"/>
  <c r="Z65" s="1"/>
  <c r="D65" s="1"/>
  <c r="D72" s="1"/>
  <c r="D78" s="1"/>
  <c r="F82" s="1"/>
  <c r="E91" s="1"/>
  <c r="AD38"/>
  <c r="AC38"/>
  <c r="AD37"/>
  <c r="AH37" s="1"/>
  <c r="AC37"/>
  <c r="AO36"/>
  <c r="AM36" s="1"/>
  <c r="AD36"/>
  <c r="AC36"/>
  <c r="V36"/>
  <c r="AO35"/>
  <c r="AM35" s="1"/>
  <c r="AD35"/>
  <c r="AC35"/>
  <c r="V35"/>
  <c r="AA65" s="1"/>
  <c r="F65" s="1"/>
  <c r="AO34"/>
  <c r="AM34" s="1"/>
  <c r="AD34"/>
  <c r="AC34"/>
  <c r="V34"/>
  <c r="Z63" s="1"/>
  <c r="D63" s="1"/>
  <c r="AO33"/>
  <c r="AM33" s="1"/>
  <c r="AD33"/>
  <c r="AH33" s="1"/>
  <c r="AC33"/>
  <c r="AG33" s="1"/>
  <c r="V33"/>
  <c r="AD32"/>
  <c r="AH32" s="1"/>
  <c r="AC32"/>
  <c r="AD31"/>
  <c r="AH31" s="1"/>
  <c r="AC31"/>
  <c r="AO30"/>
  <c r="AM30" s="1"/>
  <c r="AD30"/>
  <c r="AH30" s="1"/>
  <c r="AC30"/>
  <c r="AL30" s="1"/>
  <c r="V30"/>
  <c r="AA60" s="1"/>
  <c r="F60" s="1"/>
  <c r="F71" s="1"/>
  <c r="F77" s="1"/>
  <c r="D82" s="1"/>
  <c r="E92" s="1"/>
  <c r="AO29"/>
  <c r="AM29" s="1"/>
  <c r="AD29"/>
  <c r="AH29" s="1"/>
  <c r="AC29"/>
  <c r="AG29" s="1"/>
  <c r="V29"/>
  <c r="Z62" s="1"/>
  <c r="D62" s="1"/>
  <c r="F73" s="1"/>
  <c r="F78" s="1"/>
  <c r="F86" s="1"/>
  <c r="E89" s="1"/>
  <c r="AO28"/>
  <c r="AM28" s="1"/>
  <c r="AD28"/>
  <c r="AH28" s="1"/>
  <c r="AC28"/>
  <c r="V28"/>
  <c r="AO27"/>
  <c r="AM27" s="1"/>
  <c r="AD27"/>
  <c r="AH27" s="1"/>
  <c r="AC27"/>
  <c r="AG27" s="1"/>
  <c r="V27"/>
  <c r="AD26"/>
  <c r="AH26" s="1"/>
  <c r="AC26"/>
  <c r="AD25"/>
  <c r="AH25" s="1"/>
  <c r="AC25"/>
  <c r="AO24"/>
  <c r="AM24" s="1"/>
  <c r="AD24"/>
  <c r="AH24" s="1"/>
  <c r="AC24"/>
  <c r="V24"/>
  <c r="AA62" s="1"/>
  <c r="F62" s="1"/>
  <c r="AO23"/>
  <c r="AM23" s="1"/>
  <c r="AD23"/>
  <c r="AH23" s="1"/>
  <c r="AC23"/>
  <c r="AG23" s="1"/>
  <c r="V23"/>
  <c r="Z60" s="1"/>
  <c r="D60" s="1"/>
  <c r="AO22"/>
  <c r="AM22" s="1"/>
  <c r="AD22"/>
  <c r="AH22" s="1"/>
  <c r="AC22"/>
  <c r="V22"/>
  <c r="AO21"/>
  <c r="AM21" s="1"/>
  <c r="AD21"/>
  <c r="AH21" s="1"/>
  <c r="AC21"/>
  <c r="AG21" s="1"/>
  <c r="V21"/>
  <c r="AD20"/>
  <c r="AH20" s="1"/>
  <c r="AC20"/>
  <c r="AD19"/>
  <c r="AH19" s="1"/>
  <c r="AC19"/>
  <c r="AO18"/>
  <c r="AM18" s="1"/>
  <c r="AD18"/>
  <c r="AH18" s="1"/>
  <c r="AC18"/>
  <c r="V18"/>
  <c r="AO17"/>
  <c r="AM17" s="1"/>
  <c r="AD17"/>
  <c r="AH17" s="1"/>
  <c r="AC17"/>
  <c r="AG17" s="1"/>
  <c r="V17"/>
  <c r="AO16"/>
  <c r="AM16" s="1"/>
  <c r="AD16"/>
  <c r="AH16" s="1"/>
  <c r="AC16"/>
  <c r="V16"/>
  <c r="Z61" s="1"/>
  <c r="D61" s="1"/>
  <c r="D73" s="1"/>
  <c r="AO15"/>
  <c r="AM15" s="1"/>
  <c r="AD15"/>
  <c r="AH15" s="1"/>
  <c r="AC15"/>
  <c r="V15"/>
  <c r="AA59" s="1"/>
  <c r="F59" s="1"/>
  <c r="D71" s="1"/>
  <c r="AD14"/>
  <c r="AH14" s="1"/>
  <c r="AC14"/>
  <c r="AD13"/>
  <c r="AH13" s="1"/>
  <c r="AC13"/>
  <c r="AO12"/>
  <c r="AM12" s="1"/>
  <c r="AD12"/>
  <c r="AH12" s="1"/>
  <c r="AC12"/>
  <c r="V12"/>
  <c r="AA61" s="1"/>
  <c r="F61" s="1"/>
  <c r="AO11"/>
  <c r="AM11" s="1"/>
  <c r="AD11"/>
  <c r="AH11" s="1"/>
  <c r="AC11"/>
  <c r="V11"/>
  <c r="AO10"/>
  <c r="AM10" s="1"/>
  <c r="AD10"/>
  <c r="AH10" s="1"/>
  <c r="AC10"/>
  <c r="V10"/>
  <c r="AO9"/>
  <c r="AM9" s="1"/>
  <c r="AD9"/>
  <c r="AH9" s="1"/>
  <c r="AC9"/>
  <c r="V9"/>
  <c r="Z59" s="1"/>
  <c r="D59" s="1"/>
  <c r="AD8"/>
  <c r="AH8" s="1"/>
  <c r="AC8"/>
  <c r="N3"/>
  <c r="C82" i="22" s="1"/>
  <c r="X98" i="8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X77"/>
  <c r="X76"/>
  <c r="X75"/>
  <c r="X74"/>
  <c r="AD73"/>
  <c r="AH73" s="1"/>
  <c r="AC73"/>
  <c r="X73"/>
  <c r="AD72"/>
  <c r="AH72" s="1"/>
  <c r="AC72"/>
  <c r="X72"/>
  <c r="AD71"/>
  <c r="AC71"/>
  <c r="X71"/>
  <c r="AD70"/>
  <c r="AH70" s="1"/>
  <c r="AC70"/>
  <c r="X70"/>
  <c r="X69"/>
  <c r="AZ68"/>
  <c r="X68"/>
  <c r="AZ67"/>
  <c r="X67"/>
  <c r="AZ66"/>
  <c r="AD66"/>
  <c r="AC66"/>
  <c r="X66"/>
  <c r="AZ65"/>
  <c r="AD65"/>
  <c r="AC65"/>
  <c r="X65"/>
  <c r="AZ64"/>
  <c r="AD64"/>
  <c r="AC64"/>
  <c r="X64"/>
  <c r="AZ63"/>
  <c r="AD63"/>
  <c r="AC63"/>
  <c r="X63"/>
  <c r="AZ62"/>
  <c r="AD62"/>
  <c r="AC62"/>
  <c r="X62"/>
  <c r="AZ61"/>
  <c r="AD61"/>
  <c r="AC61"/>
  <c r="X61"/>
  <c r="AZ60"/>
  <c r="AD60"/>
  <c r="AC60"/>
  <c r="X60"/>
  <c r="AZ59"/>
  <c r="AD59"/>
  <c r="AC59"/>
  <c r="X59"/>
  <c r="AZ58"/>
  <c r="BA68" s="1"/>
  <c r="BB68" s="1"/>
  <c r="AA58"/>
  <c r="Z58"/>
  <c r="X58"/>
  <c r="AD55"/>
  <c r="AH55" s="1"/>
  <c r="AC55"/>
  <c r="AO54"/>
  <c r="AM54" s="1"/>
  <c r="AD54"/>
  <c r="AC54"/>
  <c r="V54"/>
  <c r="AO53"/>
  <c r="AM53" s="1"/>
  <c r="AD53"/>
  <c r="AC53"/>
  <c r="AL53" s="1"/>
  <c r="V53"/>
  <c r="AA64" s="1"/>
  <c r="F64" s="1"/>
  <c r="AO52"/>
  <c r="AM52" s="1"/>
  <c r="AD52"/>
  <c r="AC52"/>
  <c r="V52"/>
  <c r="AO51"/>
  <c r="AM51" s="1"/>
  <c r="AD51"/>
  <c r="AC51"/>
  <c r="V51"/>
  <c r="Z66" s="1"/>
  <c r="D66" s="1"/>
  <c r="AD50"/>
  <c r="AC50"/>
  <c r="AD49"/>
  <c r="AH49" s="1"/>
  <c r="AC49"/>
  <c r="AO48"/>
  <c r="AM48" s="1"/>
  <c r="AD48"/>
  <c r="AC48"/>
  <c r="V48"/>
  <c r="AO47"/>
  <c r="AM47" s="1"/>
  <c r="AD47"/>
  <c r="AC47"/>
  <c r="V47"/>
  <c r="AO46"/>
  <c r="AM46" s="1"/>
  <c r="AD46"/>
  <c r="AC46"/>
  <c r="V46"/>
  <c r="AA66" s="1"/>
  <c r="F66" s="1"/>
  <c r="F72" s="1"/>
  <c r="D78" s="1"/>
  <c r="F82" s="1"/>
  <c r="E92" s="1"/>
  <c r="AO45"/>
  <c r="AM45" s="1"/>
  <c r="AD45"/>
  <c r="AC45"/>
  <c r="V45"/>
  <c r="Z64" s="1"/>
  <c r="D64" s="1"/>
  <c r="F70" s="1"/>
  <c r="D77" s="1"/>
  <c r="D82" s="1"/>
  <c r="E91" s="1"/>
  <c r="AD44"/>
  <c r="AC44"/>
  <c r="AD43"/>
  <c r="AH43" s="1"/>
  <c r="AC43"/>
  <c r="AO42"/>
  <c r="AM42" s="1"/>
  <c r="AD42"/>
  <c r="AC42"/>
  <c r="V42"/>
  <c r="AO41"/>
  <c r="AM41" s="1"/>
  <c r="AD41"/>
  <c r="AC41"/>
  <c r="V41"/>
  <c r="AO40"/>
  <c r="AM40" s="1"/>
  <c r="AD40"/>
  <c r="AC40"/>
  <c r="V40"/>
  <c r="AA63" s="1"/>
  <c r="F63" s="1"/>
  <c r="AO39"/>
  <c r="AM39" s="1"/>
  <c r="AD39"/>
  <c r="AC39"/>
  <c r="AL39" s="1"/>
  <c r="V39"/>
  <c r="Z65" s="1"/>
  <c r="D65" s="1"/>
  <c r="D72" s="1"/>
  <c r="AD38"/>
  <c r="AC38"/>
  <c r="AD37"/>
  <c r="AH37" s="1"/>
  <c r="AC37"/>
  <c r="AO36"/>
  <c r="AM36" s="1"/>
  <c r="AD36"/>
  <c r="AC36"/>
  <c r="V36"/>
  <c r="AO35"/>
  <c r="AM35" s="1"/>
  <c r="AD35"/>
  <c r="AC35"/>
  <c r="V35"/>
  <c r="Z63" s="1"/>
  <c r="D63" s="1"/>
  <c r="D70" s="1"/>
  <c r="AO34"/>
  <c r="AM34" s="1"/>
  <c r="AD34"/>
  <c r="AC34"/>
  <c r="V34"/>
  <c r="AA65" s="1"/>
  <c r="F65" s="1"/>
  <c r="AO33"/>
  <c r="AM33" s="1"/>
  <c r="AD33"/>
  <c r="AC33"/>
  <c r="AL33" s="1"/>
  <c r="V33"/>
  <c r="AD32"/>
  <c r="AC32"/>
  <c r="AD31"/>
  <c r="AH31" s="1"/>
  <c r="AC31"/>
  <c r="AO30"/>
  <c r="AM30" s="1"/>
  <c r="AD30"/>
  <c r="AC30"/>
  <c r="V30"/>
  <c r="Z62" s="1"/>
  <c r="D62" s="1"/>
  <c r="F73" s="1"/>
  <c r="AO29"/>
  <c r="AM29" s="1"/>
  <c r="AD29"/>
  <c r="AH29" s="1"/>
  <c r="AC29"/>
  <c r="AG29" s="1"/>
  <c r="V29"/>
  <c r="AA60" s="1"/>
  <c r="F60" s="1"/>
  <c r="F71" s="1"/>
  <c r="AO28"/>
  <c r="AM28" s="1"/>
  <c r="AD28"/>
  <c r="AH28" s="1"/>
  <c r="AC28"/>
  <c r="V28"/>
  <c r="AO27"/>
  <c r="AM27" s="1"/>
  <c r="AD27"/>
  <c r="AH27" s="1"/>
  <c r="AC27"/>
  <c r="AG27" s="1"/>
  <c r="V27"/>
  <c r="AD26"/>
  <c r="AH26" s="1"/>
  <c r="AC26"/>
  <c r="AD25"/>
  <c r="AH25" s="1"/>
  <c r="AC25"/>
  <c r="AO24"/>
  <c r="AM24" s="1"/>
  <c r="AD24"/>
  <c r="AH24" s="1"/>
  <c r="AC24"/>
  <c r="V24"/>
  <c r="AO23"/>
  <c r="AM23" s="1"/>
  <c r="AD23"/>
  <c r="AH23" s="1"/>
  <c r="AC23"/>
  <c r="V23"/>
  <c r="AO22"/>
  <c r="AM22" s="1"/>
  <c r="AD22"/>
  <c r="AH22" s="1"/>
  <c r="AC22"/>
  <c r="AG22" s="1"/>
  <c r="V22"/>
  <c r="AA62" s="1"/>
  <c r="F62" s="1"/>
  <c r="AO21"/>
  <c r="AM21" s="1"/>
  <c r="AD21"/>
  <c r="AH21" s="1"/>
  <c r="AC21"/>
  <c r="V21"/>
  <c r="Z60" s="1"/>
  <c r="D60" s="1"/>
  <c r="AD20"/>
  <c r="AH20" s="1"/>
  <c r="AC20"/>
  <c r="AG20" s="1"/>
  <c r="AD19"/>
  <c r="AC19"/>
  <c r="AO18"/>
  <c r="AM18" s="1"/>
  <c r="AD18"/>
  <c r="AH18" s="1"/>
  <c r="AC18"/>
  <c r="AG18" s="1"/>
  <c r="V18"/>
  <c r="AO17"/>
  <c r="AM17" s="1"/>
  <c r="AD17"/>
  <c r="AH17" s="1"/>
  <c r="AC17"/>
  <c r="AG17" s="1"/>
  <c r="V17"/>
  <c r="AO16"/>
  <c r="AM16" s="1"/>
  <c r="AD16"/>
  <c r="AH16" s="1"/>
  <c r="AC16"/>
  <c r="V16"/>
  <c r="AA59" s="1"/>
  <c r="F59" s="1"/>
  <c r="D71" s="1"/>
  <c r="F77" s="1"/>
  <c r="D86" s="1"/>
  <c r="E89" s="1"/>
  <c r="AO15"/>
  <c r="AM15" s="1"/>
  <c r="AD15"/>
  <c r="AH15" s="1"/>
  <c r="AC15"/>
  <c r="V15"/>
  <c r="Z61" s="1"/>
  <c r="D61" s="1"/>
  <c r="D73" s="1"/>
  <c r="F78" s="1"/>
  <c r="F86" s="1"/>
  <c r="E90" s="1"/>
  <c r="AD14"/>
  <c r="AH14" s="1"/>
  <c r="AC14"/>
  <c r="AL14" s="1"/>
  <c r="AD13"/>
  <c r="AC13"/>
  <c r="AO12"/>
  <c r="AM12" s="1"/>
  <c r="AD12"/>
  <c r="AH12" s="1"/>
  <c r="AC12"/>
  <c r="V12"/>
  <c r="AA61" s="1"/>
  <c r="F61" s="1"/>
  <c r="AO11"/>
  <c r="AM11" s="1"/>
  <c r="AD11"/>
  <c r="AH11" s="1"/>
  <c r="AC11"/>
  <c r="AL11" s="1"/>
  <c r="V11"/>
  <c r="AO10"/>
  <c r="AM10" s="1"/>
  <c r="AD10"/>
  <c r="AH10" s="1"/>
  <c r="AC10"/>
  <c r="AL10" s="1"/>
  <c r="V10"/>
  <c r="AO9"/>
  <c r="AM9" s="1"/>
  <c r="AD9"/>
  <c r="AH9" s="1"/>
  <c r="AC9"/>
  <c r="AG9" s="1"/>
  <c r="V9"/>
  <c r="Z59" s="1"/>
  <c r="D59" s="1"/>
  <c r="AD8"/>
  <c r="AH8" s="1"/>
  <c r="AC8"/>
  <c r="N3"/>
  <c r="C91" i="22" s="1"/>
  <c r="X98" i="7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AK77" s="1"/>
  <c r="X77"/>
  <c r="X76"/>
  <c r="X75"/>
  <c r="X74"/>
  <c r="AD73"/>
  <c r="AH73" s="1"/>
  <c r="AC73"/>
  <c r="X73"/>
  <c r="AD72"/>
  <c r="AH72" s="1"/>
  <c r="AC72"/>
  <c r="X72"/>
  <c r="AD71"/>
  <c r="AH71" s="1"/>
  <c r="AC71"/>
  <c r="X71"/>
  <c r="AD70"/>
  <c r="AH70" s="1"/>
  <c r="AC70"/>
  <c r="X70"/>
  <c r="X69"/>
  <c r="AZ68"/>
  <c r="X68"/>
  <c r="AZ67"/>
  <c r="X67"/>
  <c r="AZ66"/>
  <c r="AD66"/>
  <c r="AH66" s="1"/>
  <c r="AC66"/>
  <c r="X66"/>
  <c r="AZ65"/>
  <c r="AD65"/>
  <c r="AH65" s="1"/>
  <c r="AC65"/>
  <c r="X65"/>
  <c r="AZ64"/>
  <c r="AD64"/>
  <c r="AH64" s="1"/>
  <c r="AC64"/>
  <c r="X64"/>
  <c r="AZ63"/>
  <c r="AD63"/>
  <c r="AH63" s="1"/>
  <c r="AC63"/>
  <c r="X63"/>
  <c r="AZ62"/>
  <c r="AD62"/>
  <c r="AH62" s="1"/>
  <c r="AC62"/>
  <c r="X62"/>
  <c r="AZ61"/>
  <c r="AD61"/>
  <c r="AH61" s="1"/>
  <c r="AC61"/>
  <c r="X61"/>
  <c r="AZ60"/>
  <c r="AD60"/>
  <c r="AC60"/>
  <c r="X60"/>
  <c r="AZ59"/>
  <c r="AD59"/>
  <c r="AC59"/>
  <c r="X59"/>
  <c r="AZ58"/>
  <c r="BA68" s="1"/>
  <c r="BB68" s="1"/>
  <c r="AA58"/>
  <c r="Z58"/>
  <c r="X58"/>
  <c r="AD55"/>
  <c r="AH55" s="1"/>
  <c r="AC55"/>
  <c r="AO54"/>
  <c r="AM54" s="1"/>
  <c r="AD54"/>
  <c r="AC54"/>
  <c r="V54"/>
  <c r="AA64" s="1"/>
  <c r="F64" s="1"/>
  <c r="AO53"/>
  <c r="AM53" s="1"/>
  <c r="AD53"/>
  <c r="AK53" s="1"/>
  <c r="AC53"/>
  <c r="V53"/>
  <c r="AO52"/>
  <c r="AM52" s="1"/>
  <c r="AD52"/>
  <c r="AC52"/>
  <c r="V52"/>
  <c r="AO51"/>
  <c r="AM51" s="1"/>
  <c r="AD51"/>
  <c r="AC51"/>
  <c r="V51"/>
  <c r="Z66" s="1"/>
  <c r="D66" s="1"/>
  <c r="AD50"/>
  <c r="AC50"/>
  <c r="AD49"/>
  <c r="AH49" s="1"/>
  <c r="AC49"/>
  <c r="AO48"/>
  <c r="AM48" s="1"/>
  <c r="AD48"/>
  <c r="AC48"/>
  <c r="V48"/>
  <c r="AO47"/>
  <c r="AM47" s="1"/>
  <c r="AD47"/>
  <c r="AC47"/>
  <c r="V47"/>
  <c r="AO46"/>
  <c r="AM46"/>
  <c r="AD46"/>
  <c r="AC46"/>
  <c r="V46"/>
  <c r="AA66" s="1"/>
  <c r="F66" s="1"/>
  <c r="F72" s="1"/>
  <c r="AO45"/>
  <c r="AM45" s="1"/>
  <c r="AD45"/>
  <c r="AC45"/>
  <c r="V45"/>
  <c r="Z64" s="1"/>
  <c r="D64" s="1"/>
  <c r="F70" s="1"/>
  <c r="D77" s="1"/>
  <c r="D82" s="1"/>
  <c r="E91" s="1"/>
  <c r="AD44"/>
  <c r="AC44"/>
  <c r="AD43"/>
  <c r="AH43" s="1"/>
  <c r="AC43"/>
  <c r="AO42"/>
  <c r="AM42" s="1"/>
  <c r="AD42"/>
  <c r="AC42"/>
  <c r="V42"/>
  <c r="AA63" s="1"/>
  <c r="F63" s="1"/>
  <c r="AO41"/>
  <c r="AM41" s="1"/>
  <c r="AD41"/>
  <c r="AC41"/>
  <c r="V41"/>
  <c r="AO40"/>
  <c r="AM40" s="1"/>
  <c r="AD40"/>
  <c r="AC40"/>
  <c r="V40"/>
  <c r="AO39"/>
  <c r="AM39" s="1"/>
  <c r="AD39"/>
  <c r="AC39"/>
  <c r="V39"/>
  <c r="Z65" s="1"/>
  <c r="D65" s="1"/>
  <c r="D72" s="1"/>
  <c r="D78" s="1"/>
  <c r="F86" s="1"/>
  <c r="E90" s="1"/>
  <c r="AD38"/>
  <c r="AC38"/>
  <c r="AD37"/>
  <c r="AH37" s="1"/>
  <c r="AC37"/>
  <c r="AO36"/>
  <c r="AM36" s="1"/>
  <c r="AD36"/>
  <c r="AC36"/>
  <c r="V36"/>
  <c r="AO35"/>
  <c r="AM35"/>
  <c r="AD35"/>
  <c r="AC35"/>
  <c r="V35"/>
  <c r="Z63" s="1"/>
  <c r="D63" s="1"/>
  <c r="D70" s="1"/>
  <c r="AO34"/>
  <c r="AM34" s="1"/>
  <c r="AD34"/>
  <c r="AC34"/>
  <c r="V34"/>
  <c r="AA65" s="1"/>
  <c r="F65" s="1"/>
  <c r="AO33"/>
  <c r="AM33" s="1"/>
  <c r="AD33"/>
  <c r="AC33"/>
  <c r="V33"/>
  <c r="AD32"/>
  <c r="AC32"/>
  <c r="AD31"/>
  <c r="AH31" s="1"/>
  <c r="AC31"/>
  <c r="AO30"/>
  <c r="AM30" s="1"/>
  <c r="AD30"/>
  <c r="AC30"/>
  <c r="V30"/>
  <c r="AA60" s="1"/>
  <c r="F60" s="1"/>
  <c r="F71" s="1"/>
  <c r="AO29"/>
  <c r="AM29" s="1"/>
  <c r="AD29"/>
  <c r="AC29"/>
  <c r="V29"/>
  <c r="Z62" s="1"/>
  <c r="D62" s="1"/>
  <c r="F73" s="1"/>
  <c r="AO28"/>
  <c r="AM28" s="1"/>
  <c r="AD28"/>
  <c r="AC28"/>
  <c r="V28"/>
  <c r="AO27"/>
  <c r="AM27" s="1"/>
  <c r="AD27"/>
  <c r="AC27"/>
  <c r="V27"/>
  <c r="AD26"/>
  <c r="AC26"/>
  <c r="AD25"/>
  <c r="AH25" s="1"/>
  <c r="AC25"/>
  <c r="AO24"/>
  <c r="AM24" s="1"/>
  <c r="AD24"/>
  <c r="AC24"/>
  <c r="V24"/>
  <c r="AO23"/>
  <c r="AM23" s="1"/>
  <c r="AD23"/>
  <c r="AC23"/>
  <c r="V23"/>
  <c r="AO22"/>
  <c r="AM22" s="1"/>
  <c r="AD22"/>
  <c r="AC22"/>
  <c r="V22"/>
  <c r="AA62" s="1"/>
  <c r="F62" s="1"/>
  <c r="AO21"/>
  <c r="AM21" s="1"/>
  <c r="AD21"/>
  <c r="AH21" s="1"/>
  <c r="AC21"/>
  <c r="V21"/>
  <c r="Z60" s="1"/>
  <c r="D60" s="1"/>
  <c r="AD20"/>
  <c r="AH20" s="1"/>
  <c r="AC20"/>
  <c r="AD19"/>
  <c r="AH19" s="1"/>
  <c r="AC19"/>
  <c r="AO18"/>
  <c r="AM18" s="1"/>
  <c r="AD18"/>
  <c r="AH18" s="1"/>
  <c r="AC18"/>
  <c r="AG18" s="1"/>
  <c r="V18"/>
  <c r="AO17"/>
  <c r="AM17" s="1"/>
  <c r="AD17"/>
  <c r="AH17" s="1"/>
  <c r="AC17"/>
  <c r="V17"/>
  <c r="AO16"/>
  <c r="AM16" s="1"/>
  <c r="AD16"/>
  <c r="AH16" s="1"/>
  <c r="AC16"/>
  <c r="AG16" s="1"/>
  <c r="V16"/>
  <c r="AA59" s="1"/>
  <c r="F59" s="1"/>
  <c r="AO15"/>
  <c r="AM15" s="1"/>
  <c r="AD15"/>
  <c r="AH15" s="1"/>
  <c r="AC15"/>
  <c r="V15"/>
  <c r="Z61" s="1"/>
  <c r="D61" s="1"/>
  <c r="D73" s="1"/>
  <c r="F78" s="1"/>
  <c r="F82" s="1"/>
  <c r="E92" s="1"/>
  <c r="AD14"/>
  <c r="AH14" s="1"/>
  <c r="AC14"/>
  <c r="AD13"/>
  <c r="AH13" s="1"/>
  <c r="AC13"/>
  <c r="AO12"/>
  <c r="AM12" s="1"/>
  <c r="AD12"/>
  <c r="AC12"/>
  <c r="V12"/>
  <c r="AO11"/>
  <c r="AM11" s="1"/>
  <c r="AD11"/>
  <c r="AC11"/>
  <c r="V11"/>
  <c r="AA61" s="1"/>
  <c r="F61" s="1"/>
  <c r="AO10"/>
  <c r="AM10" s="1"/>
  <c r="AD10"/>
  <c r="AC10"/>
  <c r="V10"/>
  <c r="AO9"/>
  <c r="AM9" s="1"/>
  <c r="AD9"/>
  <c r="AC9"/>
  <c r="AG9" s="1"/>
  <c r="V9"/>
  <c r="Z59" s="1"/>
  <c r="D59" s="1"/>
  <c r="D71" s="1"/>
  <c r="F77" s="1"/>
  <c r="D86" s="1"/>
  <c r="E89" s="1"/>
  <c r="AD8"/>
  <c r="AC8"/>
  <c r="N3"/>
  <c r="C11" i="22" s="1"/>
  <c r="X98" i="6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C77"/>
  <c r="X77"/>
  <c r="X76"/>
  <c r="X75"/>
  <c r="X74"/>
  <c r="AD73"/>
  <c r="AC73"/>
  <c r="X73"/>
  <c r="AD72"/>
  <c r="AH72" s="1"/>
  <c r="AC72"/>
  <c r="X72"/>
  <c r="AD71"/>
  <c r="AC71"/>
  <c r="X71"/>
  <c r="AD70"/>
  <c r="AH70" s="1"/>
  <c r="AC70"/>
  <c r="X70"/>
  <c r="X69"/>
  <c r="AZ68"/>
  <c r="X68"/>
  <c r="AZ67"/>
  <c r="X67"/>
  <c r="AZ66"/>
  <c r="AD66"/>
  <c r="AC66"/>
  <c r="X66"/>
  <c r="AZ65"/>
  <c r="AD65"/>
  <c r="AC65"/>
  <c r="X65"/>
  <c r="AZ64"/>
  <c r="AD64"/>
  <c r="AC64"/>
  <c r="X64"/>
  <c r="AZ63"/>
  <c r="AD63"/>
  <c r="AC63"/>
  <c r="AL63" s="1"/>
  <c r="X63"/>
  <c r="AZ62"/>
  <c r="AD62"/>
  <c r="AC62"/>
  <c r="X62"/>
  <c r="AZ61"/>
  <c r="AD61"/>
  <c r="AC61"/>
  <c r="Z61"/>
  <c r="D61" s="1"/>
  <c r="D73" s="1"/>
  <c r="F78" s="1"/>
  <c r="F86" s="1"/>
  <c r="E90" s="1"/>
  <c r="X61"/>
  <c r="AZ60"/>
  <c r="AD60"/>
  <c r="AH60" s="1"/>
  <c r="AC60"/>
  <c r="X60"/>
  <c r="AZ59"/>
  <c r="AD59"/>
  <c r="AH59" s="1"/>
  <c r="AC59"/>
  <c r="Z59"/>
  <c r="D59" s="1"/>
  <c r="D71" s="1"/>
  <c r="F77" s="1"/>
  <c r="D86" s="1"/>
  <c r="E89" s="1"/>
  <c r="X59"/>
  <c r="AZ58"/>
  <c r="BA64" s="1"/>
  <c r="BB64" s="1"/>
  <c r="AA58"/>
  <c r="Z58"/>
  <c r="X58"/>
  <c r="AD55"/>
  <c r="AH55" s="1"/>
  <c r="AC55"/>
  <c r="AO54"/>
  <c r="AM54" s="1"/>
  <c r="AD54"/>
  <c r="AH54" s="1"/>
  <c r="AC54"/>
  <c r="V54"/>
  <c r="AO53"/>
  <c r="AM53" s="1"/>
  <c r="AD53"/>
  <c r="AC53"/>
  <c r="V53"/>
  <c r="AA64" s="1"/>
  <c r="F64" s="1"/>
  <c r="AO52"/>
  <c r="AM52" s="1"/>
  <c r="AD52"/>
  <c r="AC52"/>
  <c r="V52"/>
  <c r="AO51"/>
  <c r="AM51" s="1"/>
  <c r="AD51"/>
  <c r="AC51"/>
  <c r="V51"/>
  <c r="Z66" s="1"/>
  <c r="D66" s="1"/>
  <c r="AD50"/>
  <c r="AC50"/>
  <c r="AD49"/>
  <c r="AH49" s="1"/>
  <c r="AC49"/>
  <c r="AO48"/>
  <c r="AM48" s="1"/>
  <c r="AD48"/>
  <c r="AC48"/>
  <c r="V48"/>
  <c r="AO47"/>
  <c r="AM47" s="1"/>
  <c r="AD47"/>
  <c r="AC47"/>
  <c r="V47"/>
  <c r="AO46"/>
  <c r="AM46" s="1"/>
  <c r="AD46"/>
  <c r="AC46"/>
  <c r="V46"/>
  <c r="AA66" s="1"/>
  <c r="F66" s="1"/>
  <c r="F72" s="1"/>
  <c r="AO45"/>
  <c r="AM45" s="1"/>
  <c r="AD45"/>
  <c r="AC45"/>
  <c r="V45"/>
  <c r="Z64" s="1"/>
  <c r="D64" s="1"/>
  <c r="F70" s="1"/>
  <c r="D77" s="1"/>
  <c r="D82" s="1"/>
  <c r="E91" s="1"/>
  <c r="AD44"/>
  <c r="AC44"/>
  <c r="AD43"/>
  <c r="AH43" s="1"/>
  <c r="AC43"/>
  <c r="AO42"/>
  <c r="AM42" s="1"/>
  <c r="AD42"/>
  <c r="AC42"/>
  <c r="V42"/>
  <c r="AA63" s="1"/>
  <c r="F63" s="1"/>
  <c r="AO41"/>
  <c r="AM41" s="1"/>
  <c r="AD41"/>
  <c r="AC41"/>
  <c r="V41"/>
  <c r="AO40"/>
  <c r="AM40" s="1"/>
  <c r="AD40"/>
  <c r="AC40"/>
  <c r="V40"/>
  <c r="AO39"/>
  <c r="AM39" s="1"/>
  <c r="AD39"/>
  <c r="AC39"/>
  <c r="V39"/>
  <c r="Z65" s="1"/>
  <c r="D65" s="1"/>
  <c r="D72" s="1"/>
  <c r="D78" s="1"/>
  <c r="F82" s="1"/>
  <c r="E92" s="1"/>
  <c r="AD38"/>
  <c r="AC38"/>
  <c r="AD37"/>
  <c r="AH37" s="1"/>
  <c r="AC37"/>
  <c r="AO36"/>
  <c r="AM36" s="1"/>
  <c r="AD36"/>
  <c r="AC36"/>
  <c r="V36"/>
  <c r="AO35"/>
  <c r="AM35" s="1"/>
  <c r="AD35"/>
  <c r="AC35"/>
  <c r="V35"/>
  <c r="Z63" s="1"/>
  <c r="D63" s="1"/>
  <c r="D70" s="1"/>
  <c r="AO34"/>
  <c r="AM34" s="1"/>
  <c r="AD34"/>
  <c r="AC34"/>
  <c r="V34"/>
  <c r="AO33"/>
  <c r="AM33" s="1"/>
  <c r="AD33"/>
  <c r="AC33"/>
  <c r="AL33" s="1"/>
  <c r="V33"/>
  <c r="AA65" s="1"/>
  <c r="F65" s="1"/>
  <c r="AD32"/>
  <c r="AC32"/>
  <c r="AD31"/>
  <c r="AH31" s="1"/>
  <c r="AC31"/>
  <c r="AO30"/>
  <c r="AM30" s="1"/>
  <c r="AD30"/>
  <c r="AC30"/>
  <c r="V30"/>
  <c r="AA60" s="1"/>
  <c r="F60" s="1"/>
  <c r="F71" s="1"/>
  <c r="AO29"/>
  <c r="AM29" s="1"/>
  <c r="AD29"/>
  <c r="AC29"/>
  <c r="V29"/>
  <c r="AO28"/>
  <c r="AM28" s="1"/>
  <c r="AD28"/>
  <c r="AC28"/>
  <c r="V28"/>
  <c r="AO27"/>
  <c r="AM27" s="1"/>
  <c r="AD27"/>
  <c r="AC27"/>
  <c r="V27"/>
  <c r="Z62" s="1"/>
  <c r="D62" s="1"/>
  <c r="F73" s="1"/>
  <c r="AD26"/>
  <c r="AH26" s="1"/>
  <c r="AC26"/>
  <c r="AD25"/>
  <c r="AH25" s="1"/>
  <c r="AC25"/>
  <c r="AO24"/>
  <c r="AM24" s="1"/>
  <c r="AD24"/>
  <c r="AH24" s="1"/>
  <c r="AC24"/>
  <c r="V24"/>
  <c r="AO23"/>
  <c r="AM23" s="1"/>
  <c r="AD23"/>
  <c r="AH23" s="1"/>
  <c r="AC23"/>
  <c r="AG23" s="1"/>
  <c r="V23"/>
  <c r="AO22"/>
  <c r="AM22" s="1"/>
  <c r="AD22"/>
  <c r="AH22" s="1"/>
  <c r="AC22"/>
  <c r="AG22" s="1"/>
  <c r="V22"/>
  <c r="AA62" s="1"/>
  <c r="F62" s="1"/>
  <c r="AO21"/>
  <c r="AM21" s="1"/>
  <c r="AD21"/>
  <c r="AH21" s="1"/>
  <c r="AC21"/>
  <c r="AG21" s="1"/>
  <c r="V21"/>
  <c r="Z60" s="1"/>
  <c r="D60" s="1"/>
  <c r="AD20"/>
  <c r="AH20" s="1"/>
  <c r="AC20"/>
  <c r="AD19"/>
  <c r="AH19" s="1"/>
  <c r="AC19"/>
  <c r="AL19" s="1"/>
  <c r="AO18"/>
  <c r="AM18" s="1"/>
  <c r="AD18"/>
  <c r="AH18" s="1"/>
  <c r="AC18"/>
  <c r="AG18" s="1"/>
  <c r="V18"/>
  <c r="AO17"/>
  <c r="AM17" s="1"/>
  <c r="AD17"/>
  <c r="AH17" s="1"/>
  <c r="AC17"/>
  <c r="V17"/>
  <c r="AA59" s="1"/>
  <c r="F59" s="1"/>
  <c r="AO16"/>
  <c r="AM16" s="1"/>
  <c r="AD16"/>
  <c r="AH16" s="1"/>
  <c r="AC16"/>
  <c r="V16"/>
  <c r="AO15"/>
  <c r="AM15" s="1"/>
  <c r="AD15"/>
  <c r="AH15" s="1"/>
  <c r="AC15"/>
  <c r="V15"/>
  <c r="AD14"/>
  <c r="AH14" s="1"/>
  <c r="AC14"/>
  <c r="AL14" s="1"/>
  <c r="AD13"/>
  <c r="AC13"/>
  <c r="AO12"/>
  <c r="AM12" s="1"/>
  <c r="AD12"/>
  <c r="AH12" s="1"/>
  <c r="AC12"/>
  <c r="V12"/>
  <c r="AO11"/>
  <c r="AM11" s="1"/>
  <c r="AD11"/>
  <c r="AH11" s="1"/>
  <c r="AC11"/>
  <c r="V11"/>
  <c r="AA61" s="1"/>
  <c r="F61" s="1"/>
  <c r="AO10"/>
  <c r="AM10" s="1"/>
  <c r="AD10"/>
  <c r="AH10" s="1"/>
  <c r="AC10"/>
  <c r="V10"/>
  <c r="AO9"/>
  <c r="AM9" s="1"/>
  <c r="AD9"/>
  <c r="AH9" s="1"/>
  <c r="AC9"/>
  <c r="V9"/>
  <c r="AD8"/>
  <c r="AH8" s="1"/>
  <c r="AC8"/>
  <c r="N3"/>
  <c r="X98" i="5"/>
  <c r="X97"/>
  <c r="X96"/>
  <c r="X95"/>
  <c r="X94"/>
  <c r="X93"/>
  <c r="X92"/>
  <c r="X91"/>
  <c r="X90"/>
  <c r="X89"/>
  <c r="X88"/>
  <c r="X87"/>
  <c r="AD86"/>
  <c r="AH86" s="1"/>
  <c r="AC86"/>
  <c r="X86"/>
  <c r="X85"/>
  <c r="X84"/>
  <c r="X83"/>
  <c r="AD82"/>
  <c r="AH82" s="1"/>
  <c r="AC82"/>
  <c r="X82"/>
  <c r="X81"/>
  <c r="X80"/>
  <c r="X79"/>
  <c r="AD78"/>
  <c r="AH78" s="1"/>
  <c r="AC78"/>
  <c r="X78"/>
  <c r="AD77"/>
  <c r="AH77" s="1"/>
  <c r="AC77"/>
  <c r="X77"/>
  <c r="X76"/>
  <c r="X75"/>
  <c r="X74"/>
  <c r="AD73"/>
  <c r="AH73" s="1"/>
  <c r="AC73"/>
  <c r="X73"/>
  <c r="AD72"/>
  <c r="AH72" s="1"/>
  <c r="AC72"/>
  <c r="X72"/>
  <c r="AD71"/>
  <c r="AH71" s="1"/>
  <c r="AC71"/>
  <c r="X71"/>
  <c r="AD70"/>
  <c r="AH70" s="1"/>
  <c r="AC70"/>
  <c r="X70"/>
  <c r="X69"/>
  <c r="AZ68"/>
  <c r="X68"/>
  <c r="AZ67"/>
  <c r="X67"/>
  <c r="AZ66"/>
  <c r="AD66"/>
  <c r="AH66" s="1"/>
  <c r="AC66"/>
  <c r="X66"/>
  <c r="AZ65"/>
  <c r="AD65"/>
  <c r="AH65" s="1"/>
  <c r="AC65"/>
  <c r="X65"/>
  <c r="AZ64"/>
  <c r="AD64"/>
  <c r="AH64" s="1"/>
  <c r="AC64"/>
  <c r="X64"/>
  <c r="AZ63"/>
  <c r="AD63"/>
  <c r="AH63" s="1"/>
  <c r="AC63"/>
  <c r="X63"/>
  <c r="AZ62"/>
  <c r="AD62"/>
  <c r="AH62" s="1"/>
  <c r="AC62"/>
  <c r="X62"/>
  <c r="BA61"/>
  <c r="BB61" s="1"/>
  <c r="AZ61"/>
  <c r="AD61"/>
  <c r="AH61" s="1"/>
  <c r="AC61"/>
  <c r="X61"/>
  <c r="BA60"/>
  <c r="BB60" s="1"/>
  <c r="AZ60"/>
  <c r="AD60"/>
  <c r="AH60" s="1"/>
  <c r="AC60"/>
  <c r="AK60" s="1"/>
  <c r="X60"/>
  <c r="BA59"/>
  <c r="BB59" s="1"/>
  <c r="AZ59"/>
  <c r="AD59"/>
  <c r="AH59" s="1"/>
  <c r="AC59"/>
  <c r="X59"/>
  <c r="BA58"/>
  <c r="AZ58"/>
  <c r="BA68" s="1"/>
  <c r="BB68" s="1"/>
  <c r="AA58"/>
  <c r="Z58"/>
  <c r="X58"/>
  <c r="AD55"/>
  <c r="AH55" s="1"/>
  <c r="AC55"/>
  <c r="AO54"/>
  <c r="AM54" s="1"/>
  <c r="AD54"/>
  <c r="AH54" s="1"/>
  <c r="AC54"/>
  <c r="V54"/>
  <c r="AO53"/>
  <c r="AM53" s="1"/>
  <c r="AD53"/>
  <c r="AC53"/>
  <c r="V53"/>
  <c r="AA64" s="1"/>
  <c r="F64" s="1"/>
  <c r="AO52"/>
  <c r="AM52" s="1"/>
  <c r="AD52"/>
  <c r="AC52"/>
  <c r="V52"/>
  <c r="AO51"/>
  <c r="AM51" s="1"/>
  <c r="AD51"/>
  <c r="AC51"/>
  <c r="V51"/>
  <c r="Z66" s="1"/>
  <c r="D66" s="1"/>
  <c r="F72" s="1"/>
  <c r="D78" s="1"/>
  <c r="F86" s="1"/>
  <c r="E90" s="1"/>
  <c r="AD50"/>
  <c r="AC50"/>
  <c r="AL50" s="1"/>
  <c r="AD49"/>
  <c r="AH49" s="1"/>
  <c r="AC49"/>
  <c r="AO48"/>
  <c r="AM48" s="1"/>
  <c r="AD48"/>
  <c r="AC48"/>
  <c r="V48"/>
  <c r="AO47"/>
  <c r="AM47" s="1"/>
  <c r="AD47"/>
  <c r="AC47"/>
  <c r="V47"/>
  <c r="AO46"/>
  <c r="AM46" s="1"/>
  <c r="AD46"/>
  <c r="AK46" s="1"/>
  <c r="AC46"/>
  <c r="V46"/>
  <c r="AA66" s="1"/>
  <c r="F66" s="1"/>
  <c r="AO45"/>
  <c r="AM45" s="1"/>
  <c r="AD45"/>
  <c r="AC45"/>
  <c r="V45"/>
  <c r="Z64" s="1"/>
  <c r="D64" s="1"/>
  <c r="F70" s="1"/>
  <c r="D77" s="1"/>
  <c r="D86" s="1"/>
  <c r="E89" s="1"/>
  <c r="AD44"/>
  <c r="AC44"/>
  <c r="AD43"/>
  <c r="AH43" s="1"/>
  <c r="AC43"/>
  <c r="AO42"/>
  <c r="AM42" s="1"/>
  <c r="AD42"/>
  <c r="AC42"/>
  <c r="V42"/>
  <c r="AA63" s="1"/>
  <c r="F63" s="1"/>
  <c r="AO41"/>
  <c r="AM41" s="1"/>
  <c r="AD41"/>
  <c r="AC41"/>
  <c r="V41"/>
  <c r="AO40"/>
  <c r="AM40" s="1"/>
  <c r="AD40"/>
  <c r="AC40"/>
  <c r="V40"/>
  <c r="AO39"/>
  <c r="AM39" s="1"/>
  <c r="AD39"/>
  <c r="AC39"/>
  <c r="V39"/>
  <c r="Z65" s="1"/>
  <c r="D65" s="1"/>
  <c r="D72" s="1"/>
  <c r="AD38"/>
  <c r="AC38"/>
  <c r="AD37"/>
  <c r="AH37" s="1"/>
  <c r="AC37"/>
  <c r="AO36"/>
  <c r="AM36" s="1"/>
  <c r="AD36"/>
  <c r="AC36"/>
  <c r="V36"/>
  <c r="Z63" s="1"/>
  <c r="D63" s="1"/>
  <c r="D70" s="1"/>
  <c r="AO35"/>
  <c r="AM35" s="1"/>
  <c r="AD35"/>
  <c r="AC35"/>
  <c r="V35"/>
  <c r="AA65" s="1"/>
  <c r="F65" s="1"/>
  <c r="AO34"/>
  <c r="AM34" s="1"/>
  <c r="AD34"/>
  <c r="AC34"/>
  <c r="V34"/>
  <c r="AO33"/>
  <c r="AM33" s="1"/>
  <c r="AD33"/>
  <c r="AC33"/>
  <c r="V33"/>
  <c r="AD32"/>
  <c r="AH32" s="1"/>
  <c r="AC32"/>
  <c r="AG32" s="1"/>
  <c r="AD31"/>
  <c r="AH31" s="1"/>
  <c r="AC31"/>
  <c r="AO30"/>
  <c r="AM30" s="1"/>
  <c r="AD30"/>
  <c r="AH30" s="1"/>
  <c r="AC30"/>
  <c r="AG30" s="1"/>
  <c r="V30"/>
  <c r="AA60" s="1"/>
  <c r="F60" s="1"/>
  <c r="AO29"/>
  <c r="AM29" s="1"/>
  <c r="AD29"/>
  <c r="AH29" s="1"/>
  <c r="AC29"/>
  <c r="V29"/>
  <c r="AO28"/>
  <c r="AM28" s="1"/>
  <c r="AD28"/>
  <c r="AH28" s="1"/>
  <c r="AC28"/>
  <c r="AG28" s="1"/>
  <c r="V28"/>
  <c r="AO27"/>
  <c r="AM27" s="1"/>
  <c r="AD27"/>
  <c r="AH27" s="1"/>
  <c r="AC27"/>
  <c r="V27"/>
  <c r="Z62" s="1"/>
  <c r="D62" s="1"/>
  <c r="F73" s="1"/>
  <c r="AD26"/>
  <c r="AH26" s="1"/>
  <c r="AC26"/>
  <c r="AG26" s="1"/>
  <c r="AD25"/>
  <c r="AC25"/>
  <c r="AO24"/>
  <c r="AM24" s="1"/>
  <c r="AD24"/>
  <c r="AH24" s="1"/>
  <c r="AC24"/>
  <c r="AG24" s="1"/>
  <c r="V24"/>
  <c r="AO23"/>
  <c r="AM23" s="1"/>
  <c r="AD23"/>
  <c r="AH23" s="1"/>
  <c r="AC23"/>
  <c r="V23"/>
  <c r="AA62" s="1"/>
  <c r="F62" s="1"/>
  <c r="AO22"/>
  <c r="AM22" s="1"/>
  <c r="AD22"/>
  <c r="AH22" s="1"/>
  <c r="AC22"/>
  <c r="AG22" s="1"/>
  <c r="V22"/>
  <c r="AO21"/>
  <c r="AM21" s="1"/>
  <c r="AD21"/>
  <c r="AH21" s="1"/>
  <c r="AC21"/>
  <c r="V21"/>
  <c r="Z60" s="1"/>
  <c r="D60" s="1"/>
  <c r="F71" s="1"/>
  <c r="AD20"/>
  <c r="AH20" s="1"/>
  <c r="AC20"/>
  <c r="AG20" s="1"/>
  <c r="AD19"/>
  <c r="AH19" s="1"/>
  <c r="AC19"/>
  <c r="AL19" s="1"/>
  <c r="AO18"/>
  <c r="AM18" s="1"/>
  <c r="AD18"/>
  <c r="AH18" s="1"/>
  <c r="AC18"/>
  <c r="AG18" s="1"/>
  <c r="V18"/>
  <c r="AO17"/>
  <c r="AM17" s="1"/>
  <c r="AD17"/>
  <c r="AH17" s="1"/>
  <c r="AC17"/>
  <c r="V17"/>
  <c r="AA59" s="1"/>
  <c r="F59" s="1"/>
  <c r="AO16"/>
  <c r="AM16" s="1"/>
  <c r="AD16"/>
  <c r="AH16" s="1"/>
  <c r="AC16"/>
  <c r="AG16" s="1"/>
  <c r="V16"/>
  <c r="AO15"/>
  <c r="AM15" s="1"/>
  <c r="AD15"/>
  <c r="AH15" s="1"/>
  <c r="AC15"/>
  <c r="AG15" s="1"/>
  <c r="V15"/>
  <c r="Z61" s="1"/>
  <c r="D61" s="1"/>
  <c r="D73" s="1"/>
  <c r="F78" s="1"/>
  <c r="F82" s="1"/>
  <c r="E92" s="1"/>
  <c r="AD14"/>
  <c r="AH14" s="1"/>
  <c r="AC14"/>
  <c r="AD13"/>
  <c r="AH13" s="1"/>
  <c r="AC13"/>
  <c r="AO12"/>
  <c r="AM12" s="1"/>
  <c r="AD12"/>
  <c r="AH12" s="1"/>
  <c r="AC12"/>
  <c r="V12"/>
  <c r="AO11"/>
  <c r="AM11" s="1"/>
  <c r="AD11"/>
  <c r="AH11" s="1"/>
  <c r="AC11"/>
  <c r="V11"/>
  <c r="AO10"/>
  <c r="AM10" s="1"/>
  <c r="AD10"/>
  <c r="AH10" s="1"/>
  <c r="AC10"/>
  <c r="V10"/>
  <c r="AA61" s="1"/>
  <c r="F61" s="1"/>
  <c r="AO9"/>
  <c r="AM9" s="1"/>
  <c r="AD9"/>
  <c r="AH9" s="1"/>
  <c r="AC9"/>
  <c r="AG9" s="1"/>
  <c r="V9"/>
  <c r="Z59" s="1"/>
  <c r="D59" s="1"/>
  <c r="D71" s="1"/>
  <c r="F77" s="1"/>
  <c r="D82" s="1"/>
  <c r="E91" s="1"/>
  <c r="AD8"/>
  <c r="AH8" s="1"/>
  <c r="AC8"/>
  <c r="N3"/>
  <c r="E92" i="2"/>
  <c r="E91"/>
  <c r="AR91" i="52" s="1"/>
  <c r="E89" i="2"/>
  <c r="AR89" i="3" s="1"/>
  <c r="E90" i="2"/>
  <c r="AR90" i="52" s="1"/>
  <c r="X98" i="1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98" i="4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98" i="3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87" i="2"/>
  <c r="X88"/>
  <c r="X89"/>
  <c r="X90"/>
  <c r="X76"/>
  <c r="X77"/>
  <c r="X78"/>
  <c r="X75"/>
  <c r="X74"/>
  <c r="X73"/>
  <c r="X72"/>
  <c r="X71"/>
  <c r="X59"/>
  <c r="X60"/>
  <c r="X61"/>
  <c r="X62"/>
  <c r="X63"/>
  <c r="Z66" i="4"/>
  <c r="D66" s="1"/>
  <c r="Z65"/>
  <c r="D65" s="1"/>
  <c r="D72" s="1"/>
  <c r="D78" s="1"/>
  <c r="F82" s="1"/>
  <c r="E91" s="1"/>
  <c r="Z64"/>
  <c r="D64" s="1"/>
  <c r="F70" s="1"/>
  <c r="D77" s="1"/>
  <c r="D82" s="1"/>
  <c r="E92" s="1"/>
  <c r="Z61"/>
  <c r="D61" s="1"/>
  <c r="D73" s="1"/>
  <c r="F78" s="1"/>
  <c r="F86" s="1"/>
  <c r="E89" s="1"/>
  <c r="AA58"/>
  <c r="Z58"/>
  <c r="AC65"/>
  <c r="AC64"/>
  <c r="AC63"/>
  <c r="AC62"/>
  <c r="AC61"/>
  <c r="AC60"/>
  <c r="AC59"/>
  <c r="AA59" i="3"/>
  <c r="F59" s="1"/>
  <c r="AA58"/>
  <c r="Z58"/>
  <c r="AA66" i="2"/>
  <c r="F66" s="1"/>
  <c r="Z66"/>
  <c r="D66" s="1"/>
  <c r="AA65"/>
  <c r="F65" s="1"/>
  <c r="Z65"/>
  <c r="D65" s="1"/>
  <c r="AA64"/>
  <c r="F64" s="1"/>
  <c r="Z64"/>
  <c r="AA63"/>
  <c r="F63" s="1"/>
  <c r="Z63"/>
  <c r="D63" s="1"/>
  <c r="AA62"/>
  <c r="F62" s="1"/>
  <c r="Z62"/>
  <c r="D62" s="1"/>
  <c r="AA61"/>
  <c r="F61" s="1"/>
  <c r="Z61"/>
  <c r="D61" s="1"/>
  <c r="AA60"/>
  <c r="F60" s="1"/>
  <c r="Z60"/>
  <c r="D60" s="1"/>
  <c r="AA59"/>
  <c r="F59" s="1"/>
  <c r="D64"/>
  <c r="AA60" i="1"/>
  <c r="F60" s="1"/>
  <c r="AA61"/>
  <c r="F61" s="1"/>
  <c r="AA62"/>
  <c r="F62" s="1"/>
  <c r="AA63"/>
  <c r="F63" s="1"/>
  <c r="AA64"/>
  <c r="F64" s="1"/>
  <c r="AA65"/>
  <c r="F65" s="1"/>
  <c r="AA66"/>
  <c r="F66" s="1"/>
  <c r="AA59"/>
  <c r="F59" s="1"/>
  <c r="Z60"/>
  <c r="D60" s="1"/>
  <c r="Z62"/>
  <c r="D62" s="1"/>
  <c r="Z63"/>
  <c r="D63" s="1"/>
  <c r="Z64"/>
  <c r="D64" s="1"/>
  <c r="Z65"/>
  <c r="D65" s="1"/>
  <c r="Z66"/>
  <c r="D66" s="1"/>
  <c r="V11" i="3"/>
  <c r="AA61" s="1"/>
  <c r="F61" s="1"/>
  <c r="V16"/>
  <c r="L51" i="1"/>
  <c r="D70"/>
  <c r="V15"/>
  <c r="Z61" s="1"/>
  <c r="D61" s="1"/>
  <c r="AD86" i="4"/>
  <c r="AC86"/>
  <c r="AC82"/>
  <c r="AG82" s="1"/>
  <c r="AD82"/>
  <c r="AC78"/>
  <c r="AD78"/>
  <c r="AD77"/>
  <c r="AC77"/>
  <c r="AD73"/>
  <c r="AC73"/>
  <c r="AC72"/>
  <c r="AG72" s="1"/>
  <c r="AD72"/>
  <c r="AD71"/>
  <c r="AC71"/>
  <c r="AC70"/>
  <c r="AG70" s="1"/>
  <c r="AD70"/>
  <c r="AZ68"/>
  <c r="AZ67"/>
  <c r="AZ66"/>
  <c r="AD66"/>
  <c r="AH66" s="1"/>
  <c r="AZ65"/>
  <c r="AD65"/>
  <c r="AZ64"/>
  <c r="AD64"/>
  <c r="AH64" s="1"/>
  <c r="AZ63"/>
  <c r="AD63"/>
  <c r="AH63" s="1"/>
  <c r="AZ62"/>
  <c r="AD62"/>
  <c r="AH62" s="1"/>
  <c r="AZ61"/>
  <c r="AD61"/>
  <c r="AZ60"/>
  <c r="AD60"/>
  <c r="AH60" s="1"/>
  <c r="AZ59"/>
  <c r="AZ58"/>
  <c r="BA59"/>
  <c r="BB59" s="1"/>
  <c r="AD59"/>
  <c r="BA58"/>
  <c r="AD55"/>
  <c r="AC55"/>
  <c r="AO54"/>
  <c r="AM54" s="1"/>
  <c r="AD54"/>
  <c r="AC54"/>
  <c r="V54"/>
  <c r="AO53"/>
  <c r="AM53" s="1"/>
  <c r="AD53"/>
  <c r="AC53"/>
  <c r="V53"/>
  <c r="AA64" s="1"/>
  <c r="F64" s="1"/>
  <c r="AO52"/>
  <c r="AM52" s="1"/>
  <c r="AD52"/>
  <c r="AC52"/>
  <c r="V52"/>
  <c r="AO51"/>
  <c r="AM51" s="1"/>
  <c r="AD51"/>
  <c r="AC51"/>
  <c r="V51"/>
  <c r="AC50"/>
  <c r="AG50" s="1"/>
  <c r="AD50"/>
  <c r="AD49"/>
  <c r="AH49" s="1"/>
  <c r="AC49"/>
  <c r="AO48"/>
  <c r="AM48" s="1"/>
  <c r="AC48"/>
  <c r="AD48"/>
  <c r="AH48" s="1"/>
  <c r="V48"/>
  <c r="AO47"/>
  <c r="AM47" s="1"/>
  <c r="AC47"/>
  <c r="AG47" s="1"/>
  <c r="AD47"/>
  <c r="V47"/>
  <c r="AO46"/>
  <c r="AM46" s="1"/>
  <c r="AC46"/>
  <c r="AD46"/>
  <c r="AH46" s="1"/>
  <c r="V46"/>
  <c r="AA66" s="1"/>
  <c r="F66" s="1"/>
  <c r="F72" s="1"/>
  <c r="AO45"/>
  <c r="AM45" s="1"/>
  <c r="AC45"/>
  <c r="AG45" s="1"/>
  <c r="AD45"/>
  <c r="V45"/>
  <c r="AC44"/>
  <c r="AG44" s="1"/>
  <c r="AD44"/>
  <c r="AD43"/>
  <c r="AC43"/>
  <c r="AO42"/>
  <c r="AM42" s="1"/>
  <c r="AC42"/>
  <c r="AD42"/>
  <c r="AH42" s="1"/>
  <c r="V42"/>
  <c r="AA63" s="1"/>
  <c r="F63" s="1"/>
  <c r="AO41"/>
  <c r="AM41" s="1"/>
  <c r="AC41"/>
  <c r="AD41"/>
  <c r="AH41" s="1"/>
  <c r="V41"/>
  <c r="AO40"/>
  <c r="AM40" s="1"/>
  <c r="AC40"/>
  <c r="AD40"/>
  <c r="AH40" s="1"/>
  <c r="V40"/>
  <c r="AO39"/>
  <c r="AM39" s="1"/>
  <c r="AC39"/>
  <c r="AD39"/>
  <c r="AH39" s="1"/>
  <c r="V39"/>
  <c r="AC38"/>
  <c r="AD38"/>
  <c r="AH38" s="1"/>
  <c r="AD37"/>
  <c r="AC37"/>
  <c r="AO36"/>
  <c r="AM36" s="1"/>
  <c r="AC36"/>
  <c r="AG36" s="1"/>
  <c r="AD36"/>
  <c r="AH36" s="1"/>
  <c r="V36"/>
  <c r="AO35"/>
  <c r="AM35" s="1"/>
  <c r="AC35"/>
  <c r="AG35" s="1"/>
  <c r="AD35"/>
  <c r="V35"/>
  <c r="Z63" s="1"/>
  <c r="D63" s="1"/>
  <c r="D70" s="1"/>
  <c r="AO34"/>
  <c r="AM34" s="1"/>
  <c r="AC34"/>
  <c r="AD34"/>
  <c r="AH34" s="1"/>
  <c r="V34"/>
  <c r="AO33"/>
  <c r="AM33" s="1"/>
  <c r="AC33"/>
  <c r="AG33" s="1"/>
  <c r="AD33"/>
  <c r="AH33" s="1"/>
  <c r="V33"/>
  <c r="AA65" s="1"/>
  <c r="F65" s="1"/>
  <c r="AC32"/>
  <c r="AD32"/>
  <c r="AH32" s="1"/>
  <c r="AD31"/>
  <c r="AC31"/>
  <c r="AO30"/>
  <c r="AM30" s="1"/>
  <c r="AC30"/>
  <c r="AG30" s="1"/>
  <c r="AD30"/>
  <c r="V30"/>
  <c r="AA60" s="1"/>
  <c r="F60" s="1"/>
  <c r="F71" s="1"/>
  <c r="F77" s="1"/>
  <c r="D86" s="1"/>
  <c r="E90" s="1"/>
  <c r="AO29"/>
  <c r="AM29" s="1"/>
  <c r="AC29"/>
  <c r="AD29"/>
  <c r="AH29" s="1"/>
  <c r="V29"/>
  <c r="Z62" s="1"/>
  <c r="D62" s="1"/>
  <c r="F73" s="1"/>
  <c r="AO28"/>
  <c r="AM28" s="1"/>
  <c r="AC28"/>
  <c r="AG28" s="1"/>
  <c r="AD28"/>
  <c r="V28"/>
  <c r="AO27"/>
  <c r="AM27" s="1"/>
  <c r="AC27"/>
  <c r="AD27"/>
  <c r="AH27" s="1"/>
  <c r="V27"/>
  <c r="AC26"/>
  <c r="AD26"/>
  <c r="AH26" s="1"/>
  <c r="AD25"/>
  <c r="AC25"/>
  <c r="AO24"/>
  <c r="AM24" s="1"/>
  <c r="AC24"/>
  <c r="AD24"/>
  <c r="AH24" s="1"/>
  <c r="V24"/>
  <c r="AO23"/>
  <c r="AM23" s="1"/>
  <c r="AC23"/>
  <c r="AG23" s="1"/>
  <c r="AD23"/>
  <c r="V23"/>
  <c r="AA62" s="1"/>
  <c r="F62" s="1"/>
  <c r="AO22"/>
  <c r="AM22" s="1"/>
  <c r="AC22"/>
  <c r="AD22"/>
  <c r="AH22" s="1"/>
  <c r="V22"/>
  <c r="Z60" s="1"/>
  <c r="D60" s="1"/>
  <c r="AO21"/>
  <c r="AM21" s="1"/>
  <c r="AC21"/>
  <c r="AG21" s="1"/>
  <c r="AD21"/>
  <c r="V21"/>
  <c r="AC20"/>
  <c r="AD20"/>
  <c r="AH20" s="1"/>
  <c r="AC19"/>
  <c r="AD19"/>
  <c r="AO18"/>
  <c r="AM18" s="1"/>
  <c r="AC18"/>
  <c r="AD18"/>
  <c r="AH18" s="1"/>
  <c r="V18"/>
  <c r="AO17"/>
  <c r="AM17" s="1"/>
  <c r="AC17"/>
  <c r="AD17"/>
  <c r="AG17"/>
  <c r="V17"/>
  <c r="AO16"/>
  <c r="AM16" s="1"/>
  <c r="AC16"/>
  <c r="AG16" s="1"/>
  <c r="AD16"/>
  <c r="V16"/>
  <c r="AO15"/>
  <c r="AM15" s="1"/>
  <c r="AC15"/>
  <c r="AD15"/>
  <c r="AH15" s="1"/>
  <c r="V15"/>
  <c r="AA59" s="1"/>
  <c r="F59" s="1"/>
  <c r="D71" s="1"/>
  <c r="AC14"/>
  <c r="AG14" s="1"/>
  <c r="AD14"/>
  <c r="AD13"/>
  <c r="AH13" s="1"/>
  <c r="AC13"/>
  <c r="AO12"/>
  <c r="AM12" s="1"/>
  <c r="AC12"/>
  <c r="AD12"/>
  <c r="AH12" s="1"/>
  <c r="V12"/>
  <c r="AO11"/>
  <c r="AM11" s="1"/>
  <c r="AD11"/>
  <c r="AH11" s="1"/>
  <c r="AC11"/>
  <c r="V11"/>
  <c r="AA61" s="1"/>
  <c r="F61" s="1"/>
  <c r="AO10"/>
  <c r="AM10" s="1"/>
  <c r="AC10"/>
  <c r="AD10"/>
  <c r="AH10" s="1"/>
  <c r="V10"/>
  <c r="AO9"/>
  <c r="AM9" s="1"/>
  <c r="AD9"/>
  <c r="AH9" s="1"/>
  <c r="AC9"/>
  <c r="V9"/>
  <c r="Z59" s="1"/>
  <c r="D59" s="1"/>
  <c r="AD8"/>
  <c r="AH8" s="1"/>
  <c r="AC8"/>
  <c r="N3"/>
  <c r="N3" i="3"/>
  <c r="AZ58"/>
  <c r="AZ59"/>
  <c r="AZ60"/>
  <c r="AZ61"/>
  <c r="AZ62"/>
  <c r="AZ63"/>
  <c r="AZ64"/>
  <c r="AZ65"/>
  <c r="AZ66"/>
  <c r="AZ67"/>
  <c r="AZ68"/>
  <c r="X98" i="2"/>
  <c r="X97"/>
  <c r="X96"/>
  <c r="X95"/>
  <c r="X94"/>
  <c r="X93"/>
  <c r="X92"/>
  <c r="X91"/>
  <c r="X86"/>
  <c r="X85"/>
  <c r="X84"/>
  <c r="X83"/>
  <c r="X82"/>
  <c r="X81"/>
  <c r="X80"/>
  <c r="X79"/>
  <c r="X70"/>
  <c r="X69"/>
  <c r="X68"/>
  <c r="X67"/>
  <c r="X66"/>
  <c r="X65"/>
  <c r="X64"/>
  <c r="X58"/>
  <c r="E92" i="1"/>
  <c r="E91"/>
  <c r="AO54" i="3"/>
  <c r="AM54" s="1"/>
  <c r="AO53"/>
  <c r="AM53" s="1"/>
  <c r="AO52"/>
  <c r="AM52" s="1"/>
  <c r="AO51"/>
  <c r="AM51" s="1"/>
  <c r="AO48"/>
  <c r="AM48" s="1"/>
  <c r="AO47"/>
  <c r="AM47" s="1"/>
  <c r="AO46"/>
  <c r="AM46" s="1"/>
  <c r="AO45"/>
  <c r="AM45" s="1"/>
  <c r="AO42"/>
  <c r="AM42" s="1"/>
  <c r="AO41"/>
  <c r="AM41" s="1"/>
  <c r="AO40"/>
  <c r="AM40" s="1"/>
  <c r="AO39"/>
  <c r="AM39" s="1"/>
  <c r="AO36"/>
  <c r="AM36" s="1"/>
  <c r="AO35"/>
  <c r="AM35" s="1"/>
  <c r="AO34"/>
  <c r="AM34" s="1"/>
  <c r="AO33"/>
  <c r="AM33" s="1"/>
  <c r="AO30"/>
  <c r="AM30" s="1"/>
  <c r="AO29"/>
  <c r="AM29" s="1"/>
  <c r="AO28"/>
  <c r="AM28" s="1"/>
  <c r="AO27"/>
  <c r="AM27" s="1"/>
  <c r="AO24"/>
  <c r="AM24" s="1"/>
  <c r="AO23"/>
  <c r="AM23" s="1"/>
  <c r="AO22"/>
  <c r="AM22" s="1"/>
  <c r="AO21"/>
  <c r="AM21" s="1"/>
  <c r="AO18"/>
  <c r="AM18" s="1"/>
  <c r="AO17"/>
  <c r="AM17" s="1"/>
  <c r="AO16"/>
  <c r="AM16" s="1"/>
  <c r="AO15"/>
  <c r="AM15" s="1"/>
  <c r="AO12"/>
  <c r="AM12" s="1"/>
  <c r="AO10"/>
  <c r="AM10" s="1"/>
  <c r="AO11"/>
  <c r="AM11" s="1"/>
  <c r="AO9"/>
  <c r="AM9" s="1"/>
  <c r="AD86"/>
  <c r="AC86"/>
  <c r="AD82"/>
  <c r="AC82"/>
  <c r="AD78"/>
  <c r="AC78"/>
  <c r="AD77"/>
  <c r="AH77" s="1"/>
  <c r="AC77"/>
  <c r="AD73"/>
  <c r="AH73" s="1"/>
  <c r="AC73"/>
  <c r="AD72"/>
  <c r="AC72"/>
  <c r="AG72" s="1"/>
  <c r="AD71"/>
  <c r="AH71" s="1"/>
  <c r="AC71"/>
  <c r="AD70"/>
  <c r="AH70" s="1"/>
  <c r="AC70"/>
  <c r="AD66"/>
  <c r="AH66" s="1"/>
  <c r="AC66"/>
  <c r="AD65"/>
  <c r="AH65" s="1"/>
  <c r="AC65"/>
  <c r="AD64"/>
  <c r="AH64" s="1"/>
  <c r="AC64"/>
  <c r="AD63"/>
  <c r="AH63" s="1"/>
  <c r="AC63"/>
  <c r="AD62"/>
  <c r="AH62" s="1"/>
  <c r="AC62"/>
  <c r="AD61"/>
  <c r="AH61" s="1"/>
  <c r="AC61"/>
  <c r="AD60"/>
  <c r="AH60" s="1"/>
  <c r="AC60"/>
  <c r="AD59"/>
  <c r="AH59" s="1"/>
  <c r="AC59"/>
  <c r="AC42"/>
  <c r="AG42" s="1"/>
  <c r="AD42"/>
  <c r="AC43"/>
  <c r="AG43" s="1"/>
  <c r="AD43"/>
  <c r="AC44"/>
  <c r="AG44" s="1"/>
  <c r="AD44"/>
  <c r="AC45"/>
  <c r="AG45" s="1"/>
  <c r="AD45"/>
  <c r="AC46"/>
  <c r="AG46" s="1"/>
  <c r="AD46"/>
  <c r="AC47"/>
  <c r="AG47" s="1"/>
  <c r="AD47"/>
  <c r="AC48"/>
  <c r="AG48" s="1"/>
  <c r="AD48"/>
  <c r="AC49"/>
  <c r="AG49" s="1"/>
  <c r="AD49"/>
  <c r="AC50"/>
  <c r="AG50" s="1"/>
  <c r="AD50"/>
  <c r="AC51"/>
  <c r="AD51"/>
  <c r="AC52"/>
  <c r="AG52" s="1"/>
  <c r="AD52"/>
  <c r="AC53"/>
  <c r="AD53"/>
  <c r="AH53" s="1"/>
  <c r="AC54"/>
  <c r="AD54"/>
  <c r="AC55"/>
  <c r="AG55" s="1"/>
  <c r="AD55"/>
  <c r="AH55" s="1"/>
  <c r="AC9"/>
  <c r="AD9"/>
  <c r="AC10"/>
  <c r="AD10"/>
  <c r="AC11"/>
  <c r="AD11"/>
  <c r="AC12"/>
  <c r="AG12" s="1"/>
  <c r="AD12"/>
  <c r="AC13"/>
  <c r="AD13"/>
  <c r="AC14"/>
  <c r="AD14"/>
  <c r="AC15"/>
  <c r="AD15"/>
  <c r="AC16"/>
  <c r="AG16" s="1"/>
  <c r="AD16"/>
  <c r="AC17"/>
  <c r="AD17"/>
  <c r="AC18"/>
  <c r="AD18"/>
  <c r="AC19"/>
  <c r="AD19"/>
  <c r="AC20"/>
  <c r="AD20"/>
  <c r="AC21"/>
  <c r="AD21"/>
  <c r="AC22"/>
  <c r="AD22"/>
  <c r="AC23"/>
  <c r="AD23"/>
  <c r="AC24"/>
  <c r="AD24"/>
  <c r="AC25"/>
  <c r="AD25"/>
  <c r="AC26"/>
  <c r="AD26"/>
  <c r="AC27"/>
  <c r="AD27"/>
  <c r="AC28"/>
  <c r="AD28"/>
  <c r="AC29"/>
  <c r="AD29"/>
  <c r="AC30"/>
  <c r="AD30"/>
  <c r="AC31"/>
  <c r="AD31"/>
  <c r="AC32"/>
  <c r="AD32"/>
  <c r="AC33"/>
  <c r="AD33"/>
  <c r="AC34"/>
  <c r="AD34"/>
  <c r="AC35"/>
  <c r="AD35"/>
  <c r="AC36"/>
  <c r="AG36" s="1"/>
  <c r="AD36"/>
  <c r="AC37"/>
  <c r="AG37" s="1"/>
  <c r="AD37"/>
  <c r="AC38"/>
  <c r="AG38" s="1"/>
  <c r="AD38"/>
  <c r="AC39"/>
  <c r="AG39" s="1"/>
  <c r="AD39"/>
  <c r="AC40"/>
  <c r="AG40" s="1"/>
  <c r="AD40"/>
  <c r="AC41"/>
  <c r="AG41" s="1"/>
  <c r="AD41"/>
  <c r="AD8"/>
  <c r="AH8" s="1"/>
  <c r="AC8"/>
  <c r="V54"/>
  <c r="V53"/>
  <c r="Z66" s="1"/>
  <c r="D66" s="1"/>
  <c r="V52"/>
  <c r="AA64" s="1"/>
  <c r="F64" s="1"/>
  <c r="V51"/>
  <c r="V48"/>
  <c r="V47"/>
  <c r="V46"/>
  <c r="Z64" s="1"/>
  <c r="D64" s="1"/>
  <c r="F70" s="1"/>
  <c r="D77" s="1"/>
  <c r="D82" s="1"/>
  <c r="E92" s="1"/>
  <c r="V45"/>
  <c r="AA66" s="1"/>
  <c r="F66" s="1"/>
  <c r="F72" s="1"/>
  <c r="D78" s="1"/>
  <c r="F86" s="1"/>
  <c r="E90" s="1"/>
  <c r="V42"/>
  <c r="AA63" s="1"/>
  <c r="F63" s="1"/>
  <c r="V41"/>
  <c r="V40"/>
  <c r="V39"/>
  <c r="Z65" s="1"/>
  <c r="D65" s="1"/>
  <c r="D72" s="1"/>
  <c r="V36"/>
  <c r="V35"/>
  <c r="Z63" s="1"/>
  <c r="D63" s="1"/>
  <c r="D70" s="1"/>
  <c r="V34"/>
  <c r="AA65" s="1"/>
  <c r="F65" s="1"/>
  <c r="V33"/>
  <c r="V30"/>
  <c r="Z62" s="1"/>
  <c r="D62" s="1"/>
  <c r="F73" s="1"/>
  <c r="V29"/>
  <c r="AA60" s="1"/>
  <c r="F60" s="1"/>
  <c r="F71" s="1"/>
  <c r="V28"/>
  <c r="V27"/>
  <c r="V24"/>
  <c r="AA62" s="1"/>
  <c r="F62" s="1"/>
  <c r="V23"/>
  <c r="V22"/>
  <c r="V21"/>
  <c r="Z60" s="1"/>
  <c r="D60" s="1"/>
  <c r="V18"/>
  <c r="V17"/>
  <c r="V15"/>
  <c r="Z61" s="1"/>
  <c r="D61" s="1"/>
  <c r="D73" s="1"/>
  <c r="F78" s="1"/>
  <c r="F82" s="1"/>
  <c r="E91" s="1"/>
  <c r="V12"/>
  <c r="V10"/>
  <c r="V9"/>
  <c r="Z59" s="1"/>
  <c r="D59" s="1"/>
  <c r="D71" s="1"/>
  <c r="F77" s="1"/>
  <c r="D86" s="1"/>
  <c r="E89" s="1"/>
  <c r="U3" s="1"/>
  <c r="J55" i="1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F72" i="2"/>
  <c r="D72"/>
  <c r="D78"/>
  <c r="F86"/>
  <c r="F70"/>
  <c r="D70"/>
  <c r="D77"/>
  <c r="D82"/>
  <c r="F73"/>
  <c r="F71"/>
  <c r="L55"/>
  <c r="K55"/>
  <c r="J55"/>
  <c r="V54"/>
  <c r="Q54"/>
  <c r="P54"/>
  <c r="L54"/>
  <c r="K54"/>
  <c r="J54"/>
  <c r="V53"/>
  <c r="Q53"/>
  <c r="P53"/>
  <c r="L53"/>
  <c r="K53"/>
  <c r="J53"/>
  <c r="V52"/>
  <c r="Q52"/>
  <c r="P52"/>
  <c r="L52"/>
  <c r="K52"/>
  <c r="J52"/>
  <c r="V51"/>
  <c r="Q51"/>
  <c r="P51"/>
  <c r="L51"/>
  <c r="K51"/>
  <c r="J51"/>
  <c r="L50"/>
  <c r="K50"/>
  <c r="J50"/>
  <c r="L49"/>
  <c r="K49"/>
  <c r="J49"/>
  <c r="V48"/>
  <c r="Q48"/>
  <c r="P48"/>
  <c r="L48"/>
  <c r="K48"/>
  <c r="J48"/>
  <c r="V47"/>
  <c r="Q47"/>
  <c r="P47"/>
  <c r="L47"/>
  <c r="K47"/>
  <c r="J47"/>
  <c r="V46"/>
  <c r="Q46"/>
  <c r="P46"/>
  <c r="L46"/>
  <c r="K46"/>
  <c r="J46"/>
  <c r="V45"/>
  <c r="Q45"/>
  <c r="P45"/>
  <c r="L45"/>
  <c r="K45"/>
  <c r="J45"/>
  <c r="L44"/>
  <c r="K44"/>
  <c r="J44"/>
  <c r="L43"/>
  <c r="K43"/>
  <c r="J43"/>
  <c r="V42"/>
  <c r="Q42"/>
  <c r="P42"/>
  <c r="L42"/>
  <c r="K42"/>
  <c r="J42"/>
  <c r="V41"/>
  <c r="Q41"/>
  <c r="P41"/>
  <c r="L41"/>
  <c r="K41"/>
  <c r="J41"/>
  <c r="V40"/>
  <c r="Q40"/>
  <c r="P40"/>
  <c r="L40"/>
  <c r="K40"/>
  <c r="J40"/>
  <c r="V39"/>
  <c r="Q39"/>
  <c r="P39"/>
  <c r="L39"/>
  <c r="K39"/>
  <c r="J39"/>
  <c r="L38"/>
  <c r="K38"/>
  <c r="J38"/>
  <c r="L37"/>
  <c r="K37"/>
  <c r="J37"/>
  <c r="V36"/>
  <c r="Q36"/>
  <c r="P36"/>
  <c r="L36"/>
  <c r="K36"/>
  <c r="J36"/>
  <c r="V35"/>
  <c r="Q35"/>
  <c r="P35"/>
  <c r="L35"/>
  <c r="K35"/>
  <c r="J35"/>
  <c r="V34"/>
  <c r="Q34"/>
  <c r="P34"/>
  <c r="L34"/>
  <c r="K34"/>
  <c r="J34"/>
  <c r="V33"/>
  <c r="Q33"/>
  <c r="P33"/>
  <c r="L33"/>
  <c r="K33"/>
  <c r="J33"/>
  <c r="L32"/>
  <c r="K32"/>
  <c r="J32"/>
  <c r="L31"/>
  <c r="K31"/>
  <c r="J31"/>
  <c r="V30"/>
  <c r="Q30"/>
  <c r="P30"/>
  <c r="L30"/>
  <c r="K30"/>
  <c r="J30"/>
  <c r="V29"/>
  <c r="Q29"/>
  <c r="P29"/>
  <c r="L29"/>
  <c r="K29"/>
  <c r="J29"/>
  <c r="V28"/>
  <c r="Q28"/>
  <c r="P28"/>
  <c r="L28"/>
  <c r="K28"/>
  <c r="J28"/>
  <c r="V27"/>
  <c r="Q27"/>
  <c r="P27"/>
  <c r="L27"/>
  <c r="K27"/>
  <c r="J27"/>
  <c r="L26"/>
  <c r="K26"/>
  <c r="J26"/>
  <c r="L25"/>
  <c r="K25"/>
  <c r="J25"/>
  <c r="V24"/>
  <c r="Q24"/>
  <c r="P24"/>
  <c r="L24"/>
  <c r="K24"/>
  <c r="S53" s="1"/>
  <c r="J24"/>
  <c r="V23"/>
  <c r="Q23"/>
  <c r="P23"/>
  <c r="L23"/>
  <c r="K23"/>
  <c r="J23"/>
  <c r="V22"/>
  <c r="Q22"/>
  <c r="P22"/>
  <c r="L22"/>
  <c r="S52" s="1"/>
  <c r="K22"/>
  <c r="J22"/>
  <c r="V21"/>
  <c r="Q21"/>
  <c r="P21"/>
  <c r="L21"/>
  <c r="K21"/>
  <c r="S47" s="1"/>
  <c r="J21"/>
  <c r="L20"/>
  <c r="K20"/>
  <c r="J20"/>
  <c r="L19"/>
  <c r="S46"/>
  <c r="K19"/>
  <c r="S45"/>
  <c r="J19"/>
  <c r="V18"/>
  <c r="Q18"/>
  <c r="P18"/>
  <c r="L18"/>
  <c r="S40" s="1"/>
  <c r="K18"/>
  <c r="S39" s="1"/>
  <c r="J18"/>
  <c r="V17"/>
  <c r="Q17"/>
  <c r="P17"/>
  <c r="L17"/>
  <c r="S36"/>
  <c r="K17"/>
  <c r="S35"/>
  <c r="J17"/>
  <c r="V16"/>
  <c r="D73"/>
  <c r="F78"/>
  <c r="F82"/>
  <c r="Q16"/>
  <c r="P16"/>
  <c r="L16"/>
  <c r="K16"/>
  <c r="S33" s="1"/>
  <c r="J16"/>
  <c r="V15"/>
  <c r="Q15"/>
  <c r="P15"/>
  <c r="L15"/>
  <c r="K15"/>
  <c r="S23" s="1"/>
  <c r="J15"/>
  <c r="L14"/>
  <c r="K14"/>
  <c r="J14"/>
  <c r="L13"/>
  <c r="K13"/>
  <c r="S27" s="1"/>
  <c r="J13"/>
  <c r="V12"/>
  <c r="Q12"/>
  <c r="P12"/>
  <c r="L12"/>
  <c r="K12"/>
  <c r="S21" s="1"/>
  <c r="J12"/>
  <c r="V11"/>
  <c r="Q11"/>
  <c r="P11"/>
  <c r="L11"/>
  <c r="K11"/>
  <c r="S17" s="1"/>
  <c r="J11"/>
  <c r="V10"/>
  <c r="D71"/>
  <c r="D86"/>
  <c r="Q10"/>
  <c r="P10"/>
  <c r="L10"/>
  <c r="K10"/>
  <c r="J10"/>
  <c r="V9"/>
  <c r="Z59" s="1"/>
  <c r="D59" s="1"/>
  <c r="Q9"/>
  <c r="P9"/>
  <c r="L9"/>
  <c r="S12" s="1"/>
  <c r="K9"/>
  <c r="S11" s="1"/>
  <c r="J9"/>
  <c r="L8"/>
  <c r="K8"/>
  <c r="J8"/>
  <c r="D78" i="1"/>
  <c r="F82"/>
  <c r="D77"/>
  <c r="D82"/>
  <c r="F73"/>
  <c r="F72"/>
  <c r="D72"/>
  <c r="F71"/>
  <c r="F70"/>
  <c r="V54"/>
  <c r="Q54"/>
  <c r="P54"/>
  <c r="V53"/>
  <c r="Q53"/>
  <c r="P53"/>
  <c r="V52"/>
  <c r="Q52"/>
  <c r="P52"/>
  <c r="V51"/>
  <c r="Q51"/>
  <c r="P51"/>
  <c r="V48"/>
  <c r="Q48"/>
  <c r="P48"/>
  <c r="V47"/>
  <c r="Q47"/>
  <c r="P47"/>
  <c r="V46"/>
  <c r="Q46"/>
  <c r="P46"/>
  <c r="V45"/>
  <c r="Q45"/>
  <c r="P45"/>
  <c r="V42"/>
  <c r="Q42"/>
  <c r="P42"/>
  <c r="V41"/>
  <c r="Q41"/>
  <c r="P41"/>
  <c r="V40"/>
  <c r="Q40"/>
  <c r="P40"/>
  <c r="V39"/>
  <c r="Q39"/>
  <c r="P39"/>
  <c r="V36"/>
  <c r="Q36"/>
  <c r="P36"/>
  <c r="V35"/>
  <c r="Q35"/>
  <c r="P35"/>
  <c r="V34"/>
  <c r="Q34"/>
  <c r="P34"/>
  <c r="V33"/>
  <c r="Q33"/>
  <c r="P33"/>
  <c r="V30"/>
  <c r="Q30"/>
  <c r="P30"/>
  <c r="V29"/>
  <c r="Q29"/>
  <c r="P29"/>
  <c r="V28"/>
  <c r="Q28"/>
  <c r="P28"/>
  <c r="V27"/>
  <c r="Q27"/>
  <c r="P27"/>
  <c r="V24"/>
  <c r="Q24"/>
  <c r="P24"/>
  <c r="V23"/>
  <c r="Q23"/>
  <c r="P23"/>
  <c r="V22"/>
  <c r="Q22"/>
  <c r="P22"/>
  <c r="V21"/>
  <c r="Q21"/>
  <c r="P21"/>
  <c r="V18"/>
  <c r="Q18"/>
  <c r="P18"/>
  <c r="V17"/>
  <c r="Q17"/>
  <c r="P17"/>
  <c r="V16"/>
  <c r="Q16"/>
  <c r="P16"/>
  <c r="Q15"/>
  <c r="P15"/>
  <c r="V12"/>
  <c r="Q12"/>
  <c r="P12"/>
  <c r="V11"/>
  <c r="Z59" s="1"/>
  <c r="D59" s="1"/>
  <c r="D73"/>
  <c r="F78"/>
  <c r="F86"/>
  <c r="E89"/>
  <c r="Q11"/>
  <c r="P11"/>
  <c r="V10"/>
  <c r="D71"/>
  <c r="F77"/>
  <c r="D86"/>
  <c r="E90" s="1"/>
  <c r="Q10"/>
  <c r="P10"/>
  <c r="V9"/>
  <c r="Q9"/>
  <c r="P9"/>
  <c r="L8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2"/>
  <c r="L53"/>
  <c r="L54"/>
  <c r="L55"/>
  <c r="AL86" i="4"/>
  <c r="AG55"/>
  <c r="AG8"/>
  <c r="AL9"/>
  <c r="AK10"/>
  <c r="AL13"/>
  <c r="AK19"/>
  <c r="AG19"/>
  <c r="AK9"/>
  <c r="AK14"/>
  <c r="AJ10"/>
  <c r="AJ11"/>
  <c r="AG13"/>
  <c r="AI13" s="1"/>
  <c r="AJ14"/>
  <c r="AL16"/>
  <c r="AK18"/>
  <c r="AJ19"/>
  <c r="AK20"/>
  <c r="AH70"/>
  <c r="AK23"/>
  <c r="AL25"/>
  <c r="AK27"/>
  <c r="AK29"/>
  <c r="AL31"/>
  <c r="AK35"/>
  <c r="AK36"/>
  <c r="AL37"/>
  <c r="AK39"/>
  <c r="AK41"/>
  <c r="AL43"/>
  <c r="AK45"/>
  <c r="AK47"/>
  <c r="AL49"/>
  <c r="AG51"/>
  <c r="AG52"/>
  <c r="AG53"/>
  <c r="AG54"/>
  <c r="AH55"/>
  <c r="AJ55"/>
  <c r="BB58"/>
  <c r="AG59"/>
  <c r="AG60"/>
  <c r="AI60" s="1"/>
  <c r="AG61"/>
  <c r="AG62"/>
  <c r="AG63"/>
  <c r="AK63"/>
  <c r="AG64"/>
  <c r="AI64" s="1"/>
  <c r="AG65"/>
  <c r="AG66"/>
  <c r="AG71"/>
  <c r="AH72"/>
  <c r="AI72" s="1"/>
  <c r="AJ72"/>
  <c r="AG73"/>
  <c r="AK73"/>
  <c r="AG77"/>
  <c r="AK77"/>
  <c r="AH78"/>
  <c r="AJ82"/>
  <c r="AG86"/>
  <c r="AK86"/>
  <c r="AJ16"/>
  <c r="AJ17"/>
  <c r="AJ18"/>
  <c r="AJ20"/>
  <c r="AJ21"/>
  <c r="AJ22"/>
  <c r="AJ23"/>
  <c r="AJ24"/>
  <c r="AG25"/>
  <c r="AG31"/>
  <c r="AJ32"/>
  <c r="AJ33"/>
  <c r="AJ34"/>
  <c r="AJ35"/>
  <c r="AJ36"/>
  <c r="AG37"/>
  <c r="AG43"/>
  <c r="AJ44"/>
  <c r="AJ45"/>
  <c r="AJ46"/>
  <c r="AJ47"/>
  <c r="AJ48"/>
  <c r="AJ59"/>
  <c r="AJ63"/>
  <c r="AJ64"/>
  <c r="AJ65"/>
  <c r="AJ71"/>
  <c r="AJ73"/>
  <c r="AJ77"/>
  <c r="BA58" i="3"/>
  <c r="BB58" s="1"/>
  <c r="BA68"/>
  <c r="BB68" s="1"/>
  <c r="AL30"/>
  <c r="AL34"/>
  <c r="AH44"/>
  <c r="AI44" s="1"/>
  <c r="AL22"/>
  <c r="AL16"/>
  <c r="AL26"/>
  <c r="AJ43"/>
  <c r="AL36"/>
  <c r="AL28"/>
  <c r="AL20"/>
  <c r="AL12"/>
  <c r="AH51"/>
  <c r="AL44"/>
  <c r="AH43"/>
  <c r="AK59"/>
  <c r="AK70"/>
  <c r="AL72"/>
  <c r="AK82"/>
  <c r="AH39"/>
  <c r="S54" i="2"/>
  <c r="AJ39" i="3"/>
  <c r="AH54"/>
  <c r="AH52"/>
  <c r="AH50"/>
  <c r="AH48"/>
  <c r="AJ40"/>
  <c r="AL38"/>
  <c r="AH37"/>
  <c r="AH35"/>
  <c r="AH34"/>
  <c r="AH33"/>
  <c r="AH32"/>
  <c r="AH31"/>
  <c r="AH30"/>
  <c r="AH29"/>
  <c r="AH28"/>
  <c r="AH27"/>
  <c r="AH26"/>
  <c r="AH25"/>
  <c r="AH24"/>
  <c r="AH23"/>
  <c r="AH22"/>
  <c r="AH21"/>
  <c r="AH20"/>
  <c r="AH19"/>
  <c r="AH18"/>
  <c r="AH17"/>
  <c r="AH16"/>
  <c r="AH15"/>
  <c r="AH14"/>
  <c r="AH13"/>
  <c r="AH12"/>
  <c r="AH11"/>
  <c r="AH10"/>
  <c r="AH9"/>
  <c r="AJ52"/>
  <c r="AJ50"/>
  <c r="AJ48"/>
  <c r="AH42"/>
  <c r="AL41"/>
  <c r="AL39"/>
  <c r="AJ35"/>
  <c r="AJ33"/>
  <c r="AJ31"/>
  <c r="AJ29"/>
  <c r="AJ27"/>
  <c r="AJ25"/>
  <c r="AJ23"/>
  <c r="AJ21"/>
  <c r="AJ18"/>
  <c r="AJ16"/>
  <c r="AJ14"/>
  <c r="AJ12"/>
  <c r="AJ10"/>
  <c r="AL54"/>
  <c r="AL52"/>
  <c r="AL50"/>
  <c r="AL48"/>
  <c r="AL46"/>
  <c r="AK61"/>
  <c r="AK63"/>
  <c r="AK65"/>
  <c r="AK72"/>
  <c r="AK77"/>
  <c r="AG8"/>
  <c r="AL8"/>
  <c r="AG86"/>
  <c r="AH86"/>
  <c r="AL82"/>
  <c r="AG82"/>
  <c r="AL78"/>
  <c r="AG78"/>
  <c r="AL77"/>
  <c r="AL73"/>
  <c r="AG73"/>
  <c r="AI73" s="1"/>
  <c r="AH72"/>
  <c r="AJ72"/>
  <c r="AJ71"/>
  <c r="AL71"/>
  <c r="AG71"/>
  <c r="AJ70"/>
  <c r="AL70"/>
  <c r="AG70"/>
  <c r="AI70" s="1"/>
  <c r="AF70" s="1"/>
  <c r="Y70" s="1"/>
  <c r="AJ66"/>
  <c r="AG66"/>
  <c r="AJ65"/>
  <c r="AL65"/>
  <c r="AG65"/>
  <c r="AI65" s="1"/>
  <c r="AF65" s="1"/>
  <c r="Y65" s="1"/>
  <c r="AJ64"/>
  <c r="AL64"/>
  <c r="AG64"/>
  <c r="AJ63"/>
  <c r="AL63"/>
  <c r="AG63"/>
  <c r="AI63" s="1"/>
  <c r="AF63" s="1"/>
  <c r="Y63" s="1"/>
  <c r="AJ62"/>
  <c r="AL62"/>
  <c r="AG62"/>
  <c r="AJ61"/>
  <c r="AL61"/>
  <c r="AF61" s="1"/>
  <c r="Y61" s="1"/>
  <c r="AG61"/>
  <c r="AI61" s="1"/>
  <c r="AJ60"/>
  <c r="AL60"/>
  <c r="AG60"/>
  <c r="AG59"/>
  <c r="AI59" s="1"/>
  <c r="AJ59"/>
  <c r="AL59"/>
  <c r="AF59"/>
  <c r="Y59" s="1"/>
  <c r="AJ55"/>
  <c r="AL55"/>
  <c r="AK55"/>
  <c r="AK54"/>
  <c r="AK53"/>
  <c r="AK52"/>
  <c r="AK51"/>
  <c r="AK50"/>
  <c r="AK49"/>
  <c r="AK48"/>
  <c r="AK47"/>
  <c r="AK46"/>
  <c r="AK45"/>
  <c r="AK44"/>
  <c r="AK43"/>
  <c r="AK42"/>
  <c r="AK41"/>
  <c r="AK40"/>
  <c r="AK39"/>
  <c r="AK38"/>
  <c r="AK37"/>
  <c r="AK36"/>
  <c r="AK35"/>
  <c r="AK34"/>
  <c r="AK33"/>
  <c r="AK32"/>
  <c r="AK31"/>
  <c r="AK30"/>
  <c r="AK29"/>
  <c r="AK28"/>
  <c r="AK27"/>
  <c r="AK26"/>
  <c r="AK25"/>
  <c r="AK24"/>
  <c r="AK23"/>
  <c r="AK22"/>
  <c r="AK21"/>
  <c r="AK20"/>
  <c r="AK19"/>
  <c r="AK17"/>
  <c r="AK16"/>
  <c r="AK15"/>
  <c r="AK14"/>
  <c r="AK13"/>
  <c r="AK12"/>
  <c r="AK11"/>
  <c r="AK10"/>
  <c r="AK9"/>
  <c r="R48" i="2"/>
  <c r="S15" i="1"/>
  <c r="S46"/>
  <c r="S28"/>
  <c r="S10"/>
  <c r="S48"/>
  <c r="S36"/>
  <c r="S12"/>
  <c r="S18"/>
  <c r="R23"/>
  <c r="R27"/>
  <c r="R29"/>
  <c r="R33"/>
  <c r="R35"/>
  <c r="R39"/>
  <c r="R41"/>
  <c r="R45"/>
  <c r="R47"/>
  <c r="R51"/>
  <c r="R53"/>
  <c r="R10"/>
  <c r="R12"/>
  <c r="R16"/>
  <c r="R18"/>
  <c r="R22"/>
  <c r="R24"/>
  <c r="R28"/>
  <c r="R30"/>
  <c r="R34"/>
  <c r="R36"/>
  <c r="R46"/>
  <c r="R48"/>
  <c r="R52"/>
  <c r="R54"/>
  <c r="S52"/>
  <c r="S34"/>
  <c r="S40"/>
  <c r="S22"/>
  <c r="S16"/>
  <c r="S30"/>
  <c r="S9"/>
  <c r="S47"/>
  <c r="S45"/>
  <c r="S35"/>
  <c r="S23"/>
  <c r="S27"/>
  <c r="S17"/>
  <c r="S11"/>
  <c r="R9"/>
  <c r="R11"/>
  <c r="R15"/>
  <c r="R17"/>
  <c r="R21"/>
  <c r="S54"/>
  <c r="S42"/>
  <c r="S24"/>
  <c r="S53"/>
  <c r="S51"/>
  <c r="S41"/>
  <c r="S39"/>
  <c r="S33"/>
  <c r="S29"/>
  <c r="S21"/>
  <c r="R40"/>
  <c r="R42"/>
  <c r="AI72" i="3"/>
  <c r="AF72" s="1"/>
  <c r="Y72" s="1"/>
  <c r="AL86" i="6" l="1"/>
  <c r="AL86" i="27"/>
  <c r="AL86" i="52"/>
  <c r="AL86" i="5"/>
  <c r="AL86" i="31"/>
  <c r="AL86" i="34"/>
  <c r="AL86" i="38"/>
  <c r="AK86" i="44"/>
  <c r="AL86" i="53"/>
  <c r="AL86" i="7"/>
  <c r="AL86" i="19"/>
  <c r="AL86" i="21"/>
  <c r="AL86" i="35"/>
  <c r="AL86" i="39"/>
  <c r="AK86" i="42"/>
  <c r="AK86" i="48"/>
  <c r="AL86" i="51"/>
  <c r="AL86" i="49"/>
  <c r="AL82" i="19"/>
  <c r="AL82" i="26"/>
  <c r="AK82" i="45"/>
  <c r="AK82" i="47"/>
  <c r="AL82" i="5"/>
  <c r="AL82" i="8"/>
  <c r="AL82" i="29"/>
  <c r="AL82" i="32"/>
  <c r="AL78" i="5"/>
  <c r="AL78" i="8"/>
  <c r="AL78" i="20"/>
  <c r="AL78" i="35"/>
  <c r="AK78" i="54"/>
  <c r="AL78" i="7"/>
  <c r="AL78" i="19"/>
  <c r="AL78" i="31"/>
  <c r="AL78" i="34"/>
  <c r="AK78" i="44"/>
  <c r="AL78" i="51"/>
  <c r="AK78" i="49"/>
  <c r="AL77" i="6"/>
  <c r="AK77" i="25"/>
  <c r="AL77" i="39"/>
  <c r="AL77" i="44"/>
  <c r="AL77" i="48"/>
  <c r="AL77" i="53"/>
  <c r="AK77" i="21"/>
  <c r="AL77" i="35"/>
  <c r="AL77" i="38"/>
  <c r="AL77" i="42"/>
  <c r="AL77" i="28"/>
  <c r="AK73" i="21"/>
  <c r="AL73" i="26"/>
  <c r="AK73" i="25"/>
  <c r="AL73" i="30"/>
  <c r="AL73" i="33"/>
  <c r="AL73" i="43"/>
  <c r="AL73" i="50"/>
  <c r="AL73" i="28"/>
  <c r="AK73" i="51"/>
  <c r="AL72" i="20"/>
  <c r="AK72" i="43"/>
  <c r="AL72" i="49"/>
  <c r="AL72" i="5"/>
  <c r="AL72" i="55"/>
  <c r="AK72" i="31"/>
  <c r="AI72" i="33"/>
  <c r="AK71" i="21"/>
  <c r="AL71" i="33"/>
  <c r="AL71" i="41"/>
  <c r="AK71" i="25"/>
  <c r="AL71" i="27"/>
  <c r="AL71" i="28"/>
  <c r="AL71" i="29"/>
  <c r="AL71" i="45"/>
  <c r="AL71" i="47"/>
  <c r="AK71" i="8"/>
  <c r="AK71" i="51"/>
  <c r="AL70" i="5"/>
  <c r="AL70" i="19"/>
  <c r="AL70" i="26"/>
  <c r="AL70" i="29"/>
  <c r="AK70" i="45"/>
  <c r="AL70" i="20"/>
  <c r="AL70" i="32"/>
  <c r="AL70" i="34"/>
  <c r="AL70" i="52"/>
  <c r="AL66" i="3"/>
  <c r="AJ66" i="4"/>
  <c r="AK66" i="34"/>
  <c r="AL66" i="39"/>
  <c r="AL66" i="42"/>
  <c r="AL66" i="44"/>
  <c r="AL66" i="51"/>
  <c r="AL66" i="53"/>
  <c r="AL66" i="8"/>
  <c r="AL66" i="31"/>
  <c r="AL66" i="33"/>
  <c r="AL66" i="35"/>
  <c r="AL66" i="38"/>
  <c r="AK66" i="29"/>
  <c r="AL65" i="28"/>
  <c r="AL65" i="31"/>
  <c r="AL65" i="39"/>
  <c r="AL65" i="50"/>
  <c r="AL65" i="52"/>
  <c r="AK65" i="55"/>
  <c r="AK65" i="6"/>
  <c r="AL64" i="33"/>
  <c r="AK64" i="55"/>
  <c r="AL64" i="6"/>
  <c r="AL64" i="43"/>
  <c r="AK64" i="51"/>
  <c r="AL63"/>
  <c r="AL63" i="52"/>
  <c r="AL63" i="53"/>
  <c r="AK63" i="55"/>
  <c r="AL63" i="8"/>
  <c r="AK63" i="20"/>
  <c r="AL63" i="35"/>
  <c r="AL63" i="38"/>
  <c r="AL62" i="8"/>
  <c r="AK62" i="20"/>
  <c r="AL62" i="33"/>
  <c r="AL62" i="35"/>
  <c r="AL62" i="38"/>
  <c r="AK62" i="55"/>
  <c r="AK62" i="5"/>
  <c r="AK62" i="34"/>
  <c r="AL62" i="42"/>
  <c r="AL62" i="44"/>
  <c r="AL62" i="51"/>
  <c r="AL62" i="53"/>
  <c r="AK62" i="39"/>
  <c r="AL61" i="31"/>
  <c r="AL61" i="32"/>
  <c r="AL61" i="50"/>
  <c r="AL61" i="52"/>
  <c r="AK61" i="55"/>
  <c r="AK61" i="5"/>
  <c r="AK61" i="20"/>
  <c r="AK61" i="25"/>
  <c r="AK61" i="30"/>
  <c r="AK61" i="39"/>
  <c r="AK59" i="6"/>
  <c r="AK59" i="21"/>
  <c r="AL59" i="30"/>
  <c r="AK59" i="5"/>
  <c r="AK59" i="25"/>
  <c r="AL59" i="52"/>
  <c r="AK59" i="53"/>
  <c r="AK59" i="55"/>
  <c r="AK59" i="39"/>
  <c r="AK60" i="20"/>
  <c r="AK60" i="21"/>
  <c r="AL60" i="50"/>
  <c r="AK60" i="55"/>
  <c r="AK60" i="25"/>
  <c r="AK60" i="39"/>
  <c r="AK60" i="30"/>
  <c r="S51" i="2"/>
  <c r="AL54" i="32"/>
  <c r="AK54" i="34"/>
  <c r="AL54" i="29"/>
  <c r="AK54" i="30"/>
  <c r="AK54" i="39"/>
  <c r="AL55" i="26"/>
  <c r="AL55" i="34"/>
  <c r="AK55" i="43"/>
  <c r="AK55" i="45"/>
  <c r="AL55" i="46"/>
  <c r="AL55" i="7"/>
  <c r="AL55" i="27"/>
  <c r="AL55" i="32"/>
  <c r="AK55" i="47"/>
  <c r="AK55" i="36"/>
  <c r="AL55" i="41"/>
  <c r="AK55" i="48"/>
  <c r="AK55" i="54"/>
  <c r="AL53" i="38"/>
  <c r="AL52" i="29"/>
  <c r="AL52" i="28"/>
  <c r="AK52" i="30"/>
  <c r="AK52" i="39"/>
  <c r="AK52" i="5"/>
  <c r="AK52" i="25"/>
  <c r="AK52" i="53"/>
  <c r="AK52" i="55"/>
  <c r="AL51" i="6"/>
  <c r="AL51" i="19"/>
  <c r="AL51" i="38"/>
  <c r="AL51" i="41"/>
  <c r="AL51" i="44"/>
  <c r="AL51" i="8"/>
  <c r="AL51" i="20"/>
  <c r="AL51" i="27"/>
  <c r="AL51" i="35"/>
  <c r="AL51" i="36"/>
  <c r="AL51" i="42"/>
  <c r="AL51" i="51"/>
  <c r="AK51" i="7"/>
  <c r="AK51" i="37"/>
  <c r="AK51" i="50"/>
  <c r="AL50" i="30"/>
  <c r="AL50" i="39"/>
  <c r="AL50" i="46"/>
  <c r="AL50" i="48"/>
  <c r="AL50" i="28"/>
  <c r="AL50" i="53"/>
  <c r="AK50" i="25"/>
  <c r="AK50" i="55"/>
  <c r="AL49" i="26"/>
  <c r="AK49" i="29"/>
  <c r="AL49" i="39"/>
  <c r="AK49" i="54"/>
  <c r="AL49" i="7"/>
  <c r="AL49" i="25"/>
  <c r="AL49" i="32"/>
  <c r="AL49" i="34"/>
  <c r="AL49" i="41"/>
  <c r="AL49" i="55"/>
  <c r="AK49" i="31"/>
  <c r="AK48" i="34"/>
  <c r="AL48" i="50"/>
  <c r="AL48" i="6"/>
  <c r="AL48" i="26"/>
  <c r="AL48" i="43"/>
  <c r="AL48" i="45"/>
  <c r="AK48" i="5"/>
  <c r="AK48" i="30"/>
  <c r="AK48" i="37"/>
  <c r="AK48" i="52"/>
  <c r="AK48" i="53"/>
  <c r="AL47" i="8"/>
  <c r="AL47" i="20"/>
  <c r="AL47" i="27"/>
  <c r="AL47" i="44"/>
  <c r="AL47" i="6"/>
  <c r="AL47" i="19"/>
  <c r="AL47" i="21"/>
  <c r="AL47" i="35"/>
  <c r="AL47" i="36"/>
  <c r="AL47" i="38"/>
  <c r="AL47" i="42"/>
  <c r="AL47" i="47"/>
  <c r="AL47" i="51"/>
  <c r="AK47" i="7"/>
  <c r="AK47" i="25"/>
  <c r="AK47" i="39"/>
  <c r="AK47" i="55"/>
  <c r="AL46" i="6"/>
  <c r="AL46" i="43"/>
  <c r="AL46" i="45"/>
  <c r="AL46" i="50"/>
  <c r="AK46" i="34"/>
  <c r="AK46" i="30"/>
  <c r="AK46" i="52"/>
  <c r="AK46" i="37"/>
  <c r="AK46" i="53"/>
  <c r="AL44" i="5"/>
  <c r="AL44" i="31"/>
  <c r="AL44" i="30"/>
  <c r="AL44" i="46"/>
  <c r="AL44" i="48"/>
  <c r="AL44" i="53"/>
  <c r="AK44" i="52"/>
  <c r="AK44" i="37"/>
  <c r="AK44" i="39"/>
  <c r="AL45" i="6"/>
  <c r="AL45" i="19"/>
  <c r="AL45" i="21"/>
  <c r="AL45" i="35"/>
  <c r="AL45" i="36"/>
  <c r="AL45" i="38"/>
  <c r="AL45" i="42"/>
  <c r="AL45" i="8"/>
  <c r="AL45" i="20"/>
  <c r="AL45" i="51"/>
  <c r="AK45" i="7"/>
  <c r="AK45" i="25"/>
  <c r="AK45" i="55"/>
  <c r="AL43" i="26"/>
  <c r="AL43" i="34"/>
  <c r="AL43" i="37"/>
  <c r="AL43" i="32"/>
  <c r="AK43" i="27"/>
  <c r="AK43" i="33"/>
  <c r="AL43" i="47"/>
  <c r="AL42" i="29"/>
  <c r="AL42" i="39"/>
  <c r="AL42" i="6"/>
  <c r="AK42" i="34"/>
  <c r="AL42" i="45"/>
  <c r="AK42" i="5"/>
  <c r="AK42" i="25"/>
  <c r="AK42" i="7"/>
  <c r="AK42" i="30"/>
  <c r="AK42" i="53"/>
  <c r="AK42" i="55"/>
  <c r="AR89" i="108"/>
  <c r="AR89" i="107"/>
  <c r="AR89" i="105"/>
  <c r="AR89" i="104"/>
  <c r="AR89" i="103"/>
  <c r="AR89" i="102"/>
  <c r="AR89" i="100"/>
  <c r="AR89" i="98"/>
  <c r="AR89" i="94"/>
  <c r="AR89" i="92"/>
  <c r="AR89" i="91"/>
  <c r="AR89" i="90"/>
  <c r="AR89" i="89"/>
  <c r="AR89" i="88"/>
  <c r="AR89" i="87"/>
  <c r="AR89" i="86"/>
  <c r="AR89" i="85"/>
  <c r="AR89" i="80"/>
  <c r="AR89" i="78"/>
  <c r="AR89" i="77"/>
  <c r="AR89" i="76"/>
  <c r="AR89" i="110"/>
  <c r="AR89" i="109"/>
  <c r="AR89" i="106"/>
  <c r="AR89" i="101"/>
  <c r="AR89" i="99"/>
  <c r="AR89" i="97"/>
  <c r="AR89" i="96"/>
  <c r="AR89" i="95"/>
  <c r="AR89" i="93"/>
  <c r="AR89" i="84"/>
  <c r="AR89" i="83"/>
  <c r="AR89" i="82"/>
  <c r="AR89" i="81"/>
  <c r="AR89" i="79"/>
  <c r="AR89" i="75"/>
  <c r="AR89" i="72"/>
  <c r="AR89" i="71"/>
  <c r="AR89" i="70"/>
  <c r="AR89" i="69"/>
  <c r="AR89" i="68"/>
  <c r="AR89" i="63"/>
  <c r="AR89" i="61"/>
  <c r="AR89" i="74"/>
  <c r="AR89" i="73"/>
  <c r="AR89" i="67"/>
  <c r="AR89" i="66"/>
  <c r="AR89" i="65"/>
  <c r="AR89" i="64"/>
  <c r="AR89" i="62"/>
  <c r="AR89" i="60"/>
  <c r="AR89" i="59"/>
  <c r="AR89" i="58"/>
  <c r="AR89" i="57"/>
  <c r="AR89" i="56"/>
  <c r="AR92" i="110"/>
  <c r="AR92" i="108"/>
  <c r="AR92" i="107"/>
  <c r="AR92" i="105"/>
  <c r="AR92" i="104"/>
  <c r="AR92" i="103"/>
  <c r="AR92" i="102"/>
  <c r="AR92" i="100"/>
  <c r="AR92" i="98"/>
  <c r="AR92" i="92"/>
  <c r="AR92" i="91"/>
  <c r="AR92" i="90"/>
  <c r="AR92" i="89"/>
  <c r="AR92" i="88"/>
  <c r="AR92" i="87"/>
  <c r="AR92" i="86"/>
  <c r="AR92" i="85"/>
  <c r="AR92" i="77"/>
  <c r="AR92" i="76"/>
  <c r="AR92" i="109"/>
  <c r="AR92" i="106"/>
  <c r="AR92" i="101"/>
  <c r="AR92" i="99"/>
  <c r="AR92" i="97"/>
  <c r="AR92" i="96"/>
  <c r="AR92" i="95"/>
  <c r="AR92" i="94"/>
  <c r="AR92" i="93"/>
  <c r="AR92" i="84"/>
  <c r="AR92" i="83"/>
  <c r="AR92" i="82"/>
  <c r="AR92" i="81"/>
  <c r="AR92" i="80"/>
  <c r="AR92" i="79"/>
  <c r="AR92" i="78"/>
  <c r="AR92" i="75"/>
  <c r="AR92" i="72"/>
  <c r="AR92" i="71"/>
  <c r="AR92" i="70"/>
  <c r="AR92" i="69"/>
  <c r="AR92" i="68"/>
  <c r="AR92" i="63"/>
  <c r="AR92" i="61"/>
  <c r="AR92" i="74"/>
  <c r="AR92" i="73"/>
  <c r="AR92" i="67"/>
  <c r="AR92" i="66"/>
  <c r="AR92" i="65"/>
  <c r="AR92" i="64"/>
  <c r="AR92" i="62"/>
  <c r="AR92" i="60"/>
  <c r="AR92" i="59"/>
  <c r="AR92" i="58"/>
  <c r="AR92" i="57"/>
  <c r="AR92" i="56"/>
  <c r="AR89" i="6"/>
  <c r="AR90"/>
  <c r="AW89" s="1"/>
  <c r="AR91"/>
  <c r="AW92" s="1"/>
  <c r="AR92"/>
  <c r="AW91" s="1"/>
  <c r="AR89" i="19"/>
  <c r="AR90"/>
  <c r="AV90" s="1"/>
  <c r="AR91"/>
  <c r="AR92"/>
  <c r="AR89" i="25"/>
  <c r="AR90"/>
  <c r="AV90" s="1"/>
  <c r="AR91"/>
  <c r="AR92"/>
  <c r="AW91" s="1"/>
  <c r="AR89" i="26"/>
  <c r="AR90"/>
  <c r="AR91"/>
  <c r="AR92"/>
  <c r="AR89" i="27"/>
  <c r="AR90"/>
  <c r="AW89" s="1"/>
  <c r="AR91"/>
  <c r="AR92"/>
  <c r="AV92" s="1"/>
  <c r="AR89" i="28"/>
  <c r="AR90"/>
  <c r="AW89" s="1"/>
  <c r="AR91"/>
  <c r="AR92"/>
  <c r="AV92" s="1"/>
  <c r="AR89" i="29"/>
  <c r="AR90"/>
  <c r="AW89" s="1"/>
  <c r="AR91"/>
  <c r="AR92"/>
  <c r="AV92" s="1"/>
  <c r="AR89" i="34"/>
  <c r="AV89" s="1"/>
  <c r="AR90"/>
  <c r="AV90" s="1"/>
  <c r="AR91"/>
  <c r="AV91" s="1"/>
  <c r="AR92"/>
  <c r="AV92" s="1"/>
  <c r="AR89" i="35"/>
  <c r="AR90"/>
  <c r="AW89" s="1"/>
  <c r="AR91"/>
  <c r="AR92"/>
  <c r="AR89" i="39"/>
  <c r="AR91"/>
  <c r="AW92" s="1"/>
  <c r="AR92" i="44"/>
  <c r="AR89" i="45"/>
  <c r="AW90" s="1"/>
  <c r="AR90"/>
  <c r="AR91"/>
  <c r="AW92" s="1"/>
  <c r="AR92"/>
  <c r="AW91" s="1"/>
  <c r="AR89" i="46"/>
  <c r="AW90" s="1"/>
  <c r="AR90"/>
  <c r="AV90" s="1"/>
  <c r="AR91"/>
  <c r="AV91" s="1"/>
  <c r="AR92"/>
  <c r="AV92" s="1"/>
  <c r="AR89" i="47"/>
  <c r="AV89" s="1"/>
  <c r="AR90"/>
  <c r="AR91"/>
  <c r="AW92" s="1"/>
  <c r="AR92"/>
  <c r="AW91" s="1"/>
  <c r="AR90" i="51"/>
  <c r="AW89" s="1"/>
  <c r="AR92"/>
  <c r="AW92" i="52"/>
  <c r="AR89"/>
  <c r="AR92"/>
  <c r="AV92" s="1"/>
  <c r="AR90" i="110"/>
  <c r="AR90" i="108"/>
  <c r="AR90" i="107"/>
  <c r="AR90" i="105"/>
  <c r="AR90" i="104"/>
  <c r="AR90" i="103"/>
  <c r="AR90" i="102"/>
  <c r="AR90" i="100"/>
  <c r="AR90" i="98"/>
  <c r="AR90" i="92"/>
  <c r="AR90" i="91"/>
  <c r="AR90" i="90"/>
  <c r="AR90" i="89"/>
  <c r="AR90" i="88"/>
  <c r="AR90" i="87"/>
  <c r="AR90" i="86"/>
  <c r="AR90" i="85"/>
  <c r="AR90" i="77"/>
  <c r="AR90" i="76"/>
  <c r="AR90" i="109"/>
  <c r="AR90" i="106"/>
  <c r="AR90" i="101"/>
  <c r="AR90" i="99"/>
  <c r="AR90" i="97"/>
  <c r="AR90" i="96"/>
  <c r="AR90" i="95"/>
  <c r="AR90" i="94"/>
  <c r="AR90" i="93"/>
  <c r="AR90" i="84"/>
  <c r="AR90" i="83"/>
  <c r="AR90" i="82"/>
  <c r="AR90" i="81"/>
  <c r="AR90" i="80"/>
  <c r="AR90" i="79"/>
  <c r="AR90" i="78"/>
  <c r="AR90" i="75"/>
  <c r="AR90" i="72"/>
  <c r="AR90" i="71"/>
  <c r="AR90" i="70"/>
  <c r="AR90" i="69"/>
  <c r="AR90" i="68"/>
  <c r="AR90" i="63"/>
  <c r="AR90" i="61"/>
  <c r="AR90" i="74"/>
  <c r="AR90" i="73"/>
  <c r="AR90" i="67"/>
  <c r="AR90" i="66"/>
  <c r="AR90" i="65"/>
  <c r="AR90" i="64"/>
  <c r="AR90" i="62"/>
  <c r="AR90" i="60"/>
  <c r="AR90" i="59"/>
  <c r="AR90" i="58"/>
  <c r="AR90" i="57"/>
  <c r="AR90" i="56"/>
  <c r="AR91" i="108"/>
  <c r="AR91" i="107"/>
  <c r="AR91" i="105"/>
  <c r="AR91" i="104"/>
  <c r="AR91" i="103"/>
  <c r="AR91" i="102"/>
  <c r="AR91" i="100"/>
  <c r="AR91" i="98"/>
  <c r="AR91" i="94"/>
  <c r="AR91" i="92"/>
  <c r="AR91" i="91"/>
  <c r="AR91" i="90"/>
  <c r="AR91" i="89"/>
  <c r="AR91" i="88"/>
  <c r="AR91" i="87"/>
  <c r="AR91" i="86"/>
  <c r="AR91" i="85"/>
  <c r="AR91" i="80"/>
  <c r="AR91" i="78"/>
  <c r="AR91" i="77"/>
  <c r="AR91" i="76"/>
  <c r="AR91" i="110"/>
  <c r="AR91" i="109"/>
  <c r="AR91" i="106"/>
  <c r="AR91" i="101"/>
  <c r="AR91" i="99"/>
  <c r="AR91" i="97"/>
  <c r="AR91" i="96"/>
  <c r="AR91" i="95"/>
  <c r="AR91" i="93"/>
  <c r="AR91" i="84"/>
  <c r="AR91" i="83"/>
  <c r="AR91" i="82"/>
  <c r="AR91" i="81"/>
  <c r="AR91" i="79"/>
  <c r="AR91" i="75"/>
  <c r="AR91" i="72"/>
  <c r="AR91" i="71"/>
  <c r="AR91" i="70"/>
  <c r="AR91" i="69"/>
  <c r="AR91" i="68"/>
  <c r="AR91" i="63"/>
  <c r="AR91" i="61"/>
  <c r="AR91" i="74"/>
  <c r="AR91" i="73"/>
  <c r="AR91" i="67"/>
  <c r="AR91" i="66"/>
  <c r="AR91" i="65"/>
  <c r="AR91" i="64"/>
  <c r="AR91" i="62"/>
  <c r="AR91" i="60"/>
  <c r="AR91" i="59"/>
  <c r="AR91" i="58"/>
  <c r="AR91" i="57"/>
  <c r="AR91" i="56"/>
  <c r="AR89" i="5"/>
  <c r="AR90"/>
  <c r="AW89" s="1"/>
  <c r="AR91"/>
  <c r="AR92"/>
  <c r="AV92" s="1"/>
  <c r="AR89" i="7"/>
  <c r="AR90"/>
  <c r="AW89" s="1"/>
  <c r="AR91"/>
  <c r="AR92"/>
  <c r="AV92" s="1"/>
  <c r="AR89" i="8"/>
  <c r="AR90"/>
  <c r="AV90" s="1"/>
  <c r="AR91"/>
  <c r="AR92"/>
  <c r="AW91" s="1"/>
  <c r="AR89" i="20"/>
  <c r="AV89" s="1"/>
  <c r="AR90"/>
  <c r="AW89" s="1"/>
  <c r="AR91"/>
  <c r="AW92" s="1"/>
  <c r="AR92"/>
  <c r="AV92" s="1"/>
  <c r="AR89" i="21"/>
  <c r="AV89" s="1"/>
  <c r="AR90"/>
  <c r="AW89" s="1"/>
  <c r="AR91"/>
  <c r="AW92" s="1"/>
  <c r="AR92"/>
  <c r="AV92" s="1"/>
  <c r="AR89" i="30"/>
  <c r="AR90"/>
  <c r="AW89" s="1"/>
  <c r="AR91"/>
  <c r="AR92"/>
  <c r="AV92" s="1"/>
  <c r="AR89" i="31"/>
  <c r="AW90" s="1"/>
  <c r="AR90"/>
  <c r="AW89" s="1"/>
  <c r="AR91"/>
  <c r="AW92" s="1"/>
  <c r="AR92"/>
  <c r="AW91" s="1"/>
  <c r="AR89" i="32"/>
  <c r="AW90" s="1"/>
  <c r="AR90"/>
  <c r="AW89" s="1"/>
  <c r="AR91"/>
  <c r="AW92" s="1"/>
  <c r="AR92"/>
  <c r="AW91" s="1"/>
  <c r="AR89" i="33"/>
  <c r="AR90"/>
  <c r="AW89" s="1"/>
  <c r="AR91"/>
  <c r="AR92"/>
  <c r="AV92" s="1"/>
  <c r="AW92" i="34"/>
  <c r="AR89" i="36"/>
  <c r="AW90" s="1"/>
  <c r="AR90"/>
  <c r="AW89" s="1"/>
  <c r="AR91"/>
  <c r="AW92" s="1"/>
  <c r="AR92"/>
  <c r="AW91" s="1"/>
  <c r="AR89" i="37"/>
  <c r="AV89" s="1"/>
  <c r="AR90"/>
  <c r="AR91"/>
  <c r="AW92" s="1"/>
  <c r="AR92"/>
  <c r="AR89" i="38"/>
  <c r="AW90" s="1"/>
  <c r="AR90"/>
  <c r="AW89" s="1"/>
  <c r="AR91"/>
  <c r="AW92" s="1"/>
  <c r="AR92"/>
  <c r="AV92" s="1"/>
  <c r="AW90" i="39"/>
  <c r="AR90"/>
  <c r="AW89" s="1"/>
  <c r="AR92"/>
  <c r="AV92" s="1"/>
  <c r="AR89" i="40"/>
  <c r="AR90"/>
  <c r="AV90" s="1"/>
  <c r="AR91"/>
  <c r="AR92"/>
  <c r="AV92" s="1"/>
  <c r="AR89" i="41"/>
  <c r="AR90"/>
  <c r="AV90" s="1"/>
  <c r="AR91"/>
  <c r="AR92"/>
  <c r="AV92" s="1"/>
  <c r="AR89" i="42"/>
  <c r="AR90"/>
  <c r="AV90" s="1"/>
  <c r="AR91"/>
  <c r="AR92"/>
  <c r="AW91" s="1"/>
  <c r="AR89" i="43"/>
  <c r="AR90"/>
  <c r="AW89" s="1"/>
  <c r="AR91"/>
  <c r="AW92" s="1"/>
  <c r="AR92"/>
  <c r="AW91" s="1"/>
  <c r="AR89" i="44"/>
  <c r="AR90"/>
  <c r="AW89" s="1"/>
  <c r="AR91"/>
  <c r="AW92" s="1"/>
  <c r="AR89" i="48"/>
  <c r="AW90" s="1"/>
  <c r="AR90"/>
  <c r="AW89" s="1"/>
  <c r="AR91"/>
  <c r="AW92" s="1"/>
  <c r="AR92"/>
  <c r="AW91" s="1"/>
  <c r="AR89" i="49"/>
  <c r="AV89" s="1"/>
  <c r="AR90"/>
  <c r="AR91"/>
  <c r="AW92" s="1"/>
  <c r="AR92"/>
  <c r="AR89" i="50"/>
  <c r="AW90" s="1"/>
  <c r="AR90"/>
  <c r="AR91"/>
  <c r="AW92" s="1"/>
  <c r="AR92"/>
  <c r="AW91" s="1"/>
  <c r="AR89" i="51"/>
  <c r="AV89" s="1"/>
  <c r="AR91"/>
  <c r="AX89" s="1"/>
  <c r="AV89" i="52"/>
  <c r="AV91"/>
  <c r="AR89" i="53"/>
  <c r="AW90" s="1"/>
  <c r="AR90"/>
  <c r="AW89" s="1"/>
  <c r="AR91"/>
  <c r="AW92" s="1"/>
  <c r="AR92"/>
  <c r="AR89" i="54"/>
  <c r="AW90" s="1"/>
  <c r="AR90"/>
  <c r="AR91"/>
  <c r="AW92" s="1"/>
  <c r="AR92"/>
  <c r="AW91" s="1"/>
  <c r="AR89" i="55"/>
  <c r="AR90"/>
  <c r="AR91"/>
  <c r="AV91" s="1"/>
  <c r="AR92"/>
  <c r="AV92" s="1"/>
  <c r="AK40" i="34"/>
  <c r="AL40" i="45"/>
  <c r="AL40" i="6"/>
  <c r="AL40" i="29"/>
  <c r="AL40" i="50"/>
  <c r="AK40" i="7"/>
  <c r="AK40" i="30"/>
  <c r="AK40" i="39"/>
  <c r="AK40" i="53"/>
  <c r="AK40" i="5"/>
  <c r="AK40" i="25"/>
  <c r="AK40" i="55"/>
  <c r="AL41" i="6"/>
  <c r="AL41" i="8"/>
  <c r="AL41" i="20"/>
  <c r="AL41" i="21"/>
  <c r="AL41" i="51"/>
  <c r="AL41" i="19"/>
  <c r="AL41" i="31"/>
  <c r="AL41" i="35"/>
  <c r="AL41" i="36"/>
  <c r="AL41" i="44"/>
  <c r="AK41" i="37"/>
  <c r="AK41" i="52"/>
  <c r="AF39" i="3"/>
  <c r="Y39" s="1"/>
  <c r="AL39" i="6"/>
  <c r="AL39" i="20"/>
  <c r="AL39" i="21"/>
  <c r="AL39" i="38"/>
  <c r="AL39" i="47"/>
  <c r="AL39" i="51"/>
  <c r="AL39" i="19"/>
  <c r="AL39" i="27"/>
  <c r="AL39" i="35"/>
  <c r="AL39" i="36"/>
  <c r="AL39" i="44"/>
  <c r="AL39" i="53"/>
  <c r="AK39" i="37"/>
  <c r="AK39" i="52"/>
  <c r="AL38" i="39"/>
  <c r="AL38" i="53"/>
  <c r="AL38" i="5"/>
  <c r="AL38" i="19"/>
  <c r="AL38" i="46"/>
  <c r="AL38" i="48"/>
  <c r="AK38" i="25"/>
  <c r="AK38" i="55"/>
  <c r="AL37" i="7"/>
  <c r="AL37" i="32"/>
  <c r="AL37" i="39"/>
  <c r="AL37" i="47"/>
  <c r="AL37" i="25"/>
  <c r="AK37" i="29"/>
  <c r="AK37" i="45"/>
  <c r="AK37" i="54"/>
  <c r="AK37" i="31"/>
  <c r="AL36" i="32"/>
  <c r="AL36" i="6"/>
  <c r="AL36" i="20"/>
  <c r="AL36" i="38"/>
  <c r="AL36" i="43"/>
  <c r="AK36" i="37"/>
  <c r="AK36" i="52"/>
  <c r="AK36" i="5"/>
  <c r="AK36" i="19"/>
  <c r="AK36" i="30"/>
  <c r="AL35" i="19"/>
  <c r="AL35" i="27"/>
  <c r="AL35" i="35"/>
  <c r="AL35" i="36"/>
  <c r="AL35" i="6"/>
  <c r="AL35" i="8"/>
  <c r="AL35" i="20"/>
  <c r="AL35" i="21"/>
  <c r="AL35" i="26"/>
  <c r="AL35" i="38"/>
  <c r="AL35" i="41"/>
  <c r="AL35" i="44"/>
  <c r="AL35" i="51"/>
  <c r="AK35" i="39"/>
  <c r="AK35" i="55"/>
  <c r="AK35" i="7"/>
  <c r="AK35" i="25"/>
  <c r="AL34" i="6"/>
  <c r="AL34" i="20"/>
  <c r="AK34" i="34"/>
  <c r="AL34" i="38"/>
  <c r="AL34" i="36"/>
  <c r="AL34" i="43"/>
  <c r="AL34" i="46"/>
  <c r="AL34" i="49"/>
  <c r="R36" i="2"/>
  <c r="AK34" i="5"/>
  <c r="AK34" i="37"/>
  <c r="AK34" i="30"/>
  <c r="AK34" i="52"/>
  <c r="AK33" i="4"/>
  <c r="AL33" i="31"/>
  <c r="AL33" i="38"/>
  <c r="AL33" i="53"/>
  <c r="AK33" i="7"/>
  <c r="AK33" i="25"/>
  <c r="AK33" i="55"/>
  <c r="AI32" i="5"/>
  <c r="AL32" i="31"/>
  <c r="AL32" i="30"/>
  <c r="AL32" i="48"/>
  <c r="AL32" i="28"/>
  <c r="AK32" i="37"/>
  <c r="AK32" i="40"/>
  <c r="AK32" i="39"/>
  <c r="AK32" i="52"/>
  <c r="AL31" i="7"/>
  <c r="AL31" i="32"/>
  <c r="AL31" i="52"/>
  <c r="AL31" i="54"/>
  <c r="AK31" i="27"/>
  <c r="AK31" i="33"/>
  <c r="AL31" i="47"/>
  <c r="AL31" i="41"/>
  <c r="AL30" i="6"/>
  <c r="AL30" i="8"/>
  <c r="AL30" i="20"/>
  <c r="AL30" i="39"/>
  <c r="AL30" i="46"/>
  <c r="AL30" i="49"/>
  <c r="AL30" i="29"/>
  <c r="AL30" i="45"/>
  <c r="AK30" i="25"/>
  <c r="AK30" i="30"/>
  <c r="AK30" i="55"/>
  <c r="AL29" i="35"/>
  <c r="AL29" i="44"/>
  <c r="AL29" i="46"/>
  <c r="AL29" i="51"/>
  <c r="AL29" i="53"/>
  <c r="AL29" i="5"/>
  <c r="AL29" i="6"/>
  <c r="AL29" i="20"/>
  <c r="AL29" i="21"/>
  <c r="AL29" i="38"/>
  <c r="AK29" i="54"/>
  <c r="AK29" i="37"/>
  <c r="AK29" i="52"/>
  <c r="AK29" i="7"/>
  <c r="AK29" i="36"/>
  <c r="AK29" i="40"/>
  <c r="AL28" i="29"/>
  <c r="AL28" i="39"/>
  <c r="AL28" i="49"/>
  <c r="AL28" i="6"/>
  <c r="AL28" i="20"/>
  <c r="AK28" i="34"/>
  <c r="AL28" i="38"/>
  <c r="AL28" i="45"/>
  <c r="AK28" i="30"/>
  <c r="AK28" i="55"/>
  <c r="AK28" i="25"/>
  <c r="AK27" i="7"/>
  <c r="AK27" i="40"/>
  <c r="AK27" i="36"/>
  <c r="AK27" i="37"/>
  <c r="AK27" i="52"/>
  <c r="AL27" i="27"/>
  <c r="AL27" i="35"/>
  <c r="AL27" i="44"/>
  <c r="AL27" i="51"/>
  <c r="AL27" i="53"/>
  <c r="AL27" i="6"/>
  <c r="AL27" i="20"/>
  <c r="AL27" i="21"/>
  <c r="AL27" i="38"/>
  <c r="AL27" i="41"/>
  <c r="AK27" i="54"/>
  <c r="AL26" i="27"/>
  <c r="AL26" i="28"/>
  <c r="AL26" i="30"/>
  <c r="AL26" i="39"/>
  <c r="AL26" i="48"/>
  <c r="AK26" i="54"/>
  <c r="AK26" i="25"/>
  <c r="AK26" i="29"/>
  <c r="AK26" i="55"/>
  <c r="AL25" i="7"/>
  <c r="AK25" i="26"/>
  <c r="AL25" i="32"/>
  <c r="AK25" i="43"/>
  <c r="AL25" i="55"/>
  <c r="AL25" i="25"/>
  <c r="AL25" i="29"/>
  <c r="AL25" i="39"/>
  <c r="AL25" i="47"/>
  <c r="AL25" i="5"/>
  <c r="AK25" i="31"/>
  <c r="BA63" i="4"/>
  <c r="BB63" s="1"/>
  <c r="BA59" i="25"/>
  <c r="BB59" s="1"/>
  <c r="BA67" i="36"/>
  <c r="BB67" s="1"/>
  <c r="BA67" i="28"/>
  <c r="BB67" s="1"/>
  <c r="BA59" i="3"/>
  <c r="BB59" s="1"/>
  <c r="BA65" i="31"/>
  <c r="BB65" s="1"/>
  <c r="BA67" i="44"/>
  <c r="BB67" s="1"/>
  <c r="BA65" i="4"/>
  <c r="BB65" s="1"/>
  <c r="BA58" i="54"/>
  <c r="BA68" i="31"/>
  <c r="BB68" s="1"/>
  <c r="BA63" i="32"/>
  <c r="BB63" s="1"/>
  <c r="AL24" i="19"/>
  <c r="AL24" i="32"/>
  <c r="AK24" i="35"/>
  <c r="AL24" i="38"/>
  <c r="AL24" i="45"/>
  <c r="AL24" i="53"/>
  <c r="R53" i="2"/>
  <c r="AL24" i="20"/>
  <c r="AL24" i="46"/>
  <c r="AK24" i="30"/>
  <c r="AK24" i="37"/>
  <c r="AK24" i="40"/>
  <c r="AK24" i="52"/>
  <c r="AL23" i="27"/>
  <c r="AL23" i="38"/>
  <c r="AL23" i="42"/>
  <c r="AL23" i="51"/>
  <c r="AL23" i="53"/>
  <c r="AL23" i="33"/>
  <c r="AL23" i="44"/>
  <c r="AL23" i="46"/>
  <c r="AK23" i="54"/>
  <c r="AK23" i="7"/>
  <c r="AK23" i="39"/>
  <c r="R54" i="2"/>
  <c r="AK23" i="25"/>
  <c r="AI23" i="35"/>
  <c r="AK23" i="55"/>
  <c r="AL22" i="38"/>
  <c r="AL22" i="43"/>
  <c r="AL22" i="45"/>
  <c r="AL22" i="49"/>
  <c r="AL22" i="50"/>
  <c r="AL22" i="53"/>
  <c r="AK22" i="52"/>
  <c r="R51" i="2"/>
  <c r="AK22" i="30"/>
  <c r="AK22" i="40"/>
  <c r="AL21" i="5"/>
  <c r="AL21" i="38"/>
  <c r="AL21" i="51"/>
  <c r="AL21" i="53"/>
  <c r="R30" i="2"/>
  <c r="R42"/>
  <c r="R46"/>
  <c r="R52"/>
  <c r="AL21" i="20"/>
  <c r="AL21" i="21"/>
  <c r="AL21" i="44"/>
  <c r="AL21" i="46"/>
  <c r="AK21" i="54"/>
  <c r="AK21" i="25"/>
  <c r="AK21" i="39"/>
  <c r="AK21" i="29"/>
  <c r="AL20" i="25"/>
  <c r="AL20" i="48"/>
  <c r="AK20" i="54"/>
  <c r="R28" i="2"/>
  <c r="R47"/>
  <c r="AL20" i="7"/>
  <c r="AL20" i="19"/>
  <c r="AL20" i="30"/>
  <c r="AL20" i="37"/>
  <c r="AK20" i="52"/>
  <c r="AK20" i="36"/>
  <c r="AK20" i="40"/>
  <c r="AL18" i="19"/>
  <c r="AL18" i="29"/>
  <c r="AL18" i="53"/>
  <c r="AL18" i="38"/>
  <c r="AK18" i="3"/>
  <c r="AL17" i="7"/>
  <c r="AL17" i="39"/>
  <c r="AL17" i="46"/>
  <c r="AL17" i="53"/>
  <c r="AL17" i="28"/>
  <c r="AL17" i="38"/>
  <c r="AL17" i="44"/>
  <c r="AL17" i="51"/>
  <c r="AK17" i="54"/>
  <c r="AK17" i="36"/>
  <c r="AK17" i="40"/>
  <c r="AK17" i="52"/>
  <c r="AL16" i="29"/>
  <c r="AL16" i="53"/>
  <c r="AK16" i="34"/>
  <c r="AL16" i="38"/>
  <c r="AL16" i="39"/>
  <c r="AL16" i="43"/>
  <c r="AL16" i="49"/>
  <c r="AL16" i="50"/>
  <c r="AK16" i="30"/>
  <c r="AL15" i="6"/>
  <c r="AL15" i="27"/>
  <c r="AL15" i="33"/>
  <c r="AL15" i="39"/>
  <c r="AL15" i="46"/>
  <c r="AL15" i="47"/>
  <c r="AL15" i="48"/>
  <c r="AL15" i="53"/>
  <c r="AK15" i="20"/>
  <c r="AL15" i="38"/>
  <c r="AL15" i="44"/>
  <c r="AL15" i="51"/>
  <c r="AK15" i="36"/>
  <c r="AK15" i="40"/>
  <c r="AL14" i="5"/>
  <c r="AK14" i="20"/>
  <c r="AL14" i="21"/>
  <c r="AL14" i="25"/>
  <c r="AL14" i="33"/>
  <c r="AK14" i="35"/>
  <c r="AK14" i="54"/>
  <c r="AK14" i="19"/>
  <c r="AL14" i="30"/>
  <c r="AK14" i="29"/>
  <c r="AK14" i="52"/>
  <c r="AK14" i="39"/>
  <c r="AL13" i="7"/>
  <c r="AJ13" i="29"/>
  <c r="AL13" i="36"/>
  <c r="AK13" i="43"/>
  <c r="AL13" i="50"/>
  <c r="AL13" i="32"/>
  <c r="AK13" i="45"/>
  <c r="AL13" i="28"/>
  <c r="AK13" i="37"/>
  <c r="AL12" i="53"/>
  <c r="AL12" i="38"/>
  <c r="AL12" i="39"/>
  <c r="AK12" i="21"/>
  <c r="AK12" i="30"/>
  <c r="AK12" i="40"/>
  <c r="AL11" i="6"/>
  <c r="AK11" i="20"/>
  <c r="AL11" i="27"/>
  <c r="AL11" i="33"/>
  <c r="AL11" i="46"/>
  <c r="AL11" i="47"/>
  <c r="AL11" i="48"/>
  <c r="AL11" i="51"/>
  <c r="AL11" i="53"/>
  <c r="AK11" i="19"/>
  <c r="AL11" i="38"/>
  <c r="AL11" i="41"/>
  <c r="AL11" i="44"/>
  <c r="AK11" i="54"/>
  <c r="AK11" i="7"/>
  <c r="AK11" i="52"/>
  <c r="BA60" i="3"/>
  <c r="BB60" s="1"/>
  <c r="BA62" i="5"/>
  <c r="BB62" s="1"/>
  <c r="AK63"/>
  <c r="BA63"/>
  <c r="BB63" s="1"/>
  <c r="AK64"/>
  <c r="BA64"/>
  <c r="BB64" s="1"/>
  <c r="AK65"/>
  <c r="BA67"/>
  <c r="BB67" s="1"/>
  <c r="AK13" i="6"/>
  <c r="AL20"/>
  <c r="AL32"/>
  <c r="AL38"/>
  <c r="AL44"/>
  <c r="AL50"/>
  <c r="AK12" i="7"/>
  <c r="AL19"/>
  <c r="AK22"/>
  <c r="AK24"/>
  <c r="AK32"/>
  <c r="AK34"/>
  <c r="AK36"/>
  <c r="AK39"/>
  <c r="AK41"/>
  <c r="AL43"/>
  <c r="AK44"/>
  <c r="AK46"/>
  <c r="AK48"/>
  <c r="AL59"/>
  <c r="AL60"/>
  <c r="AK66"/>
  <c r="AK13" i="8"/>
  <c r="AL16"/>
  <c r="AL19"/>
  <c r="AL23"/>
  <c r="AL24"/>
  <c r="AL32"/>
  <c r="AK34"/>
  <c r="AK36"/>
  <c r="AL38"/>
  <c r="AK40"/>
  <c r="AK42"/>
  <c r="AL44"/>
  <c r="AK46"/>
  <c r="AK48"/>
  <c r="AL50"/>
  <c r="AK52"/>
  <c r="AK54"/>
  <c r="BA58"/>
  <c r="AL59"/>
  <c r="AK60"/>
  <c r="AK61"/>
  <c r="AK64"/>
  <c r="AK65"/>
  <c r="AL86"/>
  <c r="AL15" i="19"/>
  <c r="AK60"/>
  <c r="BA60"/>
  <c r="BB60" s="1"/>
  <c r="AK61"/>
  <c r="BA61"/>
  <c r="BB61" s="1"/>
  <c r="AK62"/>
  <c r="BA62"/>
  <c r="BB62" s="1"/>
  <c r="AK63"/>
  <c r="BA63"/>
  <c r="BB63" s="1"/>
  <c r="AK64"/>
  <c r="BA64"/>
  <c r="BB64" s="1"/>
  <c r="AK65"/>
  <c r="AL17" i="20"/>
  <c r="AL26"/>
  <c r="AL32"/>
  <c r="AL38"/>
  <c r="AK40"/>
  <c r="AK42"/>
  <c r="AL44"/>
  <c r="AK46"/>
  <c r="AK48"/>
  <c r="AL50"/>
  <c r="AK52"/>
  <c r="AK64"/>
  <c r="BA60" i="21"/>
  <c r="BB60" s="1"/>
  <c r="AK61"/>
  <c r="AK66"/>
  <c r="AL78"/>
  <c r="AK13" i="25"/>
  <c r="AL18"/>
  <c r="AK22"/>
  <c r="AK24"/>
  <c r="AK27"/>
  <c r="AK29"/>
  <c r="AL31"/>
  <c r="AK32"/>
  <c r="AK34"/>
  <c r="AK36"/>
  <c r="AK39"/>
  <c r="AK41"/>
  <c r="AL43"/>
  <c r="AK44"/>
  <c r="AK46"/>
  <c r="AK48"/>
  <c r="AK51"/>
  <c r="AK53"/>
  <c r="AK62"/>
  <c r="AK66"/>
  <c r="Q3" i="5"/>
  <c r="F23" i="22" s="1"/>
  <c r="AL11" i="5"/>
  <c r="AL17"/>
  <c r="AL31"/>
  <c r="AL33"/>
  <c r="AL35"/>
  <c r="AL39"/>
  <c r="AL41"/>
  <c r="AL45"/>
  <c r="AL47"/>
  <c r="AL51"/>
  <c r="AL53"/>
  <c r="AL52" i="6"/>
  <c r="AL53"/>
  <c r="AK54"/>
  <c r="AL55"/>
  <c r="AK61"/>
  <c r="AK62"/>
  <c r="AK66"/>
  <c r="AK71"/>
  <c r="AK73"/>
  <c r="AL78"/>
  <c r="AK26" i="7"/>
  <c r="AK28"/>
  <c r="AK30"/>
  <c r="AK38"/>
  <c r="AK50"/>
  <c r="AK52"/>
  <c r="AK54"/>
  <c r="BA59" i="8"/>
  <c r="BB59" s="1"/>
  <c r="BA63"/>
  <c r="BB63" s="1"/>
  <c r="AK34" i="19"/>
  <c r="AK40"/>
  <c r="AK42"/>
  <c r="AL44"/>
  <c r="AK46"/>
  <c r="AK48"/>
  <c r="AL50"/>
  <c r="AK52"/>
  <c r="BA62" i="20"/>
  <c r="BB62" s="1"/>
  <c r="AL82"/>
  <c r="AL86"/>
  <c r="Q3" i="21"/>
  <c r="F60" i="22" s="1"/>
  <c r="AL11" i="21"/>
  <c r="AL17"/>
  <c r="AL20"/>
  <c r="AK24"/>
  <c r="AL26"/>
  <c r="AK28"/>
  <c r="AK30"/>
  <c r="AL32"/>
  <c r="AK34"/>
  <c r="AK36"/>
  <c r="AL38"/>
  <c r="AK40"/>
  <c r="AK42"/>
  <c r="AL44"/>
  <c r="AK46"/>
  <c r="AK48"/>
  <c r="AL50"/>
  <c r="AK52"/>
  <c r="AK19" i="26"/>
  <c r="AK31"/>
  <c r="AL40"/>
  <c r="AL46"/>
  <c r="AL52"/>
  <c r="AL71"/>
  <c r="AL72"/>
  <c r="AK78"/>
  <c r="AK86"/>
  <c r="AK13" i="27"/>
  <c r="AL17"/>
  <c r="AL20"/>
  <c r="AL21"/>
  <c r="AK25"/>
  <c r="AL29"/>
  <c r="AL32"/>
  <c r="AL33"/>
  <c r="AK37"/>
  <c r="AL41"/>
  <c r="AL44"/>
  <c r="AL45"/>
  <c r="AK49"/>
  <c r="BA58"/>
  <c r="BB58" s="1"/>
  <c r="BA68"/>
  <c r="BB68" s="1"/>
  <c r="AL78"/>
  <c r="AL19" i="28"/>
  <c r="AL21"/>
  <c r="AL30"/>
  <c r="AL35"/>
  <c r="AL38"/>
  <c r="AL40"/>
  <c r="AL44"/>
  <c r="AL45"/>
  <c r="AL54"/>
  <c r="AL60"/>
  <c r="AL62"/>
  <c r="AL64"/>
  <c r="AL66"/>
  <c r="AW92" i="29"/>
  <c r="AL12"/>
  <c r="AK15"/>
  <c r="AL19"/>
  <c r="AK20"/>
  <c r="AL22"/>
  <c r="AL24"/>
  <c r="AK27"/>
  <c r="AK31"/>
  <c r="AL34"/>
  <c r="AL36"/>
  <c r="AW91"/>
  <c r="AK39"/>
  <c r="AJ43"/>
  <c r="AL46"/>
  <c r="AL48"/>
  <c r="AL60"/>
  <c r="AL61"/>
  <c r="AL64"/>
  <c r="AL65"/>
  <c r="AK72"/>
  <c r="AL73"/>
  <c r="AL11" i="30"/>
  <c r="AL15"/>
  <c r="AL17"/>
  <c r="AL21"/>
  <c r="AL23"/>
  <c r="AL27"/>
  <c r="AL29"/>
  <c r="AL33"/>
  <c r="AL35"/>
  <c r="AL39"/>
  <c r="AL41"/>
  <c r="AL45"/>
  <c r="AL47"/>
  <c r="AL51"/>
  <c r="AL53"/>
  <c r="BA67"/>
  <c r="BB67" s="1"/>
  <c r="BA59"/>
  <c r="BB59" s="1"/>
  <c r="BA68"/>
  <c r="BB68" s="1"/>
  <c r="AL62"/>
  <c r="AJ63"/>
  <c r="AL64"/>
  <c r="AL66"/>
  <c r="AL71"/>
  <c r="AL77"/>
  <c r="Q3" i="31"/>
  <c r="F26" i="22" s="1"/>
  <c r="AL11" i="31"/>
  <c r="AL14"/>
  <c r="AL16"/>
  <c r="AL22"/>
  <c r="AL26"/>
  <c r="AL27"/>
  <c r="AK31"/>
  <c r="AL35"/>
  <c r="AL38"/>
  <c r="AL39"/>
  <c r="AK43"/>
  <c r="AL47"/>
  <c r="AL50"/>
  <c r="AL51"/>
  <c r="AK55"/>
  <c r="BA67"/>
  <c r="BB67" s="1"/>
  <c r="AK82"/>
  <c r="AL16" i="32"/>
  <c r="AL22"/>
  <c r="AL28"/>
  <c r="AL34"/>
  <c r="AL40"/>
  <c r="AL46"/>
  <c r="AL52"/>
  <c r="AL71"/>
  <c r="AL72"/>
  <c r="AK78"/>
  <c r="AK86"/>
  <c r="AK13" i="33"/>
  <c r="AL17"/>
  <c r="AL20"/>
  <c r="AL21"/>
  <c r="AK25"/>
  <c r="AL29"/>
  <c r="AL32"/>
  <c r="AL33"/>
  <c r="AK37"/>
  <c r="AL41"/>
  <c r="AL44"/>
  <c r="AL45"/>
  <c r="AL54"/>
  <c r="AL65"/>
  <c r="AK52" i="34"/>
  <c r="AL72"/>
  <c r="AL82"/>
  <c r="BA59" i="35"/>
  <c r="BB59" s="1"/>
  <c r="BA68"/>
  <c r="BB68" s="1"/>
  <c r="AK11" i="36"/>
  <c r="AK14"/>
  <c r="AL16"/>
  <c r="AL18"/>
  <c r="AK21"/>
  <c r="AK23"/>
  <c r="AL25"/>
  <c r="AK26"/>
  <c r="AL28"/>
  <c r="AL38"/>
  <c r="AL44"/>
  <c r="AL50"/>
  <c r="AL59"/>
  <c r="BA59"/>
  <c r="BB59" s="1"/>
  <c r="AL60"/>
  <c r="BA60"/>
  <c r="BB60" s="1"/>
  <c r="AL61"/>
  <c r="BA61"/>
  <c r="BB61" s="1"/>
  <c r="AL62"/>
  <c r="BA68"/>
  <c r="BB68" s="1"/>
  <c r="AL66"/>
  <c r="AL77"/>
  <c r="AK86"/>
  <c r="AL14" i="37"/>
  <c r="AK15"/>
  <c r="AL19"/>
  <c r="AL22"/>
  <c r="AK23"/>
  <c r="AL25"/>
  <c r="AK26"/>
  <c r="AK28"/>
  <c r="AK30"/>
  <c r="AK33"/>
  <c r="AK35"/>
  <c r="AL37"/>
  <c r="AK38"/>
  <c r="AK40"/>
  <c r="AK42"/>
  <c r="AK45"/>
  <c r="AK47"/>
  <c r="AL49"/>
  <c r="AK50"/>
  <c r="AL52"/>
  <c r="AK54"/>
  <c r="AL55"/>
  <c r="AL70"/>
  <c r="AL72"/>
  <c r="AL78"/>
  <c r="AL82"/>
  <c r="AL86"/>
  <c r="AL14" i="38"/>
  <c r="AL20"/>
  <c r="AL26"/>
  <c r="AL32"/>
  <c r="AL38"/>
  <c r="AK40"/>
  <c r="AK42"/>
  <c r="AL44"/>
  <c r="AK46"/>
  <c r="AK48"/>
  <c r="AL50"/>
  <c r="AK52"/>
  <c r="AK54"/>
  <c r="BA58"/>
  <c r="AL59"/>
  <c r="AK60"/>
  <c r="AK61"/>
  <c r="AK64"/>
  <c r="AK65"/>
  <c r="AK71"/>
  <c r="AK73"/>
  <c r="AL78"/>
  <c r="AL18" i="39"/>
  <c r="AL19"/>
  <c r="AL20"/>
  <c r="AK22"/>
  <c r="AK24"/>
  <c r="AK27"/>
  <c r="AL29"/>
  <c r="AL33"/>
  <c r="AK34"/>
  <c r="AK36"/>
  <c r="AK39"/>
  <c r="AL41"/>
  <c r="AL45"/>
  <c r="AK46"/>
  <c r="AK48"/>
  <c r="AK51"/>
  <c r="AK53"/>
  <c r="AL55"/>
  <c r="BA68"/>
  <c r="BB68" s="1"/>
  <c r="AL63"/>
  <c r="AL64"/>
  <c r="AK71"/>
  <c r="AK73"/>
  <c r="AL78"/>
  <c r="AK11" i="40"/>
  <c r="AL13"/>
  <c r="AK14"/>
  <c r="AK16"/>
  <c r="AK18"/>
  <c r="AK21"/>
  <c r="AK23"/>
  <c r="AL25"/>
  <c r="AK26"/>
  <c r="AK28"/>
  <c r="AK30"/>
  <c r="AK33"/>
  <c r="AK36"/>
  <c r="AL37"/>
  <c r="AK42"/>
  <c r="AL43"/>
  <c r="AL55"/>
  <c r="BA67"/>
  <c r="BB67" s="1"/>
  <c r="AL73"/>
  <c r="AL77"/>
  <c r="AL13" i="41"/>
  <c r="AL15"/>
  <c r="AL19"/>
  <c r="AL23"/>
  <c r="AL37"/>
  <c r="AL39"/>
  <c r="AL43"/>
  <c r="AL47"/>
  <c r="AL13" i="42"/>
  <c r="AL17"/>
  <c r="AL25"/>
  <c r="AL27"/>
  <c r="AL31"/>
  <c r="AL50"/>
  <c r="BA58"/>
  <c r="AL59"/>
  <c r="AK78"/>
  <c r="AL12" i="43"/>
  <c r="AL24"/>
  <c r="BA68" i="44"/>
  <c r="BB68" s="1"/>
  <c r="AL61"/>
  <c r="AL65"/>
  <c r="AL12" i="45"/>
  <c r="AL34"/>
  <c r="AL36"/>
  <c r="AL60"/>
  <c r="AL61"/>
  <c r="AL64"/>
  <c r="AL65"/>
  <c r="AK72"/>
  <c r="AL73"/>
  <c r="AL35" i="46"/>
  <c r="AL36"/>
  <c r="AL39"/>
  <c r="AL40"/>
  <c r="AL41"/>
  <c r="AL42"/>
  <c r="AL45"/>
  <c r="AL46"/>
  <c r="AL47"/>
  <c r="AL48"/>
  <c r="AL51"/>
  <c r="AL53"/>
  <c r="BA58"/>
  <c r="AL73"/>
  <c r="AL77"/>
  <c r="AL13" i="47"/>
  <c r="AL23"/>
  <c r="AL60"/>
  <c r="AL61"/>
  <c r="AL64"/>
  <c r="AL65"/>
  <c r="AK72"/>
  <c r="AL73"/>
  <c r="AL17" i="48"/>
  <c r="AL21"/>
  <c r="AL23"/>
  <c r="AL27"/>
  <c r="AL29"/>
  <c r="AL33"/>
  <c r="AL35"/>
  <c r="AL39"/>
  <c r="AL41"/>
  <c r="AL45"/>
  <c r="AL47"/>
  <c r="AL51"/>
  <c r="AL53"/>
  <c r="BA58"/>
  <c r="AL60"/>
  <c r="AL64"/>
  <c r="AK78"/>
  <c r="AL12" i="49"/>
  <c r="AL13"/>
  <c r="AL18"/>
  <c r="AL19"/>
  <c r="AL24"/>
  <c r="AL25"/>
  <c r="AL31"/>
  <c r="AL36"/>
  <c r="AL37"/>
  <c r="AL42"/>
  <c r="AL43"/>
  <c r="AL48"/>
  <c r="AL49"/>
  <c r="AL54"/>
  <c r="AL55"/>
  <c r="AL70"/>
  <c r="AL73"/>
  <c r="AL82"/>
  <c r="AL20" i="50"/>
  <c r="AL25"/>
  <c r="AL28"/>
  <c r="AL34"/>
  <c r="AL44"/>
  <c r="AK47"/>
  <c r="AL49"/>
  <c r="AK50"/>
  <c r="AL52"/>
  <c r="AL54"/>
  <c r="AK59"/>
  <c r="AK62"/>
  <c r="AK63"/>
  <c r="AK66"/>
  <c r="AL70"/>
  <c r="AL71"/>
  <c r="AK77"/>
  <c r="AL82"/>
  <c r="AK12" i="51"/>
  <c r="AL14"/>
  <c r="AK16"/>
  <c r="AK18"/>
  <c r="AL20"/>
  <c r="AK22"/>
  <c r="AK24"/>
  <c r="AL26"/>
  <c r="AK28"/>
  <c r="AK30"/>
  <c r="AL32"/>
  <c r="AK34"/>
  <c r="AK36"/>
  <c r="AL38"/>
  <c r="AK40"/>
  <c r="AK42"/>
  <c r="AL44"/>
  <c r="AK46"/>
  <c r="AK48"/>
  <c r="AL50"/>
  <c r="AK52"/>
  <c r="AK54"/>
  <c r="BA58"/>
  <c r="AK59"/>
  <c r="AL77"/>
  <c r="AW92"/>
  <c r="AK12" i="52"/>
  <c r="AK15"/>
  <c r="AL41" i="53"/>
  <c r="AL45"/>
  <c r="AL47"/>
  <c r="AL51"/>
  <c r="AL53"/>
  <c r="AK61"/>
  <c r="AK64"/>
  <c r="AK65"/>
  <c r="AK71"/>
  <c r="AK73"/>
  <c r="AL78"/>
  <c r="AK15" i="54"/>
  <c r="AL33"/>
  <c r="AK43"/>
  <c r="BA67" i="55"/>
  <c r="BB67" s="1"/>
  <c r="AL61" i="33"/>
  <c r="AK12" i="34"/>
  <c r="AL13"/>
  <c r="AK18"/>
  <c r="AL19"/>
  <c r="AK24"/>
  <c r="AL25"/>
  <c r="AK30"/>
  <c r="AL31"/>
  <c r="AK36"/>
  <c r="AL37"/>
  <c r="AK28" i="35"/>
  <c r="AK30"/>
  <c r="AL32"/>
  <c r="AK34"/>
  <c r="AK36"/>
  <c r="AL38"/>
  <c r="AK40"/>
  <c r="AK42"/>
  <c r="AL44"/>
  <c r="AK46"/>
  <c r="AK48"/>
  <c r="AL50"/>
  <c r="AK52"/>
  <c r="AK54"/>
  <c r="AL59"/>
  <c r="AK60"/>
  <c r="AK61"/>
  <c r="AK64"/>
  <c r="AK65"/>
  <c r="AK71"/>
  <c r="AK73"/>
  <c r="BA59" i="38"/>
  <c r="BB59" s="1"/>
  <c r="BA68"/>
  <c r="BB68" s="1"/>
  <c r="AK11" i="39"/>
  <c r="BA59" i="42"/>
  <c r="BB59" s="1"/>
  <c r="BA68"/>
  <c r="BB68" s="1"/>
  <c r="AL18" i="43"/>
  <c r="AL28"/>
  <c r="AL30"/>
  <c r="AK37"/>
  <c r="AL40"/>
  <c r="AL42"/>
  <c r="AK49"/>
  <c r="AL52"/>
  <c r="AL54"/>
  <c r="AL59"/>
  <c r="AL63"/>
  <c r="AK70"/>
  <c r="AL71"/>
  <c r="AK82"/>
  <c r="AL14" i="44"/>
  <c r="AL20"/>
  <c r="AL26"/>
  <c r="AL32"/>
  <c r="AL38"/>
  <c r="AL44"/>
  <c r="AL50"/>
  <c r="BA58"/>
  <c r="AL16" i="45"/>
  <c r="AL18"/>
  <c r="AK25"/>
  <c r="AK49"/>
  <c r="AL52"/>
  <c r="AL54"/>
  <c r="AL14" i="46"/>
  <c r="AL20"/>
  <c r="AL26"/>
  <c r="AL32"/>
  <c r="BA59"/>
  <c r="BB59" s="1"/>
  <c r="BA68"/>
  <c r="BB68" s="1"/>
  <c r="AL35" i="47"/>
  <c r="AL49"/>
  <c r="AL51"/>
  <c r="AL54"/>
  <c r="AL14" i="48"/>
  <c r="BA65"/>
  <c r="BB65" s="1"/>
  <c r="BA68" i="51"/>
  <c r="BB68" s="1"/>
  <c r="AK60"/>
  <c r="AK61"/>
  <c r="AK65"/>
  <c r="AK16" i="52"/>
  <c r="AK18"/>
  <c r="AK21"/>
  <c r="AK23"/>
  <c r="AL25"/>
  <c r="AK26"/>
  <c r="AK28"/>
  <c r="AK30"/>
  <c r="AK33"/>
  <c r="AK35"/>
  <c r="AL37"/>
  <c r="AK38"/>
  <c r="AK40"/>
  <c r="AK42"/>
  <c r="AK45"/>
  <c r="AK47"/>
  <c r="AL49"/>
  <c r="AL54"/>
  <c r="BA67"/>
  <c r="BB67" s="1"/>
  <c r="AL72"/>
  <c r="AL82"/>
  <c r="AL14" i="53"/>
  <c r="AL20"/>
  <c r="AL26"/>
  <c r="AK28"/>
  <c r="AK30"/>
  <c r="AL32"/>
  <c r="AK34"/>
  <c r="AK36"/>
  <c r="AL59" i="54"/>
  <c r="BA59"/>
  <c r="BB59" s="1"/>
  <c r="AL60"/>
  <c r="BA68"/>
  <c r="BB68" s="1"/>
  <c r="AL62"/>
  <c r="AL63"/>
  <c r="AL66"/>
  <c r="AL77"/>
  <c r="AK86"/>
  <c r="AL14" i="55"/>
  <c r="AL15"/>
  <c r="AL20"/>
  <c r="AK24"/>
  <c r="AK27"/>
  <c r="AK29"/>
  <c r="AL31"/>
  <c r="AK32"/>
  <c r="AK34"/>
  <c r="AK36"/>
  <c r="AK39"/>
  <c r="AK41"/>
  <c r="AL43"/>
  <c r="AK44"/>
  <c r="AK46"/>
  <c r="AK48"/>
  <c r="AK51"/>
  <c r="AK53"/>
  <c r="AL78"/>
  <c r="AL82"/>
  <c r="AL86"/>
  <c r="BA67" i="34"/>
  <c r="BB67" s="1"/>
  <c r="BA65"/>
  <c r="BB65" s="1"/>
  <c r="BA63"/>
  <c r="BB63" s="1"/>
  <c r="BA61"/>
  <c r="BB61" s="1"/>
  <c r="BA59"/>
  <c r="BB59" s="1"/>
  <c r="BA58"/>
  <c r="AL63"/>
  <c r="AK63"/>
  <c r="BA66" i="3"/>
  <c r="BB66" s="1"/>
  <c r="BA64"/>
  <c r="BB64" s="1"/>
  <c r="BA62"/>
  <c r="BB62" s="1"/>
  <c r="AL36" i="4"/>
  <c r="BA68"/>
  <c r="BB68" s="1"/>
  <c r="BA60"/>
  <c r="BA62"/>
  <c r="BB62" s="1"/>
  <c r="BA64"/>
  <c r="BB64" s="1"/>
  <c r="BA66"/>
  <c r="BB66" s="1"/>
  <c r="BA67"/>
  <c r="BB67" s="1"/>
  <c r="AL12" i="5"/>
  <c r="AG12"/>
  <c r="AI12" s="1"/>
  <c r="AK13"/>
  <c r="AK17"/>
  <c r="AK21"/>
  <c r="AL23"/>
  <c r="AG23"/>
  <c r="AH25"/>
  <c r="AL27"/>
  <c r="AG27"/>
  <c r="AK29"/>
  <c r="AK33"/>
  <c r="AL34"/>
  <c r="AG34"/>
  <c r="AK35"/>
  <c r="AL36"/>
  <c r="AG36"/>
  <c r="AL37"/>
  <c r="AK38"/>
  <c r="AK39"/>
  <c r="AL40"/>
  <c r="AG40"/>
  <c r="AK41"/>
  <c r="AL42"/>
  <c r="AG42"/>
  <c r="AL43"/>
  <c r="AK44"/>
  <c r="AK45"/>
  <c r="AL46"/>
  <c r="AG46"/>
  <c r="AK47"/>
  <c r="AL48"/>
  <c r="AG48"/>
  <c r="AL49"/>
  <c r="AK50"/>
  <c r="AK51"/>
  <c r="AL52"/>
  <c r="AG52"/>
  <c r="AK53"/>
  <c r="AK54"/>
  <c r="AL55"/>
  <c r="AG55"/>
  <c r="BA65"/>
  <c r="BB65" s="1"/>
  <c r="AK66"/>
  <c r="BA66"/>
  <c r="BB66" s="1"/>
  <c r="AK71"/>
  <c r="AK73"/>
  <c r="AK77"/>
  <c r="AL12" i="6"/>
  <c r="AL13"/>
  <c r="AG13"/>
  <c r="AL16"/>
  <c r="AK20"/>
  <c r="AL24"/>
  <c r="AG24"/>
  <c r="AL26"/>
  <c r="AG26"/>
  <c r="AI26" s="1"/>
  <c r="AK27"/>
  <c r="AK28"/>
  <c r="AK29"/>
  <c r="AK30"/>
  <c r="AL31"/>
  <c r="AK32"/>
  <c r="AK33"/>
  <c r="AK34"/>
  <c r="AK35"/>
  <c r="AK36"/>
  <c r="AL37"/>
  <c r="AK38"/>
  <c r="AK39"/>
  <c r="AK40"/>
  <c r="AK41"/>
  <c r="AK42"/>
  <c r="AL43"/>
  <c r="AK44"/>
  <c r="AK45"/>
  <c r="AK46"/>
  <c r="AK47"/>
  <c r="AK48"/>
  <c r="AL49"/>
  <c r="AK50"/>
  <c r="AK51"/>
  <c r="AK52"/>
  <c r="AK53"/>
  <c r="BA58"/>
  <c r="BA59"/>
  <c r="BB59" s="1"/>
  <c r="AK60"/>
  <c r="AG60"/>
  <c r="BA60"/>
  <c r="BB60" s="1"/>
  <c r="AL61"/>
  <c r="AG61"/>
  <c r="BA61"/>
  <c r="BB61" s="1"/>
  <c r="AL62"/>
  <c r="AG62"/>
  <c r="BA62"/>
  <c r="BB62" s="1"/>
  <c r="AK63"/>
  <c r="AK64"/>
  <c r="AL65"/>
  <c r="AG65"/>
  <c r="BA65"/>
  <c r="BB65" s="1"/>
  <c r="AL66"/>
  <c r="AG66"/>
  <c r="BA66"/>
  <c r="BB66" s="1"/>
  <c r="BA67"/>
  <c r="BB67" s="1"/>
  <c r="BA68"/>
  <c r="BB68" s="1"/>
  <c r="AL70"/>
  <c r="AL71"/>
  <c r="AG71"/>
  <c r="AL72"/>
  <c r="AL73"/>
  <c r="AG73"/>
  <c r="AK77"/>
  <c r="AL82"/>
  <c r="AL11" i="7"/>
  <c r="AG11"/>
  <c r="AL12"/>
  <c r="AG12"/>
  <c r="AK14"/>
  <c r="AG14"/>
  <c r="AL15"/>
  <c r="AG15"/>
  <c r="AK17"/>
  <c r="AK20"/>
  <c r="AL21"/>
  <c r="AG21"/>
  <c r="AI21" s="1"/>
  <c r="AL22"/>
  <c r="AG22"/>
  <c r="AL23"/>
  <c r="AG23"/>
  <c r="AL24"/>
  <c r="AG24"/>
  <c r="AL26"/>
  <c r="AG26"/>
  <c r="AL27"/>
  <c r="AG27"/>
  <c r="AL28"/>
  <c r="AG28"/>
  <c r="AL29"/>
  <c r="AG29"/>
  <c r="AL30"/>
  <c r="AG30"/>
  <c r="AL32"/>
  <c r="AG32"/>
  <c r="AL33"/>
  <c r="AG33"/>
  <c r="AL34"/>
  <c r="AG34"/>
  <c r="AL35"/>
  <c r="AG35"/>
  <c r="AL36"/>
  <c r="AG36"/>
  <c r="AL38"/>
  <c r="AG38"/>
  <c r="AL39"/>
  <c r="AG39"/>
  <c r="AL40"/>
  <c r="AG40"/>
  <c r="AL41"/>
  <c r="AG41"/>
  <c r="AL42"/>
  <c r="AG42"/>
  <c r="AL44"/>
  <c r="AG44"/>
  <c r="AL45"/>
  <c r="AG45"/>
  <c r="AL46"/>
  <c r="AG46"/>
  <c r="AL47"/>
  <c r="AG47"/>
  <c r="AL48"/>
  <c r="AG48"/>
  <c r="AL50"/>
  <c r="AG50"/>
  <c r="AL51"/>
  <c r="AG51"/>
  <c r="AL52"/>
  <c r="AG52"/>
  <c r="AL53"/>
  <c r="AG53"/>
  <c r="AL54"/>
  <c r="AG54"/>
  <c r="BA58"/>
  <c r="BB58" s="1"/>
  <c r="AK59"/>
  <c r="AK60"/>
  <c r="AK61"/>
  <c r="BA61"/>
  <c r="BB61" s="1"/>
  <c r="AK62"/>
  <c r="BA62"/>
  <c r="BB62" s="1"/>
  <c r="AK63"/>
  <c r="BA63"/>
  <c r="BB63" s="1"/>
  <c r="AK64"/>
  <c r="BA64"/>
  <c r="BB64" s="1"/>
  <c r="AK65"/>
  <c r="BA67"/>
  <c r="BB67" s="1"/>
  <c r="AL70"/>
  <c r="AG70"/>
  <c r="AK71"/>
  <c r="AL72"/>
  <c r="AG72"/>
  <c r="AK73"/>
  <c r="AL82"/>
  <c r="AG82"/>
  <c r="AL12" i="8"/>
  <c r="AL13"/>
  <c r="AG13"/>
  <c r="AL15"/>
  <c r="AI17"/>
  <c r="AH19"/>
  <c r="AL21"/>
  <c r="AG21"/>
  <c r="AI21" s="1"/>
  <c r="AI22"/>
  <c r="AK23"/>
  <c r="AL26"/>
  <c r="AG26"/>
  <c r="AL28"/>
  <c r="AG28"/>
  <c r="AI28" s="1"/>
  <c r="AI29"/>
  <c r="AK30"/>
  <c r="AL31"/>
  <c r="AK32"/>
  <c r="AK33"/>
  <c r="AL34"/>
  <c r="AG34"/>
  <c r="AK35"/>
  <c r="AL36"/>
  <c r="AG36"/>
  <c r="AL37"/>
  <c r="AK38"/>
  <c r="AK39"/>
  <c r="AL40"/>
  <c r="AG40"/>
  <c r="AK41"/>
  <c r="AL42"/>
  <c r="AG42"/>
  <c r="AL43"/>
  <c r="AK44"/>
  <c r="AK45"/>
  <c r="AL46"/>
  <c r="AG46"/>
  <c r="AK47"/>
  <c r="AL48"/>
  <c r="AG48"/>
  <c r="AL49"/>
  <c r="AK50"/>
  <c r="AK51"/>
  <c r="AL52"/>
  <c r="AG52"/>
  <c r="AK53"/>
  <c r="AL54"/>
  <c r="AG54"/>
  <c r="AL55"/>
  <c r="AK59"/>
  <c r="AL60"/>
  <c r="AG60"/>
  <c r="BA60"/>
  <c r="BB60" s="1"/>
  <c r="AL61"/>
  <c r="AG61"/>
  <c r="BA61"/>
  <c r="BB61" s="1"/>
  <c r="AK62"/>
  <c r="AK63"/>
  <c r="AL64"/>
  <c r="AG64"/>
  <c r="BA64"/>
  <c r="BB64" s="1"/>
  <c r="AL65"/>
  <c r="AG65"/>
  <c r="BA65"/>
  <c r="BB65" s="1"/>
  <c r="AK66"/>
  <c r="BA67"/>
  <c r="BB67" s="1"/>
  <c r="AL70"/>
  <c r="AL71"/>
  <c r="AG71"/>
  <c r="AL72"/>
  <c r="AK73"/>
  <c r="AK77"/>
  <c r="AK12" i="19"/>
  <c r="AL13"/>
  <c r="AG13"/>
  <c r="AL16"/>
  <c r="AG16"/>
  <c r="AI16" s="1"/>
  <c r="AI17"/>
  <c r="AK18"/>
  <c r="AK20"/>
  <c r="AL22"/>
  <c r="AG22"/>
  <c r="AK24"/>
  <c r="AL26"/>
  <c r="AG26"/>
  <c r="AL28"/>
  <c r="AG28"/>
  <c r="AI28" s="1"/>
  <c r="AI29"/>
  <c r="AK30"/>
  <c r="AL32"/>
  <c r="AG32"/>
  <c r="AL34"/>
  <c r="AG34"/>
  <c r="AK35"/>
  <c r="AL36"/>
  <c r="AG36"/>
  <c r="AL37"/>
  <c r="AK38"/>
  <c r="AK39"/>
  <c r="AL40"/>
  <c r="AG40"/>
  <c r="AK41"/>
  <c r="AL42"/>
  <c r="AG42"/>
  <c r="AL43"/>
  <c r="AK44"/>
  <c r="AK45"/>
  <c r="AL46"/>
  <c r="AG46"/>
  <c r="AK47"/>
  <c r="AL48"/>
  <c r="AG48"/>
  <c r="AL49"/>
  <c r="AK50"/>
  <c r="AK51"/>
  <c r="AL52"/>
  <c r="AG52"/>
  <c r="AK54"/>
  <c r="AL55"/>
  <c r="AG55"/>
  <c r="BA65"/>
  <c r="BB65" s="1"/>
  <c r="AK66"/>
  <c r="BA66"/>
  <c r="BB66" s="1"/>
  <c r="BA68"/>
  <c r="BB68" s="1"/>
  <c r="AK71"/>
  <c r="AK73"/>
  <c r="AK77"/>
  <c r="AK12" i="20"/>
  <c r="AL13"/>
  <c r="AG13"/>
  <c r="AK17"/>
  <c r="AI20"/>
  <c r="AK21"/>
  <c r="AL23"/>
  <c r="AG23"/>
  <c r="AI23" s="1"/>
  <c r="AK24"/>
  <c r="AL25"/>
  <c r="AK26"/>
  <c r="AK27"/>
  <c r="AK28"/>
  <c r="AK29"/>
  <c r="AK30"/>
  <c r="AL31"/>
  <c r="AK32"/>
  <c r="AK33"/>
  <c r="AK34"/>
  <c r="AK35"/>
  <c r="AK36"/>
  <c r="AL37"/>
  <c r="AK38"/>
  <c r="AK39"/>
  <c r="AL40"/>
  <c r="AG40"/>
  <c r="AK41"/>
  <c r="AL42"/>
  <c r="AG42"/>
  <c r="AL43"/>
  <c r="AK44"/>
  <c r="AK45"/>
  <c r="AL46"/>
  <c r="AG46"/>
  <c r="AK47"/>
  <c r="AL48"/>
  <c r="AG48"/>
  <c r="AL49"/>
  <c r="AK50"/>
  <c r="AK51"/>
  <c r="AL52"/>
  <c r="AG52"/>
  <c r="AK54"/>
  <c r="AL55"/>
  <c r="AG55"/>
  <c r="BA65"/>
  <c r="BB65" s="1"/>
  <c r="AK66"/>
  <c r="AG66"/>
  <c r="BA66"/>
  <c r="BB66" s="1"/>
  <c r="BA68"/>
  <c r="BB68" s="1"/>
  <c r="AK71"/>
  <c r="AK73"/>
  <c r="AK77"/>
  <c r="AK11" i="21"/>
  <c r="AL12"/>
  <c r="AG12"/>
  <c r="AL13"/>
  <c r="AK14"/>
  <c r="AK15"/>
  <c r="AK17"/>
  <c r="AL24"/>
  <c r="AG24"/>
  <c r="AL25"/>
  <c r="AK26"/>
  <c r="AK27"/>
  <c r="AL28"/>
  <c r="AG28"/>
  <c r="AK29"/>
  <c r="AL30"/>
  <c r="AG30"/>
  <c r="AL31"/>
  <c r="AK32"/>
  <c r="AK33"/>
  <c r="AL34"/>
  <c r="AG34"/>
  <c r="AK35"/>
  <c r="AL36"/>
  <c r="AG36"/>
  <c r="AL37"/>
  <c r="AK38"/>
  <c r="AK39"/>
  <c r="AL40"/>
  <c r="AG40"/>
  <c r="AK41"/>
  <c r="AL42"/>
  <c r="AG42"/>
  <c r="AL43"/>
  <c r="AK44"/>
  <c r="AK45"/>
  <c r="AL46"/>
  <c r="AG46"/>
  <c r="AK47"/>
  <c r="AL48"/>
  <c r="AG48"/>
  <c r="AL49"/>
  <c r="AK50"/>
  <c r="AK51"/>
  <c r="AL52"/>
  <c r="AG52"/>
  <c r="AK54"/>
  <c r="AL55"/>
  <c r="AG55"/>
  <c r="BA65"/>
  <c r="BB65" s="1"/>
  <c r="BA66"/>
  <c r="BB66" s="1"/>
  <c r="BA68"/>
  <c r="BB68" s="1"/>
  <c r="AG77"/>
  <c r="AI77" s="1"/>
  <c r="AK16" i="25"/>
  <c r="AG18"/>
  <c r="AG20"/>
  <c r="AI20" s="1"/>
  <c r="BA61"/>
  <c r="BB61" s="1"/>
  <c r="BA62"/>
  <c r="BB62" s="1"/>
  <c r="AK63"/>
  <c r="BA63"/>
  <c r="BB63" s="1"/>
  <c r="AK64"/>
  <c r="BA64"/>
  <c r="BB64" s="1"/>
  <c r="AK65"/>
  <c r="BA67"/>
  <c r="BB67" s="1"/>
  <c r="AL70"/>
  <c r="AL72"/>
  <c r="AL78"/>
  <c r="AL82"/>
  <c r="AL86"/>
  <c r="AL11" i="26"/>
  <c r="AG11"/>
  <c r="AL12"/>
  <c r="AG12"/>
  <c r="AL14"/>
  <c r="AG14"/>
  <c r="AL15"/>
  <c r="AG15"/>
  <c r="AL16"/>
  <c r="AG16"/>
  <c r="AL17"/>
  <c r="AG17"/>
  <c r="AL18"/>
  <c r="AG18"/>
  <c r="AL20"/>
  <c r="AG20"/>
  <c r="AL21"/>
  <c r="AG21"/>
  <c r="AL22"/>
  <c r="AG22"/>
  <c r="AL23"/>
  <c r="AG23"/>
  <c r="AL24"/>
  <c r="AG24"/>
  <c r="AL26"/>
  <c r="AG26"/>
  <c r="AL27"/>
  <c r="AG27"/>
  <c r="AL28"/>
  <c r="AG28"/>
  <c r="AL29"/>
  <c r="AG29"/>
  <c r="AL30"/>
  <c r="AG30"/>
  <c r="AL32"/>
  <c r="AG32"/>
  <c r="AL33"/>
  <c r="AG33"/>
  <c r="AL34"/>
  <c r="AG34"/>
  <c r="AL36"/>
  <c r="AG36"/>
  <c r="AL38"/>
  <c r="AG38"/>
  <c r="AI38" s="1"/>
  <c r="AL39"/>
  <c r="AG39"/>
  <c r="AL41"/>
  <c r="AK43"/>
  <c r="AL44"/>
  <c r="AL45"/>
  <c r="AL47"/>
  <c r="AK49"/>
  <c r="AL50"/>
  <c r="AL51"/>
  <c r="AL53"/>
  <c r="AK55"/>
  <c r="BA58"/>
  <c r="AL59"/>
  <c r="BA59"/>
  <c r="BB59" s="1"/>
  <c r="AL60"/>
  <c r="BA60"/>
  <c r="BB60" s="1"/>
  <c r="AL61"/>
  <c r="BA61"/>
  <c r="BB61" s="1"/>
  <c r="AL62"/>
  <c r="BA62"/>
  <c r="BB62" s="1"/>
  <c r="AL63"/>
  <c r="BA63"/>
  <c r="BB63" s="1"/>
  <c r="AL64"/>
  <c r="BA64"/>
  <c r="BB64" s="1"/>
  <c r="AL65"/>
  <c r="BA65"/>
  <c r="BB65" s="1"/>
  <c r="AL66"/>
  <c r="BA66"/>
  <c r="BB66" s="1"/>
  <c r="BA68"/>
  <c r="BB68" s="1"/>
  <c r="AK70"/>
  <c r="AK72"/>
  <c r="AL77"/>
  <c r="AL78"/>
  <c r="AG78"/>
  <c r="AK82"/>
  <c r="AL86"/>
  <c r="AG86"/>
  <c r="AL12" i="27"/>
  <c r="AL13"/>
  <c r="AG13"/>
  <c r="AL16"/>
  <c r="AL18"/>
  <c r="AL19"/>
  <c r="AG19"/>
  <c r="AL22"/>
  <c r="AL24"/>
  <c r="AL25"/>
  <c r="AG25"/>
  <c r="AL28"/>
  <c r="AL30"/>
  <c r="AL31"/>
  <c r="AG31"/>
  <c r="AL34"/>
  <c r="AL36"/>
  <c r="AL37"/>
  <c r="AG37"/>
  <c r="AL40"/>
  <c r="AL42"/>
  <c r="AL43"/>
  <c r="AG43"/>
  <c r="AL46"/>
  <c r="AL48"/>
  <c r="AL49"/>
  <c r="AG49"/>
  <c r="AL52"/>
  <c r="BA59"/>
  <c r="BB59" s="1"/>
  <c r="BA60"/>
  <c r="BB60" s="1"/>
  <c r="AI62"/>
  <c r="BA63"/>
  <c r="BB63" s="1"/>
  <c r="AI66"/>
  <c r="AK71"/>
  <c r="AL72"/>
  <c r="AL73"/>
  <c r="AG73"/>
  <c r="AL77"/>
  <c r="AG77"/>
  <c r="AL82"/>
  <c r="AL11" i="28"/>
  <c r="AG11"/>
  <c r="AH13"/>
  <c r="AL15"/>
  <c r="AG15"/>
  <c r="AK17"/>
  <c r="AK21"/>
  <c r="AL23"/>
  <c r="AG23"/>
  <c r="AL29"/>
  <c r="AH32"/>
  <c r="AL34"/>
  <c r="AL36"/>
  <c r="AL39"/>
  <c r="AL41"/>
  <c r="AH44"/>
  <c r="AL46"/>
  <c r="AL48"/>
  <c r="AL51"/>
  <c r="AL53"/>
  <c r="BA58"/>
  <c r="AL59"/>
  <c r="BA59"/>
  <c r="BB59" s="1"/>
  <c r="AH60"/>
  <c r="BA62"/>
  <c r="BB62" s="1"/>
  <c r="AL63"/>
  <c r="BA63"/>
  <c r="BB63" s="1"/>
  <c r="AH64"/>
  <c r="BA66"/>
  <c r="BB66" s="1"/>
  <c r="BA68"/>
  <c r="BB68" s="1"/>
  <c r="AI70"/>
  <c r="AH73"/>
  <c r="AH77"/>
  <c r="AI78"/>
  <c r="AI86"/>
  <c r="Q3" i="29"/>
  <c r="F93" i="22" s="1"/>
  <c r="AL11" i="29"/>
  <c r="AG11"/>
  <c r="AI11" s="1"/>
  <c r="AL14"/>
  <c r="AG14"/>
  <c r="AL15"/>
  <c r="AG15"/>
  <c r="AL17"/>
  <c r="AG17"/>
  <c r="AI17" s="1"/>
  <c r="AK18"/>
  <c r="AL20"/>
  <c r="AG20"/>
  <c r="AL21"/>
  <c r="AG21"/>
  <c r="AK22"/>
  <c r="AL23"/>
  <c r="AG23"/>
  <c r="AK24"/>
  <c r="AL26"/>
  <c r="AG26"/>
  <c r="AL27"/>
  <c r="AG27"/>
  <c r="AL29"/>
  <c r="AG29"/>
  <c r="AL32"/>
  <c r="AG32"/>
  <c r="AL33"/>
  <c r="AG33"/>
  <c r="AI33" s="1"/>
  <c r="AL35"/>
  <c r="AG35"/>
  <c r="AL38"/>
  <c r="AG38"/>
  <c r="AI38" s="1"/>
  <c r="AL39"/>
  <c r="AG39"/>
  <c r="AK40"/>
  <c r="AL41"/>
  <c r="AG41"/>
  <c r="AI41" s="1"/>
  <c r="AK42"/>
  <c r="AL44"/>
  <c r="AG44"/>
  <c r="AI44" s="1"/>
  <c r="AL45"/>
  <c r="AG45"/>
  <c r="AI45" s="1"/>
  <c r="AL47"/>
  <c r="AG47"/>
  <c r="AI47" s="1"/>
  <c r="AL50"/>
  <c r="AG50"/>
  <c r="AL51"/>
  <c r="AG51"/>
  <c r="AL53"/>
  <c r="AG53"/>
  <c r="AK54"/>
  <c r="BA58"/>
  <c r="AL59"/>
  <c r="AG59"/>
  <c r="BA59"/>
  <c r="BB59" s="1"/>
  <c r="AK60"/>
  <c r="AK61"/>
  <c r="AL62"/>
  <c r="AG62"/>
  <c r="BA62"/>
  <c r="BB62" s="1"/>
  <c r="AL63"/>
  <c r="AG63"/>
  <c r="BA63"/>
  <c r="BB63" s="1"/>
  <c r="AL66"/>
  <c r="AG66"/>
  <c r="BA66"/>
  <c r="BB66" s="1"/>
  <c r="BA68"/>
  <c r="BB68" s="1"/>
  <c r="AL77"/>
  <c r="AG77"/>
  <c r="AJ78"/>
  <c r="AK86"/>
  <c r="AK11" i="30"/>
  <c r="AL12"/>
  <c r="AG12"/>
  <c r="AL13"/>
  <c r="AK14"/>
  <c r="AL16"/>
  <c r="AG16"/>
  <c r="AK17"/>
  <c r="AL18"/>
  <c r="AG18"/>
  <c r="AL19"/>
  <c r="AK20"/>
  <c r="AK21"/>
  <c r="AL22"/>
  <c r="AG22"/>
  <c r="AK23"/>
  <c r="AL24"/>
  <c r="AG24"/>
  <c r="AL25"/>
  <c r="AK26"/>
  <c r="AK27"/>
  <c r="AL28"/>
  <c r="AG28"/>
  <c r="AK29"/>
  <c r="AL30"/>
  <c r="AG30"/>
  <c r="AL31"/>
  <c r="AK32"/>
  <c r="AK33"/>
  <c r="AL34"/>
  <c r="AG34"/>
  <c r="AK35"/>
  <c r="AL36"/>
  <c r="AG36"/>
  <c r="AL37"/>
  <c r="AK38"/>
  <c r="AK39"/>
  <c r="AL40"/>
  <c r="AG40"/>
  <c r="AK41"/>
  <c r="AL42"/>
  <c r="AG42"/>
  <c r="AL43"/>
  <c r="AK44"/>
  <c r="AK45"/>
  <c r="AL46"/>
  <c r="AG46"/>
  <c r="AK47"/>
  <c r="AL48"/>
  <c r="AG48"/>
  <c r="AL49"/>
  <c r="AK50"/>
  <c r="AK51"/>
  <c r="AL52"/>
  <c r="AG52"/>
  <c r="AK53"/>
  <c r="AL54"/>
  <c r="AG54"/>
  <c r="AL55"/>
  <c r="AK59"/>
  <c r="AL60"/>
  <c r="AG60"/>
  <c r="BA60"/>
  <c r="BB60" s="1"/>
  <c r="AL61"/>
  <c r="AG61"/>
  <c r="BA61"/>
  <c r="BB61" s="1"/>
  <c r="AK62"/>
  <c r="BA63"/>
  <c r="BB63" s="1"/>
  <c r="BA64"/>
  <c r="BB64" s="1"/>
  <c r="AL65"/>
  <c r="BA65"/>
  <c r="BB65" s="1"/>
  <c r="AH66"/>
  <c r="AH71"/>
  <c r="AL12" i="31"/>
  <c r="AL15"/>
  <c r="AL17"/>
  <c r="AK19"/>
  <c r="AL20"/>
  <c r="AL21"/>
  <c r="AL23"/>
  <c r="AG78"/>
  <c r="AG13" i="32"/>
  <c r="AG25"/>
  <c r="AG37"/>
  <c r="AG49"/>
  <c r="BA64" i="33"/>
  <c r="BB64" s="1"/>
  <c r="BA65"/>
  <c r="BB65" s="1"/>
  <c r="AG19" i="34"/>
  <c r="AI19" s="1"/>
  <c r="AG31"/>
  <c r="AI31" s="1"/>
  <c r="AG43"/>
  <c r="AI43" s="1"/>
  <c r="AG55"/>
  <c r="AI55" s="1"/>
  <c r="BA62"/>
  <c r="BB62" s="1"/>
  <c r="AG63"/>
  <c r="BA66"/>
  <c r="BB66" s="1"/>
  <c r="AG29" i="35"/>
  <c r="AG32"/>
  <c r="AG33"/>
  <c r="AG41"/>
  <c r="AG44"/>
  <c r="AG45"/>
  <c r="AG53"/>
  <c r="AG59"/>
  <c r="AG66"/>
  <c r="BA66"/>
  <c r="BB66" s="1"/>
  <c r="AG18" i="36"/>
  <c r="AG22"/>
  <c r="BA68" i="32"/>
  <c r="BB68" s="1"/>
  <c r="BA66"/>
  <c r="BB66" s="1"/>
  <c r="BA65"/>
  <c r="BB65" s="1"/>
  <c r="BA64"/>
  <c r="BB64" s="1"/>
  <c r="BA62"/>
  <c r="BB62" s="1"/>
  <c r="BA60"/>
  <c r="BB60" s="1"/>
  <c r="BA58"/>
  <c r="BA68" i="33"/>
  <c r="BB68" s="1"/>
  <c r="BA66"/>
  <c r="BB66" s="1"/>
  <c r="BA63"/>
  <c r="BB63" s="1"/>
  <c r="BA62"/>
  <c r="BB62" s="1"/>
  <c r="BA59"/>
  <c r="BB59" s="1"/>
  <c r="BA58"/>
  <c r="AL61" i="34"/>
  <c r="AK61"/>
  <c r="AL65"/>
  <c r="AK65"/>
  <c r="AL18" i="35"/>
  <c r="AK18"/>
  <c r="AL20"/>
  <c r="AK20"/>
  <c r="AL22"/>
  <c r="AK22"/>
  <c r="BA67" i="3"/>
  <c r="BB67" s="1"/>
  <c r="BA65"/>
  <c r="BB65" s="1"/>
  <c r="BA63"/>
  <c r="BB63" s="1"/>
  <c r="BA61"/>
  <c r="BB61" s="1"/>
  <c r="BA61" i="4"/>
  <c r="BB61" s="1"/>
  <c r="AG11" i="5"/>
  <c r="AG14"/>
  <c r="AG17"/>
  <c r="AI17" s="1"/>
  <c r="AI18"/>
  <c r="AG21"/>
  <c r="AI21" s="1"/>
  <c r="AI22"/>
  <c r="AK23"/>
  <c r="AI26"/>
  <c r="AK27"/>
  <c r="AG29"/>
  <c r="AI29" s="1"/>
  <c r="AI30"/>
  <c r="AG33"/>
  <c r="AG35"/>
  <c r="AG38"/>
  <c r="AG39"/>
  <c r="AG41"/>
  <c r="AG44"/>
  <c r="AG45"/>
  <c r="AG47"/>
  <c r="AG50"/>
  <c r="AG51"/>
  <c r="AG53"/>
  <c r="BA69"/>
  <c r="BB69" s="1"/>
  <c r="AI18" i="6"/>
  <c r="AG20"/>
  <c r="AI20" s="1"/>
  <c r="AI21"/>
  <c r="AI22"/>
  <c r="AI23"/>
  <c r="AK24"/>
  <c r="AK26"/>
  <c r="AG27"/>
  <c r="AG28"/>
  <c r="AG29"/>
  <c r="AG30"/>
  <c r="AG32"/>
  <c r="AG33"/>
  <c r="AG34"/>
  <c r="AG35"/>
  <c r="AG36"/>
  <c r="AG38"/>
  <c r="AG39"/>
  <c r="AG40"/>
  <c r="AG41"/>
  <c r="AG42"/>
  <c r="AG44"/>
  <c r="AG45"/>
  <c r="AG46"/>
  <c r="AG47"/>
  <c r="AG48"/>
  <c r="AG50"/>
  <c r="AG51"/>
  <c r="AG52"/>
  <c r="AG53"/>
  <c r="AG55"/>
  <c r="AG63"/>
  <c r="BA63"/>
  <c r="BB63" s="1"/>
  <c r="AG64"/>
  <c r="AG77"/>
  <c r="AK15" i="7"/>
  <c r="AG17"/>
  <c r="AI17" s="1"/>
  <c r="AF17" s="1"/>
  <c r="Y17" s="1"/>
  <c r="AI18"/>
  <c r="AG20"/>
  <c r="AI20" s="1"/>
  <c r="AG59"/>
  <c r="BA59"/>
  <c r="BB59" s="1"/>
  <c r="AG60"/>
  <c r="BA60"/>
  <c r="BB60" s="1"/>
  <c r="BA65"/>
  <c r="BB65" s="1"/>
  <c r="BA66"/>
  <c r="BB66" s="1"/>
  <c r="AG78"/>
  <c r="AI78" s="1"/>
  <c r="AG86"/>
  <c r="AI86" s="1"/>
  <c r="AI18" i="8"/>
  <c r="AK21"/>
  <c r="AG23"/>
  <c r="AG24"/>
  <c r="AI24" s="1"/>
  <c r="AK26"/>
  <c r="AK28"/>
  <c r="AG30"/>
  <c r="AG32"/>
  <c r="AG33"/>
  <c r="AG35"/>
  <c r="AG38"/>
  <c r="AG39"/>
  <c r="AG41"/>
  <c r="AG44"/>
  <c r="AG45"/>
  <c r="AG47"/>
  <c r="AG50"/>
  <c r="AG51"/>
  <c r="AG53"/>
  <c r="AG59"/>
  <c r="AG62"/>
  <c r="BA62"/>
  <c r="BB62" s="1"/>
  <c r="AG63"/>
  <c r="AG66"/>
  <c r="BA66"/>
  <c r="BB66" s="1"/>
  <c r="AK16" i="19"/>
  <c r="AG18"/>
  <c r="AI18" s="1"/>
  <c r="AG20"/>
  <c r="AI20" s="1"/>
  <c r="AI21"/>
  <c r="AK22"/>
  <c r="AG24"/>
  <c r="AI24" s="1"/>
  <c r="AK26"/>
  <c r="AK28"/>
  <c r="AG30"/>
  <c r="AK32"/>
  <c r="AG35"/>
  <c r="AG38"/>
  <c r="AG39"/>
  <c r="AG41"/>
  <c r="AG44"/>
  <c r="AG45"/>
  <c r="AG47"/>
  <c r="AG50"/>
  <c r="AG51"/>
  <c r="AI16" i="20"/>
  <c r="AG17"/>
  <c r="AG21"/>
  <c r="AK23"/>
  <c r="AG24"/>
  <c r="AG26"/>
  <c r="AG27"/>
  <c r="AG28"/>
  <c r="AG29"/>
  <c r="AG30"/>
  <c r="AG32"/>
  <c r="AG33"/>
  <c r="AG34"/>
  <c r="AG35"/>
  <c r="AG36"/>
  <c r="AG38"/>
  <c r="AG39"/>
  <c r="AG41"/>
  <c r="AG44"/>
  <c r="AG45"/>
  <c r="AG47"/>
  <c r="AG50"/>
  <c r="AG51"/>
  <c r="BA63"/>
  <c r="BB63" s="1"/>
  <c r="BA64"/>
  <c r="BB64" s="1"/>
  <c r="AK65"/>
  <c r="AG11" i="21"/>
  <c r="AG14"/>
  <c r="AG17"/>
  <c r="AI17" s="1"/>
  <c r="AF17" s="1"/>
  <c r="Y17" s="1"/>
  <c r="AI18"/>
  <c r="AG20"/>
  <c r="AI20" s="1"/>
  <c r="AG21"/>
  <c r="AI21" s="1"/>
  <c r="AG26"/>
  <c r="AG27"/>
  <c r="AG29"/>
  <c r="AG32"/>
  <c r="AG33"/>
  <c r="AG35"/>
  <c r="AG38"/>
  <c r="AG39"/>
  <c r="AG41"/>
  <c r="AG44"/>
  <c r="AG45"/>
  <c r="AG47"/>
  <c r="AG50"/>
  <c r="AG51"/>
  <c r="BA61"/>
  <c r="BB61" s="1"/>
  <c r="AK62"/>
  <c r="BA62"/>
  <c r="BB62" s="1"/>
  <c r="AK63"/>
  <c r="BA63"/>
  <c r="BB63" s="1"/>
  <c r="AK64"/>
  <c r="BA64"/>
  <c r="BB64" s="1"/>
  <c r="AK65"/>
  <c r="AL70"/>
  <c r="AL72"/>
  <c r="AL82"/>
  <c r="AL11" i="25"/>
  <c r="AG11"/>
  <c r="AL12"/>
  <c r="AL13"/>
  <c r="AG13"/>
  <c r="AL16"/>
  <c r="AG16"/>
  <c r="AI16" s="1"/>
  <c r="AI17"/>
  <c r="AF17" s="1"/>
  <c r="Y17" s="1"/>
  <c r="AK18"/>
  <c r="AL19"/>
  <c r="AK20"/>
  <c r="AL21"/>
  <c r="AG21"/>
  <c r="AL22"/>
  <c r="AG22"/>
  <c r="AL23"/>
  <c r="AG23"/>
  <c r="AL24"/>
  <c r="AG24"/>
  <c r="AL26"/>
  <c r="AG26"/>
  <c r="AL27"/>
  <c r="AG27"/>
  <c r="AL28"/>
  <c r="AG28"/>
  <c r="AL29"/>
  <c r="AG29"/>
  <c r="AL30"/>
  <c r="AG30"/>
  <c r="AL32"/>
  <c r="AG32"/>
  <c r="AL33"/>
  <c r="AG33"/>
  <c r="AL34"/>
  <c r="AG34"/>
  <c r="AL35"/>
  <c r="AG35"/>
  <c r="AL36"/>
  <c r="AG36"/>
  <c r="AL38"/>
  <c r="AG38"/>
  <c r="AL39"/>
  <c r="AG39"/>
  <c r="AL40"/>
  <c r="AG40"/>
  <c r="AL41"/>
  <c r="AG41"/>
  <c r="AL42"/>
  <c r="AG42"/>
  <c r="AL44"/>
  <c r="AG44"/>
  <c r="AL45"/>
  <c r="AG45"/>
  <c r="AL46"/>
  <c r="AG46"/>
  <c r="AL47"/>
  <c r="AG47"/>
  <c r="AL48"/>
  <c r="AG48"/>
  <c r="AL50"/>
  <c r="AG50"/>
  <c r="AL51"/>
  <c r="AG51"/>
  <c r="AL52"/>
  <c r="AG52"/>
  <c r="AL53"/>
  <c r="AG53"/>
  <c r="AK54"/>
  <c r="AL55"/>
  <c r="AG55"/>
  <c r="BA65"/>
  <c r="BB65" s="1"/>
  <c r="BA66"/>
  <c r="BB66" s="1"/>
  <c r="AG35" i="26"/>
  <c r="AK36"/>
  <c r="AG43"/>
  <c r="AG49"/>
  <c r="AG55"/>
  <c r="AG70"/>
  <c r="AG72"/>
  <c r="AG82"/>
  <c r="AI60" i="27"/>
  <c r="BA61"/>
  <c r="BB61" s="1"/>
  <c r="BA62"/>
  <c r="BB62" s="1"/>
  <c r="AI64"/>
  <c r="BA65"/>
  <c r="BB65" s="1"/>
  <c r="BA66"/>
  <c r="BB66" s="1"/>
  <c r="BA67"/>
  <c r="BB67" s="1"/>
  <c r="AG71"/>
  <c r="AI71" s="1"/>
  <c r="AK73"/>
  <c r="AK77"/>
  <c r="AK11" i="28"/>
  <c r="AI14"/>
  <c r="AK15"/>
  <c r="AG17"/>
  <c r="AI17" s="1"/>
  <c r="AF17" s="1"/>
  <c r="Y17" s="1"/>
  <c r="AI18"/>
  <c r="AG21"/>
  <c r="AI21" s="1"/>
  <c r="AI22"/>
  <c r="AK23"/>
  <c r="AI37"/>
  <c r="AI49"/>
  <c r="BA60"/>
  <c r="BB60" s="1"/>
  <c r="BA61"/>
  <c r="BB61" s="1"/>
  <c r="BA64"/>
  <c r="BB64" s="1"/>
  <c r="BA65"/>
  <c r="BB65" s="1"/>
  <c r="AI72"/>
  <c r="AG12" i="29"/>
  <c r="AG16"/>
  <c r="AI16" s="1"/>
  <c r="AG18"/>
  <c r="AG22"/>
  <c r="AG24"/>
  <c r="AG28"/>
  <c r="AI28" s="1"/>
  <c r="AG30"/>
  <c r="AG34"/>
  <c r="AG36"/>
  <c r="AI36" s="1"/>
  <c r="AG40"/>
  <c r="AG42"/>
  <c r="AG46"/>
  <c r="AG48"/>
  <c r="AI48" s="1"/>
  <c r="AG52"/>
  <c r="AI52" s="1"/>
  <c r="AG54"/>
  <c r="AG60"/>
  <c r="BA60"/>
  <c r="BB60" s="1"/>
  <c r="AG61"/>
  <c r="BA61"/>
  <c r="BB61" s="1"/>
  <c r="AG64"/>
  <c r="BA64"/>
  <c r="BB64" s="1"/>
  <c r="AG65"/>
  <c r="BA65"/>
  <c r="BB65" s="1"/>
  <c r="AG71"/>
  <c r="AI71" s="1"/>
  <c r="AG73"/>
  <c r="AG11" i="30"/>
  <c r="AG14"/>
  <c r="AG15"/>
  <c r="AG17"/>
  <c r="AG20"/>
  <c r="AG21"/>
  <c r="AG23"/>
  <c r="AG26"/>
  <c r="AG27"/>
  <c r="AG29"/>
  <c r="AG32"/>
  <c r="AG33"/>
  <c r="AG35"/>
  <c r="AG38"/>
  <c r="AG39"/>
  <c r="AG41"/>
  <c r="AG44"/>
  <c r="AG45"/>
  <c r="AG47"/>
  <c r="AG50"/>
  <c r="AG51"/>
  <c r="AG53"/>
  <c r="AG59"/>
  <c r="AG62"/>
  <c r="BA62"/>
  <c r="BB62" s="1"/>
  <c r="BA66"/>
  <c r="BB66" s="1"/>
  <c r="AI70"/>
  <c r="AI78"/>
  <c r="AI86"/>
  <c r="AG19" i="31"/>
  <c r="BA69"/>
  <c r="BB69" s="1"/>
  <c r="AG86"/>
  <c r="AG19" i="32"/>
  <c r="AG31"/>
  <c r="AG43"/>
  <c r="AG55"/>
  <c r="AG70"/>
  <c r="AG72"/>
  <c r="AG82"/>
  <c r="AI49" i="33"/>
  <c r="AL60"/>
  <c r="BA60"/>
  <c r="BB60" s="1"/>
  <c r="BA61"/>
  <c r="BB61" s="1"/>
  <c r="AL77"/>
  <c r="AG13" i="34"/>
  <c r="AI13" s="1"/>
  <c r="AG25"/>
  <c r="AI25" s="1"/>
  <c r="AG37"/>
  <c r="AI37" s="1"/>
  <c r="AG49"/>
  <c r="AI49" s="1"/>
  <c r="BA60"/>
  <c r="BB60" s="1"/>
  <c r="AG61"/>
  <c r="AK64"/>
  <c r="BA64"/>
  <c r="BB64" s="1"/>
  <c r="AG65"/>
  <c r="BA68"/>
  <c r="BB68" s="1"/>
  <c r="AI11" i="35"/>
  <c r="AK12"/>
  <c r="AK16"/>
  <c r="AG18"/>
  <c r="AG20"/>
  <c r="AG22"/>
  <c r="AI22" s="1"/>
  <c r="AK26"/>
  <c r="AG27"/>
  <c r="AG35"/>
  <c r="AG38"/>
  <c r="AG39"/>
  <c r="AG47"/>
  <c r="AG50"/>
  <c r="AG51"/>
  <c r="BA67"/>
  <c r="BB67" s="1"/>
  <c r="AG62"/>
  <c r="BA62"/>
  <c r="BB62" s="1"/>
  <c r="AG63"/>
  <c r="BA63"/>
  <c r="BB63" s="1"/>
  <c r="AG77"/>
  <c r="AG12" i="36"/>
  <c r="AG16"/>
  <c r="AG24"/>
  <c r="AG28"/>
  <c r="AL24" i="31"/>
  <c r="AL25"/>
  <c r="AG25"/>
  <c r="AL28"/>
  <c r="AL30"/>
  <c r="AL31"/>
  <c r="AG31"/>
  <c r="AL34"/>
  <c r="AL36"/>
  <c r="AL37"/>
  <c r="AG37"/>
  <c r="AL40"/>
  <c r="AL42"/>
  <c r="AL43"/>
  <c r="AG43"/>
  <c r="AL46"/>
  <c r="AL48"/>
  <c r="AL49"/>
  <c r="AG49"/>
  <c r="AL52"/>
  <c r="AL54"/>
  <c r="AL55"/>
  <c r="AG55"/>
  <c r="AL70"/>
  <c r="AG70"/>
  <c r="AL71"/>
  <c r="AL72"/>
  <c r="AG72"/>
  <c r="AL73"/>
  <c r="AK78"/>
  <c r="AL82"/>
  <c r="AG82"/>
  <c r="AK86"/>
  <c r="AL11" i="32"/>
  <c r="AK13"/>
  <c r="AL14"/>
  <c r="AL15"/>
  <c r="AL17"/>
  <c r="AK19"/>
  <c r="AL20"/>
  <c r="AL21"/>
  <c r="AL23"/>
  <c r="AK25"/>
  <c r="AL26"/>
  <c r="AL27"/>
  <c r="AL29"/>
  <c r="AK31"/>
  <c r="AL32"/>
  <c r="AL33"/>
  <c r="AL35"/>
  <c r="AK37"/>
  <c r="AL38"/>
  <c r="AL39"/>
  <c r="AL41"/>
  <c r="AK43"/>
  <c r="AL44"/>
  <c r="AL45"/>
  <c r="AL47"/>
  <c r="AK49"/>
  <c r="AL50"/>
  <c r="AL51"/>
  <c r="AL53"/>
  <c r="AK55"/>
  <c r="AL60"/>
  <c r="AL62"/>
  <c r="AL64"/>
  <c r="AL65"/>
  <c r="AL66"/>
  <c r="AK70"/>
  <c r="AK72"/>
  <c r="AL77"/>
  <c r="AL78"/>
  <c r="AG78"/>
  <c r="AK82"/>
  <c r="AL86"/>
  <c r="AG86"/>
  <c r="AL12" i="33"/>
  <c r="AL13"/>
  <c r="AG13"/>
  <c r="AL16"/>
  <c r="AL18"/>
  <c r="AL19"/>
  <c r="AG19"/>
  <c r="AL22"/>
  <c r="AL24"/>
  <c r="AL25"/>
  <c r="AG25"/>
  <c r="AL28"/>
  <c r="AL30"/>
  <c r="AL31"/>
  <c r="AG31"/>
  <c r="AL34"/>
  <c r="AL36"/>
  <c r="AL37"/>
  <c r="AG37"/>
  <c r="AL40"/>
  <c r="AL42"/>
  <c r="AL43"/>
  <c r="AG43"/>
  <c r="AX92"/>
  <c r="AL46"/>
  <c r="AL48"/>
  <c r="AL51"/>
  <c r="AL53"/>
  <c r="AL59"/>
  <c r="AL63"/>
  <c r="AI70"/>
  <c r="AI78"/>
  <c r="AI86"/>
  <c r="Q3" i="34"/>
  <c r="F62" i="22" s="1"/>
  <c r="AK10" i="34"/>
  <c r="AK11"/>
  <c r="AK14"/>
  <c r="AK15"/>
  <c r="AK17"/>
  <c r="AK20"/>
  <c r="AK21"/>
  <c r="AK23"/>
  <c r="AK26"/>
  <c r="AK27"/>
  <c r="AK29"/>
  <c r="AK32"/>
  <c r="AK33"/>
  <c r="AK35"/>
  <c r="AK38"/>
  <c r="AK39"/>
  <c r="AK41"/>
  <c r="AK44"/>
  <c r="AK45"/>
  <c r="AK47"/>
  <c r="AK50"/>
  <c r="AK51"/>
  <c r="AK53"/>
  <c r="AK59"/>
  <c r="AL62"/>
  <c r="AG62"/>
  <c r="AL64"/>
  <c r="AG64"/>
  <c r="AL66"/>
  <c r="AG66"/>
  <c r="AI71"/>
  <c r="AI77"/>
  <c r="AL12" i="35"/>
  <c r="AG12"/>
  <c r="AL14"/>
  <c r="AG14"/>
  <c r="AL16"/>
  <c r="AG16"/>
  <c r="AI16" s="1"/>
  <c r="AI17"/>
  <c r="AL24"/>
  <c r="AG24"/>
  <c r="AL26"/>
  <c r="AG26"/>
  <c r="AW91"/>
  <c r="AK27"/>
  <c r="AL28"/>
  <c r="AG28"/>
  <c r="AK29"/>
  <c r="AL30"/>
  <c r="AG30"/>
  <c r="AL31"/>
  <c r="AK32"/>
  <c r="AK33"/>
  <c r="AL34"/>
  <c r="AG34"/>
  <c r="AW92"/>
  <c r="AK35"/>
  <c r="AL36"/>
  <c r="AG36"/>
  <c r="AL37"/>
  <c r="AK38"/>
  <c r="AK39"/>
  <c r="AL40"/>
  <c r="AG40"/>
  <c r="AK41"/>
  <c r="AL42"/>
  <c r="AG42"/>
  <c r="AL43"/>
  <c r="AK44"/>
  <c r="AK45"/>
  <c r="AL46"/>
  <c r="AG46"/>
  <c r="AK47"/>
  <c r="AL48"/>
  <c r="AG48"/>
  <c r="AL49"/>
  <c r="AK50"/>
  <c r="AK51"/>
  <c r="AL52"/>
  <c r="AG52"/>
  <c r="AK53"/>
  <c r="AL54"/>
  <c r="AG54"/>
  <c r="AL55"/>
  <c r="AK59"/>
  <c r="AL60"/>
  <c r="AG60"/>
  <c r="BA60"/>
  <c r="BB60" s="1"/>
  <c r="AL61"/>
  <c r="AG61"/>
  <c r="BA61"/>
  <c r="BB61" s="1"/>
  <c r="AK62"/>
  <c r="AK63"/>
  <c r="AL64"/>
  <c r="AG64"/>
  <c r="BA64"/>
  <c r="BB64" s="1"/>
  <c r="AL65"/>
  <c r="AG65"/>
  <c r="BA65"/>
  <c r="BB65" s="1"/>
  <c r="AK66"/>
  <c r="AL70"/>
  <c r="AL71"/>
  <c r="AG71"/>
  <c r="AL72"/>
  <c r="AL73"/>
  <c r="AG73"/>
  <c r="AK77"/>
  <c r="AL82"/>
  <c r="AL11" i="36"/>
  <c r="AG11"/>
  <c r="AK12"/>
  <c r="AL14"/>
  <c r="AG14"/>
  <c r="AL15"/>
  <c r="AG15"/>
  <c r="AK16"/>
  <c r="AL17"/>
  <c r="AG17"/>
  <c r="AK18"/>
  <c r="AL20"/>
  <c r="AG20"/>
  <c r="AL21"/>
  <c r="AG21"/>
  <c r="AK22"/>
  <c r="AL23"/>
  <c r="AG23"/>
  <c r="AK24"/>
  <c r="AL26"/>
  <c r="AG26"/>
  <c r="AL27"/>
  <c r="AG27"/>
  <c r="AK28"/>
  <c r="AL29"/>
  <c r="AG29"/>
  <c r="AK30"/>
  <c r="AL32"/>
  <c r="AG32"/>
  <c r="AI32" s="1"/>
  <c r="AI33"/>
  <c r="AK34"/>
  <c r="AL36"/>
  <c r="AG36"/>
  <c r="AI36" s="1"/>
  <c r="AK37"/>
  <c r="AL40"/>
  <c r="AG40"/>
  <c r="AI40" s="1"/>
  <c r="AL42"/>
  <c r="AG42"/>
  <c r="AI42" s="1"/>
  <c r="AK43"/>
  <c r="AL46"/>
  <c r="AG46"/>
  <c r="AI46" s="1"/>
  <c r="AL48"/>
  <c r="AG48"/>
  <c r="AI48" s="1"/>
  <c r="AK49"/>
  <c r="AL52"/>
  <c r="AG52"/>
  <c r="AI52" s="1"/>
  <c r="AL54"/>
  <c r="AL55"/>
  <c r="AG55"/>
  <c r="BA62"/>
  <c r="BB62" s="1"/>
  <c r="AL63"/>
  <c r="AG63"/>
  <c r="BA63"/>
  <c r="BB63" s="1"/>
  <c r="AL64"/>
  <c r="AG64"/>
  <c r="AI64" s="1"/>
  <c r="BA64"/>
  <c r="BB64" s="1"/>
  <c r="AL65"/>
  <c r="AG65"/>
  <c r="BA65"/>
  <c r="BB65" s="1"/>
  <c r="AK70"/>
  <c r="AL71"/>
  <c r="AG71"/>
  <c r="AI71" s="1"/>
  <c r="AK72"/>
  <c r="AL73"/>
  <c r="AG73"/>
  <c r="AK82"/>
  <c r="AL11" i="37"/>
  <c r="AG11"/>
  <c r="AL12"/>
  <c r="AL13"/>
  <c r="AG13"/>
  <c r="AL16"/>
  <c r="AG16"/>
  <c r="AK20"/>
  <c r="AK22"/>
  <c r="AL23"/>
  <c r="AG23"/>
  <c r="AL24"/>
  <c r="AG24"/>
  <c r="AL26"/>
  <c r="AG26"/>
  <c r="AL27"/>
  <c r="AG27"/>
  <c r="AL28"/>
  <c r="AG28"/>
  <c r="AL29"/>
  <c r="AG29"/>
  <c r="AL30"/>
  <c r="AG30"/>
  <c r="AL32"/>
  <c r="AG32"/>
  <c r="AL33"/>
  <c r="AG33"/>
  <c r="AL34"/>
  <c r="AG34"/>
  <c r="AL35"/>
  <c r="AG35"/>
  <c r="AL36"/>
  <c r="AG36"/>
  <c r="AL38"/>
  <c r="AG38"/>
  <c r="AL39"/>
  <c r="AG39"/>
  <c r="AL40"/>
  <c r="AG40"/>
  <c r="AL41"/>
  <c r="AG41"/>
  <c r="AL42"/>
  <c r="AG42"/>
  <c r="AL44"/>
  <c r="AG44"/>
  <c r="AL45"/>
  <c r="AG45"/>
  <c r="AL46"/>
  <c r="AG46"/>
  <c r="AL47"/>
  <c r="AG47"/>
  <c r="AL48"/>
  <c r="AG48"/>
  <c r="AL50"/>
  <c r="AG50"/>
  <c r="AL51"/>
  <c r="AG51"/>
  <c r="AK52"/>
  <c r="AK53"/>
  <c r="BA58"/>
  <c r="AK59"/>
  <c r="BA59"/>
  <c r="BB59" s="1"/>
  <c r="AK60"/>
  <c r="BA60"/>
  <c r="BB60" s="1"/>
  <c r="AK61"/>
  <c r="BA61"/>
  <c r="BB61" s="1"/>
  <c r="AK62"/>
  <c r="BA62"/>
  <c r="BB62" s="1"/>
  <c r="AK63"/>
  <c r="BA63"/>
  <c r="BB63" s="1"/>
  <c r="AK64"/>
  <c r="BA64"/>
  <c r="BB64" s="1"/>
  <c r="AK65"/>
  <c r="BA65"/>
  <c r="BB65" s="1"/>
  <c r="AK66"/>
  <c r="BA66"/>
  <c r="BB66" s="1"/>
  <c r="BA68"/>
  <c r="BB68" s="1"/>
  <c r="AK71"/>
  <c r="AK73"/>
  <c r="AK77"/>
  <c r="AK11" i="38"/>
  <c r="AK12"/>
  <c r="AL13"/>
  <c r="AK14"/>
  <c r="AK15"/>
  <c r="AK16"/>
  <c r="AK17"/>
  <c r="AK18"/>
  <c r="AL19"/>
  <c r="AK20"/>
  <c r="AK21"/>
  <c r="AK22"/>
  <c r="AK23"/>
  <c r="AK24"/>
  <c r="AL25"/>
  <c r="AK26"/>
  <c r="AK27"/>
  <c r="AK28"/>
  <c r="AK29"/>
  <c r="AK30"/>
  <c r="AL31"/>
  <c r="AK32"/>
  <c r="AK33"/>
  <c r="AK34"/>
  <c r="AK35"/>
  <c r="AK36"/>
  <c r="AL37"/>
  <c r="AK38"/>
  <c r="AK39"/>
  <c r="AL40"/>
  <c r="AG40"/>
  <c r="AK41"/>
  <c r="AL42"/>
  <c r="AG42"/>
  <c r="AL43"/>
  <c r="AK44"/>
  <c r="AK45"/>
  <c r="AL46"/>
  <c r="AG46"/>
  <c r="AK47"/>
  <c r="AL48"/>
  <c r="AG48"/>
  <c r="AL49"/>
  <c r="AK50"/>
  <c r="AW91"/>
  <c r="AK51"/>
  <c r="AL52"/>
  <c r="AG52"/>
  <c r="AK53"/>
  <c r="AL54"/>
  <c r="AG54"/>
  <c r="AL55"/>
  <c r="AK59"/>
  <c r="AL60"/>
  <c r="AG60"/>
  <c r="BA60"/>
  <c r="BB60" s="1"/>
  <c r="AL61"/>
  <c r="AG61"/>
  <c r="BA61"/>
  <c r="BB61" s="1"/>
  <c r="AK62"/>
  <c r="AK63"/>
  <c r="AL64"/>
  <c r="AG64"/>
  <c r="BA64"/>
  <c r="BB64" s="1"/>
  <c r="AL65"/>
  <c r="AG65"/>
  <c r="BA65"/>
  <c r="BB65" s="1"/>
  <c r="AK66"/>
  <c r="AL70"/>
  <c r="AL71"/>
  <c r="AG71"/>
  <c r="AL72"/>
  <c r="AL73"/>
  <c r="AG73"/>
  <c r="AK77"/>
  <c r="AL82"/>
  <c r="AL11" i="39"/>
  <c r="AG11"/>
  <c r="AK12"/>
  <c r="AL13"/>
  <c r="AL14"/>
  <c r="AG14"/>
  <c r="AK15"/>
  <c r="AK16"/>
  <c r="AK17"/>
  <c r="AK18"/>
  <c r="AK20"/>
  <c r="AL21"/>
  <c r="AG21"/>
  <c r="AL22"/>
  <c r="AG22"/>
  <c r="AL23"/>
  <c r="AG23"/>
  <c r="AL24"/>
  <c r="AG24"/>
  <c r="AK26"/>
  <c r="AL27"/>
  <c r="AG27"/>
  <c r="AK28"/>
  <c r="AK29"/>
  <c r="AK30"/>
  <c r="AL31"/>
  <c r="AL32"/>
  <c r="AG32"/>
  <c r="AK33"/>
  <c r="AL34"/>
  <c r="AG34"/>
  <c r="AL35"/>
  <c r="AG35"/>
  <c r="AL36"/>
  <c r="AG36"/>
  <c r="AK38"/>
  <c r="AL39"/>
  <c r="AG39"/>
  <c r="AL40"/>
  <c r="AG40"/>
  <c r="AK41"/>
  <c r="AK42"/>
  <c r="AL43"/>
  <c r="AL44"/>
  <c r="AG44"/>
  <c r="AK45"/>
  <c r="AL46"/>
  <c r="AG46"/>
  <c r="AL47"/>
  <c r="AG47"/>
  <c r="AL48"/>
  <c r="AG48"/>
  <c r="AK50"/>
  <c r="AL51"/>
  <c r="AG51"/>
  <c r="AL52"/>
  <c r="AG52"/>
  <c r="AL53"/>
  <c r="AG53"/>
  <c r="AL54"/>
  <c r="AG54"/>
  <c r="BA58"/>
  <c r="AL59"/>
  <c r="AG59"/>
  <c r="BA59"/>
  <c r="BB59" s="1"/>
  <c r="AL60"/>
  <c r="AG60"/>
  <c r="BA60"/>
  <c r="BB60" s="1"/>
  <c r="AL61"/>
  <c r="AG61"/>
  <c r="BA61"/>
  <c r="BB61" s="1"/>
  <c r="AL62"/>
  <c r="AG62"/>
  <c r="BA62"/>
  <c r="BB62" s="1"/>
  <c r="AK63"/>
  <c r="AK64"/>
  <c r="AK65"/>
  <c r="AK66"/>
  <c r="BA67"/>
  <c r="BB67" s="1"/>
  <c r="AL70"/>
  <c r="AL71"/>
  <c r="AG71"/>
  <c r="AL72"/>
  <c r="AL73"/>
  <c r="AG73"/>
  <c r="AK77"/>
  <c r="AL82"/>
  <c r="AW91"/>
  <c r="AL11" i="40"/>
  <c r="AG11"/>
  <c r="AL12"/>
  <c r="AG12"/>
  <c r="AL14"/>
  <c r="AG14"/>
  <c r="AL15"/>
  <c r="AG15"/>
  <c r="AL16"/>
  <c r="AG16"/>
  <c r="AL17"/>
  <c r="AG17"/>
  <c r="AL18"/>
  <c r="AG18"/>
  <c r="AL20"/>
  <c r="AG20"/>
  <c r="AL21"/>
  <c r="AG21"/>
  <c r="AL22"/>
  <c r="AG22"/>
  <c r="AL23"/>
  <c r="AG23"/>
  <c r="AL24"/>
  <c r="AG24"/>
  <c r="AL26"/>
  <c r="AG26"/>
  <c r="AL27"/>
  <c r="AG27"/>
  <c r="AL28"/>
  <c r="AG28"/>
  <c r="AL29"/>
  <c r="AG29"/>
  <c r="AL30"/>
  <c r="AG30"/>
  <c r="AL32"/>
  <c r="AG32"/>
  <c r="AL33"/>
  <c r="AG33"/>
  <c r="AK35"/>
  <c r="AK38"/>
  <c r="AK39"/>
  <c r="AK41"/>
  <c r="AK44"/>
  <c r="AK45"/>
  <c r="AI46"/>
  <c r="AL47"/>
  <c r="AG47"/>
  <c r="AI47" s="1"/>
  <c r="AI48"/>
  <c r="AH49"/>
  <c r="AL51"/>
  <c r="AG51"/>
  <c r="AI51" s="1"/>
  <c r="AI52"/>
  <c r="AK53"/>
  <c r="BA59"/>
  <c r="BB59" s="1"/>
  <c r="BA60"/>
  <c r="BB60" s="1"/>
  <c r="AI62"/>
  <c r="BA63"/>
  <c r="BB63" s="1"/>
  <c r="BA64"/>
  <c r="BB64" s="1"/>
  <c r="AL71"/>
  <c r="AG71"/>
  <c r="AK73"/>
  <c r="AK77"/>
  <c r="AK11" i="41"/>
  <c r="AI14"/>
  <c r="AK15"/>
  <c r="AL17"/>
  <c r="AG17"/>
  <c r="AI17" s="1"/>
  <c r="AI18"/>
  <c r="AH19"/>
  <c r="AL21"/>
  <c r="AG21"/>
  <c r="AI21" s="1"/>
  <c r="AI22"/>
  <c r="AK23"/>
  <c r="AI26"/>
  <c r="AK27"/>
  <c r="AL29"/>
  <c r="AG29"/>
  <c r="AI29" s="1"/>
  <c r="AI30"/>
  <c r="AH31"/>
  <c r="AL33"/>
  <c r="AG33"/>
  <c r="AI33" s="1"/>
  <c r="AI34"/>
  <c r="AK35"/>
  <c r="AI38"/>
  <c r="AK39"/>
  <c r="AL41"/>
  <c r="AG41"/>
  <c r="AI41" s="1"/>
  <c r="AI42"/>
  <c r="AH43"/>
  <c r="AL45"/>
  <c r="AG45"/>
  <c r="AI45" s="1"/>
  <c r="AI46"/>
  <c r="AK47"/>
  <c r="AI50"/>
  <c r="AK51"/>
  <c r="AL53"/>
  <c r="AG53"/>
  <c r="AI53" s="1"/>
  <c r="AI54"/>
  <c r="AH55"/>
  <c r="BA58"/>
  <c r="BA59"/>
  <c r="BB59" s="1"/>
  <c r="AI61"/>
  <c r="BA62"/>
  <c r="BB62" s="1"/>
  <c r="BA63"/>
  <c r="BB63" s="1"/>
  <c r="AI65"/>
  <c r="BA66"/>
  <c r="BB66" s="1"/>
  <c r="BA68"/>
  <c r="BB68" s="1"/>
  <c r="AK71"/>
  <c r="AL73"/>
  <c r="AG73"/>
  <c r="AL77"/>
  <c r="AG77"/>
  <c r="AL11" i="42"/>
  <c r="AG11"/>
  <c r="AH13"/>
  <c r="AL15"/>
  <c r="AG15"/>
  <c r="AK17"/>
  <c r="AK23"/>
  <c r="AK27"/>
  <c r="AL29"/>
  <c r="AG29"/>
  <c r="AH31"/>
  <c r="AL33"/>
  <c r="AG33"/>
  <c r="AW92"/>
  <c r="AL37"/>
  <c r="AK38"/>
  <c r="AL40"/>
  <c r="AG40"/>
  <c r="AK42"/>
  <c r="AL44"/>
  <c r="AG44"/>
  <c r="AL46"/>
  <c r="AG46"/>
  <c r="AL48"/>
  <c r="AG48"/>
  <c r="AK49"/>
  <c r="AL52"/>
  <c r="AG52"/>
  <c r="AI52" s="1"/>
  <c r="AL54"/>
  <c r="AG54"/>
  <c r="AI54" s="1"/>
  <c r="AK55"/>
  <c r="AL60"/>
  <c r="AG60"/>
  <c r="BA60"/>
  <c r="BB60" s="1"/>
  <c r="AL61"/>
  <c r="AG61"/>
  <c r="BA61"/>
  <c r="BB61" s="1"/>
  <c r="AL64"/>
  <c r="AG64"/>
  <c r="BA64"/>
  <c r="BB64" s="1"/>
  <c r="AL65"/>
  <c r="AG65"/>
  <c r="BA65"/>
  <c r="BB65" s="1"/>
  <c r="AK70"/>
  <c r="AL71"/>
  <c r="AG71"/>
  <c r="AI71" s="1"/>
  <c r="AK72"/>
  <c r="AL73"/>
  <c r="AG73"/>
  <c r="AK82"/>
  <c r="Q3" i="43"/>
  <c r="F41" i="22" s="1"/>
  <c r="AL11" i="43"/>
  <c r="AG11"/>
  <c r="AI11" s="1"/>
  <c r="AL14"/>
  <c r="AG14"/>
  <c r="AL15"/>
  <c r="AG15"/>
  <c r="AL17"/>
  <c r="AG17"/>
  <c r="AI17" s="1"/>
  <c r="AL20"/>
  <c r="AG20"/>
  <c r="AL21"/>
  <c r="AG21"/>
  <c r="AI21" s="1"/>
  <c r="AL23"/>
  <c r="AG23"/>
  <c r="AL26"/>
  <c r="AG26"/>
  <c r="AI26" s="1"/>
  <c r="AL27"/>
  <c r="AG27"/>
  <c r="AI27" s="1"/>
  <c r="AL29"/>
  <c r="AG29"/>
  <c r="AI29" s="1"/>
  <c r="AL32"/>
  <c r="AG32"/>
  <c r="AL33"/>
  <c r="AG33"/>
  <c r="AI33" s="1"/>
  <c r="AL35"/>
  <c r="AG35"/>
  <c r="AL38"/>
  <c r="AG38"/>
  <c r="AL39"/>
  <c r="AG39"/>
  <c r="AL41"/>
  <c r="AG41"/>
  <c r="AL44"/>
  <c r="AG44"/>
  <c r="AL45"/>
  <c r="AG45"/>
  <c r="AL47"/>
  <c r="AG47"/>
  <c r="AL50"/>
  <c r="AG50"/>
  <c r="AI50" s="1"/>
  <c r="AL51"/>
  <c r="AG51"/>
  <c r="AI51" s="1"/>
  <c r="AL53"/>
  <c r="AG53"/>
  <c r="AI53" s="1"/>
  <c r="BA58"/>
  <c r="AL61"/>
  <c r="AG61"/>
  <c r="BA61"/>
  <c r="BB61" s="1"/>
  <c r="AL62"/>
  <c r="AG62"/>
  <c r="AI62" s="1"/>
  <c r="BA62"/>
  <c r="BB62" s="1"/>
  <c r="AL65"/>
  <c r="AG65"/>
  <c r="BA65"/>
  <c r="BB65" s="1"/>
  <c r="AL66"/>
  <c r="AG66"/>
  <c r="AI66" s="1"/>
  <c r="BA66"/>
  <c r="BB66" s="1"/>
  <c r="BA68"/>
  <c r="BB68" s="1"/>
  <c r="AL77"/>
  <c r="AG77"/>
  <c r="AI77" s="1"/>
  <c r="AK78"/>
  <c r="AK86"/>
  <c r="AL12" i="44"/>
  <c r="AG12"/>
  <c r="AK13"/>
  <c r="AL16"/>
  <c r="AG16"/>
  <c r="AI16" s="1"/>
  <c r="AL18"/>
  <c r="AG18"/>
  <c r="AK19"/>
  <c r="AL22"/>
  <c r="AG22"/>
  <c r="AI22" s="1"/>
  <c r="AL24"/>
  <c r="AG24"/>
  <c r="AK25"/>
  <c r="AL28"/>
  <c r="AG28"/>
  <c r="AI28" s="1"/>
  <c r="AL30"/>
  <c r="AG30"/>
  <c r="AK31"/>
  <c r="AL34"/>
  <c r="AG34"/>
  <c r="AL36"/>
  <c r="AG36"/>
  <c r="AI36" s="1"/>
  <c r="AK37"/>
  <c r="AL40"/>
  <c r="AG40"/>
  <c r="AL42"/>
  <c r="AG42"/>
  <c r="AI42" s="1"/>
  <c r="AK43"/>
  <c r="AL46"/>
  <c r="AG46"/>
  <c r="AL48"/>
  <c r="AG48"/>
  <c r="AK49"/>
  <c r="AL52"/>
  <c r="AG52"/>
  <c r="AI52" s="1"/>
  <c r="AL54"/>
  <c r="AG54"/>
  <c r="AI54" s="1"/>
  <c r="AK55"/>
  <c r="AL59"/>
  <c r="AG59"/>
  <c r="BA59"/>
  <c r="BB59" s="1"/>
  <c r="AL60"/>
  <c r="AG60"/>
  <c r="BA60"/>
  <c r="BB60" s="1"/>
  <c r="AL63"/>
  <c r="AG63"/>
  <c r="BA63"/>
  <c r="BB63" s="1"/>
  <c r="AL64"/>
  <c r="AG64"/>
  <c r="BA64"/>
  <c r="BB64" s="1"/>
  <c r="AK70"/>
  <c r="AL71"/>
  <c r="AG71"/>
  <c r="AK72"/>
  <c r="AL73"/>
  <c r="AG73"/>
  <c r="AK82"/>
  <c r="AW90"/>
  <c r="AW91"/>
  <c r="Q3" i="45"/>
  <c r="F47" i="22" s="1"/>
  <c r="AL11" i="45"/>
  <c r="AG11"/>
  <c r="AL14"/>
  <c r="AG14"/>
  <c r="AI14" s="1"/>
  <c r="AL15"/>
  <c r="AG15"/>
  <c r="AI15" s="1"/>
  <c r="AL17"/>
  <c r="AG17"/>
  <c r="AL20"/>
  <c r="AG20"/>
  <c r="AI20" s="1"/>
  <c r="AL21"/>
  <c r="AG21"/>
  <c r="AI21" s="1"/>
  <c r="AL23"/>
  <c r="AG23"/>
  <c r="AL26"/>
  <c r="AG26"/>
  <c r="AI26" s="1"/>
  <c r="AL27"/>
  <c r="AG27"/>
  <c r="AI27" s="1"/>
  <c r="AL29"/>
  <c r="AG29"/>
  <c r="AI29" s="1"/>
  <c r="AL32"/>
  <c r="AG32"/>
  <c r="AI32" s="1"/>
  <c r="AL33"/>
  <c r="AG33"/>
  <c r="AL35"/>
  <c r="AG35"/>
  <c r="AI35" s="1"/>
  <c r="AL38"/>
  <c r="AG38"/>
  <c r="AL39"/>
  <c r="AG39"/>
  <c r="AL41"/>
  <c r="AG41"/>
  <c r="AL44"/>
  <c r="AG44"/>
  <c r="AL45"/>
  <c r="AG45"/>
  <c r="AL47"/>
  <c r="AG47"/>
  <c r="AL50"/>
  <c r="AG50"/>
  <c r="AI50" s="1"/>
  <c r="AL51"/>
  <c r="AG51"/>
  <c r="AI51" s="1"/>
  <c r="AL53"/>
  <c r="AG53"/>
  <c r="AI53" s="1"/>
  <c r="BA58"/>
  <c r="BB58" s="1"/>
  <c r="AL59"/>
  <c r="AG59"/>
  <c r="BA59"/>
  <c r="BB59" s="1"/>
  <c r="AL62"/>
  <c r="AG62"/>
  <c r="AI62" s="1"/>
  <c r="BA62"/>
  <c r="BB62" s="1"/>
  <c r="AL63"/>
  <c r="AG63"/>
  <c r="BA63"/>
  <c r="BB63" s="1"/>
  <c r="AL66"/>
  <c r="AG66"/>
  <c r="AI66" s="1"/>
  <c r="BA66"/>
  <c r="BB66" s="1"/>
  <c r="BA68"/>
  <c r="BB68" s="1"/>
  <c r="AL77"/>
  <c r="AG77"/>
  <c r="AI77" s="1"/>
  <c r="AK78"/>
  <c r="AK86"/>
  <c r="AL12" i="46"/>
  <c r="AG12"/>
  <c r="AI12" s="1"/>
  <c r="AK13"/>
  <c r="AL16"/>
  <c r="AG16"/>
  <c r="AL18"/>
  <c r="AG18"/>
  <c r="AI18" s="1"/>
  <c r="AK19"/>
  <c r="AK25"/>
  <c r="AK31"/>
  <c r="AK37"/>
  <c r="AK43"/>
  <c r="AK49"/>
  <c r="AK53"/>
  <c r="AI59"/>
  <c r="BA60"/>
  <c r="BB60" s="1"/>
  <c r="BA61"/>
  <c r="BB61" s="1"/>
  <c r="AI63"/>
  <c r="BA64"/>
  <c r="BB64" s="1"/>
  <c r="BA65"/>
  <c r="BB65" s="1"/>
  <c r="AL71"/>
  <c r="AG71"/>
  <c r="AK73"/>
  <c r="AK77"/>
  <c r="AK11" i="47"/>
  <c r="AI14"/>
  <c r="AK15"/>
  <c r="AL17"/>
  <c r="AG17"/>
  <c r="AI17" s="1"/>
  <c r="AI18"/>
  <c r="AH19"/>
  <c r="AL21"/>
  <c r="AG21"/>
  <c r="AI21" s="1"/>
  <c r="AI22"/>
  <c r="AK23"/>
  <c r="AI26"/>
  <c r="AK27"/>
  <c r="AL29"/>
  <c r="AG29"/>
  <c r="AI29" s="1"/>
  <c r="AI30"/>
  <c r="AH31"/>
  <c r="AL33"/>
  <c r="AG33"/>
  <c r="AI33" s="1"/>
  <c r="AI34"/>
  <c r="AK35"/>
  <c r="AI38"/>
  <c r="AK39"/>
  <c r="AL41"/>
  <c r="AG41"/>
  <c r="AI41" s="1"/>
  <c r="AI42"/>
  <c r="AH43"/>
  <c r="AL45"/>
  <c r="AG45"/>
  <c r="AI45" s="1"/>
  <c r="AI46"/>
  <c r="AK47"/>
  <c r="AI50"/>
  <c r="AK51"/>
  <c r="AL53"/>
  <c r="AG53"/>
  <c r="AI53" s="1"/>
  <c r="BA58"/>
  <c r="AL59"/>
  <c r="AG59"/>
  <c r="BA59"/>
  <c r="BB59" s="1"/>
  <c r="AL62"/>
  <c r="AG62"/>
  <c r="AI62" s="1"/>
  <c r="BA62"/>
  <c r="BB62" s="1"/>
  <c r="AL63"/>
  <c r="AG63"/>
  <c r="BA63"/>
  <c r="BB63" s="1"/>
  <c r="AL66"/>
  <c r="AG66"/>
  <c r="AI66" s="1"/>
  <c r="BA66"/>
  <c r="BB66" s="1"/>
  <c r="BA68"/>
  <c r="BB68" s="1"/>
  <c r="AL77"/>
  <c r="AG77"/>
  <c r="AI77" s="1"/>
  <c r="AK78"/>
  <c r="AK86"/>
  <c r="AL12" i="48"/>
  <c r="AG12"/>
  <c r="AK13"/>
  <c r="AL16"/>
  <c r="AG16"/>
  <c r="AI16" s="1"/>
  <c r="AL18"/>
  <c r="AG18"/>
  <c r="AK19"/>
  <c r="AL22"/>
  <c r="AG22"/>
  <c r="AI22" s="1"/>
  <c r="AL24"/>
  <c r="AG24"/>
  <c r="AK25"/>
  <c r="AL28"/>
  <c r="AG28"/>
  <c r="AI28" s="1"/>
  <c r="AL30"/>
  <c r="AG30"/>
  <c r="AI30" s="1"/>
  <c r="AK31"/>
  <c r="AL34"/>
  <c r="AG34"/>
  <c r="AL36"/>
  <c r="AG36"/>
  <c r="AI36" s="1"/>
  <c r="AK37"/>
  <c r="AL40"/>
  <c r="AG40"/>
  <c r="AL42"/>
  <c r="AG42"/>
  <c r="AI42" s="1"/>
  <c r="AK43"/>
  <c r="AL46"/>
  <c r="AG46"/>
  <c r="AI46" s="1"/>
  <c r="AL48"/>
  <c r="AG48"/>
  <c r="AI48" s="1"/>
  <c r="AK49"/>
  <c r="AL52"/>
  <c r="AG52"/>
  <c r="AI52" s="1"/>
  <c r="AL54"/>
  <c r="AL55"/>
  <c r="AG55"/>
  <c r="AL59"/>
  <c r="BA59"/>
  <c r="BB59" s="1"/>
  <c r="AL61"/>
  <c r="BA61"/>
  <c r="BB61" s="1"/>
  <c r="AL63"/>
  <c r="BA63"/>
  <c r="BB63" s="1"/>
  <c r="AL65"/>
  <c r="AL66"/>
  <c r="AG66"/>
  <c r="BA66"/>
  <c r="BB66" s="1"/>
  <c r="BA67"/>
  <c r="BB67" s="1"/>
  <c r="AK70"/>
  <c r="AL71"/>
  <c r="AG71"/>
  <c r="AK72"/>
  <c r="AL73"/>
  <c r="AG73"/>
  <c r="AK82"/>
  <c r="AL11" i="49"/>
  <c r="AK13"/>
  <c r="AL14"/>
  <c r="AL15"/>
  <c r="AL17"/>
  <c r="AK19"/>
  <c r="AL20"/>
  <c r="AL21"/>
  <c r="AL23"/>
  <c r="AK25"/>
  <c r="AL26"/>
  <c r="AL27"/>
  <c r="AL29"/>
  <c r="AK31"/>
  <c r="AL32"/>
  <c r="AL33"/>
  <c r="AL35"/>
  <c r="AK37"/>
  <c r="AL38"/>
  <c r="AL39"/>
  <c r="AL41"/>
  <c r="AK43"/>
  <c r="AL44"/>
  <c r="AL45"/>
  <c r="AL47"/>
  <c r="AK49"/>
  <c r="AL50"/>
  <c r="AL51"/>
  <c r="AL53"/>
  <c r="AK55"/>
  <c r="BA58"/>
  <c r="AL59"/>
  <c r="BA59"/>
  <c r="BB59" s="1"/>
  <c r="AL60"/>
  <c r="BA60"/>
  <c r="BB60" s="1"/>
  <c r="AL61"/>
  <c r="BA61"/>
  <c r="BB61" s="1"/>
  <c r="AL62"/>
  <c r="BA62"/>
  <c r="BB62" s="1"/>
  <c r="AL63"/>
  <c r="BA63"/>
  <c r="BB63" s="1"/>
  <c r="AL64"/>
  <c r="BA64"/>
  <c r="BB64" s="1"/>
  <c r="AL65"/>
  <c r="BA65"/>
  <c r="BB65" s="1"/>
  <c r="AL66"/>
  <c r="BA66"/>
  <c r="BB66" s="1"/>
  <c r="BA68"/>
  <c r="BB68" s="1"/>
  <c r="AK70"/>
  <c r="AK72"/>
  <c r="AL77"/>
  <c r="AL78"/>
  <c r="AG78"/>
  <c r="AK82"/>
  <c r="AL12" i="50"/>
  <c r="AG12"/>
  <c r="AL14"/>
  <c r="AG14"/>
  <c r="AI14" s="1"/>
  <c r="AI15"/>
  <c r="AK16"/>
  <c r="AL18"/>
  <c r="AG18"/>
  <c r="AI18" s="1"/>
  <c r="AL19"/>
  <c r="AK20"/>
  <c r="AK22"/>
  <c r="AL24"/>
  <c r="AG24"/>
  <c r="AL26"/>
  <c r="AG26"/>
  <c r="AI26" s="1"/>
  <c r="AI27"/>
  <c r="AK28"/>
  <c r="AL30"/>
  <c r="AG30"/>
  <c r="AI30" s="1"/>
  <c r="AL31"/>
  <c r="AK32"/>
  <c r="AK34"/>
  <c r="AL36"/>
  <c r="AG36"/>
  <c r="AL38"/>
  <c r="AG38"/>
  <c r="AI38" s="1"/>
  <c r="AI39"/>
  <c r="AK40"/>
  <c r="AL42"/>
  <c r="AG42"/>
  <c r="AI42" s="1"/>
  <c r="AL43"/>
  <c r="AK44"/>
  <c r="AL47"/>
  <c r="AG47"/>
  <c r="AK48"/>
  <c r="AL50"/>
  <c r="AG50"/>
  <c r="AL51"/>
  <c r="AG51"/>
  <c r="AK52"/>
  <c r="AL53"/>
  <c r="AG53"/>
  <c r="AK54"/>
  <c r="BA58"/>
  <c r="AL59"/>
  <c r="AG59"/>
  <c r="BA59"/>
  <c r="BB59" s="1"/>
  <c r="AK60"/>
  <c r="AK61"/>
  <c r="AL62"/>
  <c r="AG62"/>
  <c r="BA62"/>
  <c r="BB62" s="1"/>
  <c r="AL63"/>
  <c r="AG63"/>
  <c r="BA63"/>
  <c r="BB63" s="1"/>
  <c r="AK64"/>
  <c r="AK65"/>
  <c r="AL66"/>
  <c r="AG66"/>
  <c r="BA66"/>
  <c r="BB66" s="1"/>
  <c r="BA68"/>
  <c r="BB68" s="1"/>
  <c r="AK71"/>
  <c r="AK73"/>
  <c r="AL77"/>
  <c r="AG77"/>
  <c r="AL78"/>
  <c r="AL86"/>
  <c r="AK11" i="51"/>
  <c r="AL12"/>
  <c r="AG12"/>
  <c r="AL13"/>
  <c r="AK14"/>
  <c r="AK15"/>
  <c r="AL16"/>
  <c r="AG16"/>
  <c r="AK17"/>
  <c r="AL18"/>
  <c r="AG18"/>
  <c r="AL19"/>
  <c r="AK20"/>
  <c r="AK21"/>
  <c r="AL22"/>
  <c r="AG22"/>
  <c r="AK23"/>
  <c r="AL24"/>
  <c r="AG24"/>
  <c r="AL25"/>
  <c r="AK26"/>
  <c r="AK27"/>
  <c r="AL28"/>
  <c r="AG28"/>
  <c r="AK29"/>
  <c r="AL30"/>
  <c r="AG30"/>
  <c r="AL31"/>
  <c r="AK32"/>
  <c r="AK33"/>
  <c r="AL34"/>
  <c r="AG34"/>
  <c r="AK35"/>
  <c r="AL36"/>
  <c r="AG36"/>
  <c r="AL37"/>
  <c r="AK38"/>
  <c r="AK39"/>
  <c r="AL40"/>
  <c r="AG40"/>
  <c r="AK41"/>
  <c r="AL42"/>
  <c r="AG42"/>
  <c r="AL43"/>
  <c r="AK44"/>
  <c r="AK45"/>
  <c r="AL46"/>
  <c r="AG46"/>
  <c r="AK47"/>
  <c r="AL48"/>
  <c r="AG48"/>
  <c r="AL49"/>
  <c r="AK50"/>
  <c r="AK51"/>
  <c r="AL52"/>
  <c r="AG52"/>
  <c r="AK53"/>
  <c r="AL54"/>
  <c r="AG54"/>
  <c r="AL55"/>
  <c r="AL59"/>
  <c r="AG59"/>
  <c r="BA59"/>
  <c r="BB59" s="1"/>
  <c r="AL60"/>
  <c r="AG60"/>
  <c r="BA60"/>
  <c r="BB60" s="1"/>
  <c r="AL61"/>
  <c r="AG61"/>
  <c r="BA61"/>
  <c r="BB61" s="1"/>
  <c r="AK62"/>
  <c r="AK63"/>
  <c r="AL64"/>
  <c r="AG64"/>
  <c r="BA64"/>
  <c r="BB64" s="1"/>
  <c r="AL65"/>
  <c r="AG65"/>
  <c r="BA65"/>
  <c r="BB65" s="1"/>
  <c r="AK66"/>
  <c r="AL70"/>
  <c r="AL71"/>
  <c r="AG71"/>
  <c r="AL72"/>
  <c r="AL73"/>
  <c r="AG73"/>
  <c r="AK77"/>
  <c r="AL82"/>
  <c r="AW91"/>
  <c r="AL11" i="52"/>
  <c r="AG11"/>
  <c r="AL12"/>
  <c r="AG12"/>
  <c r="AL14"/>
  <c r="AG14"/>
  <c r="AL15"/>
  <c r="AG15"/>
  <c r="AL16"/>
  <c r="AG16"/>
  <c r="AL17"/>
  <c r="AG17"/>
  <c r="AL18"/>
  <c r="AG18"/>
  <c r="AL20"/>
  <c r="AG20"/>
  <c r="AL21"/>
  <c r="AG21"/>
  <c r="AL22"/>
  <c r="AG22"/>
  <c r="AL23"/>
  <c r="AG23"/>
  <c r="AL24"/>
  <c r="AG24"/>
  <c r="AL26"/>
  <c r="AG26"/>
  <c r="AL27"/>
  <c r="AG27"/>
  <c r="AL28"/>
  <c r="AG28"/>
  <c r="AL29"/>
  <c r="AG29"/>
  <c r="AL30"/>
  <c r="AG30"/>
  <c r="AL32"/>
  <c r="AG32"/>
  <c r="AL33"/>
  <c r="AG33"/>
  <c r="AL34"/>
  <c r="AG34"/>
  <c r="AL35"/>
  <c r="AG35"/>
  <c r="AL36"/>
  <c r="AG36"/>
  <c r="AL38"/>
  <c r="AG38"/>
  <c r="AL39"/>
  <c r="AG39"/>
  <c r="AL40"/>
  <c r="AG40"/>
  <c r="AL41"/>
  <c r="AG41"/>
  <c r="AL42"/>
  <c r="AG42"/>
  <c r="AL44"/>
  <c r="AG44"/>
  <c r="AL45"/>
  <c r="AG45"/>
  <c r="AL46"/>
  <c r="AG46"/>
  <c r="AL47"/>
  <c r="AG47"/>
  <c r="AL50"/>
  <c r="AG50"/>
  <c r="AL52"/>
  <c r="AG52"/>
  <c r="AI52" s="1"/>
  <c r="AI53"/>
  <c r="AK54"/>
  <c r="AL55"/>
  <c r="AK59"/>
  <c r="BA59"/>
  <c r="BB59" s="1"/>
  <c r="AL60"/>
  <c r="AG60"/>
  <c r="AK61"/>
  <c r="BA61"/>
  <c r="BB61" s="1"/>
  <c r="AL62"/>
  <c r="AG62"/>
  <c r="AK63"/>
  <c r="BA63"/>
  <c r="BB63" s="1"/>
  <c r="AL64"/>
  <c r="AG64"/>
  <c r="AK65"/>
  <c r="BA65"/>
  <c r="BB65" s="1"/>
  <c r="AL66"/>
  <c r="AG66"/>
  <c r="AH70"/>
  <c r="AI71"/>
  <c r="AI77"/>
  <c r="AK11" i="53"/>
  <c r="AK12"/>
  <c r="AL13"/>
  <c r="AK14"/>
  <c r="AK15"/>
  <c r="AK16"/>
  <c r="AK17"/>
  <c r="AK18"/>
  <c r="AL19"/>
  <c r="AK20"/>
  <c r="AK21"/>
  <c r="AK22"/>
  <c r="AK23"/>
  <c r="AK24"/>
  <c r="AL25"/>
  <c r="AK26"/>
  <c r="AK27"/>
  <c r="AL28"/>
  <c r="AG28"/>
  <c r="AK29"/>
  <c r="AL30"/>
  <c r="AG30"/>
  <c r="AL31"/>
  <c r="AK32"/>
  <c r="AK33"/>
  <c r="AL34"/>
  <c r="AG34"/>
  <c r="AK35"/>
  <c r="AL36"/>
  <c r="AG36"/>
  <c r="AL37"/>
  <c r="AK38"/>
  <c r="AK39"/>
  <c r="AL40"/>
  <c r="AG40"/>
  <c r="AK41"/>
  <c r="AL42"/>
  <c r="AG42"/>
  <c r="AL43"/>
  <c r="AK44"/>
  <c r="AW91"/>
  <c r="AK45"/>
  <c r="AL46"/>
  <c r="AG46"/>
  <c r="AK47"/>
  <c r="AL48"/>
  <c r="AG48"/>
  <c r="AL49"/>
  <c r="AK50"/>
  <c r="AK51"/>
  <c r="AL52"/>
  <c r="AG52"/>
  <c r="AK53"/>
  <c r="AK54"/>
  <c r="AL55"/>
  <c r="AG55"/>
  <c r="BA59"/>
  <c r="BB59" s="1"/>
  <c r="AK60"/>
  <c r="AG60"/>
  <c r="BA60"/>
  <c r="BB60" s="1"/>
  <c r="AL61"/>
  <c r="AG61"/>
  <c r="BA61"/>
  <c r="BB61" s="1"/>
  <c r="AK62"/>
  <c r="AK63"/>
  <c r="AL64"/>
  <c r="AG64"/>
  <c r="BA64"/>
  <c r="BB64" s="1"/>
  <c r="AL65"/>
  <c r="AG65"/>
  <c r="BA65"/>
  <c r="BB65" s="1"/>
  <c r="AK66"/>
  <c r="AL70"/>
  <c r="AL71"/>
  <c r="AG71"/>
  <c r="AL72"/>
  <c r="AL73"/>
  <c r="AG73"/>
  <c r="AK77"/>
  <c r="AL82"/>
  <c r="AK12" i="54"/>
  <c r="AL13"/>
  <c r="AG13"/>
  <c r="AI13" s="1"/>
  <c r="AK16"/>
  <c r="AK18"/>
  <c r="AL19"/>
  <c r="AG19"/>
  <c r="AK22"/>
  <c r="AK24"/>
  <c r="AL25"/>
  <c r="AG25"/>
  <c r="AK28"/>
  <c r="AL30"/>
  <c r="AK33"/>
  <c r="AL35"/>
  <c r="AG35"/>
  <c r="AL36"/>
  <c r="AG36"/>
  <c r="AL38"/>
  <c r="AG38"/>
  <c r="AL39"/>
  <c r="AG39"/>
  <c r="AL40"/>
  <c r="AG40"/>
  <c r="AL41"/>
  <c r="AG41"/>
  <c r="AL42"/>
  <c r="AG42"/>
  <c r="AL44"/>
  <c r="AG44"/>
  <c r="AL45"/>
  <c r="AG45"/>
  <c r="AL46"/>
  <c r="AG46"/>
  <c r="AL47"/>
  <c r="AG47"/>
  <c r="AL48"/>
  <c r="AG48"/>
  <c r="AL50"/>
  <c r="AG50"/>
  <c r="AL51"/>
  <c r="AG51"/>
  <c r="AI51" s="1"/>
  <c r="AL52"/>
  <c r="AG52"/>
  <c r="AI52" s="1"/>
  <c r="AL53"/>
  <c r="AG53"/>
  <c r="AL54"/>
  <c r="AL55"/>
  <c r="AG55"/>
  <c r="BA60"/>
  <c r="BB60" s="1"/>
  <c r="AL61"/>
  <c r="AG61"/>
  <c r="BA61"/>
  <c r="BB61" s="1"/>
  <c r="AL64"/>
  <c r="AG64"/>
  <c r="BA64"/>
  <c r="BB64" s="1"/>
  <c r="AL65"/>
  <c r="AG65"/>
  <c r="BA65"/>
  <c r="BB65" s="1"/>
  <c r="AK70"/>
  <c r="AL71"/>
  <c r="AG71"/>
  <c r="AK72"/>
  <c r="AL73"/>
  <c r="AG73"/>
  <c r="AK82"/>
  <c r="AL11" i="55"/>
  <c r="AG11"/>
  <c r="AL12"/>
  <c r="AL13"/>
  <c r="AG13"/>
  <c r="AL16"/>
  <c r="AG16"/>
  <c r="AI16" s="1"/>
  <c r="AI17"/>
  <c r="AI18"/>
  <c r="AL19"/>
  <c r="AK20"/>
  <c r="AK22"/>
  <c r="AL23"/>
  <c r="AG23"/>
  <c r="AL24"/>
  <c r="AG24"/>
  <c r="AL26"/>
  <c r="AG26"/>
  <c r="AL27"/>
  <c r="AG27"/>
  <c r="AL28"/>
  <c r="AG28"/>
  <c r="AL29"/>
  <c r="AG29"/>
  <c r="AL30"/>
  <c r="AG30"/>
  <c r="AL32"/>
  <c r="AG32"/>
  <c r="AL33"/>
  <c r="AG33"/>
  <c r="AL34"/>
  <c r="AG34"/>
  <c r="AL35"/>
  <c r="AG35"/>
  <c r="AL36"/>
  <c r="AG36"/>
  <c r="AL38"/>
  <c r="AG38"/>
  <c r="AL39"/>
  <c r="AG39"/>
  <c r="AL40"/>
  <c r="AG40"/>
  <c r="AL41"/>
  <c r="AG41"/>
  <c r="AL42"/>
  <c r="AG42"/>
  <c r="AL44"/>
  <c r="AG44"/>
  <c r="AL45"/>
  <c r="AG45"/>
  <c r="AL46"/>
  <c r="AG46"/>
  <c r="AL47"/>
  <c r="AG47"/>
  <c r="AL48"/>
  <c r="AG48"/>
  <c r="AL50"/>
  <c r="AG50"/>
  <c r="AL51"/>
  <c r="AG51"/>
  <c r="AL52"/>
  <c r="AG52"/>
  <c r="AL53"/>
  <c r="AG53"/>
  <c r="AK54"/>
  <c r="AL55"/>
  <c r="AG55"/>
  <c r="BA65"/>
  <c r="BB65" s="1"/>
  <c r="AK66"/>
  <c r="BA66"/>
  <c r="BB66" s="1"/>
  <c r="AK71"/>
  <c r="AK73"/>
  <c r="AK77"/>
  <c r="AK32" i="36"/>
  <c r="AG34"/>
  <c r="AG35"/>
  <c r="AG38"/>
  <c r="AI38" s="1"/>
  <c r="AG39"/>
  <c r="AG41"/>
  <c r="AG44"/>
  <c r="AI44" s="1"/>
  <c r="AG45"/>
  <c r="AG47"/>
  <c r="AG50"/>
  <c r="AI50" s="1"/>
  <c r="AG51"/>
  <c r="AI51" s="1"/>
  <c r="AG53"/>
  <c r="AG66"/>
  <c r="AI66" s="1"/>
  <c r="BA66"/>
  <c r="BB66" s="1"/>
  <c r="AG77"/>
  <c r="AK16" i="37"/>
  <c r="AG20"/>
  <c r="AG22"/>
  <c r="AI22" s="1"/>
  <c r="AG52"/>
  <c r="AG55"/>
  <c r="AG11" i="38"/>
  <c r="AG12"/>
  <c r="AG14"/>
  <c r="AG15"/>
  <c r="AG16"/>
  <c r="AG17"/>
  <c r="AG18"/>
  <c r="AG20"/>
  <c r="AG21"/>
  <c r="AG22"/>
  <c r="AG23"/>
  <c r="AG24"/>
  <c r="AG26"/>
  <c r="AG27"/>
  <c r="AG28"/>
  <c r="AG29"/>
  <c r="AG30"/>
  <c r="AG32"/>
  <c r="AG33"/>
  <c r="AG34"/>
  <c r="AG35"/>
  <c r="AG36"/>
  <c r="AG38"/>
  <c r="AG39"/>
  <c r="AG41"/>
  <c r="AG44"/>
  <c r="AG45"/>
  <c r="AG47"/>
  <c r="AG50"/>
  <c r="AG51"/>
  <c r="AG53"/>
  <c r="AG59"/>
  <c r="AG62"/>
  <c r="BA62"/>
  <c r="BB62" s="1"/>
  <c r="AG63"/>
  <c r="BA63"/>
  <c r="BB63" s="1"/>
  <c r="AG66"/>
  <c r="BA66"/>
  <c r="BB66" s="1"/>
  <c r="AG77"/>
  <c r="AG12" i="39"/>
  <c r="AG15"/>
  <c r="AG16"/>
  <c r="AG17"/>
  <c r="AG18"/>
  <c r="AG20"/>
  <c r="AG26"/>
  <c r="AG28"/>
  <c r="AG29"/>
  <c r="AG30"/>
  <c r="AG33"/>
  <c r="AG38"/>
  <c r="AG41"/>
  <c r="AG42"/>
  <c r="AG45"/>
  <c r="AG50"/>
  <c r="AG63"/>
  <c r="BA63"/>
  <c r="BB63" s="1"/>
  <c r="AG64"/>
  <c r="BA64"/>
  <c r="BB64" s="1"/>
  <c r="AG65"/>
  <c r="BA65"/>
  <c r="BB65" s="1"/>
  <c r="AG66"/>
  <c r="BA66"/>
  <c r="BB66" s="1"/>
  <c r="AG77"/>
  <c r="AG37" i="40"/>
  <c r="AG43"/>
  <c r="AK47"/>
  <c r="AK51"/>
  <c r="AG53"/>
  <c r="AI60"/>
  <c r="BA61"/>
  <c r="BB61" s="1"/>
  <c r="BA62"/>
  <c r="BB62" s="1"/>
  <c r="AI64"/>
  <c r="BA65"/>
  <c r="BB65" s="1"/>
  <c r="BA66"/>
  <c r="BB66" s="1"/>
  <c r="AK71"/>
  <c r="AG73"/>
  <c r="AG77"/>
  <c r="AG11" i="41"/>
  <c r="AG15"/>
  <c r="AK17"/>
  <c r="AK21"/>
  <c r="AG23"/>
  <c r="AG27"/>
  <c r="AK29"/>
  <c r="AK33"/>
  <c r="AG35"/>
  <c r="AG39"/>
  <c r="AK41"/>
  <c r="AK45"/>
  <c r="AG47"/>
  <c r="AG51"/>
  <c r="AK53"/>
  <c r="AI59"/>
  <c r="BA60"/>
  <c r="BB60" s="1"/>
  <c r="BA61"/>
  <c r="BB61" s="1"/>
  <c r="AI63"/>
  <c r="BA64"/>
  <c r="BB64" s="1"/>
  <c r="BA65"/>
  <c r="BB65" s="1"/>
  <c r="AG71"/>
  <c r="AI71" s="1"/>
  <c r="AK73"/>
  <c r="AK77"/>
  <c r="AK11" i="42"/>
  <c r="AI14"/>
  <c r="AK15"/>
  <c r="AG17"/>
  <c r="AI17" s="1"/>
  <c r="AI18"/>
  <c r="AG23"/>
  <c r="AI23" s="1"/>
  <c r="AI24"/>
  <c r="AG27"/>
  <c r="AI27" s="1"/>
  <c r="AI28"/>
  <c r="AK29"/>
  <c r="AI32"/>
  <c r="AK33"/>
  <c r="AG38"/>
  <c r="AI38" s="1"/>
  <c r="AI39"/>
  <c r="AF39" s="1"/>
  <c r="Y39" s="1"/>
  <c r="AK40"/>
  <c r="AG42"/>
  <c r="AI42" s="1"/>
  <c r="AK44"/>
  <c r="AG45"/>
  <c r="AI45" s="1"/>
  <c r="AG47"/>
  <c r="AI47" s="1"/>
  <c r="AG50"/>
  <c r="AI50" s="1"/>
  <c r="AG51"/>
  <c r="AG53"/>
  <c r="AG59"/>
  <c r="AG62"/>
  <c r="BA62"/>
  <c r="BB62" s="1"/>
  <c r="AG63"/>
  <c r="BA63"/>
  <c r="BB63" s="1"/>
  <c r="AG66"/>
  <c r="BA66"/>
  <c r="BB66" s="1"/>
  <c r="AG77"/>
  <c r="AG12" i="43"/>
  <c r="AG16"/>
  <c r="AG18"/>
  <c r="AG22"/>
  <c r="AG24"/>
  <c r="AI24" s="1"/>
  <c r="AG28"/>
  <c r="AG30"/>
  <c r="AI30" s="1"/>
  <c r="AG34"/>
  <c r="AG36"/>
  <c r="AG40"/>
  <c r="AI40" s="1"/>
  <c r="AG42"/>
  <c r="AG46"/>
  <c r="AI46" s="1"/>
  <c r="AG48"/>
  <c r="AI48" s="1"/>
  <c r="AG52"/>
  <c r="AG54"/>
  <c r="AG59"/>
  <c r="BA59"/>
  <c r="BB59" s="1"/>
  <c r="AG60"/>
  <c r="AI60" s="1"/>
  <c r="BA60"/>
  <c r="BB60" s="1"/>
  <c r="AG63"/>
  <c r="BA63"/>
  <c r="BB63" s="1"/>
  <c r="AG64"/>
  <c r="AI64" s="1"/>
  <c r="BA64"/>
  <c r="BB64" s="1"/>
  <c r="AG71"/>
  <c r="AG73"/>
  <c r="AG11" i="44"/>
  <c r="AI11" s="1"/>
  <c r="AG14"/>
  <c r="AG15"/>
  <c r="AG17"/>
  <c r="AI17" s="1"/>
  <c r="AG20"/>
  <c r="AG21"/>
  <c r="AG23"/>
  <c r="AI23" s="1"/>
  <c r="AG26"/>
  <c r="AG27"/>
  <c r="AG29"/>
  <c r="AG32"/>
  <c r="AG33"/>
  <c r="AI33" s="1"/>
  <c r="AG35"/>
  <c r="AG38"/>
  <c r="AI38" s="1"/>
  <c r="AG39"/>
  <c r="AI39" s="1"/>
  <c r="AG41"/>
  <c r="AI41" s="1"/>
  <c r="AG44"/>
  <c r="AI44" s="1"/>
  <c r="AG45"/>
  <c r="AI45" s="1"/>
  <c r="AG47"/>
  <c r="AI47" s="1"/>
  <c r="AG50"/>
  <c r="AG51"/>
  <c r="AG53"/>
  <c r="AG61"/>
  <c r="BA61"/>
  <c r="BB61" s="1"/>
  <c r="AG62"/>
  <c r="BA62"/>
  <c r="BB62" s="1"/>
  <c r="AG65"/>
  <c r="BA65"/>
  <c r="BB65" s="1"/>
  <c r="AG66"/>
  <c r="BA66"/>
  <c r="BB66" s="1"/>
  <c r="AG77"/>
  <c r="AG12" i="45"/>
  <c r="AI12" s="1"/>
  <c r="AG16"/>
  <c r="AG18"/>
  <c r="AI18" s="1"/>
  <c r="AG22"/>
  <c r="AG24"/>
  <c r="AI24" s="1"/>
  <c r="AG28"/>
  <c r="AG30"/>
  <c r="AI30" s="1"/>
  <c r="AG34"/>
  <c r="AI34" s="1"/>
  <c r="AF34" s="1"/>
  <c r="Y34" s="1"/>
  <c r="AG36"/>
  <c r="AG40"/>
  <c r="AI40" s="1"/>
  <c r="AG42"/>
  <c r="AG46"/>
  <c r="AI46" s="1"/>
  <c r="AG48"/>
  <c r="AI48" s="1"/>
  <c r="AG52"/>
  <c r="AG54"/>
  <c r="AG60"/>
  <c r="AI60" s="1"/>
  <c r="BA60"/>
  <c r="BB60" s="1"/>
  <c r="AG61"/>
  <c r="BA61"/>
  <c r="BB61" s="1"/>
  <c r="AG64"/>
  <c r="AI64" s="1"/>
  <c r="BA64"/>
  <c r="BB64" s="1"/>
  <c r="AG65"/>
  <c r="BA65"/>
  <c r="BB65" s="1"/>
  <c r="AG71"/>
  <c r="AG73"/>
  <c r="Q3" i="46"/>
  <c r="F79" i="22" s="1"/>
  <c r="AG11" i="46"/>
  <c r="AG14"/>
  <c r="AI14" s="1"/>
  <c r="AG15"/>
  <c r="AI15" s="1"/>
  <c r="AG17"/>
  <c r="AG20"/>
  <c r="AI20" s="1"/>
  <c r="AG21"/>
  <c r="AG22"/>
  <c r="AG23"/>
  <c r="AG24"/>
  <c r="AG26"/>
  <c r="AG27"/>
  <c r="AG28"/>
  <c r="AG29"/>
  <c r="AG30"/>
  <c r="AG32"/>
  <c r="AG33"/>
  <c r="AI33" s="1"/>
  <c r="AG34"/>
  <c r="AG35"/>
  <c r="AG36"/>
  <c r="AG38"/>
  <c r="AG39"/>
  <c r="AG40"/>
  <c r="AG41"/>
  <c r="AG42"/>
  <c r="AG44"/>
  <c r="AG45"/>
  <c r="AG46"/>
  <c r="AG47"/>
  <c r="AG48"/>
  <c r="AI48" s="1"/>
  <c r="AG50"/>
  <c r="AG51"/>
  <c r="AI51" s="1"/>
  <c r="AG53"/>
  <c r="AI53" s="1"/>
  <c r="AI54"/>
  <c r="AI61"/>
  <c r="BA62"/>
  <c r="BB62" s="1"/>
  <c r="BA63"/>
  <c r="BB63" s="1"/>
  <c r="AI65"/>
  <c r="AF65" s="1"/>
  <c r="Y65" s="1"/>
  <c r="BA66"/>
  <c r="BB66" s="1"/>
  <c r="AK71"/>
  <c r="AG73"/>
  <c r="AG77"/>
  <c r="AG11" i="47"/>
  <c r="AG15"/>
  <c r="AK17"/>
  <c r="AK21"/>
  <c r="AG23"/>
  <c r="AG27"/>
  <c r="AK29"/>
  <c r="AK33"/>
  <c r="AG35"/>
  <c r="AG39"/>
  <c r="AK41"/>
  <c r="AK45"/>
  <c r="AG47"/>
  <c r="AG51"/>
  <c r="AI51" s="1"/>
  <c r="AG54"/>
  <c r="AG60"/>
  <c r="AI60" s="1"/>
  <c r="BA60"/>
  <c r="BB60" s="1"/>
  <c r="AG61"/>
  <c r="BA61"/>
  <c r="BB61" s="1"/>
  <c r="AG64"/>
  <c r="AI64" s="1"/>
  <c r="BA64"/>
  <c r="BB64" s="1"/>
  <c r="AG65"/>
  <c r="BA65"/>
  <c r="BB65" s="1"/>
  <c r="AG71"/>
  <c r="AG73"/>
  <c r="AG11" i="48"/>
  <c r="AI11" s="1"/>
  <c r="AG14"/>
  <c r="AG15"/>
  <c r="AG17"/>
  <c r="AI17" s="1"/>
  <c r="AG20"/>
  <c r="AG21"/>
  <c r="AG23"/>
  <c r="AI23" s="1"/>
  <c r="AG26"/>
  <c r="AG27"/>
  <c r="AG29"/>
  <c r="AG32"/>
  <c r="AG33"/>
  <c r="AI33" s="1"/>
  <c r="AG35"/>
  <c r="AG38"/>
  <c r="AI38" s="1"/>
  <c r="AG39"/>
  <c r="AI39" s="1"/>
  <c r="AG41"/>
  <c r="AI41" s="1"/>
  <c r="AG44"/>
  <c r="AI44" s="1"/>
  <c r="AG45"/>
  <c r="AG47"/>
  <c r="AG50"/>
  <c r="AI50" s="1"/>
  <c r="AG51"/>
  <c r="AI51" s="1"/>
  <c r="BA60"/>
  <c r="BB60" s="1"/>
  <c r="BA62"/>
  <c r="BB62" s="1"/>
  <c r="BA64"/>
  <c r="BB64" s="1"/>
  <c r="AG77"/>
  <c r="AG13" i="49"/>
  <c r="AG19"/>
  <c r="AG25"/>
  <c r="AG31"/>
  <c r="AG37"/>
  <c r="AG43"/>
  <c r="AG49"/>
  <c r="AG55"/>
  <c r="AG70"/>
  <c r="AG72"/>
  <c r="AG82"/>
  <c r="AI11" i="50"/>
  <c r="AK12"/>
  <c r="AK14"/>
  <c r="AG16"/>
  <c r="AK18"/>
  <c r="AG20"/>
  <c r="AG22"/>
  <c r="AI22" s="1"/>
  <c r="AI23"/>
  <c r="AK24"/>
  <c r="AK26"/>
  <c r="AG28"/>
  <c r="AK30"/>
  <c r="AG32"/>
  <c r="AG34"/>
  <c r="AI34" s="1"/>
  <c r="AI35"/>
  <c r="AK36"/>
  <c r="AK38"/>
  <c r="AG40"/>
  <c r="AK42"/>
  <c r="AG44"/>
  <c r="AG46"/>
  <c r="AG48"/>
  <c r="AG52"/>
  <c r="AG54"/>
  <c r="AG60"/>
  <c r="BA60"/>
  <c r="BB60" s="1"/>
  <c r="AG61"/>
  <c r="BA61"/>
  <c r="BB61" s="1"/>
  <c r="AG64"/>
  <c r="BA64"/>
  <c r="BB64" s="1"/>
  <c r="AG65"/>
  <c r="BA65"/>
  <c r="BB65" s="1"/>
  <c r="AG71"/>
  <c r="AG73"/>
  <c r="AG11" i="51"/>
  <c r="AG14"/>
  <c r="AG15"/>
  <c r="AG17"/>
  <c r="AG20"/>
  <c r="AG21"/>
  <c r="AG23"/>
  <c r="AG26"/>
  <c r="AG27"/>
  <c r="AG29"/>
  <c r="AG32"/>
  <c r="AG33"/>
  <c r="AG35"/>
  <c r="AG38"/>
  <c r="AG39"/>
  <c r="AG41"/>
  <c r="AG44"/>
  <c r="AG45"/>
  <c r="AG47"/>
  <c r="AG50"/>
  <c r="AG51"/>
  <c r="AG53"/>
  <c r="AG62"/>
  <c r="BA62"/>
  <c r="BB62" s="1"/>
  <c r="AG63"/>
  <c r="BA63"/>
  <c r="BB63" s="1"/>
  <c r="AG66"/>
  <c r="BA66"/>
  <c r="BB66" s="1"/>
  <c r="AG77"/>
  <c r="AK50" i="52"/>
  <c r="AK52"/>
  <c r="AG54"/>
  <c r="AG59"/>
  <c r="AK60"/>
  <c r="BA60"/>
  <c r="BB60" s="1"/>
  <c r="AG61"/>
  <c r="AK62"/>
  <c r="BA62"/>
  <c r="BB62" s="1"/>
  <c r="AG63"/>
  <c r="AK64"/>
  <c r="BA64"/>
  <c r="BB64" s="1"/>
  <c r="AG65"/>
  <c r="AK66"/>
  <c r="BA66"/>
  <c r="BB66" s="1"/>
  <c r="AG11" i="53"/>
  <c r="AG12"/>
  <c r="AG14"/>
  <c r="AG15"/>
  <c r="AG16"/>
  <c r="AG17"/>
  <c r="AG18"/>
  <c r="AG20"/>
  <c r="AG21"/>
  <c r="AG22"/>
  <c r="AG23"/>
  <c r="AG24"/>
  <c r="AG26"/>
  <c r="AG27"/>
  <c r="AG29"/>
  <c r="AG32"/>
  <c r="AG33"/>
  <c r="AG35"/>
  <c r="AG38"/>
  <c r="AG39"/>
  <c r="AG41"/>
  <c r="AG44"/>
  <c r="AG45"/>
  <c r="AG47"/>
  <c r="AG50"/>
  <c r="AG51"/>
  <c r="AG53"/>
  <c r="AG62"/>
  <c r="BA62"/>
  <c r="BB62" s="1"/>
  <c r="AG63"/>
  <c r="BA63"/>
  <c r="BB63" s="1"/>
  <c r="AG66"/>
  <c r="BA66"/>
  <c r="BB66" s="1"/>
  <c r="AG77"/>
  <c r="AG33" i="54"/>
  <c r="AI33" s="1"/>
  <c r="AI34"/>
  <c r="AG62"/>
  <c r="BA62"/>
  <c r="BB62" s="1"/>
  <c r="AG63"/>
  <c r="BA63"/>
  <c r="BB63" s="1"/>
  <c r="AG66"/>
  <c r="BA66"/>
  <c r="BB66" s="1"/>
  <c r="AG77"/>
  <c r="AI77" s="1"/>
  <c r="AK16" i="55"/>
  <c r="AG20"/>
  <c r="AG22"/>
  <c r="AI22" s="1"/>
  <c r="BA69"/>
  <c r="BB69" s="1"/>
  <c r="AL10" i="5"/>
  <c r="AL10" i="6"/>
  <c r="AK10" i="19"/>
  <c r="AL10" i="21"/>
  <c r="AL10" i="26"/>
  <c r="AL10" i="29"/>
  <c r="AL10" i="32"/>
  <c r="AL10" i="33"/>
  <c r="AL10" i="35"/>
  <c r="AL10" i="37"/>
  <c r="AL10" i="39"/>
  <c r="AL10" i="40"/>
  <c r="AL10" i="44"/>
  <c r="AL10" i="46"/>
  <c r="AL10" i="48"/>
  <c r="AL10" i="50"/>
  <c r="AL10" i="51"/>
  <c r="AL10" i="52"/>
  <c r="AK10" i="54"/>
  <c r="AL10" i="7"/>
  <c r="AL10" i="25"/>
  <c r="AL10" i="30"/>
  <c r="AL10" i="31"/>
  <c r="AL10" i="36"/>
  <c r="AL10" i="38"/>
  <c r="AL10" i="43"/>
  <c r="AL10" i="45"/>
  <c r="AL10" i="49"/>
  <c r="AL10" i="53"/>
  <c r="AL10" i="55"/>
  <c r="AK10" i="7"/>
  <c r="AK10" i="21"/>
  <c r="AI10" i="28"/>
  <c r="AK10" i="30"/>
  <c r="AK10" i="35"/>
  <c r="AG10" i="36"/>
  <c r="AG10" i="37"/>
  <c r="AG10" i="38"/>
  <c r="AG10" i="39"/>
  <c r="AK10" i="40"/>
  <c r="AI10" i="41"/>
  <c r="AI10" i="42"/>
  <c r="AI10" i="47"/>
  <c r="AG10" i="50"/>
  <c r="AI10" s="1"/>
  <c r="AG10" i="51"/>
  <c r="AK10" i="52"/>
  <c r="AK10" i="53"/>
  <c r="AG10" i="55"/>
  <c r="AG10" i="5"/>
  <c r="AI10" s="1"/>
  <c r="AG10" i="7"/>
  <c r="AG10" i="21"/>
  <c r="AG10" i="25"/>
  <c r="AG10" i="26"/>
  <c r="AG10" i="29"/>
  <c r="AI10" s="1"/>
  <c r="AG10" i="30"/>
  <c r="AG10" i="35"/>
  <c r="AI10" s="1"/>
  <c r="AK10" i="36"/>
  <c r="AK10" i="38"/>
  <c r="AK10" i="39"/>
  <c r="AG10" i="40"/>
  <c r="AG10" i="43"/>
  <c r="AG10" i="44"/>
  <c r="AI10" s="1"/>
  <c r="AG10" i="45"/>
  <c r="AG10" i="46"/>
  <c r="AG10" i="48"/>
  <c r="AI10" s="1"/>
  <c r="AK10" i="50"/>
  <c r="AK10" i="51"/>
  <c r="AG10" i="52"/>
  <c r="AG10" i="53"/>
  <c r="AK9" i="7"/>
  <c r="AK9" i="38"/>
  <c r="AK9" i="51"/>
  <c r="AI9" i="53"/>
  <c r="AK9" i="21"/>
  <c r="AK9" i="36"/>
  <c r="AK9" i="39"/>
  <c r="AK9" i="40"/>
  <c r="AK9" i="52"/>
  <c r="AK9" i="54"/>
  <c r="AL9" i="7"/>
  <c r="AL9" i="8"/>
  <c r="AL9" i="26"/>
  <c r="AL9" i="28"/>
  <c r="AI9"/>
  <c r="AL9" i="30"/>
  <c r="AL9" i="31"/>
  <c r="AL9" i="32"/>
  <c r="AK9" i="34"/>
  <c r="AL9" i="38"/>
  <c r="AL9" i="41"/>
  <c r="AI9"/>
  <c r="AL9" i="42"/>
  <c r="AI9"/>
  <c r="AL9" i="44"/>
  <c r="AI9"/>
  <c r="AL9" i="46"/>
  <c r="AL9" i="47"/>
  <c r="AI9"/>
  <c r="AL9" i="49"/>
  <c r="AL9" i="52"/>
  <c r="AL9" i="54"/>
  <c r="AL9" i="55"/>
  <c r="AL9" i="5"/>
  <c r="AI9"/>
  <c r="AL9" i="6"/>
  <c r="AK9" i="19"/>
  <c r="AK9" i="20"/>
  <c r="AL9" i="21"/>
  <c r="AL9" i="25"/>
  <c r="AL9" i="27"/>
  <c r="AK9" i="28"/>
  <c r="AL9" i="29"/>
  <c r="AI9"/>
  <c r="AL9" i="33"/>
  <c r="AL9" i="36"/>
  <c r="AL9" i="37"/>
  <c r="AL9" i="39"/>
  <c r="AL9" i="40"/>
  <c r="AK9" i="41"/>
  <c r="AK9" i="42"/>
  <c r="AL9" i="43"/>
  <c r="AL9" i="45"/>
  <c r="AK9" i="47"/>
  <c r="AL9" i="48"/>
  <c r="AI9"/>
  <c r="AL9" i="51"/>
  <c r="AL8" i="54"/>
  <c r="AL8" i="26"/>
  <c r="AL8" i="29"/>
  <c r="AL8" i="32"/>
  <c r="AL8" i="33"/>
  <c r="AL8" i="34"/>
  <c r="AL8" i="35"/>
  <c r="AL8" i="36"/>
  <c r="AL8" i="37"/>
  <c r="AL8" i="40"/>
  <c r="AL8" i="43"/>
  <c r="AL8" i="45"/>
  <c r="AL8" i="48"/>
  <c r="AL8" i="51"/>
  <c r="AL8" i="53"/>
  <c r="R34" i="2"/>
  <c r="R40"/>
  <c r="AL8" i="25"/>
  <c r="AL8" i="27"/>
  <c r="AL8" i="30"/>
  <c r="AL8" i="31"/>
  <c r="AL8" i="38"/>
  <c r="AL8" i="39"/>
  <c r="AL8" i="44"/>
  <c r="AL8" i="46"/>
  <c r="AL8" i="49"/>
  <c r="AL8" i="50"/>
  <c r="AL8" i="52"/>
  <c r="AL8" i="55"/>
  <c r="AG8" i="25"/>
  <c r="AG8" i="26"/>
  <c r="AG8" i="29"/>
  <c r="AG8" i="30"/>
  <c r="AG8" i="35"/>
  <c r="AG8" i="36"/>
  <c r="AK8" i="38"/>
  <c r="AG8" i="39"/>
  <c r="AG8" i="40"/>
  <c r="AG8" i="48"/>
  <c r="AG8" i="49"/>
  <c r="AI8" s="1"/>
  <c r="AK8" i="50"/>
  <c r="AG8" i="51"/>
  <c r="AG8" i="52"/>
  <c r="AG8" i="53"/>
  <c r="AI8" s="1"/>
  <c r="AK8" i="54"/>
  <c r="AG8" i="55"/>
  <c r="AK8" i="30"/>
  <c r="AK8" i="35"/>
  <c r="AK8" i="36"/>
  <c r="AG8" i="37"/>
  <c r="AI8" s="1"/>
  <c r="AG8" i="38"/>
  <c r="AK8" i="39"/>
  <c r="AK8" i="40"/>
  <c r="AG8" i="43"/>
  <c r="AI8" s="1"/>
  <c r="AG8" i="44"/>
  <c r="AG8" i="45"/>
  <c r="AI8" s="1"/>
  <c r="AG8" i="46"/>
  <c r="AI8" s="1"/>
  <c r="AG8" i="50"/>
  <c r="AK8" i="51"/>
  <c r="AK8" i="52"/>
  <c r="AK8" i="53"/>
  <c r="AG8" i="54"/>
  <c r="AW90" i="42"/>
  <c r="AW89"/>
  <c r="U3"/>
  <c r="AX89"/>
  <c r="AI8"/>
  <c r="AI11"/>
  <c r="AI12"/>
  <c r="AI15"/>
  <c r="AI16"/>
  <c r="AI20"/>
  <c r="AI21"/>
  <c r="AI22"/>
  <c r="AI26"/>
  <c r="AI29"/>
  <c r="AI30"/>
  <c r="AI33"/>
  <c r="AI34"/>
  <c r="AI35"/>
  <c r="AI36"/>
  <c r="AI40"/>
  <c r="AI41"/>
  <c r="AI44"/>
  <c r="BB58"/>
  <c r="AI59"/>
  <c r="AI61"/>
  <c r="AI63"/>
  <c r="AI65"/>
  <c r="AI73"/>
  <c r="AV91"/>
  <c r="Q3"/>
  <c r="F56" i="22" s="1"/>
  <c r="U3" i="40"/>
  <c r="AI37"/>
  <c r="AI43"/>
  <c r="AI66"/>
  <c r="AI71"/>
  <c r="Q3"/>
  <c r="F17" i="22" s="1"/>
  <c r="AI50" i="40"/>
  <c r="AI53"/>
  <c r="AI54"/>
  <c r="AI59"/>
  <c r="AI61"/>
  <c r="AI63"/>
  <c r="AI65"/>
  <c r="AI73"/>
  <c r="AI77"/>
  <c r="AV91"/>
  <c r="D61" i="26"/>
  <c r="D73" s="1"/>
  <c r="F78" s="1"/>
  <c r="F82" s="1"/>
  <c r="E91" s="1"/>
  <c r="F59"/>
  <c r="D71" s="1"/>
  <c r="F77" s="1"/>
  <c r="D86" s="1"/>
  <c r="E89" s="1"/>
  <c r="F66"/>
  <c r="F72" s="1"/>
  <c r="D78" s="1"/>
  <c r="F86" s="1"/>
  <c r="E90" s="1"/>
  <c r="D64"/>
  <c r="F70" s="1"/>
  <c r="D77" s="1"/>
  <c r="D82" s="1"/>
  <c r="E92" s="1"/>
  <c r="D59" i="37"/>
  <c r="D71" s="1"/>
  <c r="F77" s="1"/>
  <c r="D86" s="1"/>
  <c r="E92"/>
  <c r="D62"/>
  <c r="F73" s="1"/>
  <c r="F78" s="1"/>
  <c r="F86" s="1"/>
  <c r="E89"/>
  <c r="D63"/>
  <c r="D70" s="1"/>
  <c r="E90"/>
  <c r="F66"/>
  <c r="F72" s="1"/>
  <c r="Z64"/>
  <c r="D64" s="1"/>
  <c r="F70" s="1"/>
  <c r="D77" s="1"/>
  <c r="D82" s="1"/>
  <c r="E91" s="1"/>
  <c r="U3" i="44"/>
  <c r="BB58"/>
  <c r="AI59"/>
  <c r="AI61"/>
  <c r="AI63"/>
  <c r="AI65"/>
  <c r="AI71"/>
  <c r="AI73"/>
  <c r="AV92"/>
  <c r="U3" i="55"/>
  <c r="AI20"/>
  <c r="AI21"/>
  <c r="AV90"/>
  <c r="Q3"/>
  <c r="F28" i="22" s="1"/>
  <c r="AW89" i="54"/>
  <c r="U3"/>
  <c r="AI32"/>
  <c r="AI35"/>
  <c r="AI39"/>
  <c r="AF39" s="1"/>
  <c r="Y39" s="1"/>
  <c r="AI41"/>
  <c r="AI45"/>
  <c r="AI47"/>
  <c r="AI53"/>
  <c r="AI61"/>
  <c r="AI63"/>
  <c r="AI65"/>
  <c r="AV92"/>
  <c r="Q3"/>
  <c r="F46" i="22" s="1"/>
  <c r="AV90" i="54"/>
  <c r="U3" i="53"/>
  <c r="Q3"/>
  <c r="F72" i="22" s="1"/>
  <c r="BA69" i="53"/>
  <c r="BB69" s="1"/>
  <c r="AV92"/>
  <c r="AW90" i="52"/>
  <c r="Q3"/>
  <c r="F59" i="22" s="1"/>
  <c r="AI73" i="52"/>
  <c r="AX91"/>
  <c r="AX92"/>
  <c r="AI50"/>
  <c r="AI51"/>
  <c r="AI54"/>
  <c r="BB58"/>
  <c r="AI59"/>
  <c r="AI60"/>
  <c r="AI61"/>
  <c r="AI62"/>
  <c r="AI63"/>
  <c r="AI64"/>
  <c r="AI65"/>
  <c r="AF65" s="1"/>
  <c r="Y65" s="1"/>
  <c r="AI66"/>
  <c r="Q3" i="51"/>
  <c r="F96" i="22" s="1"/>
  <c r="BB58" i="51"/>
  <c r="AV91"/>
  <c r="AX90"/>
  <c r="AV92"/>
  <c r="AW89" i="50"/>
  <c r="Q3"/>
  <c r="F55" i="22" s="1"/>
  <c r="AI8" i="50"/>
  <c r="AI9"/>
  <c r="AI12"/>
  <c r="AI16"/>
  <c r="AI17"/>
  <c r="AF17" s="1"/>
  <c r="Y17" s="1"/>
  <c r="AI20"/>
  <c r="AI21"/>
  <c r="AI24"/>
  <c r="AI28"/>
  <c r="AI29"/>
  <c r="AI32"/>
  <c r="AI33"/>
  <c r="AI36"/>
  <c r="AI40"/>
  <c r="AI41"/>
  <c r="AI44"/>
  <c r="AI45"/>
  <c r="BB58"/>
  <c r="AV90"/>
  <c r="AV92" i="49"/>
  <c r="Q3"/>
  <c r="F20" i="22" s="1"/>
  <c r="Q3" i="48"/>
  <c r="F85" i="22" s="1"/>
  <c r="AI66" i="48"/>
  <c r="AI71"/>
  <c r="AI73"/>
  <c r="AV91"/>
  <c r="AW89" i="47"/>
  <c r="AV92"/>
  <c r="AI8"/>
  <c r="AI11"/>
  <c r="AI12"/>
  <c r="AI15"/>
  <c r="AI16"/>
  <c r="AI20"/>
  <c r="AI23"/>
  <c r="AI24"/>
  <c r="AI27"/>
  <c r="AI28"/>
  <c r="AI32"/>
  <c r="AF32" s="1"/>
  <c r="Y32" s="1"/>
  <c r="AI35"/>
  <c r="AI36"/>
  <c r="AI39"/>
  <c r="AI40"/>
  <c r="AI44"/>
  <c r="AI47"/>
  <c r="AI48"/>
  <c r="AI52"/>
  <c r="BB58"/>
  <c r="AV90"/>
  <c r="AW89" i="46"/>
  <c r="AI21"/>
  <c r="AI24"/>
  <c r="AI26"/>
  <c r="AI27"/>
  <c r="AI29"/>
  <c r="AI30"/>
  <c r="AI32"/>
  <c r="AF32" s="1"/>
  <c r="Y32" s="1"/>
  <c r="AI34"/>
  <c r="AF34" s="1"/>
  <c r="Y34" s="1"/>
  <c r="AI36"/>
  <c r="AI38"/>
  <c r="AI40"/>
  <c r="AI42"/>
  <c r="AI44"/>
  <c r="AF44" s="1"/>
  <c r="Y44" s="1"/>
  <c r="AI46"/>
  <c r="AI50"/>
  <c r="BB58"/>
  <c r="AI60"/>
  <c r="AI62"/>
  <c r="AI64"/>
  <c r="AI66"/>
  <c r="AI71"/>
  <c r="AI73"/>
  <c r="AI77"/>
  <c r="AW89" i="45"/>
  <c r="AV90"/>
  <c r="AV92"/>
  <c r="AW90" i="43"/>
  <c r="BB58"/>
  <c r="AV91"/>
  <c r="AI8" i="41"/>
  <c r="AI11"/>
  <c r="AI12"/>
  <c r="AI15"/>
  <c r="AI16"/>
  <c r="AI20"/>
  <c r="AI23"/>
  <c r="AI24"/>
  <c r="AI27"/>
  <c r="AI28"/>
  <c r="AI32"/>
  <c r="AI35"/>
  <c r="AI36"/>
  <c r="AI39"/>
  <c r="AI40"/>
  <c r="AI44"/>
  <c r="AI47"/>
  <c r="AI48"/>
  <c r="AI51"/>
  <c r="AI52"/>
  <c r="BB58"/>
  <c r="AI60"/>
  <c r="AI62"/>
  <c r="AI64"/>
  <c r="AI66"/>
  <c r="AI73"/>
  <c r="AI77"/>
  <c r="AV91"/>
  <c r="BA69" i="39"/>
  <c r="BB69" s="1"/>
  <c r="BB58"/>
  <c r="Q3"/>
  <c r="F15" i="22" s="1"/>
  <c r="AX92" i="39"/>
  <c r="AV90"/>
  <c r="S47"/>
  <c r="S17"/>
  <c r="S54"/>
  <c r="S11"/>
  <c r="S33"/>
  <c r="R28"/>
  <c r="R30"/>
  <c r="R33"/>
  <c r="R35"/>
  <c r="R39"/>
  <c r="R41"/>
  <c r="R45"/>
  <c r="R47"/>
  <c r="R51"/>
  <c r="R52"/>
  <c r="R54"/>
  <c r="R22"/>
  <c r="R27"/>
  <c r="R21"/>
  <c r="R16"/>
  <c r="R15"/>
  <c r="R10"/>
  <c r="R53"/>
  <c r="R11"/>
  <c r="R12"/>
  <c r="R17"/>
  <c r="R18"/>
  <c r="R23"/>
  <c r="R24"/>
  <c r="R29"/>
  <c r="R34"/>
  <c r="R36"/>
  <c r="R40"/>
  <c r="R42"/>
  <c r="R46"/>
  <c r="R48"/>
  <c r="R9"/>
  <c r="Q3" i="38"/>
  <c r="F8" i="22" s="1"/>
  <c r="BB58" i="38"/>
  <c r="AX92"/>
  <c r="Q3" i="37"/>
  <c r="F43" i="22" s="1"/>
  <c r="AI11" i="37"/>
  <c r="AI16"/>
  <c r="AI17"/>
  <c r="AI18"/>
  <c r="AI20"/>
  <c r="AI21"/>
  <c r="BA69"/>
  <c r="BB69" s="1"/>
  <c r="AV90"/>
  <c r="AX89" i="36"/>
  <c r="Q3"/>
  <c r="F50" i="22" s="1"/>
  <c r="AI34" i="36"/>
  <c r="AF34" s="1"/>
  <c r="Y34" s="1"/>
  <c r="BA69"/>
  <c r="BB69" s="1"/>
  <c r="AI73"/>
  <c r="AV90"/>
  <c r="AV92"/>
  <c r="AW90" i="35"/>
  <c r="AX89"/>
  <c r="Q3"/>
  <c r="F38" i="22" s="1"/>
  <c r="AI14" i="35"/>
  <c r="AI15"/>
  <c r="AI18"/>
  <c r="AI26"/>
  <c r="BB58"/>
  <c r="AV91"/>
  <c r="AI8"/>
  <c r="AI9"/>
  <c r="AI12"/>
  <c r="AI20"/>
  <c r="AI21"/>
  <c r="AI24"/>
  <c r="AW90" i="34"/>
  <c r="BA69"/>
  <c r="BB69" s="1"/>
  <c r="AI61"/>
  <c r="AI62"/>
  <c r="AI63"/>
  <c r="AI64"/>
  <c r="AI65"/>
  <c r="AF65" s="1"/>
  <c r="Y65" s="1"/>
  <c r="AI66"/>
  <c r="AI73"/>
  <c r="AI55" i="33"/>
  <c r="AI82"/>
  <c r="AW90" i="29"/>
  <c r="BB58"/>
  <c r="AI73"/>
  <c r="AV91"/>
  <c r="Q3" i="32"/>
  <c r="F51" i="22" s="1"/>
  <c r="AV91" i="32"/>
  <c r="AI13" i="31"/>
  <c r="AV89"/>
  <c r="AI82" i="28"/>
  <c r="AI8"/>
  <c r="AI11"/>
  <c r="AI12"/>
  <c r="AI15"/>
  <c r="AI16"/>
  <c r="AI20"/>
  <c r="AI23"/>
  <c r="AI31"/>
  <c r="AI43"/>
  <c r="AI55"/>
  <c r="AI72" i="30"/>
  <c r="AI82"/>
  <c r="Q3" i="27"/>
  <c r="F45" i="22" s="1"/>
  <c r="BA69" i="27"/>
  <c r="BB69" s="1"/>
  <c r="S3" s="1"/>
  <c r="H45" i="22" s="1"/>
  <c r="AI54" i="27"/>
  <c r="AI59"/>
  <c r="AI61"/>
  <c r="AI63"/>
  <c r="AI65"/>
  <c r="AI73"/>
  <c r="AI77"/>
  <c r="AV91"/>
  <c r="Q3" i="26"/>
  <c r="F88" i="22" s="1"/>
  <c r="AI9" i="26"/>
  <c r="AI10"/>
  <c r="AI11"/>
  <c r="AI16"/>
  <c r="AI17"/>
  <c r="AF17" s="1"/>
  <c r="Y17" s="1"/>
  <c r="AI22"/>
  <c r="AI23"/>
  <c r="AI28"/>
  <c r="AI30"/>
  <c r="AI32"/>
  <c r="AF32" s="1"/>
  <c r="Y32" s="1"/>
  <c r="AI34"/>
  <c r="AI36"/>
  <c r="BA69"/>
  <c r="BB69" s="1"/>
  <c r="AI9" i="25"/>
  <c r="AI11"/>
  <c r="AI18"/>
  <c r="Q3"/>
  <c r="F35" i="22" s="1"/>
  <c r="AV89" i="25"/>
  <c r="AV91"/>
  <c r="AI16" i="21"/>
  <c r="AI22"/>
  <c r="AF22" s="1"/>
  <c r="Y22" s="1"/>
  <c r="AI23"/>
  <c r="AV91"/>
  <c r="AV91" i="20"/>
  <c r="Q3"/>
  <c r="F4" i="22" s="1"/>
  <c r="AI13" i="20"/>
  <c r="AI17"/>
  <c r="AI18"/>
  <c r="AI21"/>
  <c r="AI22"/>
  <c r="AV90"/>
  <c r="AV89" i="19"/>
  <c r="AV91"/>
  <c r="Q3"/>
  <c r="F82" i="22" s="1"/>
  <c r="AI13" i="19"/>
  <c r="AI22"/>
  <c r="AF22" s="1"/>
  <c r="Y22" s="1"/>
  <c r="AI23"/>
  <c r="AI26"/>
  <c r="AI27"/>
  <c r="AI30"/>
  <c r="AI32"/>
  <c r="AI33"/>
  <c r="AI55"/>
  <c r="Q3" i="8"/>
  <c r="F91" i="22" s="1"/>
  <c r="AI26" i="8"/>
  <c r="AI27"/>
  <c r="AV89"/>
  <c r="AV91"/>
  <c r="AI9"/>
  <c r="AI20"/>
  <c r="AI23"/>
  <c r="BB58"/>
  <c r="Q3" i="7"/>
  <c r="F11" i="22" s="1"/>
  <c r="AV89" i="7"/>
  <c r="AV91"/>
  <c r="AI14"/>
  <c r="AI15"/>
  <c r="AI16"/>
  <c r="BA69"/>
  <c r="BB69" s="1"/>
  <c r="S3" s="1"/>
  <c r="H11" i="22" s="1"/>
  <c r="AK70" i="40"/>
  <c r="AG70"/>
  <c r="AI70" s="1"/>
  <c r="AK72"/>
  <c r="AG72"/>
  <c r="AI72" s="1"/>
  <c r="AK78"/>
  <c r="AG78"/>
  <c r="AI78" s="1"/>
  <c r="AK82"/>
  <c r="AG82"/>
  <c r="AI82" s="1"/>
  <c r="AK86"/>
  <c r="AG86"/>
  <c r="AI86" s="1"/>
  <c r="AK70" i="41"/>
  <c r="AG70"/>
  <c r="AI70" s="1"/>
  <c r="AK72"/>
  <c r="AG72"/>
  <c r="AI72" s="1"/>
  <c r="AK78"/>
  <c r="AG78"/>
  <c r="AI78" s="1"/>
  <c r="AK82"/>
  <c r="AG82"/>
  <c r="AI82" s="1"/>
  <c r="AK86"/>
  <c r="AG86"/>
  <c r="AI86" s="1"/>
  <c r="AH8" i="38"/>
  <c r="AI8" s="1"/>
  <c r="AF8" s="1"/>
  <c r="AJ8"/>
  <c r="AH9"/>
  <c r="AI9" s="1"/>
  <c r="AJ9"/>
  <c r="AH10"/>
  <c r="AI10" s="1"/>
  <c r="AF10" s="1"/>
  <c r="Y10" s="1"/>
  <c r="AJ10"/>
  <c r="AH11"/>
  <c r="AI11" s="1"/>
  <c r="AJ11"/>
  <c r="AF11" s="1"/>
  <c r="Y11" s="1"/>
  <c r="AH12"/>
  <c r="AI12" s="1"/>
  <c r="AJ12"/>
  <c r="AF12" s="1"/>
  <c r="Y12" s="1"/>
  <c r="AG13"/>
  <c r="AI13" s="1"/>
  <c r="AK13"/>
  <c r="AH14"/>
  <c r="AI14" s="1"/>
  <c r="AJ14"/>
  <c r="AF14" s="1"/>
  <c r="Y14" s="1"/>
  <c r="AH15"/>
  <c r="AI15" s="1"/>
  <c r="AJ15"/>
  <c r="AF15" s="1"/>
  <c r="Y15" s="1"/>
  <c r="AH16"/>
  <c r="AI16" s="1"/>
  <c r="AJ16"/>
  <c r="AF16" s="1"/>
  <c r="Y16" s="1"/>
  <c r="AH17"/>
  <c r="AI17" s="1"/>
  <c r="AJ17"/>
  <c r="AF17" s="1"/>
  <c r="Y17" s="1"/>
  <c r="AH18"/>
  <c r="AI18" s="1"/>
  <c r="AJ18"/>
  <c r="AF18" s="1"/>
  <c r="Y18" s="1"/>
  <c r="AG19"/>
  <c r="AI19" s="1"/>
  <c r="AK19"/>
  <c r="AH20"/>
  <c r="AI20" s="1"/>
  <c r="AJ20"/>
  <c r="AH21"/>
  <c r="AI21" s="1"/>
  <c r="AJ21"/>
  <c r="AF21" s="1"/>
  <c r="Y21" s="1"/>
  <c r="AH22"/>
  <c r="AI22" s="1"/>
  <c r="AJ22"/>
  <c r="AF22" s="1"/>
  <c r="Y22" s="1"/>
  <c r="AH23"/>
  <c r="AI23" s="1"/>
  <c r="AJ23"/>
  <c r="AH24"/>
  <c r="AI24" s="1"/>
  <c r="AJ24"/>
  <c r="AF24" s="1"/>
  <c r="Y24" s="1"/>
  <c r="AG25"/>
  <c r="AI25" s="1"/>
  <c r="AK25"/>
  <c r="AH26"/>
  <c r="AI26" s="1"/>
  <c r="AJ26"/>
  <c r="AF26" s="1"/>
  <c r="Y26" s="1"/>
  <c r="AH27"/>
  <c r="AI27" s="1"/>
  <c r="AJ27"/>
  <c r="AF27" s="1"/>
  <c r="Y27" s="1"/>
  <c r="AH28"/>
  <c r="AI28" s="1"/>
  <c r="AJ28"/>
  <c r="AF28" s="1"/>
  <c r="Y28" s="1"/>
  <c r="AH29"/>
  <c r="AI29" s="1"/>
  <c r="AF29" s="1"/>
  <c r="Y29" s="1"/>
  <c r="AJ29"/>
  <c r="AH30"/>
  <c r="AI30" s="1"/>
  <c r="AJ30"/>
  <c r="AG31"/>
  <c r="AI31" s="1"/>
  <c r="AK31"/>
  <c r="AH32"/>
  <c r="AI32" s="1"/>
  <c r="AJ32"/>
  <c r="AH33"/>
  <c r="AI33" s="1"/>
  <c r="AJ33"/>
  <c r="AH34"/>
  <c r="AI34" s="1"/>
  <c r="AJ34"/>
  <c r="AF34" s="1"/>
  <c r="Y34" s="1"/>
  <c r="AH35"/>
  <c r="AI35" s="1"/>
  <c r="AJ35"/>
  <c r="AF35" s="1"/>
  <c r="Y35" s="1"/>
  <c r="AH36"/>
  <c r="AI36" s="1"/>
  <c r="AF36" s="1"/>
  <c r="Y36" s="1"/>
  <c r="AJ36"/>
  <c r="AG37"/>
  <c r="AI37" s="1"/>
  <c r="AK37"/>
  <c r="AH38"/>
  <c r="AI38" s="1"/>
  <c r="AJ38"/>
  <c r="AF38" s="1"/>
  <c r="Y38" s="1"/>
  <c r="AH39"/>
  <c r="AI39" s="1"/>
  <c r="AJ39"/>
  <c r="AF39" s="1"/>
  <c r="Y39" s="1"/>
  <c r="AH40"/>
  <c r="AI40" s="1"/>
  <c r="AJ40"/>
  <c r="AF40" s="1"/>
  <c r="Y40" s="1"/>
  <c r="AH41"/>
  <c r="AI41" s="1"/>
  <c r="AF41" s="1"/>
  <c r="Y41" s="1"/>
  <c r="AJ41"/>
  <c r="AH42"/>
  <c r="AI42" s="1"/>
  <c r="AJ42"/>
  <c r="AF42" s="1"/>
  <c r="Y42" s="1"/>
  <c r="AG43"/>
  <c r="AI43" s="1"/>
  <c r="AK43"/>
  <c r="AH44"/>
  <c r="AI44" s="1"/>
  <c r="AJ44"/>
  <c r="AF44" s="1"/>
  <c r="Y44" s="1"/>
  <c r="AH45"/>
  <c r="AI45" s="1"/>
  <c r="AJ45"/>
  <c r="AF45" s="1"/>
  <c r="Y45" s="1"/>
  <c r="AH46"/>
  <c r="AI46" s="1"/>
  <c r="AJ46"/>
  <c r="AF46" s="1"/>
  <c r="Y46" s="1"/>
  <c r="AH47"/>
  <c r="AI47" s="1"/>
  <c r="AJ47"/>
  <c r="AF47" s="1"/>
  <c r="Y47" s="1"/>
  <c r="AH48"/>
  <c r="AI48" s="1"/>
  <c r="AJ48"/>
  <c r="AG49"/>
  <c r="AI49" s="1"/>
  <c r="AK49"/>
  <c r="AH50"/>
  <c r="AI50" s="1"/>
  <c r="AJ50"/>
  <c r="AH51"/>
  <c r="AI51" s="1"/>
  <c r="AJ51"/>
  <c r="AF51" s="1"/>
  <c r="Y51" s="1"/>
  <c r="AH52"/>
  <c r="AJ52"/>
  <c r="AH53"/>
  <c r="AI53" s="1"/>
  <c r="AJ53"/>
  <c r="AF53" s="1"/>
  <c r="Y53" s="1"/>
  <c r="AH54"/>
  <c r="AI54" s="1"/>
  <c r="AJ54"/>
  <c r="AF54" s="1"/>
  <c r="Y54" s="1"/>
  <c r="AG55"/>
  <c r="AI55" s="1"/>
  <c r="AK55"/>
  <c r="AH59"/>
  <c r="AI59" s="1"/>
  <c r="AJ59"/>
  <c r="AF59" s="1"/>
  <c r="Y59" s="1"/>
  <c r="AH60"/>
  <c r="AI60" s="1"/>
  <c r="AJ60"/>
  <c r="AF60" s="1"/>
  <c r="Y60" s="1"/>
  <c r="AH61"/>
  <c r="AI61" s="1"/>
  <c r="AF61" s="1"/>
  <c r="Y61" s="1"/>
  <c r="AJ61"/>
  <c r="AH62"/>
  <c r="AI62" s="1"/>
  <c r="AJ62"/>
  <c r="AF62" s="1"/>
  <c r="Y62" s="1"/>
  <c r="AH63"/>
  <c r="AI63" s="1"/>
  <c r="AJ63"/>
  <c r="AF63" s="1"/>
  <c r="Y63" s="1"/>
  <c r="AH64"/>
  <c r="AI64" s="1"/>
  <c r="AJ64"/>
  <c r="AF64" s="1"/>
  <c r="Y64" s="1"/>
  <c r="AH65"/>
  <c r="AI65" s="1"/>
  <c r="AJ65"/>
  <c r="AH66"/>
  <c r="AI66" s="1"/>
  <c r="AF66" s="1"/>
  <c r="Y66" s="1"/>
  <c r="AJ66"/>
  <c r="AG70"/>
  <c r="AI70" s="1"/>
  <c r="AK70"/>
  <c r="AH71"/>
  <c r="AI71" s="1"/>
  <c r="AF71" s="1"/>
  <c r="Y71" s="1"/>
  <c r="AJ71"/>
  <c r="AG72"/>
  <c r="AI72" s="1"/>
  <c r="AK72"/>
  <c r="AH73"/>
  <c r="AI73" s="1"/>
  <c r="AF73" s="1"/>
  <c r="Y73" s="1"/>
  <c r="AJ73"/>
  <c r="AH77"/>
  <c r="AI77" s="1"/>
  <c r="AJ77"/>
  <c r="AG78"/>
  <c r="AI78" s="1"/>
  <c r="AK78"/>
  <c r="AG82"/>
  <c r="AI82" s="1"/>
  <c r="AK82"/>
  <c r="AG86"/>
  <c r="AI86" s="1"/>
  <c r="AK86"/>
  <c r="AH8" i="39"/>
  <c r="AI8" s="1"/>
  <c r="AF8" s="1"/>
  <c r="AJ8"/>
  <c r="AH9"/>
  <c r="AI9" s="1"/>
  <c r="AJ9"/>
  <c r="AH10"/>
  <c r="AI10" s="1"/>
  <c r="AJ10"/>
  <c r="AH11"/>
  <c r="AI11" s="1"/>
  <c r="AJ11"/>
  <c r="AF11" s="1"/>
  <c r="Y11" s="1"/>
  <c r="AH12"/>
  <c r="AI12" s="1"/>
  <c r="AF12" s="1"/>
  <c r="Y12" s="1"/>
  <c r="AJ12"/>
  <c r="AG13"/>
  <c r="AI13" s="1"/>
  <c r="AK13"/>
  <c r="AH14"/>
  <c r="AI14" s="1"/>
  <c r="AJ14"/>
  <c r="AF14" s="1"/>
  <c r="Y14" s="1"/>
  <c r="AH15"/>
  <c r="AI15" s="1"/>
  <c r="AF15" s="1"/>
  <c r="Y15" s="1"/>
  <c r="AJ15"/>
  <c r="AH16"/>
  <c r="AI16" s="1"/>
  <c r="AJ16"/>
  <c r="AF16" s="1"/>
  <c r="Y16" s="1"/>
  <c r="AH17"/>
  <c r="AI17" s="1"/>
  <c r="AJ17"/>
  <c r="AH18"/>
  <c r="AI18" s="1"/>
  <c r="AJ18"/>
  <c r="AF18" s="1"/>
  <c r="Y18" s="1"/>
  <c r="AG19"/>
  <c r="AI19" s="1"/>
  <c r="AK19"/>
  <c r="AH20"/>
  <c r="AI20" s="1"/>
  <c r="AJ20"/>
  <c r="AF20" s="1"/>
  <c r="Y20" s="1"/>
  <c r="AH21"/>
  <c r="AI21" s="1"/>
  <c r="AF21" s="1"/>
  <c r="Y21" s="1"/>
  <c r="AJ21"/>
  <c r="AH22"/>
  <c r="AI22" s="1"/>
  <c r="AJ22"/>
  <c r="AH23"/>
  <c r="AI23" s="1"/>
  <c r="AF23" s="1"/>
  <c r="Y23" s="1"/>
  <c r="AJ23"/>
  <c r="AH24"/>
  <c r="AI24" s="1"/>
  <c r="AF24" s="1"/>
  <c r="Y24" s="1"/>
  <c r="AJ24"/>
  <c r="AG25"/>
  <c r="AI25" s="1"/>
  <c r="AK25"/>
  <c r="AH26"/>
  <c r="AI26" s="1"/>
  <c r="AJ26"/>
  <c r="AF26" s="1"/>
  <c r="Y26" s="1"/>
  <c r="AH27"/>
  <c r="AI27" s="1"/>
  <c r="AF27" s="1"/>
  <c r="Y27" s="1"/>
  <c r="AJ27"/>
  <c r="AH28"/>
  <c r="AI28" s="1"/>
  <c r="AJ28"/>
  <c r="AF28" s="1"/>
  <c r="Y28" s="1"/>
  <c r="AH29"/>
  <c r="AI29" s="1"/>
  <c r="AJ29"/>
  <c r="AF29" s="1"/>
  <c r="Y29" s="1"/>
  <c r="AH30"/>
  <c r="AI30" s="1"/>
  <c r="AF30" s="1"/>
  <c r="Y30" s="1"/>
  <c r="AJ30"/>
  <c r="AG31"/>
  <c r="AI31" s="1"/>
  <c r="AK31"/>
  <c r="AH32"/>
  <c r="AI32" s="1"/>
  <c r="AJ32"/>
  <c r="AF32" s="1"/>
  <c r="Y32" s="1"/>
  <c r="AH33"/>
  <c r="AJ33"/>
  <c r="AH34"/>
  <c r="AI34" s="1"/>
  <c r="AJ34"/>
  <c r="AH35"/>
  <c r="AI35" s="1"/>
  <c r="AJ35"/>
  <c r="AF35" s="1"/>
  <c r="Y35" s="1"/>
  <c r="AH36"/>
  <c r="AI36" s="1"/>
  <c r="AF36" s="1"/>
  <c r="Y36" s="1"/>
  <c r="AJ36"/>
  <c r="AG37"/>
  <c r="AI37" s="1"/>
  <c r="AK37"/>
  <c r="AH38"/>
  <c r="AI38" s="1"/>
  <c r="AJ38"/>
  <c r="AF38" s="1"/>
  <c r="Y38" s="1"/>
  <c r="AH39"/>
  <c r="AI39" s="1"/>
  <c r="AJ39"/>
  <c r="AH40"/>
  <c r="AI40" s="1"/>
  <c r="AJ40"/>
  <c r="AH41"/>
  <c r="AI41" s="1"/>
  <c r="AF41" s="1"/>
  <c r="Y41" s="1"/>
  <c r="AJ41"/>
  <c r="AH42"/>
  <c r="AI42" s="1"/>
  <c r="AF42" s="1"/>
  <c r="Y42" s="1"/>
  <c r="AJ42"/>
  <c r="AG43"/>
  <c r="AI43" s="1"/>
  <c r="AK43"/>
  <c r="AH44"/>
  <c r="AI44" s="1"/>
  <c r="AJ44"/>
  <c r="AF44" s="1"/>
  <c r="Y44" s="1"/>
  <c r="AH45"/>
  <c r="AI45" s="1"/>
  <c r="AJ45"/>
  <c r="AH46"/>
  <c r="AI46" s="1"/>
  <c r="AF46" s="1"/>
  <c r="Y46" s="1"/>
  <c r="AJ46"/>
  <c r="AH47"/>
  <c r="AI47" s="1"/>
  <c r="AJ47"/>
  <c r="AF47" s="1"/>
  <c r="Y47" s="1"/>
  <c r="AH48"/>
  <c r="AJ48"/>
  <c r="AG49"/>
  <c r="AI49" s="1"/>
  <c r="AK49"/>
  <c r="AH50"/>
  <c r="AI50" s="1"/>
  <c r="AJ50"/>
  <c r="AH51"/>
  <c r="AI51" s="1"/>
  <c r="AJ51"/>
  <c r="AH52"/>
  <c r="AI52" s="1"/>
  <c r="AF52" s="1"/>
  <c r="Y52" s="1"/>
  <c r="AJ52"/>
  <c r="AH53"/>
  <c r="AI53" s="1"/>
  <c r="AJ53"/>
  <c r="AH54"/>
  <c r="AI54" s="1"/>
  <c r="AJ54"/>
  <c r="AF54" s="1"/>
  <c r="Y54" s="1"/>
  <c r="AG55"/>
  <c r="AI55" s="1"/>
  <c r="AK55"/>
  <c r="AH59"/>
  <c r="AI59" s="1"/>
  <c r="AJ59"/>
  <c r="AF59" s="1"/>
  <c r="Y59" s="1"/>
  <c r="AH60"/>
  <c r="AI60" s="1"/>
  <c r="AJ60"/>
  <c r="AH61"/>
  <c r="AI61" s="1"/>
  <c r="AF61" s="1"/>
  <c r="Y61" s="1"/>
  <c r="AJ61"/>
  <c r="AH62"/>
  <c r="AI62" s="1"/>
  <c r="AJ62"/>
  <c r="AF62" s="1"/>
  <c r="Y62" s="1"/>
  <c r="AH63"/>
  <c r="AI63" s="1"/>
  <c r="AJ63"/>
  <c r="AH64"/>
  <c r="AI64" s="1"/>
  <c r="AF64" s="1"/>
  <c r="Y64" s="1"/>
  <c r="AJ64"/>
  <c r="AH65"/>
  <c r="AI65" s="1"/>
  <c r="AJ65"/>
  <c r="AF65" s="1"/>
  <c r="Y65" s="1"/>
  <c r="AH66"/>
  <c r="AI66" s="1"/>
  <c r="AJ66"/>
  <c r="AF66" s="1"/>
  <c r="Y66" s="1"/>
  <c r="AG70"/>
  <c r="AI70" s="1"/>
  <c r="AK70"/>
  <c r="AH71"/>
  <c r="AI71" s="1"/>
  <c r="AJ71"/>
  <c r="AF71" s="1"/>
  <c r="Y71" s="1"/>
  <c r="AG72"/>
  <c r="AI72" s="1"/>
  <c r="AK72"/>
  <c r="AH73"/>
  <c r="AI73" s="1"/>
  <c r="AJ73"/>
  <c r="AH77"/>
  <c r="AI77" s="1"/>
  <c r="AJ77"/>
  <c r="AG78"/>
  <c r="AI78" s="1"/>
  <c r="AK78"/>
  <c r="AG82"/>
  <c r="AI82" s="1"/>
  <c r="AK82"/>
  <c r="AG86"/>
  <c r="AI86" s="1"/>
  <c r="AK86"/>
  <c r="AH8" i="40"/>
  <c r="AJ8"/>
  <c r="AH9"/>
  <c r="AI9" s="1"/>
  <c r="AF9" s="1"/>
  <c r="Y9" s="1"/>
  <c r="AJ9"/>
  <c r="AH10"/>
  <c r="AI10" s="1"/>
  <c r="AF10" s="1"/>
  <c r="Y10" s="1"/>
  <c r="AJ10"/>
  <c r="AH11"/>
  <c r="AI11" s="1"/>
  <c r="AJ11"/>
  <c r="AF11" s="1"/>
  <c r="Y11" s="1"/>
  <c r="AH12"/>
  <c r="AI12" s="1"/>
  <c r="AF12" s="1"/>
  <c r="Y12" s="1"/>
  <c r="AJ12"/>
  <c r="AG13"/>
  <c r="AI13" s="1"/>
  <c r="AK13"/>
  <c r="AH14"/>
  <c r="AI14" s="1"/>
  <c r="AJ14"/>
  <c r="AF14" s="1"/>
  <c r="Y14" s="1"/>
  <c r="AH15"/>
  <c r="AI15" s="1"/>
  <c r="AF15" s="1"/>
  <c r="Y15" s="1"/>
  <c r="AJ15"/>
  <c r="AH16"/>
  <c r="AI16" s="1"/>
  <c r="AJ16"/>
  <c r="AF16" s="1"/>
  <c r="Y16" s="1"/>
  <c r="AH17"/>
  <c r="AI17" s="1"/>
  <c r="AJ17"/>
  <c r="AF17" s="1"/>
  <c r="Y17" s="1"/>
  <c r="AH18"/>
  <c r="AI18" s="1"/>
  <c r="AF18" s="1"/>
  <c r="Y18" s="1"/>
  <c r="AJ18"/>
  <c r="AG19"/>
  <c r="AI19" s="1"/>
  <c r="AK19"/>
  <c r="AH20"/>
  <c r="AI20" s="1"/>
  <c r="AF20" s="1"/>
  <c r="Y20" s="1"/>
  <c r="AJ20"/>
  <c r="AH21"/>
  <c r="AI21" s="1"/>
  <c r="AF21" s="1"/>
  <c r="Y21" s="1"/>
  <c r="AJ21"/>
  <c r="AH22"/>
  <c r="AI22" s="1"/>
  <c r="AJ22"/>
  <c r="AF22" s="1"/>
  <c r="Y22" s="1"/>
  <c r="AH23"/>
  <c r="AI23" s="1"/>
  <c r="AF23" s="1"/>
  <c r="Y23" s="1"/>
  <c r="AJ23"/>
  <c r="AH24"/>
  <c r="AI24" s="1"/>
  <c r="AF24" s="1"/>
  <c r="Y24" s="1"/>
  <c r="AJ24"/>
  <c r="AG25"/>
  <c r="AI25" s="1"/>
  <c r="AK25"/>
  <c r="AH26"/>
  <c r="AI26" s="1"/>
  <c r="AF26" s="1"/>
  <c r="Y26" s="1"/>
  <c r="AJ26"/>
  <c r="AH27"/>
  <c r="AI27" s="1"/>
  <c r="AJ27"/>
  <c r="AF27" s="1"/>
  <c r="Y27" s="1"/>
  <c r="AH28"/>
  <c r="AI28" s="1"/>
  <c r="AF28" s="1"/>
  <c r="Y28" s="1"/>
  <c r="AJ28"/>
  <c r="AH29"/>
  <c r="AI29" s="1"/>
  <c r="AJ29"/>
  <c r="AH30"/>
  <c r="AI30" s="1"/>
  <c r="AF30" s="1"/>
  <c r="Y30" s="1"/>
  <c r="AJ30"/>
  <c r="AG31"/>
  <c r="AI31" s="1"/>
  <c r="AK31"/>
  <c r="AH32"/>
  <c r="AI32" s="1"/>
  <c r="AJ32"/>
  <c r="AH33"/>
  <c r="AJ33"/>
  <c r="AJ34"/>
  <c r="AL34"/>
  <c r="AF34" s="1"/>
  <c r="Y34" s="1"/>
  <c r="AJ35"/>
  <c r="AL35"/>
  <c r="AJ36"/>
  <c r="AL36"/>
  <c r="AK37"/>
  <c r="AJ38"/>
  <c r="AL38"/>
  <c r="AJ39"/>
  <c r="AL39"/>
  <c r="AJ40"/>
  <c r="AL40"/>
  <c r="AJ41"/>
  <c r="AL41"/>
  <c r="AJ42"/>
  <c r="AL42"/>
  <c r="AK43"/>
  <c r="AJ44"/>
  <c r="AL44"/>
  <c r="AJ45"/>
  <c r="AL45"/>
  <c r="AJ70"/>
  <c r="AJ72"/>
  <c r="AJ78"/>
  <c r="AJ82"/>
  <c r="AJ86"/>
  <c r="AJ70" i="41"/>
  <c r="AJ72"/>
  <c r="AF72" s="1"/>
  <c r="Y72" s="1"/>
  <c r="AJ78"/>
  <c r="AJ82"/>
  <c r="AF82" s="1"/>
  <c r="Y82" s="1"/>
  <c r="AJ86"/>
  <c r="AL21" i="42"/>
  <c r="AK21"/>
  <c r="AL35"/>
  <c r="AK35"/>
  <c r="AL39"/>
  <c r="AK39"/>
  <c r="AL41"/>
  <c r="AK41"/>
  <c r="AI46"/>
  <c r="AI48"/>
  <c r="AI51"/>
  <c r="AI53"/>
  <c r="AI60"/>
  <c r="AI62"/>
  <c r="AI64"/>
  <c r="AI66"/>
  <c r="AI77"/>
  <c r="AI9" i="43"/>
  <c r="AI10"/>
  <c r="AI16"/>
  <c r="AI22"/>
  <c r="AF22" s="1"/>
  <c r="Y22" s="1"/>
  <c r="AI23"/>
  <c r="AI28"/>
  <c r="AI36"/>
  <c r="AI38"/>
  <c r="AI39"/>
  <c r="AI41"/>
  <c r="AI42"/>
  <c r="AI44"/>
  <c r="AI45"/>
  <c r="AI47"/>
  <c r="AI52"/>
  <c r="AI54"/>
  <c r="AI59"/>
  <c r="AI61"/>
  <c r="AI63"/>
  <c r="AI65"/>
  <c r="AI71"/>
  <c r="AI73"/>
  <c r="AI8" i="44"/>
  <c r="AI12"/>
  <c r="AI14"/>
  <c r="AI15"/>
  <c r="AI18"/>
  <c r="AI20"/>
  <c r="AI21"/>
  <c r="AI24"/>
  <c r="AI26"/>
  <c r="AI27"/>
  <c r="AI29"/>
  <c r="AI30"/>
  <c r="AI32"/>
  <c r="AI34"/>
  <c r="AI35"/>
  <c r="AI40"/>
  <c r="AI46"/>
  <c r="AI48"/>
  <c r="AI50"/>
  <c r="AI51"/>
  <c r="AI53"/>
  <c r="AI60"/>
  <c r="AI62"/>
  <c r="AI64"/>
  <c r="AI66"/>
  <c r="AI77"/>
  <c r="AI9" i="45"/>
  <c r="AI10"/>
  <c r="AI11"/>
  <c r="AI16"/>
  <c r="AI17"/>
  <c r="AF17" s="1"/>
  <c r="Y17" s="1"/>
  <c r="AI22"/>
  <c r="AI23"/>
  <c r="AI28"/>
  <c r="AI33"/>
  <c r="AI36"/>
  <c r="AI38"/>
  <c r="AI39"/>
  <c r="AI41"/>
  <c r="AI42"/>
  <c r="AI44"/>
  <c r="AI45"/>
  <c r="AI47"/>
  <c r="AI52"/>
  <c r="AI54"/>
  <c r="AI59"/>
  <c r="AI61"/>
  <c r="AI63"/>
  <c r="AI65"/>
  <c r="AF65" s="1"/>
  <c r="Y65" s="1"/>
  <c r="AI71"/>
  <c r="AI73"/>
  <c r="AI9" i="46"/>
  <c r="AI10"/>
  <c r="AI11"/>
  <c r="AI16"/>
  <c r="AI17"/>
  <c r="AF17" s="1"/>
  <c r="Y17" s="1"/>
  <c r="AI22"/>
  <c r="AI23"/>
  <c r="AF23" s="1"/>
  <c r="Y23" s="1"/>
  <c r="AI28"/>
  <c r="AI35"/>
  <c r="AI39"/>
  <c r="AI41"/>
  <c r="AI45"/>
  <c r="AI47"/>
  <c r="AK49" i="40"/>
  <c r="AG49"/>
  <c r="AI49" s="1"/>
  <c r="AK55"/>
  <c r="AG55"/>
  <c r="AI55" s="1"/>
  <c r="AK13" i="41"/>
  <c r="AG13"/>
  <c r="AI13" s="1"/>
  <c r="AF13" s="1"/>
  <c r="Y13" s="1"/>
  <c r="AK19"/>
  <c r="AG19"/>
  <c r="AI19" s="1"/>
  <c r="AK25"/>
  <c r="AG25"/>
  <c r="AI25" s="1"/>
  <c r="AK31"/>
  <c r="AG31"/>
  <c r="AI31" s="1"/>
  <c r="AK37"/>
  <c r="AG37"/>
  <c r="AI37" s="1"/>
  <c r="AK43"/>
  <c r="AG43"/>
  <c r="AI43" s="1"/>
  <c r="AK49"/>
  <c r="AG49"/>
  <c r="AI49" s="1"/>
  <c r="AK55"/>
  <c r="AG55"/>
  <c r="AI55" s="1"/>
  <c r="AK13" i="42"/>
  <c r="AG13"/>
  <c r="AI13" s="1"/>
  <c r="AK19"/>
  <c r="AG19"/>
  <c r="AI19" s="1"/>
  <c r="AK25"/>
  <c r="AG25"/>
  <c r="AI25" s="1"/>
  <c r="AK31"/>
  <c r="AG31"/>
  <c r="AI31" s="1"/>
  <c r="AK37"/>
  <c r="AG37"/>
  <c r="AI37" s="1"/>
  <c r="AK43"/>
  <c r="AG43"/>
  <c r="AI43" s="1"/>
  <c r="AJ13" i="38"/>
  <c r="AF13" s="1"/>
  <c r="Y13" s="1"/>
  <c r="AF19"/>
  <c r="Y19" s="1"/>
  <c r="AJ19"/>
  <c r="AF25"/>
  <c r="Y25" s="1"/>
  <c r="AJ25"/>
  <c r="AF31"/>
  <c r="Y31" s="1"/>
  <c r="AJ31"/>
  <c r="AF37"/>
  <c r="Y37" s="1"/>
  <c r="AJ37"/>
  <c r="AF43"/>
  <c r="Y43" s="1"/>
  <c r="AJ43"/>
  <c r="AF49"/>
  <c r="Y49" s="1"/>
  <c r="AJ49"/>
  <c r="AF55"/>
  <c r="Y55" s="1"/>
  <c r="AJ55"/>
  <c r="AF70"/>
  <c r="Y70" s="1"/>
  <c r="AJ70"/>
  <c r="AF72"/>
  <c r="Y72" s="1"/>
  <c r="AJ72"/>
  <c r="AF78"/>
  <c r="Y78" s="1"/>
  <c r="AJ78"/>
  <c r="AF82"/>
  <c r="Y82" s="1"/>
  <c r="AJ82"/>
  <c r="AF86"/>
  <c r="Y86" s="1"/>
  <c r="AJ86"/>
  <c r="AJ13" i="39"/>
  <c r="AF13" s="1"/>
  <c r="Y13" s="1"/>
  <c r="AJ19"/>
  <c r="AF19" s="1"/>
  <c r="Y19" s="1"/>
  <c r="AF25"/>
  <c r="Y25" s="1"/>
  <c r="AJ25"/>
  <c r="AF31"/>
  <c r="Y31" s="1"/>
  <c r="AJ31"/>
  <c r="AF37"/>
  <c r="Y37" s="1"/>
  <c r="AJ37"/>
  <c r="AJ43"/>
  <c r="AF43" s="1"/>
  <c r="Y43" s="1"/>
  <c r="AF49"/>
  <c r="Y49" s="1"/>
  <c r="AJ49"/>
  <c r="AF55"/>
  <c r="Y55" s="1"/>
  <c r="AJ55"/>
  <c r="AJ70"/>
  <c r="AF70" s="1"/>
  <c r="Y70" s="1"/>
  <c r="AJ72"/>
  <c r="AF72" s="1"/>
  <c r="Y72" s="1"/>
  <c r="AF78"/>
  <c r="Y78" s="1"/>
  <c r="AJ78"/>
  <c r="AJ82"/>
  <c r="AF82" s="1"/>
  <c r="Y82" s="1"/>
  <c r="AF86"/>
  <c r="Y86" s="1"/>
  <c r="AJ86"/>
  <c r="AV89"/>
  <c r="AJ13" i="40"/>
  <c r="AF13" s="1"/>
  <c r="Y13" s="1"/>
  <c r="AF19"/>
  <c r="Y19" s="1"/>
  <c r="AJ19"/>
  <c r="AJ25"/>
  <c r="AF25" s="1"/>
  <c r="Y25" s="1"/>
  <c r="AF31"/>
  <c r="Y31" s="1"/>
  <c r="AJ31"/>
  <c r="AG34"/>
  <c r="AI34" s="1"/>
  <c r="AG35"/>
  <c r="AI35" s="1"/>
  <c r="AF35" s="1"/>
  <c r="Y35" s="1"/>
  <c r="AG36"/>
  <c r="AI36" s="1"/>
  <c r="AF36" s="1"/>
  <c r="Y36" s="1"/>
  <c r="AJ37"/>
  <c r="AF37" s="1"/>
  <c r="Y37" s="1"/>
  <c r="AG38"/>
  <c r="AI38" s="1"/>
  <c r="AF38" s="1"/>
  <c r="Y38" s="1"/>
  <c r="AG39"/>
  <c r="AI39" s="1"/>
  <c r="AF39" s="1"/>
  <c r="Y39" s="1"/>
  <c r="AG40"/>
  <c r="AI40" s="1"/>
  <c r="AF40" s="1"/>
  <c r="Y40" s="1"/>
  <c r="AG41"/>
  <c r="AI41" s="1"/>
  <c r="AF41" s="1"/>
  <c r="Y41" s="1"/>
  <c r="AG42"/>
  <c r="AI42" s="1"/>
  <c r="AF42" s="1"/>
  <c r="Y42" s="1"/>
  <c r="AF43"/>
  <c r="Y43" s="1"/>
  <c r="AJ43"/>
  <c r="AG44"/>
  <c r="AI44" s="1"/>
  <c r="AF44" s="1"/>
  <c r="Y44" s="1"/>
  <c r="AG45"/>
  <c r="AI45" s="1"/>
  <c r="AF45" s="1"/>
  <c r="Y45" s="1"/>
  <c r="AL46"/>
  <c r="AK46"/>
  <c r="AL48"/>
  <c r="AK48"/>
  <c r="AF49"/>
  <c r="Y49" s="1"/>
  <c r="AJ49"/>
  <c r="AL50"/>
  <c r="AK50"/>
  <c r="AL52"/>
  <c r="AK52"/>
  <c r="AL54"/>
  <c r="AK54"/>
  <c r="AF55"/>
  <c r="Y55" s="1"/>
  <c r="AJ55"/>
  <c r="AL59"/>
  <c r="AK59"/>
  <c r="AL60"/>
  <c r="AK60"/>
  <c r="AL61"/>
  <c r="AK61"/>
  <c r="AL62"/>
  <c r="AK62"/>
  <c r="AL63"/>
  <c r="AK63"/>
  <c r="AL64"/>
  <c r="AK64"/>
  <c r="AL65"/>
  <c r="AK65"/>
  <c r="AL66"/>
  <c r="AK66"/>
  <c r="AL70"/>
  <c r="AF70" s="1"/>
  <c r="Y70" s="1"/>
  <c r="AL72"/>
  <c r="AF72" s="1"/>
  <c r="Y72" s="1"/>
  <c r="AL78"/>
  <c r="AF78" s="1"/>
  <c r="Y78" s="1"/>
  <c r="AL82"/>
  <c r="AF82" s="1"/>
  <c r="Y82" s="1"/>
  <c r="AL86"/>
  <c r="AF86" s="1"/>
  <c r="Y86" s="1"/>
  <c r="AV89"/>
  <c r="AW90"/>
  <c r="AW92"/>
  <c r="AL8" i="41"/>
  <c r="AK8"/>
  <c r="Q3"/>
  <c r="F40" i="22" s="1"/>
  <c r="AL10" i="41"/>
  <c r="AK10"/>
  <c r="AL12"/>
  <c r="AK12"/>
  <c r="AJ13"/>
  <c r="AL14"/>
  <c r="AK14"/>
  <c r="AL16"/>
  <c r="AK16"/>
  <c r="AL18"/>
  <c r="AK18"/>
  <c r="AF19"/>
  <c r="Y19" s="1"/>
  <c r="AJ19"/>
  <c r="AL20"/>
  <c r="AK20"/>
  <c r="AL22"/>
  <c r="AK22"/>
  <c r="AL24"/>
  <c r="AK24"/>
  <c r="AF25"/>
  <c r="Y25" s="1"/>
  <c r="AJ25"/>
  <c r="AL26"/>
  <c r="AK26"/>
  <c r="AL28"/>
  <c r="AK28"/>
  <c r="AL30"/>
  <c r="AK30"/>
  <c r="AJ31"/>
  <c r="AF31" s="1"/>
  <c r="Y31" s="1"/>
  <c r="AL32"/>
  <c r="AK32"/>
  <c r="AL34"/>
  <c r="AK34"/>
  <c r="AL36"/>
  <c r="AK36"/>
  <c r="AF37"/>
  <c r="Y37" s="1"/>
  <c r="AJ37"/>
  <c r="AL38"/>
  <c r="AK38"/>
  <c r="AL40"/>
  <c r="AK40"/>
  <c r="AL42"/>
  <c r="AK42"/>
  <c r="AF43"/>
  <c r="Y43" s="1"/>
  <c r="AJ43"/>
  <c r="AL44"/>
  <c r="AK44"/>
  <c r="AL46"/>
  <c r="AK46"/>
  <c r="AL48"/>
  <c r="AK48"/>
  <c r="AJ49"/>
  <c r="AF49" s="1"/>
  <c r="Y49" s="1"/>
  <c r="AL50"/>
  <c r="AK50"/>
  <c r="AL52"/>
  <c r="AK52"/>
  <c r="AL54"/>
  <c r="AK54"/>
  <c r="AF55"/>
  <c r="Y55" s="1"/>
  <c r="AJ55"/>
  <c r="AL59"/>
  <c r="AK59"/>
  <c r="AL60"/>
  <c r="AK60"/>
  <c r="AL61"/>
  <c r="AK61"/>
  <c r="AL62"/>
  <c r="AK62"/>
  <c r="AL63"/>
  <c r="AK63"/>
  <c r="AL64"/>
  <c r="AK64"/>
  <c r="AL65"/>
  <c r="AK65"/>
  <c r="AL66"/>
  <c r="AK66"/>
  <c r="AL70"/>
  <c r="AF70" s="1"/>
  <c r="Y70" s="1"/>
  <c r="AL72"/>
  <c r="AL78"/>
  <c r="AF78" s="1"/>
  <c r="Y78" s="1"/>
  <c r="AL82"/>
  <c r="AL86"/>
  <c r="AF86" s="1"/>
  <c r="Y86" s="1"/>
  <c r="AV89"/>
  <c r="AW90"/>
  <c r="AW92"/>
  <c r="AL8" i="42"/>
  <c r="AK8"/>
  <c r="AL10"/>
  <c r="AK10"/>
  <c r="AL12"/>
  <c r="AK12"/>
  <c r="AF13"/>
  <c r="Y13" s="1"/>
  <c r="AJ13"/>
  <c r="AL14"/>
  <c r="AK14"/>
  <c r="AL16"/>
  <c r="AK16"/>
  <c r="AL18"/>
  <c r="AK18"/>
  <c r="AF19"/>
  <c r="Y19" s="1"/>
  <c r="AJ19"/>
  <c r="AL20"/>
  <c r="AK20"/>
  <c r="AL22"/>
  <c r="AK22"/>
  <c r="AL24"/>
  <c r="AK24"/>
  <c r="AJ25"/>
  <c r="AF25" s="1"/>
  <c r="Y25" s="1"/>
  <c r="AL26"/>
  <c r="AK26"/>
  <c r="AL28"/>
  <c r="AK28"/>
  <c r="AL30"/>
  <c r="AK30"/>
  <c r="AF31"/>
  <c r="Y31" s="1"/>
  <c r="AJ31"/>
  <c r="AL32"/>
  <c r="AK32"/>
  <c r="AL34"/>
  <c r="AK34"/>
  <c r="AL36"/>
  <c r="AK36"/>
  <c r="AF37"/>
  <c r="Y37" s="1"/>
  <c r="AJ37"/>
  <c r="AF43"/>
  <c r="Y43" s="1"/>
  <c r="AJ43"/>
  <c r="AI12" i="43"/>
  <c r="AI14"/>
  <c r="AI15"/>
  <c r="AI18"/>
  <c r="AI20"/>
  <c r="AI32"/>
  <c r="AI34"/>
  <c r="AI35"/>
  <c r="AK70" i="46"/>
  <c r="AG70"/>
  <c r="AI70" s="1"/>
  <c r="AK72"/>
  <c r="AG72"/>
  <c r="AI72" s="1"/>
  <c r="AK78"/>
  <c r="AG78"/>
  <c r="AI78" s="1"/>
  <c r="AK82"/>
  <c r="AG82"/>
  <c r="AI82" s="1"/>
  <c r="AK86"/>
  <c r="AG86"/>
  <c r="AI86" s="1"/>
  <c r="AK45" i="42"/>
  <c r="AK46"/>
  <c r="AK47"/>
  <c r="AK48"/>
  <c r="AJ49"/>
  <c r="AL49"/>
  <c r="AK50"/>
  <c r="AK51"/>
  <c r="AK52"/>
  <c r="AK53"/>
  <c r="AK54"/>
  <c r="AJ55"/>
  <c r="AL55"/>
  <c r="AK59"/>
  <c r="AK60"/>
  <c r="AK61"/>
  <c r="AK62"/>
  <c r="AK63"/>
  <c r="AK64"/>
  <c r="AK65"/>
  <c r="AK66"/>
  <c r="AJ70"/>
  <c r="AL70"/>
  <c r="AK71"/>
  <c r="AJ72"/>
  <c r="AL72"/>
  <c r="AK73"/>
  <c r="AK77"/>
  <c r="AJ78"/>
  <c r="AL78"/>
  <c r="AJ82"/>
  <c r="AL82"/>
  <c r="AJ86"/>
  <c r="AL86"/>
  <c r="AV89"/>
  <c r="AK8" i="43"/>
  <c r="AK9"/>
  <c r="AK10"/>
  <c r="AK11"/>
  <c r="AK12"/>
  <c r="AJ13"/>
  <c r="AL13"/>
  <c r="AK14"/>
  <c r="AK15"/>
  <c r="AK16"/>
  <c r="AK17"/>
  <c r="AK18"/>
  <c r="AJ19"/>
  <c r="AL19"/>
  <c r="AK20"/>
  <c r="AK21"/>
  <c r="AK22"/>
  <c r="AK23"/>
  <c r="AK24"/>
  <c r="AJ25"/>
  <c r="AL25"/>
  <c r="AK26"/>
  <c r="AK27"/>
  <c r="AK28"/>
  <c r="AK29"/>
  <c r="AK30"/>
  <c r="AJ31"/>
  <c r="AL31"/>
  <c r="AK32"/>
  <c r="AK33"/>
  <c r="AK34"/>
  <c r="AK35"/>
  <c r="AK36"/>
  <c r="AJ37"/>
  <c r="AL37"/>
  <c r="AK38"/>
  <c r="AK39"/>
  <c r="AK40"/>
  <c r="AK41"/>
  <c r="AK42"/>
  <c r="AJ43"/>
  <c r="AL43"/>
  <c r="AK44"/>
  <c r="AK45"/>
  <c r="AK46"/>
  <c r="AK47"/>
  <c r="AK48"/>
  <c r="AJ49"/>
  <c r="AL49"/>
  <c r="AK50"/>
  <c r="AK51"/>
  <c r="AK52"/>
  <c r="AK53"/>
  <c r="AK54"/>
  <c r="AJ55"/>
  <c r="AL55"/>
  <c r="AK59"/>
  <c r="AK60"/>
  <c r="AK61"/>
  <c r="AK62"/>
  <c r="AK63"/>
  <c r="AK64"/>
  <c r="AK65"/>
  <c r="AK66"/>
  <c r="AJ70"/>
  <c r="AL70"/>
  <c r="AK71"/>
  <c r="AJ72"/>
  <c r="AL72"/>
  <c r="AK73"/>
  <c r="AK77"/>
  <c r="AJ78"/>
  <c r="AL78"/>
  <c r="AJ82"/>
  <c r="AL82"/>
  <c r="AJ86"/>
  <c r="AL86"/>
  <c r="AV89"/>
  <c r="AK8" i="44"/>
  <c r="AK9"/>
  <c r="AK10"/>
  <c r="AK11"/>
  <c r="AK12"/>
  <c r="AJ13"/>
  <c r="AL13"/>
  <c r="AK14"/>
  <c r="AK15"/>
  <c r="AK16"/>
  <c r="AK17"/>
  <c r="AK18"/>
  <c r="AJ19"/>
  <c r="AL19"/>
  <c r="AK20"/>
  <c r="AK21"/>
  <c r="AK22"/>
  <c r="AK23"/>
  <c r="AK24"/>
  <c r="AJ25"/>
  <c r="AL25"/>
  <c r="AK26"/>
  <c r="AK27"/>
  <c r="AK28"/>
  <c r="AK29"/>
  <c r="AK30"/>
  <c r="AJ31"/>
  <c r="AL31"/>
  <c r="AK32"/>
  <c r="AK33"/>
  <c r="AK34"/>
  <c r="AK35"/>
  <c r="AK36"/>
  <c r="AJ37"/>
  <c r="AL37"/>
  <c r="AK38"/>
  <c r="AK39"/>
  <c r="AK40"/>
  <c r="AK41"/>
  <c r="AK42"/>
  <c r="AJ43"/>
  <c r="AL43"/>
  <c r="AK44"/>
  <c r="AK45"/>
  <c r="AK46"/>
  <c r="AK47"/>
  <c r="AK48"/>
  <c r="AJ49"/>
  <c r="AL49"/>
  <c r="AK50"/>
  <c r="AK51"/>
  <c r="AK52"/>
  <c r="AK53"/>
  <c r="AK54"/>
  <c r="AJ55"/>
  <c r="AL55"/>
  <c r="AK59"/>
  <c r="AK60"/>
  <c r="AK61"/>
  <c r="AK62"/>
  <c r="AK63"/>
  <c r="AK64"/>
  <c r="AK65"/>
  <c r="AK66"/>
  <c r="AJ70"/>
  <c r="AL70"/>
  <c r="AK71"/>
  <c r="AJ72"/>
  <c r="AL72"/>
  <c r="AK73"/>
  <c r="AK77"/>
  <c r="AJ78"/>
  <c r="AL78"/>
  <c r="AJ82"/>
  <c r="AL82"/>
  <c r="AJ86"/>
  <c r="AL86"/>
  <c r="AV89"/>
  <c r="AK8" i="45"/>
  <c r="AK9"/>
  <c r="AK10"/>
  <c r="AK11"/>
  <c r="AK12"/>
  <c r="AJ13"/>
  <c r="AL13"/>
  <c r="AK14"/>
  <c r="AK15"/>
  <c r="AK16"/>
  <c r="AK17"/>
  <c r="AK18"/>
  <c r="AJ19"/>
  <c r="AL19"/>
  <c r="AK20"/>
  <c r="AK21"/>
  <c r="AK22"/>
  <c r="AK23"/>
  <c r="AK24"/>
  <c r="AJ25"/>
  <c r="AL25"/>
  <c r="AK26"/>
  <c r="AK27"/>
  <c r="AK28"/>
  <c r="AK29"/>
  <c r="AK30"/>
  <c r="AJ31"/>
  <c r="AL31"/>
  <c r="AK32"/>
  <c r="AK33"/>
  <c r="AK34"/>
  <c r="AK35"/>
  <c r="AK36"/>
  <c r="AJ37"/>
  <c r="AL37"/>
  <c r="AK38"/>
  <c r="AK39"/>
  <c r="AK40"/>
  <c r="AK41"/>
  <c r="AK42"/>
  <c r="AJ43"/>
  <c r="AL43"/>
  <c r="AK44"/>
  <c r="AK45"/>
  <c r="AK46"/>
  <c r="AK47"/>
  <c r="AK48"/>
  <c r="AJ49"/>
  <c r="AL49"/>
  <c r="AK50"/>
  <c r="AK51"/>
  <c r="AK52"/>
  <c r="AK53"/>
  <c r="AK54"/>
  <c r="AJ55"/>
  <c r="AL55"/>
  <c r="AK59"/>
  <c r="AK60"/>
  <c r="AK61"/>
  <c r="AK62"/>
  <c r="AK63"/>
  <c r="AK64"/>
  <c r="AK65"/>
  <c r="AK66"/>
  <c r="AJ70"/>
  <c r="AL70"/>
  <c r="AK71"/>
  <c r="AJ72"/>
  <c r="AL72"/>
  <c r="AK73"/>
  <c r="AK77"/>
  <c r="AJ78"/>
  <c r="AL78"/>
  <c r="AJ82"/>
  <c r="AL82"/>
  <c r="AJ86"/>
  <c r="AL86"/>
  <c r="AV89"/>
  <c r="AK8" i="46"/>
  <c r="AK9"/>
  <c r="AK10"/>
  <c r="AK11"/>
  <c r="AK12"/>
  <c r="AJ13"/>
  <c r="AL13"/>
  <c r="AK14"/>
  <c r="AK15"/>
  <c r="AK16"/>
  <c r="AK17"/>
  <c r="AK18"/>
  <c r="AJ19"/>
  <c r="AL19"/>
  <c r="AK20"/>
  <c r="AK21"/>
  <c r="AK22"/>
  <c r="AK23"/>
  <c r="AK24"/>
  <c r="AJ25"/>
  <c r="AL25"/>
  <c r="AK26"/>
  <c r="AK27"/>
  <c r="AK28"/>
  <c r="AK29"/>
  <c r="AK30"/>
  <c r="AJ31"/>
  <c r="AL31"/>
  <c r="AK32"/>
  <c r="AK33"/>
  <c r="AK34"/>
  <c r="AK35"/>
  <c r="AK36"/>
  <c r="AJ37"/>
  <c r="AL37"/>
  <c r="AK38"/>
  <c r="AK39"/>
  <c r="AK40"/>
  <c r="AK41"/>
  <c r="AK42"/>
  <c r="AJ43"/>
  <c r="AL43"/>
  <c r="AK44"/>
  <c r="AK45"/>
  <c r="AK46"/>
  <c r="AK47"/>
  <c r="AK48"/>
  <c r="AJ49"/>
  <c r="AL49"/>
  <c r="AK50"/>
  <c r="AK51"/>
  <c r="AJ70"/>
  <c r="AJ72"/>
  <c r="AJ78"/>
  <c r="AJ82"/>
  <c r="AF82" s="1"/>
  <c r="Y82" s="1"/>
  <c r="AJ86"/>
  <c r="AL52"/>
  <c r="AJ52"/>
  <c r="AK55"/>
  <c r="AG55"/>
  <c r="AI55" s="1"/>
  <c r="AK13" i="47"/>
  <c r="AG13"/>
  <c r="AI13" s="1"/>
  <c r="AK19"/>
  <c r="AG19"/>
  <c r="AI19" s="1"/>
  <c r="AK25"/>
  <c r="AG25"/>
  <c r="AI25" s="1"/>
  <c r="AK31"/>
  <c r="AG31"/>
  <c r="AI31" s="1"/>
  <c r="AK37"/>
  <c r="AG37"/>
  <c r="AI37" s="1"/>
  <c r="AK43"/>
  <c r="AG43"/>
  <c r="AI43" s="1"/>
  <c r="AK49"/>
  <c r="AG49"/>
  <c r="AI49" s="1"/>
  <c r="AF46" i="40"/>
  <c r="Y46" s="1"/>
  <c r="AJ46"/>
  <c r="AF47"/>
  <c r="Y47" s="1"/>
  <c r="AJ47"/>
  <c r="AF48"/>
  <c r="Y48" s="1"/>
  <c r="AJ48"/>
  <c r="AF50"/>
  <c r="Y50" s="1"/>
  <c r="AJ50"/>
  <c r="AF51"/>
  <c r="Y51" s="1"/>
  <c r="AJ51"/>
  <c r="AF52"/>
  <c r="Y52" s="1"/>
  <c r="AJ52"/>
  <c r="AF53"/>
  <c r="Y53" s="1"/>
  <c r="AJ53"/>
  <c r="AF54"/>
  <c r="Y54" s="1"/>
  <c r="AJ54"/>
  <c r="AF59"/>
  <c r="Y59" s="1"/>
  <c r="AJ59"/>
  <c r="AF60"/>
  <c r="Y60" s="1"/>
  <c r="AJ60"/>
  <c r="AF61"/>
  <c r="Y61" s="1"/>
  <c r="AJ61"/>
  <c r="AF62"/>
  <c r="Y62" s="1"/>
  <c r="AJ62"/>
  <c r="AJ63"/>
  <c r="AF63" s="1"/>
  <c r="Y63" s="1"/>
  <c r="AJ64"/>
  <c r="AF64" s="1"/>
  <c r="Y64" s="1"/>
  <c r="AF65"/>
  <c r="Y65" s="1"/>
  <c r="AJ65"/>
  <c r="AF66"/>
  <c r="Y66" s="1"/>
  <c r="AJ66"/>
  <c r="AF71"/>
  <c r="Y71" s="1"/>
  <c r="AJ71"/>
  <c r="AF73"/>
  <c r="Y73" s="1"/>
  <c r="AJ73"/>
  <c r="AF77"/>
  <c r="Y77" s="1"/>
  <c r="AJ77"/>
  <c r="AJ8" i="41"/>
  <c r="AF8" s="1"/>
  <c r="AJ9"/>
  <c r="AF9" s="1"/>
  <c r="Y9" s="1"/>
  <c r="AJ10"/>
  <c r="AF10" s="1"/>
  <c r="Y10" s="1"/>
  <c r="AF11"/>
  <c r="Y11" s="1"/>
  <c r="AJ11"/>
  <c r="AJ12"/>
  <c r="AF12" s="1"/>
  <c r="Y12" s="1"/>
  <c r="AF14"/>
  <c r="Y14" s="1"/>
  <c r="AJ14"/>
  <c r="AF15"/>
  <c r="Y15" s="1"/>
  <c r="AJ15"/>
  <c r="AJ16"/>
  <c r="AF16" s="1"/>
  <c r="Y16" s="1"/>
  <c r="AF17"/>
  <c r="Y17" s="1"/>
  <c r="AJ17"/>
  <c r="AJ18"/>
  <c r="AF18" s="1"/>
  <c r="Y18" s="1"/>
  <c r="AF20"/>
  <c r="Y20" s="1"/>
  <c r="AJ20"/>
  <c r="AF21"/>
  <c r="Y21" s="1"/>
  <c r="AJ21"/>
  <c r="AJ22"/>
  <c r="AF22" s="1"/>
  <c r="Y22" s="1"/>
  <c r="AF23"/>
  <c r="Y23" s="1"/>
  <c r="AJ23"/>
  <c r="AF24"/>
  <c r="Y24" s="1"/>
  <c r="AJ24"/>
  <c r="AF26"/>
  <c r="Y26" s="1"/>
  <c r="AJ26"/>
  <c r="AF27"/>
  <c r="Y27" s="1"/>
  <c r="AJ27"/>
  <c r="AF28"/>
  <c r="Y28" s="1"/>
  <c r="AJ28"/>
  <c r="AF29"/>
  <c r="Y29" s="1"/>
  <c r="AJ29"/>
  <c r="AF30"/>
  <c r="Y30" s="1"/>
  <c r="AJ30"/>
  <c r="AF32"/>
  <c r="Y32" s="1"/>
  <c r="AJ32"/>
  <c r="AF33"/>
  <c r="Y33" s="1"/>
  <c r="AJ33"/>
  <c r="AF34"/>
  <c r="Y34" s="1"/>
  <c r="AJ34"/>
  <c r="AF35"/>
  <c r="Y35" s="1"/>
  <c r="AJ35"/>
  <c r="AF36"/>
  <c r="Y36" s="1"/>
  <c r="AJ36"/>
  <c r="AF38"/>
  <c r="Y38" s="1"/>
  <c r="AJ38"/>
  <c r="AJ39"/>
  <c r="AF39" s="1"/>
  <c r="Y39" s="1"/>
  <c r="AJ40"/>
  <c r="AF40" s="1"/>
  <c r="Y40" s="1"/>
  <c r="AJ41"/>
  <c r="AF41" s="1"/>
  <c r="Y41" s="1"/>
  <c r="AF42"/>
  <c r="Y42" s="1"/>
  <c r="AJ42"/>
  <c r="AF44"/>
  <c r="Y44" s="1"/>
  <c r="AJ44"/>
  <c r="AF45"/>
  <c r="Y45" s="1"/>
  <c r="AJ45"/>
  <c r="AF46"/>
  <c r="Y46" s="1"/>
  <c r="AJ46"/>
  <c r="AF47"/>
  <c r="Y47" s="1"/>
  <c r="AJ47"/>
  <c r="AF48"/>
  <c r="Y48" s="1"/>
  <c r="AJ48"/>
  <c r="AF50"/>
  <c r="Y50" s="1"/>
  <c r="AJ50"/>
  <c r="AF51"/>
  <c r="Y51" s="1"/>
  <c r="AJ51"/>
  <c r="AF52"/>
  <c r="Y52" s="1"/>
  <c r="AJ52"/>
  <c r="AF53"/>
  <c r="Y53" s="1"/>
  <c r="AJ53"/>
  <c r="AF54"/>
  <c r="Y54" s="1"/>
  <c r="AJ54"/>
  <c r="AF59"/>
  <c r="Y59" s="1"/>
  <c r="AJ59"/>
  <c r="AF60"/>
  <c r="Y60" s="1"/>
  <c r="AJ60"/>
  <c r="AF61"/>
  <c r="Y61" s="1"/>
  <c r="AJ61"/>
  <c r="AF62"/>
  <c r="Y62" s="1"/>
  <c r="AJ62"/>
  <c r="AJ63"/>
  <c r="AF63" s="1"/>
  <c r="Y63" s="1"/>
  <c r="AF64"/>
  <c r="Y64" s="1"/>
  <c r="AJ64"/>
  <c r="AJ65"/>
  <c r="AF65" s="1"/>
  <c r="Y65" s="1"/>
  <c r="AF66"/>
  <c r="Y66" s="1"/>
  <c r="AJ66"/>
  <c r="AF71"/>
  <c r="Y71" s="1"/>
  <c r="AJ71"/>
  <c r="AF73"/>
  <c r="Y73" s="1"/>
  <c r="AJ73"/>
  <c r="AF77"/>
  <c r="Y77" s="1"/>
  <c r="AJ77"/>
  <c r="AJ8" i="42"/>
  <c r="AF8" s="1"/>
  <c r="AJ9"/>
  <c r="AF9" s="1"/>
  <c r="Y9" s="1"/>
  <c r="AJ10"/>
  <c r="AF10" s="1"/>
  <c r="Y10" s="1"/>
  <c r="AJ11"/>
  <c r="AF11" s="1"/>
  <c r="Y11" s="1"/>
  <c r="AF12"/>
  <c r="Y12" s="1"/>
  <c r="AJ12"/>
  <c r="AF14"/>
  <c r="Y14" s="1"/>
  <c r="AJ14"/>
  <c r="AF15"/>
  <c r="Y15" s="1"/>
  <c r="AJ15"/>
  <c r="AF16"/>
  <c r="Y16" s="1"/>
  <c r="AJ16"/>
  <c r="AF17"/>
  <c r="Y17" s="1"/>
  <c r="AJ17"/>
  <c r="AF18"/>
  <c r="Y18" s="1"/>
  <c r="AJ18"/>
  <c r="AF20"/>
  <c r="Y20" s="1"/>
  <c r="AJ20"/>
  <c r="AF21"/>
  <c r="Y21" s="1"/>
  <c r="AJ21"/>
  <c r="AJ22"/>
  <c r="AF22" s="1"/>
  <c r="Y22" s="1"/>
  <c r="AJ23"/>
  <c r="AF23" s="1"/>
  <c r="Y23" s="1"/>
  <c r="AF24"/>
  <c r="Y24" s="1"/>
  <c r="AJ24"/>
  <c r="AF26"/>
  <c r="Y26" s="1"/>
  <c r="AJ26"/>
  <c r="AF27"/>
  <c r="Y27" s="1"/>
  <c r="AJ27"/>
  <c r="AF28"/>
  <c r="Y28" s="1"/>
  <c r="AJ28"/>
  <c r="AF29"/>
  <c r="Y29" s="1"/>
  <c r="AJ29"/>
  <c r="AF30"/>
  <c r="Y30" s="1"/>
  <c r="AJ30"/>
  <c r="AF32"/>
  <c r="Y32" s="1"/>
  <c r="AJ32"/>
  <c r="AF33"/>
  <c r="Y33" s="1"/>
  <c r="AJ33"/>
  <c r="AF34"/>
  <c r="Y34" s="1"/>
  <c r="AJ34"/>
  <c r="AF35"/>
  <c r="Y35" s="1"/>
  <c r="AJ35"/>
  <c r="AF36"/>
  <c r="Y36" s="1"/>
  <c r="AJ36"/>
  <c r="AF38"/>
  <c r="Y38" s="1"/>
  <c r="AJ38"/>
  <c r="AJ39"/>
  <c r="AJ40"/>
  <c r="AF40" s="1"/>
  <c r="Y40" s="1"/>
  <c r="AJ41"/>
  <c r="AF41" s="1"/>
  <c r="Y41" s="1"/>
  <c r="AJ42"/>
  <c r="AF42" s="1"/>
  <c r="Y42" s="1"/>
  <c r="AF44"/>
  <c r="Y44" s="1"/>
  <c r="AJ44"/>
  <c r="AF45"/>
  <c r="Y45" s="1"/>
  <c r="AJ45"/>
  <c r="AF46"/>
  <c r="Y46" s="1"/>
  <c r="AJ46"/>
  <c r="AJ47"/>
  <c r="AF47" s="1"/>
  <c r="Y47" s="1"/>
  <c r="AJ48"/>
  <c r="AF48" s="1"/>
  <c r="Y48" s="1"/>
  <c r="AG49"/>
  <c r="AI49" s="1"/>
  <c r="AF49" s="1"/>
  <c r="Y49" s="1"/>
  <c r="AJ50"/>
  <c r="AF50" s="1"/>
  <c r="Y50" s="1"/>
  <c r="AF51"/>
  <c r="Y51" s="1"/>
  <c r="AJ51"/>
  <c r="AF52"/>
  <c r="Y52" s="1"/>
  <c r="AJ52"/>
  <c r="AF53"/>
  <c r="Y53" s="1"/>
  <c r="AJ53"/>
  <c r="AF54"/>
  <c r="Y54" s="1"/>
  <c r="AJ54"/>
  <c r="AG55"/>
  <c r="AI55" s="1"/>
  <c r="AF55" s="1"/>
  <c r="Y55" s="1"/>
  <c r="AJ59"/>
  <c r="AF59" s="1"/>
  <c r="Y59" s="1"/>
  <c r="AJ60"/>
  <c r="AF60" s="1"/>
  <c r="Y60" s="1"/>
  <c r="AJ61"/>
  <c r="AF61" s="1"/>
  <c r="Y61" s="1"/>
  <c r="AF62"/>
  <c r="Y62" s="1"/>
  <c r="AJ62"/>
  <c r="AJ63"/>
  <c r="AF63" s="1"/>
  <c r="Y63" s="1"/>
  <c r="AJ64"/>
  <c r="AF64" s="1"/>
  <c r="Y64" s="1"/>
  <c r="AJ65"/>
  <c r="AF65" s="1"/>
  <c r="Y65" s="1"/>
  <c r="AJ66"/>
  <c r="AF66" s="1"/>
  <c r="Y66" s="1"/>
  <c r="AG70"/>
  <c r="AI70" s="1"/>
  <c r="AF70" s="1"/>
  <c r="Y70" s="1"/>
  <c r="AJ71"/>
  <c r="AF71" s="1"/>
  <c r="Y71" s="1"/>
  <c r="AG72"/>
  <c r="AI72" s="1"/>
  <c r="AF72" s="1"/>
  <c r="Y72" s="1"/>
  <c r="AJ73"/>
  <c r="AF73" s="1"/>
  <c r="Y73" s="1"/>
  <c r="AF77"/>
  <c r="Y77" s="1"/>
  <c r="AJ77"/>
  <c r="AG78"/>
  <c r="AI78" s="1"/>
  <c r="AF78" s="1"/>
  <c r="Y78" s="1"/>
  <c r="AG82"/>
  <c r="AI82" s="1"/>
  <c r="AF82" s="1"/>
  <c r="Y82" s="1"/>
  <c r="AG86"/>
  <c r="AI86" s="1"/>
  <c r="AF86" s="1"/>
  <c r="Y86" s="1"/>
  <c r="AJ8" i="43"/>
  <c r="AF8" s="1"/>
  <c r="AJ9"/>
  <c r="AF9" s="1"/>
  <c r="Y9" s="1"/>
  <c r="AJ10"/>
  <c r="AF10" s="1"/>
  <c r="Y10" s="1"/>
  <c r="AJ11"/>
  <c r="AF11" s="1"/>
  <c r="Y11" s="1"/>
  <c r="AJ12"/>
  <c r="AF12" s="1"/>
  <c r="Y12" s="1"/>
  <c r="AG13"/>
  <c r="AI13" s="1"/>
  <c r="AF13" s="1"/>
  <c r="Y13" s="1"/>
  <c r="AF14"/>
  <c r="Y14" s="1"/>
  <c r="AJ14"/>
  <c r="AJ15"/>
  <c r="AF15" s="1"/>
  <c r="Y15" s="1"/>
  <c r="AF16"/>
  <c r="Y16" s="1"/>
  <c r="AJ16"/>
  <c r="AF17"/>
  <c r="Y17" s="1"/>
  <c r="AJ17"/>
  <c r="AF18"/>
  <c r="Y18" s="1"/>
  <c r="AJ18"/>
  <c r="AG19"/>
  <c r="AI19" s="1"/>
  <c r="AJ20"/>
  <c r="AF20" s="1"/>
  <c r="Y20" s="1"/>
  <c r="AF21"/>
  <c r="Y21" s="1"/>
  <c r="AJ21"/>
  <c r="AJ22"/>
  <c r="AF23"/>
  <c r="Y23" s="1"/>
  <c r="AJ23"/>
  <c r="AJ24"/>
  <c r="AF24" s="1"/>
  <c r="Y24" s="1"/>
  <c r="AG25"/>
  <c r="AI25" s="1"/>
  <c r="AF25" s="1"/>
  <c r="Y25" s="1"/>
  <c r="AJ26"/>
  <c r="AF26" s="1"/>
  <c r="Y26" s="1"/>
  <c r="AF27"/>
  <c r="Y27" s="1"/>
  <c r="AJ27"/>
  <c r="AF28"/>
  <c r="Y28" s="1"/>
  <c r="AJ28"/>
  <c r="AF29"/>
  <c r="Y29" s="1"/>
  <c r="AJ29"/>
  <c r="AF30"/>
  <c r="Y30" s="1"/>
  <c r="AJ30"/>
  <c r="AG31"/>
  <c r="AI31" s="1"/>
  <c r="AF31" s="1"/>
  <c r="Y31" s="1"/>
  <c r="AJ32"/>
  <c r="AF32" s="1"/>
  <c r="Y32" s="1"/>
  <c r="AF33"/>
  <c r="Y33" s="1"/>
  <c r="AJ33"/>
  <c r="AF34"/>
  <c r="Y34" s="1"/>
  <c r="AJ34"/>
  <c r="AF35"/>
  <c r="Y35" s="1"/>
  <c r="AJ35"/>
  <c r="AJ36"/>
  <c r="AF36" s="1"/>
  <c r="Y36" s="1"/>
  <c r="AG37"/>
  <c r="AI37" s="1"/>
  <c r="AF37" s="1"/>
  <c r="Y37" s="1"/>
  <c r="AF38"/>
  <c r="Y38" s="1"/>
  <c r="AJ38"/>
  <c r="AJ39"/>
  <c r="AF39" s="1"/>
  <c r="Y39" s="1"/>
  <c r="AF40"/>
  <c r="Y40" s="1"/>
  <c r="AJ40"/>
  <c r="AJ41"/>
  <c r="AF41" s="1"/>
  <c r="Y41" s="1"/>
  <c r="AJ42"/>
  <c r="AF42" s="1"/>
  <c r="Y42" s="1"/>
  <c r="AG43"/>
  <c r="AI43" s="1"/>
  <c r="AF43" s="1"/>
  <c r="Y43" s="1"/>
  <c r="AF44"/>
  <c r="Y44" s="1"/>
  <c r="AJ44"/>
  <c r="AF45"/>
  <c r="Y45" s="1"/>
  <c r="AJ45"/>
  <c r="AF46"/>
  <c r="Y46" s="1"/>
  <c r="AJ46"/>
  <c r="AF47"/>
  <c r="Y47" s="1"/>
  <c r="AJ47"/>
  <c r="AJ48"/>
  <c r="AF48" s="1"/>
  <c r="Y48" s="1"/>
  <c r="AG49"/>
  <c r="AI49" s="1"/>
  <c r="AF49" s="1"/>
  <c r="Y49" s="1"/>
  <c r="AF50"/>
  <c r="Y50" s="1"/>
  <c r="AJ50"/>
  <c r="AJ51"/>
  <c r="AF51" s="1"/>
  <c r="Y51" s="1"/>
  <c r="AF52"/>
  <c r="Y52" s="1"/>
  <c r="AJ52"/>
  <c r="AF53"/>
  <c r="Y53" s="1"/>
  <c r="AJ53"/>
  <c r="AF54"/>
  <c r="Y54" s="1"/>
  <c r="AJ54"/>
  <c r="AG55"/>
  <c r="AI55" s="1"/>
  <c r="AF55" s="1"/>
  <c r="Y55" s="1"/>
  <c r="AF59"/>
  <c r="Y59" s="1"/>
  <c r="AJ59"/>
  <c r="AJ60"/>
  <c r="AF60" s="1"/>
  <c r="Y60" s="1"/>
  <c r="AJ61"/>
  <c r="AF61" s="1"/>
  <c r="Y61" s="1"/>
  <c r="AF62"/>
  <c r="Y62" s="1"/>
  <c r="AJ62"/>
  <c r="AJ63"/>
  <c r="AF63" s="1"/>
  <c r="Y63" s="1"/>
  <c r="AF64"/>
  <c r="Y64" s="1"/>
  <c r="AJ64"/>
  <c r="AF65"/>
  <c r="Y65" s="1"/>
  <c r="AJ65"/>
  <c r="AJ66"/>
  <c r="AF66" s="1"/>
  <c r="Y66" s="1"/>
  <c r="AG70"/>
  <c r="AI70" s="1"/>
  <c r="AF70" s="1"/>
  <c r="Y70" s="1"/>
  <c r="AJ71"/>
  <c r="AF71" s="1"/>
  <c r="Y71" s="1"/>
  <c r="AG72"/>
  <c r="AI72" s="1"/>
  <c r="AF72" s="1"/>
  <c r="Y72" s="1"/>
  <c r="AF73"/>
  <c r="Y73" s="1"/>
  <c r="AJ73"/>
  <c r="AJ77"/>
  <c r="AF77" s="1"/>
  <c r="Y77" s="1"/>
  <c r="AG78"/>
  <c r="AI78" s="1"/>
  <c r="AF78" s="1"/>
  <c r="Y78" s="1"/>
  <c r="AG82"/>
  <c r="AI82" s="1"/>
  <c r="AF82" s="1"/>
  <c r="Y82" s="1"/>
  <c r="AG86"/>
  <c r="AI86" s="1"/>
  <c r="AF86" s="1"/>
  <c r="Y86" s="1"/>
  <c r="AJ8" i="44"/>
  <c r="AJ9"/>
  <c r="AF9" s="1"/>
  <c r="Y9" s="1"/>
  <c r="AJ10"/>
  <c r="AF10" s="1"/>
  <c r="Y10" s="1"/>
  <c r="AF11"/>
  <c r="Y11" s="1"/>
  <c r="AJ11"/>
  <c r="AF12"/>
  <c r="Y12" s="1"/>
  <c r="AJ12"/>
  <c r="AG13"/>
  <c r="AI13" s="1"/>
  <c r="AF13" s="1"/>
  <c r="Y13" s="1"/>
  <c r="AF14"/>
  <c r="Y14" s="1"/>
  <c r="AJ14"/>
  <c r="AJ15"/>
  <c r="AF15" s="1"/>
  <c r="Y15" s="1"/>
  <c r="AJ16"/>
  <c r="AF16" s="1"/>
  <c r="Y16" s="1"/>
  <c r="AF17"/>
  <c r="Y17" s="1"/>
  <c r="AJ17"/>
  <c r="AF18"/>
  <c r="Y18" s="1"/>
  <c r="AJ18"/>
  <c r="AG19"/>
  <c r="AI19" s="1"/>
  <c r="AF20"/>
  <c r="Y20" s="1"/>
  <c r="AJ20"/>
  <c r="AF21"/>
  <c r="Y21" s="1"/>
  <c r="AJ21"/>
  <c r="AJ22"/>
  <c r="AF22" s="1"/>
  <c r="Y22" s="1"/>
  <c r="AJ23"/>
  <c r="AF23" s="1"/>
  <c r="Y23" s="1"/>
  <c r="AF24"/>
  <c r="Y24" s="1"/>
  <c r="AJ24"/>
  <c r="AG25"/>
  <c r="AI25" s="1"/>
  <c r="AF25" s="1"/>
  <c r="Y25" s="1"/>
  <c r="AJ26"/>
  <c r="AF26" s="1"/>
  <c r="Y26" s="1"/>
  <c r="AJ27"/>
  <c r="AF27" s="1"/>
  <c r="Y27" s="1"/>
  <c r="AF28"/>
  <c r="Y28" s="1"/>
  <c r="AJ28"/>
  <c r="AF29"/>
  <c r="Y29" s="1"/>
  <c r="AJ29"/>
  <c r="AF30"/>
  <c r="Y30" s="1"/>
  <c r="AJ30"/>
  <c r="AG31"/>
  <c r="AI31" s="1"/>
  <c r="AF31" s="1"/>
  <c r="Y31" s="1"/>
  <c r="AJ32"/>
  <c r="AF32" s="1"/>
  <c r="Y32" s="1"/>
  <c r="AJ33"/>
  <c r="AF33" s="1"/>
  <c r="Y33" s="1"/>
  <c r="AF34"/>
  <c r="Y34" s="1"/>
  <c r="AJ34"/>
  <c r="AF35"/>
  <c r="Y35" s="1"/>
  <c r="AJ35"/>
  <c r="AF36"/>
  <c r="Y36" s="1"/>
  <c r="AJ36"/>
  <c r="AG37"/>
  <c r="AI37" s="1"/>
  <c r="AF37" s="1"/>
  <c r="Y37" s="1"/>
  <c r="AJ38"/>
  <c r="AF38" s="1"/>
  <c r="Y38" s="1"/>
  <c r="AF39"/>
  <c r="Y39" s="1"/>
  <c r="AJ39"/>
  <c r="AF40"/>
  <c r="Y40" s="1"/>
  <c r="AJ40"/>
  <c r="AF41"/>
  <c r="Y41" s="1"/>
  <c r="AJ41"/>
  <c r="AF42"/>
  <c r="Y42" s="1"/>
  <c r="AJ42"/>
  <c r="AG43"/>
  <c r="AI43" s="1"/>
  <c r="AF43" s="1"/>
  <c r="Y43" s="1"/>
  <c r="AJ44"/>
  <c r="AF44" s="1"/>
  <c r="Y44" s="1"/>
  <c r="AJ45"/>
  <c r="AF45" s="1"/>
  <c r="Y45" s="1"/>
  <c r="AJ46"/>
  <c r="AF46" s="1"/>
  <c r="Y46" s="1"/>
  <c r="AF47"/>
  <c r="Y47" s="1"/>
  <c r="AJ47"/>
  <c r="AF48"/>
  <c r="Y48" s="1"/>
  <c r="AJ48"/>
  <c r="AG49"/>
  <c r="AI49" s="1"/>
  <c r="AF49" s="1"/>
  <c r="Y49" s="1"/>
  <c r="AJ50"/>
  <c r="AF50" s="1"/>
  <c r="Y50" s="1"/>
  <c r="AF51"/>
  <c r="Y51" s="1"/>
  <c r="AJ51"/>
  <c r="AJ52"/>
  <c r="AF52" s="1"/>
  <c r="Y52" s="1"/>
  <c r="AF53"/>
  <c r="Y53" s="1"/>
  <c r="AJ53"/>
  <c r="AF54"/>
  <c r="Y54" s="1"/>
  <c r="AJ54"/>
  <c r="AG55"/>
  <c r="AI55" s="1"/>
  <c r="AF55" s="1"/>
  <c r="Y55" s="1"/>
  <c r="AJ59"/>
  <c r="AF59" s="1"/>
  <c r="Y59" s="1"/>
  <c r="AF60"/>
  <c r="Y60" s="1"/>
  <c r="AJ60"/>
  <c r="AF61"/>
  <c r="Y61" s="1"/>
  <c r="AJ61"/>
  <c r="AJ62"/>
  <c r="AF62" s="1"/>
  <c r="Y62" s="1"/>
  <c r="AJ63"/>
  <c r="AF63" s="1"/>
  <c r="Y63" s="1"/>
  <c r="AJ64"/>
  <c r="AF64" s="1"/>
  <c r="Y64" s="1"/>
  <c r="AF65"/>
  <c r="Y65" s="1"/>
  <c r="AJ65"/>
  <c r="AJ66"/>
  <c r="AF66" s="1"/>
  <c r="Y66" s="1"/>
  <c r="AG70"/>
  <c r="AI70" s="1"/>
  <c r="AF70" s="1"/>
  <c r="Y70" s="1"/>
  <c r="AF71"/>
  <c r="Y71" s="1"/>
  <c r="AJ71"/>
  <c r="AG72"/>
  <c r="AI72" s="1"/>
  <c r="AF72" s="1"/>
  <c r="Y72" s="1"/>
  <c r="AJ73"/>
  <c r="AF73" s="1"/>
  <c r="Y73" s="1"/>
  <c r="AJ77"/>
  <c r="AF77" s="1"/>
  <c r="Y77" s="1"/>
  <c r="AG78"/>
  <c r="AI78" s="1"/>
  <c r="AF78" s="1"/>
  <c r="Y78" s="1"/>
  <c r="AG82"/>
  <c r="AI82" s="1"/>
  <c r="AF82" s="1"/>
  <c r="Y82" s="1"/>
  <c r="AG86"/>
  <c r="AI86" s="1"/>
  <c r="AF86" s="1"/>
  <c r="Y86" s="1"/>
  <c r="AJ8" i="45"/>
  <c r="AF8" s="1"/>
  <c r="AJ9"/>
  <c r="AF9" s="1"/>
  <c r="Y9" s="1"/>
  <c r="AJ10"/>
  <c r="AF10" s="1"/>
  <c r="Y10" s="1"/>
  <c r="AF11"/>
  <c r="Y11" s="1"/>
  <c r="AJ11"/>
  <c r="AF12"/>
  <c r="Y12" s="1"/>
  <c r="AJ12"/>
  <c r="AG13"/>
  <c r="AI13" s="1"/>
  <c r="AF13" s="1"/>
  <c r="Y13" s="1"/>
  <c r="AF14"/>
  <c r="Y14" s="1"/>
  <c r="AJ14"/>
  <c r="AJ15"/>
  <c r="AF15" s="1"/>
  <c r="Y15" s="1"/>
  <c r="AF16"/>
  <c r="Y16" s="1"/>
  <c r="AJ16"/>
  <c r="AJ17"/>
  <c r="AJ18"/>
  <c r="AF18" s="1"/>
  <c r="Y18" s="1"/>
  <c r="AG19"/>
  <c r="AI19" s="1"/>
  <c r="AJ20"/>
  <c r="AF20" s="1"/>
  <c r="Y20" s="1"/>
  <c r="AF21"/>
  <c r="Y21" s="1"/>
  <c r="AJ21"/>
  <c r="AJ22"/>
  <c r="AF22" s="1"/>
  <c r="Y22" s="1"/>
  <c r="AF23"/>
  <c r="Y23" s="1"/>
  <c r="AJ23"/>
  <c r="AJ24"/>
  <c r="AF24" s="1"/>
  <c r="Y24" s="1"/>
  <c r="AG25"/>
  <c r="AI25" s="1"/>
  <c r="AF25" s="1"/>
  <c r="Y25" s="1"/>
  <c r="AF26"/>
  <c r="Y26" s="1"/>
  <c r="AJ26"/>
  <c r="AJ27"/>
  <c r="AF27" s="1"/>
  <c r="Y27" s="1"/>
  <c r="AJ28"/>
  <c r="AF28" s="1"/>
  <c r="Y28" s="1"/>
  <c r="AF29"/>
  <c r="Y29" s="1"/>
  <c r="AJ29"/>
  <c r="AF30"/>
  <c r="Y30" s="1"/>
  <c r="AJ30"/>
  <c r="AG31"/>
  <c r="AI31" s="1"/>
  <c r="AF31" s="1"/>
  <c r="Y31" s="1"/>
  <c r="AJ32"/>
  <c r="AF32" s="1"/>
  <c r="Y32" s="1"/>
  <c r="AF33"/>
  <c r="Y33" s="1"/>
  <c r="AJ33"/>
  <c r="AJ34"/>
  <c r="AF35"/>
  <c r="Y35" s="1"/>
  <c r="AJ35"/>
  <c r="AJ36"/>
  <c r="AF36" s="1"/>
  <c r="Y36" s="1"/>
  <c r="AG37"/>
  <c r="AI37" s="1"/>
  <c r="AF37" s="1"/>
  <c r="Y37" s="1"/>
  <c r="AJ38"/>
  <c r="AF38" s="1"/>
  <c r="Y38" s="1"/>
  <c r="AF39"/>
  <c r="Y39" s="1"/>
  <c r="AJ39"/>
  <c r="AF40"/>
  <c r="Y40" s="1"/>
  <c r="AJ40"/>
  <c r="AF41"/>
  <c r="Y41" s="1"/>
  <c r="AJ41"/>
  <c r="AF42"/>
  <c r="Y42" s="1"/>
  <c r="AJ42"/>
  <c r="AG43"/>
  <c r="AI43" s="1"/>
  <c r="AF43" s="1"/>
  <c r="Y43" s="1"/>
  <c r="AF44"/>
  <c r="Y44" s="1"/>
  <c r="AJ44"/>
  <c r="AJ45"/>
  <c r="AF45" s="1"/>
  <c r="Y45" s="1"/>
  <c r="AF46"/>
  <c r="Y46" s="1"/>
  <c r="AJ46"/>
  <c r="AJ47"/>
  <c r="AF47" s="1"/>
  <c r="Y47" s="1"/>
  <c r="AF48"/>
  <c r="Y48" s="1"/>
  <c r="AJ48"/>
  <c r="AG49"/>
  <c r="AI49" s="1"/>
  <c r="AF49" s="1"/>
  <c r="Y49" s="1"/>
  <c r="AF50"/>
  <c r="Y50" s="1"/>
  <c r="AJ50"/>
  <c r="AF51"/>
  <c r="Y51" s="1"/>
  <c r="AJ51"/>
  <c r="AF52"/>
  <c r="Y52" s="1"/>
  <c r="AJ52"/>
  <c r="AF53"/>
  <c r="Y53" s="1"/>
  <c r="AJ53"/>
  <c r="AF54"/>
  <c r="Y54" s="1"/>
  <c r="AJ54"/>
  <c r="AG55"/>
  <c r="AI55" s="1"/>
  <c r="AF55" s="1"/>
  <c r="Y55" s="1"/>
  <c r="AJ59"/>
  <c r="AF59" s="1"/>
  <c r="Y59" s="1"/>
  <c r="AF60"/>
  <c r="Y60" s="1"/>
  <c r="AJ60"/>
  <c r="AJ61"/>
  <c r="AF61" s="1"/>
  <c r="Y61" s="1"/>
  <c r="AJ62"/>
  <c r="AF62" s="1"/>
  <c r="Y62" s="1"/>
  <c r="AF63"/>
  <c r="Y63" s="1"/>
  <c r="AJ63"/>
  <c r="AF64"/>
  <c r="Y64" s="1"/>
  <c r="AJ64"/>
  <c r="AJ65"/>
  <c r="AJ66"/>
  <c r="AF66" s="1"/>
  <c r="Y66" s="1"/>
  <c r="AG70"/>
  <c r="AI70" s="1"/>
  <c r="AF70" s="1"/>
  <c r="Y70" s="1"/>
  <c r="AJ71"/>
  <c r="AF71" s="1"/>
  <c r="Y71" s="1"/>
  <c r="AG72"/>
  <c r="AI72" s="1"/>
  <c r="AF72" s="1"/>
  <c r="Y72" s="1"/>
  <c r="AJ73"/>
  <c r="AF73" s="1"/>
  <c r="Y73" s="1"/>
  <c r="AF77"/>
  <c r="Y77" s="1"/>
  <c r="AJ77"/>
  <c r="AG78"/>
  <c r="AI78" s="1"/>
  <c r="AF78" s="1"/>
  <c r="Y78" s="1"/>
  <c r="AG82"/>
  <c r="AI82" s="1"/>
  <c r="AF82" s="1"/>
  <c r="Y82" s="1"/>
  <c r="AG86"/>
  <c r="AI86" s="1"/>
  <c r="AF86" s="1"/>
  <c r="Y86" s="1"/>
  <c r="AJ8" i="46"/>
  <c r="AJ9"/>
  <c r="AF9" s="1"/>
  <c r="Y9" s="1"/>
  <c r="AJ10"/>
  <c r="AF10" s="1"/>
  <c r="Y10" s="1"/>
  <c r="AF11"/>
  <c r="Y11" s="1"/>
  <c r="AJ11"/>
  <c r="AF12"/>
  <c r="Y12" s="1"/>
  <c r="AJ12"/>
  <c r="AG13"/>
  <c r="AI13" s="1"/>
  <c r="AF13" s="1"/>
  <c r="Y13" s="1"/>
  <c r="AF14"/>
  <c r="Y14" s="1"/>
  <c r="AJ14"/>
  <c r="AJ15"/>
  <c r="AF15" s="1"/>
  <c r="Y15" s="1"/>
  <c r="AJ16"/>
  <c r="AF16" s="1"/>
  <c r="Y16" s="1"/>
  <c r="AJ17"/>
  <c r="AF18"/>
  <c r="Y18" s="1"/>
  <c r="AJ18"/>
  <c r="AG19"/>
  <c r="AI19" s="1"/>
  <c r="AF20"/>
  <c r="Y20" s="1"/>
  <c r="AJ20"/>
  <c r="AJ21"/>
  <c r="AF21" s="1"/>
  <c r="Y21" s="1"/>
  <c r="AJ22"/>
  <c r="AF22" s="1"/>
  <c r="Y22" s="1"/>
  <c r="AJ23"/>
  <c r="AF24"/>
  <c r="Y24" s="1"/>
  <c r="AJ24"/>
  <c r="AG25"/>
  <c r="AI25" s="1"/>
  <c r="AF25" s="1"/>
  <c r="Y25" s="1"/>
  <c r="AF26"/>
  <c r="Y26" s="1"/>
  <c r="AJ26"/>
  <c r="AF27"/>
  <c r="Y27" s="1"/>
  <c r="AJ27"/>
  <c r="AJ28"/>
  <c r="AF28" s="1"/>
  <c r="Y28" s="1"/>
  <c r="AJ29"/>
  <c r="AF29" s="1"/>
  <c r="Y29" s="1"/>
  <c r="AF30"/>
  <c r="Y30" s="1"/>
  <c r="AJ30"/>
  <c r="AG31"/>
  <c r="AI31" s="1"/>
  <c r="AF31" s="1"/>
  <c r="Y31" s="1"/>
  <c r="AJ32"/>
  <c r="AJ33"/>
  <c r="AF33" s="1"/>
  <c r="Y33" s="1"/>
  <c r="AJ34"/>
  <c r="AJ35"/>
  <c r="AF35" s="1"/>
  <c r="Y35" s="1"/>
  <c r="AJ36"/>
  <c r="AF36" s="1"/>
  <c r="Y36" s="1"/>
  <c r="AG37"/>
  <c r="AI37" s="1"/>
  <c r="AF37" s="1"/>
  <c r="Y37" s="1"/>
  <c r="AF38"/>
  <c r="Y38" s="1"/>
  <c r="AJ38"/>
  <c r="AJ39"/>
  <c r="AF39" s="1"/>
  <c r="Y39" s="1"/>
  <c r="AF40"/>
  <c r="Y40" s="1"/>
  <c r="AJ40"/>
  <c r="AF41"/>
  <c r="Y41" s="1"/>
  <c r="AJ41"/>
  <c r="AF42"/>
  <c r="Y42" s="1"/>
  <c r="AJ42"/>
  <c r="AG43"/>
  <c r="AI43" s="1"/>
  <c r="AF43" s="1"/>
  <c r="Y43" s="1"/>
  <c r="AJ44"/>
  <c r="AF45"/>
  <c r="Y45" s="1"/>
  <c r="AJ45"/>
  <c r="AJ46"/>
  <c r="AF46" s="1"/>
  <c r="Y46" s="1"/>
  <c r="AJ47"/>
  <c r="AF47" s="1"/>
  <c r="Y47" s="1"/>
  <c r="AJ48"/>
  <c r="AF48" s="1"/>
  <c r="Y48" s="1"/>
  <c r="AG49"/>
  <c r="AI49" s="1"/>
  <c r="AF49" s="1"/>
  <c r="Y49" s="1"/>
  <c r="AF50"/>
  <c r="Y50" s="1"/>
  <c r="AJ50"/>
  <c r="AF51"/>
  <c r="Y51" s="1"/>
  <c r="AJ51"/>
  <c r="AG52"/>
  <c r="AI52" s="1"/>
  <c r="AF52" s="1"/>
  <c r="Y52" s="1"/>
  <c r="AK52"/>
  <c r="AL54"/>
  <c r="AK54"/>
  <c r="AF55"/>
  <c r="Y55" s="1"/>
  <c r="AJ55"/>
  <c r="AL59"/>
  <c r="AK59"/>
  <c r="AL60"/>
  <c r="AK60"/>
  <c r="AL61"/>
  <c r="AK61"/>
  <c r="AL62"/>
  <c r="AK62"/>
  <c r="AL63"/>
  <c r="AK63"/>
  <c r="AL64"/>
  <c r="AK64"/>
  <c r="AL65"/>
  <c r="AK65"/>
  <c r="AL66"/>
  <c r="AK66"/>
  <c r="AL70"/>
  <c r="AF70" s="1"/>
  <c r="Y70" s="1"/>
  <c r="AL72"/>
  <c r="AF72" s="1"/>
  <c r="Y72" s="1"/>
  <c r="AL78"/>
  <c r="AF78" s="1"/>
  <c r="Y78" s="1"/>
  <c r="AL82"/>
  <c r="AL86"/>
  <c r="AL8" i="47"/>
  <c r="AK8"/>
  <c r="Q3"/>
  <c r="F49" i="22" s="1"/>
  <c r="AL10" i="47"/>
  <c r="AK10"/>
  <c r="AL12"/>
  <c r="AK12"/>
  <c r="AF13"/>
  <c r="Y13" s="1"/>
  <c r="AJ13"/>
  <c r="AL14"/>
  <c r="AK14"/>
  <c r="AL16"/>
  <c r="AK16"/>
  <c r="AL18"/>
  <c r="AK18"/>
  <c r="AF19"/>
  <c r="Y19" s="1"/>
  <c r="AJ19"/>
  <c r="AL20"/>
  <c r="AK20"/>
  <c r="AL22"/>
  <c r="AK22"/>
  <c r="AL24"/>
  <c r="AK24"/>
  <c r="AF25"/>
  <c r="Y25" s="1"/>
  <c r="AJ25"/>
  <c r="AL26"/>
  <c r="AK26"/>
  <c r="AL28"/>
  <c r="AK28"/>
  <c r="AL30"/>
  <c r="AK30"/>
  <c r="AF31"/>
  <c r="Y31" s="1"/>
  <c r="AJ31"/>
  <c r="AL32"/>
  <c r="AK32"/>
  <c r="AL34"/>
  <c r="AK34"/>
  <c r="AL36"/>
  <c r="AK36"/>
  <c r="AF37"/>
  <c r="Y37" s="1"/>
  <c r="AJ37"/>
  <c r="AL38"/>
  <c r="AK38"/>
  <c r="AL40"/>
  <c r="AK40"/>
  <c r="AL42"/>
  <c r="AK42"/>
  <c r="AF43"/>
  <c r="Y43" s="1"/>
  <c r="AJ43"/>
  <c r="AL44"/>
  <c r="AK44"/>
  <c r="AL46"/>
  <c r="AK46"/>
  <c r="AL48"/>
  <c r="AK48"/>
  <c r="AF49"/>
  <c r="Y49" s="1"/>
  <c r="AJ49"/>
  <c r="AL50"/>
  <c r="AK50"/>
  <c r="AL52"/>
  <c r="AK52"/>
  <c r="AI54"/>
  <c r="AI59"/>
  <c r="AI61"/>
  <c r="AI63"/>
  <c r="AI65"/>
  <c r="AI71"/>
  <c r="AI73"/>
  <c r="AI8" i="48"/>
  <c r="AI12"/>
  <c r="AI14"/>
  <c r="AI15"/>
  <c r="AI18"/>
  <c r="AI20"/>
  <c r="AI21"/>
  <c r="AI24"/>
  <c r="AI26"/>
  <c r="AI27"/>
  <c r="AI29"/>
  <c r="AI32"/>
  <c r="AI34"/>
  <c r="AF34" s="1"/>
  <c r="Y34" s="1"/>
  <c r="AI35"/>
  <c r="AI40"/>
  <c r="AI45"/>
  <c r="AI47"/>
  <c r="AI77"/>
  <c r="AI9" i="49"/>
  <c r="AK46" i="50"/>
  <c r="AH46"/>
  <c r="AI46" s="1"/>
  <c r="AK53" i="47"/>
  <c r="AK54"/>
  <c r="AJ55"/>
  <c r="AL55"/>
  <c r="AK59"/>
  <c r="AK60"/>
  <c r="AK61"/>
  <c r="AK62"/>
  <c r="AK63"/>
  <c r="AK64"/>
  <c r="AK65"/>
  <c r="AK66"/>
  <c r="AJ70"/>
  <c r="AL70"/>
  <c r="AK71"/>
  <c r="AJ72"/>
  <c r="AL72"/>
  <c r="AK73"/>
  <c r="AK77"/>
  <c r="AJ78"/>
  <c r="AL78"/>
  <c r="AJ82"/>
  <c r="AL82"/>
  <c r="AJ86"/>
  <c r="AL86"/>
  <c r="AK8" i="48"/>
  <c r="AK9"/>
  <c r="AK10"/>
  <c r="AK11"/>
  <c r="AK12"/>
  <c r="AJ13"/>
  <c r="AL13"/>
  <c r="AK14"/>
  <c r="AK15"/>
  <c r="AK16"/>
  <c r="AK17"/>
  <c r="AK18"/>
  <c r="AJ19"/>
  <c r="AL19"/>
  <c r="AK20"/>
  <c r="AK21"/>
  <c r="AK22"/>
  <c r="AK23"/>
  <c r="AK24"/>
  <c r="AJ25"/>
  <c r="AL25"/>
  <c r="AK26"/>
  <c r="AK27"/>
  <c r="AK28"/>
  <c r="AK29"/>
  <c r="AK30"/>
  <c r="AJ31"/>
  <c r="AL31"/>
  <c r="AK32"/>
  <c r="AK33"/>
  <c r="AK34"/>
  <c r="AK35"/>
  <c r="AK36"/>
  <c r="AJ37"/>
  <c r="AL37"/>
  <c r="AK38"/>
  <c r="AK39"/>
  <c r="AK40"/>
  <c r="AK41"/>
  <c r="AK42"/>
  <c r="AJ43"/>
  <c r="AL43"/>
  <c r="AK44"/>
  <c r="AK45"/>
  <c r="AK46"/>
  <c r="AK47"/>
  <c r="AK48"/>
  <c r="AJ49"/>
  <c r="AL49"/>
  <c r="AK50"/>
  <c r="AK51"/>
  <c r="AK52"/>
  <c r="AG53"/>
  <c r="AI53" s="1"/>
  <c r="AK53"/>
  <c r="AG54"/>
  <c r="AI54" s="1"/>
  <c r="AK54"/>
  <c r="AH55"/>
  <c r="AI55" s="1"/>
  <c r="AJ55"/>
  <c r="BB58"/>
  <c r="AG59"/>
  <c r="AI59" s="1"/>
  <c r="AK59"/>
  <c r="AG60"/>
  <c r="AI60" s="1"/>
  <c r="AK60"/>
  <c r="AG61"/>
  <c r="AI61" s="1"/>
  <c r="AF61" s="1"/>
  <c r="Y61" s="1"/>
  <c r="AK61"/>
  <c r="AG62"/>
  <c r="AI62" s="1"/>
  <c r="AK62"/>
  <c r="AG63"/>
  <c r="AI63" s="1"/>
  <c r="AK63"/>
  <c r="AG64"/>
  <c r="AI64" s="1"/>
  <c r="AK64"/>
  <c r="AG65"/>
  <c r="AI65" s="1"/>
  <c r="AK65"/>
  <c r="AK66"/>
  <c r="AJ70"/>
  <c r="AL70"/>
  <c r="AK71"/>
  <c r="AJ72"/>
  <c r="AL72"/>
  <c r="AK73"/>
  <c r="AK77"/>
  <c r="AJ78"/>
  <c r="AL78"/>
  <c r="AJ82"/>
  <c r="AL82"/>
  <c r="AJ86"/>
  <c r="AL86"/>
  <c r="AK8" i="49"/>
  <c r="AK9"/>
  <c r="AG10"/>
  <c r="AI10" s="1"/>
  <c r="AK10"/>
  <c r="AG11"/>
  <c r="AI11" s="1"/>
  <c r="AK11"/>
  <c r="AG12"/>
  <c r="AI12" s="1"/>
  <c r="AK12"/>
  <c r="AH13"/>
  <c r="AI13" s="1"/>
  <c r="AJ13"/>
  <c r="AG14"/>
  <c r="AI14" s="1"/>
  <c r="AK14"/>
  <c r="AG15"/>
  <c r="AI15" s="1"/>
  <c r="AK15"/>
  <c r="AG16"/>
  <c r="AI16" s="1"/>
  <c r="AK16"/>
  <c r="AG17"/>
  <c r="AI17" s="1"/>
  <c r="AK17"/>
  <c r="AG18"/>
  <c r="AI18" s="1"/>
  <c r="AK18"/>
  <c r="AH19"/>
  <c r="AI19" s="1"/>
  <c r="AF19" s="1"/>
  <c r="Y19" s="1"/>
  <c r="AJ19"/>
  <c r="AG20"/>
  <c r="AI20" s="1"/>
  <c r="AK20"/>
  <c r="AG21"/>
  <c r="AI21" s="1"/>
  <c r="AK21"/>
  <c r="AG22"/>
  <c r="AI22" s="1"/>
  <c r="AK22"/>
  <c r="AG23"/>
  <c r="AI23" s="1"/>
  <c r="AK23"/>
  <c r="AG24"/>
  <c r="AI24" s="1"/>
  <c r="AK24"/>
  <c r="AH25"/>
  <c r="AI25" s="1"/>
  <c r="AJ25"/>
  <c r="AG26"/>
  <c r="AI26" s="1"/>
  <c r="AK26"/>
  <c r="AG27"/>
  <c r="AI27" s="1"/>
  <c r="AK27"/>
  <c r="AG28"/>
  <c r="AI28" s="1"/>
  <c r="AK28"/>
  <c r="AG29"/>
  <c r="AI29" s="1"/>
  <c r="AK29"/>
  <c r="AG30"/>
  <c r="AI30" s="1"/>
  <c r="AK30"/>
  <c r="AH31"/>
  <c r="AI31" s="1"/>
  <c r="AJ31"/>
  <c r="AG32"/>
  <c r="AI32" s="1"/>
  <c r="AF32" s="1"/>
  <c r="Y32" s="1"/>
  <c r="AK32"/>
  <c r="AG33"/>
  <c r="AI33" s="1"/>
  <c r="AK33"/>
  <c r="AG34"/>
  <c r="AI34" s="1"/>
  <c r="AF34" s="1"/>
  <c r="Y34" s="1"/>
  <c r="AK34"/>
  <c r="AG35"/>
  <c r="AI35" s="1"/>
  <c r="AK35"/>
  <c r="AG36"/>
  <c r="AI36" s="1"/>
  <c r="AK36"/>
  <c r="AH37"/>
  <c r="AI37" s="1"/>
  <c r="AJ37"/>
  <c r="AG38"/>
  <c r="AI38" s="1"/>
  <c r="AK38"/>
  <c r="AG39"/>
  <c r="AI39" s="1"/>
  <c r="AK39"/>
  <c r="AG40"/>
  <c r="AI40" s="1"/>
  <c r="AK40"/>
  <c r="AG41"/>
  <c r="AI41" s="1"/>
  <c r="AK41"/>
  <c r="AG42"/>
  <c r="AI42" s="1"/>
  <c r="AK42"/>
  <c r="AH43"/>
  <c r="AI43" s="1"/>
  <c r="AF43" s="1"/>
  <c r="Y43" s="1"/>
  <c r="AJ43"/>
  <c r="AG44"/>
  <c r="AI44" s="1"/>
  <c r="AK44"/>
  <c r="AG45"/>
  <c r="AI45" s="1"/>
  <c r="AK45"/>
  <c r="AG46"/>
  <c r="AI46" s="1"/>
  <c r="AK46"/>
  <c r="AG47"/>
  <c r="AI47" s="1"/>
  <c r="AK47"/>
  <c r="AG48"/>
  <c r="AI48" s="1"/>
  <c r="AK48"/>
  <c r="AH49"/>
  <c r="AI49" s="1"/>
  <c r="AJ49"/>
  <c r="AG50"/>
  <c r="AI50" s="1"/>
  <c r="AK50"/>
  <c r="AG51"/>
  <c r="AI51" s="1"/>
  <c r="AK51"/>
  <c r="AG52"/>
  <c r="AI52" s="1"/>
  <c r="AK52"/>
  <c r="AG53"/>
  <c r="AI53" s="1"/>
  <c r="AK53"/>
  <c r="AG54"/>
  <c r="AI54" s="1"/>
  <c r="AK54"/>
  <c r="AH55"/>
  <c r="AI55" s="1"/>
  <c r="AJ55"/>
  <c r="BB58"/>
  <c r="AG59"/>
  <c r="AI59" s="1"/>
  <c r="AK59"/>
  <c r="AG60"/>
  <c r="AI60" s="1"/>
  <c r="AK60"/>
  <c r="AG61"/>
  <c r="AI61" s="1"/>
  <c r="AK61"/>
  <c r="AG62"/>
  <c r="AI62" s="1"/>
  <c r="AK62"/>
  <c r="AG63"/>
  <c r="AI63" s="1"/>
  <c r="AK63"/>
  <c r="AG64"/>
  <c r="AI64" s="1"/>
  <c r="AK64"/>
  <c r="AG65"/>
  <c r="AI65" s="1"/>
  <c r="AK65"/>
  <c r="AG66"/>
  <c r="AI66" s="1"/>
  <c r="AK66"/>
  <c r="AH70"/>
  <c r="AI70" s="1"/>
  <c r="AJ70"/>
  <c r="AF70" s="1"/>
  <c r="Y70" s="1"/>
  <c r="AG71"/>
  <c r="AI71" s="1"/>
  <c r="AK71"/>
  <c r="AH72"/>
  <c r="AI72" s="1"/>
  <c r="AJ72"/>
  <c r="AG73"/>
  <c r="AI73" s="1"/>
  <c r="AK73"/>
  <c r="AG77"/>
  <c r="AI77" s="1"/>
  <c r="AK77"/>
  <c r="AH78"/>
  <c r="AI78" s="1"/>
  <c r="AJ78"/>
  <c r="AH82"/>
  <c r="AI82" s="1"/>
  <c r="AJ82"/>
  <c r="AK86"/>
  <c r="AH86"/>
  <c r="AI86" s="1"/>
  <c r="AJ86"/>
  <c r="AW89"/>
  <c r="AV90"/>
  <c r="AW91"/>
  <c r="AL9" i="50"/>
  <c r="AK9"/>
  <c r="AL11"/>
  <c r="AK11"/>
  <c r="AL15"/>
  <c r="AK15"/>
  <c r="AL17"/>
  <c r="AK17"/>
  <c r="AL21"/>
  <c r="AK21"/>
  <c r="AL23"/>
  <c r="AK23"/>
  <c r="AL27"/>
  <c r="AK27"/>
  <c r="AL29"/>
  <c r="AK29"/>
  <c r="AL33"/>
  <c r="AK33"/>
  <c r="AL35"/>
  <c r="AK35"/>
  <c r="AL39"/>
  <c r="AK39"/>
  <c r="AL41"/>
  <c r="AK41"/>
  <c r="AL45"/>
  <c r="AK45"/>
  <c r="AK13"/>
  <c r="AG13"/>
  <c r="AI13" s="1"/>
  <c r="AF13" s="1"/>
  <c r="Y13" s="1"/>
  <c r="AK19"/>
  <c r="AG19"/>
  <c r="AI19" s="1"/>
  <c r="AK25"/>
  <c r="AG25"/>
  <c r="AI25" s="1"/>
  <c r="AK31"/>
  <c r="AG31"/>
  <c r="AI31" s="1"/>
  <c r="AK37"/>
  <c r="AG37"/>
  <c r="AI37" s="1"/>
  <c r="AK43"/>
  <c r="AG43"/>
  <c r="AI43" s="1"/>
  <c r="AF53" i="46"/>
  <c r="Y53" s="1"/>
  <c r="AJ53"/>
  <c r="AJ54"/>
  <c r="AF54" s="1"/>
  <c r="Y54" s="1"/>
  <c r="AF59"/>
  <c r="Y59" s="1"/>
  <c r="AJ59"/>
  <c r="AF60"/>
  <c r="Y60" s="1"/>
  <c r="AJ60"/>
  <c r="AJ61"/>
  <c r="AF61" s="1"/>
  <c r="Y61" s="1"/>
  <c r="AF62"/>
  <c r="Y62" s="1"/>
  <c r="AJ62"/>
  <c r="AJ63"/>
  <c r="AF63" s="1"/>
  <c r="Y63" s="1"/>
  <c r="AF64"/>
  <c r="Y64" s="1"/>
  <c r="AJ64"/>
  <c r="AJ65"/>
  <c r="AJ66"/>
  <c r="AF66" s="1"/>
  <c r="Y66" s="1"/>
  <c r="AF71"/>
  <c r="Y71" s="1"/>
  <c r="AJ71"/>
  <c r="AJ73"/>
  <c r="AF73" s="1"/>
  <c r="Y73" s="1"/>
  <c r="AJ77"/>
  <c r="AF77" s="1"/>
  <c r="Y77" s="1"/>
  <c r="AJ8" i="47"/>
  <c r="AF8" s="1"/>
  <c r="AJ9"/>
  <c r="AF9" s="1"/>
  <c r="Y9" s="1"/>
  <c r="AJ10"/>
  <c r="AF10" s="1"/>
  <c r="Y10" s="1"/>
  <c r="AF11"/>
  <c r="Y11" s="1"/>
  <c r="AJ11"/>
  <c r="AF12"/>
  <c r="Y12" s="1"/>
  <c r="AJ12"/>
  <c r="AF14"/>
  <c r="Y14" s="1"/>
  <c r="AJ14"/>
  <c r="AF15"/>
  <c r="Y15" s="1"/>
  <c r="AJ15"/>
  <c r="AF16"/>
  <c r="Y16" s="1"/>
  <c r="AJ16"/>
  <c r="AJ17"/>
  <c r="AF17" s="1"/>
  <c r="Y17" s="1"/>
  <c r="AJ18"/>
  <c r="AF18" s="1"/>
  <c r="Y18" s="1"/>
  <c r="AF20"/>
  <c r="Y20" s="1"/>
  <c r="AJ20"/>
  <c r="AF21"/>
  <c r="Y21" s="1"/>
  <c r="AJ21"/>
  <c r="AF22"/>
  <c r="Y22" s="1"/>
  <c r="AJ22"/>
  <c r="AF23"/>
  <c r="Y23" s="1"/>
  <c r="AJ23"/>
  <c r="AF24"/>
  <c r="Y24" s="1"/>
  <c r="AJ24"/>
  <c r="AF26"/>
  <c r="Y26" s="1"/>
  <c r="AJ26"/>
  <c r="AF27"/>
  <c r="Y27" s="1"/>
  <c r="AJ27"/>
  <c r="AF28"/>
  <c r="Y28" s="1"/>
  <c r="AJ28"/>
  <c r="AF29"/>
  <c r="Y29" s="1"/>
  <c r="AJ29"/>
  <c r="AF30"/>
  <c r="Y30" s="1"/>
  <c r="AJ30"/>
  <c r="AJ32"/>
  <c r="AJ33"/>
  <c r="AF33" s="1"/>
  <c r="Y33" s="1"/>
  <c r="AJ34"/>
  <c r="AF34" s="1"/>
  <c r="Y34" s="1"/>
  <c r="AJ35"/>
  <c r="AF35" s="1"/>
  <c r="Y35" s="1"/>
  <c r="AF36"/>
  <c r="Y36" s="1"/>
  <c r="AJ36"/>
  <c r="AF38"/>
  <c r="Y38" s="1"/>
  <c r="AJ38"/>
  <c r="AF39"/>
  <c r="Y39" s="1"/>
  <c r="AJ39"/>
  <c r="AF40"/>
  <c r="Y40" s="1"/>
  <c r="AJ40"/>
  <c r="AF41"/>
  <c r="Y41" s="1"/>
  <c r="AJ41"/>
  <c r="AF42"/>
  <c r="Y42" s="1"/>
  <c r="AJ42"/>
  <c r="AF44"/>
  <c r="Y44" s="1"/>
  <c r="AJ44"/>
  <c r="AF45"/>
  <c r="Y45" s="1"/>
  <c r="AJ45"/>
  <c r="AF46"/>
  <c r="Y46" s="1"/>
  <c r="AJ46"/>
  <c r="AF47"/>
  <c r="Y47" s="1"/>
  <c r="AJ47"/>
  <c r="AF48"/>
  <c r="Y48" s="1"/>
  <c r="AJ48"/>
  <c r="AF50"/>
  <c r="Y50" s="1"/>
  <c r="AJ50"/>
  <c r="AF51"/>
  <c r="Y51" s="1"/>
  <c r="AJ51"/>
  <c r="AF52"/>
  <c r="Y52" s="1"/>
  <c r="AJ52"/>
  <c r="AJ53"/>
  <c r="AF53" s="1"/>
  <c r="Y53" s="1"/>
  <c r="AJ54"/>
  <c r="AF54" s="1"/>
  <c r="Y54" s="1"/>
  <c r="AG55"/>
  <c r="AI55" s="1"/>
  <c r="AF55" s="1"/>
  <c r="Y55" s="1"/>
  <c r="AF59"/>
  <c r="Y59" s="1"/>
  <c r="AJ59"/>
  <c r="AF60"/>
  <c r="Y60" s="1"/>
  <c r="AJ60"/>
  <c r="AJ61"/>
  <c r="AF61" s="1"/>
  <c r="Y61" s="1"/>
  <c r="AJ62"/>
  <c r="AF62" s="1"/>
  <c r="Y62" s="1"/>
  <c r="AJ63"/>
  <c r="AF63" s="1"/>
  <c r="Y63" s="1"/>
  <c r="AF64"/>
  <c r="Y64" s="1"/>
  <c r="AJ64"/>
  <c r="AF65"/>
  <c r="Y65" s="1"/>
  <c r="AJ65"/>
  <c r="AF66"/>
  <c r="Y66" s="1"/>
  <c r="AJ66"/>
  <c r="AG70"/>
  <c r="AI70" s="1"/>
  <c r="AF70" s="1"/>
  <c r="Y70" s="1"/>
  <c r="AF71"/>
  <c r="Y71" s="1"/>
  <c r="AJ71"/>
  <c r="AG72"/>
  <c r="AI72" s="1"/>
  <c r="AF72" s="1"/>
  <c r="Y72" s="1"/>
  <c r="AF73"/>
  <c r="Y73" s="1"/>
  <c r="AJ73"/>
  <c r="AF77"/>
  <c r="Y77" s="1"/>
  <c r="AJ77"/>
  <c r="AG78"/>
  <c r="AI78" s="1"/>
  <c r="AF78" s="1"/>
  <c r="Y78" s="1"/>
  <c r="AG82"/>
  <c r="AI82" s="1"/>
  <c r="AF82" s="1"/>
  <c r="Y82" s="1"/>
  <c r="AG86"/>
  <c r="AI86" s="1"/>
  <c r="AF86" s="1"/>
  <c r="Y86" s="1"/>
  <c r="AJ8" i="48"/>
  <c r="AF8" s="1"/>
  <c r="AJ9"/>
  <c r="AF9" s="1"/>
  <c r="Y9" s="1"/>
  <c r="AJ10"/>
  <c r="AF10" s="1"/>
  <c r="Y10" s="1"/>
  <c r="AJ11"/>
  <c r="AF11" s="1"/>
  <c r="Y11" s="1"/>
  <c r="AF12"/>
  <c r="Y12" s="1"/>
  <c r="AJ12"/>
  <c r="AG13"/>
  <c r="AI13" s="1"/>
  <c r="AF13" s="1"/>
  <c r="Y13" s="1"/>
  <c r="AJ14"/>
  <c r="AF14" s="1"/>
  <c r="Y14" s="1"/>
  <c r="AF15"/>
  <c r="Y15" s="1"/>
  <c r="AJ15"/>
  <c r="AF16"/>
  <c r="Y16" s="1"/>
  <c r="AJ16"/>
  <c r="AJ17"/>
  <c r="AF17" s="1"/>
  <c r="Y17" s="1"/>
  <c r="AJ18"/>
  <c r="AF18" s="1"/>
  <c r="Y18" s="1"/>
  <c r="AG19"/>
  <c r="AI19" s="1"/>
  <c r="AJ20"/>
  <c r="AF20" s="1"/>
  <c r="Y20" s="1"/>
  <c r="AF21"/>
  <c r="Y21" s="1"/>
  <c r="AJ21"/>
  <c r="AF22"/>
  <c r="Y22" s="1"/>
  <c r="AJ22"/>
  <c r="AF23"/>
  <c r="Y23" s="1"/>
  <c r="AJ23"/>
  <c r="AF24"/>
  <c r="Y24" s="1"/>
  <c r="AJ24"/>
  <c r="AG25"/>
  <c r="AI25" s="1"/>
  <c r="AF25" s="1"/>
  <c r="Y25" s="1"/>
  <c r="AJ26"/>
  <c r="AF26" s="1"/>
  <c r="Y26" s="1"/>
  <c r="AF27"/>
  <c r="Y27" s="1"/>
  <c r="AJ27"/>
  <c r="AF28"/>
  <c r="Y28" s="1"/>
  <c r="AJ28"/>
  <c r="AF29"/>
  <c r="Y29" s="1"/>
  <c r="AJ29"/>
  <c r="AF30"/>
  <c r="Y30" s="1"/>
  <c r="AJ30"/>
  <c r="AG31"/>
  <c r="AI31" s="1"/>
  <c r="AF31" s="1"/>
  <c r="Y31" s="1"/>
  <c r="AF32"/>
  <c r="Y32" s="1"/>
  <c r="AJ32"/>
  <c r="AJ33"/>
  <c r="AF33" s="1"/>
  <c r="Y33" s="1"/>
  <c r="AJ34"/>
  <c r="AF35"/>
  <c r="Y35" s="1"/>
  <c r="AJ35"/>
  <c r="AF36"/>
  <c r="Y36" s="1"/>
  <c r="AJ36"/>
  <c r="AG37"/>
  <c r="AI37" s="1"/>
  <c r="AF37" s="1"/>
  <c r="Y37" s="1"/>
  <c r="AF38"/>
  <c r="Y38" s="1"/>
  <c r="AJ38"/>
  <c r="AF39"/>
  <c r="Y39" s="1"/>
  <c r="AJ39"/>
  <c r="AF40"/>
  <c r="Y40" s="1"/>
  <c r="AJ40"/>
  <c r="AF41"/>
  <c r="Y41" s="1"/>
  <c r="AJ41"/>
  <c r="AF42"/>
  <c r="Y42" s="1"/>
  <c r="AJ42"/>
  <c r="AG43"/>
  <c r="AI43" s="1"/>
  <c r="AF43" s="1"/>
  <c r="Y43" s="1"/>
  <c r="AJ44"/>
  <c r="AF44" s="1"/>
  <c r="Y44" s="1"/>
  <c r="AF45"/>
  <c r="Y45" s="1"/>
  <c r="AJ45"/>
  <c r="AF46"/>
  <c r="Y46" s="1"/>
  <c r="AJ46"/>
  <c r="AF47"/>
  <c r="Y47" s="1"/>
  <c r="AJ47"/>
  <c r="AF48"/>
  <c r="Y48" s="1"/>
  <c r="AJ48"/>
  <c r="AG49"/>
  <c r="AI49" s="1"/>
  <c r="AF49" s="1"/>
  <c r="Y49" s="1"/>
  <c r="AJ50"/>
  <c r="AF50" s="1"/>
  <c r="Y50" s="1"/>
  <c r="AF51"/>
  <c r="Y51" s="1"/>
  <c r="AJ51"/>
  <c r="AF52"/>
  <c r="Y52" s="1"/>
  <c r="AJ52"/>
  <c r="AF53"/>
  <c r="Y53" s="1"/>
  <c r="AJ53"/>
  <c r="AJ54"/>
  <c r="AF54" s="1"/>
  <c r="Y54" s="1"/>
  <c r="AF59"/>
  <c r="Y59" s="1"/>
  <c r="AJ59"/>
  <c r="AF60"/>
  <c r="Y60" s="1"/>
  <c r="AJ60"/>
  <c r="AJ61"/>
  <c r="AF62"/>
  <c r="Y62" s="1"/>
  <c r="AJ62"/>
  <c r="AF63"/>
  <c r="Y63" s="1"/>
  <c r="AJ63"/>
  <c r="AJ64"/>
  <c r="AF64" s="1"/>
  <c r="Y64" s="1"/>
  <c r="AF65"/>
  <c r="Y65" s="1"/>
  <c r="AJ65"/>
  <c r="AF66"/>
  <c r="Y66" s="1"/>
  <c r="AJ66"/>
  <c r="AG70"/>
  <c r="AI70" s="1"/>
  <c r="AF70" s="1"/>
  <c r="Y70" s="1"/>
  <c r="AF71"/>
  <c r="Y71" s="1"/>
  <c r="AJ71"/>
  <c r="AG72"/>
  <c r="AI72" s="1"/>
  <c r="AF72" s="1"/>
  <c r="Y72" s="1"/>
  <c r="AF73"/>
  <c r="Y73" s="1"/>
  <c r="AJ73"/>
  <c r="AF77"/>
  <c r="Y77" s="1"/>
  <c r="AJ77"/>
  <c r="AG78"/>
  <c r="AI78" s="1"/>
  <c r="AF78" s="1"/>
  <c r="Y78" s="1"/>
  <c r="AG82"/>
  <c r="AI82" s="1"/>
  <c r="AF82" s="1"/>
  <c r="Y82" s="1"/>
  <c r="AG86"/>
  <c r="AI86" s="1"/>
  <c r="AF86" s="1"/>
  <c r="Y86" s="1"/>
  <c r="AJ8" i="49"/>
  <c r="AF8" s="1"/>
  <c r="AJ9"/>
  <c r="AF9" s="1"/>
  <c r="Y9" s="1"/>
  <c r="AJ10"/>
  <c r="AF10" s="1"/>
  <c r="Y10" s="1"/>
  <c r="AF11"/>
  <c r="Y11" s="1"/>
  <c r="AJ11"/>
  <c r="AJ12"/>
  <c r="AF12" s="1"/>
  <c r="Y12" s="1"/>
  <c r="AF14"/>
  <c r="Y14" s="1"/>
  <c r="AJ14"/>
  <c r="AJ15"/>
  <c r="AF15" s="1"/>
  <c r="Y15" s="1"/>
  <c r="AF16"/>
  <c r="Y16" s="1"/>
  <c r="AJ16"/>
  <c r="AJ17"/>
  <c r="AF17" s="1"/>
  <c r="Y17" s="1"/>
  <c r="AF18"/>
  <c r="Y18" s="1"/>
  <c r="AJ18"/>
  <c r="AF20"/>
  <c r="Y20" s="1"/>
  <c r="AJ20"/>
  <c r="AF21"/>
  <c r="Y21" s="1"/>
  <c r="AJ21"/>
  <c r="AF22"/>
  <c r="Y22" s="1"/>
  <c r="AJ22"/>
  <c r="AF23"/>
  <c r="Y23" s="1"/>
  <c r="AJ23"/>
  <c r="AF24"/>
  <c r="Y24" s="1"/>
  <c r="AJ24"/>
  <c r="AF26"/>
  <c r="Y26" s="1"/>
  <c r="AJ26"/>
  <c r="AJ27"/>
  <c r="AF27" s="1"/>
  <c r="Y27" s="1"/>
  <c r="AF28"/>
  <c r="Y28" s="1"/>
  <c r="AJ28"/>
  <c r="AF29"/>
  <c r="Y29" s="1"/>
  <c r="AJ29"/>
  <c r="AF30"/>
  <c r="Y30" s="1"/>
  <c r="AJ30"/>
  <c r="AJ32"/>
  <c r="AF33"/>
  <c r="Y33" s="1"/>
  <c r="AJ33"/>
  <c r="AJ34"/>
  <c r="AJ35"/>
  <c r="AF35" s="1"/>
  <c r="Y35" s="1"/>
  <c r="AF36"/>
  <c r="Y36" s="1"/>
  <c r="AJ36"/>
  <c r="AJ38"/>
  <c r="AF38" s="1"/>
  <c r="Y38" s="1"/>
  <c r="AF39"/>
  <c r="Y39" s="1"/>
  <c r="AJ39"/>
  <c r="AF40"/>
  <c r="Y40" s="1"/>
  <c r="AJ40"/>
  <c r="AF41"/>
  <c r="Y41" s="1"/>
  <c r="AJ41"/>
  <c r="AF42"/>
  <c r="Y42" s="1"/>
  <c r="AJ42"/>
  <c r="AF44"/>
  <c r="Y44" s="1"/>
  <c r="AJ44"/>
  <c r="AF45"/>
  <c r="Y45" s="1"/>
  <c r="AJ45"/>
  <c r="AJ46"/>
  <c r="AF46" s="1"/>
  <c r="Y46" s="1"/>
  <c r="AF47"/>
  <c r="Y47" s="1"/>
  <c r="AJ47"/>
  <c r="AF48"/>
  <c r="Y48" s="1"/>
  <c r="AJ48"/>
  <c r="AF50"/>
  <c r="Y50" s="1"/>
  <c r="AJ50"/>
  <c r="AJ51"/>
  <c r="AF51" s="1"/>
  <c r="Y51" s="1"/>
  <c r="AF52"/>
  <c r="Y52" s="1"/>
  <c r="AJ52"/>
  <c r="AF53"/>
  <c r="Y53" s="1"/>
  <c r="AJ53"/>
  <c r="AJ54"/>
  <c r="AF54" s="1"/>
  <c r="Y54" s="1"/>
  <c r="AJ59"/>
  <c r="AF59" s="1"/>
  <c r="Y59" s="1"/>
  <c r="AJ60"/>
  <c r="AF60" s="1"/>
  <c r="Y60" s="1"/>
  <c r="AF61"/>
  <c r="Y61" s="1"/>
  <c r="AJ61"/>
  <c r="AF62"/>
  <c r="Y62" s="1"/>
  <c r="AJ62"/>
  <c r="AJ63"/>
  <c r="AF63" s="1"/>
  <c r="Y63" s="1"/>
  <c r="AF64"/>
  <c r="Y64" s="1"/>
  <c r="AJ64"/>
  <c r="AF65"/>
  <c r="Y65" s="1"/>
  <c r="AJ65"/>
  <c r="AF66"/>
  <c r="Y66" s="1"/>
  <c r="AJ66"/>
  <c r="AJ71"/>
  <c r="AF71" s="1"/>
  <c r="Y71" s="1"/>
  <c r="AJ73"/>
  <c r="AF73" s="1"/>
  <c r="Y73" s="1"/>
  <c r="AF77"/>
  <c r="Y77" s="1"/>
  <c r="AJ77"/>
  <c r="AJ13" i="50"/>
  <c r="AJ19"/>
  <c r="AF19" s="1"/>
  <c r="Y19" s="1"/>
  <c r="AF25"/>
  <c r="Y25" s="1"/>
  <c r="AJ25"/>
  <c r="AJ31"/>
  <c r="AF31" s="1"/>
  <c r="Y31" s="1"/>
  <c r="AF37"/>
  <c r="Y37" s="1"/>
  <c r="AJ37"/>
  <c r="AF43"/>
  <c r="Y43" s="1"/>
  <c r="AJ43"/>
  <c r="AK70" i="52"/>
  <c r="AG70"/>
  <c r="AI70" s="1"/>
  <c r="AK72"/>
  <c r="AG72"/>
  <c r="AI72" s="1"/>
  <c r="AK78"/>
  <c r="AG78"/>
  <c r="AI78" s="1"/>
  <c r="AK82"/>
  <c r="AG82"/>
  <c r="AI82" s="1"/>
  <c r="AK86"/>
  <c r="AG86"/>
  <c r="AI86" s="1"/>
  <c r="AJ8" i="50"/>
  <c r="AF8" s="1"/>
  <c r="AJ9"/>
  <c r="AF9" s="1"/>
  <c r="Y9" s="1"/>
  <c r="AJ10"/>
  <c r="AF10" s="1"/>
  <c r="Y10" s="1"/>
  <c r="AF11"/>
  <c r="Y11" s="1"/>
  <c r="AJ11"/>
  <c r="AF12"/>
  <c r="Y12" s="1"/>
  <c r="AJ12"/>
  <c r="AJ14"/>
  <c r="AF14" s="1"/>
  <c r="Y14" s="1"/>
  <c r="AJ15"/>
  <c r="AF15" s="1"/>
  <c r="Y15" s="1"/>
  <c r="AJ16"/>
  <c r="AF16" s="1"/>
  <c r="Y16" s="1"/>
  <c r="AJ17"/>
  <c r="AJ18"/>
  <c r="AF18" s="1"/>
  <c r="Y18" s="1"/>
  <c r="AJ20"/>
  <c r="AF20" s="1"/>
  <c r="Y20" s="1"/>
  <c r="AF21"/>
  <c r="Y21" s="1"/>
  <c r="AJ21"/>
  <c r="AF22"/>
  <c r="Y22" s="1"/>
  <c r="AJ22"/>
  <c r="AF23"/>
  <c r="Y23" s="1"/>
  <c r="AJ23"/>
  <c r="AF24"/>
  <c r="Y24" s="1"/>
  <c r="AJ24"/>
  <c r="AF26"/>
  <c r="Y26" s="1"/>
  <c r="AJ26"/>
  <c r="AF27"/>
  <c r="Y27" s="1"/>
  <c r="AJ27"/>
  <c r="AF28"/>
  <c r="Y28" s="1"/>
  <c r="AJ28"/>
  <c r="AF29"/>
  <c r="Y29" s="1"/>
  <c r="AJ29"/>
  <c r="AF30"/>
  <c r="Y30" s="1"/>
  <c r="AJ30"/>
  <c r="AF32"/>
  <c r="Y32" s="1"/>
  <c r="AJ32"/>
  <c r="AF33"/>
  <c r="Y33" s="1"/>
  <c r="AJ33"/>
  <c r="AF34"/>
  <c r="Y34" s="1"/>
  <c r="AJ34"/>
  <c r="AF35"/>
  <c r="Y35" s="1"/>
  <c r="AJ35"/>
  <c r="AF36"/>
  <c r="Y36" s="1"/>
  <c r="AJ36"/>
  <c r="AJ38"/>
  <c r="AF38" s="1"/>
  <c r="Y38" s="1"/>
  <c r="AF39"/>
  <c r="Y39" s="1"/>
  <c r="AJ39"/>
  <c r="AJ40"/>
  <c r="AF40" s="1"/>
  <c r="Y40" s="1"/>
  <c r="AF41"/>
  <c r="Y41" s="1"/>
  <c r="AJ41"/>
  <c r="AJ42"/>
  <c r="AF42" s="1"/>
  <c r="Y42" s="1"/>
  <c r="AF44"/>
  <c r="Y44" s="1"/>
  <c r="AJ44"/>
  <c r="AJ45"/>
  <c r="AF45" s="1"/>
  <c r="Y45" s="1"/>
  <c r="AJ46"/>
  <c r="AF46" s="1"/>
  <c r="Y46" s="1"/>
  <c r="AH47"/>
  <c r="AI47" s="1"/>
  <c r="AJ47"/>
  <c r="AH48"/>
  <c r="AI48" s="1"/>
  <c r="AJ48"/>
  <c r="AG49"/>
  <c r="AI49" s="1"/>
  <c r="AK49"/>
  <c r="AH50"/>
  <c r="AJ50"/>
  <c r="AH51"/>
  <c r="AI51" s="1"/>
  <c r="AF51" s="1"/>
  <c r="Y51" s="1"/>
  <c r="AJ51"/>
  <c r="AH52"/>
  <c r="AI52" s="1"/>
  <c r="AJ52"/>
  <c r="AH53"/>
  <c r="AI53" s="1"/>
  <c r="AJ53"/>
  <c r="AH54"/>
  <c r="AI54" s="1"/>
  <c r="AJ54"/>
  <c r="AG55"/>
  <c r="AI55" s="1"/>
  <c r="AK55"/>
  <c r="AH59"/>
  <c r="AI59" s="1"/>
  <c r="AJ59"/>
  <c r="AH60"/>
  <c r="AI60" s="1"/>
  <c r="AJ60"/>
  <c r="AH61"/>
  <c r="AI61" s="1"/>
  <c r="AJ61"/>
  <c r="AH62"/>
  <c r="AI62" s="1"/>
  <c r="AJ62"/>
  <c r="AH63"/>
  <c r="AI63" s="1"/>
  <c r="AF63" s="1"/>
  <c r="Y63" s="1"/>
  <c r="AJ63"/>
  <c r="AH64"/>
  <c r="AI64" s="1"/>
  <c r="AJ64"/>
  <c r="AH65"/>
  <c r="AI65" s="1"/>
  <c r="AJ65"/>
  <c r="AH66"/>
  <c r="AI66" s="1"/>
  <c r="AJ66"/>
  <c r="AG70"/>
  <c r="AI70" s="1"/>
  <c r="AK70"/>
  <c r="AH71"/>
  <c r="AI71" s="1"/>
  <c r="AF71" s="1"/>
  <c r="Y71" s="1"/>
  <c r="AJ71"/>
  <c r="AG72"/>
  <c r="AI72" s="1"/>
  <c r="AK72"/>
  <c r="AH73"/>
  <c r="AI73" s="1"/>
  <c r="AJ73"/>
  <c r="AF73" s="1"/>
  <c r="Y73" s="1"/>
  <c r="AH77"/>
  <c r="AI77" s="1"/>
  <c r="AJ77"/>
  <c r="AG78"/>
  <c r="AI78" s="1"/>
  <c r="AK78"/>
  <c r="AG82"/>
  <c r="AI82" s="1"/>
  <c r="AK82"/>
  <c r="AG86"/>
  <c r="AI86" s="1"/>
  <c r="AK86"/>
  <c r="AH8" i="51"/>
  <c r="AI8" s="1"/>
  <c r="AJ8"/>
  <c r="AH9"/>
  <c r="AI9" s="1"/>
  <c r="AF9" s="1"/>
  <c r="Y9" s="1"/>
  <c r="AJ9"/>
  <c r="AH10"/>
  <c r="AI10" s="1"/>
  <c r="AJ10"/>
  <c r="AH11"/>
  <c r="AI11" s="1"/>
  <c r="AJ11"/>
  <c r="AH12"/>
  <c r="AI12" s="1"/>
  <c r="AF12" s="1"/>
  <c r="Y12" s="1"/>
  <c r="AJ12"/>
  <c r="AG13"/>
  <c r="AI13" s="1"/>
  <c r="AK13"/>
  <c r="AH14"/>
  <c r="AI14" s="1"/>
  <c r="AF14" s="1"/>
  <c r="Y14" s="1"/>
  <c r="AJ14"/>
  <c r="AH15"/>
  <c r="AI15" s="1"/>
  <c r="AF15" s="1"/>
  <c r="Y15" s="1"/>
  <c r="AJ15"/>
  <c r="AH16"/>
  <c r="AI16" s="1"/>
  <c r="AF16" s="1"/>
  <c r="Y16" s="1"/>
  <c r="AJ16"/>
  <c r="AH17"/>
  <c r="AI17" s="1"/>
  <c r="AJ17"/>
  <c r="AH18"/>
  <c r="AI18" s="1"/>
  <c r="AF18" s="1"/>
  <c r="Y18" s="1"/>
  <c r="AJ18"/>
  <c r="AG19"/>
  <c r="AI19" s="1"/>
  <c r="AK19"/>
  <c r="AH20"/>
  <c r="AI20" s="1"/>
  <c r="AF20" s="1"/>
  <c r="Y20" s="1"/>
  <c r="AJ20"/>
  <c r="AH21"/>
  <c r="AI21" s="1"/>
  <c r="AF21" s="1"/>
  <c r="Y21" s="1"/>
  <c r="AJ21"/>
  <c r="AF22"/>
  <c r="Y22" s="1"/>
  <c r="AH22"/>
  <c r="AI22" s="1"/>
  <c r="AJ22"/>
  <c r="AH23"/>
  <c r="AI23" s="1"/>
  <c r="AJ23"/>
  <c r="AH24"/>
  <c r="AI24" s="1"/>
  <c r="AJ24"/>
  <c r="AG25"/>
  <c r="AI25" s="1"/>
  <c r="AK25"/>
  <c r="AH26"/>
  <c r="AI26" s="1"/>
  <c r="AJ26"/>
  <c r="AH27"/>
  <c r="AI27" s="1"/>
  <c r="AJ27"/>
  <c r="AF27" s="1"/>
  <c r="Y27" s="1"/>
  <c r="AH28"/>
  <c r="AI28" s="1"/>
  <c r="AJ28"/>
  <c r="AH29"/>
  <c r="AI29" s="1"/>
  <c r="AJ29"/>
  <c r="AH30"/>
  <c r="AI30" s="1"/>
  <c r="AJ30"/>
  <c r="AG31"/>
  <c r="AI31" s="1"/>
  <c r="AK31"/>
  <c r="AH32"/>
  <c r="AI32" s="1"/>
  <c r="AJ32"/>
  <c r="AH33"/>
  <c r="AI33" s="1"/>
  <c r="AJ33"/>
  <c r="AH34"/>
  <c r="AI34" s="1"/>
  <c r="AJ34"/>
  <c r="AH35"/>
  <c r="AI35" s="1"/>
  <c r="AJ35"/>
  <c r="AH36"/>
  <c r="AJ36"/>
  <c r="AG37"/>
  <c r="AI37" s="1"/>
  <c r="AK37"/>
  <c r="AH38"/>
  <c r="AI38" s="1"/>
  <c r="AJ38"/>
  <c r="AH39"/>
  <c r="AI39" s="1"/>
  <c r="AJ39"/>
  <c r="AH40"/>
  <c r="AI40" s="1"/>
  <c r="AJ40"/>
  <c r="AH41"/>
  <c r="AI41" s="1"/>
  <c r="AJ41"/>
  <c r="AH42"/>
  <c r="AI42" s="1"/>
  <c r="AJ42"/>
  <c r="AG43"/>
  <c r="AI43" s="1"/>
  <c r="AK43"/>
  <c r="AH44"/>
  <c r="AI44" s="1"/>
  <c r="AJ44"/>
  <c r="AF44" s="1"/>
  <c r="Y44" s="1"/>
  <c r="AH45"/>
  <c r="AI45" s="1"/>
  <c r="AF45" s="1"/>
  <c r="Y45" s="1"/>
  <c r="AJ45"/>
  <c r="AH46"/>
  <c r="AI46" s="1"/>
  <c r="AF46" s="1"/>
  <c r="Y46" s="1"/>
  <c r="AJ46"/>
  <c r="AH47"/>
  <c r="AI47" s="1"/>
  <c r="AF47" s="1"/>
  <c r="Y47" s="1"/>
  <c r="AJ47"/>
  <c r="AH48"/>
  <c r="AI48" s="1"/>
  <c r="AF48" s="1"/>
  <c r="Y48" s="1"/>
  <c r="AJ48"/>
  <c r="AG49"/>
  <c r="AI49" s="1"/>
  <c r="AK49"/>
  <c r="AH50"/>
  <c r="AI50" s="1"/>
  <c r="AJ50"/>
  <c r="AH51"/>
  <c r="AI51" s="1"/>
  <c r="AF51" s="1"/>
  <c r="Y51" s="1"/>
  <c r="AJ51"/>
  <c r="AH52"/>
  <c r="AI52" s="1"/>
  <c r="AJ52"/>
  <c r="AF52" s="1"/>
  <c r="Y52" s="1"/>
  <c r="AH53"/>
  <c r="AI53" s="1"/>
  <c r="AF53" s="1"/>
  <c r="Y53" s="1"/>
  <c r="AJ53"/>
  <c r="AH54"/>
  <c r="AI54" s="1"/>
  <c r="AJ54"/>
  <c r="AG55"/>
  <c r="AI55" s="1"/>
  <c r="AK55"/>
  <c r="AH59"/>
  <c r="AI59" s="1"/>
  <c r="AJ59"/>
  <c r="AH60"/>
  <c r="AI60" s="1"/>
  <c r="AJ60"/>
  <c r="AH61"/>
  <c r="AI61" s="1"/>
  <c r="AJ61"/>
  <c r="AH62"/>
  <c r="AI62" s="1"/>
  <c r="AF62" s="1"/>
  <c r="Y62" s="1"/>
  <c r="AJ62"/>
  <c r="AH63"/>
  <c r="AI63" s="1"/>
  <c r="AF63" s="1"/>
  <c r="Y63" s="1"/>
  <c r="AJ63"/>
  <c r="AH64"/>
  <c r="AI64" s="1"/>
  <c r="AF64" s="1"/>
  <c r="Y64" s="1"/>
  <c r="AJ64"/>
  <c r="AH65"/>
  <c r="AI65" s="1"/>
  <c r="AJ65"/>
  <c r="AH66"/>
  <c r="AI66" s="1"/>
  <c r="AJ66"/>
  <c r="AF66" s="1"/>
  <c r="Y66" s="1"/>
  <c r="AG70"/>
  <c r="AI70" s="1"/>
  <c r="AK70"/>
  <c r="AH71"/>
  <c r="AI71" s="1"/>
  <c r="AJ71"/>
  <c r="AG72"/>
  <c r="AI72" s="1"/>
  <c r="AK72"/>
  <c r="AH73"/>
  <c r="AI73" s="1"/>
  <c r="AJ73"/>
  <c r="AH77"/>
  <c r="AI77" s="1"/>
  <c r="AJ77"/>
  <c r="AF77" s="1"/>
  <c r="Y77" s="1"/>
  <c r="AG78"/>
  <c r="AI78" s="1"/>
  <c r="AK78"/>
  <c r="AG82"/>
  <c r="AI82" s="1"/>
  <c r="AK82"/>
  <c r="AG86"/>
  <c r="AI86" s="1"/>
  <c r="AK86"/>
  <c r="AH8" i="52"/>
  <c r="AI8" s="1"/>
  <c r="AF8" s="1"/>
  <c r="AJ8"/>
  <c r="AH9"/>
  <c r="AI9" s="1"/>
  <c r="AF9" s="1"/>
  <c r="Y9" s="1"/>
  <c r="AJ9"/>
  <c r="AH10"/>
  <c r="AI10" s="1"/>
  <c r="AF10" s="1"/>
  <c r="Y10" s="1"/>
  <c r="AJ10"/>
  <c r="AH11"/>
  <c r="AI11" s="1"/>
  <c r="AF11" s="1"/>
  <c r="Y11" s="1"/>
  <c r="AJ11"/>
  <c r="AH12"/>
  <c r="AI12" s="1"/>
  <c r="AF12" s="1"/>
  <c r="Y12" s="1"/>
  <c r="AJ12"/>
  <c r="AG13"/>
  <c r="AI13" s="1"/>
  <c r="AK13"/>
  <c r="AH14"/>
  <c r="AI14" s="1"/>
  <c r="AF14" s="1"/>
  <c r="Y14" s="1"/>
  <c r="AJ14"/>
  <c r="AH15"/>
  <c r="AI15" s="1"/>
  <c r="AF15" s="1"/>
  <c r="Y15" s="1"/>
  <c r="AJ15"/>
  <c r="AH16"/>
  <c r="AI16" s="1"/>
  <c r="AJ16"/>
  <c r="AF16" s="1"/>
  <c r="Y16" s="1"/>
  <c r="AH17"/>
  <c r="AI17" s="1"/>
  <c r="AJ17"/>
  <c r="AF17" s="1"/>
  <c r="Y17" s="1"/>
  <c r="AH18"/>
  <c r="AI18" s="1"/>
  <c r="AJ18"/>
  <c r="AF18" s="1"/>
  <c r="Y18" s="1"/>
  <c r="AG19"/>
  <c r="AI19" s="1"/>
  <c r="AK19"/>
  <c r="AH20"/>
  <c r="AI20" s="1"/>
  <c r="AF20" s="1"/>
  <c r="Y20" s="1"/>
  <c r="AJ20"/>
  <c r="AH21"/>
  <c r="AJ21"/>
  <c r="AH22"/>
  <c r="AI22" s="1"/>
  <c r="AJ22"/>
  <c r="AH23"/>
  <c r="AI23" s="1"/>
  <c r="AJ23"/>
  <c r="AH24"/>
  <c r="AI24" s="1"/>
  <c r="AF24" s="1"/>
  <c r="Y24" s="1"/>
  <c r="AJ24"/>
  <c r="AG25"/>
  <c r="AI25" s="1"/>
  <c r="AK25"/>
  <c r="AH26"/>
  <c r="AI26" s="1"/>
  <c r="AF26" s="1"/>
  <c r="Y26" s="1"/>
  <c r="AJ26"/>
  <c r="AH27"/>
  <c r="AI27" s="1"/>
  <c r="AJ27"/>
  <c r="AF27" s="1"/>
  <c r="Y27" s="1"/>
  <c r="AH28"/>
  <c r="AI28" s="1"/>
  <c r="AF28" s="1"/>
  <c r="Y28" s="1"/>
  <c r="AJ28"/>
  <c r="AH29"/>
  <c r="AI29" s="1"/>
  <c r="AF29" s="1"/>
  <c r="Y29" s="1"/>
  <c r="AJ29"/>
  <c r="AH30"/>
  <c r="AI30" s="1"/>
  <c r="AJ30"/>
  <c r="AG31"/>
  <c r="AI31" s="1"/>
  <c r="AK31"/>
  <c r="AH32"/>
  <c r="AI32" s="1"/>
  <c r="AJ32"/>
  <c r="AF32" s="1"/>
  <c r="Y32" s="1"/>
  <c r="AH33"/>
  <c r="AI33" s="1"/>
  <c r="AF33" s="1"/>
  <c r="Y33" s="1"/>
  <c r="AJ33"/>
  <c r="AH34"/>
  <c r="AI34" s="1"/>
  <c r="AJ34"/>
  <c r="AF34" s="1"/>
  <c r="Y34" s="1"/>
  <c r="AH35"/>
  <c r="AI35" s="1"/>
  <c r="AJ35"/>
  <c r="AH36"/>
  <c r="AI36" s="1"/>
  <c r="AF36" s="1"/>
  <c r="Y36" s="1"/>
  <c r="AJ36"/>
  <c r="AG37"/>
  <c r="AI37" s="1"/>
  <c r="AK37"/>
  <c r="AH38"/>
  <c r="AI38" s="1"/>
  <c r="AF38" s="1"/>
  <c r="Y38" s="1"/>
  <c r="AJ38"/>
  <c r="AH39"/>
  <c r="AI39" s="1"/>
  <c r="AJ39"/>
  <c r="AF39" s="1"/>
  <c r="Y39" s="1"/>
  <c r="AH40"/>
  <c r="AI40" s="1"/>
  <c r="AJ40"/>
  <c r="AH41"/>
  <c r="AI41" s="1"/>
  <c r="AF41" s="1"/>
  <c r="Y41" s="1"/>
  <c r="AJ41"/>
  <c r="AH42"/>
  <c r="AI42" s="1"/>
  <c r="AJ42"/>
  <c r="AG43"/>
  <c r="AI43" s="1"/>
  <c r="AK43"/>
  <c r="AH44"/>
  <c r="AI44" s="1"/>
  <c r="AJ44"/>
  <c r="AF44" s="1"/>
  <c r="Y44" s="1"/>
  <c r="AH45"/>
  <c r="AI45" s="1"/>
  <c r="AJ45"/>
  <c r="AH46"/>
  <c r="AI46" s="1"/>
  <c r="AJ46"/>
  <c r="AF46" s="1"/>
  <c r="Y46" s="1"/>
  <c r="AH47"/>
  <c r="AI47" s="1"/>
  <c r="AF47" s="1"/>
  <c r="Y47" s="1"/>
  <c r="AJ47"/>
  <c r="AL48"/>
  <c r="AH48"/>
  <c r="AI48" s="1"/>
  <c r="AJ48"/>
  <c r="AL51"/>
  <c r="AK51"/>
  <c r="AL53"/>
  <c r="AK53"/>
  <c r="AF70"/>
  <c r="Y70" s="1"/>
  <c r="AJ70"/>
  <c r="AL71"/>
  <c r="AK71"/>
  <c r="AF72"/>
  <c r="Y72" s="1"/>
  <c r="AJ72"/>
  <c r="AL73"/>
  <c r="AK73"/>
  <c r="AL77"/>
  <c r="AK77"/>
  <c r="AF78"/>
  <c r="Y78" s="1"/>
  <c r="AJ78"/>
  <c r="AF82"/>
  <c r="Y82" s="1"/>
  <c r="AJ82"/>
  <c r="AJ86"/>
  <c r="AW89"/>
  <c r="AV90"/>
  <c r="AL9" i="53"/>
  <c r="AK9"/>
  <c r="AI19" i="54"/>
  <c r="AI25"/>
  <c r="AK49" i="52"/>
  <c r="AG49"/>
  <c r="AI49" s="1"/>
  <c r="AK55"/>
  <c r="AG55"/>
  <c r="AI55" s="1"/>
  <c r="AF49" i="50"/>
  <c r="Y49" s="1"/>
  <c r="AJ49"/>
  <c r="AJ55"/>
  <c r="AF55" s="1"/>
  <c r="Y55" s="1"/>
  <c r="AJ70"/>
  <c r="AF70" s="1"/>
  <c r="Y70" s="1"/>
  <c r="AJ72"/>
  <c r="AF72" s="1"/>
  <c r="Y72" s="1"/>
  <c r="AJ78"/>
  <c r="AF78" s="1"/>
  <c r="Y78" s="1"/>
  <c r="AF82"/>
  <c r="Y82" s="1"/>
  <c r="AJ82"/>
  <c r="AJ86"/>
  <c r="AF86" s="1"/>
  <c r="Y86" s="1"/>
  <c r="AF13" i="51"/>
  <c r="Y13" s="1"/>
  <c r="AJ13"/>
  <c r="AF19"/>
  <c r="Y19" s="1"/>
  <c r="AJ19"/>
  <c r="AF25"/>
  <c r="Y25" s="1"/>
  <c r="AJ25"/>
  <c r="AF31"/>
  <c r="Y31" s="1"/>
  <c r="AJ31"/>
  <c r="AF37"/>
  <c r="Y37" s="1"/>
  <c r="AJ37"/>
  <c r="AF43"/>
  <c r="Y43" s="1"/>
  <c r="AJ43"/>
  <c r="AF49"/>
  <c r="Y49" s="1"/>
  <c r="AJ49"/>
  <c r="AF55"/>
  <c r="Y55" s="1"/>
  <c r="AJ55"/>
  <c r="AJ70"/>
  <c r="AF70" s="1"/>
  <c r="Y70" s="1"/>
  <c r="AJ72"/>
  <c r="AF72" s="1"/>
  <c r="Y72" s="1"/>
  <c r="AF78"/>
  <c r="Y78" s="1"/>
  <c r="AJ78"/>
  <c r="AF82"/>
  <c r="Y82" s="1"/>
  <c r="AJ82"/>
  <c r="AJ86"/>
  <c r="AF13" i="52"/>
  <c r="Y13" s="1"/>
  <c r="AJ13"/>
  <c r="AF19"/>
  <c r="Y19" s="1"/>
  <c r="AJ19"/>
  <c r="AF25"/>
  <c r="Y25" s="1"/>
  <c r="AJ25"/>
  <c r="AF31"/>
  <c r="Y31" s="1"/>
  <c r="AJ31"/>
  <c r="AF37"/>
  <c r="Y37" s="1"/>
  <c r="AJ37"/>
  <c r="AJ43"/>
  <c r="AF43" s="1"/>
  <c r="Y43" s="1"/>
  <c r="AF49"/>
  <c r="Y49" s="1"/>
  <c r="AJ49"/>
  <c r="AF55"/>
  <c r="Y55" s="1"/>
  <c r="AJ55"/>
  <c r="AI55" i="53"/>
  <c r="AI60"/>
  <c r="AF50" i="52"/>
  <c r="Y50" s="1"/>
  <c r="AJ50"/>
  <c r="AF51"/>
  <c r="Y51" s="1"/>
  <c r="AJ51"/>
  <c r="AJ52"/>
  <c r="AF52" s="1"/>
  <c r="Y52" s="1"/>
  <c r="AJ53"/>
  <c r="AF53" s="1"/>
  <c r="Y53" s="1"/>
  <c r="AF54"/>
  <c r="Y54" s="1"/>
  <c r="AJ54"/>
  <c r="AF59"/>
  <c r="Y59" s="1"/>
  <c r="AJ59"/>
  <c r="AJ60"/>
  <c r="AF60" s="1"/>
  <c r="Y60" s="1"/>
  <c r="AJ61"/>
  <c r="AF61" s="1"/>
  <c r="Y61" s="1"/>
  <c r="AF62"/>
  <c r="Y62" s="1"/>
  <c r="AJ62"/>
  <c r="AF63"/>
  <c r="Y63" s="1"/>
  <c r="AJ63"/>
  <c r="AF64"/>
  <c r="Y64" s="1"/>
  <c r="AJ64"/>
  <c r="AJ65"/>
  <c r="AF66"/>
  <c r="Y66" s="1"/>
  <c r="AJ66"/>
  <c r="AJ71"/>
  <c r="AF71" s="1"/>
  <c r="Y71" s="1"/>
  <c r="AF73"/>
  <c r="Y73" s="1"/>
  <c r="AJ73"/>
  <c r="AF77"/>
  <c r="Y77" s="1"/>
  <c r="AJ77"/>
  <c r="AJ8" i="53"/>
  <c r="AF8" s="1"/>
  <c r="AJ9"/>
  <c r="AH10"/>
  <c r="AI10" s="1"/>
  <c r="AJ10"/>
  <c r="AH11"/>
  <c r="AI11" s="1"/>
  <c r="AF11" s="1"/>
  <c r="Y11" s="1"/>
  <c r="AJ11"/>
  <c r="AH12"/>
  <c r="AI12" s="1"/>
  <c r="AF12" s="1"/>
  <c r="Y12" s="1"/>
  <c r="AJ12"/>
  <c r="AG13"/>
  <c r="AI13" s="1"/>
  <c r="AF13" s="1"/>
  <c r="Y13" s="1"/>
  <c r="AK13"/>
  <c r="AH14"/>
  <c r="AI14" s="1"/>
  <c r="AF14" s="1"/>
  <c r="Y14" s="1"/>
  <c r="AJ14"/>
  <c r="AH15"/>
  <c r="AI15" s="1"/>
  <c r="AF15" s="1"/>
  <c r="Y15" s="1"/>
  <c r="AJ15"/>
  <c r="AH16"/>
  <c r="AI16" s="1"/>
  <c r="AJ16"/>
  <c r="AF16" s="1"/>
  <c r="Y16" s="1"/>
  <c r="AH17"/>
  <c r="AI17" s="1"/>
  <c r="AJ17"/>
  <c r="AH18"/>
  <c r="AI18" s="1"/>
  <c r="AF18" s="1"/>
  <c r="Y18" s="1"/>
  <c r="AJ18"/>
  <c r="AG19"/>
  <c r="AI19" s="1"/>
  <c r="AK19"/>
  <c r="AH20"/>
  <c r="AI20" s="1"/>
  <c r="AJ20"/>
  <c r="AF20" s="1"/>
  <c r="Y20" s="1"/>
  <c r="AH21"/>
  <c r="AJ21"/>
  <c r="AF22"/>
  <c r="Y22" s="1"/>
  <c r="AH22"/>
  <c r="AI22" s="1"/>
  <c r="AJ22"/>
  <c r="AH23"/>
  <c r="AI23" s="1"/>
  <c r="AJ23"/>
  <c r="AF23" s="1"/>
  <c r="Y23" s="1"/>
  <c r="AH24"/>
  <c r="AI24" s="1"/>
  <c r="AJ24"/>
  <c r="AG25"/>
  <c r="AI25" s="1"/>
  <c r="AK25"/>
  <c r="AH26"/>
  <c r="AI26" s="1"/>
  <c r="AJ26"/>
  <c r="AH27"/>
  <c r="AI27" s="1"/>
  <c r="AJ27"/>
  <c r="AF27" s="1"/>
  <c r="Y27" s="1"/>
  <c r="AH28"/>
  <c r="AI28" s="1"/>
  <c r="AJ28"/>
  <c r="AH29"/>
  <c r="AI29" s="1"/>
  <c r="AF29" s="1"/>
  <c r="Y29" s="1"/>
  <c r="AJ29"/>
  <c r="AH30"/>
  <c r="AJ30"/>
  <c r="AG31"/>
  <c r="AI31" s="1"/>
  <c r="AK31"/>
  <c r="AH32"/>
  <c r="AI32" s="1"/>
  <c r="AJ32"/>
  <c r="AF32" s="1"/>
  <c r="Y32" s="1"/>
  <c r="AH33"/>
  <c r="AI33" s="1"/>
  <c r="AJ33"/>
  <c r="AH34"/>
  <c r="AI34" s="1"/>
  <c r="AJ34"/>
  <c r="AF34" s="1"/>
  <c r="Y34" s="1"/>
  <c r="AH35"/>
  <c r="AI35" s="1"/>
  <c r="AF35" s="1"/>
  <c r="Y35" s="1"/>
  <c r="AJ35"/>
  <c r="AH36"/>
  <c r="AI36" s="1"/>
  <c r="AF36" s="1"/>
  <c r="Y36" s="1"/>
  <c r="AJ36"/>
  <c r="AG37"/>
  <c r="AI37" s="1"/>
  <c r="AK37"/>
  <c r="AH38"/>
  <c r="AI38" s="1"/>
  <c r="AF38" s="1"/>
  <c r="Y38" s="1"/>
  <c r="AJ38"/>
  <c r="AH39"/>
  <c r="AI39" s="1"/>
  <c r="AJ39"/>
  <c r="AF39" s="1"/>
  <c r="Y39" s="1"/>
  <c r="AH40"/>
  <c r="AI40" s="1"/>
  <c r="AF40" s="1"/>
  <c r="Y40" s="1"/>
  <c r="AJ40"/>
  <c r="AH41"/>
  <c r="AI41" s="1"/>
  <c r="AJ41"/>
  <c r="AH42"/>
  <c r="AI42" s="1"/>
  <c r="AJ42"/>
  <c r="AF42" s="1"/>
  <c r="Y42" s="1"/>
  <c r="AG43"/>
  <c r="AI43" s="1"/>
  <c r="AK43"/>
  <c r="AH44"/>
  <c r="AI44" s="1"/>
  <c r="AJ44"/>
  <c r="AF44" s="1"/>
  <c r="Y44" s="1"/>
  <c r="AH45"/>
  <c r="AI45" s="1"/>
  <c r="AF45" s="1"/>
  <c r="Y45" s="1"/>
  <c r="AJ45"/>
  <c r="AH46"/>
  <c r="AI46" s="1"/>
  <c r="AJ46"/>
  <c r="AH47"/>
  <c r="AI47" s="1"/>
  <c r="AF47" s="1"/>
  <c r="Y47" s="1"/>
  <c r="AJ47"/>
  <c r="AH48"/>
  <c r="AI48" s="1"/>
  <c r="AJ48"/>
  <c r="AF48" s="1"/>
  <c r="Y48" s="1"/>
  <c r="AG49"/>
  <c r="AI49" s="1"/>
  <c r="AK49"/>
  <c r="AH50"/>
  <c r="AI50" s="1"/>
  <c r="AJ50"/>
  <c r="AH51"/>
  <c r="AI51" s="1"/>
  <c r="AF51" s="1"/>
  <c r="Y51" s="1"/>
  <c r="AJ51"/>
  <c r="AH52"/>
  <c r="AJ52"/>
  <c r="AH53"/>
  <c r="AI53" s="1"/>
  <c r="AF53" s="1"/>
  <c r="Y53" s="1"/>
  <c r="AJ53"/>
  <c r="AJ54"/>
  <c r="AL54"/>
  <c r="AK55"/>
  <c r="AJ59"/>
  <c r="AL59"/>
  <c r="AJ60"/>
  <c r="AF60" s="1"/>
  <c r="Y60" s="1"/>
  <c r="AL60"/>
  <c r="AH61"/>
  <c r="AI61" s="1"/>
  <c r="AJ61"/>
  <c r="AH62"/>
  <c r="AI62" s="1"/>
  <c r="AF62" s="1"/>
  <c r="Y62" s="1"/>
  <c r="AJ62"/>
  <c r="AH63"/>
  <c r="AI63" s="1"/>
  <c r="AJ63"/>
  <c r="AH64"/>
  <c r="AI64" s="1"/>
  <c r="AF64" s="1"/>
  <c r="Y64" s="1"/>
  <c r="AJ64"/>
  <c r="AH65"/>
  <c r="AI65" s="1"/>
  <c r="AJ65"/>
  <c r="AH66"/>
  <c r="AI66" s="1"/>
  <c r="AJ66"/>
  <c r="AG70"/>
  <c r="AI70" s="1"/>
  <c r="AK70"/>
  <c r="AH71"/>
  <c r="AI71" s="1"/>
  <c r="AJ71"/>
  <c r="AG72"/>
  <c r="AI72" s="1"/>
  <c r="AK72"/>
  <c r="AH73"/>
  <c r="AI73" s="1"/>
  <c r="AJ73"/>
  <c r="AF73" s="1"/>
  <c r="Y73" s="1"/>
  <c r="AH77"/>
  <c r="AI77" s="1"/>
  <c r="AF77" s="1"/>
  <c r="Y77" s="1"/>
  <c r="AJ77"/>
  <c r="AG78"/>
  <c r="AI78" s="1"/>
  <c r="AK78"/>
  <c r="AG82"/>
  <c r="AI82" s="1"/>
  <c r="AK82"/>
  <c r="AG86"/>
  <c r="AI86" s="1"/>
  <c r="AK86"/>
  <c r="AH8" i="54"/>
  <c r="AI8" s="1"/>
  <c r="AJ8"/>
  <c r="AH9"/>
  <c r="AI9" s="1"/>
  <c r="AJ9"/>
  <c r="AJ10"/>
  <c r="AL10"/>
  <c r="AJ11"/>
  <c r="AL11"/>
  <c r="AJ12"/>
  <c r="AL12"/>
  <c r="AK13"/>
  <c r="AJ14"/>
  <c r="AL14"/>
  <c r="AJ15"/>
  <c r="AL15"/>
  <c r="AJ16"/>
  <c r="AL16"/>
  <c r="AJ17"/>
  <c r="AL17"/>
  <c r="AF17" s="1"/>
  <c r="Y17" s="1"/>
  <c r="AJ18"/>
  <c r="AL18"/>
  <c r="AK19"/>
  <c r="AJ20"/>
  <c r="AL20"/>
  <c r="AJ21"/>
  <c r="AL21"/>
  <c r="AJ22"/>
  <c r="AL22"/>
  <c r="AJ23"/>
  <c r="AL23"/>
  <c r="AJ24"/>
  <c r="AL24"/>
  <c r="AK25"/>
  <c r="AJ26"/>
  <c r="AL26"/>
  <c r="AJ27"/>
  <c r="AL27"/>
  <c r="AJ28"/>
  <c r="AL28"/>
  <c r="AJ29"/>
  <c r="AL29"/>
  <c r="AJ30"/>
  <c r="AI9" i="55"/>
  <c r="AI11"/>
  <c r="AK31" i="54"/>
  <c r="AG31"/>
  <c r="AI31" s="1"/>
  <c r="AJ13" i="53"/>
  <c r="AF19"/>
  <c r="Y19" s="1"/>
  <c r="AJ19"/>
  <c r="AJ25"/>
  <c r="AF25" s="1"/>
  <c r="Y25" s="1"/>
  <c r="AF31"/>
  <c r="Y31" s="1"/>
  <c r="AJ31"/>
  <c r="AF37"/>
  <c r="Y37" s="1"/>
  <c r="AJ37"/>
  <c r="AJ43"/>
  <c r="AF43" s="1"/>
  <c r="Y43" s="1"/>
  <c r="AJ49"/>
  <c r="AF49" s="1"/>
  <c r="Y49" s="1"/>
  <c r="AG54"/>
  <c r="AI54" s="1"/>
  <c r="AF54" s="1"/>
  <c r="Y54" s="1"/>
  <c r="AJ55"/>
  <c r="AF55" s="1"/>
  <c r="Y55" s="1"/>
  <c r="BB58"/>
  <c r="S3" s="1"/>
  <c r="H72" i="22" s="1"/>
  <c r="AG59" i="53"/>
  <c r="AI59" s="1"/>
  <c r="AF59" s="1"/>
  <c r="Y59" s="1"/>
  <c r="AF70"/>
  <c r="Y70" s="1"/>
  <c r="AJ70"/>
  <c r="AF72"/>
  <c r="Y72" s="1"/>
  <c r="AJ72"/>
  <c r="AF78"/>
  <c r="Y78" s="1"/>
  <c r="AJ78"/>
  <c r="AF82"/>
  <c r="Y82" s="1"/>
  <c r="AJ82"/>
  <c r="AJ86"/>
  <c r="AG10" i="54"/>
  <c r="AI10" s="1"/>
  <c r="AF10" s="1"/>
  <c r="Y10" s="1"/>
  <c r="AG11"/>
  <c r="AI11" s="1"/>
  <c r="AF11" s="1"/>
  <c r="Y11" s="1"/>
  <c r="AG12"/>
  <c r="AI12" s="1"/>
  <c r="AF12" s="1"/>
  <c r="Y12" s="1"/>
  <c r="AJ13"/>
  <c r="AF13" s="1"/>
  <c r="Y13" s="1"/>
  <c r="AG14"/>
  <c r="AI14" s="1"/>
  <c r="AF14" s="1"/>
  <c r="Y14" s="1"/>
  <c r="AG15"/>
  <c r="AI15" s="1"/>
  <c r="AF15" s="1"/>
  <c r="Y15" s="1"/>
  <c r="AG16"/>
  <c r="AI16" s="1"/>
  <c r="AF16" s="1"/>
  <c r="Y16" s="1"/>
  <c r="AG17"/>
  <c r="AI17" s="1"/>
  <c r="AG18"/>
  <c r="AI18" s="1"/>
  <c r="AF18" s="1"/>
  <c r="Y18" s="1"/>
  <c r="AF19"/>
  <c r="Y19" s="1"/>
  <c r="AJ19"/>
  <c r="AG20"/>
  <c r="AI20" s="1"/>
  <c r="AF20" s="1"/>
  <c r="Y20" s="1"/>
  <c r="AG21"/>
  <c r="AI21" s="1"/>
  <c r="AF21" s="1"/>
  <c r="Y21" s="1"/>
  <c r="AG22"/>
  <c r="AI22" s="1"/>
  <c r="AF22" s="1"/>
  <c r="Y22" s="1"/>
  <c r="AG23"/>
  <c r="AI23" s="1"/>
  <c r="AF23" s="1"/>
  <c r="Y23" s="1"/>
  <c r="AG24"/>
  <c r="AI24" s="1"/>
  <c r="AF24" s="1"/>
  <c r="Y24" s="1"/>
  <c r="AJ25"/>
  <c r="AF25" s="1"/>
  <c r="Y25" s="1"/>
  <c r="AG26"/>
  <c r="AI26" s="1"/>
  <c r="AF26" s="1"/>
  <c r="Y26" s="1"/>
  <c r="AG27"/>
  <c r="AI27" s="1"/>
  <c r="AG28"/>
  <c r="AI28" s="1"/>
  <c r="AF28" s="1"/>
  <c r="Y28" s="1"/>
  <c r="AG29"/>
  <c r="AI29" s="1"/>
  <c r="AF29" s="1"/>
  <c r="Y29" s="1"/>
  <c r="AG30"/>
  <c r="AI30" s="1"/>
  <c r="AF30" s="1"/>
  <c r="Y30" s="1"/>
  <c r="AK30"/>
  <c r="AF31"/>
  <c r="Y31" s="1"/>
  <c r="AJ31"/>
  <c r="AL32"/>
  <c r="AK32"/>
  <c r="AL34"/>
  <c r="AK34"/>
  <c r="AI36"/>
  <c r="AI38"/>
  <c r="AI40"/>
  <c r="AI42"/>
  <c r="AI44"/>
  <c r="AI46"/>
  <c r="AI48"/>
  <c r="AI50"/>
  <c r="AI62"/>
  <c r="AI64"/>
  <c r="AI66"/>
  <c r="AI71"/>
  <c r="AI73"/>
  <c r="AI8" i="55"/>
  <c r="AI10"/>
  <c r="AK35" i="54"/>
  <c r="AK36"/>
  <c r="AJ37"/>
  <c r="AL37"/>
  <c r="AK38"/>
  <c r="AK39"/>
  <c r="AK40"/>
  <c r="AK41"/>
  <c r="AK42"/>
  <c r="AJ43"/>
  <c r="AL43"/>
  <c r="AK44"/>
  <c r="AK45"/>
  <c r="AK46"/>
  <c r="AK47"/>
  <c r="AK48"/>
  <c r="AJ49"/>
  <c r="AL49"/>
  <c r="AK50"/>
  <c r="AK51"/>
  <c r="AK52"/>
  <c r="AK53"/>
  <c r="AG54"/>
  <c r="AI54" s="1"/>
  <c r="AK54"/>
  <c r="AH55"/>
  <c r="AI55" s="1"/>
  <c r="AJ55"/>
  <c r="BB58"/>
  <c r="AG59"/>
  <c r="AI59" s="1"/>
  <c r="AK59"/>
  <c r="AG60"/>
  <c r="AI60" s="1"/>
  <c r="AK60"/>
  <c r="AK61"/>
  <c r="AK62"/>
  <c r="AK63"/>
  <c r="AK64"/>
  <c r="AK65"/>
  <c r="AK66"/>
  <c r="AJ70"/>
  <c r="AL70"/>
  <c r="AK71"/>
  <c r="AJ72"/>
  <c r="AL72"/>
  <c r="AK73"/>
  <c r="AK77"/>
  <c r="AJ78"/>
  <c r="AL78"/>
  <c r="AJ82"/>
  <c r="AL82"/>
  <c r="AJ86"/>
  <c r="AL86"/>
  <c r="AV89"/>
  <c r="AK8" i="55"/>
  <c r="AK9"/>
  <c r="AK10"/>
  <c r="AK11"/>
  <c r="AG12"/>
  <c r="AI12" s="1"/>
  <c r="AK12"/>
  <c r="AH13"/>
  <c r="AI13" s="1"/>
  <c r="AJ13"/>
  <c r="AG14"/>
  <c r="AI14" s="1"/>
  <c r="AK14"/>
  <c r="AG15"/>
  <c r="AI15" s="1"/>
  <c r="AK15"/>
  <c r="AL17"/>
  <c r="AK17"/>
  <c r="AL21"/>
  <c r="AK21"/>
  <c r="AI55"/>
  <c r="AK19"/>
  <c r="AG19"/>
  <c r="AI19" s="1"/>
  <c r="AF32" i="54"/>
  <c r="Y32" s="1"/>
  <c r="AJ32"/>
  <c r="AF33"/>
  <c r="Y33" s="1"/>
  <c r="AJ33"/>
  <c r="AF34"/>
  <c r="Y34" s="1"/>
  <c r="AJ34"/>
  <c r="AJ35"/>
  <c r="AF35" s="1"/>
  <c r="Y35" s="1"/>
  <c r="AF36"/>
  <c r="Y36" s="1"/>
  <c r="AJ36"/>
  <c r="AG37"/>
  <c r="AI37" s="1"/>
  <c r="AF37" s="1"/>
  <c r="Y37" s="1"/>
  <c r="AF38"/>
  <c r="Y38" s="1"/>
  <c r="AJ38"/>
  <c r="AJ39"/>
  <c r="AF40"/>
  <c r="Y40" s="1"/>
  <c r="AJ40"/>
  <c r="AF41"/>
  <c r="Y41" s="1"/>
  <c r="AJ41"/>
  <c r="AF42"/>
  <c r="Y42" s="1"/>
  <c r="AJ42"/>
  <c r="AG43"/>
  <c r="AI43" s="1"/>
  <c r="AF43" s="1"/>
  <c r="Y43" s="1"/>
  <c r="AF44"/>
  <c r="Y44" s="1"/>
  <c r="AJ44"/>
  <c r="AF45"/>
  <c r="Y45" s="1"/>
  <c r="AJ45"/>
  <c r="AF46"/>
  <c r="Y46" s="1"/>
  <c r="AJ46"/>
  <c r="AF47"/>
  <c r="Y47" s="1"/>
  <c r="AJ47"/>
  <c r="AJ48"/>
  <c r="AF48" s="1"/>
  <c r="Y48" s="1"/>
  <c r="AG49"/>
  <c r="AI49" s="1"/>
  <c r="AF49" s="1"/>
  <c r="Y49" s="1"/>
  <c r="AF50"/>
  <c r="Y50" s="1"/>
  <c r="AJ50"/>
  <c r="AF51"/>
  <c r="Y51" s="1"/>
  <c r="AJ51"/>
  <c r="AF52"/>
  <c r="Y52" s="1"/>
  <c r="AJ52"/>
  <c r="AF53"/>
  <c r="Y53" s="1"/>
  <c r="AJ53"/>
  <c r="AF54"/>
  <c r="Y54" s="1"/>
  <c r="AJ54"/>
  <c r="AF59"/>
  <c r="Y59" s="1"/>
  <c r="AJ59"/>
  <c r="AF60"/>
  <c r="Y60" s="1"/>
  <c r="AJ60"/>
  <c r="AJ61"/>
  <c r="AF61" s="1"/>
  <c r="Y61" s="1"/>
  <c r="AF62"/>
  <c r="Y62" s="1"/>
  <c r="AJ62"/>
  <c r="AJ63"/>
  <c r="AF63" s="1"/>
  <c r="Y63" s="1"/>
  <c r="AF64"/>
  <c r="Y64" s="1"/>
  <c r="AJ64"/>
  <c r="AJ65"/>
  <c r="AF65" s="1"/>
  <c r="Y65" s="1"/>
  <c r="AJ66"/>
  <c r="AF66" s="1"/>
  <c r="Y66" s="1"/>
  <c r="AG70"/>
  <c r="AI70" s="1"/>
  <c r="AF70" s="1"/>
  <c r="Y70" s="1"/>
  <c r="AF71"/>
  <c r="Y71" s="1"/>
  <c r="AJ71"/>
  <c r="AG72"/>
  <c r="AI72" s="1"/>
  <c r="AF72" s="1"/>
  <c r="Y72" s="1"/>
  <c r="AJ73"/>
  <c r="AF73" s="1"/>
  <c r="Y73" s="1"/>
  <c r="AJ77"/>
  <c r="AF77" s="1"/>
  <c r="Y77" s="1"/>
  <c r="AG78"/>
  <c r="AI78" s="1"/>
  <c r="AF78" s="1"/>
  <c r="Y78" s="1"/>
  <c r="AG82"/>
  <c r="AI82" s="1"/>
  <c r="AF82" s="1"/>
  <c r="Y82" s="1"/>
  <c r="AG86"/>
  <c r="AI86" s="1"/>
  <c r="AJ8" i="55"/>
  <c r="AF8" s="1"/>
  <c r="AJ9"/>
  <c r="AF9" s="1"/>
  <c r="Y9" s="1"/>
  <c r="AJ10"/>
  <c r="AF10" s="1"/>
  <c r="Y10" s="1"/>
  <c r="AF11"/>
  <c r="Y11" s="1"/>
  <c r="AJ11"/>
  <c r="AF12"/>
  <c r="Y12" s="1"/>
  <c r="AJ12"/>
  <c r="AF14"/>
  <c r="Y14" s="1"/>
  <c r="AJ14"/>
  <c r="AF15"/>
  <c r="Y15" s="1"/>
  <c r="AJ15"/>
  <c r="AL18"/>
  <c r="AK18"/>
  <c r="AF19"/>
  <c r="Y19" s="1"/>
  <c r="AJ19"/>
  <c r="AF16"/>
  <c r="Y16" s="1"/>
  <c r="AJ16"/>
  <c r="AF17"/>
  <c r="Y17" s="1"/>
  <c r="AJ17"/>
  <c r="AF18"/>
  <c r="Y18" s="1"/>
  <c r="AJ18"/>
  <c r="AF20"/>
  <c r="Y20" s="1"/>
  <c r="AJ20"/>
  <c r="AF21"/>
  <c r="Y21" s="1"/>
  <c r="AJ21"/>
  <c r="AJ22"/>
  <c r="AF22" s="1"/>
  <c r="Y22" s="1"/>
  <c r="AH23"/>
  <c r="AI23" s="1"/>
  <c r="AJ23"/>
  <c r="AF23" s="1"/>
  <c r="Y23" s="1"/>
  <c r="AH24"/>
  <c r="AI24" s="1"/>
  <c r="AJ24"/>
  <c r="AG25"/>
  <c r="AI25" s="1"/>
  <c r="AK25"/>
  <c r="AH26"/>
  <c r="AI26" s="1"/>
  <c r="AF26" s="1"/>
  <c r="Y26" s="1"/>
  <c r="AJ26"/>
  <c r="AH27"/>
  <c r="AI27" s="1"/>
  <c r="AJ27"/>
  <c r="AF27" s="1"/>
  <c r="Y27" s="1"/>
  <c r="AH28"/>
  <c r="AI28" s="1"/>
  <c r="AJ28"/>
  <c r="AH29"/>
  <c r="AI29" s="1"/>
  <c r="AJ29"/>
  <c r="AH30"/>
  <c r="AJ30"/>
  <c r="AG31"/>
  <c r="AI31" s="1"/>
  <c r="AK31"/>
  <c r="AH32"/>
  <c r="AI32" s="1"/>
  <c r="AJ32"/>
  <c r="AF32" s="1"/>
  <c r="Y32" s="1"/>
  <c r="AH33"/>
  <c r="AI33" s="1"/>
  <c r="AJ33"/>
  <c r="AH34"/>
  <c r="AI34" s="1"/>
  <c r="AJ34"/>
  <c r="AF34" s="1"/>
  <c r="Y34" s="1"/>
  <c r="AH35"/>
  <c r="AI35" s="1"/>
  <c r="AJ35"/>
  <c r="AH36"/>
  <c r="AJ36"/>
  <c r="AG37"/>
  <c r="AI37" s="1"/>
  <c r="AK37"/>
  <c r="AH38"/>
  <c r="AI38" s="1"/>
  <c r="AF38" s="1"/>
  <c r="Y38" s="1"/>
  <c r="AJ38"/>
  <c r="AH39"/>
  <c r="AI39" s="1"/>
  <c r="AJ39"/>
  <c r="AF39" s="1"/>
  <c r="Y39" s="1"/>
  <c r="AH40"/>
  <c r="AI40" s="1"/>
  <c r="AF40" s="1"/>
  <c r="Y40" s="1"/>
  <c r="AJ40"/>
  <c r="AH41"/>
  <c r="AI41" s="1"/>
  <c r="AF41" s="1"/>
  <c r="Y41" s="1"/>
  <c r="AJ41"/>
  <c r="AH42"/>
  <c r="AI42" s="1"/>
  <c r="AJ42"/>
  <c r="AG43"/>
  <c r="AI43" s="1"/>
  <c r="AK43"/>
  <c r="AH44"/>
  <c r="AI44" s="1"/>
  <c r="AJ44"/>
  <c r="AF44" s="1"/>
  <c r="Y44" s="1"/>
  <c r="AH45"/>
  <c r="AI45" s="1"/>
  <c r="AJ45"/>
  <c r="AH46"/>
  <c r="AI46" s="1"/>
  <c r="AJ46"/>
  <c r="AF46" s="1"/>
  <c r="Y46" s="1"/>
  <c r="AH47"/>
  <c r="AI47" s="1"/>
  <c r="AF47" s="1"/>
  <c r="Y47" s="1"/>
  <c r="AJ47"/>
  <c r="AH48"/>
  <c r="AI48" s="1"/>
  <c r="AF48" s="1"/>
  <c r="Y48" s="1"/>
  <c r="AJ48"/>
  <c r="AG49"/>
  <c r="AI49" s="1"/>
  <c r="AK49"/>
  <c r="AH50"/>
  <c r="AI50" s="1"/>
  <c r="AJ50"/>
  <c r="AH51"/>
  <c r="AI51" s="1"/>
  <c r="AJ51"/>
  <c r="AH52"/>
  <c r="AJ52"/>
  <c r="AH53"/>
  <c r="AI53" s="1"/>
  <c r="AF53" s="1"/>
  <c r="Y53" s="1"/>
  <c r="AJ53"/>
  <c r="AJ54"/>
  <c r="AL54"/>
  <c r="AK55"/>
  <c r="AJ59"/>
  <c r="AL59"/>
  <c r="AJ60"/>
  <c r="AL60"/>
  <c r="AJ61"/>
  <c r="AL61"/>
  <c r="AJ62"/>
  <c r="AL62"/>
  <c r="AJ63"/>
  <c r="AL63"/>
  <c r="AJ64"/>
  <c r="AL64"/>
  <c r="AJ65"/>
  <c r="AL65"/>
  <c r="AJ66"/>
  <c r="AL66"/>
  <c r="AG70"/>
  <c r="AI70" s="1"/>
  <c r="AK70"/>
  <c r="AJ71"/>
  <c r="AL71"/>
  <c r="AG72"/>
  <c r="AI72" s="1"/>
  <c r="AK72"/>
  <c r="AJ73"/>
  <c r="AL73"/>
  <c r="AJ77"/>
  <c r="AL77"/>
  <c r="AG78"/>
  <c r="AI78" s="1"/>
  <c r="AK78"/>
  <c r="AG82"/>
  <c r="AI82" s="1"/>
  <c r="AK82"/>
  <c r="AG86"/>
  <c r="AI86" s="1"/>
  <c r="AK86"/>
  <c r="AW89"/>
  <c r="AW91"/>
  <c r="AF25"/>
  <c r="Y25" s="1"/>
  <c r="AJ25"/>
  <c r="AF31"/>
  <c r="Y31" s="1"/>
  <c r="AJ31"/>
  <c r="AF37"/>
  <c r="Y37" s="1"/>
  <c r="AJ37"/>
  <c r="AF43"/>
  <c r="Y43" s="1"/>
  <c r="AJ43"/>
  <c r="AF49"/>
  <c r="Y49" s="1"/>
  <c r="AJ49"/>
  <c r="AG54"/>
  <c r="AI54" s="1"/>
  <c r="AF54" s="1"/>
  <c r="Y54" s="1"/>
  <c r="AF55"/>
  <c r="Y55" s="1"/>
  <c r="AJ55"/>
  <c r="BB58"/>
  <c r="S3" s="1"/>
  <c r="H28" i="22" s="1"/>
  <c r="AG59" i="55"/>
  <c r="AI59" s="1"/>
  <c r="AF59" s="1"/>
  <c r="Y59" s="1"/>
  <c r="AG60"/>
  <c r="AI60" s="1"/>
  <c r="AF60" s="1"/>
  <c r="Y60" s="1"/>
  <c r="AG61"/>
  <c r="AI61" s="1"/>
  <c r="AF61" s="1"/>
  <c r="Y61" s="1"/>
  <c r="AG62"/>
  <c r="AI62" s="1"/>
  <c r="AF62" s="1"/>
  <c r="Y62" s="1"/>
  <c r="AG63"/>
  <c r="AI63" s="1"/>
  <c r="AF63" s="1"/>
  <c r="Y63" s="1"/>
  <c r="AG64"/>
  <c r="AI64" s="1"/>
  <c r="AF64" s="1"/>
  <c r="Y64" s="1"/>
  <c r="AG65"/>
  <c r="AI65" s="1"/>
  <c r="AF65" s="1"/>
  <c r="Y65" s="1"/>
  <c r="AG66"/>
  <c r="AI66" s="1"/>
  <c r="AF66" s="1"/>
  <c r="Y66" s="1"/>
  <c r="AF70"/>
  <c r="Y70" s="1"/>
  <c r="AJ70"/>
  <c r="AG71"/>
  <c r="AI71" s="1"/>
  <c r="AF71" s="1"/>
  <c r="Y71" s="1"/>
  <c r="AF72"/>
  <c r="Y72" s="1"/>
  <c r="AJ72"/>
  <c r="AG73"/>
  <c r="AI73" s="1"/>
  <c r="AF73" s="1"/>
  <c r="Y73" s="1"/>
  <c r="AG77"/>
  <c r="AI77" s="1"/>
  <c r="AF77" s="1"/>
  <c r="Y77" s="1"/>
  <c r="AJ78"/>
  <c r="AF78" s="1"/>
  <c r="Y78" s="1"/>
  <c r="AF82"/>
  <c r="Y82" s="1"/>
  <c r="AJ82"/>
  <c r="AJ86"/>
  <c r="AF86" s="1"/>
  <c r="Y86" s="1"/>
  <c r="AI15" i="30"/>
  <c r="AI8" i="29"/>
  <c r="AI12"/>
  <c r="AI29"/>
  <c r="AI30"/>
  <c r="AI32"/>
  <c r="AI34"/>
  <c r="AI35"/>
  <c r="AI46"/>
  <c r="AI50"/>
  <c r="AI51"/>
  <c r="AI53"/>
  <c r="AI59"/>
  <c r="AI62"/>
  <c r="AI63"/>
  <c r="AI64"/>
  <c r="AI65"/>
  <c r="AI77"/>
  <c r="AI9" i="30"/>
  <c r="AK64"/>
  <c r="AG64"/>
  <c r="AI64" s="1"/>
  <c r="AK66"/>
  <c r="AG66"/>
  <c r="AK71"/>
  <c r="AG71"/>
  <c r="AI71" s="1"/>
  <c r="AK73"/>
  <c r="AG73"/>
  <c r="AI73" s="1"/>
  <c r="AK77"/>
  <c r="AG77"/>
  <c r="AI77" s="1"/>
  <c r="AK8" i="31"/>
  <c r="AG8"/>
  <c r="AI8" s="1"/>
  <c r="AK14"/>
  <c r="AG14"/>
  <c r="AI14" s="1"/>
  <c r="AK8" i="29"/>
  <c r="AK9"/>
  <c r="AK10"/>
  <c r="AK11"/>
  <c r="AK12"/>
  <c r="AL13"/>
  <c r="AK16"/>
  <c r="AK17"/>
  <c r="AK28"/>
  <c r="AK29"/>
  <c r="AK30"/>
  <c r="AJ31"/>
  <c r="AL31"/>
  <c r="AK32"/>
  <c r="AK33"/>
  <c r="AK34"/>
  <c r="AK35"/>
  <c r="AK36"/>
  <c r="AJ37"/>
  <c r="AL37"/>
  <c r="AK38"/>
  <c r="AK41"/>
  <c r="AL43"/>
  <c r="AK44"/>
  <c r="AK45"/>
  <c r="AK46"/>
  <c r="AK47"/>
  <c r="AK48"/>
  <c r="AJ49"/>
  <c r="AL49"/>
  <c r="AK50"/>
  <c r="AK51"/>
  <c r="AK52"/>
  <c r="AK53"/>
  <c r="AJ55"/>
  <c r="AL55"/>
  <c r="AK59"/>
  <c r="AK62"/>
  <c r="AK63"/>
  <c r="AK64"/>
  <c r="AK65"/>
  <c r="AK71"/>
  <c r="AJ72"/>
  <c r="AL72"/>
  <c r="AK73"/>
  <c r="AK77"/>
  <c r="AL78"/>
  <c r="AJ86"/>
  <c r="AL86"/>
  <c r="AK9" i="30"/>
  <c r="AK15"/>
  <c r="AJ8" i="29"/>
  <c r="AF8" s="1"/>
  <c r="AJ9"/>
  <c r="AF9" s="1"/>
  <c r="Y9" s="1"/>
  <c r="AJ10"/>
  <c r="AF10" s="1"/>
  <c r="Y10" s="1"/>
  <c r="AF11"/>
  <c r="Y11" s="1"/>
  <c r="AJ11"/>
  <c r="AF12"/>
  <c r="Y12" s="1"/>
  <c r="AJ12"/>
  <c r="AG13"/>
  <c r="AI13" s="1"/>
  <c r="AK13"/>
  <c r="AH14"/>
  <c r="AI14" s="1"/>
  <c r="AJ14"/>
  <c r="AH15"/>
  <c r="AI15" s="1"/>
  <c r="AJ15"/>
  <c r="AF15" s="1"/>
  <c r="Y15" s="1"/>
  <c r="AJ16"/>
  <c r="AF16" s="1"/>
  <c r="Y16" s="1"/>
  <c r="AF17"/>
  <c r="Y17" s="1"/>
  <c r="AJ17"/>
  <c r="AH18"/>
  <c r="AI18" s="1"/>
  <c r="AJ18"/>
  <c r="AG19"/>
  <c r="AI19" s="1"/>
  <c r="AK19"/>
  <c r="AH20"/>
  <c r="AI20" s="1"/>
  <c r="AF20" s="1"/>
  <c r="Y20" s="1"/>
  <c r="AJ20"/>
  <c r="AH21"/>
  <c r="AI21" s="1"/>
  <c r="AF21" s="1"/>
  <c r="Y21" s="1"/>
  <c r="AJ21"/>
  <c r="AF22"/>
  <c r="Y22" s="1"/>
  <c r="AH22"/>
  <c r="AI22" s="1"/>
  <c r="AJ22"/>
  <c r="AH23"/>
  <c r="AI23" s="1"/>
  <c r="AJ23"/>
  <c r="AF23" s="1"/>
  <c r="Y23" s="1"/>
  <c r="AH24"/>
  <c r="AI24" s="1"/>
  <c r="AJ24"/>
  <c r="AG25"/>
  <c r="AI25" s="1"/>
  <c r="AK25"/>
  <c r="AH26"/>
  <c r="AI26" s="1"/>
  <c r="AF26" s="1"/>
  <c r="Y26" s="1"/>
  <c r="AJ26"/>
  <c r="AH27"/>
  <c r="AI27" s="1"/>
  <c r="AJ27"/>
  <c r="AF27" s="1"/>
  <c r="Y27" s="1"/>
  <c r="AJ28"/>
  <c r="AF28" s="1"/>
  <c r="Y28" s="1"/>
  <c r="AJ29"/>
  <c r="AF29" s="1"/>
  <c r="Y29" s="1"/>
  <c r="AJ30"/>
  <c r="AF30" s="1"/>
  <c r="Y30" s="1"/>
  <c r="AG31"/>
  <c r="AI31" s="1"/>
  <c r="AF31" s="1"/>
  <c r="Y31" s="1"/>
  <c r="AF32"/>
  <c r="Y32" s="1"/>
  <c r="AJ32"/>
  <c r="AF33"/>
  <c r="Y33" s="1"/>
  <c r="AJ33"/>
  <c r="AF34"/>
  <c r="Y34" s="1"/>
  <c r="AJ34"/>
  <c r="AF35"/>
  <c r="Y35" s="1"/>
  <c r="AJ35"/>
  <c r="AF36"/>
  <c r="Y36" s="1"/>
  <c r="AJ36"/>
  <c r="AG37"/>
  <c r="AI37" s="1"/>
  <c r="AF37" s="1"/>
  <c r="Y37" s="1"/>
  <c r="AF38"/>
  <c r="Y38" s="1"/>
  <c r="AJ38"/>
  <c r="AH39"/>
  <c r="AI39" s="1"/>
  <c r="AJ39"/>
  <c r="AF39" s="1"/>
  <c r="Y39" s="1"/>
  <c r="AH40"/>
  <c r="AI40" s="1"/>
  <c r="AJ40"/>
  <c r="AF41"/>
  <c r="Y41" s="1"/>
  <c r="AJ41"/>
  <c r="AH42"/>
  <c r="AI42" s="1"/>
  <c r="AJ42"/>
  <c r="AG43"/>
  <c r="AI43" s="1"/>
  <c r="AF43" s="1"/>
  <c r="Y43" s="1"/>
  <c r="AK43"/>
  <c r="AF44"/>
  <c r="Y44" s="1"/>
  <c r="AJ44"/>
  <c r="AF45"/>
  <c r="Y45" s="1"/>
  <c r="AJ45"/>
  <c r="AJ46"/>
  <c r="AF46" s="1"/>
  <c r="Y46" s="1"/>
  <c r="AF47"/>
  <c r="Y47" s="1"/>
  <c r="AJ47"/>
  <c r="AF48"/>
  <c r="Y48" s="1"/>
  <c r="AJ48"/>
  <c r="AG49"/>
  <c r="AI49" s="1"/>
  <c r="AF49" s="1"/>
  <c r="Y49" s="1"/>
  <c r="AF50"/>
  <c r="Y50" s="1"/>
  <c r="AJ50"/>
  <c r="AF51"/>
  <c r="Y51" s="1"/>
  <c r="AJ51"/>
  <c r="AJ52"/>
  <c r="AF52" s="1"/>
  <c r="Y52" s="1"/>
  <c r="AF53"/>
  <c r="Y53" s="1"/>
  <c r="AJ53"/>
  <c r="AH54"/>
  <c r="AI54" s="1"/>
  <c r="AJ54"/>
  <c r="AG55"/>
  <c r="AI55" s="1"/>
  <c r="AF55" s="1"/>
  <c r="Y55" s="1"/>
  <c r="AK55"/>
  <c r="AF59"/>
  <c r="Y59" s="1"/>
  <c r="AJ59"/>
  <c r="AH60"/>
  <c r="AI60" s="1"/>
  <c r="AJ60"/>
  <c r="AH61"/>
  <c r="AI61" s="1"/>
  <c r="AJ61"/>
  <c r="AF61" s="1"/>
  <c r="Y61" s="1"/>
  <c r="AF62"/>
  <c r="Y62" s="1"/>
  <c r="AJ62"/>
  <c r="AF63"/>
  <c r="Y63" s="1"/>
  <c r="AJ63"/>
  <c r="AF64"/>
  <c r="Y64" s="1"/>
  <c r="AJ64"/>
  <c r="AF65"/>
  <c r="Y65" s="1"/>
  <c r="AJ65"/>
  <c r="AH66"/>
  <c r="AI66" s="1"/>
  <c r="AF66" s="1"/>
  <c r="Y66" s="1"/>
  <c r="AJ66"/>
  <c r="AG70"/>
  <c r="AI70" s="1"/>
  <c r="AK70"/>
  <c r="AF71"/>
  <c r="Y71" s="1"/>
  <c r="AJ71"/>
  <c r="AG72"/>
  <c r="AI72" s="1"/>
  <c r="AF72" s="1"/>
  <c r="Y72" s="1"/>
  <c r="AJ73"/>
  <c r="AF73" s="1"/>
  <c r="Y73" s="1"/>
  <c r="AF77"/>
  <c r="Y77" s="1"/>
  <c r="AJ77"/>
  <c r="AG78"/>
  <c r="AI78" s="1"/>
  <c r="AK78"/>
  <c r="AG82"/>
  <c r="AI82" s="1"/>
  <c r="AK82"/>
  <c r="AG86"/>
  <c r="AI86" s="1"/>
  <c r="AH8" i="30"/>
  <c r="AI8" s="1"/>
  <c r="AJ8"/>
  <c r="AJ9"/>
  <c r="AF9" s="1"/>
  <c r="Y9" s="1"/>
  <c r="AH10"/>
  <c r="AI10" s="1"/>
  <c r="AJ10"/>
  <c r="AH11"/>
  <c r="AI11" s="1"/>
  <c r="AF11" s="1"/>
  <c r="Y11" s="1"/>
  <c r="AJ11"/>
  <c r="AH12"/>
  <c r="AI12" s="1"/>
  <c r="AF12" s="1"/>
  <c r="Y12" s="1"/>
  <c r="AJ12"/>
  <c r="AG13"/>
  <c r="AI13" s="1"/>
  <c r="AF13" s="1"/>
  <c r="Y13" s="1"/>
  <c r="AK13"/>
  <c r="AH14"/>
  <c r="AI14" s="1"/>
  <c r="AJ14"/>
  <c r="AF14" s="1"/>
  <c r="Y14" s="1"/>
  <c r="AF15"/>
  <c r="Y15" s="1"/>
  <c r="AJ15"/>
  <c r="AH16"/>
  <c r="AI16" s="1"/>
  <c r="AJ16"/>
  <c r="AF16" s="1"/>
  <c r="Y16" s="1"/>
  <c r="AH17"/>
  <c r="AI17" s="1"/>
  <c r="AJ17"/>
  <c r="AH18"/>
  <c r="AI18" s="1"/>
  <c r="AF18" s="1"/>
  <c r="Y18" s="1"/>
  <c r="AJ18"/>
  <c r="AG19"/>
  <c r="AI19" s="1"/>
  <c r="AK19"/>
  <c r="AH20"/>
  <c r="AI20" s="1"/>
  <c r="AJ20"/>
  <c r="AH21"/>
  <c r="AI21" s="1"/>
  <c r="AF21" s="1"/>
  <c r="Y21" s="1"/>
  <c r="AJ21"/>
  <c r="AF22"/>
  <c r="Y22" s="1"/>
  <c r="AH22"/>
  <c r="AI22" s="1"/>
  <c r="AJ22"/>
  <c r="AH23"/>
  <c r="AI23" s="1"/>
  <c r="AJ23"/>
  <c r="AF23" s="1"/>
  <c r="Y23" s="1"/>
  <c r="AH24"/>
  <c r="AI24" s="1"/>
  <c r="AF24" s="1"/>
  <c r="Y24" s="1"/>
  <c r="AJ24"/>
  <c r="AG25"/>
  <c r="AI25" s="1"/>
  <c r="AK25"/>
  <c r="AH26"/>
  <c r="AI26" s="1"/>
  <c r="AF26" s="1"/>
  <c r="Y26" s="1"/>
  <c r="AJ26"/>
  <c r="AH27"/>
  <c r="AI27" s="1"/>
  <c r="AJ27"/>
  <c r="AF27" s="1"/>
  <c r="Y27" s="1"/>
  <c r="AH28"/>
  <c r="AI28" s="1"/>
  <c r="AJ28"/>
  <c r="AH29"/>
  <c r="AI29" s="1"/>
  <c r="AF29" s="1"/>
  <c r="Y29" s="1"/>
  <c r="AJ29"/>
  <c r="AH30"/>
  <c r="AI30" s="1"/>
  <c r="AF30" s="1"/>
  <c r="Y30" s="1"/>
  <c r="AJ30"/>
  <c r="AG31"/>
  <c r="AI31" s="1"/>
  <c r="AK31"/>
  <c r="AH32"/>
  <c r="AI32" s="1"/>
  <c r="AJ32"/>
  <c r="AH33"/>
  <c r="AI33" s="1"/>
  <c r="AF33" s="1"/>
  <c r="Y33" s="1"/>
  <c r="AJ33"/>
  <c r="AH34"/>
  <c r="AI34" s="1"/>
  <c r="AJ34"/>
  <c r="AH35"/>
  <c r="AI35" s="1"/>
  <c r="AF35" s="1"/>
  <c r="Y35" s="1"/>
  <c r="AJ35"/>
  <c r="AH36"/>
  <c r="AI36" s="1"/>
  <c r="AF36" s="1"/>
  <c r="Y36" s="1"/>
  <c r="AJ36"/>
  <c r="AG37"/>
  <c r="AI37" s="1"/>
  <c r="AK37"/>
  <c r="AH38"/>
  <c r="AI38" s="1"/>
  <c r="AJ38"/>
  <c r="AH39"/>
  <c r="AI39" s="1"/>
  <c r="AJ39"/>
  <c r="AF39" s="1"/>
  <c r="Y39" s="1"/>
  <c r="AH40"/>
  <c r="AI40" s="1"/>
  <c r="AF40" s="1"/>
  <c r="Y40" s="1"/>
  <c r="AJ40"/>
  <c r="AH41"/>
  <c r="AI41" s="1"/>
  <c r="AF41" s="1"/>
  <c r="Y41" s="1"/>
  <c r="AJ41"/>
  <c r="AH42"/>
  <c r="AI42" s="1"/>
  <c r="AF42" s="1"/>
  <c r="Y42" s="1"/>
  <c r="AJ42"/>
  <c r="AG43"/>
  <c r="AI43" s="1"/>
  <c r="AK43"/>
  <c r="AH44"/>
  <c r="AI44" s="1"/>
  <c r="AJ44"/>
  <c r="AH45"/>
  <c r="AI45" s="1"/>
  <c r="AJ45"/>
  <c r="AH46"/>
  <c r="AI46" s="1"/>
  <c r="AJ46"/>
  <c r="AF46" s="1"/>
  <c r="Y46" s="1"/>
  <c r="AH47"/>
  <c r="AI47" s="1"/>
  <c r="AJ47"/>
  <c r="AH48"/>
  <c r="AI48" s="1"/>
  <c r="AF48" s="1"/>
  <c r="Y48" s="1"/>
  <c r="AJ48"/>
  <c r="AG49"/>
  <c r="AI49" s="1"/>
  <c r="AK49"/>
  <c r="AH50"/>
  <c r="AI50" s="1"/>
  <c r="AF50" s="1"/>
  <c r="Y50" s="1"/>
  <c r="AJ50"/>
  <c r="AH51"/>
  <c r="AI51" s="1"/>
  <c r="AF51" s="1"/>
  <c r="Y51" s="1"/>
  <c r="AJ51"/>
  <c r="AH52"/>
  <c r="AJ52"/>
  <c r="AH53"/>
  <c r="AI53" s="1"/>
  <c r="AF53" s="1"/>
  <c r="Y53" s="1"/>
  <c r="AJ53"/>
  <c r="AH54"/>
  <c r="AI54" s="1"/>
  <c r="AF54" s="1"/>
  <c r="Y54" s="1"/>
  <c r="AJ54"/>
  <c r="AG55"/>
  <c r="AI55" s="1"/>
  <c r="AK55"/>
  <c r="BA69"/>
  <c r="BB69" s="1"/>
  <c r="S3" s="1"/>
  <c r="H63" i="22" s="1"/>
  <c r="AH59" i="30"/>
  <c r="AI59" s="1"/>
  <c r="AJ59"/>
  <c r="AH60"/>
  <c r="AI60" s="1"/>
  <c r="AF60" s="1"/>
  <c r="Y60" s="1"/>
  <c r="AJ60"/>
  <c r="AH61"/>
  <c r="AI61" s="1"/>
  <c r="AJ61"/>
  <c r="AH62"/>
  <c r="AI62" s="1"/>
  <c r="AJ62"/>
  <c r="AK63"/>
  <c r="AH63"/>
  <c r="AF63" s="1"/>
  <c r="Y63" s="1"/>
  <c r="AL63"/>
  <c r="AF64"/>
  <c r="Y64" s="1"/>
  <c r="AJ64"/>
  <c r="AJ66"/>
  <c r="AL70"/>
  <c r="AK70"/>
  <c r="AJ71"/>
  <c r="AF71" s="1"/>
  <c r="Y71" s="1"/>
  <c r="AL72"/>
  <c r="AK72"/>
  <c r="AF73"/>
  <c r="Y73" s="1"/>
  <c r="AJ73"/>
  <c r="AF77"/>
  <c r="Y77" s="1"/>
  <c r="AJ77"/>
  <c r="AL78"/>
  <c r="AK78"/>
  <c r="AL82"/>
  <c r="AK82"/>
  <c r="AL86"/>
  <c r="AK86"/>
  <c r="AV89"/>
  <c r="AV91"/>
  <c r="AJ8" i="31"/>
  <c r="AF8" s="1"/>
  <c r="AL13"/>
  <c r="AK13"/>
  <c r="AF14"/>
  <c r="Y14" s="1"/>
  <c r="AJ14"/>
  <c r="AK65" i="30"/>
  <c r="AG65"/>
  <c r="AI65" s="1"/>
  <c r="AK9" i="31"/>
  <c r="AG9"/>
  <c r="AI9" s="1"/>
  <c r="AK10"/>
  <c r="AG10"/>
  <c r="AI10" s="1"/>
  <c r="AK11"/>
  <c r="AG11"/>
  <c r="AI11" s="1"/>
  <c r="AK12"/>
  <c r="AG12"/>
  <c r="AI12" s="1"/>
  <c r="AK15"/>
  <c r="AG15"/>
  <c r="AI15" s="1"/>
  <c r="AK16"/>
  <c r="AG16"/>
  <c r="AI16" s="1"/>
  <c r="AF13" i="29"/>
  <c r="Y13" s="1"/>
  <c r="AJ19"/>
  <c r="AF25"/>
  <c r="Y25" s="1"/>
  <c r="AJ25"/>
  <c r="AF70"/>
  <c r="Y70" s="1"/>
  <c r="AJ70"/>
  <c r="AF78"/>
  <c r="Y78" s="1"/>
  <c r="AF82"/>
  <c r="Y82" s="1"/>
  <c r="AJ82"/>
  <c r="AV89"/>
  <c r="AJ13" i="30"/>
  <c r="AJ19"/>
  <c r="AF19" s="1"/>
  <c r="Y19" s="1"/>
  <c r="AJ25"/>
  <c r="AF25" s="1"/>
  <c r="Y25" s="1"/>
  <c r="AF31"/>
  <c r="Y31" s="1"/>
  <c r="AJ31"/>
  <c r="AF37"/>
  <c r="Y37" s="1"/>
  <c r="AJ37"/>
  <c r="AF43"/>
  <c r="Y43" s="1"/>
  <c r="AJ43"/>
  <c r="AF49"/>
  <c r="Y49" s="1"/>
  <c r="AJ49"/>
  <c r="AF55"/>
  <c r="Y55" s="1"/>
  <c r="AJ55"/>
  <c r="AI63"/>
  <c r="AF65"/>
  <c r="Y65" s="1"/>
  <c r="AJ65"/>
  <c r="AF9" i="31"/>
  <c r="Y9" s="1"/>
  <c r="AJ9"/>
  <c r="AF10"/>
  <c r="Y10" s="1"/>
  <c r="AJ10"/>
  <c r="AF11"/>
  <c r="Y11" s="1"/>
  <c r="AJ11"/>
  <c r="AF12"/>
  <c r="Y12" s="1"/>
  <c r="AJ12"/>
  <c r="AF15"/>
  <c r="Y15" s="1"/>
  <c r="AJ15"/>
  <c r="AF16"/>
  <c r="Y16" s="1"/>
  <c r="AJ16"/>
  <c r="AK50" i="33"/>
  <c r="AG50"/>
  <c r="AI50" s="1"/>
  <c r="AK60"/>
  <c r="AG60"/>
  <c r="AI60" s="1"/>
  <c r="AK62"/>
  <c r="AG62"/>
  <c r="AI62" s="1"/>
  <c r="AK64"/>
  <c r="AG64"/>
  <c r="AI64" s="1"/>
  <c r="AK66"/>
  <c r="AG66"/>
  <c r="AI66" s="1"/>
  <c r="AK71"/>
  <c r="AG71"/>
  <c r="AI71" s="1"/>
  <c r="AK73"/>
  <c r="AG73"/>
  <c r="AI73" s="1"/>
  <c r="AK77"/>
  <c r="AG77"/>
  <c r="AI77" s="1"/>
  <c r="AK8" i="34"/>
  <c r="AG8"/>
  <c r="AI8" s="1"/>
  <c r="AJ70" i="30"/>
  <c r="AF70" s="1"/>
  <c r="Y70" s="1"/>
  <c r="AF72"/>
  <c r="Y72" s="1"/>
  <c r="AJ72"/>
  <c r="AF78"/>
  <c r="Y78" s="1"/>
  <c r="AJ78"/>
  <c r="AF82"/>
  <c r="Y82" s="1"/>
  <c r="AJ82"/>
  <c r="AJ86"/>
  <c r="AF86" s="1"/>
  <c r="Y86" s="1"/>
  <c r="AF13" i="31"/>
  <c r="Y13" s="1"/>
  <c r="AJ13"/>
  <c r="AG17"/>
  <c r="AI17" s="1"/>
  <c r="AF17" s="1"/>
  <c r="Y17" s="1"/>
  <c r="AK17"/>
  <c r="AG18"/>
  <c r="AI18" s="1"/>
  <c r="AK18"/>
  <c r="AH19"/>
  <c r="AI19" s="1"/>
  <c r="AF19" s="1"/>
  <c r="Y19" s="1"/>
  <c r="AJ19"/>
  <c r="AG20"/>
  <c r="AI20" s="1"/>
  <c r="AK20"/>
  <c r="AG21"/>
  <c r="AI21" s="1"/>
  <c r="AK21"/>
  <c r="AG22"/>
  <c r="AI22" s="1"/>
  <c r="AF22" s="1"/>
  <c r="Y22" s="1"/>
  <c r="AK22"/>
  <c r="AG23"/>
  <c r="AI23" s="1"/>
  <c r="AK23"/>
  <c r="AG24"/>
  <c r="AI24" s="1"/>
  <c r="AK24"/>
  <c r="AH25"/>
  <c r="AI25" s="1"/>
  <c r="AJ25"/>
  <c r="AG26"/>
  <c r="AI26" s="1"/>
  <c r="AK26"/>
  <c r="AG27"/>
  <c r="AI27" s="1"/>
  <c r="AK27"/>
  <c r="AG28"/>
  <c r="AI28" s="1"/>
  <c r="AK28"/>
  <c r="AG29"/>
  <c r="AI29" s="1"/>
  <c r="AK29"/>
  <c r="AG30"/>
  <c r="AI30" s="1"/>
  <c r="AK30"/>
  <c r="AH31"/>
  <c r="AI31" s="1"/>
  <c r="AJ31"/>
  <c r="AG32"/>
  <c r="AI32" s="1"/>
  <c r="AF32" s="1"/>
  <c r="Y32" s="1"/>
  <c r="AK32"/>
  <c r="AG33"/>
  <c r="AI33" s="1"/>
  <c r="AK33"/>
  <c r="AG34"/>
  <c r="AI34" s="1"/>
  <c r="AF34" s="1"/>
  <c r="Y34" s="1"/>
  <c r="AK34"/>
  <c r="AG35"/>
  <c r="AI35" s="1"/>
  <c r="AK35"/>
  <c r="AG36"/>
  <c r="AI36" s="1"/>
  <c r="AK36"/>
  <c r="AH37"/>
  <c r="AI37" s="1"/>
  <c r="AJ37"/>
  <c r="AG38"/>
  <c r="AI38" s="1"/>
  <c r="AK38"/>
  <c r="AG39"/>
  <c r="AI39" s="1"/>
  <c r="AK39"/>
  <c r="AG40"/>
  <c r="AI40" s="1"/>
  <c r="AK40"/>
  <c r="AG41"/>
  <c r="AI41" s="1"/>
  <c r="AK41"/>
  <c r="AG42"/>
  <c r="AI42" s="1"/>
  <c r="AK42"/>
  <c r="AH43"/>
  <c r="AI43" s="1"/>
  <c r="AF43" s="1"/>
  <c r="Y43" s="1"/>
  <c r="AJ43"/>
  <c r="AG44"/>
  <c r="AI44" s="1"/>
  <c r="AK44"/>
  <c r="AG45"/>
  <c r="AI45" s="1"/>
  <c r="AK45"/>
  <c r="AG46"/>
  <c r="AI46" s="1"/>
  <c r="AK46"/>
  <c r="AG47"/>
  <c r="AI47" s="1"/>
  <c r="AK47"/>
  <c r="AG48"/>
  <c r="AI48" s="1"/>
  <c r="AK48"/>
  <c r="AH49"/>
  <c r="AI49" s="1"/>
  <c r="AF49" s="1"/>
  <c r="Y49" s="1"/>
  <c r="AJ49"/>
  <c r="AG50"/>
  <c r="AI50" s="1"/>
  <c r="AK50"/>
  <c r="AG51"/>
  <c r="AI51" s="1"/>
  <c r="AK51"/>
  <c r="AG52"/>
  <c r="AI52" s="1"/>
  <c r="AK52"/>
  <c r="AG53"/>
  <c r="AI53" s="1"/>
  <c r="AK53"/>
  <c r="AG54"/>
  <c r="AI54" s="1"/>
  <c r="AK54"/>
  <c r="AH55"/>
  <c r="AI55" s="1"/>
  <c r="AF55" s="1"/>
  <c r="Y55" s="1"/>
  <c r="AJ55"/>
  <c r="BB58"/>
  <c r="S3" s="1"/>
  <c r="H26" i="22" s="1"/>
  <c r="AG59" i="31"/>
  <c r="AI59" s="1"/>
  <c r="AK59"/>
  <c r="AG60"/>
  <c r="AI60" s="1"/>
  <c r="AK60"/>
  <c r="AG61"/>
  <c r="AI61" s="1"/>
  <c r="AK61"/>
  <c r="AG62"/>
  <c r="AI62" s="1"/>
  <c r="AK62"/>
  <c r="AG63"/>
  <c r="AI63" s="1"/>
  <c r="AK63"/>
  <c r="AG64"/>
  <c r="AI64" s="1"/>
  <c r="AK64"/>
  <c r="AG65"/>
  <c r="AI65" s="1"/>
  <c r="AK65"/>
  <c r="AG66"/>
  <c r="AI66" s="1"/>
  <c r="AK66"/>
  <c r="AH70"/>
  <c r="AI70" s="1"/>
  <c r="AF70" s="1"/>
  <c r="Y70" s="1"/>
  <c r="AJ70"/>
  <c r="AG71"/>
  <c r="AI71" s="1"/>
  <c r="AK71"/>
  <c r="AH72"/>
  <c r="AI72" s="1"/>
  <c r="AF72" s="1"/>
  <c r="Y72" s="1"/>
  <c r="AJ72"/>
  <c r="AG73"/>
  <c r="AI73" s="1"/>
  <c r="AK73"/>
  <c r="AG77"/>
  <c r="AI77" s="1"/>
  <c r="AK77"/>
  <c r="AH78"/>
  <c r="AI78" s="1"/>
  <c r="AF78" s="1"/>
  <c r="Y78" s="1"/>
  <c r="AJ78"/>
  <c r="AH82"/>
  <c r="AI82" s="1"/>
  <c r="AF82" s="1"/>
  <c r="Y82" s="1"/>
  <c r="AJ82"/>
  <c r="AH86"/>
  <c r="AI86" s="1"/>
  <c r="AJ86"/>
  <c r="AG8" i="32"/>
  <c r="AI8" s="1"/>
  <c r="AK8"/>
  <c r="AG9"/>
  <c r="AI9" s="1"/>
  <c r="AK9"/>
  <c r="AG10"/>
  <c r="AI10" s="1"/>
  <c r="AK10"/>
  <c r="AG11"/>
  <c r="AI11" s="1"/>
  <c r="AK11"/>
  <c r="AG12"/>
  <c r="AI12" s="1"/>
  <c r="AK12"/>
  <c r="AH13"/>
  <c r="AI13" s="1"/>
  <c r="AJ13"/>
  <c r="AG14"/>
  <c r="AI14" s="1"/>
  <c r="AK14"/>
  <c r="AG15"/>
  <c r="AI15" s="1"/>
  <c r="AK15"/>
  <c r="AG16"/>
  <c r="AI16" s="1"/>
  <c r="AK16"/>
  <c r="AG17"/>
  <c r="AI17" s="1"/>
  <c r="AK17"/>
  <c r="AG18"/>
  <c r="AI18" s="1"/>
  <c r="AK18"/>
  <c r="AH19"/>
  <c r="AI19" s="1"/>
  <c r="AF19" s="1"/>
  <c r="Y19" s="1"/>
  <c r="AJ19"/>
  <c r="AG20"/>
  <c r="AI20" s="1"/>
  <c r="AK20"/>
  <c r="AG21"/>
  <c r="AI21" s="1"/>
  <c r="AK21"/>
  <c r="AG22"/>
  <c r="AI22" s="1"/>
  <c r="AF22" s="1"/>
  <c r="Y22" s="1"/>
  <c r="AK22"/>
  <c r="AG23"/>
  <c r="AI23" s="1"/>
  <c r="AK23"/>
  <c r="AG24"/>
  <c r="AI24" s="1"/>
  <c r="AK24"/>
  <c r="AH25"/>
  <c r="AI25" s="1"/>
  <c r="AJ25"/>
  <c r="AF25" s="1"/>
  <c r="Y25" s="1"/>
  <c r="AG26"/>
  <c r="AI26" s="1"/>
  <c r="AK26"/>
  <c r="AG27"/>
  <c r="AI27" s="1"/>
  <c r="AK27"/>
  <c r="AG28"/>
  <c r="AI28" s="1"/>
  <c r="AK28"/>
  <c r="AG29"/>
  <c r="AI29" s="1"/>
  <c r="AK29"/>
  <c r="AG30"/>
  <c r="AI30" s="1"/>
  <c r="AK30"/>
  <c r="AH31"/>
  <c r="AI31" s="1"/>
  <c r="AF31" s="1"/>
  <c r="Y31" s="1"/>
  <c r="AJ31"/>
  <c r="AG32"/>
  <c r="AI32" s="1"/>
  <c r="AF32" s="1"/>
  <c r="Y32" s="1"/>
  <c r="AK32"/>
  <c r="AG33"/>
  <c r="AI33" s="1"/>
  <c r="AK33"/>
  <c r="AG34"/>
  <c r="AI34" s="1"/>
  <c r="AK34"/>
  <c r="AG35"/>
  <c r="AI35" s="1"/>
  <c r="AK35"/>
  <c r="AG36"/>
  <c r="AI36" s="1"/>
  <c r="AK36"/>
  <c r="AH37"/>
  <c r="AI37" s="1"/>
  <c r="AF37" s="1"/>
  <c r="Y37" s="1"/>
  <c r="AJ37"/>
  <c r="AG38"/>
  <c r="AI38" s="1"/>
  <c r="AK38"/>
  <c r="AG39"/>
  <c r="AI39" s="1"/>
  <c r="AK39"/>
  <c r="AG40"/>
  <c r="AI40" s="1"/>
  <c r="AK40"/>
  <c r="AG41"/>
  <c r="AI41" s="1"/>
  <c r="AK41"/>
  <c r="AG42"/>
  <c r="AI42" s="1"/>
  <c r="AK42"/>
  <c r="AH43"/>
  <c r="AI43" s="1"/>
  <c r="AF43" s="1"/>
  <c r="Y43" s="1"/>
  <c r="AJ43"/>
  <c r="AG44"/>
  <c r="AI44" s="1"/>
  <c r="AK44"/>
  <c r="AG45"/>
  <c r="AI45" s="1"/>
  <c r="AK45"/>
  <c r="AG46"/>
  <c r="AI46" s="1"/>
  <c r="AK46"/>
  <c r="AG47"/>
  <c r="AI47" s="1"/>
  <c r="AK47"/>
  <c r="AG48"/>
  <c r="AI48" s="1"/>
  <c r="AK48"/>
  <c r="AH49"/>
  <c r="AI49" s="1"/>
  <c r="AF49" s="1"/>
  <c r="Y49" s="1"/>
  <c r="AJ49"/>
  <c r="AG50"/>
  <c r="AI50" s="1"/>
  <c r="AK50"/>
  <c r="AG51"/>
  <c r="AI51" s="1"/>
  <c r="AK51"/>
  <c r="AG52"/>
  <c r="AI52" s="1"/>
  <c r="AK52"/>
  <c r="AG53"/>
  <c r="AI53" s="1"/>
  <c r="AK53"/>
  <c r="AG54"/>
  <c r="AI54" s="1"/>
  <c r="AK54"/>
  <c r="AH55"/>
  <c r="AI55" s="1"/>
  <c r="AF55" s="1"/>
  <c r="Y55" s="1"/>
  <c r="AJ55"/>
  <c r="BB58"/>
  <c r="AG59"/>
  <c r="AI59" s="1"/>
  <c r="AK59"/>
  <c r="AG60"/>
  <c r="AI60" s="1"/>
  <c r="AK60"/>
  <c r="AG61"/>
  <c r="AI61" s="1"/>
  <c r="AK61"/>
  <c r="AG62"/>
  <c r="AI62" s="1"/>
  <c r="AK62"/>
  <c r="AG63"/>
  <c r="AI63" s="1"/>
  <c r="AK63"/>
  <c r="AG64"/>
  <c r="AI64" s="1"/>
  <c r="AK64"/>
  <c r="AG65"/>
  <c r="AI65" s="1"/>
  <c r="AK65"/>
  <c r="AG66"/>
  <c r="AI66" s="1"/>
  <c r="AK66"/>
  <c r="AH70"/>
  <c r="AI70" s="1"/>
  <c r="AF70" s="1"/>
  <c r="Y70" s="1"/>
  <c r="AJ70"/>
  <c r="AG71"/>
  <c r="AI71" s="1"/>
  <c r="AK71"/>
  <c r="AH72"/>
  <c r="AI72" s="1"/>
  <c r="AF72" s="1"/>
  <c r="Y72" s="1"/>
  <c r="AJ72"/>
  <c r="AG73"/>
  <c r="AI73" s="1"/>
  <c r="AK73"/>
  <c r="AG77"/>
  <c r="AI77" s="1"/>
  <c r="AK77"/>
  <c r="AH78"/>
  <c r="AI78" s="1"/>
  <c r="AF78" s="1"/>
  <c r="Y78" s="1"/>
  <c r="AJ78"/>
  <c r="AH82"/>
  <c r="AI82" s="1"/>
  <c r="AF82" s="1"/>
  <c r="Y82" s="1"/>
  <c r="AJ82"/>
  <c r="AH86"/>
  <c r="AI86" s="1"/>
  <c r="AF86" s="1"/>
  <c r="Y86" s="1"/>
  <c r="AJ86"/>
  <c r="AG8" i="33"/>
  <c r="AI8" s="1"/>
  <c r="AK8"/>
  <c r="AG9"/>
  <c r="AI9" s="1"/>
  <c r="AK9"/>
  <c r="AG10"/>
  <c r="AI10" s="1"/>
  <c r="AK10"/>
  <c r="AG11"/>
  <c r="AI11" s="1"/>
  <c r="AK11"/>
  <c r="AG12"/>
  <c r="AI12" s="1"/>
  <c r="AK12"/>
  <c r="AH13"/>
  <c r="AI13" s="1"/>
  <c r="AJ13"/>
  <c r="AG14"/>
  <c r="AI14" s="1"/>
  <c r="AK14"/>
  <c r="AG15"/>
  <c r="AI15" s="1"/>
  <c r="AK15"/>
  <c r="AG16"/>
  <c r="AI16" s="1"/>
  <c r="AK16"/>
  <c r="AG17"/>
  <c r="AI17" s="1"/>
  <c r="AF17" s="1"/>
  <c r="Y17" s="1"/>
  <c r="AK17"/>
  <c r="AG18"/>
  <c r="AI18" s="1"/>
  <c r="AK18"/>
  <c r="AH19"/>
  <c r="AI19" s="1"/>
  <c r="AF19" s="1"/>
  <c r="Y19" s="1"/>
  <c r="AJ19"/>
  <c r="AG20"/>
  <c r="AI20" s="1"/>
  <c r="AK20"/>
  <c r="AG21"/>
  <c r="AI21" s="1"/>
  <c r="AK21"/>
  <c r="AG22"/>
  <c r="AI22" s="1"/>
  <c r="AF22" s="1"/>
  <c r="Y22" s="1"/>
  <c r="AK22"/>
  <c r="AG23"/>
  <c r="AI23" s="1"/>
  <c r="AK23"/>
  <c r="AG24"/>
  <c r="AI24" s="1"/>
  <c r="AK24"/>
  <c r="AH25"/>
  <c r="AI25" s="1"/>
  <c r="AJ25"/>
  <c r="AG26"/>
  <c r="AI26" s="1"/>
  <c r="AK26"/>
  <c r="AG27"/>
  <c r="AI27" s="1"/>
  <c r="AK27"/>
  <c r="AG28"/>
  <c r="AI28" s="1"/>
  <c r="AK28"/>
  <c r="AG29"/>
  <c r="AI29" s="1"/>
  <c r="AK29"/>
  <c r="AG30"/>
  <c r="AI30" s="1"/>
  <c r="AK30"/>
  <c r="AH31"/>
  <c r="AI31" s="1"/>
  <c r="AF31" s="1"/>
  <c r="Y31" s="1"/>
  <c r="AJ31"/>
  <c r="AG32"/>
  <c r="AI32" s="1"/>
  <c r="AF32" s="1"/>
  <c r="Y32" s="1"/>
  <c r="AK32"/>
  <c r="AG33"/>
  <c r="AI33" s="1"/>
  <c r="AK33"/>
  <c r="AG34"/>
  <c r="AI34" s="1"/>
  <c r="AK34"/>
  <c r="AG35"/>
  <c r="AI35" s="1"/>
  <c r="AK35"/>
  <c r="AG36"/>
  <c r="AI36" s="1"/>
  <c r="AK36"/>
  <c r="AH37"/>
  <c r="AI37" s="1"/>
  <c r="AF37" s="1"/>
  <c r="Y37" s="1"/>
  <c r="AJ37"/>
  <c r="AG38"/>
  <c r="AI38" s="1"/>
  <c r="AK38"/>
  <c r="AG39"/>
  <c r="AI39" s="1"/>
  <c r="AK39"/>
  <c r="AG40"/>
  <c r="AI40" s="1"/>
  <c r="AK40"/>
  <c r="AG41"/>
  <c r="AI41" s="1"/>
  <c r="AK41"/>
  <c r="AG42"/>
  <c r="AI42" s="1"/>
  <c r="AK42"/>
  <c r="AH43"/>
  <c r="AI43" s="1"/>
  <c r="AJ43"/>
  <c r="AG44"/>
  <c r="AI44" s="1"/>
  <c r="AK44"/>
  <c r="AG45"/>
  <c r="AI45" s="1"/>
  <c r="AK45"/>
  <c r="AG46"/>
  <c r="AI46" s="1"/>
  <c r="AK46"/>
  <c r="AG47"/>
  <c r="AI47" s="1"/>
  <c r="AK47"/>
  <c r="AL49"/>
  <c r="AK49"/>
  <c r="AF50"/>
  <c r="Y50" s="1"/>
  <c r="AJ50"/>
  <c r="AL55"/>
  <c r="AK55"/>
  <c r="AF60"/>
  <c r="Y60" s="1"/>
  <c r="AJ60"/>
  <c r="AF62"/>
  <c r="Y62" s="1"/>
  <c r="AJ62"/>
  <c r="AF64"/>
  <c r="Y64" s="1"/>
  <c r="AJ64"/>
  <c r="AF66"/>
  <c r="Y66" s="1"/>
  <c r="AJ66"/>
  <c r="AL70"/>
  <c r="AK70"/>
  <c r="AF71"/>
  <c r="Y71" s="1"/>
  <c r="AJ71"/>
  <c r="AL72"/>
  <c r="AK72"/>
  <c r="AF73"/>
  <c r="Y73" s="1"/>
  <c r="AJ73"/>
  <c r="AF77"/>
  <c r="Y77" s="1"/>
  <c r="AJ77"/>
  <c r="AL78"/>
  <c r="AK78"/>
  <c r="AL82"/>
  <c r="AK82"/>
  <c r="AL86"/>
  <c r="AK86"/>
  <c r="AW90"/>
  <c r="AW92"/>
  <c r="AF8" i="34"/>
  <c r="AJ8"/>
  <c r="AK48" i="33"/>
  <c r="AG48"/>
  <c r="AI48" s="1"/>
  <c r="AK51"/>
  <c r="AG51"/>
  <c r="AI51" s="1"/>
  <c r="AK52"/>
  <c r="AG52"/>
  <c r="AI52" s="1"/>
  <c r="AK53"/>
  <c r="AG53"/>
  <c r="AI53" s="1"/>
  <c r="AK54"/>
  <c r="AG54"/>
  <c r="AI54" s="1"/>
  <c r="BA69"/>
  <c r="BB69" s="1"/>
  <c r="BB58"/>
  <c r="AK59"/>
  <c r="AG59"/>
  <c r="AI59" s="1"/>
  <c r="AK61"/>
  <c r="AG61"/>
  <c r="AI61" s="1"/>
  <c r="AK63"/>
  <c r="AG63"/>
  <c r="AI63" s="1"/>
  <c r="AK65"/>
  <c r="AG65"/>
  <c r="AI65" s="1"/>
  <c r="AF65" s="1"/>
  <c r="Y65" s="1"/>
  <c r="AJ17" i="31"/>
  <c r="AF18"/>
  <c r="Y18" s="1"/>
  <c r="AJ18"/>
  <c r="AF20"/>
  <c r="Y20" s="1"/>
  <c r="AJ20"/>
  <c r="AF21"/>
  <c r="Y21" s="1"/>
  <c r="AJ21"/>
  <c r="AJ22"/>
  <c r="AF23"/>
  <c r="Y23" s="1"/>
  <c r="AJ23"/>
  <c r="AF24"/>
  <c r="Y24" s="1"/>
  <c r="AJ24"/>
  <c r="AF26"/>
  <c r="Y26" s="1"/>
  <c r="AJ26"/>
  <c r="AF27"/>
  <c r="Y27" s="1"/>
  <c r="AJ27"/>
  <c r="AF28"/>
  <c r="Y28" s="1"/>
  <c r="AJ28"/>
  <c r="AJ29"/>
  <c r="AF29" s="1"/>
  <c r="Y29" s="1"/>
  <c r="AF30"/>
  <c r="Y30" s="1"/>
  <c r="AJ30"/>
  <c r="AJ32"/>
  <c r="AJ33"/>
  <c r="AF33" s="1"/>
  <c r="Y33" s="1"/>
  <c r="AJ34"/>
  <c r="AF35"/>
  <c r="Y35" s="1"/>
  <c r="AJ35"/>
  <c r="AF36"/>
  <c r="Y36" s="1"/>
  <c r="AJ36"/>
  <c r="AF38"/>
  <c r="Y38" s="1"/>
  <c r="AJ38"/>
  <c r="AF39"/>
  <c r="Y39" s="1"/>
  <c r="AJ39"/>
  <c r="AF40"/>
  <c r="Y40" s="1"/>
  <c r="AJ40"/>
  <c r="AF41"/>
  <c r="Y41" s="1"/>
  <c r="AJ41"/>
  <c r="AF42"/>
  <c r="Y42" s="1"/>
  <c r="AJ42"/>
  <c r="AF44"/>
  <c r="Y44" s="1"/>
  <c r="AJ44"/>
  <c r="AF45"/>
  <c r="Y45" s="1"/>
  <c r="AJ45"/>
  <c r="AF46"/>
  <c r="Y46" s="1"/>
  <c r="AJ46"/>
  <c r="AF47"/>
  <c r="Y47" s="1"/>
  <c r="AJ47"/>
  <c r="AF48"/>
  <c r="Y48" s="1"/>
  <c r="AJ48"/>
  <c r="AF50"/>
  <c r="Y50" s="1"/>
  <c r="AJ50"/>
  <c r="AF51"/>
  <c r="Y51" s="1"/>
  <c r="AJ51"/>
  <c r="AF52"/>
  <c r="Y52" s="1"/>
  <c r="AJ52"/>
  <c r="AF53"/>
  <c r="Y53" s="1"/>
  <c r="AJ53"/>
  <c r="AF54"/>
  <c r="Y54" s="1"/>
  <c r="AJ54"/>
  <c r="AF59"/>
  <c r="Y59" s="1"/>
  <c r="AJ59"/>
  <c r="AF60"/>
  <c r="Y60" s="1"/>
  <c r="AJ60"/>
  <c r="AF61"/>
  <c r="Y61" s="1"/>
  <c r="AJ61"/>
  <c r="AF62"/>
  <c r="Y62" s="1"/>
  <c r="AJ62"/>
  <c r="AF63"/>
  <c r="Y63" s="1"/>
  <c r="AJ63"/>
  <c r="AF64"/>
  <c r="Y64" s="1"/>
  <c r="AJ64"/>
  <c r="AJ65"/>
  <c r="AF65" s="1"/>
  <c r="Y65" s="1"/>
  <c r="AJ66"/>
  <c r="AF66" s="1"/>
  <c r="Y66" s="1"/>
  <c r="AF71"/>
  <c r="Y71" s="1"/>
  <c r="AJ71"/>
  <c r="AF73"/>
  <c r="Y73" s="1"/>
  <c r="AJ73"/>
  <c r="AF77"/>
  <c r="Y77" s="1"/>
  <c r="AJ77"/>
  <c r="AJ8" i="32"/>
  <c r="AF8" s="1"/>
  <c r="AJ9"/>
  <c r="AF9" s="1"/>
  <c r="Y9" s="1"/>
  <c r="AJ10"/>
  <c r="AF10" s="1"/>
  <c r="Y10" s="1"/>
  <c r="AJ11"/>
  <c r="AF11" s="1"/>
  <c r="Y11" s="1"/>
  <c r="AF12"/>
  <c r="Y12" s="1"/>
  <c r="AJ12"/>
  <c r="AF14"/>
  <c r="Y14" s="1"/>
  <c r="AJ14"/>
  <c r="AF15"/>
  <c r="Y15" s="1"/>
  <c r="AJ15"/>
  <c r="AF16"/>
  <c r="Y16" s="1"/>
  <c r="AJ16"/>
  <c r="AJ17"/>
  <c r="AF17" s="1"/>
  <c r="Y17" s="1"/>
  <c r="AJ18"/>
  <c r="AF18" s="1"/>
  <c r="Y18" s="1"/>
  <c r="AF20"/>
  <c r="Y20" s="1"/>
  <c r="AJ20"/>
  <c r="AF21"/>
  <c r="Y21" s="1"/>
  <c r="AJ21"/>
  <c r="AJ22"/>
  <c r="AJ23"/>
  <c r="AF23" s="1"/>
  <c r="Y23" s="1"/>
  <c r="AF24"/>
  <c r="Y24" s="1"/>
  <c r="AJ24"/>
  <c r="AF26"/>
  <c r="Y26" s="1"/>
  <c r="AJ26"/>
  <c r="AF27"/>
  <c r="Y27" s="1"/>
  <c r="AJ27"/>
  <c r="AF28"/>
  <c r="Y28" s="1"/>
  <c r="AJ28"/>
  <c r="AF29"/>
  <c r="Y29" s="1"/>
  <c r="AJ29"/>
  <c r="AF30"/>
  <c r="Y30" s="1"/>
  <c r="AJ30"/>
  <c r="AJ32"/>
  <c r="AF33"/>
  <c r="Y33" s="1"/>
  <c r="AJ33"/>
  <c r="AF34"/>
  <c r="Y34" s="1"/>
  <c r="AJ34"/>
  <c r="AJ35"/>
  <c r="AF35" s="1"/>
  <c r="Y35" s="1"/>
  <c r="AF36"/>
  <c r="Y36" s="1"/>
  <c r="AJ36"/>
  <c r="AF38"/>
  <c r="Y38" s="1"/>
  <c r="AJ38"/>
  <c r="AF39"/>
  <c r="Y39" s="1"/>
  <c r="AJ39"/>
  <c r="AF40"/>
  <c r="Y40" s="1"/>
  <c r="AJ40"/>
  <c r="AF41"/>
  <c r="Y41" s="1"/>
  <c r="AJ41"/>
  <c r="AF42"/>
  <c r="Y42" s="1"/>
  <c r="AJ42"/>
  <c r="AF44"/>
  <c r="Y44" s="1"/>
  <c r="AJ44"/>
  <c r="AF45"/>
  <c r="Y45" s="1"/>
  <c r="AJ45"/>
  <c r="AF46"/>
  <c r="Y46" s="1"/>
  <c r="AJ46"/>
  <c r="AF47"/>
  <c r="Y47" s="1"/>
  <c r="AJ47"/>
  <c r="AF48"/>
  <c r="Y48" s="1"/>
  <c r="AJ48"/>
  <c r="AF50"/>
  <c r="Y50" s="1"/>
  <c r="AJ50"/>
  <c r="AF51"/>
  <c r="Y51" s="1"/>
  <c r="AJ51"/>
  <c r="AF52"/>
  <c r="Y52" s="1"/>
  <c r="AJ52"/>
  <c r="AF53"/>
  <c r="Y53" s="1"/>
  <c r="AJ53"/>
  <c r="AF54"/>
  <c r="Y54" s="1"/>
  <c r="AJ54"/>
  <c r="AF59"/>
  <c r="Y59" s="1"/>
  <c r="AJ59"/>
  <c r="AF60"/>
  <c r="Y60" s="1"/>
  <c r="AJ60"/>
  <c r="AF61"/>
  <c r="Y61" s="1"/>
  <c r="AJ61"/>
  <c r="AF62"/>
  <c r="Y62" s="1"/>
  <c r="AJ62"/>
  <c r="AF63"/>
  <c r="Y63" s="1"/>
  <c r="AJ63"/>
  <c r="AF64"/>
  <c r="Y64" s="1"/>
  <c r="AJ64"/>
  <c r="AJ65"/>
  <c r="AF65" s="1"/>
  <c r="Y65" s="1"/>
  <c r="AJ66"/>
  <c r="AF66" s="1"/>
  <c r="Y66" s="1"/>
  <c r="AF71"/>
  <c r="Y71" s="1"/>
  <c r="AJ71"/>
  <c r="AF73"/>
  <c r="Y73" s="1"/>
  <c r="AJ73"/>
  <c r="AF77"/>
  <c r="Y77" s="1"/>
  <c r="AJ77"/>
  <c r="AJ8" i="33"/>
  <c r="AF8" s="1"/>
  <c r="AJ9"/>
  <c r="AF9" s="1"/>
  <c r="Y9" s="1"/>
  <c r="AJ10"/>
  <c r="AF10" s="1"/>
  <c r="Y10" s="1"/>
  <c r="AJ11"/>
  <c r="AF11" s="1"/>
  <c r="Y11" s="1"/>
  <c r="AF12"/>
  <c r="Y12" s="1"/>
  <c r="AJ12"/>
  <c r="AF14"/>
  <c r="Y14" s="1"/>
  <c r="AJ14"/>
  <c r="AF15"/>
  <c r="Y15" s="1"/>
  <c r="AJ15"/>
  <c r="AF16"/>
  <c r="Y16" s="1"/>
  <c r="AJ16"/>
  <c r="AJ17"/>
  <c r="AJ18"/>
  <c r="AF18" s="1"/>
  <c r="Y18" s="1"/>
  <c r="AF20"/>
  <c r="Y20" s="1"/>
  <c r="AJ20"/>
  <c r="AF21"/>
  <c r="Y21" s="1"/>
  <c r="AJ21"/>
  <c r="AJ22"/>
  <c r="AF23"/>
  <c r="Y23" s="1"/>
  <c r="AJ23"/>
  <c r="AJ24"/>
  <c r="AF24" s="1"/>
  <c r="Y24" s="1"/>
  <c r="AF26"/>
  <c r="Y26" s="1"/>
  <c r="AJ26"/>
  <c r="AF27"/>
  <c r="Y27" s="1"/>
  <c r="AJ27"/>
  <c r="AF28"/>
  <c r="Y28" s="1"/>
  <c r="AJ28"/>
  <c r="AF29"/>
  <c r="Y29" s="1"/>
  <c r="AJ29"/>
  <c r="AF30"/>
  <c r="Y30" s="1"/>
  <c r="AJ30"/>
  <c r="AJ32"/>
  <c r="AJ33"/>
  <c r="AF33" s="1"/>
  <c r="Y33" s="1"/>
  <c r="AF34"/>
  <c r="Y34" s="1"/>
  <c r="AJ34"/>
  <c r="AJ35"/>
  <c r="AF35" s="1"/>
  <c r="Y35" s="1"/>
  <c r="AJ36"/>
  <c r="AF36" s="1"/>
  <c r="Y36" s="1"/>
  <c r="AF38"/>
  <c r="Y38" s="1"/>
  <c r="AJ38"/>
  <c r="AF39"/>
  <c r="Y39" s="1"/>
  <c r="AJ39"/>
  <c r="AF40"/>
  <c r="Y40" s="1"/>
  <c r="AJ40"/>
  <c r="AF41"/>
  <c r="Y41" s="1"/>
  <c r="AJ41"/>
  <c r="AF42"/>
  <c r="Y42" s="1"/>
  <c r="AJ42"/>
  <c r="AF44"/>
  <c r="Y44" s="1"/>
  <c r="AJ44"/>
  <c r="AF45"/>
  <c r="Y45" s="1"/>
  <c r="AJ45"/>
  <c r="AF46"/>
  <c r="Y46" s="1"/>
  <c r="AJ46"/>
  <c r="AF47"/>
  <c r="Y47" s="1"/>
  <c r="AJ47"/>
  <c r="AF48"/>
  <c r="Y48" s="1"/>
  <c r="AJ48"/>
  <c r="AF51"/>
  <c r="Y51" s="1"/>
  <c r="AJ51"/>
  <c r="AF52"/>
  <c r="Y52" s="1"/>
  <c r="AJ52"/>
  <c r="AF53"/>
  <c r="Y53" s="1"/>
  <c r="AJ53"/>
  <c r="AF54"/>
  <c r="Y54" s="1"/>
  <c r="AJ54"/>
  <c r="AF59"/>
  <c r="Y59" s="1"/>
  <c r="AJ59"/>
  <c r="AF61"/>
  <c r="Y61" s="1"/>
  <c r="AJ61"/>
  <c r="AF63"/>
  <c r="Y63" s="1"/>
  <c r="AJ63"/>
  <c r="AJ65"/>
  <c r="AL60" i="34"/>
  <c r="AJ60"/>
  <c r="AK13" i="35"/>
  <c r="AG13"/>
  <c r="AI13" s="1"/>
  <c r="AK19"/>
  <c r="AG19"/>
  <c r="AI19" s="1"/>
  <c r="AK25"/>
  <c r="AG25"/>
  <c r="AI25" s="1"/>
  <c r="AJ9" i="34"/>
  <c r="AL9"/>
  <c r="AJ10"/>
  <c r="AL10"/>
  <c r="AJ11"/>
  <c r="AL11"/>
  <c r="AJ12"/>
  <c r="AL12"/>
  <c r="AK13"/>
  <c r="AJ14"/>
  <c r="AL14"/>
  <c r="AJ15"/>
  <c r="AL15"/>
  <c r="AJ16"/>
  <c r="AL16"/>
  <c r="AJ17"/>
  <c r="AL17"/>
  <c r="AJ18"/>
  <c r="AL18"/>
  <c r="AK19"/>
  <c r="AJ20"/>
  <c r="AL20"/>
  <c r="AJ21"/>
  <c r="AL21"/>
  <c r="AF22"/>
  <c r="Y22" s="1"/>
  <c r="AJ22"/>
  <c r="AL22"/>
  <c r="AJ23"/>
  <c r="AL23"/>
  <c r="AJ24"/>
  <c r="AL24"/>
  <c r="AK25"/>
  <c r="AJ26"/>
  <c r="AL26"/>
  <c r="AJ27"/>
  <c r="AL27"/>
  <c r="AJ28"/>
  <c r="AL28"/>
  <c r="AJ29"/>
  <c r="AL29"/>
  <c r="AJ30"/>
  <c r="AL30"/>
  <c r="AK31"/>
  <c r="AJ32"/>
  <c r="AL32"/>
  <c r="AJ33"/>
  <c r="AL33"/>
  <c r="AJ34"/>
  <c r="AL34"/>
  <c r="AF34" s="1"/>
  <c r="Y34" s="1"/>
  <c r="AJ35"/>
  <c r="AL35"/>
  <c r="AJ36"/>
  <c r="AL36"/>
  <c r="AK37"/>
  <c r="AJ38"/>
  <c r="AL38"/>
  <c r="AJ39"/>
  <c r="AL39"/>
  <c r="AJ40"/>
  <c r="AL40"/>
  <c r="AJ41"/>
  <c r="AL41"/>
  <c r="AJ42"/>
  <c r="AL42"/>
  <c r="AK43"/>
  <c r="AJ44"/>
  <c r="AL44"/>
  <c r="AJ45"/>
  <c r="AL45"/>
  <c r="AJ46"/>
  <c r="AL46"/>
  <c r="AJ47"/>
  <c r="AL47"/>
  <c r="AJ48"/>
  <c r="AL48"/>
  <c r="AK49"/>
  <c r="AJ50"/>
  <c r="AL50"/>
  <c r="AJ51"/>
  <c r="AL51"/>
  <c r="AJ52"/>
  <c r="AL52"/>
  <c r="AJ53"/>
  <c r="AL53"/>
  <c r="AJ54"/>
  <c r="AL54"/>
  <c r="AK55"/>
  <c r="AJ59"/>
  <c r="AL59"/>
  <c r="AG60"/>
  <c r="AI60" s="1"/>
  <c r="AF60" s="1"/>
  <c r="Y60" s="1"/>
  <c r="AK60"/>
  <c r="AJ13" i="35"/>
  <c r="AF13" s="1"/>
  <c r="Y13" s="1"/>
  <c r="AJ19"/>
  <c r="AJ25"/>
  <c r="AF25" s="1"/>
  <c r="Y25" s="1"/>
  <c r="AK70" i="34"/>
  <c r="AG70"/>
  <c r="AI70" s="1"/>
  <c r="AK72"/>
  <c r="AG72"/>
  <c r="AI72" s="1"/>
  <c r="AK78"/>
  <c r="AG78"/>
  <c r="AI78" s="1"/>
  <c r="AK82"/>
  <c r="AG82"/>
  <c r="AI82" s="1"/>
  <c r="AK86"/>
  <c r="AG86"/>
  <c r="AI86" s="1"/>
  <c r="AJ49" i="33"/>
  <c r="AF49" s="1"/>
  <c r="Y49" s="1"/>
  <c r="AF55"/>
  <c r="Y55" s="1"/>
  <c r="AJ55"/>
  <c r="AF70"/>
  <c r="Y70" s="1"/>
  <c r="AJ70"/>
  <c r="AF72"/>
  <c r="Y72" s="1"/>
  <c r="AJ72"/>
  <c r="AF78"/>
  <c r="Y78" s="1"/>
  <c r="AJ78"/>
  <c r="AF82"/>
  <c r="Y82" s="1"/>
  <c r="AJ82"/>
  <c r="AJ86"/>
  <c r="AF86" s="1"/>
  <c r="Y86" s="1"/>
  <c r="AG9" i="34"/>
  <c r="AI9" s="1"/>
  <c r="AF9" s="1"/>
  <c r="Y9" s="1"/>
  <c r="AG10"/>
  <c r="AI10" s="1"/>
  <c r="AF10" s="1"/>
  <c r="Y10" s="1"/>
  <c r="AG11"/>
  <c r="AI11" s="1"/>
  <c r="AF11" s="1"/>
  <c r="Y11" s="1"/>
  <c r="AG12"/>
  <c r="AI12" s="1"/>
  <c r="AF12" s="1"/>
  <c r="Y12" s="1"/>
  <c r="AF13"/>
  <c r="Y13" s="1"/>
  <c r="AJ13"/>
  <c r="AG14"/>
  <c r="AI14" s="1"/>
  <c r="AF14" s="1"/>
  <c r="Y14" s="1"/>
  <c r="AG15"/>
  <c r="AI15" s="1"/>
  <c r="AF15" s="1"/>
  <c r="Y15" s="1"/>
  <c r="AG16"/>
  <c r="AI16" s="1"/>
  <c r="AF16" s="1"/>
  <c r="Y16" s="1"/>
  <c r="AG17"/>
  <c r="AI17" s="1"/>
  <c r="AF17" s="1"/>
  <c r="Y17" s="1"/>
  <c r="AG18"/>
  <c r="AI18" s="1"/>
  <c r="AF18" s="1"/>
  <c r="Y18" s="1"/>
  <c r="AJ19"/>
  <c r="AF19" s="1"/>
  <c r="Y19" s="1"/>
  <c r="AG20"/>
  <c r="AI20" s="1"/>
  <c r="AF20" s="1"/>
  <c r="Y20" s="1"/>
  <c r="AG21"/>
  <c r="AI21" s="1"/>
  <c r="AF21" s="1"/>
  <c r="Y21" s="1"/>
  <c r="AG22"/>
  <c r="AI22" s="1"/>
  <c r="AG23"/>
  <c r="AI23" s="1"/>
  <c r="AF23" s="1"/>
  <c r="Y23" s="1"/>
  <c r="AG24"/>
  <c r="AI24" s="1"/>
  <c r="AF24" s="1"/>
  <c r="Y24" s="1"/>
  <c r="AJ25"/>
  <c r="AF25" s="1"/>
  <c r="Y25" s="1"/>
  <c r="AG26"/>
  <c r="AI26" s="1"/>
  <c r="AF26" s="1"/>
  <c r="Y26" s="1"/>
  <c r="AG27"/>
  <c r="AI27" s="1"/>
  <c r="AG28"/>
  <c r="AI28" s="1"/>
  <c r="AF28" s="1"/>
  <c r="Y28" s="1"/>
  <c r="AG29"/>
  <c r="AI29" s="1"/>
  <c r="AF29" s="1"/>
  <c r="Y29" s="1"/>
  <c r="AG30"/>
  <c r="AI30" s="1"/>
  <c r="AF30" s="1"/>
  <c r="Y30" s="1"/>
  <c r="AF31"/>
  <c r="Y31" s="1"/>
  <c r="AJ31"/>
  <c r="AG32"/>
  <c r="AI32" s="1"/>
  <c r="AF32" s="1"/>
  <c r="Y32" s="1"/>
  <c r="AG33"/>
  <c r="AI33" s="1"/>
  <c r="AF33" s="1"/>
  <c r="Y33" s="1"/>
  <c r="AG34"/>
  <c r="AI34" s="1"/>
  <c r="AG35"/>
  <c r="AI35" s="1"/>
  <c r="AF35" s="1"/>
  <c r="Y35" s="1"/>
  <c r="AG36"/>
  <c r="AI36" s="1"/>
  <c r="AF36" s="1"/>
  <c r="Y36" s="1"/>
  <c r="AF37"/>
  <c r="Y37" s="1"/>
  <c r="AJ37"/>
  <c r="AG38"/>
  <c r="AI38" s="1"/>
  <c r="AF38" s="1"/>
  <c r="Y38" s="1"/>
  <c r="AG39"/>
  <c r="AI39" s="1"/>
  <c r="AF39" s="1"/>
  <c r="Y39" s="1"/>
  <c r="AG40"/>
  <c r="AI40" s="1"/>
  <c r="AF40" s="1"/>
  <c r="Y40" s="1"/>
  <c r="AG41"/>
  <c r="AI41" s="1"/>
  <c r="AF41" s="1"/>
  <c r="Y41" s="1"/>
  <c r="AG42"/>
  <c r="AI42" s="1"/>
  <c r="AF42" s="1"/>
  <c r="Y42" s="1"/>
  <c r="AF43"/>
  <c r="Y43" s="1"/>
  <c r="AJ43"/>
  <c r="AG44"/>
  <c r="AI44" s="1"/>
  <c r="AF44" s="1"/>
  <c r="Y44" s="1"/>
  <c r="AG45"/>
  <c r="AI45" s="1"/>
  <c r="AF45" s="1"/>
  <c r="Y45" s="1"/>
  <c r="AG46"/>
  <c r="AI46" s="1"/>
  <c r="AF46" s="1"/>
  <c r="Y46" s="1"/>
  <c r="AG47"/>
  <c r="AI47" s="1"/>
  <c r="AF47" s="1"/>
  <c r="Y47" s="1"/>
  <c r="AG48"/>
  <c r="AI48" s="1"/>
  <c r="AF48" s="1"/>
  <c r="Y48" s="1"/>
  <c r="AF49"/>
  <c r="Y49" s="1"/>
  <c r="AJ49"/>
  <c r="AG50"/>
  <c r="AI50" s="1"/>
  <c r="AF50" s="1"/>
  <c r="Y50" s="1"/>
  <c r="AG51"/>
  <c r="AI51" s="1"/>
  <c r="AF51" s="1"/>
  <c r="Y51" s="1"/>
  <c r="AG52"/>
  <c r="AI52" s="1"/>
  <c r="AF52" s="1"/>
  <c r="Y52" s="1"/>
  <c r="AG53"/>
  <c r="AI53" s="1"/>
  <c r="AG54"/>
  <c r="AI54" s="1"/>
  <c r="AF54" s="1"/>
  <c r="Y54" s="1"/>
  <c r="AJ55"/>
  <c r="AF55" s="1"/>
  <c r="Y55" s="1"/>
  <c r="BB58"/>
  <c r="S3" s="1"/>
  <c r="H62" i="22" s="1"/>
  <c r="AG59" i="34"/>
  <c r="AI59" s="1"/>
  <c r="AF59" s="1"/>
  <c r="Y59" s="1"/>
  <c r="AF70"/>
  <c r="Y70" s="1"/>
  <c r="AJ70"/>
  <c r="AL71"/>
  <c r="AK71"/>
  <c r="AF72"/>
  <c r="Y72" s="1"/>
  <c r="AJ72"/>
  <c r="AL73"/>
  <c r="AK73"/>
  <c r="AL77"/>
  <c r="AK77"/>
  <c r="AF78"/>
  <c r="Y78" s="1"/>
  <c r="AJ78"/>
  <c r="AF82"/>
  <c r="Y82" s="1"/>
  <c r="AJ82"/>
  <c r="AJ86"/>
  <c r="AF86" s="1"/>
  <c r="Y86" s="1"/>
  <c r="AX89"/>
  <c r="AL9" i="35"/>
  <c r="AK9"/>
  <c r="AL11"/>
  <c r="AK11"/>
  <c r="AL13"/>
  <c r="AL15"/>
  <c r="AK15"/>
  <c r="AL17"/>
  <c r="AK17"/>
  <c r="AL19"/>
  <c r="AF19" s="1"/>
  <c r="Y19" s="1"/>
  <c r="AL21"/>
  <c r="AK21"/>
  <c r="AL23"/>
  <c r="AK23"/>
  <c r="AL25"/>
  <c r="AJ61" i="34"/>
  <c r="AF61" s="1"/>
  <c r="Y61" s="1"/>
  <c r="AF62"/>
  <c r="Y62" s="1"/>
  <c r="AJ62"/>
  <c r="AJ63"/>
  <c r="AF63" s="1"/>
  <c r="Y63" s="1"/>
  <c r="AJ64"/>
  <c r="AF64" s="1"/>
  <c r="Y64" s="1"/>
  <c r="AJ65"/>
  <c r="AF66"/>
  <c r="Y66" s="1"/>
  <c r="AJ66"/>
  <c r="AF71"/>
  <c r="Y71" s="1"/>
  <c r="AJ71"/>
  <c r="AF73"/>
  <c r="Y73" s="1"/>
  <c r="AJ73"/>
  <c r="AF77"/>
  <c r="Y77" s="1"/>
  <c r="AJ77"/>
  <c r="AJ8" i="35"/>
  <c r="AF8" s="1"/>
  <c r="AJ9"/>
  <c r="AF9" s="1"/>
  <c r="Y9" s="1"/>
  <c r="AJ10"/>
  <c r="AF10" s="1"/>
  <c r="Y10" s="1"/>
  <c r="AJ11"/>
  <c r="AF11" s="1"/>
  <c r="Y11" s="1"/>
  <c r="AF12"/>
  <c r="Y12" s="1"/>
  <c r="AJ12"/>
  <c r="AF14"/>
  <c r="Y14" s="1"/>
  <c r="AJ14"/>
  <c r="AF15"/>
  <c r="Y15" s="1"/>
  <c r="AJ15"/>
  <c r="AF16"/>
  <c r="Y16" s="1"/>
  <c r="AJ16"/>
  <c r="AF17"/>
  <c r="Y17" s="1"/>
  <c r="AJ17"/>
  <c r="AJ18"/>
  <c r="AF18" s="1"/>
  <c r="Y18" s="1"/>
  <c r="AF20"/>
  <c r="Y20" s="1"/>
  <c r="AJ20"/>
  <c r="AF21"/>
  <c r="Y21" s="1"/>
  <c r="AJ21"/>
  <c r="AJ22"/>
  <c r="AF22" s="1"/>
  <c r="Y22" s="1"/>
  <c r="AF23"/>
  <c r="Y23" s="1"/>
  <c r="AJ23"/>
  <c r="AF24"/>
  <c r="Y24" s="1"/>
  <c r="AJ24"/>
  <c r="AF26"/>
  <c r="Y26" s="1"/>
  <c r="AJ26"/>
  <c r="AH27"/>
  <c r="AI27" s="1"/>
  <c r="AJ27"/>
  <c r="AF27" s="1"/>
  <c r="Y27" s="1"/>
  <c r="AH28"/>
  <c r="AI28" s="1"/>
  <c r="AJ28"/>
  <c r="AH29"/>
  <c r="AI29" s="1"/>
  <c r="AF29" s="1"/>
  <c r="Y29" s="1"/>
  <c r="AJ29"/>
  <c r="AH30"/>
  <c r="AI30" s="1"/>
  <c r="AJ30"/>
  <c r="AG31"/>
  <c r="AI31" s="1"/>
  <c r="AK31"/>
  <c r="AH32"/>
  <c r="AI32" s="1"/>
  <c r="AJ32"/>
  <c r="AH33"/>
  <c r="AI33" s="1"/>
  <c r="AJ33"/>
  <c r="AF33" s="1"/>
  <c r="Y33" s="1"/>
  <c r="AH34"/>
  <c r="AI34" s="1"/>
  <c r="AJ34"/>
  <c r="AF34" s="1"/>
  <c r="Y34" s="1"/>
  <c r="AH35"/>
  <c r="AI35" s="1"/>
  <c r="AF35" s="1"/>
  <c r="Y35" s="1"/>
  <c r="AJ35"/>
  <c r="AH36"/>
  <c r="AI36" s="1"/>
  <c r="AF36" s="1"/>
  <c r="Y36" s="1"/>
  <c r="AJ36"/>
  <c r="AG37"/>
  <c r="AI37" s="1"/>
  <c r="AK37"/>
  <c r="AH38"/>
  <c r="AI38" s="1"/>
  <c r="AF38" s="1"/>
  <c r="Y38" s="1"/>
  <c r="AJ38"/>
  <c r="AH39"/>
  <c r="AI39" s="1"/>
  <c r="AJ39"/>
  <c r="AF39" s="1"/>
  <c r="Y39" s="1"/>
  <c r="AH40"/>
  <c r="AI40" s="1"/>
  <c r="AF40" s="1"/>
  <c r="Y40" s="1"/>
  <c r="AJ40"/>
  <c r="AH41"/>
  <c r="AI41" s="1"/>
  <c r="AF41" s="1"/>
  <c r="Y41" s="1"/>
  <c r="AJ41"/>
  <c r="AH42"/>
  <c r="AI42" s="1"/>
  <c r="AJ42"/>
  <c r="AG43"/>
  <c r="AI43" s="1"/>
  <c r="AK43"/>
  <c r="AF44"/>
  <c r="Y44" s="1"/>
  <c r="AH44"/>
  <c r="AI44" s="1"/>
  <c r="AJ44"/>
  <c r="AH45"/>
  <c r="AI45" s="1"/>
  <c r="AJ45"/>
  <c r="AH46"/>
  <c r="AI46" s="1"/>
  <c r="AJ46"/>
  <c r="AH47"/>
  <c r="AI47" s="1"/>
  <c r="AF47" s="1"/>
  <c r="Y47" s="1"/>
  <c r="AJ47"/>
  <c r="AH48"/>
  <c r="AI48" s="1"/>
  <c r="AJ48"/>
  <c r="AG49"/>
  <c r="AI49" s="1"/>
  <c r="AK49"/>
  <c r="AH50"/>
  <c r="AJ50"/>
  <c r="AH51"/>
  <c r="AI51" s="1"/>
  <c r="AJ51"/>
  <c r="AH52"/>
  <c r="AI52" s="1"/>
  <c r="AJ52"/>
  <c r="AF52" s="1"/>
  <c r="Y52" s="1"/>
  <c r="AH53"/>
  <c r="AI53" s="1"/>
  <c r="AF53" s="1"/>
  <c r="Y53" s="1"/>
  <c r="AJ53"/>
  <c r="AH54"/>
  <c r="AI54" s="1"/>
  <c r="AF54" s="1"/>
  <c r="Y54" s="1"/>
  <c r="AJ54"/>
  <c r="AG55"/>
  <c r="AI55" s="1"/>
  <c r="AK55"/>
  <c r="AH59"/>
  <c r="AI59" s="1"/>
  <c r="AJ59"/>
  <c r="AH60"/>
  <c r="AI60" s="1"/>
  <c r="AJ60"/>
  <c r="AH61"/>
  <c r="AI61" s="1"/>
  <c r="AF61" s="1"/>
  <c r="Y61" s="1"/>
  <c r="AJ61"/>
  <c r="AH62"/>
  <c r="AI62" s="1"/>
  <c r="AJ62"/>
  <c r="AH63"/>
  <c r="AI63" s="1"/>
  <c r="AF63" s="1"/>
  <c r="Y63" s="1"/>
  <c r="AJ63"/>
  <c r="AH64"/>
  <c r="AI64" s="1"/>
  <c r="AF64" s="1"/>
  <c r="Y64" s="1"/>
  <c r="AJ64"/>
  <c r="AH65"/>
  <c r="AI65" s="1"/>
  <c r="AJ65"/>
  <c r="AF65" s="1"/>
  <c r="Y65" s="1"/>
  <c r="AH66"/>
  <c r="AI66" s="1"/>
  <c r="AF66" s="1"/>
  <c r="Y66" s="1"/>
  <c r="AJ66"/>
  <c r="AG70"/>
  <c r="AI70" s="1"/>
  <c r="AK70"/>
  <c r="AH71"/>
  <c r="AI71" s="1"/>
  <c r="AF71" s="1"/>
  <c r="Y71" s="1"/>
  <c r="AJ71"/>
  <c r="AG72"/>
  <c r="AI72" s="1"/>
  <c r="AK72"/>
  <c r="AH73"/>
  <c r="AI73" s="1"/>
  <c r="AF73" s="1"/>
  <c r="Y73" s="1"/>
  <c r="AJ73"/>
  <c r="AH77"/>
  <c r="AI77" s="1"/>
  <c r="AJ77"/>
  <c r="AG78"/>
  <c r="AI78" s="1"/>
  <c r="AK78"/>
  <c r="AG82"/>
  <c r="AI82" s="1"/>
  <c r="AK82"/>
  <c r="AG86"/>
  <c r="AI86" s="1"/>
  <c r="AK86"/>
  <c r="AH8" i="36"/>
  <c r="AI8" s="1"/>
  <c r="AF8" s="1"/>
  <c r="AJ8"/>
  <c r="AH9"/>
  <c r="AI9" s="1"/>
  <c r="AF9" s="1"/>
  <c r="Y9" s="1"/>
  <c r="AJ9"/>
  <c r="AH10"/>
  <c r="AI10" s="1"/>
  <c r="AF10" s="1"/>
  <c r="Y10" s="1"/>
  <c r="AJ10"/>
  <c r="AH11"/>
  <c r="AI11" s="1"/>
  <c r="AJ11"/>
  <c r="AH12"/>
  <c r="AI12" s="1"/>
  <c r="AJ12"/>
  <c r="AG13"/>
  <c r="AI13" s="1"/>
  <c r="AK13"/>
  <c r="AH14"/>
  <c r="AI14" s="1"/>
  <c r="AF14" s="1"/>
  <c r="Y14" s="1"/>
  <c r="AJ14"/>
  <c r="AH15"/>
  <c r="AI15" s="1"/>
  <c r="AJ15"/>
  <c r="AH16"/>
  <c r="AI16" s="1"/>
  <c r="AJ16"/>
  <c r="AH17"/>
  <c r="AI17" s="1"/>
  <c r="AJ17"/>
  <c r="AH18"/>
  <c r="AJ18"/>
  <c r="AG19"/>
  <c r="AI19" s="1"/>
  <c r="AK19"/>
  <c r="AH20"/>
  <c r="AI20" s="1"/>
  <c r="AF20" s="1"/>
  <c r="Y20" s="1"/>
  <c r="AJ20"/>
  <c r="AH21"/>
  <c r="AI21" s="1"/>
  <c r="AJ21"/>
  <c r="AF22"/>
  <c r="Y22" s="1"/>
  <c r="AH22"/>
  <c r="AI22" s="1"/>
  <c r="AJ22"/>
  <c r="AH23"/>
  <c r="AI23" s="1"/>
  <c r="AF23" s="1"/>
  <c r="Y23" s="1"/>
  <c r="AJ23"/>
  <c r="AH24"/>
  <c r="AI24" s="1"/>
  <c r="AJ24"/>
  <c r="AG25"/>
  <c r="AI25" s="1"/>
  <c r="AK25"/>
  <c r="AH26"/>
  <c r="AI26" s="1"/>
  <c r="AF26" s="1"/>
  <c r="Y26" s="1"/>
  <c r="AJ26"/>
  <c r="AH27"/>
  <c r="AI27" s="1"/>
  <c r="AJ27"/>
  <c r="AF27" s="1"/>
  <c r="Y27" s="1"/>
  <c r="AH28"/>
  <c r="AI28" s="1"/>
  <c r="AJ28"/>
  <c r="AH29"/>
  <c r="AI29" s="1"/>
  <c r="AF29" s="1"/>
  <c r="Y29" s="1"/>
  <c r="AJ29"/>
  <c r="AL30"/>
  <c r="AH30"/>
  <c r="AI30" s="1"/>
  <c r="AJ30"/>
  <c r="AL33"/>
  <c r="AK33"/>
  <c r="AI35"/>
  <c r="AI39"/>
  <c r="AI41"/>
  <c r="AI45"/>
  <c r="AI47"/>
  <c r="AI53"/>
  <c r="AI63"/>
  <c r="AI65"/>
  <c r="AF65" s="1"/>
  <c r="Y65" s="1"/>
  <c r="AI77"/>
  <c r="AI9" i="37"/>
  <c r="AK31" i="36"/>
  <c r="AG31"/>
  <c r="AI31" s="1"/>
  <c r="AF31" i="35"/>
  <c r="Y31" s="1"/>
  <c r="AJ31"/>
  <c r="AF37"/>
  <c r="Y37" s="1"/>
  <c r="AJ37"/>
  <c r="AF43"/>
  <c r="Y43" s="1"/>
  <c r="AJ43"/>
  <c r="AF49"/>
  <c r="Y49" s="1"/>
  <c r="AJ49"/>
  <c r="AF55"/>
  <c r="Y55" s="1"/>
  <c r="AJ55"/>
  <c r="AF70"/>
  <c r="Y70" s="1"/>
  <c r="AJ70"/>
  <c r="AF72"/>
  <c r="Y72" s="1"/>
  <c r="AJ72"/>
  <c r="AF78"/>
  <c r="Y78" s="1"/>
  <c r="AJ78"/>
  <c r="AF82"/>
  <c r="Y82" s="1"/>
  <c r="AJ82"/>
  <c r="AJ86"/>
  <c r="AF86" s="1"/>
  <c r="Y86" s="1"/>
  <c r="AV89"/>
  <c r="AJ13" i="36"/>
  <c r="AF13" s="1"/>
  <c r="Y13" s="1"/>
  <c r="AF19"/>
  <c r="Y19" s="1"/>
  <c r="AJ19"/>
  <c r="AF25"/>
  <c r="Y25" s="1"/>
  <c r="AJ25"/>
  <c r="AF31"/>
  <c r="Y31" s="1"/>
  <c r="AJ31"/>
  <c r="AI10" i="37"/>
  <c r="AK35" i="36"/>
  <c r="AK36"/>
  <c r="AJ37"/>
  <c r="AL37"/>
  <c r="AK38"/>
  <c r="AK39"/>
  <c r="AK40"/>
  <c r="AK41"/>
  <c r="AK42"/>
  <c r="AJ43"/>
  <c r="AL43"/>
  <c r="AK44"/>
  <c r="AK45"/>
  <c r="AK46"/>
  <c r="AK47"/>
  <c r="AK48"/>
  <c r="AJ49"/>
  <c r="AL49"/>
  <c r="AK50"/>
  <c r="AK51"/>
  <c r="AK52"/>
  <c r="AK53"/>
  <c r="AG54"/>
  <c r="AI54" s="1"/>
  <c r="AK54"/>
  <c r="AH55"/>
  <c r="AI55" s="1"/>
  <c r="AJ55"/>
  <c r="BB58"/>
  <c r="S3" s="1"/>
  <c r="H50" i="22" s="1"/>
  <c r="AG59" i="36"/>
  <c r="AI59" s="1"/>
  <c r="AK59"/>
  <c r="AG60"/>
  <c r="AI60" s="1"/>
  <c r="AK60"/>
  <c r="AG61"/>
  <c r="AI61" s="1"/>
  <c r="AK61"/>
  <c r="AG62"/>
  <c r="AI62" s="1"/>
  <c r="AK62"/>
  <c r="AK63"/>
  <c r="AK64"/>
  <c r="AK65"/>
  <c r="AK66"/>
  <c r="AJ70"/>
  <c r="AL70"/>
  <c r="AK71"/>
  <c r="AJ72"/>
  <c r="AL72"/>
  <c r="AK73"/>
  <c r="AK77"/>
  <c r="AJ78"/>
  <c r="AL78"/>
  <c r="AJ82"/>
  <c r="AL82"/>
  <c r="AJ86"/>
  <c r="AL86"/>
  <c r="AK8" i="37"/>
  <c r="AK9"/>
  <c r="AK10"/>
  <c r="AK11"/>
  <c r="AG12"/>
  <c r="AI12" s="1"/>
  <c r="AK12"/>
  <c r="AH13"/>
  <c r="AJ13"/>
  <c r="AG14"/>
  <c r="AI14" s="1"/>
  <c r="AK14"/>
  <c r="AG15"/>
  <c r="AI15" s="1"/>
  <c r="AL17"/>
  <c r="AK17"/>
  <c r="AL21"/>
  <c r="AK21"/>
  <c r="AL15"/>
  <c r="AJ15"/>
  <c r="AK19"/>
  <c r="AG19"/>
  <c r="AI19" s="1"/>
  <c r="AJ32" i="36"/>
  <c r="AF32" s="1"/>
  <c r="Y32" s="1"/>
  <c r="AF33"/>
  <c r="Y33" s="1"/>
  <c r="AJ33"/>
  <c r="AJ34"/>
  <c r="AF35"/>
  <c r="Y35" s="1"/>
  <c r="AJ35"/>
  <c r="AF36"/>
  <c r="Y36" s="1"/>
  <c r="AJ36"/>
  <c r="AG37"/>
  <c r="AI37" s="1"/>
  <c r="AF37" s="1"/>
  <c r="Y37" s="1"/>
  <c r="AF38"/>
  <c r="Y38" s="1"/>
  <c r="AJ38"/>
  <c r="AF39"/>
  <c r="Y39" s="1"/>
  <c r="AJ39"/>
  <c r="AJ40"/>
  <c r="AF40" s="1"/>
  <c r="Y40" s="1"/>
  <c r="AF41"/>
  <c r="Y41" s="1"/>
  <c r="AJ41"/>
  <c r="AF42"/>
  <c r="Y42" s="1"/>
  <c r="AJ42"/>
  <c r="AG43"/>
  <c r="AI43" s="1"/>
  <c r="AF43" s="1"/>
  <c r="Y43" s="1"/>
  <c r="AJ44"/>
  <c r="AF44" s="1"/>
  <c r="Y44" s="1"/>
  <c r="AF45"/>
  <c r="Y45" s="1"/>
  <c r="AJ45"/>
  <c r="AF46"/>
  <c r="Y46" s="1"/>
  <c r="AJ46"/>
  <c r="AF47"/>
  <c r="Y47" s="1"/>
  <c r="AJ47"/>
  <c r="AF48"/>
  <c r="Y48" s="1"/>
  <c r="AJ48"/>
  <c r="AG49"/>
  <c r="AI49" s="1"/>
  <c r="AF49" s="1"/>
  <c r="Y49" s="1"/>
  <c r="AF50"/>
  <c r="Y50" s="1"/>
  <c r="AJ50"/>
  <c r="AF51"/>
  <c r="Y51" s="1"/>
  <c r="AJ51"/>
  <c r="AF52"/>
  <c r="Y52" s="1"/>
  <c r="AJ52"/>
  <c r="AF53"/>
  <c r="Y53" s="1"/>
  <c r="AJ53"/>
  <c r="AF54"/>
  <c r="Y54" s="1"/>
  <c r="AJ54"/>
  <c r="AF59"/>
  <c r="Y59" s="1"/>
  <c r="AJ59"/>
  <c r="AJ60"/>
  <c r="AF60" s="1"/>
  <c r="Y60" s="1"/>
  <c r="AF61"/>
  <c r="Y61" s="1"/>
  <c r="AJ61"/>
  <c r="AF62"/>
  <c r="Y62" s="1"/>
  <c r="AJ62"/>
  <c r="AF63"/>
  <c r="Y63" s="1"/>
  <c r="AJ63"/>
  <c r="AF64"/>
  <c r="Y64" s="1"/>
  <c r="AJ64"/>
  <c r="AJ65"/>
  <c r="AJ66"/>
  <c r="AF66" s="1"/>
  <c r="Y66" s="1"/>
  <c r="AG70"/>
  <c r="AI70" s="1"/>
  <c r="AF70" s="1"/>
  <c r="Y70" s="1"/>
  <c r="AF71"/>
  <c r="Y71" s="1"/>
  <c r="AJ71"/>
  <c r="AG72"/>
  <c r="AI72" s="1"/>
  <c r="AF72" s="1"/>
  <c r="Y72" s="1"/>
  <c r="AF73"/>
  <c r="Y73" s="1"/>
  <c r="AJ73"/>
  <c r="AF77"/>
  <c r="Y77" s="1"/>
  <c r="AJ77"/>
  <c r="AG78"/>
  <c r="AI78" s="1"/>
  <c r="AF78" s="1"/>
  <c r="Y78" s="1"/>
  <c r="AG82"/>
  <c r="AI82" s="1"/>
  <c r="AF82" s="1"/>
  <c r="Y82" s="1"/>
  <c r="AG86"/>
  <c r="AI86" s="1"/>
  <c r="AJ8" i="37"/>
  <c r="AF8" s="1"/>
  <c r="AJ9"/>
  <c r="AF9" s="1"/>
  <c r="Y9" s="1"/>
  <c r="AJ10"/>
  <c r="AF10" s="1"/>
  <c r="Y10" s="1"/>
  <c r="AF11"/>
  <c r="Y11" s="1"/>
  <c r="AJ11"/>
  <c r="AF12"/>
  <c r="Y12" s="1"/>
  <c r="AJ12"/>
  <c r="AF14"/>
  <c r="Y14" s="1"/>
  <c r="AJ14"/>
  <c r="AF15"/>
  <c r="Y15" s="1"/>
  <c r="AL18"/>
  <c r="AK18"/>
  <c r="AF19"/>
  <c r="Y19" s="1"/>
  <c r="AJ19"/>
  <c r="AI55"/>
  <c r="AF16"/>
  <c r="Y16" s="1"/>
  <c r="AJ16"/>
  <c r="AF17"/>
  <c r="Y17" s="1"/>
  <c r="AJ17"/>
  <c r="AF18"/>
  <c r="Y18" s="1"/>
  <c r="AJ18"/>
  <c r="AF20"/>
  <c r="Y20" s="1"/>
  <c r="AJ20"/>
  <c r="AF21"/>
  <c r="Y21" s="1"/>
  <c r="AJ21"/>
  <c r="AJ22"/>
  <c r="AF22" s="1"/>
  <c r="Y22" s="1"/>
  <c r="AH23"/>
  <c r="AI23" s="1"/>
  <c r="AF23" s="1"/>
  <c r="Y23" s="1"/>
  <c r="AJ23"/>
  <c r="AH24"/>
  <c r="AI24" s="1"/>
  <c r="AF24" s="1"/>
  <c r="Y24" s="1"/>
  <c r="AJ24"/>
  <c r="AG25"/>
  <c r="AI25" s="1"/>
  <c r="AK25"/>
  <c r="AH26"/>
  <c r="AI26" s="1"/>
  <c r="AJ26"/>
  <c r="AH27"/>
  <c r="AI27" s="1"/>
  <c r="AJ27"/>
  <c r="AF27" s="1"/>
  <c r="Y27" s="1"/>
  <c r="AH28"/>
  <c r="AI28" s="1"/>
  <c r="AF28" s="1"/>
  <c r="Y28" s="1"/>
  <c r="AJ28"/>
  <c r="AH29"/>
  <c r="AI29" s="1"/>
  <c r="AJ29"/>
  <c r="AH30"/>
  <c r="AI30" s="1"/>
  <c r="AF30" s="1"/>
  <c r="Y30" s="1"/>
  <c r="AJ30"/>
  <c r="AG31"/>
  <c r="AI31" s="1"/>
  <c r="AK31"/>
  <c r="AH32"/>
  <c r="AI32" s="1"/>
  <c r="AJ32"/>
  <c r="AH33"/>
  <c r="AI33" s="1"/>
  <c r="AJ33"/>
  <c r="AF33" s="1"/>
  <c r="Y33" s="1"/>
  <c r="AH34"/>
  <c r="AI34" s="1"/>
  <c r="AJ34"/>
  <c r="AH35"/>
  <c r="AI35" s="1"/>
  <c r="AJ35"/>
  <c r="AH36"/>
  <c r="AI36" s="1"/>
  <c r="AJ36"/>
  <c r="AG37"/>
  <c r="AI37" s="1"/>
  <c r="AF37" s="1"/>
  <c r="Y37" s="1"/>
  <c r="AK37"/>
  <c r="AH38"/>
  <c r="AI38" s="1"/>
  <c r="AJ38"/>
  <c r="AH39"/>
  <c r="AI39" s="1"/>
  <c r="AJ39"/>
  <c r="AH40"/>
  <c r="AI40" s="1"/>
  <c r="AF40" s="1"/>
  <c r="Y40" s="1"/>
  <c r="AJ40"/>
  <c r="AH41"/>
  <c r="AI41" s="1"/>
  <c r="AF41" s="1"/>
  <c r="Y41" s="1"/>
  <c r="AJ41"/>
  <c r="AH42"/>
  <c r="AI42" s="1"/>
  <c r="AF42" s="1"/>
  <c r="Y42" s="1"/>
  <c r="AJ42"/>
  <c r="AG43"/>
  <c r="AI43" s="1"/>
  <c r="AK43"/>
  <c r="AH44"/>
  <c r="AI44" s="1"/>
  <c r="AJ44"/>
  <c r="AH45"/>
  <c r="AI45" s="1"/>
  <c r="AJ45"/>
  <c r="AH46"/>
  <c r="AI46" s="1"/>
  <c r="AJ46"/>
  <c r="AH47"/>
  <c r="AI47" s="1"/>
  <c r="AF47" s="1"/>
  <c r="Y47" s="1"/>
  <c r="AJ47"/>
  <c r="AH48"/>
  <c r="AI48" s="1"/>
  <c r="AJ48"/>
  <c r="AG49"/>
  <c r="AI49" s="1"/>
  <c r="AK49"/>
  <c r="AH50"/>
  <c r="AJ50"/>
  <c r="AH51"/>
  <c r="AI51" s="1"/>
  <c r="AJ51"/>
  <c r="AH52"/>
  <c r="AJ52"/>
  <c r="AJ53"/>
  <c r="AL53"/>
  <c r="AJ54"/>
  <c r="AL54"/>
  <c r="AK55"/>
  <c r="AJ59"/>
  <c r="AL59"/>
  <c r="AJ60"/>
  <c r="AL60"/>
  <c r="AJ61"/>
  <c r="AL61"/>
  <c r="AJ62"/>
  <c r="AL62"/>
  <c r="AJ63"/>
  <c r="AL63"/>
  <c r="AJ64"/>
  <c r="AL64"/>
  <c r="AJ65"/>
  <c r="AL65"/>
  <c r="AJ66"/>
  <c r="AL66"/>
  <c r="AG70"/>
  <c r="AI70" s="1"/>
  <c r="AK70"/>
  <c r="AJ71"/>
  <c r="AL71"/>
  <c r="AG72"/>
  <c r="AI72" s="1"/>
  <c r="AK72"/>
  <c r="AJ73"/>
  <c r="AL73"/>
  <c r="AJ77"/>
  <c r="AL77"/>
  <c r="AG78"/>
  <c r="AI78" s="1"/>
  <c r="AK78"/>
  <c r="AG82"/>
  <c r="AI82" s="1"/>
  <c r="AK82"/>
  <c r="AG86"/>
  <c r="AI86" s="1"/>
  <c r="AK86"/>
  <c r="AW89"/>
  <c r="AJ25"/>
  <c r="AF25" s="1"/>
  <c r="Y25" s="1"/>
  <c r="AF31"/>
  <c r="Y31" s="1"/>
  <c r="AJ31"/>
  <c r="AJ37"/>
  <c r="AF43"/>
  <c r="Y43" s="1"/>
  <c r="AJ43"/>
  <c r="AF49"/>
  <c r="Y49" s="1"/>
  <c r="AJ49"/>
  <c r="AG53"/>
  <c r="AI53" s="1"/>
  <c r="AG54"/>
  <c r="AI54" s="1"/>
  <c r="AF54" s="1"/>
  <c r="Y54" s="1"/>
  <c r="AF55"/>
  <c r="Y55" s="1"/>
  <c r="AJ55"/>
  <c r="BB58"/>
  <c r="S3" s="1"/>
  <c r="H43" i="22" s="1"/>
  <c r="AG59" i="37"/>
  <c r="AI59" s="1"/>
  <c r="AF59" s="1"/>
  <c r="Y59" s="1"/>
  <c r="AG60"/>
  <c r="AI60" s="1"/>
  <c r="AF60" s="1"/>
  <c r="Y60" s="1"/>
  <c r="AG61"/>
  <c r="AI61" s="1"/>
  <c r="AF61" s="1"/>
  <c r="Y61" s="1"/>
  <c r="AG62"/>
  <c r="AI62" s="1"/>
  <c r="AF62" s="1"/>
  <c r="Y62" s="1"/>
  <c r="AG63"/>
  <c r="AI63" s="1"/>
  <c r="AF63" s="1"/>
  <c r="Y63" s="1"/>
  <c r="AG64"/>
  <c r="AI64" s="1"/>
  <c r="AF64" s="1"/>
  <c r="Y64" s="1"/>
  <c r="AG65"/>
  <c r="AI65" s="1"/>
  <c r="AF65" s="1"/>
  <c r="Y65" s="1"/>
  <c r="AG66"/>
  <c r="AI66" s="1"/>
  <c r="AF66" s="1"/>
  <c r="Y66" s="1"/>
  <c r="AF70"/>
  <c r="Y70" s="1"/>
  <c r="AJ70"/>
  <c r="AG71"/>
  <c r="AI71" s="1"/>
  <c r="AF71" s="1"/>
  <c r="Y71" s="1"/>
  <c r="AF72"/>
  <c r="Y72" s="1"/>
  <c r="AJ72"/>
  <c r="AG73"/>
  <c r="AI73" s="1"/>
  <c r="AF73" s="1"/>
  <c r="Y73" s="1"/>
  <c r="AG77"/>
  <c r="AI77" s="1"/>
  <c r="AF78"/>
  <c r="Y78" s="1"/>
  <c r="AJ78"/>
  <c r="AF82"/>
  <c r="Y82" s="1"/>
  <c r="AJ82"/>
  <c r="AJ86"/>
  <c r="AI8" i="26"/>
  <c r="AI12"/>
  <c r="AI14"/>
  <c r="AI15"/>
  <c r="AI18"/>
  <c r="AI20"/>
  <c r="AI21"/>
  <c r="AI24"/>
  <c r="AI26"/>
  <c r="AI27"/>
  <c r="AI29"/>
  <c r="AI33"/>
  <c r="AI35"/>
  <c r="AK37"/>
  <c r="AG37"/>
  <c r="AI37" s="1"/>
  <c r="AL37"/>
  <c r="AK8"/>
  <c r="AK9"/>
  <c r="AK10"/>
  <c r="AK11"/>
  <c r="AK12"/>
  <c r="AJ13"/>
  <c r="AL13"/>
  <c r="AK14"/>
  <c r="AK15"/>
  <c r="AK16"/>
  <c r="AK17"/>
  <c r="AK18"/>
  <c r="AJ19"/>
  <c r="AL19"/>
  <c r="AK20"/>
  <c r="AK21"/>
  <c r="AK22"/>
  <c r="AK23"/>
  <c r="AK24"/>
  <c r="AJ25"/>
  <c r="AL25"/>
  <c r="AK26"/>
  <c r="AK27"/>
  <c r="AK28"/>
  <c r="AK29"/>
  <c r="AK30"/>
  <c r="AJ31"/>
  <c r="AL31"/>
  <c r="AK32"/>
  <c r="AK33"/>
  <c r="AK34"/>
  <c r="AK35"/>
  <c r="AJ37"/>
  <c r="AF37" s="1"/>
  <c r="Y37" s="1"/>
  <c r="AJ8"/>
  <c r="AF8" s="1"/>
  <c r="AJ9"/>
  <c r="AF9" s="1"/>
  <c r="Y9" s="1"/>
  <c r="AJ10"/>
  <c r="AF10" s="1"/>
  <c r="Y10" s="1"/>
  <c r="AF11"/>
  <c r="Y11" s="1"/>
  <c r="AJ11"/>
  <c r="AF12"/>
  <c r="Y12" s="1"/>
  <c r="AJ12"/>
  <c r="AG13"/>
  <c r="AI13" s="1"/>
  <c r="AF13" s="1"/>
  <c r="Y13" s="1"/>
  <c r="AF14"/>
  <c r="Y14" s="1"/>
  <c r="AJ14"/>
  <c r="AJ15"/>
  <c r="AF15" s="1"/>
  <c r="Y15" s="1"/>
  <c r="AJ16"/>
  <c r="AF16" s="1"/>
  <c r="Y16" s="1"/>
  <c r="AJ17"/>
  <c r="AF18"/>
  <c r="Y18" s="1"/>
  <c r="AJ18"/>
  <c r="AG19"/>
  <c r="AI19" s="1"/>
  <c r="AF20"/>
  <c r="Y20" s="1"/>
  <c r="AJ20"/>
  <c r="AJ21"/>
  <c r="AF21" s="1"/>
  <c r="Y21" s="1"/>
  <c r="AF22"/>
  <c r="Y22" s="1"/>
  <c r="AJ22"/>
  <c r="AF23"/>
  <c r="Y23" s="1"/>
  <c r="AJ23"/>
  <c r="AF24"/>
  <c r="Y24" s="1"/>
  <c r="AJ24"/>
  <c r="AG25"/>
  <c r="AI25" s="1"/>
  <c r="AF25" s="1"/>
  <c r="Y25" s="1"/>
  <c r="AF26"/>
  <c r="Y26" s="1"/>
  <c r="AJ26"/>
  <c r="AF27"/>
  <c r="Y27" s="1"/>
  <c r="AJ27"/>
  <c r="AF28"/>
  <c r="Y28" s="1"/>
  <c r="AJ28"/>
  <c r="AJ29"/>
  <c r="AF29" s="1"/>
  <c r="Y29" s="1"/>
  <c r="AF30"/>
  <c r="Y30" s="1"/>
  <c r="AJ30"/>
  <c r="AG31"/>
  <c r="AI31" s="1"/>
  <c r="AF31" s="1"/>
  <c r="Y31" s="1"/>
  <c r="AJ32"/>
  <c r="AF33"/>
  <c r="Y33" s="1"/>
  <c r="AJ33"/>
  <c r="AF34"/>
  <c r="Y34" s="1"/>
  <c r="AJ34"/>
  <c r="AF35"/>
  <c r="Y35" s="1"/>
  <c r="AJ35"/>
  <c r="AI39"/>
  <c r="AF39" s="1"/>
  <c r="Y39" s="1"/>
  <c r="AK55" i="27"/>
  <c r="AG55"/>
  <c r="AI55" s="1"/>
  <c r="AK13" i="28"/>
  <c r="AG13"/>
  <c r="AI13" s="1"/>
  <c r="AK19"/>
  <c r="AG19"/>
  <c r="AI19" s="1"/>
  <c r="AK24"/>
  <c r="AG24"/>
  <c r="AI24" s="1"/>
  <c r="AL24"/>
  <c r="AK27"/>
  <c r="AG27"/>
  <c r="AI27" s="1"/>
  <c r="AL27"/>
  <c r="AK38" i="26"/>
  <c r="AK39"/>
  <c r="AG40"/>
  <c r="AI40" s="1"/>
  <c r="AK40"/>
  <c r="AG41"/>
  <c r="AI41" s="1"/>
  <c r="AK41"/>
  <c r="AG42"/>
  <c r="AI42" s="1"/>
  <c r="AK42"/>
  <c r="AH43"/>
  <c r="AI43" s="1"/>
  <c r="AF43" s="1"/>
  <c r="Y43" s="1"/>
  <c r="AJ43"/>
  <c r="AG44"/>
  <c r="AI44" s="1"/>
  <c r="AK44"/>
  <c r="AG45"/>
  <c r="AI45" s="1"/>
  <c r="AK45"/>
  <c r="AG46"/>
  <c r="AI46" s="1"/>
  <c r="AK46"/>
  <c r="AG47"/>
  <c r="AI47" s="1"/>
  <c r="AK47"/>
  <c r="AG48"/>
  <c r="AI48" s="1"/>
  <c r="AK48"/>
  <c r="AH49"/>
  <c r="AI49" s="1"/>
  <c r="AJ49"/>
  <c r="AG50"/>
  <c r="AI50" s="1"/>
  <c r="AK50"/>
  <c r="AG51"/>
  <c r="AI51" s="1"/>
  <c r="AK51"/>
  <c r="AG52"/>
  <c r="AI52" s="1"/>
  <c r="AK52"/>
  <c r="AG53"/>
  <c r="AI53" s="1"/>
  <c r="AK53"/>
  <c r="AG54"/>
  <c r="AI54" s="1"/>
  <c r="AK54"/>
  <c r="AH55"/>
  <c r="AI55" s="1"/>
  <c r="AF55" s="1"/>
  <c r="Y55" s="1"/>
  <c r="AJ55"/>
  <c r="BB58"/>
  <c r="S3" s="1"/>
  <c r="H88" i="22" s="1"/>
  <c r="AG59" i="26"/>
  <c r="AI59" s="1"/>
  <c r="AK59"/>
  <c r="AG60"/>
  <c r="AI60" s="1"/>
  <c r="AK60"/>
  <c r="AG61"/>
  <c r="AI61" s="1"/>
  <c r="AK61"/>
  <c r="AG62"/>
  <c r="AI62" s="1"/>
  <c r="AK62"/>
  <c r="AG63"/>
  <c r="AI63" s="1"/>
  <c r="AK63"/>
  <c r="AG64"/>
  <c r="AI64" s="1"/>
  <c r="AK64"/>
  <c r="AG65"/>
  <c r="AI65" s="1"/>
  <c r="AK65"/>
  <c r="AG66"/>
  <c r="AI66" s="1"/>
  <c r="AK66"/>
  <c r="AH70"/>
  <c r="AI70" s="1"/>
  <c r="AF70" s="1"/>
  <c r="Y70" s="1"/>
  <c r="AJ70"/>
  <c r="AG71"/>
  <c r="AI71" s="1"/>
  <c r="AK71"/>
  <c r="AH72"/>
  <c r="AI72" s="1"/>
  <c r="AF72" s="1"/>
  <c r="Y72" s="1"/>
  <c r="AJ72"/>
  <c r="AG73"/>
  <c r="AI73" s="1"/>
  <c r="AK73"/>
  <c r="AG77"/>
  <c r="AI77" s="1"/>
  <c r="AK77"/>
  <c r="AH78"/>
  <c r="AI78" s="1"/>
  <c r="AJ78"/>
  <c r="AF78" s="1"/>
  <c r="Y78" s="1"/>
  <c r="AH82"/>
  <c r="AI82" s="1"/>
  <c r="AJ82"/>
  <c r="AH86"/>
  <c r="AI86" s="1"/>
  <c r="AJ86"/>
  <c r="AG8" i="27"/>
  <c r="AI8" s="1"/>
  <c r="AK8"/>
  <c r="AG9"/>
  <c r="AI9" s="1"/>
  <c r="AK9"/>
  <c r="AG10"/>
  <c r="AI10" s="1"/>
  <c r="AK10"/>
  <c r="AG11"/>
  <c r="AI11" s="1"/>
  <c r="AK11"/>
  <c r="AG12"/>
  <c r="AI12" s="1"/>
  <c r="AK12"/>
  <c r="AH13"/>
  <c r="AI13" s="1"/>
  <c r="AJ13"/>
  <c r="AG14"/>
  <c r="AI14" s="1"/>
  <c r="AK14"/>
  <c r="AG15"/>
  <c r="AI15" s="1"/>
  <c r="AK15"/>
  <c r="AG16"/>
  <c r="AI16" s="1"/>
  <c r="AK16"/>
  <c r="AG17"/>
  <c r="AI17" s="1"/>
  <c r="AK17"/>
  <c r="AG18"/>
  <c r="AI18" s="1"/>
  <c r="AK18"/>
  <c r="AH19"/>
  <c r="AI19" s="1"/>
  <c r="AF19" s="1"/>
  <c r="Y19" s="1"/>
  <c r="AJ19"/>
  <c r="AG20"/>
  <c r="AI20" s="1"/>
  <c r="AK20"/>
  <c r="AG21"/>
  <c r="AI21" s="1"/>
  <c r="AK21"/>
  <c r="AG22"/>
  <c r="AI22" s="1"/>
  <c r="AK22"/>
  <c r="AG23"/>
  <c r="AI23" s="1"/>
  <c r="AK23"/>
  <c r="AG24"/>
  <c r="AI24" s="1"/>
  <c r="AK24"/>
  <c r="AH25"/>
  <c r="AI25" s="1"/>
  <c r="AJ25"/>
  <c r="AG26"/>
  <c r="AI26" s="1"/>
  <c r="AK26"/>
  <c r="AG27"/>
  <c r="AI27" s="1"/>
  <c r="AK27"/>
  <c r="AG28"/>
  <c r="AI28" s="1"/>
  <c r="AK28"/>
  <c r="AG29"/>
  <c r="AI29" s="1"/>
  <c r="AK29"/>
  <c r="AG30"/>
  <c r="AI30" s="1"/>
  <c r="AK30"/>
  <c r="AH31"/>
  <c r="AI31" s="1"/>
  <c r="AF31" s="1"/>
  <c r="Y31" s="1"/>
  <c r="AJ31"/>
  <c r="AG32"/>
  <c r="AI32" s="1"/>
  <c r="AF32" s="1"/>
  <c r="Y32" s="1"/>
  <c r="AK32"/>
  <c r="AG33"/>
  <c r="AI33" s="1"/>
  <c r="AK33"/>
  <c r="AG34"/>
  <c r="AI34" s="1"/>
  <c r="AK34"/>
  <c r="AG35"/>
  <c r="AI35" s="1"/>
  <c r="AK35"/>
  <c r="AG36"/>
  <c r="AI36" s="1"/>
  <c r="AK36"/>
  <c r="AH37"/>
  <c r="AI37" s="1"/>
  <c r="AJ37"/>
  <c r="AG38"/>
  <c r="AI38" s="1"/>
  <c r="AK38"/>
  <c r="AG39"/>
  <c r="AI39" s="1"/>
  <c r="AK39"/>
  <c r="AG40"/>
  <c r="AI40" s="1"/>
  <c r="AK40"/>
  <c r="AG41"/>
  <c r="AI41" s="1"/>
  <c r="AK41"/>
  <c r="AG42"/>
  <c r="AI42" s="1"/>
  <c r="AK42"/>
  <c r="AH43"/>
  <c r="AI43" s="1"/>
  <c r="AF43" s="1"/>
  <c r="Y43" s="1"/>
  <c r="AJ43"/>
  <c r="AG44"/>
  <c r="AI44" s="1"/>
  <c r="AK44"/>
  <c r="AG45"/>
  <c r="AI45" s="1"/>
  <c r="AK45"/>
  <c r="AG46"/>
  <c r="AI46" s="1"/>
  <c r="AK46"/>
  <c r="AG47"/>
  <c r="AI47" s="1"/>
  <c r="AK47"/>
  <c r="AG48"/>
  <c r="AI48" s="1"/>
  <c r="AK48"/>
  <c r="AH49"/>
  <c r="AI49" s="1"/>
  <c r="AF49" s="1"/>
  <c r="Y49" s="1"/>
  <c r="AJ49"/>
  <c r="AG50"/>
  <c r="AI50" s="1"/>
  <c r="AK50"/>
  <c r="AG51"/>
  <c r="AI51" s="1"/>
  <c r="AK51"/>
  <c r="AG52"/>
  <c r="AI52" s="1"/>
  <c r="AF52" s="1"/>
  <c r="Y52" s="1"/>
  <c r="AK52"/>
  <c r="AL54"/>
  <c r="AK54"/>
  <c r="AF55"/>
  <c r="Y55" s="1"/>
  <c r="AJ55"/>
  <c r="AL59"/>
  <c r="AK59"/>
  <c r="AL60"/>
  <c r="AK60"/>
  <c r="AL61"/>
  <c r="AK61"/>
  <c r="AL62"/>
  <c r="AK62"/>
  <c r="AL63"/>
  <c r="AK63"/>
  <c r="AL64"/>
  <c r="AK64"/>
  <c r="AL65"/>
  <c r="AK65"/>
  <c r="AL66"/>
  <c r="AK66"/>
  <c r="AV89"/>
  <c r="AW90"/>
  <c r="AW92"/>
  <c r="AL8" i="28"/>
  <c r="AK8"/>
  <c r="Q3"/>
  <c r="F73" i="22" s="1"/>
  <c r="AL10" i="28"/>
  <c r="AK10"/>
  <c r="AL12"/>
  <c r="AK12"/>
  <c r="AF13"/>
  <c r="Y13" s="1"/>
  <c r="AJ13"/>
  <c r="AL14"/>
  <c r="AK14"/>
  <c r="AL16"/>
  <c r="AK16"/>
  <c r="AL18"/>
  <c r="AK18"/>
  <c r="AF19"/>
  <c r="Y19" s="1"/>
  <c r="AJ19"/>
  <c r="AL20"/>
  <c r="AK20"/>
  <c r="AL22"/>
  <c r="AK22"/>
  <c r="AF24"/>
  <c r="Y24" s="1"/>
  <c r="AJ24"/>
  <c r="AF27"/>
  <c r="Y27" s="1"/>
  <c r="AJ27"/>
  <c r="AL53" i="27"/>
  <c r="AJ53"/>
  <c r="AK70"/>
  <c r="AG70"/>
  <c r="AI70" s="1"/>
  <c r="AK72"/>
  <c r="AG72"/>
  <c r="AI72" s="1"/>
  <c r="AK78"/>
  <c r="AG78"/>
  <c r="AI78" s="1"/>
  <c r="AK82"/>
  <c r="AG82"/>
  <c r="AI82" s="1"/>
  <c r="AK86"/>
  <c r="AG86"/>
  <c r="AI86" s="1"/>
  <c r="AH25" i="28"/>
  <c r="AI25" s="1"/>
  <c r="AK25"/>
  <c r="AK28"/>
  <c r="AG28"/>
  <c r="AI28" s="1"/>
  <c r="AL28"/>
  <c r="AF36" i="26"/>
  <c r="Y36" s="1"/>
  <c r="AJ36"/>
  <c r="AF38"/>
  <c r="Y38" s="1"/>
  <c r="AJ38"/>
  <c r="AJ39"/>
  <c r="AJ40"/>
  <c r="AF40" s="1"/>
  <c r="Y40" s="1"/>
  <c r="AF41"/>
  <c r="Y41" s="1"/>
  <c r="AJ41"/>
  <c r="AJ42"/>
  <c r="AF42" s="1"/>
  <c r="Y42" s="1"/>
  <c r="AF44"/>
  <c r="Y44" s="1"/>
  <c r="AJ44"/>
  <c r="AF45"/>
  <c r="Y45" s="1"/>
  <c r="AJ45"/>
  <c r="AF46"/>
  <c r="Y46" s="1"/>
  <c r="AJ46"/>
  <c r="AF47"/>
  <c r="Y47" s="1"/>
  <c r="AJ47"/>
  <c r="AF48"/>
  <c r="Y48" s="1"/>
  <c r="AJ48"/>
  <c r="AF50"/>
  <c r="Y50" s="1"/>
  <c r="AJ50"/>
  <c r="AF51"/>
  <c r="Y51" s="1"/>
  <c r="AJ51"/>
  <c r="AJ52"/>
  <c r="AF52" s="1"/>
  <c r="Y52" s="1"/>
  <c r="AF53"/>
  <c r="Y53" s="1"/>
  <c r="AJ53"/>
  <c r="AJ54"/>
  <c r="AF54" s="1"/>
  <c r="Y54" s="1"/>
  <c r="AF59"/>
  <c r="Y59" s="1"/>
  <c r="AJ59"/>
  <c r="AF60"/>
  <c r="Y60" s="1"/>
  <c r="AJ60"/>
  <c r="AF61"/>
  <c r="Y61" s="1"/>
  <c r="AJ61"/>
  <c r="AF62"/>
  <c r="Y62" s="1"/>
  <c r="AJ62"/>
  <c r="AF63"/>
  <c r="Y63" s="1"/>
  <c r="AJ63"/>
  <c r="AF64"/>
  <c r="Y64" s="1"/>
  <c r="AJ64"/>
  <c r="AF65"/>
  <c r="Y65" s="1"/>
  <c r="AJ65"/>
  <c r="AF66"/>
  <c r="Y66" s="1"/>
  <c r="AJ66"/>
  <c r="AF71"/>
  <c r="Y71" s="1"/>
  <c r="AJ71"/>
  <c r="AF73"/>
  <c r="Y73" s="1"/>
  <c r="AJ73"/>
  <c r="AF77"/>
  <c r="Y77" s="1"/>
  <c r="AJ77"/>
  <c r="AF8" i="27"/>
  <c r="AJ8"/>
  <c r="AF9"/>
  <c r="Y9" s="1"/>
  <c r="AJ9"/>
  <c r="AF10"/>
  <c r="Y10" s="1"/>
  <c r="AJ10"/>
  <c r="AF11"/>
  <c r="Y11" s="1"/>
  <c r="AJ11"/>
  <c r="AF12"/>
  <c r="Y12" s="1"/>
  <c r="AJ12"/>
  <c r="AF14"/>
  <c r="Y14" s="1"/>
  <c r="AJ14"/>
  <c r="AF15"/>
  <c r="Y15" s="1"/>
  <c r="AJ15"/>
  <c r="AF16"/>
  <c r="Y16" s="1"/>
  <c r="AJ16"/>
  <c r="AJ17"/>
  <c r="AF17" s="1"/>
  <c r="Y17" s="1"/>
  <c r="AF18"/>
  <c r="Y18" s="1"/>
  <c r="AJ18"/>
  <c r="AF20"/>
  <c r="Y20" s="1"/>
  <c r="AJ20"/>
  <c r="AJ21"/>
  <c r="AF21" s="1"/>
  <c r="Y21" s="1"/>
  <c r="AF22"/>
  <c r="Y22" s="1"/>
  <c r="AJ22"/>
  <c r="AF23"/>
  <c r="Y23" s="1"/>
  <c r="AJ23"/>
  <c r="AF24"/>
  <c r="Y24" s="1"/>
  <c r="AJ24"/>
  <c r="AF26"/>
  <c r="Y26" s="1"/>
  <c r="AJ26"/>
  <c r="AF27"/>
  <c r="Y27" s="1"/>
  <c r="AJ27"/>
  <c r="AJ28"/>
  <c r="AF28" s="1"/>
  <c r="Y28" s="1"/>
  <c r="AJ29"/>
  <c r="AF29" s="1"/>
  <c r="Y29" s="1"/>
  <c r="AF30"/>
  <c r="Y30" s="1"/>
  <c r="AJ30"/>
  <c r="AJ32"/>
  <c r="AF33"/>
  <c r="Y33" s="1"/>
  <c r="AJ33"/>
  <c r="AJ34"/>
  <c r="AF34" s="1"/>
  <c r="Y34" s="1"/>
  <c r="AF35"/>
  <c r="Y35" s="1"/>
  <c r="AJ35"/>
  <c r="AF36"/>
  <c r="Y36" s="1"/>
  <c r="AJ36"/>
  <c r="AF38"/>
  <c r="Y38" s="1"/>
  <c r="AJ38"/>
  <c r="AJ39"/>
  <c r="AF39" s="1"/>
  <c r="Y39" s="1"/>
  <c r="AF40"/>
  <c r="Y40" s="1"/>
  <c r="AJ40"/>
  <c r="AJ41"/>
  <c r="AF41" s="1"/>
  <c r="Y41" s="1"/>
  <c r="AF42"/>
  <c r="Y42" s="1"/>
  <c r="AJ42"/>
  <c r="AF44"/>
  <c r="Y44" s="1"/>
  <c r="AJ44"/>
  <c r="AF45"/>
  <c r="Y45" s="1"/>
  <c r="AJ45"/>
  <c r="AF46"/>
  <c r="Y46" s="1"/>
  <c r="AJ46"/>
  <c r="AF47"/>
  <c r="Y47" s="1"/>
  <c r="AJ47"/>
  <c r="AF48"/>
  <c r="Y48" s="1"/>
  <c r="AJ48"/>
  <c r="AF50"/>
  <c r="Y50" s="1"/>
  <c r="AJ50"/>
  <c r="AF51"/>
  <c r="Y51" s="1"/>
  <c r="AJ51"/>
  <c r="AJ52"/>
  <c r="AG53"/>
  <c r="AI53" s="1"/>
  <c r="AK53"/>
  <c r="AF70"/>
  <c r="Y70" s="1"/>
  <c r="AJ70"/>
  <c r="AF72"/>
  <c r="Y72" s="1"/>
  <c r="AJ72"/>
  <c r="AF78"/>
  <c r="Y78" s="1"/>
  <c r="AJ78"/>
  <c r="AF82"/>
  <c r="Y82" s="1"/>
  <c r="AJ82"/>
  <c r="AJ86"/>
  <c r="AF86" s="1"/>
  <c r="Y86" s="1"/>
  <c r="AJ28" i="28"/>
  <c r="AF28" s="1"/>
  <c r="Y28" s="1"/>
  <c r="AK26"/>
  <c r="AG26"/>
  <c r="AI26" s="1"/>
  <c r="AK32"/>
  <c r="AG32"/>
  <c r="AI32" s="1"/>
  <c r="AF32" s="1"/>
  <c r="Y32" s="1"/>
  <c r="AK38"/>
  <c r="AG38"/>
  <c r="AI38" s="1"/>
  <c r="AK44"/>
  <c r="AG44"/>
  <c r="AI44" s="1"/>
  <c r="AK50"/>
  <c r="AG50"/>
  <c r="AI50" s="1"/>
  <c r="AK60"/>
  <c r="AG60"/>
  <c r="AI60" s="1"/>
  <c r="AK62"/>
  <c r="AG62"/>
  <c r="AI62" s="1"/>
  <c r="AK64"/>
  <c r="AG64"/>
  <c r="AI64" s="1"/>
  <c r="AK66"/>
  <c r="AG66"/>
  <c r="AI66" s="1"/>
  <c r="AK71"/>
  <c r="AG71"/>
  <c r="AI71" s="1"/>
  <c r="AK73"/>
  <c r="AG73"/>
  <c r="AI73" s="1"/>
  <c r="AK77"/>
  <c r="AG77"/>
  <c r="AI77" s="1"/>
  <c r="AJ54" i="27"/>
  <c r="AF54" s="1"/>
  <c r="Y54" s="1"/>
  <c r="AF59"/>
  <c r="Y59" s="1"/>
  <c r="AJ59"/>
  <c r="AF60"/>
  <c r="Y60" s="1"/>
  <c r="AJ60"/>
  <c r="AF61"/>
  <c r="Y61" s="1"/>
  <c r="AJ61"/>
  <c r="AF62"/>
  <c r="Y62" s="1"/>
  <c r="AJ62"/>
  <c r="AF63"/>
  <c r="Y63" s="1"/>
  <c r="AJ63"/>
  <c r="AF64"/>
  <c r="Y64" s="1"/>
  <c r="AJ64"/>
  <c r="AJ65"/>
  <c r="AF65" s="1"/>
  <c r="Y65" s="1"/>
  <c r="AJ66"/>
  <c r="AF66" s="1"/>
  <c r="Y66" s="1"/>
  <c r="AF71"/>
  <c r="Y71" s="1"/>
  <c r="AJ71"/>
  <c r="AF73"/>
  <c r="Y73" s="1"/>
  <c r="AJ73"/>
  <c r="AJ77"/>
  <c r="AF77" s="1"/>
  <c r="Y77" s="1"/>
  <c r="AF8" i="28"/>
  <c r="AJ8"/>
  <c r="AF9"/>
  <c r="Y9" s="1"/>
  <c r="AJ9"/>
  <c r="AF10"/>
  <c r="Y10" s="1"/>
  <c r="AJ10"/>
  <c r="AJ11"/>
  <c r="AF11" s="1"/>
  <c r="Y11" s="1"/>
  <c r="AF12"/>
  <c r="Y12" s="1"/>
  <c r="AJ12"/>
  <c r="AF14"/>
  <c r="Y14" s="1"/>
  <c r="AJ14"/>
  <c r="AF15"/>
  <c r="Y15" s="1"/>
  <c r="AJ15"/>
  <c r="AF16"/>
  <c r="Y16" s="1"/>
  <c r="AJ16"/>
  <c r="AJ17"/>
  <c r="AF18"/>
  <c r="Y18" s="1"/>
  <c r="AJ18"/>
  <c r="AF20"/>
  <c r="Y20" s="1"/>
  <c r="AJ20"/>
  <c r="AF21"/>
  <c r="Y21" s="1"/>
  <c r="AJ21"/>
  <c r="AJ22"/>
  <c r="AF22" s="1"/>
  <c r="Y22" s="1"/>
  <c r="AF23"/>
  <c r="Y23" s="1"/>
  <c r="AJ23"/>
  <c r="AL25"/>
  <c r="AF26"/>
  <c r="Y26" s="1"/>
  <c r="AJ26"/>
  <c r="AL31"/>
  <c r="AK31"/>
  <c r="AJ32"/>
  <c r="AL37"/>
  <c r="AK37"/>
  <c r="AJ38"/>
  <c r="AF38" s="1"/>
  <c r="Y38" s="1"/>
  <c r="AL43"/>
  <c r="AK43"/>
  <c r="AF44"/>
  <c r="Y44" s="1"/>
  <c r="AJ44"/>
  <c r="AL49"/>
  <c r="AK49"/>
  <c r="AF50"/>
  <c r="Y50" s="1"/>
  <c r="AJ50"/>
  <c r="AL55"/>
  <c r="AK55"/>
  <c r="AF60"/>
  <c r="Y60" s="1"/>
  <c r="AJ60"/>
  <c r="AF62"/>
  <c r="Y62" s="1"/>
  <c r="AJ62"/>
  <c r="AF64"/>
  <c r="Y64" s="1"/>
  <c r="AJ64"/>
  <c r="AJ66"/>
  <c r="AF66" s="1"/>
  <c r="Y66" s="1"/>
  <c r="AL70"/>
  <c r="AK70"/>
  <c r="AJ71"/>
  <c r="AF71" s="1"/>
  <c r="Y71" s="1"/>
  <c r="AL72"/>
  <c r="AK72"/>
  <c r="AJ73"/>
  <c r="AF73" s="1"/>
  <c r="Y73" s="1"/>
  <c r="AF77"/>
  <c r="Y77" s="1"/>
  <c r="AJ77"/>
  <c r="AL78"/>
  <c r="AK78"/>
  <c r="AL82"/>
  <c r="AK82"/>
  <c r="AL86"/>
  <c r="AK86"/>
  <c r="AV89"/>
  <c r="AW90"/>
  <c r="AV91"/>
  <c r="AW92"/>
  <c r="AK29"/>
  <c r="AG29"/>
  <c r="AI29" s="1"/>
  <c r="AK30"/>
  <c r="AG30"/>
  <c r="AI30" s="1"/>
  <c r="AK33"/>
  <c r="AG33"/>
  <c r="AI33" s="1"/>
  <c r="AK34"/>
  <c r="AG34"/>
  <c r="AI34" s="1"/>
  <c r="AK35"/>
  <c r="AG35"/>
  <c r="AI35" s="1"/>
  <c r="AK36"/>
  <c r="AG36"/>
  <c r="AI36" s="1"/>
  <c r="AK39"/>
  <c r="AG39"/>
  <c r="AI39" s="1"/>
  <c r="AK40"/>
  <c r="AG40"/>
  <c r="AI40" s="1"/>
  <c r="AK41"/>
  <c r="AG41"/>
  <c r="AI41" s="1"/>
  <c r="AK42"/>
  <c r="AG42"/>
  <c r="AI42" s="1"/>
  <c r="AK45"/>
  <c r="AG45"/>
  <c r="AI45" s="1"/>
  <c r="AK46"/>
  <c r="AG46"/>
  <c r="AI46" s="1"/>
  <c r="AK47"/>
  <c r="AG47"/>
  <c r="AI47" s="1"/>
  <c r="AK48"/>
  <c r="AG48"/>
  <c r="AI48" s="1"/>
  <c r="AK51"/>
  <c r="AG51"/>
  <c r="AI51" s="1"/>
  <c r="AK52"/>
  <c r="AG52"/>
  <c r="AI52" s="1"/>
  <c r="AK53"/>
  <c r="AG53"/>
  <c r="AI53" s="1"/>
  <c r="AK54"/>
  <c r="AG54"/>
  <c r="AI54" s="1"/>
  <c r="BA69"/>
  <c r="BB69" s="1"/>
  <c r="BB58"/>
  <c r="AK59"/>
  <c r="AG59"/>
  <c r="AI59" s="1"/>
  <c r="AK61"/>
  <c r="AG61"/>
  <c r="AI61" s="1"/>
  <c r="AK63"/>
  <c r="AG63"/>
  <c r="AI63" s="1"/>
  <c r="AK65"/>
  <c r="AG65"/>
  <c r="AI65" s="1"/>
  <c r="AJ29"/>
  <c r="AF29" s="1"/>
  <c r="Y29" s="1"/>
  <c r="AF30"/>
  <c r="Y30" s="1"/>
  <c r="AJ30"/>
  <c r="AF33"/>
  <c r="Y33" s="1"/>
  <c r="AJ33"/>
  <c r="AF34"/>
  <c r="Y34" s="1"/>
  <c r="AJ34"/>
  <c r="AF35"/>
  <c r="Y35" s="1"/>
  <c r="AJ35"/>
  <c r="AF36"/>
  <c r="Y36" s="1"/>
  <c r="AJ36"/>
  <c r="AJ39"/>
  <c r="AF39" s="1"/>
  <c r="Y39" s="1"/>
  <c r="AJ40"/>
  <c r="AF40" s="1"/>
  <c r="Y40" s="1"/>
  <c r="AF41"/>
  <c r="Y41" s="1"/>
  <c r="AJ41"/>
  <c r="AF42"/>
  <c r="Y42" s="1"/>
  <c r="AJ42"/>
  <c r="AF45"/>
  <c r="Y45" s="1"/>
  <c r="AJ45"/>
  <c r="AF46"/>
  <c r="Y46" s="1"/>
  <c r="AJ46"/>
  <c r="AF47"/>
  <c r="Y47" s="1"/>
  <c r="AJ47"/>
  <c r="AF48"/>
  <c r="Y48" s="1"/>
  <c r="AJ48"/>
  <c r="AF51"/>
  <c r="Y51" s="1"/>
  <c r="AJ51"/>
  <c r="AJ52"/>
  <c r="AF52" s="1"/>
  <c r="Y52" s="1"/>
  <c r="AJ53"/>
  <c r="AF53" s="1"/>
  <c r="Y53" s="1"/>
  <c r="AF54"/>
  <c r="Y54" s="1"/>
  <c r="AJ54"/>
  <c r="AF59"/>
  <c r="Y59" s="1"/>
  <c r="AJ59"/>
  <c r="AF61"/>
  <c r="Y61" s="1"/>
  <c r="AJ61"/>
  <c r="AF63"/>
  <c r="Y63" s="1"/>
  <c r="AJ63"/>
  <c r="AF65"/>
  <c r="Y65" s="1"/>
  <c r="AJ65"/>
  <c r="AJ25"/>
  <c r="AJ31"/>
  <c r="AF31" s="1"/>
  <c r="Y31" s="1"/>
  <c r="AJ37"/>
  <c r="AF37" s="1"/>
  <c r="Y37" s="1"/>
  <c r="AF43"/>
  <c r="Y43" s="1"/>
  <c r="AJ43"/>
  <c r="AJ49"/>
  <c r="AF49" s="1"/>
  <c r="Y49" s="1"/>
  <c r="AF55"/>
  <c r="Y55" s="1"/>
  <c r="AJ55"/>
  <c r="AF70"/>
  <c r="Y70" s="1"/>
  <c r="AJ70"/>
  <c r="AF72"/>
  <c r="Y72" s="1"/>
  <c r="AJ72"/>
  <c r="AF78"/>
  <c r="Y78" s="1"/>
  <c r="AJ78"/>
  <c r="AF82"/>
  <c r="Y82" s="1"/>
  <c r="AJ82"/>
  <c r="AJ86"/>
  <c r="AI8" i="25"/>
  <c r="AI10"/>
  <c r="AK8"/>
  <c r="AK9"/>
  <c r="AK10"/>
  <c r="AK11"/>
  <c r="AG12"/>
  <c r="AI12" s="1"/>
  <c r="AK12"/>
  <c r="AH13"/>
  <c r="AI13" s="1"/>
  <c r="AJ13"/>
  <c r="AF13" s="1"/>
  <c r="Y13" s="1"/>
  <c r="AG14"/>
  <c r="AI14" s="1"/>
  <c r="AK14"/>
  <c r="AG15"/>
  <c r="AI15" s="1"/>
  <c r="AK15"/>
  <c r="AL17"/>
  <c r="AK17"/>
  <c r="AI55"/>
  <c r="AK19"/>
  <c r="AG19"/>
  <c r="AI19" s="1"/>
  <c r="AF8"/>
  <c r="AJ8"/>
  <c r="AF9"/>
  <c r="Y9" s="1"/>
  <c r="AJ9"/>
  <c r="AF10"/>
  <c r="Y10" s="1"/>
  <c r="AJ10"/>
  <c r="AJ11"/>
  <c r="AF11" s="1"/>
  <c r="Y11" s="1"/>
  <c r="AF12"/>
  <c r="Y12" s="1"/>
  <c r="AJ12"/>
  <c r="AF14"/>
  <c r="Y14" s="1"/>
  <c r="AJ14"/>
  <c r="AJ15"/>
  <c r="AF15" s="1"/>
  <c r="Y15" s="1"/>
  <c r="AJ19"/>
  <c r="AF19" s="1"/>
  <c r="Y19" s="1"/>
  <c r="AJ16"/>
  <c r="AF16" s="1"/>
  <c r="Y16" s="1"/>
  <c r="AJ17"/>
  <c r="AJ18"/>
  <c r="AF18" s="1"/>
  <c r="Y18" s="1"/>
  <c r="AJ20"/>
  <c r="AF20" s="1"/>
  <c r="Y20" s="1"/>
  <c r="AH21"/>
  <c r="AI21" s="1"/>
  <c r="AJ21"/>
  <c r="AH22"/>
  <c r="AI22" s="1"/>
  <c r="AJ22"/>
  <c r="AH23"/>
  <c r="AI23" s="1"/>
  <c r="AF23" s="1"/>
  <c r="Y23" s="1"/>
  <c r="AJ23"/>
  <c r="AH24"/>
  <c r="AI24" s="1"/>
  <c r="AJ24"/>
  <c r="AG25"/>
  <c r="AI25" s="1"/>
  <c r="AK25"/>
  <c r="AH26"/>
  <c r="AI26" s="1"/>
  <c r="AF26" s="1"/>
  <c r="Y26" s="1"/>
  <c r="AJ26"/>
  <c r="AH27"/>
  <c r="AI27" s="1"/>
  <c r="AJ27"/>
  <c r="AF27" s="1"/>
  <c r="Y27" s="1"/>
  <c r="AH28"/>
  <c r="AI28" s="1"/>
  <c r="AF28" s="1"/>
  <c r="Y28" s="1"/>
  <c r="AJ28"/>
  <c r="AH29"/>
  <c r="AI29" s="1"/>
  <c r="AF29" s="1"/>
  <c r="Y29" s="1"/>
  <c r="AJ29"/>
  <c r="AH30"/>
  <c r="AI30" s="1"/>
  <c r="AF30" s="1"/>
  <c r="Y30" s="1"/>
  <c r="AJ30"/>
  <c r="AG31"/>
  <c r="AI31" s="1"/>
  <c r="AK31"/>
  <c r="AH32"/>
  <c r="AI32" s="1"/>
  <c r="AJ32"/>
  <c r="AH33"/>
  <c r="AI33" s="1"/>
  <c r="AF33" s="1"/>
  <c r="Y33" s="1"/>
  <c r="AJ33"/>
  <c r="AH34"/>
  <c r="AI34" s="1"/>
  <c r="AJ34"/>
  <c r="AF34" s="1"/>
  <c r="Y34" s="1"/>
  <c r="AH35"/>
  <c r="AI35" s="1"/>
  <c r="AF35" s="1"/>
  <c r="Y35" s="1"/>
  <c r="AJ35"/>
  <c r="AH36"/>
  <c r="AI36" s="1"/>
  <c r="AF36" s="1"/>
  <c r="Y36" s="1"/>
  <c r="AJ36"/>
  <c r="AG37"/>
  <c r="AI37" s="1"/>
  <c r="AK37"/>
  <c r="AH38"/>
  <c r="AI38" s="1"/>
  <c r="AJ38"/>
  <c r="AH39"/>
  <c r="AI39" s="1"/>
  <c r="AJ39"/>
  <c r="AF39" s="1"/>
  <c r="Y39" s="1"/>
  <c r="AH40"/>
  <c r="AI40" s="1"/>
  <c r="AF40" s="1"/>
  <c r="Y40" s="1"/>
  <c r="AJ40"/>
  <c r="AH41"/>
  <c r="AI41" s="1"/>
  <c r="AF41" s="1"/>
  <c r="Y41" s="1"/>
  <c r="AJ41"/>
  <c r="AH42"/>
  <c r="AI42" s="1"/>
  <c r="AF42" s="1"/>
  <c r="Y42" s="1"/>
  <c r="AJ42"/>
  <c r="AG43"/>
  <c r="AI43" s="1"/>
  <c r="AK43"/>
  <c r="AH44"/>
  <c r="AI44" s="1"/>
  <c r="AJ44"/>
  <c r="AH45"/>
  <c r="AI45" s="1"/>
  <c r="AF45" s="1"/>
  <c r="Y45" s="1"/>
  <c r="AJ45"/>
  <c r="AH46"/>
  <c r="AI46" s="1"/>
  <c r="AF46" s="1"/>
  <c r="Y46" s="1"/>
  <c r="AJ46"/>
  <c r="AH47"/>
  <c r="AI47" s="1"/>
  <c r="AF47" s="1"/>
  <c r="Y47" s="1"/>
  <c r="AJ47"/>
  <c r="AH48"/>
  <c r="AI48" s="1"/>
  <c r="AJ48"/>
  <c r="AG49"/>
  <c r="AI49" s="1"/>
  <c r="AK49"/>
  <c r="AH50"/>
  <c r="AJ50"/>
  <c r="AH51"/>
  <c r="AI51" s="1"/>
  <c r="AF51" s="1"/>
  <c r="Y51" s="1"/>
  <c r="AJ51"/>
  <c r="AH52"/>
  <c r="AI52" s="1"/>
  <c r="AJ52"/>
  <c r="AH53"/>
  <c r="AI53" s="1"/>
  <c r="AF53" s="1"/>
  <c r="Y53" s="1"/>
  <c r="AJ53"/>
  <c r="AJ54"/>
  <c r="AL54"/>
  <c r="AK55"/>
  <c r="AJ59"/>
  <c r="AL59"/>
  <c r="AJ60"/>
  <c r="AL60"/>
  <c r="AJ61"/>
  <c r="AL61"/>
  <c r="AJ62"/>
  <c r="AL62"/>
  <c r="AJ63"/>
  <c r="AL63"/>
  <c r="AJ64"/>
  <c r="AL64"/>
  <c r="AJ65"/>
  <c r="AL65"/>
  <c r="AJ66"/>
  <c r="AL66"/>
  <c r="AG70"/>
  <c r="AI70" s="1"/>
  <c r="AK70"/>
  <c r="AJ71"/>
  <c r="AL71"/>
  <c r="AG72"/>
  <c r="AI72" s="1"/>
  <c r="AK72"/>
  <c r="AJ73"/>
  <c r="AL73"/>
  <c r="AJ77"/>
  <c r="AL77"/>
  <c r="AG78"/>
  <c r="AI78" s="1"/>
  <c r="AK78"/>
  <c r="AG82"/>
  <c r="AI82" s="1"/>
  <c r="AK82"/>
  <c r="AG86"/>
  <c r="AI86" s="1"/>
  <c r="AK86"/>
  <c r="AW90"/>
  <c r="AW92"/>
  <c r="AF25"/>
  <c r="Y25" s="1"/>
  <c r="AJ25"/>
  <c r="AF31"/>
  <c r="Y31" s="1"/>
  <c r="AJ31"/>
  <c r="AF37"/>
  <c r="Y37" s="1"/>
  <c r="AJ37"/>
  <c r="AF43"/>
  <c r="Y43" s="1"/>
  <c r="AJ43"/>
  <c r="AF49"/>
  <c r="Y49" s="1"/>
  <c r="AJ49"/>
  <c r="AG54"/>
  <c r="AI54" s="1"/>
  <c r="AF54" s="1"/>
  <c r="Y54" s="1"/>
  <c r="AF55"/>
  <c r="Y55" s="1"/>
  <c r="AJ55"/>
  <c r="BB58"/>
  <c r="AG59"/>
  <c r="AI59" s="1"/>
  <c r="AF59" s="1"/>
  <c r="Y59" s="1"/>
  <c r="AG60"/>
  <c r="AI60" s="1"/>
  <c r="AF60" s="1"/>
  <c r="Y60" s="1"/>
  <c r="AG61"/>
  <c r="AI61" s="1"/>
  <c r="AF61" s="1"/>
  <c r="Y61" s="1"/>
  <c r="AG62"/>
  <c r="AI62" s="1"/>
  <c r="AF62" s="1"/>
  <c r="Y62" s="1"/>
  <c r="AG63"/>
  <c r="AI63" s="1"/>
  <c r="AF63" s="1"/>
  <c r="Y63" s="1"/>
  <c r="AG64"/>
  <c r="AI64" s="1"/>
  <c r="AF64" s="1"/>
  <c r="Y64" s="1"/>
  <c r="AG65"/>
  <c r="AI65" s="1"/>
  <c r="AF65" s="1"/>
  <c r="Y65" s="1"/>
  <c r="AG66"/>
  <c r="AI66" s="1"/>
  <c r="AF66" s="1"/>
  <c r="Y66" s="1"/>
  <c r="AF70"/>
  <c r="Y70" s="1"/>
  <c r="AJ70"/>
  <c r="AG71"/>
  <c r="AI71" s="1"/>
  <c r="AF71" s="1"/>
  <c r="Y71" s="1"/>
  <c r="AJ72"/>
  <c r="AF72" s="1"/>
  <c r="Y72" s="1"/>
  <c r="AG73"/>
  <c r="AI73" s="1"/>
  <c r="AF73" s="1"/>
  <c r="Y73" s="1"/>
  <c r="AG77"/>
  <c r="AI77" s="1"/>
  <c r="AF77" s="1"/>
  <c r="Y77" s="1"/>
  <c r="AF78"/>
  <c r="Y78" s="1"/>
  <c r="AJ78"/>
  <c r="AF82"/>
  <c r="Y82" s="1"/>
  <c r="AJ82"/>
  <c r="AJ86"/>
  <c r="AF86" s="1"/>
  <c r="Y86" s="1"/>
  <c r="AK8" i="19"/>
  <c r="AL8" i="21"/>
  <c r="R17" i="2"/>
  <c r="R18"/>
  <c r="R21"/>
  <c r="R27"/>
  <c r="R41"/>
  <c r="R45"/>
  <c r="AL8" i="5"/>
  <c r="AL8" i="6"/>
  <c r="AL8" i="7"/>
  <c r="AL8" i="8"/>
  <c r="AK8" i="20"/>
  <c r="AG8" i="5"/>
  <c r="AK8" i="7"/>
  <c r="AG8" i="8"/>
  <c r="AG8" i="21"/>
  <c r="R9" i="2"/>
  <c r="R10"/>
  <c r="R11"/>
  <c r="R12"/>
  <c r="R15"/>
  <c r="R16"/>
  <c r="AG8" i="7"/>
  <c r="AK8" i="21"/>
  <c r="AW90" i="6"/>
  <c r="Q3"/>
  <c r="F36" i="22" s="1"/>
  <c r="AI24" i="6"/>
  <c r="AV91"/>
  <c r="AI16" i="5"/>
  <c r="AI20"/>
  <c r="AI23"/>
  <c r="AI24"/>
  <c r="AI27"/>
  <c r="AI28"/>
  <c r="AV89"/>
  <c r="AV91"/>
  <c r="AI63" i="4"/>
  <c r="AK19" i="21"/>
  <c r="AG19"/>
  <c r="AI19" s="1"/>
  <c r="AH8"/>
  <c r="AJ8"/>
  <c r="AH9"/>
  <c r="AI9" s="1"/>
  <c r="AJ9"/>
  <c r="AH10"/>
  <c r="AI10" s="1"/>
  <c r="AJ10"/>
  <c r="AH11"/>
  <c r="AI11" s="1"/>
  <c r="AF11" s="1"/>
  <c r="Y11" s="1"/>
  <c r="AJ11"/>
  <c r="AH12"/>
  <c r="AI12" s="1"/>
  <c r="AJ12"/>
  <c r="AF12" s="1"/>
  <c r="Y12" s="1"/>
  <c r="AG13"/>
  <c r="AI13" s="1"/>
  <c r="AK13"/>
  <c r="AH14"/>
  <c r="AI14" s="1"/>
  <c r="AF14" s="1"/>
  <c r="Y14" s="1"/>
  <c r="AJ14"/>
  <c r="AL15"/>
  <c r="AH15"/>
  <c r="AI15" s="1"/>
  <c r="AJ15"/>
  <c r="AF15" s="1"/>
  <c r="Y15" s="1"/>
  <c r="AL16"/>
  <c r="AK16"/>
  <c r="AL18"/>
  <c r="AK18"/>
  <c r="AF19"/>
  <c r="Y19" s="1"/>
  <c r="AJ19"/>
  <c r="AK20"/>
  <c r="AL22"/>
  <c r="AK22"/>
  <c r="AI55"/>
  <c r="AF13"/>
  <c r="Y13" s="1"/>
  <c r="AJ13"/>
  <c r="AK21"/>
  <c r="AL23"/>
  <c r="AK23"/>
  <c r="AF16"/>
  <c r="Y16" s="1"/>
  <c r="AJ16"/>
  <c r="AJ17"/>
  <c r="AJ18"/>
  <c r="AF18" s="1"/>
  <c r="Y18" s="1"/>
  <c r="AF20"/>
  <c r="Y20" s="1"/>
  <c r="AJ20"/>
  <c r="AJ21"/>
  <c r="AF21" s="1"/>
  <c r="Y21" s="1"/>
  <c r="AJ22"/>
  <c r="AF23"/>
  <c r="Y23" s="1"/>
  <c r="AJ23"/>
  <c r="AH24"/>
  <c r="AI24" s="1"/>
  <c r="AF24" s="1"/>
  <c r="Y24" s="1"/>
  <c r="AJ24"/>
  <c r="AG25"/>
  <c r="AI25" s="1"/>
  <c r="AK25"/>
  <c r="AH26"/>
  <c r="AI26" s="1"/>
  <c r="AF26" s="1"/>
  <c r="Y26" s="1"/>
  <c r="AJ26"/>
  <c r="AH27"/>
  <c r="AI27" s="1"/>
  <c r="AJ27"/>
  <c r="AF27" s="1"/>
  <c r="Y27" s="1"/>
  <c r="AH28"/>
  <c r="AI28" s="1"/>
  <c r="AF28" s="1"/>
  <c r="Y28" s="1"/>
  <c r="AJ28"/>
  <c r="AH29"/>
  <c r="AI29" s="1"/>
  <c r="AF29" s="1"/>
  <c r="Y29" s="1"/>
  <c r="AJ29"/>
  <c r="AH30"/>
  <c r="AI30" s="1"/>
  <c r="AJ30"/>
  <c r="AF30" s="1"/>
  <c r="Y30" s="1"/>
  <c r="AG31"/>
  <c r="AI31" s="1"/>
  <c r="AK31"/>
  <c r="AF32"/>
  <c r="Y32" s="1"/>
  <c r="AH32"/>
  <c r="AI32" s="1"/>
  <c r="AJ32"/>
  <c r="AH33"/>
  <c r="AI33" s="1"/>
  <c r="AF33" s="1"/>
  <c r="Y33" s="1"/>
  <c r="AJ33"/>
  <c r="AH34"/>
  <c r="AI34" s="1"/>
  <c r="AJ34"/>
  <c r="AF34" s="1"/>
  <c r="Y34" s="1"/>
  <c r="AH35"/>
  <c r="AI35" s="1"/>
  <c r="AF35" s="1"/>
  <c r="Y35" s="1"/>
  <c r="AJ35"/>
  <c r="AH36"/>
  <c r="AI36" s="1"/>
  <c r="AF36" s="1"/>
  <c r="Y36" s="1"/>
  <c r="AJ36"/>
  <c r="AG37"/>
  <c r="AI37" s="1"/>
  <c r="AK37"/>
  <c r="AH38"/>
  <c r="AI38" s="1"/>
  <c r="AJ38"/>
  <c r="AH39"/>
  <c r="AI39" s="1"/>
  <c r="AJ39"/>
  <c r="AF39" s="1"/>
  <c r="Y39" s="1"/>
  <c r="AH40"/>
  <c r="AI40" s="1"/>
  <c r="AJ40"/>
  <c r="AH41"/>
  <c r="AI41" s="1"/>
  <c r="AF41" s="1"/>
  <c r="Y41" s="1"/>
  <c r="AJ41"/>
  <c r="AH42"/>
  <c r="AI42" s="1"/>
  <c r="AJ42"/>
  <c r="AG43"/>
  <c r="AI43" s="1"/>
  <c r="AK43"/>
  <c r="AF44"/>
  <c r="Y44" s="1"/>
  <c r="AH44"/>
  <c r="AI44" s="1"/>
  <c r="AJ44"/>
  <c r="AH45"/>
  <c r="AI45" s="1"/>
  <c r="AF45" s="1"/>
  <c r="Y45" s="1"/>
  <c r="AJ45"/>
  <c r="AH46"/>
  <c r="AI46" s="1"/>
  <c r="AF46" s="1"/>
  <c r="Y46" s="1"/>
  <c r="AJ46"/>
  <c r="AH47"/>
  <c r="AI47" s="1"/>
  <c r="AF47" s="1"/>
  <c r="Y47" s="1"/>
  <c r="AJ47"/>
  <c r="AH48"/>
  <c r="AI48" s="1"/>
  <c r="AF48" s="1"/>
  <c r="Y48" s="1"/>
  <c r="AJ48"/>
  <c r="AG49"/>
  <c r="AI49" s="1"/>
  <c r="AK49"/>
  <c r="AH50"/>
  <c r="AI50" s="1"/>
  <c r="AF50" s="1"/>
  <c r="Y50" s="1"/>
  <c r="AJ50"/>
  <c r="AH51"/>
  <c r="AI51" s="1"/>
  <c r="AF51" s="1"/>
  <c r="Y51" s="1"/>
  <c r="AJ51"/>
  <c r="AH52"/>
  <c r="AJ52"/>
  <c r="AJ53"/>
  <c r="AL53"/>
  <c r="AJ54"/>
  <c r="AL54"/>
  <c r="AK55"/>
  <c r="AJ59"/>
  <c r="AL59"/>
  <c r="AJ60"/>
  <c r="AL60"/>
  <c r="AJ61"/>
  <c r="AL61"/>
  <c r="AJ62"/>
  <c r="AL62"/>
  <c r="AJ63"/>
  <c r="AL63"/>
  <c r="AJ64"/>
  <c r="AL64"/>
  <c r="AJ65"/>
  <c r="AL65"/>
  <c r="AF65" s="1"/>
  <c r="Y65" s="1"/>
  <c r="AJ66"/>
  <c r="AL66"/>
  <c r="AG70"/>
  <c r="AI70" s="1"/>
  <c r="AK70"/>
  <c r="AJ71"/>
  <c r="AL71"/>
  <c r="AG72"/>
  <c r="AI72" s="1"/>
  <c r="AK72"/>
  <c r="AJ73"/>
  <c r="AL73"/>
  <c r="AJ77"/>
  <c r="AL77"/>
  <c r="AF77" s="1"/>
  <c r="Y77" s="1"/>
  <c r="AG78"/>
  <c r="AI78" s="1"/>
  <c r="AK78"/>
  <c r="AG82"/>
  <c r="AI82" s="1"/>
  <c r="AK82"/>
  <c r="AG86"/>
  <c r="AI86" s="1"/>
  <c r="AK86"/>
  <c r="AW90"/>
  <c r="AF25"/>
  <c r="Y25" s="1"/>
  <c r="AJ25"/>
  <c r="AF31"/>
  <c r="Y31" s="1"/>
  <c r="AJ31"/>
  <c r="AF37"/>
  <c r="Y37" s="1"/>
  <c r="AJ37"/>
  <c r="AF43"/>
  <c r="Y43" s="1"/>
  <c r="AJ43"/>
  <c r="AF49"/>
  <c r="Y49" s="1"/>
  <c r="AJ49"/>
  <c r="AG53"/>
  <c r="AI53" s="1"/>
  <c r="AG54"/>
  <c r="AI54" s="1"/>
  <c r="AF54" s="1"/>
  <c r="Y54" s="1"/>
  <c r="AF55"/>
  <c r="Y55" s="1"/>
  <c r="AJ55"/>
  <c r="BB58"/>
  <c r="AG59"/>
  <c r="AI59" s="1"/>
  <c r="AF59" s="1"/>
  <c r="Y59" s="1"/>
  <c r="AG60"/>
  <c r="AI60" s="1"/>
  <c r="AF60" s="1"/>
  <c r="Y60" s="1"/>
  <c r="AG61"/>
  <c r="AI61" s="1"/>
  <c r="AF61" s="1"/>
  <c r="Y61" s="1"/>
  <c r="AG62"/>
  <c r="AI62" s="1"/>
  <c r="AF62" s="1"/>
  <c r="Y62" s="1"/>
  <c r="AG63"/>
  <c r="AI63" s="1"/>
  <c r="AF63" s="1"/>
  <c r="Y63" s="1"/>
  <c r="AG64"/>
  <c r="AI64" s="1"/>
  <c r="AF64" s="1"/>
  <c r="Y64" s="1"/>
  <c r="AG65"/>
  <c r="AI65" s="1"/>
  <c r="AG66"/>
  <c r="AI66" s="1"/>
  <c r="AF66" s="1"/>
  <c r="Y66" s="1"/>
  <c r="AF70"/>
  <c r="Y70" s="1"/>
  <c r="AJ70"/>
  <c r="AG71"/>
  <c r="AI71" s="1"/>
  <c r="AF71" s="1"/>
  <c r="Y71" s="1"/>
  <c r="AJ72"/>
  <c r="AF72" s="1"/>
  <c r="Y72" s="1"/>
  <c r="AG73"/>
  <c r="AI73" s="1"/>
  <c r="AF73" s="1"/>
  <c r="Y73" s="1"/>
  <c r="AJ78"/>
  <c r="AF78" s="1"/>
  <c r="Y78" s="1"/>
  <c r="AJ82"/>
  <c r="AF82" s="1"/>
  <c r="Y82" s="1"/>
  <c r="AJ86"/>
  <c r="AJ8" i="20"/>
  <c r="AL8"/>
  <c r="AJ9"/>
  <c r="AL9"/>
  <c r="AJ10"/>
  <c r="AL10"/>
  <c r="AJ11"/>
  <c r="AL11"/>
  <c r="AJ12"/>
  <c r="AL12"/>
  <c r="AK13"/>
  <c r="AJ14"/>
  <c r="AL14"/>
  <c r="AJ15"/>
  <c r="AL15"/>
  <c r="AK19"/>
  <c r="AG19"/>
  <c r="AI19" s="1"/>
  <c r="AG8"/>
  <c r="AI8" s="1"/>
  <c r="AF8" s="1"/>
  <c r="AG9"/>
  <c r="AI9" s="1"/>
  <c r="AG10"/>
  <c r="AI10" s="1"/>
  <c r="AF10" s="1"/>
  <c r="Y10" s="1"/>
  <c r="AG11"/>
  <c r="AI11" s="1"/>
  <c r="AF11" s="1"/>
  <c r="Y11" s="1"/>
  <c r="AG12"/>
  <c r="AI12" s="1"/>
  <c r="AF12" s="1"/>
  <c r="Y12" s="1"/>
  <c r="AF13"/>
  <c r="Y13" s="1"/>
  <c r="AJ13"/>
  <c r="AG14"/>
  <c r="AI14" s="1"/>
  <c r="AF14" s="1"/>
  <c r="Y14" s="1"/>
  <c r="AG15"/>
  <c r="AI15" s="1"/>
  <c r="AF15" s="1"/>
  <c r="Y15" s="1"/>
  <c r="AL16"/>
  <c r="AK16"/>
  <c r="AL18"/>
  <c r="AK18"/>
  <c r="AF19"/>
  <c r="Y19" s="1"/>
  <c r="AJ19"/>
  <c r="AL20"/>
  <c r="AK20"/>
  <c r="AL22"/>
  <c r="AK22"/>
  <c r="AI55"/>
  <c r="AI66"/>
  <c r="AF16"/>
  <c r="Y16" s="1"/>
  <c r="AJ16"/>
  <c r="AF17"/>
  <c r="Y17" s="1"/>
  <c r="AJ17"/>
  <c r="AF18"/>
  <c r="Y18" s="1"/>
  <c r="AJ18"/>
  <c r="AF20"/>
  <c r="Y20" s="1"/>
  <c r="AJ20"/>
  <c r="AF21"/>
  <c r="Y21" s="1"/>
  <c r="AJ21"/>
  <c r="AF22"/>
  <c r="Y22" s="1"/>
  <c r="AJ22"/>
  <c r="AF23"/>
  <c r="Y23" s="1"/>
  <c r="AJ23"/>
  <c r="AH24"/>
  <c r="AI24" s="1"/>
  <c r="AF24" s="1"/>
  <c r="Y24" s="1"/>
  <c r="AJ24"/>
  <c r="AG25"/>
  <c r="AI25" s="1"/>
  <c r="AK25"/>
  <c r="AH26"/>
  <c r="AI26" s="1"/>
  <c r="AF26" s="1"/>
  <c r="Y26" s="1"/>
  <c r="AJ26"/>
  <c r="AH27"/>
  <c r="AI27" s="1"/>
  <c r="AF27" s="1"/>
  <c r="Y27" s="1"/>
  <c r="AJ27"/>
  <c r="AH28"/>
  <c r="AI28" s="1"/>
  <c r="AF28" s="1"/>
  <c r="Y28" s="1"/>
  <c r="AJ28"/>
  <c r="AH29"/>
  <c r="AI29" s="1"/>
  <c r="AF29" s="1"/>
  <c r="Y29" s="1"/>
  <c r="AJ29"/>
  <c r="AH30"/>
  <c r="AI30" s="1"/>
  <c r="AF30" s="1"/>
  <c r="Y30" s="1"/>
  <c r="AJ30"/>
  <c r="AG31"/>
  <c r="AI31" s="1"/>
  <c r="AK31"/>
  <c r="AH32"/>
  <c r="AI32" s="1"/>
  <c r="AJ32"/>
  <c r="AH33"/>
  <c r="AI33" s="1"/>
  <c r="AJ33"/>
  <c r="AH34"/>
  <c r="AI34" s="1"/>
  <c r="AJ34"/>
  <c r="AH35"/>
  <c r="AI35" s="1"/>
  <c r="AF35" s="1"/>
  <c r="Y35" s="1"/>
  <c r="AJ35"/>
  <c r="AH36"/>
  <c r="AJ36"/>
  <c r="AG37"/>
  <c r="AI37" s="1"/>
  <c r="AK37"/>
  <c r="AH38"/>
  <c r="AI38" s="1"/>
  <c r="AF38" s="1"/>
  <c r="Y38" s="1"/>
  <c r="AJ38"/>
  <c r="AH39"/>
  <c r="AI39" s="1"/>
  <c r="AJ39"/>
  <c r="AH40"/>
  <c r="AI40" s="1"/>
  <c r="AF40" s="1"/>
  <c r="Y40" s="1"/>
  <c r="AJ40"/>
  <c r="AH41"/>
  <c r="AI41" s="1"/>
  <c r="AF41" s="1"/>
  <c r="Y41" s="1"/>
  <c r="AJ41"/>
  <c r="AH42"/>
  <c r="AI42" s="1"/>
  <c r="AJ42"/>
  <c r="AG43"/>
  <c r="AI43" s="1"/>
  <c r="AK43"/>
  <c r="AF44"/>
  <c r="Y44" s="1"/>
  <c r="AH44"/>
  <c r="AI44" s="1"/>
  <c r="AJ44"/>
  <c r="AH45"/>
  <c r="AI45" s="1"/>
  <c r="AF45" s="1"/>
  <c r="Y45" s="1"/>
  <c r="AJ45"/>
  <c r="AH46"/>
  <c r="AI46" s="1"/>
  <c r="AF46" s="1"/>
  <c r="Y46" s="1"/>
  <c r="AJ46"/>
  <c r="AH47"/>
  <c r="AI47" s="1"/>
  <c r="AF47" s="1"/>
  <c r="Y47" s="1"/>
  <c r="AJ47"/>
  <c r="AH48"/>
  <c r="AJ48"/>
  <c r="AG49"/>
  <c r="AI49" s="1"/>
  <c r="AK49"/>
  <c r="AH50"/>
  <c r="AJ50"/>
  <c r="AH51"/>
  <c r="AI51" s="1"/>
  <c r="AF51" s="1"/>
  <c r="Y51" s="1"/>
  <c r="AJ51"/>
  <c r="AH52"/>
  <c r="AI52" s="1"/>
  <c r="AJ52"/>
  <c r="AJ53"/>
  <c r="AL53"/>
  <c r="AJ54"/>
  <c r="AL54"/>
  <c r="AK55"/>
  <c r="AJ59"/>
  <c r="AL59"/>
  <c r="AJ60"/>
  <c r="AL60"/>
  <c r="AJ61"/>
  <c r="AL61"/>
  <c r="AJ62"/>
  <c r="AL62"/>
  <c r="AJ63"/>
  <c r="AL63"/>
  <c r="AJ64"/>
  <c r="AL64"/>
  <c r="AJ65"/>
  <c r="AL65"/>
  <c r="AJ66"/>
  <c r="AL66"/>
  <c r="AF66" s="1"/>
  <c r="Y66" s="1"/>
  <c r="AG70"/>
  <c r="AI70" s="1"/>
  <c r="AK70"/>
  <c r="AJ71"/>
  <c r="AL71"/>
  <c r="AG72"/>
  <c r="AI72" s="1"/>
  <c r="AK72"/>
  <c r="AJ73"/>
  <c r="AL73"/>
  <c r="AJ77"/>
  <c r="AL77"/>
  <c r="AG78"/>
  <c r="AI78" s="1"/>
  <c r="AK78"/>
  <c r="AG82"/>
  <c r="AI82" s="1"/>
  <c r="AK82"/>
  <c r="AG86"/>
  <c r="AI86" s="1"/>
  <c r="AK86"/>
  <c r="AW90"/>
  <c r="AF25"/>
  <c r="Y25" s="1"/>
  <c r="AJ25"/>
  <c r="AF31"/>
  <c r="Y31" s="1"/>
  <c r="AJ31"/>
  <c r="AF37"/>
  <c r="Y37" s="1"/>
  <c r="AJ37"/>
  <c r="AF43"/>
  <c r="Y43" s="1"/>
  <c r="AJ43"/>
  <c r="AF49"/>
  <c r="Y49" s="1"/>
  <c r="AJ49"/>
  <c r="AG53"/>
  <c r="AI53" s="1"/>
  <c r="AG54"/>
  <c r="AI54" s="1"/>
  <c r="AF54" s="1"/>
  <c r="Y54" s="1"/>
  <c r="AF55"/>
  <c r="Y55" s="1"/>
  <c r="AJ55"/>
  <c r="BB58"/>
  <c r="AG59"/>
  <c r="AI59" s="1"/>
  <c r="AF59" s="1"/>
  <c r="Y59" s="1"/>
  <c r="AG60"/>
  <c r="AI60" s="1"/>
  <c r="AF60" s="1"/>
  <c r="Y60" s="1"/>
  <c r="AG61"/>
  <c r="AI61" s="1"/>
  <c r="AF61" s="1"/>
  <c r="Y61" s="1"/>
  <c r="AG62"/>
  <c r="AI62" s="1"/>
  <c r="AF62" s="1"/>
  <c r="Y62" s="1"/>
  <c r="AG63"/>
  <c r="AI63" s="1"/>
  <c r="AF63" s="1"/>
  <c r="Y63" s="1"/>
  <c r="AG64"/>
  <c r="AI64" s="1"/>
  <c r="AF64" s="1"/>
  <c r="Y64" s="1"/>
  <c r="AG65"/>
  <c r="AI65" s="1"/>
  <c r="AF65" s="1"/>
  <c r="Y65" s="1"/>
  <c r="AF70"/>
  <c r="Y70" s="1"/>
  <c r="AJ70"/>
  <c r="AG71"/>
  <c r="AI71" s="1"/>
  <c r="AF71" s="1"/>
  <c r="Y71" s="1"/>
  <c r="AJ72"/>
  <c r="AF72" s="1"/>
  <c r="Y72" s="1"/>
  <c r="AG73"/>
  <c r="AI73" s="1"/>
  <c r="AF73" s="1"/>
  <c r="Y73" s="1"/>
  <c r="AG77"/>
  <c r="AI77" s="1"/>
  <c r="AF77" s="1"/>
  <c r="Y77" s="1"/>
  <c r="AF78"/>
  <c r="Y78" s="1"/>
  <c r="AJ78"/>
  <c r="AF82"/>
  <c r="Y82" s="1"/>
  <c r="AJ82"/>
  <c r="AF86"/>
  <c r="Y86" s="1"/>
  <c r="AJ86"/>
  <c r="AK31" i="19"/>
  <c r="AG31"/>
  <c r="AI31" s="1"/>
  <c r="AF31" s="1"/>
  <c r="Y31" s="1"/>
  <c r="AJ8"/>
  <c r="AL8"/>
  <c r="AJ10"/>
  <c r="AL10"/>
  <c r="AF12"/>
  <c r="Y12" s="1"/>
  <c r="AJ12"/>
  <c r="AL12"/>
  <c r="AK13"/>
  <c r="AJ14"/>
  <c r="AL14"/>
  <c r="AJ31"/>
  <c r="AK19"/>
  <c r="AG19"/>
  <c r="AI19" s="1"/>
  <c r="AK25"/>
  <c r="AG25"/>
  <c r="AI25" s="1"/>
  <c r="AJ9"/>
  <c r="AL9"/>
  <c r="AJ11"/>
  <c r="AL11"/>
  <c r="AJ15"/>
  <c r="AJ19"/>
  <c r="AF25"/>
  <c r="Y25" s="1"/>
  <c r="AJ25"/>
  <c r="AG8"/>
  <c r="AI8" s="1"/>
  <c r="AG9"/>
  <c r="AI9" s="1"/>
  <c r="AF9" s="1"/>
  <c r="Y9" s="1"/>
  <c r="AG10"/>
  <c r="AI10" s="1"/>
  <c r="AG11"/>
  <c r="AI11" s="1"/>
  <c r="AF11" s="1"/>
  <c r="Y11" s="1"/>
  <c r="AG12"/>
  <c r="AI12" s="1"/>
  <c r="AF13"/>
  <c r="Y13" s="1"/>
  <c r="AJ13"/>
  <c r="AG14"/>
  <c r="AI14" s="1"/>
  <c r="AF14" s="1"/>
  <c r="Y14" s="1"/>
  <c r="AG15"/>
  <c r="AI15" s="1"/>
  <c r="AF15" s="1"/>
  <c r="Y15" s="1"/>
  <c r="AK15"/>
  <c r="AL17"/>
  <c r="AK17"/>
  <c r="AL19"/>
  <c r="AF19" s="1"/>
  <c r="Y19" s="1"/>
  <c r="AL21"/>
  <c r="AK21"/>
  <c r="AL23"/>
  <c r="AK23"/>
  <c r="AL25"/>
  <c r="AL27"/>
  <c r="AK27"/>
  <c r="AL29"/>
  <c r="AK29"/>
  <c r="AL31"/>
  <c r="AL33"/>
  <c r="AK33"/>
  <c r="AF16"/>
  <c r="Y16" s="1"/>
  <c r="AJ16"/>
  <c r="AF17"/>
  <c r="Y17" s="1"/>
  <c r="AJ17"/>
  <c r="AJ18"/>
  <c r="AF18" s="1"/>
  <c r="Y18" s="1"/>
  <c r="AF20"/>
  <c r="Y20" s="1"/>
  <c r="AJ20"/>
  <c r="AJ21"/>
  <c r="AF21" s="1"/>
  <c r="Y21" s="1"/>
  <c r="AJ22"/>
  <c r="AF23"/>
  <c r="Y23" s="1"/>
  <c r="AJ23"/>
  <c r="AF24"/>
  <c r="Y24" s="1"/>
  <c r="AJ24"/>
  <c r="AF26"/>
  <c r="Y26" s="1"/>
  <c r="AJ26"/>
  <c r="AJ27"/>
  <c r="AF27" s="1"/>
  <c r="Y27" s="1"/>
  <c r="AF28"/>
  <c r="Y28" s="1"/>
  <c r="AJ28"/>
  <c r="AF29"/>
  <c r="Y29" s="1"/>
  <c r="AJ29"/>
  <c r="AF30"/>
  <c r="Y30" s="1"/>
  <c r="AJ30"/>
  <c r="AF32"/>
  <c r="Y32" s="1"/>
  <c r="AJ32"/>
  <c r="AF33"/>
  <c r="Y33" s="1"/>
  <c r="AJ33"/>
  <c r="AH34"/>
  <c r="AI34" s="1"/>
  <c r="AJ34"/>
  <c r="AF34" s="1"/>
  <c r="Y34" s="1"/>
  <c r="AH35"/>
  <c r="AI35" s="1"/>
  <c r="AF35" s="1"/>
  <c r="Y35" s="1"/>
  <c r="AJ35"/>
  <c r="AH36"/>
  <c r="AI36" s="1"/>
  <c r="AF36" s="1"/>
  <c r="Y36" s="1"/>
  <c r="AJ36"/>
  <c r="AG37"/>
  <c r="AI37" s="1"/>
  <c r="AK37"/>
  <c r="AH38"/>
  <c r="AI38" s="1"/>
  <c r="AF38" s="1"/>
  <c r="Y38" s="1"/>
  <c r="AJ38"/>
  <c r="AH39"/>
  <c r="AI39" s="1"/>
  <c r="AJ39"/>
  <c r="AF39" s="1"/>
  <c r="Y39" s="1"/>
  <c r="AH40"/>
  <c r="AI40" s="1"/>
  <c r="AF40" s="1"/>
  <c r="Y40" s="1"/>
  <c r="AJ40"/>
  <c r="AH41"/>
  <c r="AI41" s="1"/>
  <c r="AF41" s="1"/>
  <c r="Y41" s="1"/>
  <c r="AJ41"/>
  <c r="AH42"/>
  <c r="AI42" s="1"/>
  <c r="AF42" s="1"/>
  <c r="Y42" s="1"/>
  <c r="AJ42"/>
  <c r="AG43"/>
  <c r="AI43" s="1"/>
  <c r="AK43"/>
  <c r="AF44"/>
  <c r="Y44" s="1"/>
  <c r="AH44"/>
  <c r="AI44" s="1"/>
  <c r="AJ44"/>
  <c r="AH45"/>
  <c r="AI45" s="1"/>
  <c r="AF45" s="1"/>
  <c r="Y45" s="1"/>
  <c r="AJ45"/>
  <c r="AH46"/>
  <c r="AI46" s="1"/>
  <c r="AF46" s="1"/>
  <c r="Y46" s="1"/>
  <c r="AJ46"/>
  <c r="AH47"/>
  <c r="AI47" s="1"/>
  <c r="AJ47"/>
  <c r="AH48"/>
  <c r="AI48" s="1"/>
  <c r="AF48" s="1"/>
  <c r="Y48" s="1"/>
  <c r="AJ48"/>
  <c r="AG49"/>
  <c r="AI49" s="1"/>
  <c r="AK49"/>
  <c r="AH50"/>
  <c r="AI50" s="1"/>
  <c r="AF50" s="1"/>
  <c r="Y50" s="1"/>
  <c r="AJ50"/>
  <c r="AH51"/>
  <c r="AI51" s="1"/>
  <c r="AF51" s="1"/>
  <c r="Y51" s="1"/>
  <c r="AJ51"/>
  <c r="AH52"/>
  <c r="AI52" s="1"/>
  <c r="AJ52"/>
  <c r="AJ53"/>
  <c r="AL53"/>
  <c r="AJ54"/>
  <c r="AL54"/>
  <c r="AK55"/>
  <c r="AJ59"/>
  <c r="AL59"/>
  <c r="AJ60"/>
  <c r="AL60"/>
  <c r="AJ61"/>
  <c r="AL61"/>
  <c r="AJ62"/>
  <c r="AL62"/>
  <c r="AJ63"/>
  <c r="AL63"/>
  <c r="AJ64"/>
  <c r="AL64"/>
  <c r="AJ65"/>
  <c r="AL65"/>
  <c r="AJ66"/>
  <c r="AL66"/>
  <c r="AG70"/>
  <c r="AI70" s="1"/>
  <c r="AK70"/>
  <c r="AJ71"/>
  <c r="AL71"/>
  <c r="AG72"/>
  <c r="AI72" s="1"/>
  <c r="AK72"/>
  <c r="AJ73"/>
  <c r="AL73"/>
  <c r="AJ77"/>
  <c r="AL77"/>
  <c r="AG78"/>
  <c r="AI78" s="1"/>
  <c r="AK78"/>
  <c r="AG82"/>
  <c r="AI82" s="1"/>
  <c r="AF82" s="1"/>
  <c r="Y82" s="1"/>
  <c r="AK82"/>
  <c r="AG86"/>
  <c r="AI86" s="1"/>
  <c r="AK86"/>
  <c r="AW90"/>
  <c r="AW92"/>
  <c r="AF37"/>
  <c r="Y37" s="1"/>
  <c r="AJ37"/>
  <c r="AF43"/>
  <c r="Y43" s="1"/>
  <c r="AJ43"/>
  <c r="AJ49"/>
  <c r="AF49" s="1"/>
  <c r="Y49" s="1"/>
  <c r="AG53"/>
  <c r="AI53" s="1"/>
  <c r="AG54"/>
  <c r="AI54" s="1"/>
  <c r="AF54" s="1"/>
  <c r="Y54" s="1"/>
  <c r="AJ55"/>
  <c r="AF55" s="1"/>
  <c r="Y55" s="1"/>
  <c r="BB58"/>
  <c r="AG59"/>
  <c r="AI59" s="1"/>
  <c r="AF59" s="1"/>
  <c r="Y59" s="1"/>
  <c r="AG60"/>
  <c r="AI60" s="1"/>
  <c r="AF60" s="1"/>
  <c r="Y60" s="1"/>
  <c r="AG61"/>
  <c r="AI61" s="1"/>
  <c r="AF61" s="1"/>
  <c r="Y61" s="1"/>
  <c r="AG62"/>
  <c r="AI62" s="1"/>
  <c r="AF62" s="1"/>
  <c r="Y62" s="1"/>
  <c r="AG63"/>
  <c r="AI63" s="1"/>
  <c r="AF63" s="1"/>
  <c r="Y63" s="1"/>
  <c r="AG64"/>
  <c r="AI64" s="1"/>
  <c r="AF64" s="1"/>
  <c r="Y64" s="1"/>
  <c r="AG65"/>
  <c r="AI65" s="1"/>
  <c r="AF65" s="1"/>
  <c r="Y65" s="1"/>
  <c r="AG66"/>
  <c r="AI66" s="1"/>
  <c r="AF66" s="1"/>
  <c r="Y66" s="1"/>
  <c r="AF70"/>
  <c r="Y70" s="1"/>
  <c r="AJ70"/>
  <c r="AG71"/>
  <c r="AI71" s="1"/>
  <c r="AF71" s="1"/>
  <c r="Y71" s="1"/>
  <c r="AJ72"/>
  <c r="AF72" s="1"/>
  <c r="Y72" s="1"/>
  <c r="AG73"/>
  <c r="AI73" s="1"/>
  <c r="AF73" s="1"/>
  <c r="Y73" s="1"/>
  <c r="AG77"/>
  <c r="AI77" s="1"/>
  <c r="AF77" s="1"/>
  <c r="Y77" s="1"/>
  <c r="AF78"/>
  <c r="Y78" s="1"/>
  <c r="AJ78"/>
  <c r="AJ82"/>
  <c r="AJ86"/>
  <c r="AI8" i="8"/>
  <c r="AK19"/>
  <c r="AG19"/>
  <c r="AI19" s="1"/>
  <c r="AK25"/>
  <c r="AG25"/>
  <c r="AI25" s="1"/>
  <c r="AK8"/>
  <c r="AK9"/>
  <c r="AG10"/>
  <c r="AI10" s="1"/>
  <c r="AK10"/>
  <c r="AG11"/>
  <c r="AI11" s="1"/>
  <c r="AK11"/>
  <c r="AG12"/>
  <c r="AI12" s="1"/>
  <c r="AF12" s="1"/>
  <c r="Y12" s="1"/>
  <c r="AK12"/>
  <c r="AH13"/>
  <c r="AI13" s="1"/>
  <c r="AJ13"/>
  <c r="AG14"/>
  <c r="AI14" s="1"/>
  <c r="AK14"/>
  <c r="AG15"/>
  <c r="AI15" s="1"/>
  <c r="AK15"/>
  <c r="AG16"/>
  <c r="AI16" s="1"/>
  <c r="AK16"/>
  <c r="AL18"/>
  <c r="AK18"/>
  <c r="AF19"/>
  <c r="Y19" s="1"/>
  <c r="AJ19"/>
  <c r="AL20"/>
  <c r="AK20"/>
  <c r="AL22"/>
  <c r="AK22"/>
  <c r="AK24"/>
  <c r="AJ25"/>
  <c r="AL17"/>
  <c r="AJ17"/>
  <c r="AJ8"/>
  <c r="AJ9"/>
  <c r="AF9" s="1"/>
  <c r="Y9" s="1"/>
  <c r="AJ10"/>
  <c r="AF11"/>
  <c r="Y11" s="1"/>
  <c r="AJ11"/>
  <c r="AJ12"/>
  <c r="AJ14"/>
  <c r="AF14" s="1"/>
  <c r="Y14" s="1"/>
  <c r="AF15"/>
  <c r="Y15" s="1"/>
  <c r="AJ15"/>
  <c r="AF16"/>
  <c r="Y16" s="1"/>
  <c r="AJ16"/>
  <c r="AK17"/>
  <c r="AF17" s="1"/>
  <c r="Y17" s="1"/>
  <c r="AL25"/>
  <c r="AF25" s="1"/>
  <c r="Y25" s="1"/>
  <c r="AL27"/>
  <c r="AK27"/>
  <c r="AL29"/>
  <c r="AK29"/>
  <c r="AJ18"/>
  <c r="AF18" s="1"/>
  <c r="Y18" s="1"/>
  <c r="AF20"/>
  <c r="Y20" s="1"/>
  <c r="AJ20"/>
  <c r="AJ21"/>
  <c r="AF21" s="1"/>
  <c r="Y21" s="1"/>
  <c r="AF22"/>
  <c r="Y22" s="1"/>
  <c r="AJ22"/>
  <c r="AF23"/>
  <c r="Y23" s="1"/>
  <c r="AJ23"/>
  <c r="AF24"/>
  <c r="Y24" s="1"/>
  <c r="AJ24"/>
  <c r="AF26"/>
  <c r="Y26" s="1"/>
  <c r="AJ26"/>
  <c r="AF27"/>
  <c r="Y27" s="1"/>
  <c r="AJ27"/>
  <c r="AJ28"/>
  <c r="AF28" s="1"/>
  <c r="Y28" s="1"/>
  <c r="AJ29"/>
  <c r="AF29" s="1"/>
  <c r="Y29" s="1"/>
  <c r="AH30"/>
  <c r="AI30" s="1"/>
  <c r="AF30" s="1"/>
  <c r="Y30" s="1"/>
  <c r="AJ30"/>
  <c r="AG31"/>
  <c r="AI31" s="1"/>
  <c r="AK31"/>
  <c r="AF32"/>
  <c r="Y32" s="1"/>
  <c r="AH32"/>
  <c r="AI32" s="1"/>
  <c r="AJ32"/>
  <c r="AH33"/>
  <c r="AI33" s="1"/>
  <c r="AJ33"/>
  <c r="AH34"/>
  <c r="AI34" s="1"/>
  <c r="AJ34"/>
  <c r="AH35"/>
  <c r="AI35" s="1"/>
  <c r="AF35" s="1"/>
  <c r="Y35" s="1"/>
  <c r="AJ35"/>
  <c r="AH36"/>
  <c r="AJ36"/>
  <c r="AG37"/>
  <c r="AI37" s="1"/>
  <c r="AK37"/>
  <c r="AH38"/>
  <c r="AI38" s="1"/>
  <c r="AF38" s="1"/>
  <c r="Y38" s="1"/>
  <c r="AJ38"/>
  <c r="AH39"/>
  <c r="AI39" s="1"/>
  <c r="AJ39"/>
  <c r="AH40"/>
  <c r="AI40" s="1"/>
  <c r="AF40" s="1"/>
  <c r="Y40" s="1"/>
  <c r="AJ40"/>
  <c r="AH41"/>
  <c r="AI41" s="1"/>
  <c r="AF41" s="1"/>
  <c r="Y41" s="1"/>
  <c r="AJ41"/>
  <c r="AH42"/>
  <c r="AI42" s="1"/>
  <c r="AJ42"/>
  <c r="AG43"/>
  <c r="AI43" s="1"/>
  <c r="AK43"/>
  <c r="AF44"/>
  <c r="Y44" s="1"/>
  <c r="AH44"/>
  <c r="AI44" s="1"/>
  <c r="AJ44"/>
  <c r="AH45"/>
  <c r="AI45" s="1"/>
  <c r="AJ45"/>
  <c r="AH46"/>
  <c r="AI46" s="1"/>
  <c r="AF46" s="1"/>
  <c r="Y46" s="1"/>
  <c r="AJ46"/>
  <c r="AH47"/>
  <c r="AI47" s="1"/>
  <c r="AJ47"/>
  <c r="AH48"/>
  <c r="AI48" s="1"/>
  <c r="AF48" s="1"/>
  <c r="Y48" s="1"/>
  <c r="AJ48"/>
  <c r="AG49"/>
  <c r="AI49" s="1"/>
  <c r="AK49"/>
  <c r="AH50"/>
  <c r="AI50" s="1"/>
  <c r="AJ50"/>
  <c r="AH51"/>
  <c r="AI51" s="1"/>
  <c r="AF51" s="1"/>
  <c r="Y51" s="1"/>
  <c r="AJ51"/>
  <c r="AH52"/>
  <c r="AI52" s="1"/>
  <c r="AJ52"/>
  <c r="AH53"/>
  <c r="AI53" s="1"/>
  <c r="AF53" s="1"/>
  <c r="Y53" s="1"/>
  <c r="AJ53"/>
  <c r="AH54"/>
  <c r="AI54" s="1"/>
  <c r="AJ54"/>
  <c r="AG55"/>
  <c r="AI55" s="1"/>
  <c r="AK55"/>
  <c r="AH59"/>
  <c r="AI59" s="1"/>
  <c r="AJ59"/>
  <c r="AH60"/>
  <c r="AI60" s="1"/>
  <c r="AJ60"/>
  <c r="AH61"/>
  <c r="AI61" s="1"/>
  <c r="AJ61"/>
  <c r="AH62"/>
  <c r="AI62" s="1"/>
  <c r="AF62" s="1"/>
  <c r="Y62" s="1"/>
  <c r="AJ62"/>
  <c r="AH63"/>
  <c r="AI63" s="1"/>
  <c r="AJ63"/>
  <c r="AH64"/>
  <c r="AI64" s="1"/>
  <c r="AJ64"/>
  <c r="AH65"/>
  <c r="AI65" s="1"/>
  <c r="AJ65"/>
  <c r="AH66"/>
  <c r="AI66" s="1"/>
  <c r="AJ66"/>
  <c r="AG70"/>
  <c r="AI70" s="1"/>
  <c r="AK70"/>
  <c r="AH71"/>
  <c r="AI71" s="1"/>
  <c r="AF71" s="1"/>
  <c r="Y71" s="1"/>
  <c r="AJ71"/>
  <c r="AG72"/>
  <c r="AI72" s="1"/>
  <c r="AK72"/>
  <c r="AJ73"/>
  <c r="AL73"/>
  <c r="AJ77"/>
  <c r="AL77"/>
  <c r="AG78"/>
  <c r="AI78" s="1"/>
  <c r="AK78"/>
  <c r="AG82"/>
  <c r="AI82" s="1"/>
  <c r="AK82"/>
  <c r="AG86"/>
  <c r="AI86" s="1"/>
  <c r="AK86"/>
  <c r="AW90"/>
  <c r="AW92"/>
  <c r="AF31"/>
  <c r="Y31" s="1"/>
  <c r="AJ31"/>
  <c r="AF37"/>
  <c r="Y37" s="1"/>
  <c r="AJ37"/>
  <c r="AF43"/>
  <c r="Y43" s="1"/>
  <c r="AJ43"/>
  <c r="AF49"/>
  <c r="Y49" s="1"/>
  <c r="AJ49"/>
  <c r="AF55"/>
  <c r="Y55" s="1"/>
  <c r="AJ55"/>
  <c r="AF70"/>
  <c r="Y70" s="1"/>
  <c r="AJ70"/>
  <c r="AF72"/>
  <c r="Y72" s="1"/>
  <c r="AJ72"/>
  <c r="AG73"/>
  <c r="AI73" s="1"/>
  <c r="AF73" s="1"/>
  <c r="Y73" s="1"/>
  <c r="AG77"/>
  <c r="AI77" s="1"/>
  <c r="AF77" s="1"/>
  <c r="Y77" s="1"/>
  <c r="AF78"/>
  <c r="Y78" s="1"/>
  <c r="AJ78"/>
  <c r="AJ82"/>
  <c r="AF82" s="1"/>
  <c r="Y82" s="1"/>
  <c r="AJ86"/>
  <c r="AK19" i="7"/>
  <c r="AG19"/>
  <c r="AI19" s="1"/>
  <c r="AH8"/>
  <c r="AI8" s="1"/>
  <c r="AJ8"/>
  <c r="AH9"/>
  <c r="AI9" s="1"/>
  <c r="AJ9"/>
  <c r="AH10"/>
  <c r="AI10" s="1"/>
  <c r="AJ10"/>
  <c r="AH11"/>
  <c r="AI11" s="1"/>
  <c r="AF11" s="1"/>
  <c r="Y11" s="1"/>
  <c r="AJ11"/>
  <c r="AF12"/>
  <c r="Y12" s="1"/>
  <c r="AH12"/>
  <c r="AI12" s="1"/>
  <c r="AJ12"/>
  <c r="AG13"/>
  <c r="AI13" s="1"/>
  <c r="AK13"/>
  <c r="AJ14"/>
  <c r="AL14"/>
  <c r="AF14" s="1"/>
  <c r="Y14" s="1"/>
  <c r="AL16"/>
  <c r="AK16"/>
  <c r="AL18"/>
  <c r="AK18"/>
  <c r="AF19"/>
  <c r="Y19" s="1"/>
  <c r="AJ19"/>
  <c r="AF13"/>
  <c r="Y13" s="1"/>
  <c r="AJ13"/>
  <c r="AK21"/>
  <c r="AI70"/>
  <c r="AI72"/>
  <c r="AI82"/>
  <c r="AF15"/>
  <c r="Y15" s="1"/>
  <c r="AJ15"/>
  <c r="AF16"/>
  <c r="Y16" s="1"/>
  <c r="AJ16"/>
  <c r="AJ17"/>
  <c r="AF18"/>
  <c r="Y18" s="1"/>
  <c r="AJ18"/>
  <c r="AF20"/>
  <c r="Y20" s="1"/>
  <c r="AJ20"/>
  <c r="AJ21"/>
  <c r="AF21" s="1"/>
  <c r="Y21" s="1"/>
  <c r="AH22"/>
  <c r="AI22" s="1"/>
  <c r="AJ22"/>
  <c r="AH23"/>
  <c r="AI23" s="1"/>
  <c r="AF23" s="1"/>
  <c r="Y23" s="1"/>
  <c r="AJ23"/>
  <c r="AH24"/>
  <c r="AI24" s="1"/>
  <c r="AF24" s="1"/>
  <c r="Y24" s="1"/>
  <c r="AJ24"/>
  <c r="AG25"/>
  <c r="AI25" s="1"/>
  <c r="AK25"/>
  <c r="AH26"/>
  <c r="AI26" s="1"/>
  <c r="AF26" s="1"/>
  <c r="Y26" s="1"/>
  <c r="AJ26"/>
  <c r="AH27"/>
  <c r="AI27" s="1"/>
  <c r="AJ27"/>
  <c r="AF27" s="1"/>
  <c r="Y27" s="1"/>
  <c r="AH28"/>
  <c r="AI28" s="1"/>
  <c r="AF28" s="1"/>
  <c r="Y28" s="1"/>
  <c r="AJ28"/>
  <c r="AH29"/>
  <c r="AI29" s="1"/>
  <c r="AJ29"/>
  <c r="AH30"/>
  <c r="AI30" s="1"/>
  <c r="AF30" s="1"/>
  <c r="Y30" s="1"/>
  <c r="AJ30"/>
  <c r="AG31"/>
  <c r="AI31" s="1"/>
  <c r="AK31"/>
  <c r="AF32"/>
  <c r="Y32" s="1"/>
  <c r="AH32"/>
  <c r="AI32" s="1"/>
  <c r="AJ32"/>
  <c r="AH33"/>
  <c r="AI33" s="1"/>
  <c r="AF33" s="1"/>
  <c r="Y33" s="1"/>
  <c r="AJ33"/>
  <c r="AH34"/>
  <c r="AI34" s="1"/>
  <c r="AJ34"/>
  <c r="AF34" s="1"/>
  <c r="Y34" s="1"/>
  <c r="AH35"/>
  <c r="AI35" s="1"/>
  <c r="AF35" s="1"/>
  <c r="Y35" s="1"/>
  <c r="AJ35"/>
  <c r="AH36"/>
  <c r="AI36" s="1"/>
  <c r="AJ36"/>
  <c r="AG37"/>
  <c r="AI37" s="1"/>
  <c r="AK37"/>
  <c r="AH38"/>
  <c r="AI38" s="1"/>
  <c r="AF38" s="1"/>
  <c r="Y38" s="1"/>
  <c r="AJ38"/>
  <c r="AH39"/>
  <c r="AI39" s="1"/>
  <c r="AJ39"/>
  <c r="AF39" s="1"/>
  <c r="Y39" s="1"/>
  <c r="AH40"/>
  <c r="AI40" s="1"/>
  <c r="AF40" s="1"/>
  <c r="Y40" s="1"/>
  <c r="AJ40"/>
  <c r="AH41"/>
  <c r="AI41" s="1"/>
  <c r="AJ41"/>
  <c r="AH42"/>
  <c r="AI42" s="1"/>
  <c r="AJ42"/>
  <c r="AG43"/>
  <c r="AI43" s="1"/>
  <c r="AK43"/>
  <c r="AH44"/>
  <c r="AI44" s="1"/>
  <c r="AJ44"/>
  <c r="AF44" s="1"/>
  <c r="Y44" s="1"/>
  <c r="AH45"/>
  <c r="AI45" s="1"/>
  <c r="AF45" s="1"/>
  <c r="Y45" s="1"/>
  <c r="AJ45"/>
  <c r="AH46"/>
  <c r="AI46" s="1"/>
  <c r="AF46" s="1"/>
  <c r="Y46" s="1"/>
  <c r="AJ46"/>
  <c r="AH47"/>
  <c r="AI47" s="1"/>
  <c r="AF47" s="1"/>
  <c r="Y47" s="1"/>
  <c r="AJ47"/>
  <c r="AH48"/>
  <c r="AI48" s="1"/>
  <c r="AJ48"/>
  <c r="AG49"/>
  <c r="AI49" s="1"/>
  <c r="AK49"/>
  <c r="AH50"/>
  <c r="AJ50"/>
  <c r="AH51"/>
  <c r="AI51" s="1"/>
  <c r="AJ51"/>
  <c r="AH52"/>
  <c r="AI52" s="1"/>
  <c r="AJ52"/>
  <c r="AH53"/>
  <c r="AI53" s="1"/>
  <c r="AF53" s="1"/>
  <c r="Y53" s="1"/>
  <c r="AJ53"/>
  <c r="AH54"/>
  <c r="AI54" s="1"/>
  <c r="AF54" s="1"/>
  <c r="Y54" s="1"/>
  <c r="AJ54"/>
  <c r="AG55"/>
  <c r="AI55" s="1"/>
  <c r="AK55"/>
  <c r="AH59"/>
  <c r="AI59" s="1"/>
  <c r="AF59" s="1"/>
  <c r="Y59" s="1"/>
  <c r="AJ59"/>
  <c r="AH60"/>
  <c r="AI60" s="1"/>
  <c r="AJ60"/>
  <c r="AJ61"/>
  <c r="AL61"/>
  <c r="AJ62"/>
  <c r="AL62"/>
  <c r="AJ63"/>
  <c r="AL63"/>
  <c r="AJ64"/>
  <c r="AL64"/>
  <c r="AJ65"/>
  <c r="AL65"/>
  <c r="AJ66"/>
  <c r="AL66"/>
  <c r="AK70"/>
  <c r="AJ71"/>
  <c r="AL71"/>
  <c r="AK72"/>
  <c r="AJ73"/>
  <c r="AL73"/>
  <c r="AJ77"/>
  <c r="AL77"/>
  <c r="AK78"/>
  <c r="AK82"/>
  <c r="AK86"/>
  <c r="AW90"/>
  <c r="AW92"/>
  <c r="AJ25"/>
  <c r="AF25" s="1"/>
  <c r="Y25" s="1"/>
  <c r="AF31"/>
  <c r="Y31" s="1"/>
  <c r="AJ31"/>
  <c r="AF37"/>
  <c r="Y37" s="1"/>
  <c r="AJ37"/>
  <c r="AJ43"/>
  <c r="AF43" s="1"/>
  <c r="Y43" s="1"/>
  <c r="AF49"/>
  <c r="Y49" s="1"/>
  <c r="AJ49"/>
  <c r="AF55"/>
  <c r="Y55" s="1"/>
  <c r="AJ55"/>
  <c r="AG61"/>
  <c r="AI61" s="1"/>
  <c r="AF61" s="1"/>
  <c r="Y61" s="1"/>
  <c r="AG62"/>
  <c r="AI62" s="1"/>
  <c r="AF62" s="1"/>
  <c r="Y62" s="1"/>
  <c r="AG63"/>
  <c r="AI63" s="1"/>
  <c r="AF63" s="1"/>
  <c r="Y63" s="1"/>
  <c r="AG64"/>
  <c r="AI64" s="1"/>
  <c r="AF64" s="1"/>
  <c r="Y64" s="1"/>
  <c r="AG65"/>
  <c r="AI65" s="1"/>
  <c r="AF65" s="1"/>
  <c r="Y65" s="1"/>
  <c r="AG66"/>
  <c r="AI66" s="1"/>
  <c r="AF66" s="1"/>
  <c r="Y66" s="1"/>
  <c r="AF70"/>
  <c r="Y70" s="1"/>
  <c r="AJ70"/>
  <c r="AG71"/>
  <c r="AI71" s="1"/>
  <c r="AF71" s="1"/>
  <c r="Y71" s="1"/>
  <c r="AF72"/>
  <c r="Y72" s="1"/>
  <c r="AJ72"/>
  <c r="AG73"/>
  <c r="AI73" s="1"/>
  <c r="AF73" s="1"/>
  <c r="Y73" s="1"/>
  <c r="AG77"/>
  <c r="AI77" s="1"/>
  <c r="AF77" s="1"/>
  <c r="Y77" s="1"/>
  <c r="AJ78"/>
  <c r="AF78" s="1"/>
  <c r="Y78" s="1"/>
  <c r="AF82"/>
  <c r="Y82" s="1"/>
  <c r="AJ82"/>
  <c r="AJ86"/>
  <c r="AK19" i="6"/>
  <c r="AG19"/>
  <c r="AI19" s="1"/>
  <c r="AK25"/>
  <c r="AG25"/>
  <c r="AI25" s="1"/>
  <c r="AG8"/>
  <c r="AI8" s="1"/>
  <c r="AK8"/>
  <c r="AG9"/>
  <c r="AI9" s="1"/>
  <c r="AK9"/>
  <c r="AG10"/>
  <c r="AI10" s="1"/>
  <c r="AK10"/>
  <c r="AG11"/>
  <c r="AI11" s="1"/>
  <c r="AK11"/>
  <c r="AG12"/>
  <c r="AI12" s="1"/>
  <c r="AK12"/>
  <c r="AH13"/>
  <c r="AI13" s="1"/>
  <c r="AJ13"/>
  <c r="AG14"/>
  <c r="AI14" s="1"/>
  <c r="AK14"/>
  <c r="AG15"/>
  <c r="AI15" s="1"/>
  <c r="AK15"/>
  <c r="AG16"/>
  <c r="AI16" s="1"/>
  <c r="AK16"/>
  <c r="AL18"/>
  <c r="AK18"/>
  <c r="AF19"/>
  <c r="Y19" s="1"/>
  <c r="AJ19"/>
  <c r="AL22"/>
  <c r="AK22"/>
  <c r="AJ25"/>
  <c r="AL17"/>
  <c r="AJ17"/>
  <c r="AJ8"/>
  <c r="AJ9"/>
  <c r="AF9" s="1"/>
  <c r="Y9" s="1"/>
  <c r="AJ10"/>
  <c r="AF11"/>
  <c r="Y11" s="1"/>
  <c r="AJ11"/>
  <c r="AF12"/>
  <c r="Y12" s="1"/>
  <c r="AJ12"/>
  <c r="AF14"/>
  <c r="Y14" s="1"/>
  <c r="AJ14"/>
  <c r="AF15"/>
  <c r="Y15" s="1"/>
  <c r="AJ15"/>
  <c r="AJ16"/>
  <c r="AF16" s="1"/>
  <c r="Y16" s="1"/>
  <c r="AG17"/>
  <c r="AI17" s="1"/>
  <c r="AK17"/>
  <c r="AF17" s="1"/>
  <c r="Y17" s="1"/>
  <c r="AL21"/>
  <c r="AK21"/>
  <c r="AL23"/>
  <c r="AK23"/>
  <c r="AL25"/>
  <c r="AF25" s="1"/>
  <c r="Y25" s="1"/>
  <c r="AI55"/>
  <c r="AI60"/>
  <c r="AJ18"/>
  <c r="AF18" s="1"/>
  <c r="Y18" s="1"/>
  <c r="AF20"/>
  <c r="Y20" s="1"/>
  <c r="AJ20"/>
  <c r="AF21"/>
  <c r="Y21" s="1"/>
  <c r="AJ21"/>
  <c r="AJ22"/>
  <c r="AF22" s="1"/>
  <c r="Y22" s="1"/>
  <c r="AF23"/>
  <c r="Y23" s="1"/>
  <c r="AJ23"/>
  <c r="AF24"/>
  <c r="Y24" s="1"/>
  <c r="AJ24"/>
  <c r="AF26"/>
  <c r="Y26" s="1"/>
  <c r="AJ26"/>
  <c r="AH27"/>
  <c r="AI27" s="1"/>
  <c r="AJ27"/>
  <c r="AF27" s="1"/>
  <c r="Y27" s="1"/>
  <c r="AH28"/>
  <c r="AI28" s="1"/>
  <c r="AF28" s="1"/>
  <c r="Y28" s="1"/>
  <c r="AJ28"/>
  <c r="AH29"/>
  <c r="AI29" s="1"/>
  <c r="AJ29"/>
  <c r="AH30"/>
  <c r="AI30" s="1"/>
  <c r="AF30" s="1"/>
  <c r="Y30" s="1"/>
  <c r="AJ30"/>
  <c r="AG31"/>
  <c r="AI31" s="1"/>
  <c r="AK31"/>
  <c r="AH32"/>
  <c r="AI32" s="1"/>
  <c r="AJ32"/>
  <c r="AH33"/>
  <c r="AI33" s="1"/>
  <c r="AF33" s="1"/>
  <c r="Y33" s="1"/>
  <c r="AJ33"/>
  <c r="AH34"/>
  <c r="AI34" s="1"/>
  <c r="AJ34"/>
  <c r="AH35"/>
  <c r="AI35" s="1"/>
  <c r="AF35" s="1"/>
  <c r="Y35" s="1"/>
  <c r="AJ35"/>
  <c r="AH36"/>
  <c r="AJ36"/>
  <c r="AG37"/>
  <c r="AI37" s="1"/>
  <c r="AK37"/>
  <c r="AH38"/>
  <c r="AI38" s="1"/>
  <c r="AF38" s="1"/>
  <c r="Y38" s="1"/>
  <c r="AJ38"/>
  <c r="AH39"/>
  <c r="AI39" s="1"/>
  <c r="AJ39"/>
  <c r="AH40"/>
  <c r="AI40" s="1"/>
  <c r="AF40" s="1"/>
  <c r="Y40" s="1"/>
  <c r="AJ40"/>
  <c r="AH41"/>
  <c r="AI41" s="1"/>
  <c r="AF41" s="1"/>
  <c r="Y41" s="1"/>
  <c r="AJ41"/>
  <c r="AH42"/>
  <c r="AI42" s="1"/>
  <c r="AJ42"/>
  <c r="AG43"/>
  <c r="AI43" s="1"/>
  <c r="AK43"/>
  <c r="AH44"/>
  <c r="AI44" s="1"/>
  <c r="AJ44"/>
  <c r="AF44" s="1"/>
  <c r="Y44" s="1"/>
  <c r="AH45"/>
  <c r="AI45" s="1"/>
  <c r="AJ45"/>
  <c r="AH46"/>
  <c r="AI46" s="1"/>
  <c r="AF46" s="1"/>
  <c r="Y46" s="1"/>
  <c r="AJ46"/>
  <c r="AH47"/>
  <c r="AI47" s="1"/>
  <c r="AF47" s="1"/>
  <c r="Y47" s="1"/>
  <c r="AJ47"/>
  <c r="AH48"/>
  <c r="AI48" s="1"/>
  <c r="AF48" s="1"/>
  <c r="Y48" s="1"/>
  <c r="AJ48"/>
  <c r="AG49"/>
  <c r="AI49" s="1"/>
  <c r="AK49"/>
  <c r="AH50"/>
  <c r="AJ50"/>
  <c r="AH51"/>
  <c r="AI51" s="1"/>
  <c r="AF51" s="1"/>
  <c r="Y51" s="1"/>
  <c r="AJ51"/>
  <c r="AH52"/>
  <c r="AI52" s="1"/>
  <c r="AJ52"/>
  <c r="AH53"/>
  <c r="AI53" s="1"/>
  <c r="AF53" s="1"/>
  <c r="Y53" s="1"/>
  <c r="AJ53"/>
  <c r="AJ54"/>
  <c r="AL54"/>
  <c r="AK55"/>
  <c r="AJ59"/>
  <c r="AL59"/>
  <c r="AJ60"/>
  <c r="AL60"/>
  <c r="AF60" s="1"/>
  <c r="Y60" s="1"/>
  <c r="AH61"/>
  <c r="AI61" s="1"/>
  <c r="AF61" s="1"/>
  <c r="Y61" s="1"/>
  <c r="AJ61"/>
  <c r="AH62"/>
  <c r="AI62" s="1"/>
  <c r="AJ62"/>
  <c r="AH63"/>
  <c r="AI63" s="1"/>
  <c r="AJ63"/>
  <c r="AH64"/>
  <c r="AI64" s="1"/>
  <c r="AJ64"/>
  <c r="AH65"/>
  <c r="AI65" s="1"/>
  <c r="AJ65"/>
  <c r="AF65" s="1"/>
  <c r="Y65" s="1"/>
  <c r="AH66"/>
  <c r="AI66" s="1"/>
  <c r="AJ66"/>
  <c r="AG70"/>
  <c r="AI70" s="1"/>
  <c r="AK70"/>
  <c r="AH71"/>
  <c r="AI71" s="1"/>
  <c r="AF71" s="1"/>
  <c r="Y71" s="1"/>
  <c r="AJ71"/>
  <c r="AG72"/>
  <c r="AI72" s="1"/>
  <c r="AK72"/>
  <c r="AH73"/>
  <c r="AI73" s="1"/>
  <c r="AJ73"/>
  <c r="AH77"/>
  <c r="AI77" s="1"/>
  <c r="AJ77"/>
  <c r="AG78"/>
  <c r="AI78" s="1"/>
  <c r="AK78"/>
  <c r="AG82"/>
  <c r="AI82" s="1"/>
  <c r="AK82"/>
  <c r="AG86"/>
  <c r="AI86" s="1"/>
  <c r="AK86"/>
  <c r="AF31"/>
  <c r="Y31" s="1"/>
  <c r="AJ31"/>
  <c r="AF37"/>
  <c r="Y37" s="1"/>
  <c r="AJ37"/>
  <c r="AF43"/>
  <c r="Y43" s="1"/>
  <c r="AJ43"/>
  <c r="AF49"/>
  <c r="Y49" s="1"/>
  <c r="AJ49"/>
  <c r="AG54"/>
  <c r="AI54" s="1"/>
  <c r="AF54" s="1"/>
  <c r="Y54" s="1"/>
  <c r="AF55"/>
  <c r="Y55" s="1"/>
  <c r="AJ55"/>
  <c r="BB58"/>
  <c r="AG59"/>
  <c r="AI59" s="1"/>
  <c r="AF59" s="1"/>
  <c r="Y59" s="1"/>
  <c r="AF70"/>
  <c r="Y70" s="1"/>
  <c r="AJ70"/>
  <c r="AJ72"/>
  <c r="AF72" s="1"/>
  <c r="Y72" s="1"/>
  <c r="AF78"/>
  <c r="Y78" s="1"/>
  <c r="AJ78"/>
  <c r="AF82"/>
  <c r="Y82" s="1"/>
  <c r="AJ82"/>
  <c r="AJ86"/>
  <c r="AV89"/>
  <c r="AI8" i="5"/>
  <c r="AI11"/>
  <c r="AI15"/>
  <c r="AI14"/>
  <c r="AK8"/>
  <c r="AK9"/>
  <c r="AK10"/>
  <c r="AK11"/>
  <c r="AK12"/>
  <c r="AJ13"/>
  <c r="AL13"/>
  <c r="AK14"/>
  <c r="AK15"/>
  <c r="AI55"/>
  <c r="AK19"/>
  <c r="AG19"/>
  <c r="AI19" s="1"/>
  <c r="AK25"/>
  <c r="AG25"/>
  <c r="AI25" s="1"/>
  <c r="AK31"/>
  <c r="AG31"/>
  <c r="AI31" s="1"/>
  <c r="AJ8"/>
  <c r="AJ9"/>
  <c r="AJ10"/>
  <c r="AJ11"/>
  <c r="AF11" s="1"/>
  <c r="Y11" s="1"/>
  <c r="AF12"/>
  <c r="Y12" s="1"/>
  <c r="AJ12"/>
  <c r="AG13"/>
  <c r="AI13" s="1"/>
  <c r="AF13" s="1"/>
  <c r="Y13" s="1"/>
  <c r="AF14"/>
  <c r="Y14" s="1"/>
  <c r="AJ14"/>
  <c r="AL15"/>
  <c r="AF15"/>
  <c r="Y15" s="1"/>
  <c r="AJ15"/>
  <c r="AL16"/>
  <c r="AK16"/>
  <c r="AL18"/>
  <c r="AK18"/>
  <c r="AF19"/>
  <c r="Y19" s="1"/>
  <c r="AJ19"/>
  <c r="AL20"/>
  <c r="AK20"/>
  <c r="AL22"/>
  <c r="AK22"/>
  <c r="AL24"/>
  <c r="AK24"/>
  <c r="AF25"/>
  <c r="Y25" s="1"/>
  <c r="AJ25"/>
  <c r="AL26"/>
  <c r="AK26"/>
  <c r="AL28"/>
  <c r="AK28"/>
  <c r="AL30"/>
  <c r="AK30"/>
  <c r="AF31"/>
  <c r="Y31" s="1"/>
  <c r="AJ31"/>
  <c r="AL32"/>
  <c r="AK32"/>
  <c r="AF16"/>
  <c r="Y16" s="1"/>
  <c r="AJ16"/>
  <c r="AF17"/>
  <c r="Y17" s="1"/>
  <c r="AJ17"/>
  <c r="AF18"/>
  <c r="Y18" s="1"/>
  <c r="AJ18"/>
  <c r="AF20"/>
  <c r="Y20" s="1"/>
  <c r="AJ20"/>
  <c r="AJ21"/>
  <c r="AF21" s="1"/>
  <c r="Y21" s="1"/>
  <c r="AJ22"/>
  <c r="AF22" s="1"/>
  <c r="Y22" s="1"/>
  <c r="AF23"/>
  <c r="Y23" s="1"/>
  <c r="AJ23"/>
  <c r="AF24"/>
  <c r="Y24" s="1"/>
  <c r="AJ24"/>
  <c r="AF26"/>
  <c r="Y26" s="1"/>
  <c r="AJ26"/>
  <c r="AF27"/>
  <c r="Y27" s="1"/>
  <c r="AJ27"/>
  <c r="AF28"/>
  <c r="Y28" s="1"/>
  <c r="AJ28"/>
  <c r="AJ29"/>
  <c r="AF29" s="1"/>
  <c r="Y29" s="1"/>
  <c r="AJ30"/>
  <c r="AF30" s="1"/>
  <c r="Y30" s="1"/>
  <c r="AF32"/>
  <c r="Y32" s="1"/>
  <c r="AJ32"/>
  <c r="AH33"/>
  <c r="AI33" s="1"/>
  <c r="AF33" s="1"/>
  <c r="Y33" s="1"/>
  <c r="AJ33"/>
  <c r="AH34"/>
  <c r="AI34" s="1"/>
  <c r="AJ34"/>
  <c r="AF34" s="1"/>
  <c r="Y34" s="1"/>
  <c r="AH35"/>
  <c r="AI35" s="1"/>
  <c r="AF35" s="1"/>
  <c r="Y35" s="1"/>
  <c r="AJ35"/>
  <c r="AH36"/>
  <c r="AI36" s="1"/>
  <c r="AF36" s="1"/>
  <c r="Y36" s="1"/>
  <c r="AJ36"/>
  <c r="AG37"/>
  <c r="AI37" s="1"/>
  <c r="AK37"/>
  <c r="AH38"/>
  <c r="AI38" s="1"/>
  <c r="AF38" s="1"/>
  <c r="Y38" s="1"/>
  <c r="AJ38"/>
  <c r="AH39"/>
  <c r="AI39" s="1"/>
  <c r="AJ39"/>
  <c r="AF39" s="1"/>
  <c r="Y39" s="1"/>
  <c r="AH40"/>
  <c r="AI40" s="1"/>
  <c r="AJ40"/>
  <c r="AH41"/>
  <c r="AI41" s="1"/>
  <c r="AF41" s="1"/>
  <c r="Y41" s="1"/>
  <c r="AJ41"/>
  <c r="AH42"/>
  <c r="AI42" s="1"/>
  <c r="AF42" s="1"/>
  <c r="Y42" s="1"/>
  <c r="AJ42"/>
  <c r="AG43"/>
  <c r="AI43" s="1"/>
  <c r="AK43"/>
  <c r="AH44"/>
  <c r="AI44" s="1"/>
  <c r="AJ44"/>
  <c r="AH45"/>
  <c r="AI45" s="1"/>
  <c r="AF45" s="1"/>
  <c r="Y45" s="1"/>
  <c r="AJ45"/>
  <c r="AH46"/>
  <c r="AI46" s="1"/>
  <c r="AF46" s="1"/>
  <c r="Y46" s="1"/>
  <c r="AJ46"/>
  <c r="AH47"/>
  <c r="AI47" s="1"/>
  <c r="AJ47"/>
  <c r="AH48"/>
  <c r="AI48" s="1"/>
  <c r="AJ48"/>
  <c r="AF48" s="1"/>
  <c r="Y48" s="1"/>
  <c r="AG49"/>
  <c r="AI49" s="1"/>
  <c r="AK49"/>
  <c r="AH50"/>
  <c r="AI50" s="1"/>
  <c r="AJ50"/>
  <c r="AH51"/>
  <c r="AI51" s="1"/>
  <c r="AF51" s="1"/>
  <c r="Y51" s="1"/>
  <c r="AJ51"/>
  <c r="AH52"/>
  <c r="AI52" s="1"/>
  <c r="AJ52"/>
  <c r="AH53"/>
  <c r="AI53" s="1"/>
  <c r="AF53" s="1"/>
  <c r="Y53" s="1"/>
  <c r="AJ53"/>
  <c r="AJ54"/>
  <c r="AL54"/>
  <c r="AK55"/>
  <c r="AJ59"/>
  <c r="AL59"/>
  <c r="AJ60"/>
  <c r="AL60"/>
  <c r="AJ61"/>
  <c r="AL61"/>
  <c r="AJ62"/>
  <c r="AL62"/>
  <c r="AJ63"/>
  <c r="AL63"/>
  <c r="AJ64"/>
  <c r="AL64"/>
  <c r="AJ65"/>
  <c r="AL65"/>
  <c r="AF65" s="1"/>
  <c r="Y65" s="1"/>
  <c r="AJ66"/>
  <c r="AL66"/>
  <c r="AG70"/>
  <c r="AI70" s="1"/>
  <c r="AK70"/>
  <c r="AJ71"/>
  <c r="AL71"/>
  <c r="AG72"/>
  <c r="AI72" s="1"/>
  <c r="AK72"/>
  <c r="AJ73"/>
  <c r="AL73"/>
  <c r="AJ77"/>
  <c r="AL77"/>
  <c r="AG78"/>
  <c r="AI78" s="1"/>
  <c r="AK78"/>
  <c r="AG82"/>
  <c r="AI82" s="1"/>
  <c r="AK82"/>
  <c r="AG86"/>
  <c r="AI86" s="1"/>
  <c r="AK86"/>
  <c r="AW90"/>
  <c r="AW92"/>
  <c r="AF37"/>
  <c r="Y37" s="1"/>
  <c r="AJ37"/>
  <c r="AF43"/>
  <c r="Y43" s="1"/>
  <c r="AJ43"/>
  <c r="AF49"/>
  <c r="Y49" s="1"/>
  <c r="AJ49"/>
  <c r="AG54"/>
  <c r="AI54" s="1"/>
  <c r="AF54" s="1"/>
  <c r="Y54" s="1"/>
  <c r="AF55"/>
  <c r="Y55" s="1"/>
  <c r="AJ55"/>
  <c r="BB58"/>
  <c r="S3" s="1"/>
  <c r="H23" i="22" s="1"/>
  <c r="AG59" i="5"/>
  <c r="AI59" s="1"/>
  <c r="AF59" s="1"/>
  <c r="Y59" s="1"/>
  <c r="AG60"/>
  <c r="AI60" s="1"/>
  <c r="AF60" s="1"/>
  <c r="Y60" s="1"/>
  <c r="AG61"/>
  <c r="AI61" s="1"/>
  <c r="AF61" s="1"/>
  <c r="Y61" s="1"/>
  <c r="AG62"/>
  <c r="AI62" s="1"/>
  <c r="AF62" s="1"/>
  <c r="Y62" s="1"/>
  <c r="AG63"/>
  <c r="AI63" s="1"/>
  <c r="AF63" s="1"/>
  <c r="Y63" s="1"/>
  <c r="AG64"/>
  <c r="AI64" s="1"/>
  <c r="AF64" s="1"/>
  <c r="Y64" s="1"/>
  <c r="AG65"/>
  <c r="AI65" s="1"/>
  <c r="AG66"/>
  <c r="AI66" s="1"/>
  <c r="AF66" s="1"/>
  <c r="Y66" s="1"/>
  <c r="AF70"/>
  <c r="Y70" s="1"/>
  <c r="AJ70"/>
  <c r="AG71"/>
  <c r="AI71" s="1"/>
  <c r="AF71" s="1"/>
  <c r="Y71" s="1"/>
  <c r="AF72"/>
  <c r="Y72" s="1"/>
  <c r="AJ72"/>
  <c r="AG73"/>
  <c r="AI73" s="1"/>
  <c r="AF73" s="1"/>
  <c r="Y73" s="1"/>
  <c r="AG77"/>
  <c r="AI77" s="1"/>
  <c r="AF78"/>
  <c r="Y78" s="1"/>
  <c r="AJ78"/>
  <c r="AJ82"/>
  <c r="AF82" s="1"/>
  <c r="Y82" s="1"/>
  <c r="AJ86"/>
  <c r="AF86" s="1"/>
  <c r="Y86" s="1"/>
  <c r="R22" i="2"/>
  <c r="R23"/>
  <c r="R24"/>
  <c r="R29"/>
  <c r="R33"/>
  <c r="R35"/>
  <c r="R39"/>
  <c r="AI36" i="4"/>
  <c r="AF36" s="1"/>
  <c r="Y36" s="1"/>
  <c r="AL12"/>
  <c r="S48" i="2"/>
  <c r="AI55" i="3"/>
  <c r="AF55" s="1"/>
  <c r="Y55" s="1"/>
  <c r="AJ44"/>
  <c r="AF44" s="1"/>
  <c r="AL43"/>
  <c r="AK60"/>
  <c r="AK62"/>
  <c r="AK64"/>
  <c r="AK66"/>
  <c r="AK71"/>
  <c r="AJ13" i="4"/>
  <c r="AF13" s="1"/>
  <c r="Y13" s="1"/>
  <c r="AL22"/>
  <c r="AL24"/>
  <c r="AL26"/>
  <c r="AL32"/>
  <c r="AL33"/>
  <c r="AL34"/>
  <c r="AL38"/>
  <c r="AL39"/>
  <c r="AL40"/>
  <c r="AL41"/>
  <c r="AL42"/>
  <c r="AL72"/>
  <c r="AL78"/>
  <c r="AI55"/>
  <c r="AK8" i="3"/>
  <c r="AJ8"/>
  <c r="AH41"/>
  <c r="AI41" s="1"/>
  <c r="AJ41"/>
  <c r="AF41" s="1"/>
  <c r="Y41" s="1"/>
  <c r="AH40"/>
  <c r="AI40" s="1"/>
  <c r="AL40"/>
  <c r="AH38"/>
  <c r="AI38" s="1"/>
  <c r="AJ38"/>
  <c r="AF38" s="1"/>
  <c r="Y38" s="1"/>
  <c r="AJ37"/>
  <c r="AL37"/>
  <c r="AH36"/>
  <c r="AJ36"/>
  <c r="AH78"/>
  <c r="AK78"/>
  <c r="AJ78"/>
  <c r="AH82"/>
  <c r="AJ82"/>
  <c r="AL86"/>
  <c r="AK86"/>
  <c r="AJ86"/>
  <c r="AL8" i="4"/>
  <c r="AK8"/>
  <c r="AJ8"/>
  <c r="AG9"/>
  <c r="AI9" s="1"/>
  <c r="AJ9"/>
  <c r="AG10"/>
  <c r="AI10" s="1"/>
  <c r="AG11"/>
  <c r="AI11" s="1"/>
  <c r="AK11"/>
  <c r="AG12"/>
  <c r="AI12" s="1"/>
  <c r="AK12"/>
  <c r="AF12"/>
  <c r="Y12" s="1"/>
  <c r="AJ12"/>
  <c r="AH14"/>
  <c r="AI14" s="1"/>
  <c r="AL14"/>
  <c r="AF14"/>
  <c r="Y14" s="1"/>
  <c r="AG15"/>
  <c r="AK15"/>
  <c r="AL15"/>
  <c r="AJ15"/>
  <c r="AH16"/>
  <c r="AK16"/>
  <c r="AG18"/>
  <c r="AL18"/>
  <c r="AJ49"/>
  <c r="AG49"/>
  <c r="AI49" s="1"/>
  <c r="AH52"/>
  <c r="AK52"/>
  <c r="AJ52"/>
  <c r="AH53"/>
  <c r="AK53"/>
  <c r="AJ53"/>
  <c r="AH59"/>
  <c r="AI59" s="1"/>
  <c r="AL59"/>
  <c r="AK59"/>
  <c r="AF59" s="1"/>
  <c r="Y59" s="1"/>
  <c r="BB60"/>
  <c r="BA69"/>
  <c r="BB69" s="1"/>
  <c r="AH61"/>
  <c r="AK61"/>
  <c r="AJ61"/>
  <c r="AH65"/>
  <c r="AI65" s="1"/>
  <c r="AK65"/>
  <c r="AL82"/>
  <c r="AH82"/>
  <c r="AH86"/>
  <c r="AJ86"/>
  <c r="AK60"/>
  <c r="AJ60"/>
  <c r="AK62"/>
  <c r="AJ62"/>
  <c r="AK64"/>
  <c r="AK66"/>
  <c r="AI52"/>
  <c r="AG35" i="3"/>
  <c r="AI35" s="1"/>
  <c r="AF35" s="1"/>
  <c r="Y35" s="1"/>
  <c r="AL35"/>
  <c r="AG34"/>
  <c r="AI34" s="1"/>
  <c r="AJ34"/>
  <c r="AF34" s="1"/>
  <c r="Y34" s="1"/>
  <c r="AG33"/>
  <c r="AL33"/>
  <c r="AG32"/>
  <c r="AL32"/>
  <c r="AJ32"/>
  <c r="AG31"/>
  <c r="AI31" s="1"/>
  <c r="AF31" s="1"/>
  <c r="Y31" s="1"/>
  <c r="AL31"/>
  <c r="AG30"/>
  <c r="AI30" s="1"/>
  <c r="AF30" s="1"/>
  <c r="Y30" s="1"/>
  <c r="AJ30"/>
  <c r="AG29"/>
  <c r="AI29" s="1"/>
  <c r="AF29" s="1"/>
  <c r="Y29" s="1"/>
  <c r="AL29"/>
  <c r="AG28"/>
  <c r="AJ28"/>
  <c r="AG27"/>
  <c r="AL27"/>
  <c r="AG26"/>
  <c r="AI26" s="1"/>
  <c r="AF26" s="1"/>
  <c r="Y26" s="1"/>
  <c r="AJ26"/>
  <c r="AG25"/>
  <c r="AL25"/>
  <c r="AG24"/>
  <c r="AL24"/>
  <c r="AJ24"/>
  <c r="AG23"/>
  <c r="AI23" s="1"/>
  <c r="AF23" s="1"/>
  <c r="Y23" s="1"/>
  <c r="AL23"/>
  <c r="AG22"/>
  <c r="AI22" s="1"/>
  <c r="AF22" s="1"/>
  <c r="Y22" s="1"/>
  <c r="AJ22"/>
  <c r="AG21"/>
  <c r="AI21" s="1"/>
  <c r="AF21"/>
  <c r="Y21" s="1"/>
  <c r="AL21"/>
  <c r="AG20"/>
  <c r="AI20" s="1"/>
  <c r="AF20" s="1"/>
  <c r="Y20" s="1"/>
  <c r="AJ20"/>
  <c r="AG19"/>
  <c r="AF19" s="1"/>
  <c r="Y19" s="1"/>
  <c r="AL19"/>
  <c r="AJ19"/>
  <c r="AG18"/>
  <c r="AI18" s="1"/>
  <c r="AF18" s="1"/>
  <c r="Y18" s="1"/>
  <c r="AL18"/>
  <c r="AG17"/>
  <c r="AL17"/>
  <c r="AJ17"/>
  <c r="AG15"/>
  <c r="AL15"/>
  <c r="AJ15"/>
  <c r="AG14"/>
  <c r="AL14"/>
  <c r="AG13"/>
  <c r="AI13" s="1"/>
  <c r="AL13"/>
  <c r="AJ13"/>
  <c r="AF13" s="1"/>
  <c r="Y13" s="1"/>
  <c r="AG11"/>
  <c r="AL11"/>
  <c r="AJ11"/>
  <c r="AG10"/>
  <c r="AL10"/>
  <c r="AG9"/>
  <c r="AI9" s="1"/>
  <c r="AL9"/>
  <c r="AJ9"/>
  <c r="AG54"/>
  <c r="AI54" s="1"/>
  <c r="AJ54"/>
  <c r="AG53"/>
  <c r="AJ53"/>
  <c r="AL53"/>
  <c r="AG51"/>
  <c r="AI51" s="1"/>
  <c r="AF51" s="1"/>
  <c r="Y51" s="1"/>
  <c r="AJ51"/>
  <c r="AL51"/>
  <c r="AH49"/>
  <c r="AJ49"/>
  <c r="AL49"/>
  <c r="AH47"/>
  <c r="AI47" s="1"/>
  <c r="AJ47"/>
  <c r="AL47"/>
  <c r="AH46"/>
  <c r="AJ46"/>
  <c r="AH45"/>
  <c r="AJ45"/>
  <c r="AL45"/>
  <c r="AJ42"/>
  <c r="AK73"/>
  <c r="AJ73"/>
  <c r="AF73" s="1"/>
  <c r="Y73" s="1"/>
  <c r="AJ77"/>
  <c r="AG77"/>
  <c r="AI77" s="1"/>
  <c r="AF77" s="1"/>
  <c r="Y77" s="1"/>
  <c r="AL19" i="4"/>
  <c r="AH19"/>
  <c r="AG20"/>
  <c r="AL20"/>
  <c r="AK21"/>
  <c r="AG22"/>
  <c r="AI22" s="1"/>
  <c r="AK22"/>
  <c r="AF22"/>
  <c r="Y22" s="1"/>
  <c r="AH23"/>
  <c r="AI23" s="1"/>
  <c r="AG24"/>
  <c r="AI24" s="1"/>
  <c r="AK24"/>
  <c r="AF24"/>
  <c r="Y24" s="1"/>
  <c r="AH25"/>
  <c r="AJ25"/>
  <c r="AG26"/>
  <c r="AI26" s="1"/>
  <c r="AK26"/>
  <c r="AJ26"/>
  <c r="AG27"/>
  <c r="AJ27"/>
  <c r="AH28"/>
  <c r="AK28"/>
  <c r="AJ28"/>
  <c r="AG29"/>
  <c r="AI29" s="1"/>
  <c r="AJ29"/>
  <c r="AH30"/>
  <c r="AK30"/>
  <c r="AJ30"/>
  <c r="AH31"/>
  <c r="AJ31"/>
  <c r="AG32"/>
  <c r="AK32"/>
  <c r="AG34"/>
  <c r="AI34" s="1"/>
  <c r="AK34"/>
  <c r="AF34"/>
  <c r="Y34" s="1"/>
  <c r="AH35"/>
  <c r="AI35" s="1"/>
  <c r="AF35"/>
  <c r="Y35" s="1"/>
  <c r="AH37"/>
  <c r="AJ37"/>
  <c r="AG38"/>
  <c r="AI38" s="1"/>
  <c r="AK38"/>
  <c r="AJ38"/>
  <c r="AG39"/>
  <c r="AI39" s="1"/>
  <c r="AJ39"/>
  <c r="AG40"/>
  <c r="AI40" s="1"/>
  <c r="AK40"/>
  <c r="AJ40"/>
  <c r="AG41"/>
  <c r="AJ41"/>
  <c r="AG42"/>
  <c r="AI42" s="1"/>
  <c r="AK42"/>
  <c r="AJ42"/>
  <c r="AH43"/>
  <c r="AJ43"/>
  <c r="AH44"/>
  <c r="AI44" s="1"/>
  <c r="AK44"/>
  <c r="AH45"/>
  <c r="AG46"/>
  <c r="AK46"/>
  <c r="AH47"/>
  <c r="AI47" s="1"/>
  <c r="AG48"/>
  <c r="AI48" s="1"/>
  <c r="AK48"/>
  <c r="AF48" s="1"/>
  <c r="Y48" s="1"/>
  <c r="AH50"/>
  <c r="AL50"/>
  <c r="AK50"/>
  <c r="AJ50"/>
  <c r="AH51"/>
  <c r="AK51"/>
  <c r="AJ51"/>
  <c r="AH54"/>
  <c r="AK54"/>
  <c r="AJ54"/>
  <c r="AL55"/>
  <c r="AK55"/>
  <c r="AF55"/>
  <c r="Y55" s="1"/>
  <c r="AL70"/>
  <c r="AJ70"/>
  <c r="AH71"/>
  <c r="AI71" s="1"/>
  <c r="AK71"/>
  <c r="AH73"/>
  <c r="AI73" s="1"/>
  <c r="AH77"/>
  <c r="AI77" s="1"/>
  <c r="AG78"/>
  <c r="AI78" s="1"/>
  <c r="AK78"/>
  <c r="AF78"/>
  <c r="Y78" s="1"/>
  <c r="AJ78"/>
  <c r="AI54"/>
  <c r="S42" i="2"/>
  <c r="AI86" i="3"/>
  <c r="AI43" i="4"/>
  <c r="AR89"/>
  <c r="AV89" s="1"/>
  <c r="AI10" i="3"/>
  <c r="AI12"/>
  <c r="AF12" s="1"/>
  <c r="Y12" s="1"/>
  <c r="AI14"/>
  <c r="AF14" s="1"/>
  <c r="Y14" s="1"/>
  <c r="AI16"/>
  <c r="AF16" s="1"/>
  <c r="Y16" s="1"/>
  <c r="AI24"/>
  <c r="AF24" s="1"/>
  <c r="Y24" s="1"/>
  <c r="AI28"/>
  <c r="AF28" s="1"/>
  <c r="Y28" s="1"/>
  <c r="AI32"/>
  <c r="AF32" s="1"/>
  <c r="Y32" s="1"/>
  <c r="AI50"/>
  <c r="AF50" s="1"/>
  <c r="Y50" s="1"/>
  <c r="AI19" i="4"/>
  <c r="AF19" s="1"/>
  <c r="Y19" s="1"/>
  <c r="S9" i="2"/>
  <c r="S18"/>
  <c r="S24"/>
  <c r="Q3" i="3"/>
  <c r="F86" i="22" s="1"/>
  <c r="AL51" i="4"/>
  <c r="AL52"/>
  <c r="AL53"/>
  <c r="AL54"/>
  <c r="AI70"/>
  <c r="AF70" s="1"/>
  <c r="Y70" s="1"/>
  <c r="AL73"/>
  <c r="AL77"/>
  <c r="AI39" i="3"/>
  <c r="AI27" i="4"/>
  <c r="AL28"/>
  <c r="AL44"/>
  <c r="AF44" s="1"/>
  <c r="Y44" s="1"/>
  <c r="AL46"/>
  <c r="AI46"/>
  <c r="AF46" s="1"/>
  <c r="Y46" s="1"/>
  <c r="AL60"/>
  <c r="AL66"/>
  <c r="AK70"/>
  <c r="BA69" i="3"/>
  <c r="BB69" s="1"/>
  <c r="S3" s="1"/>
  <c r="H86" i="22" s="1"/>
  <c r="AI62" i="3"/>
  <c r="AF62" s="1"/>
  <c r="Y62" s="1"/>
  <c r="AI27"/>
  <c r="AF27" s="1"/>
  <c r="Y27" s="1"/>
  <c r="AI42"/>
  <c r="AF42" s="1"/>
  <c r="Y42" s="1"/>
  <c r="AK17" i="4"/>
  <c r="AI45" i="3"/>
  <c r="AI37"/>
  <c r="AF37" s="1"/>
  <c r="Y37" s="1"/>
  <c r="AI15"/>
  <c r="AF15" s="1"/>
  <c r="Y15" s="1"/>
  <c r="AI52"/>
  <c r="AF52" s="1"/>
  <c r="Y52" s="1"/>
  <c r="AL48" i="4"/>
  <c r="AL64"/>
  <c r="AF64" s="1"/>
  <c r="Y64" s="1"/>
  <c r="AI66" i="3"/>
  <c r="AF66" s="1"/>
  <c r="Y66" s="1"/>
  <c r="AI43"/>
  <c r="AI8"/>
  <c r="AF8" s="1"/>
  <c r="Y8" s="1"/>
  <c r="AI48"/>
  <c r="AF48" s="1"/>
  <c r="Y48" s="1"/>
  <c r="AF43"/>
  <c r="Y43" s="1"/>
  <c r="AL42"/>
  <c r="AI16" i="4"/>
  <c r="AF16" s="1"/>
  <c r="Y16" s="1"/>
  <c r="AH21"/>
  <c r="AF21" s="1"/>
  <c r="Y21" s="1"/>
  <c r="AK25"/>
  <c r="AL30"/>
  <c r="AL61"/>
  <c r="AL62"/>
  <c r="AL65"/>
  <c r="AF65" s="1"/>
  <c r="Y65" s="1"/>
  <c r="AI41"/>
  <c r="AF41" s="1"/>
  <c r="Y41" s="1"/>
  <c r="AI71" i="3"/>
  <c r="AF71" s="1"/>
  <c r="Y71" s="1"/>
  <c r="AI19"/>
  <c r="AI66" i="4"/>
  <c r="AF66" s="1"/>
  <c r="Y66" s="1"/>
  <c r="AI82" i="3"/>
  <c r="AI11"/>
  <c r="AF11" s="1"/>
  <c r="Y11" s="1"/>
  <c r="AI25"/>
  <c r="AF25" s="1"/>
  <c r="Y25" s="1"/>
  <c r="AI18" i="4"/>
  <c r="AF18" s="1"/>
  <c r="Y18" s="1"/>
  <c r="AK31"/>
  <c r="AI33"/>
  <c r="AF33" s="1"/>
  <c r="Y33" s="1"/>
  <c r="AK37"/>
  <c r="AK43"/>
  <c r="AL63"/>
  <c r="AL71"/>
  <c r="AF71" s="1"/>
  <c r="Y71" s="1"/>
  <c r="AI60" i="3"/>
  <c r="AF60" s="1"/>
  <c r="Y60" s="1"/>
  <c r="AI64"/>
  <c r="AF64" s="1"/>
  <c r="Y64" s="1"/>
  <c r="AI17"/>
  <c r="AF17" s="1"/>
  <c r="Y17" s="1"/>
  <c r="AI33"/>
  <c r="AF33" s="1"/>
  <c r="Y33" s="1"/>
  <c r="AI62" i="4"/>
  <c r="AF62" s="1"/>
  <c r="Y62" s="1"/>
  <c r="AI8"/>
  <c r="S16" i="2"/>
  <c r="S15"/>
  <c r="S29"/>
  <c r="S30"/>
  <c r="AL11" i="4"/>
  <c r="AF11" s="1"/>
  <c r="Y11" s="1"/>
  <c r="AK13"/>
  <c r="AL21"/>
  <c r="AI21"/>
  <c r="AK49"/>
  <c r="AV89" i="3"/>
  <c r="AW90"/>
  <c r="AR92"/>
  <c r="AR92" i="4"/>
  <c r="AR90" i="3"/>
  <c r="AX92" s="1"/>
  <c r="AR90" i="4"/>
  <c r="S10" i="2"/>
  <c r="S22"/>
  <c r="S28"/>
  <c r="S34"/>
  <c r="S41"/>
  <c r="AR91" i="3"/>
  <c r="AR91" i="4"/>
  <c r="Q3"/>
  <c r="AI15"/>
  <c r="AF15" s="1"/>
  <c r="Y15" s="1"/>
  <c r="AI20"/>
  <c r="AF20" s="1"/>
  <c r="Y20" s="1"/>
  <c r="AI32"/>
  <c r="AF32" s="1"/>
  <c r="Y32" s="1"/>
  <c r="AI45"/>
  <c r="AF45" s="1"/>
  <c r="Y45" s="1"/>
  <c r="AL10"/>
  <c r="AL17"/>
  <c r="AH17"/>
  <c r="AI17" s="1"/>
  <c r="AL23"/>
  <c r="AF23" s="1"/>
  <c r="Y23" s="1"/>
  <c r="AL27"/>
  <c r="AL29"/>
  <c r="AL35"/>
  <c r="AL45"/>
  <c r="AL47"/>
  <c r="AF47" s="1"/>
  <c r="Y47" s="1"/>
  <c r="AK72"/>
  <c r="AF72" s="1"/>
  <c r="Y72" s="1"/>
  <c r="AK82"/>
  <c r="X8" i="24"/>
  <c r="Y8"/>
  <c r="Z39"/>
  <c r="AA60"/>
  <c r="X77"/>
  <c r="AA83"/>
  <c r="Y24"/>
  <c r="Z52"/>
  <c r="Y61"/>
  <c r="Z95"/>
  <c r="X11"/>
  <c r="X48"/>
  <c r="X66"/>
  <c r="X61"/>
  <c r="B91"/>
  <c r="B74"/>
  <c r="B9"/>
  <c r="AA76"/>
  <c r="AA73"/>
  <c r="Z2"/>
  <c r="AA19"/>
  <c r="Y18"/>
  <c r="Z50"/>
  <c r="Y45"/>
  <c r="V23"/>
  <c r="V14"/>
  <c r="X44"/>
  <c r="AA30"/>
  <c r="Z84"/>
  <c r="Z10"/>
  <c r="Y10"/>
  <c r="Z45"/>
  <c r="AA61"/>
  <c r="AA63"/>
  <c r="X65"/>
  <c r="AA78"/>
  <c r="V41"/>
  <c r="V59"/>
  <c r="V73"/>
  <c r="X85"/>
  <c r="Z69"/>
  <c r="Z11"/>
  <c r="Y7"/>
  <c r="Y69"/>
  <c r="V42"/>
  <c r="V82"/>
  <c r="V64"/>
  <c r="B21"/>
  <c r="B54"/>
  <c r="B51"/>
  <c r="AA20"/>
  <c r="Y27"/>
  <c r="Z51"/>
  <c r="AA71"/>
  <c r="X86"/>
  <c r="AA74"/>
  <c r="Y48"/>
  <c r="Z72"/>
  <c r="Y75"/>
  <c r="V76"/>
  <c r="X23"/>
  <c r="X36"/>
  <c r="X90"/>
  <c r="X75"/>
  <c r="V37"/>
  <c r="V52"/>
  <c r="V17"/>
  <c r="AA23"/>
  <c r="X34"/>
  <c r="AA33"/>
  <c r="Z89"/>
  <c r="Z15"/>
  <c r="Y26"/>
  <c r="Z60"/>
  <c r="Y67"/>
  <c r="V11"/>
  <c r="Z8"/>
  <c r="X26"/>
  <c r="B10"/>
  <c r="B43"/>
  <c r="B46"/>
  <c r="AA36"/>
  <c r="AA10"/>
  <c r="Y72"/>
  <c r="Z94"/>
  <c r="V8"/>
  <c r="Z17"/>
  <c r="Y14"/>
  <c r="Y84"/>
  <c r="Y56"/>
  <c r="V7"/>
  <c r="AA27"/>
  <c r="Z21"/>
  <c r="X89"/>
  <c r="Z79"/>
  <c r="V4"/>
  <c r="AA26"/>
  <c r="AA29"/>
  <c r="X37"/>
  <c r="AA17"/>
  <c r="Y83"/>
  <c r="V53"/>
  <c r="X47"/>
  <c r="X53"/>
  <c r="V16"/>
  <c r="X91"/>
  <c r="V72"/>
  <c r="Y43"/>
  <c r="Z65"/>
  <c r="Y62"/>
  <c r="V89"/>
  <c r="B6"/>
  <c r="B35"/>
  <c r="B47"/>
  <c r="V6"/>
  <c r="V15"/>
  <c r="Z13"/>
  <c r="AA47"/>
  <c r="X30"/>
  <c r="AA54"/>
  <c r="V58"/>
  <c r="Z35"/>
  <c r="Y39"/>
  <c r="Z71"/>
  <c r="Y81"/>
  <c r="Z4"/>
  <c r="X29"/>
  <c r="X39"/>
  <c r="AA70"/>
  <c r="AA66"/>
  <c r="X74"/>
  <c r="V18"/>
  <c r="Z7"/>
  <c r="AA12"/>
  <c r="Z24"/>
  <c r="V70"/>
  <c r="V79"/>
  <c r="Z23"/>
  <c r="Y22"/>
  <c r="Y85"/>
  <c r="Y60"/>
  <c r="V22"/>
  <c r="V48"/>
  <c r="B3"/>
  <c r="B15"/>
  <c r="AA9"/>
  <c r="AA46"/>
  <c r="Y35"/>
  <c r="Z61"/>
  <c r="AA82"/>
  <c r="AA2"/>
  <c r="V86"/>
  <c r="Y42"/>
  <c r="Z86"/>
  <c r="Y87"/>
  <c r="V9"/>
  <c r="X60"/>
  <c r="X57"/>
  <c r="Z20"/>
  <c r="X87"/>
  <c r="V93"/>
  <c r="X7"/>
  <c r="V2"/>
  <c r="AA69"/>
  <c r="Y33"/>
  <c r="Z73"/>
  <c r="Y90"/>
  <c r="X19"/>
  <c r="X41"/>
  <c r="X68"/>
  <c r="AA77"/>
  <c r="Y3"/>
  <c r="Z37"/>
  <c r="Y44"/>
  <c r="Z67"/>
  <c r="B56"/>
  <c r="B61"/>
  <c r="B28"/>
  <c r="AA87"/>
  <c r="AA81"/>
  <c r="X93"/>
  <c r="AA7"/>
  <c r="X27"/>
  <c r="AA18"/>
  <c r="Z36"/>
  <c r="V51"/>
  <c r="Y4"/>
  <c r="Z47"/>
  <c r="Y23"/>
  <c r="Y92"/>
  <c r="Y80"/>
  <c r="Z3"/>
  <c r="AA51"/>
  <c r="AA45"/>
  <c r="X54"/>
  <c r="AA50"/>
  <c r="Y93"/>
  <c r="V31"/>
  <c r="X71"/>
  <c r="X69"/>
  <c r="Z43"/>
  <c r="V55"/>
  <c r="X5"/>
  <c r="Y53"/>
  <c r="Z74"/>
  <c r="Y78"/>
  <c r="V24"/>
  <c r="B4"/>
  <c r="B18"/>
  <c r="B50"/>
  <c r="V33"/>
  <c r="X20"/>
  <c r="Z26"/>
  <c r="AA56"/>
  <c r="X72"/>
  <c r="AA65"/>
  <c r="Y21"/>
  <c r="Z30"/>
  <c r="Y55"/>
  <c r="Z82"/>
  <c r="V29"/>
  <c r="X24"/>
  <c r="Y38"/>
  <c r="AA94"/>
  <c r="V78"/>
  <c r="X15"/>
  <c r="Z57"/>
  <c r="Y13"/>
  <c r="Y47"/>
  <c r="Y95"/>
  <c r="B79"/>
  <c r="B45"/>
  <c r="AA79"/>
  <c r="Z70"/>
  <c r="V44"/>
  <c r="Y64"/>
  <c r="V71"/>
  <c r="X95"/>
  <c r="Z46"/>
  <c r="B31"/>
  <c r="B8"/>
  <c r="B77"/>
  <c r="B40"/>
  <c r="B83"/>
  <c r="B70"/>
  <c r="B29"/>
  <c r="X55"/>
  <c r="AA68"/>
  <c r="AA3"/>
  <c r="Z38"/>
  <c r="V60"/>
  <c r="X16"/>
  <c r="Z64"/>
  <c r="Y5"/>
  <c r="B24"/>
  <c r="AA13"/>
  <c r="AA14"/>
  <c r="X18"/>
  <c r="V83"/>
  <c r="Y59"/>
  <c r="Z91"/>
  <c r="Z6"/>
  <c r="X43"/>
  <c r="X81"/>
  <c r="X73"/>
  <c r="AA88"/>
  <c r="Y19"/>
  <c r="Z54"/>
  <c r="Y50"/>
  <c r="Z81"/>
  <c r="B2"/>
  <c r="B19"/>
  <c r="B64"/>
  <c r="V65"/>
  <c r="V88"/>
  <c r="V50"/>
  <c r="AA22"/>
  <c r="X35"/>
  <c r="AA37"/>
  <c r="Z76"/>
  <c r="Z27"/>
  <c r="Y28"/>
  <c r="Z56"/>
  <c r="Y41"/>
  <c r="V49"/>
  <c r="V45"/>
  <c r="X28"/>
  <c r="AA48"/>
  <c r="AA92"/>
  <c r="Y52"/>
  <c r="Z87"/>
  <c r="V34"/>
  <c r="V5"/>
  <c r="X4"/>
  <c r="Y76"/>
  <c r="V21"/>
  <c r="V47"/>
  <c r="AA8"/>
  <c r="V38"/>
  <c r="X84"/>
  <c r="Z58"/>
  <c r="V39"/>
  <c r="B44"/>
  <c r="B75"/>
  <c r="B33"/>
  <c r="AA28"/>
  <c r="AA25"/>
  <c r="X31"/>
  <c r="AA5"/>
  <c r="Y65"/>
  <c r="V85"/>
  <c r="X22"/>
  <c r="X46"/>
  <c r="V91"/>
  <c r="X78"/>
  <c r="X2"/>
  <c r="Y32"/>
  <c r="Z59"/>
  <c r="Y68"/>
  <c r="AA84"/>
  <c r="AA91"/>
  <c r="V67"/>
  <c r="AA43"/>
  <c r="Y31"/>
  <c r="Z68"/>
  <c r="Y63"/>
  <c r="Z5"/>
  <c r="X25"/>
  <c r="X38"/>
  <c r="AA52"/>
  <c r="V92"/>
  <c r="Z18"/>
  <c r="Y17"/>
  <c r="Z41"/>
  <c r="B5"/>
  <c r="B68"/>
  <c r="B23"/>
  <c r="AA75"/>
  <c r="AA67"/>
  <c r="X83"/>
  <c r="V74"/>
  <c r="V25"/>
  <c r="AA6"/>
  <c r="V10"/>
  <c r="X92"/>
  <c r="Z85"/>
  <c r="Z22"/>
  <c r="Y11"/>
  <c r="Y79"/>
  <c r="Y49"/>
  <c r="V56"/>
  <c r="V19"/>
  <c r="AA32"/>
  <c r="Y15"/>
  <c r="Z55"/>
  <c r="AA80"/>
  <c r="X88"/>
  <c r="AA93"/>
  <c r="Y36"/>
  <c r="Z77"/>
  <c r="Y70"/>
  <c r="V36"/>
  <c r="X49"/>
  <c r="X42"/>
  <c r="V68"/>
  <c r="X70"/>
  <c r="B12"/>
  <c r="B37"/>
  <c r="B86"/>
  <c r="AA89"/>
  <c r="V54"/>
  <c r="V40"/>
  <c r="AA53"/>
  <c r="Y37"/>
  <c r="Z62"/>
  <c r="Y66"/>
  <c r="Z12"/>
  <c r="X40"/>
  <c r="X50"/>
  <c r="AA72"/>
  <c r="V32"/>
  <c r="Z31"/>
  <c r="Y16"/>
  <c r="AA42"/>
  <c r="AA16"/>
  <c r="Y77"/>
  <c r="V69"/>
  <c r="X9"/>
  <c r="Z16"/>
  <c r="Y25"/>
  <c r="Y89"/>
  <c r="Y71"/>
  <c r="Z9"/>
  <c r="AA15"/>
  <c r="Z48"/>
  <c r="V94"/>
  <c r="Z92"/>
  <c r="Z25"/>
  <c r="B13"/>
  <c r="B34"/>
  <c r="B32"/>
  <c r="AA39"/>
  <c r="AA40"/>
  <c r="X33"/>
  <c r="AA44"/>
  <c r="Y74"/>
  <c r="V20"/>
  <c r="X56"/>
  <c r="X58"/>
  <c r="Z19"/>
  <c r="V87"/>
  <c r="V35"/>
  <c r="Y46"/>
  <c r="Z83"/>
  <c r="Y73"/>
  <c r="V57"/>
  <c r="X14"/>
  <c r="X3"/>
  <c r="Z28"/>
  <c r="AA49"/>
  <c r="X52"/>
  <c r="AA59"/>
  <c r="Y9"/>
  <c r="Z34"/>
  <c r="Y51"/>
  <c r="Z80"/>
  <c r="V90"/>
  <c r="X21"/>
  <c r="X45"/>
  <c r="X51"/>
  <c r="B67"/>
  <c r="B11"/>
  <c r="B55"/>
  <c r="AA57"/>
  <c r="AA38"/>
  <c r="Y86"/>
  <c r="V43"/>
  <c r="Y6"/>
  <c r="Z44"/>
  <c r="Y29"/>
  <c r="V95"/>
  <c r="Y82"/>
  <c r="X17"/>
  <c r="AA35"/>
  <c r="Z42"/>
  <c r="V61"/>
  <c r="V46"/>
  <c r="AA21"/>
  <c r="AA58"/>
  <c r="Y34"/>
  <c r="Z75"/>
  <c r="AA95"/>
  <c r="V62"/>
  <c r="V30"/>
  <c r="Y57"/>
  <c r="Z88"/>
  <c r="Y94"/>
  <c r="Y2"/>
  <c r="X80"/>
  <c r="X64"/>
  <c r="Z32"/>
  <c r="X94"/>
  <c r="B80"/>
  <c r="B95"/>
  <c r="B14"/>
  <c r="AA4"/>
  <c r="V12"/>
  <c r="Z14"/>
  <c r="AA85"/>
  <c r="Y54"/>
  <c r="Z78"/>
  <c r="V63"/>
  <c r="X32"/>
  <c r="X67"/>
  <c r="X62"/>
  <c r="AA86"/>
  <c r="Y20"/>
  <c r="Z33"/>
  <c r="Z66"/>
  <c r="AA90"/>
  <c r="AA11"/>
  <c r="AA31"/>
  <c r="V13"/>
  <c r="Z49"/>
  <c r="V80"/>
  <c r="X13"/>
  <c r="B53"/>
  <c r="AA24"/>
  <c r="Y30"/>
  <c r="V77"/>
  <c r="V27"/>
  <c r="V84"/>
  <c r="X6"/>
  <c r="X76"/>
  <c r="V75"/>
  <c r="B66"/>
  <c r="B7"/>
  <c r="B71"/>
  <c r="Z29"/>
  <c r="B84"/>
  <c r="B85"/>
  <c r="X63"/>
  <c r="AA64"/>
  <c r="Y88"/>
  <c r="Y12"/>
  <c r="Y40"/>
  <c r="V66"/>
  <c r="AA34"/>
  <c r="V26"/>
  <c r="Z40"/>
  <c r="B57"/>
  <c r="AA55"/>
  <c r="X59"/>
  <c r="V81"/>
  <c r="X82"/>
  <c r="Z53"/>
  <c r="X10"/>
  <c r="Z93"/>
  <c r="Z63"/>
  <c r="B25"/>
  <c r="B16"/>
  <c r="B26"/>
  <c r="B62"/>
  <c r="Z90"/>
  <c r="B63"/>
  <c r="B65"/>
  <c r="B90"/>
  <c r="B36"/>
  <c r="B93"/>
  <c r="B92"/>
  <c r="B60"/>
  <c r="B52"/>
  <c r="B58"/>
  <c r="B87"/>
  <c r="B38"/>
  <c r="B30"/>
  <c r="B72"/>
  <c r="B73"/>
  <c r="B41"/>
  <c r="B88"/>
  <c r="B48"/>
  <c r="B82"/>
  <c r="B76"/>
  <c r="B42"/>
  <c r="B17"/>
  <c r="AA41"/>
  <c r="AA62"/>
  <c r="X12"/>
  <c r="X79"/>
  <c r="V28"/>
  <c r="Y58"/>
  <c r="Y91"/>
  <c r="B22"/>
  <c r="B59"/>
  <c r="B20"/>
  <c r="V3"/>
  <c r="B78"/>
  <c r="B49"/>
  <c r="B94"/>
  <c r="B89"/>
  <c r="B81"/>
  <c r="B39"/>
  <c r="B69"/>
  <c r="B27"/>
  <c r="AF86" i="53" l="1"/>
  <c r="Y86" s="1"/>
  <c r="AF86" i="3"/>
  <c r="Y86" s="1"/>
  <c r="AF86" i="6"/>
  <c r="Y86" s="1"/>
  <c r="AF86" i="7"/>
  <c r="Y86" s="1"/>
  <c r="AF86" i="8"/>
  <c r="Y86" s="1"/>
  <c r="AF86" i="19"/>
  <c r="Y86" s="1"/>
  <c r="AF86" i="37"/>
  <c r="Y86" s="1"/>
  <c r="AF86" i="28"/>
  <c r="Y86" s="1"/>
  <c r="AF86" i="54"/>
  <c r="Y86" s="1"/>
  <c r="AF86" i="31"/>
  <c r="Y86" s="1"/>
  <c r="AF86" i="21"/>
  <c r="Y86" s="1"/>
  <c r="AF86" i="36"/>
  <c r="Y86" s="1"/>
  <c r="AF86" i="29"/>
  <c r="Y86" s="1"/>
  <c r="AF86" i="51"/>
  <c r="Y86" s="1"/>
  <c r="AF86" i="52"/>
  <c r="Y86" s="1"/>
  <c r="AF86" i="46"/>
  <c r="Y86" s="1"/>
  <c r="AF86" i="49"/>
  <c r="Y86" s="1"/>
  <c r="AI86" i="4"/>
  <c r="AF86" s="1"/>
  <c r="Y86" s="1"/>
  <c r="AF86" i="26"/>
  <c r="Y86" s="1"/>
  <c r="AF82" i="3"/>
  <c r="Y82" s="1"/>
  <c r="AF82" i="49"/>
  <c r="Y82" s="1"/>
  <c r="AI82" i="4"/>
  <c r="AF82"/>
  <c r="Y82" s="1"/>
  <c r="AF82" i="26"/>
  <c r="Y82" s="1"/>
  <c r="AI78" i="3"/>
  <c r="AF78"/>
  <c r="Y78" s="1"/>
  <c r="AF78" i="49"/>
  <c r="Y78" s="1"/>
  <c r="AF77" i="38"/>
  <c r="Y77" s="1"/>
  <c r="AF77" i="5"/>
  <c r="Y77" s="1"/>
  <c r="AF77" i="37"/>
  <c r="Y77" s="1"/>
  <c r="AX91" i="36"/>
  <c r="AX91" i="32"/>
  <c r="AV89" i="38"/>
  <c r="AV90" i="31"/>
  <c r="AX90" i="39"/>
  <c r="AX89" i="45"/>
  <c r="AU89" s="1"/>
  <c r="AP89" s="1"/>
  <c r="AX90"/>
  <c r="AX89" i="46"/>
  <c r="AV91" i="47"/>
  <c r="AX92"/>
  <c r="AU92" s="1"/>
  <c r="AP92" s="1"/>
  <c r="AF77" i="6"/>
  <c r="Y77" s="1"/>
  <c r="AF77" i="39"/>
  <c r="Y77" s="1"/>
  <c r="AF77" i="4"/>
  <c r="Y77" s="1"/>
  <c r="AF77" i="35"/>
  <c r="Y77" s="1"/>
  <c r="AF77" i="50"/>
  <c r="Y77" s="1"/>
  <c r="AF73" i="4"/>
  <c r="Y73" s="1"/>
  <c r="AF73" i="6"/>
  <c r="Y73" s="1"/>
  <c r="AF73" i="51"/>
  <c r="Y73" s="1"/>
  <c r="AF73" i="39"/>
  <c r="Y73" s="1"/>
  <c r="AF72" i="49"/>
  <c r="Y72" s="1"/>
  <c r="AF71" i="51"/>
  <c r="Y71" s="1"/>
  <c r="AF71" i="53"/>
  <c r="Y71" s="1"/>
  <c r="AI66" i="30"/>
  <c r="AF66" s="1"/>
  <c r="Y66" s="1"/>
  <c r="AF66" i="8"/>
  <c r="Y66" s="1"/>
  <c r="AF66" i="50"/>
  <c r="Y66" s="1"/>
  <c r="AF66" i="6"/>
  <c r="Y66" s="1"/>
  <c r="AF66" i="53"/>
  <c r="Y66" s="1"/>
  <c r="AF65" i="8"/>
  <c r="Y65" s="1"/>
  <c r="AF65" i="53"/>
  <c r="Y65" s="1"/>
  <c r="AF65" i="51"/>
  <c r="Y65" s="1"/>
  <c r="AF65" i="50"/>
  <c r="Y65" s="1"/>
  <c r="AF65" i="38"/>
  <c r="Y65" s="1"/>
  <c r="AF64" i="8"/>
  <c r="Y64" s="1"/>
  <c r="AF64" i="6"/>
  <c r="Y64" s="1"/>
  <c r="AF64" i="50"/>
  <c r="Y64" s="1"/>
  <c r="AF63" i="8"/>
  <c r="Y63" s="1"/>
  <c r="AF63" i="53"/>
  <c r="Y63" s="1"/>
  <c r="AF63" i="6"/>
  <c r="Y63" s="1"/>
  <c r="AF63" i="4"/>
  <c r="Y63" s="1"/>
  <c r="AF63" i="39"/>
  <c r="Y63" s="1"/>
  <c r="AF62" i="6"/>
  <c r="Y62" s="1"/>
  <c r="AF62" i="35"/>
  <c r="Y62" s="1"/>
  <c r="AF62" i="30"/>
  <c r="Y62" s="1"/>
  <c r="AF62" i="50"/>
  <c r="Y62" s="1"/>
  <c r="AV90" i="5"/>
  <c r="AV90" i="6"/>
  <c r="AW91" i="33"/>
  <c r="AV90"/>
  <c r="AX92" i="31"/>
  <c r="AW91" i="30"/>
  <c r="AV90"/>
  <c r="AX91" i="51"/>
  <c r="AU91" s="1"/>
  <c r="AP91" s="1"/>
  <c r="AX91" i="48"/>
  <c r="AX91" i="42"/>
  <c r="AV90" i="7"/>
  <c r="AV92" i="8"/>
  <c r="AV90" i="21"/>
  <c r="AV90" i="32"/>
  <c r="AV90" i="29"/>
  <c r="AV91" i="36"/>
  <c r="AU91" s="1"/>
  <c r="AP91" s="1"/>
  <c r="AX90"/>
  <c r="AU90" s="1"/>
  <c r="AP90" s="1"/>
  <c r="AX90" i="38"/>
  <c r="AW90" i="47"/>
  <c r="AX92" i="48"/>
  <c r="AU92" s="1"/>
  <c r="AP92" s="1"/>
  <c r="AX90"/>
  <c r="AV90" i="51"/>
  <c r="AX92" i="44"/>
  <c r="AX89" i="40"/>
  <c r="AW89"/>
  <c r="AW90" i="51"/>
  <c r="AI61" i="4"/>
  <c r="AF61"/>
  <c r="Y61" s="1"/>
  <c r="AF61" i="8"/>
  <c r="Y61" s="1"/>
  <c r="AF61" i="30"/>
  <c r="Y61" s="1"/>
  <c r="AF61" i="53"/>
  <c r="Y61" s="1"/>
  <c r="AF61" i="51"/>
  <c r="Y61" s="1"/>
  <c r="AF61" i="50"/>
  <c r="Y61" s="1"/>
  <c r="AF59" i="8"/>
  <c r="Y59" s="1"/>
  <c r="AF59" i="35"/>
  <c r="Y59" s="1"/>
  <c r="AF59" i="51"/>
  <c r="Y59" s="1"/>
  <c r="AF59" i="30"/>
  <c r="Y59" s="1"/>
  <c r="AF59" i="50"/>
  <c r="Y59" s="1"/>
  <c r="AF60" i="8"/>
  <c r="Y60" s="1"/>
  <c r="AF60" i="51"/>
  <c r="Y60" s="1"/>
  <c r="AF60" i="50"/>
  <c r="Y60" s="1"/>
  <c r="AF60" i="39"/>
  <c r="Y60" s="1"/>
  <c r="AF60" i="4"/>
  <c r="Y60" s="1"/>
  <c r="AF60" i="7"/>
  <c r="Y60" s="1"/>
  <c r="AF60" i="35"/>
  <c r="Y60" s="1"/>
  <c r="AF60" i="29"/>
  <c r="Y60" s="1"/>
  <c r="AF54" i="3"/>
  <c r="Y54" s="1"/>
  <c r="AF55" i="48"/>
  <c r="Y55" s="1"/>
  <c r="AF54" i="8"/>
  <c r="Y54" s="1"/>
  <c r="AF54" i="50"/>
  <c r="Y54" s="1"/>
  <c r="AF54" i="4"/>
  <c r="Y54" s="1"/>
  <c r="AF54" i="29"/>
  <c r="Y54" s="1"/>
  <c r="AF54" i="51"/>
  <c r="Y54" s="1"/>
  <c r="AF55" i="49"/>
  <c r="Y55" s="1"/>
  <c r="AF55" i="36"/>
  <c r="Y55" s="1"/>
  <c r="AF55" i="54"/>
  <c r="Y55" s="1"/>
  <c r="AI53" i="3"/>
  <c r="AF53"/>
  <c r="Y53" s="1"/>
  <c r="AF53" i="19"/>
  <c r="Y53" s="1"/>
  <c r="AF53" i="21"/>
  <c r="Y53" s="1"/>
  <c r="AF53" i="50"/>
  <c r="Y53" s="1"/>
  <c r="AF53" i="39"/>
  <c r="Y53" s="1"/>
  <c r="AI53" i="4"/>
  <c r="AF53" s="1"/>
  <c r="AF53" i="20"/>
  <c r="Y53" s="1"/>
  <c r="AF53" i="27"/>
  <c r="Y53" s="1"/>
  <c r="AF53" i="37"/>
  <c r="Y53" s="1"/>
  <c r="AF53" i="34"/>
  <c r="Y53" s="1"/>
  <c r="AF52" i="6"/>
  <c r="Y52" s="1"/>
  <c r="AF52" i="7"/>
  <c r="Y52" s="1"/>
  <c r="AF52" i="8"/>
  <c r="Y52" s="1"/>
  <c r="AF52" i="19"/>
  <c r="Y52" s="1"/>
  <c r="AF52" i="20"/>
  <c r="Y52" s="1"/>
  <c r="AF52" i="25"/>
  <c r="Y52" s="1"/>
  <c r="AF52" i="50"/>
  <c r="Y52" s="1"/>
  <c r="AF52" i="4"/>
  <c r="Y52" s="1"/>
  <c r="AF52" i="5"/>
  <c r="Y52" s="1"/>
  <c r="AI52" i="21"/>
  <c r="AF52" s="1"/>
  <c r="Y52" s="1"/>
  <c r="AI52" i="37"/>
  <c r="AF52" s="1"/>
  <c r="Y52" s="1"/>
  <c r="AI52" i="30"/>
  <c r="AF52" s="1"/>
  <c r="AI52" i="55"/>
  <c r="AF52" s="1"/>
  <c r="AI52" i="53"/>
  <c r="AF52" s="1"/>
  <c r="Y52" s="1"/>
  <c r="AI52" i="38"/>
  <c r="AF52" s="1"/>
  <c r="Y52" s="1"/>
  <c r="AX89" i="53"/>
  <c r="AX91" i="49"/>
  <c r="AV92" i="48"/>
  <c r="AV90"/>
  <c r="AU90" s="1"/>
  <c r="AP90" s="1"/>
  <c r="AV92" i="50"/>
  <c r="AX89"/>
  <c r="AV90" i="53"/>
  <c r="AV91" i="44"/>
  <c r="AI51" i="4"/>
  <c r="AF51"/>
  <c r="Y51" s="1"/>
  <c r="AF51" i="7"/>
  <c r="Y51" s="1"/>
  <c r="AF51" i="37"/>
  <c r="Y51" s="1"/>
  <c r="AF51" i="35"/>
  <c r="Y51" s="1"/>
  <c r="AF51" i="55"/>
  <c r="Y51" s="1"/>
  <c r="AF51" i="39"/>
  <c r="Y51" s="1"/>
  <c r="AF50" i="8"/>
  <c r="Y50" s="1"/>
  <c r="AF50" i="39"/>
  <c r="Y50" s="1"/>
  <c r="AF50" i="38"/>
  <c r="Y50" s="1"/>
  <c r="AI50" i="4"/>
  <c r="AF50"/>
  <c r="Y50" s="1"/>
  <c r="AF50" i="5"/>
  <c r="Y50" s="1"/>
  <c r="AF50" i="55"/>
  <c r="Y50" s="1"/>
  <c r="AF50" i="53"/>
  <c r="Y50" s="1"/>
  <c r="AF50" i="51"/>
  <c r="Y50" s="1"/>
  <c r="AI50" i="6"/>
  <c r="AF50" s="1"/>
  <c r="Y50" s="1"/>
  <c r="AI50" i="7"/>
  <c r="AF50" s="1"/>
  <c r="Y50" s="1"/>
  <c r="AI50" i="20"/>
  <c r="AF50" s="1"/>
  <c r="Y50" s="1"/>
  <c r="AI50" i="25"/>
  <c r="AF50" s="1"/>
  <c r="Y50" s="1"/>
  <c r="AI50" i="37"/>
  <c r="AF50" s="1"/>
  <c r="Y50" s="1"/>
  <c r="AI50" i="35"/>
  <c r="AF50" s="1"/>
  <c r="Y50" s="1"/>
  <c r="AI50" i="50"/>
  <c r="AF50" s="1"/>
  <c r="AF49" i="49"/>
  <c r="Y49" s="1"/>
  <c r="AI49" i="3"/>
  <c r="AF49"/>
  <c r="Y49" s="1"/>
  <c r="AF49" i="4"/>
  <c r="Y49" s="1"/>
  <c r="AF49" i="26"/>
  <c r="Y49" s="1"/>
  <c r="AF48" i="7"/>
  <c r="Y48" s="1"/>
  <c r="AF48" i="25"/>
  <c r="Y48" s="1"/>
  <c r="AF48" i="37"/>
  <c r="Y48" s="1"/>
  <c r="AF48" i="35"/>
  <c r="Y48" s="1"/>
  <c r="AF48" i="52"/>
  <c r="Y48" s="1"/>
  <c r="AF48" i="50"/>
  <c r="Y48" s="1"/>
  <c r="AF48" i="38"/>
  <c r="Y48" s="1"/>
  <c r="AI48" i="20"/>
  <c r="AF48" s="1"/>
  <c r="AI48" i="39"/>
  <c r="AF48" s="1"/>
  <c r="Y48" s="1"/>
  <c r="AX90" i="35"/>
  <c r="AX92" i="19"/>
  <c r="AX89" i="55"/>
  <c r="AV90" i="27"/>
  <c r="AW89" i="8"/>
  <c r="AV92" i="6"/>
  <c r="AW89" i="25"/>
  <c r="AV90" i="28"/>
  <c r="AX92" i="27"/>
  <c r="AX90"/>
  <c r="AU90" s="1"/>
  <c r="AP90" s="1"/>
  <c r="AW90" i="37"/>
  <c r="AV89" i="36"/>
  <c r="AU89" s="1"/>
  <c r="AX89" i="32"/>
  <c r="AX90" i="31"/>
  <c r="AV89" i="53"/>
  <c r="AX91" i="50"/>
  <c r="AX89" i="49"/>
  <c r="AU89" s="1"/>
  <c r="AP89" s="1"/>
  <c r="AW92" i="46"/>
  <c r="AX91" i="44"/>
  <c r="AU91" s="1"/>
  <c r="AP91" s="1"/>
  <c r="AX90" i="41"/>
  <c r="AU90" s="1"/>
  <c r="AP90" s="1"/>
  <c r="AX90" i="40"/>
  <c r="AU90" s="1"/>
  <c r="AP90" s="1"/>
  <c r="AX91" i="41"/>
  <c r="AV92" i="31"/>
  <c r="AV92" i="32"/>
  <c r="AX90" i="34"/>
  <c r="AV92" i="35"/>
  <c r="AV90"/>
  <c r="AU90" s="1"/>
  <c r="AP90" s="1"/>
  <c r="AV91" i="38"/>
  <c r="AX89"/>
  <c r="AU89" s="1"/>
  <c r="AW89" i="41"/>
  <c r="AX92" i="43"/>
  <c r="AX90"/>
  <c r="AX89"/>
  <c r="AU89" s="1"/>
  <c r="AP89" s="1"/>
  <c r="AX89" i="48"/>
  <c r="AW90" i="49"/>
  <c r="AX90" i="50"/>
  <c r="AU90" s="1"/>
  <c r="AP90" s="1"/>
  <c r="AX90" i="52"/>
  <c r="AU90" s="1"/>
  <c r="AP90" s="1"/>
  <c r="AV91" i="53"/>
  <c r="AX92"/>
  <c r="AU92" s="1"/>
  <c r="AP92" s="1"/>
  <c r="AX90"/>
  <c r="AX90" i="54"/>
  <c r="AU90" s="1"/>
  <c r="AP90" s="1"/>
  <c r="AX90" i="37"/>
  <c r="AX92"/>
  <c r="AX92" i="51"/>
  <c r="AU92" s="1"/>
  <c r="AP92" s="1"/>
  <c r="AW91" i="41"/>
  <c r="AF47" i="3"/>
  <c r="Y47" s="1"/>
  <c r="AF47" i="5"/>
  <c r="Y47" s="1"/>
  <c r="AF47" i="19"/>
  <c r="Y47" s="1"/>
  <c r="AF47" i="30"/>
  <c r="Y47" s="1"/>
  <c r="AF47" i="8"/>
  <c r="Y47" s="1"/>
  <c r="AF47" i="50"/>
  <c r="Y47" s="1"/>
  <c r="AI46" i="3"/>
  <c r="AF46"/>
  <c r="Y46" s="1"/>
  <c r="AF46" i="35"/>
  <c r="Y46" s="1"/>
  <c r="AF46" i="37"/>
  <c r="Y46" s="1"/>
  <c r="AF46" i="53"/>
  <c r="Y46" s="1"/>
  <c r="AF44" i="5"/>
  <c r="Y44" s="1"/>
  <c r="AF44" i="25"/>
  <c r="Y44" s="1"/>
  <c r="AF44" i="37"/>
  <c r="Y44" s="1"/>
  <c r="AF44" i="30"/>
  <c r="Y44" s="1"/>
  <c r="AF45" i="3"/>
  <c r="Y45" s="1"/>
  <c r="AF45" i="6"/>
  <c r="Y45" s="1"/>
  <c r="AF45" i="8"/>
  <c r="Y45" s="1"/>
  <c r="AF45" i="37"/>
  <c r="Y45" s="1"/>
  <c r="AF45" i="35"/>
  <c r="Y45" s="1"/>
  <c r="AF45" i="30"/>
  <c r="Y45" s="1"/>
  <c r="AF45" i="55"/>
  <c r="Y45" s="1"/>
  <c r="AF45" i="52"/>
  <c r="Y45" s="1"/>
  <c r="AF45" i="39"/>
  <c r="Y45" s="1"/>
  <c r="AX90" i="19"/>
  <c r="AU90" s="1"/>
  <c r="AP90" s="1"/>
  <c r="AX89" i="33"/>
  <c r="AX91"/>
  <c r="AX89" i="30"/>
  <c r="AU89" s="1"/>
  <c r="AX92"/>
  <c r="AX91" i="47"/>
  <c r="AX90" i="46"/>
  <c r="AX92"/>
  <c r="AX91" i="34"/>
  <c r="AX89" i="29"/>
  <c r="AU89" s="1"/>
  <c r="AX92"/>
  <c r="AU92" s="1"/>
  <c r="AP92" s="1"/>
  <c r="AX91" i="27"/>
  <c r="AX89" i="25"/>
  <c r="AX91"/>
  <c r="AU91" s="1"/>
  <c r="AP91" s="1"/>
  <c r="AX89" i="19"/>
  <c r="AX91"/>
  <c r="AX92" i="6"/>
  <c r="AF43" i="4"/>
  <c r="Y43" s="1"/>
  <c r="AF43" i="33"/>
  <c r="Y43" s="1"/>
  <c r="AF42" i="4"/>
  <c r="Y42" s="1"/>
  <c r="AF42" i="6"/>
  <c r="Y42" s="1"/>
  <c r="AF42" i="55"/>
  <c r="Y42" s="1"/>
  <c r="AF42" i="7"/>
  <c r="Y42" s="1"/>
  <c r="AF42" i="8"/>
  <c r="Y42" s="1"/>
  <c r="AF42" i="20"/>
  <c r="Y42" s="1"/>
  <c r="AF42" i="21"/>
  <c r="Y42" s="1"/>
  <c r="AF42" i="35"/>
  <c r="Y42" s="1"/>
  <c r="AF42" i="29"/>
  <c r="Y42" s="1"/>
  <c r="AF42" i="52"/>
  <c r="Y42" s="1"/>
  <c r="AF42" i="51"/>
  <c r="Y42" s="1"/>
  <c r="AX90" i="55"/>
  <c r="AX91"/>
  <c r="AU91" s="1"/>
  <c r="AP91" s="1"/>
  <c r="AX89" i="54"/>
  <c r="AU89" s="1"/>
  <c r="AX92" i="42"/>
  <c r="AU90" i="39"/>
  <c r="AP90" s="1"/>
  <c r="AU92" i="38"/>
  <c r="AP92" s="1"/>
  <c r="AU92" i="52"/>
  <c r="AP92" s="1"/>
  <c r="AU90" i="45"/>
  <c r="AP90" s="1"/>
  <c r="AU89" i="51"/>
  <c r="AP89" s="1"/>
  <c r="AU89" i="25"/>
  <c r="AU89" i="35"/>
  <c r="AW91" i="5"/>
  <c r="AX91" i="6"/>
  <c r="AW91" i="7"/>
  <c r="AW91" i="19"/>
  <c r="AW89"/>
  <c r="AW91" i="20"/>
  <c r="AW91" i="21"/>
  <c r="AX90" i="6"/>
  <c r="AU90" s="1"/>
  <c r="AP90" s="1"/>
  <c r="AX89"/>
  <c r="AU89" s="1"/>
  <c r="AP89" s="1"/>
  <c r="AW91" i="28"/>
  <c r="AX91" i="35"/>
  <c r="AU91" s="1"/>
  <c r="AP91" s="1"/>
  <c r="AW91" i="34"/>
  <c r="AU91" s="1"/>
  <c r="AP91" s="1"/>
  <c r="AW89"/>
  <c r="AX92"/>
  <c r="AU92" s="1"/>
  <c r="AP92" s="1"/>
  <c r="AV91" i="33"/>
  <c r="AV89"/>
  <c r="AX92" i="32"/>
  <c r="AX90"/>
  <c r="AU90" s="1"/>
  <c r="AP90" s="1"/>
  <c r="AX91" i="31"/>
  <c r="AX89"/>
  <c r="AU89" s="1"/>
  <c r="AP89" s="1"/>
  <c r="AX91" i="29"/>
  <c r="AU91" s="1"/>
  <c r="AP91" s="1"/>
  <c r="AW92" i="30"/>
  <c r="AU92" s="1"/>
  <c r="AP92" s="1"/>
  <c r="AW90"/>
  <c r="AW92" i="55"/>
  <c r="AW90"/>
  <c r="AX91" i="54"/>
  <c r="AX91" i="53"/>
  <c r="AV89" i="50"/>
  <c r="AU89" s="1"/>
  <c r="AP89" s="1"/>
  <c r="AW91" i="52"/>
  <c r="AU91" s="1"/>
  <c r="AP91" s="1"/>
  <c r="AX89"/>
  <c r="AU89" s="1"/>
  <c r="AV89" i="48"/>
  <c r="AV89" i="46"/>
  <c r="AU89" s="1"/>
  <c r="AX91"/>
  <c r="AX91" i="45"/>
  <c r="AX91" i="43"/>
  <c r="AU91" s="1"/>
  <c r="AP91" s="1"/>
  <c r="AU89" i="42"/>
  <c r="AX91" i="39"/>
  <c r="AX91" i="38"/>
  <c r="AU91" s="1"/>
  <c r="AP91" s="1"/>
  <c r="AX91" i="40"/>
  <c r="AV92" i="19"/>
  <c r="AU92" s="1"/>
  <c r="AV92" i="25"/>
  <c r="AX89" i="27"/>
  <c r="AU89" s="1"/>
  <c r="AV91" i="31"/>
  <c r="AV89" i="32"/>
  <c r="AX90" i="29"/>
  <c r="AX92" i="35"/>
  <c r="AU92" s="1"/>
  <c r="AX92" i="36"/>
  <c r="AU92" s="1"/>
  <c r="AP92" s="1"/>
  <c r="AV90" i="38"/>
  <c r="AU90" s="1"/>
  <c r="AP90" s="1"/>
  <c r="AV91" i="39"/>
  <c r="AX89"/>
  <c r="AU89" s="1"/>
  <c r="AP89" s="1"/>
  <c r="AX92" i="41"/>
  <c r="AX89"/>
  <c r="AU89" s="1"/>
  <c r="AV92" i="43"/>
  <c r="AV90"/>
  <c r="AU90" s="1"/>
  <c r="AP90" s="1"/>
  <c r="AV91" i="45"/>
  <c r="AX92"/>
  <c r="AU92" s="1"/>
  <c r="AP92" s="1"/>
  <c r="AX89" i="47"/>
  <c r="AU89" s="1"/>
  <c r="AX90"/>
  <c r="AU90" s="1"/>
  <c r="AP90" s="1"/>
  <c r="AX92" i="49"/>
  <c r="AU92" s="1"/>
  <c r="AP92" s="1"/>
  <c r="AX90"/>
  <c r="AV91" i="50"/>
  <c r="AX92"/>
  <c r="AU92" s="1"/>
  <c r="AP92" s="1"/>
  <c r="AV91" i="54"/>
  <c r="AX92"/>
  <c r="AU92" s="1"/>
  <c r="AP92" s="1"/>
  <c r="AV89" i="55"/>
  <c r="AV90" i="44"/>
  <c r="AX92" i="40"/>
  <c r="AV92" i="42"/>
  <c r="AU92" s="1"/>
  <c r="AP92" s="1"/>
  <c r="AX90"/>
  <c r="AU90" s="1"/>
  <c r="AX90" i="33"/>
  <c r="AU90" s="1"/>
  <c r="AP90" s="1"/>
  <c r="AW91" i="27"/>
  <c r="AX90" i="28"/>
  <c r="AX91"/>
  <c r="AX90" i="21"/>
  <c r="AU90" s="1"/>
  <c r="AP90" s="1"/>
  <c r="AX92"/>
  <c r="AX89" i="20"/>
  <c r="AU89" s="1"/>
  <c r="AP89" s="1"/>
  <c r="AX91"/>
  <c r="AX89" i="8"/>
  <c r="AU89" s="1"/>
  <c r="AP89" s="1"/>
  <c r="AX92"/>
  <c r="AX89" i="7"/>
  <c r="AU89" s="1"/>
  <c r="AP89" s="1"/>
  <c r="AX92"/>
  <c r="AX90" i="5"/>
  <c r="AX92"/>
  <c r="AX90" i="25"/>
  <c r="AU90" s="1"/>
  <c r="AP90" s="1"/>
  <c r="AW92" i="57"/>
  <c r="AX89"/>
  <c r="AV91"/>
  <c r="AX90"/>
  <c r="AW92" i="59"/>
  <c r="AX89"/>
  <c r="AX90"/>
  <c r="AV91"/>
  <c r="AX89" i="62"/>
  <c r="AW92"/>
  <c r="AX90"/>
  <c r="AV91"/>
  <c r="AW92" i="65"/>
  <c r="AV91"/>
  <c r="AX90"/>
  <c r="AX89"/>
  <c r="AX89" i="67"/>
  <c r="AV91"/>
  <c r="AW92"/>
  <c r="AX90"/>
  <c r="AV91" i="74"/>
  <c r="AW92"/>
  <c r="AX89"/>
  <c r="AX90"/>
  <c r="AX90" i="63"/>
  <c r="AX89"/>
  <c r="AV91"/>
  <c r="AW92"/>
  <c r="AX90" i="69"/>
  <c r="AX89"/>
  <c r="AV91"/>
  <c r="AW92"/>
  <c r="AX90" i="71"/>
  <c r="AW92"/>
  <c r="AV91"/>
  <c r="AX89"/>
  <c r="AX89" i="75"/>
  <c r="AV91"/>
  <c r="AW92"/>
  <c r="AX90"/>
  <c r="AX89" i="81"/>
  <c r="AX90"/>
  <c r="AV91"/>
  <c r="AW92"/>
  <c r="AW92" i="83"/>
  <c r="AX89"/>
  <c r="AV91"/>
  <c r="AX90"/>
  <c r="AX89" i="93"/>
  <c r="AX90"/>
  <c r="AV91"/>
  <c r="AW92"/>
  <c r="AX90" i="96"/>
  <c r="AX89"/>
  <c r="AV91"/>
  <c r="AW92"/>
  <c r="AX89" i="99"/>
  <c r="AW92"/>
  <c r="AV91"/>
  <c r="AX90"/>
  <c r="AX90" i="106"/>
  <c r="AX89"/>
  <c r="AV91"/>
  <c r="AW92"/>
  <c r="AV91" i="110"/>
  <c r="AX90"/>
  <c r="AX89"/>
  <c r="AW92"/>
  <c r="AV91" i="77"/>
  <c r="AW92"/>
  <c r="AX90"/>
  <c r="AX89"/>
  <c r="AX89" i="80"/>
  <c r="AX90"/>
  <c r="AV91"/>
  <c r="AW92"/>
  <c r="AX89" i="86"/>
  <c r="AV91"/>
  <c r="AW92"/>
  <c r="AX90"/>
  <c r="AX90" i="88"/>
  <c r="AW92"/>
  <c r="AX89"/>
  <c r="AV91"/>
  <c r="AX89" i="90"/>
  <c r="AX90"/>
  <c r="AW92"/>
  <c r="AV91"/>
  <c r="AW92" i="92"/>
  <c r="AX89"/>
  <c r="AX90"/>
  <c r="AV91"/>
  <c r="AW92" i="98"/>
  <c r="AX89"/>
  <c r="AX90"/>
  <c r="AV91"/>
  <c r="AX90" i="102"/>
  <c r="AV91"/>
  <c r="AX89"/>
  <c r="AW92"/>
  <c r="AX89" i="104"/>
  <c r="AW92"/>
  <c r="AX90"/>
  <c r="AV91"/>
  <c r="AX90" i="107"/>
  <c r="AX89"/>
  <c r="AV91"/>
  <c r="AW92"/>
  <c r="AW89" i="56"/>
  <c r="AV90"/>
  <c r="AW89" i="58"/>
  <c r="AV90"/>
  <c r="AV90" i="60"/>
  <c r="AW89"/>
  <c r="AV90" i="64"/>
  <c r="AW89"/>
  <c r="AV90" i="66"/>
  <c r="AW89"/>
  <c r="AV90" i="73"/>
  <c r="AW89"/>
  <c r="AW89" i="61"/>
  <c r="AV90"/>
  <c r="AW89" i="68"/>
  <c r="AV90"/>
  <c r="AV90" i="70"/>
  <c r="AW89"/>
  <c r="AV90" i="72"/>
  <c r="AW89"/>
  <c r="AV90" i="78"/>
  <c r="AW89"/>
  <c r="AV90" i="80"/>
  <c r="AW89"/>
  <c r="AW89" i="82"/>
  <c r="AV90"/>
  <c r="AV90" i="84"/>
  <c r="AW89"/>
  <c r="AV90" i="94"/>
  <c r="AW89"/>
  <c r="AV90" i="96"/>
  <c r="AW89"/>
  <c r="AV90" i="99"/>
  <c r="AW89"/>
  <c r="AV90" i="106"/>
  <c r="AW89"/>
  <c r="AW89" i="76"/>
  <c r="AV90"/>
  <c r="AV90" i="85"/>
  <c r="AW89"/>
  <c r="AV90" i="87"/>
  <c r="AW89"/>
  <c r="AW89" i="89"/>
  <c r="AV90"/>
  <c r="AV90" i="91"/>
  <c r="AW89"/>
  <c r="AW89" i="98"/>
  <c r="AV90"/>
  <c r="AW89" i="102"/>
  <c r="AV90"/>
  <c r="AV90" i="104"/>
  <c r="AW89"/>
  <c r="AV90" i="107"/>
  <c r="AW89"/>
  <c r="AV90" i="110"/>
  <c r="AW89"/>
  <c r="AV92" i="57"/>
  <c r="AW91"/>
  <c r="AV92" i="59"/>
  <c r="AW91"/>
  <c r="AV92" i="62"/>
  <c r="AW91"/>
  <c r="AV92" i="65"/>
  <c r="AW91"/>
  <c r="AV92" i="67"/>
  <c r="AW91"/>
  <c r="AW91" i="74"/>
  <c r="AV92"/>
  <c r="AV92" i="63"/>
  <c r="AW91"/>
  <c r="AW91" i="69"/>
  <c r="AV92"/>
  <c r="AW91" i="71"/>
  <c r="AV92"/>
  <c r="AV92" i="75"/>
  <c r="AW91"/>
  <c r="AW91" i="79"/>
  <c r="AV92"/>
  <c r="AV92" i="81"/>
  <c r="AW91"/>
  <c r="AV92" i="83"/>
  <c r="AW91"/>
  <c r="AW91" i="93"/>
  <c r="AV92"/>
  <c r="AV92" i="95"/>
  <c r="AW91"/>
  <c r="AW91" i="97"/>
  <c r="AV92"/>
  <c r="AW91" i="101"/>
  <c r="AV92"/>
  <c r="AV92" i="109"/>
  <c r="AW91"/>
  <c r="AV92" i="77"/>
  <c r="AW91"/>
  <c r="AV92" i="86"/>
  <c r="AW91"/>
  <c r="AW91" i="88"/>
  <c r="AV92"/>
  <c r="AW91" i="90"/>
  <c r="AV92"/>
  <c r="AW91" i="92"/>
  <c r="AV92"/>
  <c r="AV92" i="100"/>
  <c r="AW91"/>
  <c r="AV92" i="103"/>
  <c r="AW91"/>
  <c r="AW91" i="105"/>
  <c r="AV92"/>
  <c r="AV92" i="108"/>
  <c r="AW91"/>
  <c r="AW90" i="56"/>
  <c r="AV89"/>
  <c r="AX92"/>
  <c r="AX91"/>
  <c r="AX92" i="58"/>
  <c r="AX91"/>
  <c r="AV89"/>
  <c r="AW90"/>
  <c r="AW90" i="60"/>
  <c r="AV89"/>
  <c r="AX92"/>
  <c r="AX91"/>
  <c r="AX92" i="64"/>
  <c r="AV89"/>
  <c r="AW90"/>
  <c r="AX91"/>
  <c r="AX92" i="66"/>
  <c r="AX91"/>
  <c r="AV89"/>
  <c r="AW90"/>
  <c r="AW90" i="73"/>
  <c r="AV89"/>
  <c r="AX91"/>
  <c r="AX92"/>
  <c r="AX91" i="61"/>
  <c r="AV89"/>
  <c r="AX92"/>
  <c r="AW90"/>
  <c r="AX91" i="68"/>
  <c r="AW90"/>
  <c r="AX92"/>
  <c r="AV89"/>
  <c r="AX92" i="70"/>
  <c r="AV89"/>
  <c r="AW90"/>
  <c r="AX91"/>
  <c r="AX92" i="72"/>
  <c r="AV89"/>
  <c r="AX91"/>
  <c r="AW90"/>
  <c r="AX91" i="79"/>
  <c r="AX92"/>
  <c r="AV89"/>
  <c r="AW90"/>
  <c r="AW90" i="82"/>
  <c r="AX91"/>
  <c r="AX92"/>
  <c r="AV89"/>
  <c r="AX91" i="84"/>
  <c r="AW90"/>
  <c r="AX92"/>
  <c r="AV89"/>
  <c r="AV89" i="95"/>
  <c r="AX92"/>
  <c r="AX91"/>
  <c r="AW90"/>
  <c r="AW90" i="97"/>
  <c r="AX91"/>
  <c r="AV89"/>
  <c r="AX92"/>
  <c r="AW90" i="101"/>
  <c r="AX91"/>
  <c r="AX92"/>
  <c r="AV89"/>
  <c r="AX92" i="109"/>
  <c r="AW90"/>
  <c r="AX91"/>
  <c r="AV89"/>
  <c r="AW90" i="76"/>
  <c r="AX92"/>
  <c r="AV89"/>
  <c r="AX91"/>
  <c r="AW90" i="78"/>
  <c r="AX91"/>
  <c r="AX92"/>
  <c r="AV89"/>
  <c r="AX91" i="85"/>
  <c r="AV89"/>
  <c r="AX92"/>
  <c r="AW90"/>
  <c r="AX91" i="87"/>
  <c r="AV89"/>
  <c r="AW90"/>
  <c r="AX92"/>
  <c r="AX91" i="89"/>
  <c r="AX92"/>
  <c r="AV89"/>
  <c r="AW90"/>
  <c r="AV89" i="91"/>
  <c r="AX91"/>
  <c r="AX92"/>
  <c r="AW90"/>
  <c r="AW90" i="94"/>
  <c r="AX91"/>
  <c r="AX92"/>
  <c r="AV89"/>
  <c r="AX92" i="100"/>
  <c r="AX91"/>
  <c r="AW90"/>
  <c r="AV89"/>
  <c r="AX91" i="103"/>
  <c r="AV89"/>
  <c r="AX92"/>
  <c r="AW90"/>
  <c r="AV89" i="105"/>
  <c r="AX91"/>
  <c r="AW90"/>
  <c r="AX92"/>
  <c r="AX91" i="108"/>
  <c r="AX92"/>
  <c r="AW90"/>
  <c r="AV89"/>
  <c r="AU92" i="8"/>
  <c r="AP92" s="1"/>
  <c r="AU90" i="55"/>
  <c r="AP90" s="1"/>
  <c r="AU91" i="48"/>
  <c r="AP91" s="1"/>
  <c r="AU90" i="46"/>
  <c r="AP90" s="1"/>
  <c r="AU91" i="42"/>
  <c r="AP91" s="1"/>
  <c r="AU92" i="41"/>
  <c r="AP92" s="1"/>
  <c r="AU92" i="40"/>
  <c r="AP92" s="1"/>
  <c r="AV91" i="49"/>
  <c r="AX89" i="21"/>
  <c r="AU89" s="1"/>
  <c r="AX90" i="8"/>
  <c r="AU90" s="1"/>
  <c r="AX90" i="7"/>
  <c r="AU90" s="1"/>
  <c r="AP90" s="1"/>
  <c r="AX89" i="5"/>
  <c r="AU89" s="1"/>
  <c r="AP89" s="1"/>
  <c r="AX92" i="55"/>
  <c r="AW91" i="46"/>
  <c r="AU91" s="1"/>
  <c r="AP91" s="1"/>
  <c r="AW91" i="40"/>
  <c r="AX91" i="30"/>
  <c r="AX90"/>
  <c r="AX92" i="28"/>
  <c r="AU92" s="1"/>
  <c r="AP92" s="1"/>
  <c r="AX89"/>
  <c r="AU89" s="1"/>
  <c r="AX92" i="25"/>
  <c r="AU92" s="1"/>
  <c r="AX92" i="20"/>
  <c r="AU92" s="1"/>
  <c r="AP92" s="1"/>
  <c r="AX90"/>
  <c r="AU90" s="1"/>
  <c r="AP90" s="1"/>
  <c r="AX91" i="8"/>
  <c r="AU91" s="1"/>
  <c r="AP91" s="1"/>
  <c r="AX91" i="5"/>
  <c r="AU91" s="1"/>
  <c r="AX90" i="44"/>
  <c r="AX89"/>
  <c r="AU89" s="1"/>
  <c r="AW92" i="56"/>
  <c r="AX89"/>
  <c r="AX90"/>
  <c r="AV91"/>
  <c r="AX89" i="58"/>
  <c r="AX90"/>
  <c r="AV91"/>
  <c r="AW92"/>
  <c r="AW92" i="60"/>
  <c r="AX89"/>
  <c r="AX90"/>
  <c r="AV91"/>
  <c r="AW92" i="64"/>
  <c r="AX90"/>
  <c r="AX89"/>
  <c r="AV91"/>
  <c r="AX90" i="66"/>
  <c r="AX89"/>
  <c r="AV91"/>
  <c r="AW92"/>
  <c r="AW92" i="73"/>
  <c r="AX89"/>
  <c r="AX90"/>
  <c r="AV91"/>
  <c r="AX90" i="61"/>
  <c r="AX89"/>
  <c r="AV91"/>
  <c r="AW92"/>
  <c r="AW92" i="68"/>
  <c r="AX89"/>
  <c r="AX90"/>
  <c r="AV91"/>
  <c r="AX89" i="70"/>
  <c r="AX90"/>
  <c r="AV91"/>
  <c r="AW92"/>
  <c r="AX90" i="72"/>
  <c r="AX89"/>
  <c r="AV91"/>
  <c r="AW92"/>
  <c r="AV91" i="79"/>
  <c r="AX90"/>
  <c r="AX89"/>
  <c r="AW92"/>
  <c r="AW92" i="82"/>
  <c r="AX90"/>
  <c r="AX89"/>
  <c r="AV91"/>
  <c r="AW92" i="84"/>
  <c r="AX90"/>
  <c r="AX89"/>
  <c r="AV91"/>
  <c r="AX90" i="95"/>
  <c r="AX89"/>
  <c r="AV91"/>
  <c r="AW92"/>
  <c r="AW92" i="97"/>
  <c r="AV91"/>
  <c r="AX89"/>
  <c r="AX90"/>
  <c r="AW92" i="101"/>
  <c r="AX89"/>
  <c r="AX90"/>
  <c r="AV91"/>
  <c r="AX90" i="109"/>
  <c r="AX89"/>
  <c r="AV91"/>
  <c r="AW92"/>
  <c r="AV91" i="76"/>
  <c r="AX90"/>
  <c r="AW92"/>
  <c r="AX89"/>
  <c r="AV91" i="78"/>
  <c r="AX90"/>
  <c r="AW92"/>
  <c r="AX89"/>
  <c r="AX90" i="85"/>
  <c r="AX89"/>
  <c r="AV91"/>
  <c r="AW92"/>
  <c r="AX89" i="87"/>
  <c r="AX90"/>
  <c r="AW92"/>
  <c r="AV91"/>
  <c r="AX90" i="89"/>
  <c r="AX89"/>
  <c r="AV91"/>
  <c r="AW92"/>
  <c r="AX89" i="91"/>
  <c r="AX90"/>
  <c r="AV91"/>
  <c r="AW92"/>
  <c r="AX89" i="94"/>
  <c r="AW92"/>
  <c r="AX90"/>
  <c r="AV91"/>
  <c r="AX90" i="100"/>
  <c r="AX89"/>
  <c r="AW92"/>
  <c r="AV91"/>
  <c r="AX89" i="103"/>
  <c r="AV91"/>
  <c r="AX90"/>
  <c r="AW92"/>
  <c r="AX89" i="105"/>
  <c r="AW92"/>
  <c r="AV91"/>
  <c r="AX90"/>
  <c r="AW92" i="108"/>
  <c r="AX90"/>
  <c r="AX89"/>
  <c r="AV91"/>
  <c r="AW89" i="57"/>
  <c r="AV90"/>
  <c r="AV90" i="59"/>
  <c r="AW89"/>
  <c r="AW89" i="62"/>
  <c r="AV90"/>
  <c r="AW89" i="65"/>
  <c r="AV90"/>
  <c r="AV90" i="67"/>
  <c r="AW89"/>
  <c r="AW89" i="74"/>
  <c r="AV90"/>
  <c r="AW89" i="63"/>
  <c r="AV90"/>
  <c r="AV90" i="69"/>
  <c r="AW89"/>
  <c r="AW89" i="71"/>
  <c r="AV90"/>
  <c r="AV90" i="75"/>
  <c r="AW89"/>
  <c r="AV90" i="79"/>
  <c r="AW89"/>
  <c r="AW89" i="81"/>
  <c r="AV90"/>
  <c r="AW89" i="83"/>
  <c r="AV90"/>
  <c r="AV90" i="93"/>
  <c r="AW89"/>
  <c r="AV90" i="95"/>
  <c r="AW89"/>
  <c r="AW89" i="97"/>
  <c r="AV90"/>
  <c r="AV90" i="101"/>
  <c r="AU90" s="1"/>
  <c r="AP90" s="1"/>
  <c r="AW89"/>
  <c r="AV90" i="109"/>
  <c r="AW89"/>
  <c r="AW89" i="77"/>
  <c r="AV90"/>
  <c r="AV90" i="86"/>
  <c r="AW89"/>
  <c r="AV90" i="88"/>
  <c r="AW89"/>
  <c r="AW89" i="90"/>
  <c r="AV90"/>
  <c r="AW89" i="92"/>
  <c r="AV90"/>
  <c r="AV90" i="100"/>
  <c r="AU90" s="1"/>
  <c r="AP90" s="1"/>
  <c r="AW89"/>
  <c r="AV90" i="103"/>
  <c r="AW89"/>
  <c r="AW89" i="105"/>
  <c r="AV90"/>
  <c r="AW89" i="108"/>
  <c r="AV90"/>
  <c r="AV92" i="56"/>
  <c r="AU92" s="1"/>
  <c r="AP92" s="1"/>
  <c r="AW91"/>
  <c r="AW91" i="58"/>
  <c r="AV92"/>
  <c r="AV92" i="60"/>
  <c r="AU92" s="1"/>
  <c r="AP92" s="1"/>
  <c r="AW91"/>
  <c r="AV92" i="64"/>
  <c r="AW91"/>
  <c r="AW91" i="66"/>
  <c r="AV92"/>
  <c r="AW91" i="73"/>
  <c r="AV92"/>
  <c r="AV92" i="61"/>
  <c r="AW91"/>
  <c r="AV92" i="68"/>
  <c r="AU92" s="1"/>
  <c r="AP92" s="1"/>
  <c r="AW91"/>
  <c r="AW91" i="70"/>
  <c r="AV92"/>
  <c r="AW91" i="72"/>
  <c r="AU91" s="1"/>
  <c r="AP91" s="1"/>
  <c r="AV92"/>
  <c r="AW91" i="78"/>
  <c r="AV92"/>
  <c r="AW91" i="80"/>
  <c r="AV92"/>
  <c r="AW91" i="82"/>
  <c r="AV92"/>
  <c r="AW91" i="84"/>
  <c r="AV92"/>
  <c r="AW91" i="94"/>
  <c r="AV92"/>
  <c r="AW91" i="96"/>
  <c r="AV92"/>
  <c r="AW91" i="99"/>
  <c r="AV92"/>
  <c r="AV92" i="106"/>
  <c r="AW91"/>
  <c r="AV92" i="76"/>
  <c r="AW91"/>
  <c r="AW91" i="85"/>
  <c r="AV92"/>
  <c r="AV92" i="87"/>
  <c r="AW91"/>
  <c r="AV92" i="89"/>
  <c r="AW91"/>
  <c r="AW91" i="91"/>
  <c r="AV92"/>
  <c r="AW91" i="98"/>
  <c r="AV92"/>
  <c r="AV92" i="102"/>
  <c r="AW91"/>
  <c r="AV92" i="104"/>
  <c r="AW91"/>
  <c r="AW91" i="107"/>
  <c r="AV92"/>
  <c r="AV92" i="110"/>
  <c r="AW91"/>
  <c r="AW90" i="57"/>
  <c r="AX91"/>
  <c r="AV89"/>
  <c r="AX92"/>
  <c r="AW90" i="59"/>
  <c r="AV89"/>
  <c r="AX92"/>
  <c r="AX91"/>
  <c r="AW90" i="62"/>
  <c r="AX91"/>
  <c r="AX92"/>
  <c r="AV89"/>
  <c r="AV89" i="65"/>
  <c r="AW90"/>
  <c r="AX91"/>
  <c r="AX92"/>
  <c r="AX91" i="67"/>
  <c r="AW90"/>
  <c r="AX92"/>
  <c r="AV89"/>
  <c r="AW90" i="74"/>
  <c r="AX92"/>
  <c r="AV89"/>
  <c r="AU89" s="1"/>
  <c r="AX91"/>
  <c r="AX92" i="63"/>
  <c r="AV89"/>
  <c r="AX91"/>
  <c r="AW90"/>
  <c r="AX92" i="69"/>
  <c r="AX91"/>
  <c r="AW90"/>
  <c r="AV89"/>
  <c r="AW90" i="71"/>
  <c r="AV89"/>
  <c r="AX92"/>
  <c r="AX91"/>
  <c r="AX91" i="75"/>
  <c r="AW90"/>
  <c r="AX92"/>
  <c r="AV89"/>
  <c r="AX91" i="81"/>
  <c r="AV89"/>
  <c r="AX92"/>
  <c r="AW90"/>
  <c r="AV89" i="83"/>
  <c r="AX91"/>
  <c r="AW90"/>
  <c r="AX92"/>
  <c r="AX91" i="93"/>
  <c r="AX92"/>
  <c r="AV89"/>
  <c r="AW90"/>
  <c r="AV89" i="96"/>
  <c r="AX92"/>
  <c r="AX91"/>
  <c r="AW90"/>
  <c r="AV89" i="99"/>
  <c r="AX91"/>
  <c r="AW90"/>
  <c r="AX92"/>
  <c r="AX91" i="106"/>
  <c r="AV89"/>
  <c r="AX92"/>
  <c r="AW90"/>
  <c r="AV89" i="110"/>
  <c r="AX92"/>
  <c r="AX91"/>
  <c r="AW90"/>
  <c r="AX91" i="77"/>
  <c r="AX92"/>
  <c r="AV89"/>
  <c r="AW90"/>
  <c r="AX92" i="80"/>
  <c r="AX91"/>
  <c r="AV89"/>
  <c r="AW90"/>
  <c r="AX92" i="86"/>
  <c r="AW90"/>
  <c r="AX91"/>
  <c r="AV89"/>
  <c r="AX91" i="88"/>
  <c r="AW90"/>
  <c r="AX92"/>
  <c r="AV89"/>
  <c r="AX91" i="90"/>
  <c r="AW90"/>
  <c r="AX92"/>
  <c r="AV89"/>
  <c r="AW90" i="92"/>
  <c r="AX91"/>
  <c r="AX92"/>
  <c r="AV89"/>
  <c r="AV89" i="98"/>
  <c r="AW90"/>
  <c r="AX92"/>
  <c r="AX91"/>
  <c r="AX91" i="102"/>
  <c r="AX92"/>
  <c r="AV89"/>
  <c r="AU89" s="1"/>
  <c r="AW90"/>
  <c r="AX92" i="104"/>
  <c r="AV89"/>
  <c r="AW90"/>
  <c r="AU90" s="1"/>
  <c r="AP90" s="1"/>
  <c r="AX91"/>
  <c r="AV89" i="107"/>
  <c r="AX92"/>
  <c r="AX91"/>
  <c r="AW90"/>
  <c r="AU92" i="5"/>
  <c r="AP92" s="1"/>
  <c r="AU90"/>
  <c r="AP90" s="1"/>
  <c r="AU92" i="7"/>
  <c r="AP92" s="1"/>
  <c r="AU92" i="21"/>
  <c r="AP92" s="1"/>
  <c r="AU92" i="27"/>
  <c r="AP92" s="1"/>
  <c r="AU91" i="32"/>
  <c r="AP91" s="1"/>
  <c r="AU89"/>
  <c r="AP89" s="1"/>
  <c r="AU90" i="31"/>
  <c r="AP90" s="1"/>
  <c r="AU91" i="47"/>
  <c r="AP91" s="1"/>
  <c r="AU90" i="34"/>
  <c r="AP90" s="1"/>
  <c r="AX91" i="21"/>
  <c r="AX91" i="7"/>
  <c r="AU91" s="1"/>
  <c r="AF40" i="3"/>
  <c r="Y40" s="1"/>
  <c r="AF40" i="29"/>
  <c r="Y40" s="1"/>
  <c r="AF40" i="51"/>
  <c r="Y40" s="1"/>
  <c r="AF40" i="4"/>
  <c r="Y40" s="1"/>
  <c r="AF40" i="5"/>
  <c r="Y40" s="1"/>
  <c r="AF40" i="21"/>
  <c r="Y40" s="1"/>
  <c r="AF40" i="52"/>
  <c r="Y40" s="1"/>
  <c r="AF40" i="39"/>
  <c r="Y40" s="1"/>
  <c r="AF41" i="7"/>
  <c r="Y41" s="1"/>
  <c r="AF41" i="53"/>
  <c r="Y41" s="1"/>
  <c r="AF41" i="51"/>
  <c r="Y41" s="1"/>
  <c r="AF39" i="4"/>
  <c r="Y39" s="1"/>
  <c r="AF39" i="6"/>
  <c r="Y39" s="1"/>
  <c r="AF39" i="8"/>
  <c r="Y39" s="1"/>
  <c r="AF39" i="20"/>
  <c r="Y39" s="1"/>
  <c r="AF39" i="37"/>
  <c r="Y39" s="1"/>
  <c r="AF39" i="51"/>
  <c r="Y39" s="1"/>
  <c r="AF39" i="39"/>
  <c r="Y39" s="1"/>
  <c r="AF38" i="4"/>
  <c r="Y38" s="1"/>
  <c r="AF38" i="21"/>
  <c r="Y38" s="1"/>
  <c r="AF38" i="37"/>
  <c r="Y38" s="1"/>
  <c r="AF38" i="30"/>
  <c r="Y38" s="1"/>
  <c r="AF38" i="25"/>
  <c r="Y38" s="1"/>
  <c r="AF38" i="51"/>
  <c r="Y38" s="1"/>
  <c r="AI37" i="4"/>
  <c r="AF37"/>
  <c r="Y37" s="1"/>
  <c r="AF37" i="27"/>
  <c r="Y37" s="1"/>
  <c r="AF37" i="49"/>
  <c r="Y37" s="1"/>
  <c r="AF37" i="31"/>
  <c r="Y37" s="1"/>
  <c r="AI36" i="3"/>
  <c r="AF36"/>
  <c r="Y36" s="1"/>
  <c r="AF36" i="7"/>
  <c r="Y36" s="1"/>
  <c r="AF36" i="37"/>
  <c r="Y36" s="1"/>
  <c r="AI36" i="6"/>
  <c r="AF36" s="1"/>
  <c r="Y36" s="1"/>
  <c r="AI36" i="8"/>
  <c r="AF36" s="1"/>
  <c r="AI36" i="20"/>
  <c r="AF36" s="1"/>
  <c r="Y36" s="1"/>
  <c r="AI36" i="55"/>
  <c r="AF36" s="1"/>
  <c r="Y36" s="1"/>
  <c r="AI36" i="51"/>
  <c r="AF36" s="1"/>
  <c r="AF35" i="37"/>
  <c r="Y35" s="1"/>
  <c r="AF35" i="55"/>
  <c r="Y35" s="1"/>
  <c r="AF35" i="52"/>
  <c r="Y35" s="1"/>
  <c r="AF35" i="51"/>
  <c r="Y35" s="1"/>
  <c r="AF34" i="6"/>
  <c r="Y34" s="1"/>
  <c r="AF34" i="8"/>
  <c r="Y34" s="1"/>
  <c r="AF34" i="20"/>
  <c r="Y34" s="1"/>
  <c r="AF34" i="37"/>
  <c r="Y34" s="1"/>
  <c r="AF34" i="30"/>
  <c r="Y34" s="1"/>
  <c r="AF34" i="51"/>
  <c r="Y34" s="1"/>
  <c r="AF34" i="39"/>
  <c r="Y34" s="1"/>
  <c r="AF33" i="20"/>
  <c r="Y33" s="1"/>
  <c r="AF33" i="55"/>
  <c r="Y33" s="1"/>
  <c r="AF33" i="51"/>
  <c r="Y33" s="1"/>
  <c r="AF33" i="38"/>
  <c r="Y33" s="1"/>
  <c r="AF33" i="8"/>
  <c r="Y33" s="1"/>
  <c r="AF33" i="53"/>
  <c r="Y33" s="1"/>
  <c r="AI33" i="40"/>
  <c r="AF33" s="1"/>
  <c r="Y33" s="1"/>
  <c r="AI33" i="39"/>
  <c r="AF33" s="1"/>
  <c r="AF32" i="6"/>
  <c r="Y32" s="1"/>
  <c r="AF32" i="20"/>
  <c r="Y32" s="1"/>
  <c r="AF32" i="25"/>
  <c r="Y32" s="1"/>
  <c r="AF32" i="37"/>
  <c r="Y32" s="1"/>
  <c r="AF32" i="35"/>
  <c r="Y32" s="1"/>
  <c r="AF32" i="30"/>
  <c r="Y32" s="1"/>
  <c r="AF32" i="51"/>
  <c r="Y32" s="1"/>
  <c r="AF32" i="40"/>
  <c r="Y32" s="1"/>
  <c r="AF32" i="38"/>
  <c r="Y32" s="1"/>
  <c r="AF31" i="31"/>
  <c r="Y31" s="1"/>
  <c r="AI31" i="4"/>
  <c r="AF31"/>
  <c r="Y31" s="1"/>
  <c r="AF31" i="49"/>
  <c r="Y31" s="1"/>
  <c r="AF30" i="38"/>
  <c r="Y30" s="1"/>
  <c r="AI30" i="4"/>
  <c r="AF30"/>
  <c r="Y30" s="1"/>
  <c r="AF30" i="36"/>
  <c r="Y30" s="1"/>
  <c r="AF30" i="35"/>
  <c r="Y30" s="1"/>
  <c r="AF30" i="52"/>
  <c r="Y30" s="1"/>
  <c r="AF30" i="51"/>
  <c r="Y30" s="1"/>
  <c r="AI30" i="55"/>
  <c r="AF30" s="1"/>
  <c r="Y30" s="1"/>
  <c r="AI30" i="53"/>
  <c r="AF30" s="1"/>
  <c r="Y30" s="1"/>
  <c r="AF29" i="7"/>
  <c r="Y29" s="1"/>
  <c r="AF29" i="51"/>
  <c r="Y29" s="1"/>
  <c r="AF29" i="40"/>
  <c r="Y29" s="1"/>
  <c r="AF29" i="4"/>
  <c r="Y29" s="1"/>
  <c r="AF29" i="6"/>
  <c r="Y29" s="1"/>
  <c r="AF29" i="37"/>
  <c r="Y29" s="1"/>
  <c r="AF29" i="55"/>
  <c r="Y29" s="1"/>
  <c r="AI28" i="4"/>
  <c r="AF28"/>
  <c r="Y28" s="1"/>
  <c r="AF28" i="35"/>
  <c r="Y28" s="1"/>
  <c r="AF28" i="30"/>
  <c r="Y28" s="1"/>
  <c r="AF28" i="55"/>
  <c r="Y28" s="1"/>
  <c r="AF28" i="53"/>
  <c r="Y28" s="1"/>
  <c r="AF28" i="36"/>
  <c r="Y28" s="1"/>
  <c r="AF28" i="51"/>
  <c r="Y28" s="1"/>
  <c r="AF27" i="34"/>
  <c r="Y27" s="1"/>
  <c r="AF27" i="54"/>
  <c r="Y27" s="1"/>
  <c r="AF27" i="4"/>
  <c r="Y27" s="1"/>
  <c r="AF26"/>
  <c r="Y26" s="1"/>
  <c r="AF26" i="37"/>
  <c r="Y26" s="1"/>
  <c r="AF26" i="51"/>
  <c r="Y26" s="1"/>
  <c r="AF26" i="53"/>
  <c r="Y26" s="1"/>
  <c r="AF25" i="27"/>
  <c r="Y25" s="1"/>
  <c r="AF25" i="33"/>
  <c r="Y25" s="1"/>
  <c r="AF25" i="31"/>
  <c r="Y25" s="1"/>
  <c r="AF25" i="49"/>
  <c r="Y25" s="1"/>
  <c r="AI25" i="4"/>
  <c r="AF25"/>
  <c r="Y25" s="1"/>
  <c r="AF25" i="28"/>
  <c r="Y25" s="1"/>
  <c r="BA69" i="19"/>
  <c r="BB69" s="1"/>
  <c r="S3" s="1"/>
  <c r="H82" i="22" s="1"/>
  <c r="AF24" i="25"/>
  <c r="Y24" s="1"/>
  <c r="AF24" i="36"/>
  <c r="Y24" s="1"/>
  <c r="AF24" i="29"/>
  <c r="Y24" s="1"/>
  <c r="AF24" i="51"/>
  <c r="Y24" s="1"/>
  <c r="AF24" i="55"/>
  <c r="Y24" s="1"/>
  <c r="AF24" i="53"/>
  <c r="Y24" s="1"/>
  <c r="AF23" i="52"/>
  <c r="Y23" s="1"/>
  <c r="AF23" i="51"/>
  <c r="Y23" s="1"/>
  <c r="AF23" i="38"/>
  <c r="Y23" s="1"/>
  <c r="AF22" i="7"/>
  <c r="Y22" s="1"/>
  <c r="AF22" i="25"/>
  <c r="Y22" s="1"/>
  <c r="AF22" i="52"/>
  <c r="Y22" s="1"/>
  <c r="AF22" i="39"/>
  <c r="Y22" s="1"/>
  <c r="AF21" i="25"/>
  <c r="Y21" s="1"/>
  <c r="AF21" i="36"/>
  <c r="Y21" s="1"/>
  <c r="AI21" i="53"/>
  <c r="AF21" s="1"/>
  <c r="Y21" s="1"/>
  <c r="AI21" i="52"/>
  <c r="AF21" s="1"/>
  <c r="Y21" s="1"/>
  <c r="AF20" i="30"/>
  <c r="Y20" s="1"/>
  <c r="AF20" i="38"/>
  <c r="Y20" s="1"/>
  <c r="AF19" i="29"/>
  <c r="Y19" s="1"/>
  <c r="AF19" i="46"/>
  <c r="Y19" s="1"/>
  <c r="AF19" i="44"/>
  <c r="Y19" s="1"/>
  <c r="AF19" i="26"/>
  <c r="Y19" s="1"/>
  <c r="AF19" i="48"/>
  <c r="Y19" s="1"/>
  <c r="AF19" i="45"/>
  <c r="Y19" s="1"/>
  <c r="AF19" i="43"/>
  <c r="Y19" s="1"/>
  <c r="AF18" i="29"/>
  <c r="Y18" s="1"/>
  <c r="AI18" i="36"/>
  <c r="AF18" s="1"/>
  <c r="Y18" s="1"/>
  <c r="AF17" i="4"/>
  <c r="Y17" s="1"/>
  <c r="AF17" i="36"/>
  <c r="Y17" s="1"/>
  <c r="AF17" i="30"/>
  <c r="Y17" s="1"/>
  <c r="AF17" i="53"/>
  <c r="Y17" s="1"/>
  <c r="AF17" i="51"/>
  <c r="Y17" s="1"/>
  <c r="AF17" i="39"/>
  <c r="Y17" s="1"/>
  <c r="AF16" i="36"/>
  <c r="Y16" s="1"/>
  <c r="AF15"/>
  <c r="Y15" s="1"/>
  <c r="AF14" i="29"/>
  <c r="Y14" s="1"/>
  <c r="AF13" i="6"/>
  <c r="Y13" s="1"/>
  <c r="AF13" i="8"/>
  <c r="Y13" s="1"/>
  <c r="AF13" i="27"/>
  <c r="Y13" s="1"/>
  <c r="AF13" i="33"/>
  <c r="Y13" s="1"/>
  <c r="AF13" i="32"/>
  <c r="Y13" s="1"/>
  <c r="AF13" i="55"/>
  <c r="Y13" s="1"/>
  <c r="AF13" i="49"/>
  <c r="Y13" s="1"/>
  <c r="AI13" i="37"/>
  <c r="AF13" s="1"/>
  <c r="Y13" s="1"/>
  <c r="AF12" i="36"/>
  <c r="Y12" s="1"/>
  <c r="AF11"/>
  <c r="Y11" s="1"/>
  <c r="AF11" i="51"/>
  <c r="Y11" s="1"/>
  <c r="AU92" i="44"/>
  <c r="AP92" s="1"/>
  <c r="AW90" i="4"/>
  <c r="AF8"/>
  <c r="Y8" s="1"/>
  <c r="AF10" i="3"/>
  <c r="Y10" s="1"/>
  <c r="AF9"/>
  <c r="Y9" s="1"/>
  <c r="AF9" i="5"/>
  <c r="Y9" s="1"/>
  <c r="AF10" i="6"/>
  <c r="Y10" s="1"/>
  <c r="AF8"/>
  <c r="AF9" i="7"/>
  <c r="Y9" s="1"/>
  <c r="AF8"/>
  <c r="AF10" i="19"/>
  <c r="Y10" s="1"/>
  <c r="AF9" i="20"/>
  <c r="Y9" s="1"/>
  <c r="AU92" i="33"/>
  <c r="AP92" s="1"/>
  <c r="AF9" i="54"/>
  <c r="Y9" s="1"/>
  <c r="AF9" i="53"/>
  <c r="Y9" s="1"/>
  <c r="BA69" i="21"/>
  <c r="BB69" s="1"/>
  <c r="S3" s="1"/>
  <c r="H60" i="22" s="1"/>
  <c r="AU89" i="34"/>
  <c r="AP89" s="1"/>
  <c r="AF9" i="39"/>
  <c r="Y9" s="1"/>
  <c r="AF9" i="38"/>
  <c r="Y9" s="1"/>
  <c r="BA69" i="52"/>
  <c r="BB69" s="1"/>
  <c r="S3" s="1"/>
  <c r="H59" i="22" s="1"/>
  <c r="BA69" i="46"/>
  <c r="BB69" s="1"/>
  <c r="S3" s="1"/>
  <c r="H79" i="22" s="1"/>
  <c r="BA69" i="38"/>
  <c r="BB69" s="1"/>
  <c r="S3" s="1"/>
  <c r="H8" i="22" s="1"/>
  <c r="BA69" i="49"/>
  <c r="BB69" s="1"/>
  <c r="S3" s="1"/>
  <c r="H20" i="22" s="1"/>
  <c r="BA69" i="45"/>
  <c r="BB69" s="1"/>
  <c r="S3" s="1"/>
  <c r="H47" i="22" s="1"/>
  <c r="BA69" i="43"/>
  <c r="BB69" s="1"/>
  <c r="S3" s="1"/>
  <c r="H41" i="22" s="1"/>
  <c r="BA69" i="41"/>
  <c r="BB69" s="1"/>
  <c r="S3" s="1"/>
  <c r="H40" i="22" s="1"/>
  <c r="BA69" i="20"/>
  <c r="BB69" s="1"/>
  <c r="BA69" i="8"/>
  <c r="BB69" s="1"/>
  <c r="S3" s="1"/>
  <c r="H91" i="22" s="1"/>
  <c r="BA69" i="29"/>
  <c r="BB69" s="1"/>
  <c r="S3" s="1"/>
  <c r="H93" i="22" s="1"/>
  <c r="BA69" i="25"/>
  <c r="BB69" s="1"/>
  <c r="S3" s="1"/>
  <c r="H35" i="22" s="1"/>
  <c r="BA69" i="6"/>
  <c r="BB69" s="1"/>
  <c r="S3" s="1"/>
  <c r="H36" i="22" s="1"/>
  <c r="AF10" i="4"/>
  <c r="Y10" s="1"/>
  <c r="AF10" i="5"/>
  <c r="Y10" s="1"/>
  <c r="AF8"/>
  <c r="AF10" i="7"/>
  <c r="Y10" s="1"/>
  <c r="AF10" i="8"/>
  <c r="Y10" s="1"/>
  <c r="S3" i="20"/>
  <c r="H4" i="22" s="1"/>
  <c r="AF10" i="21"/>
  <c r="Y10" s="1"/>
  <c r="S3" i="33"/>
  <c r="H89" i="22" s="1"/>
  <c r="BA69" i="54"/>
  <c r="BB69" s="1"/>
  <c r="S3" s="1"/>
  <c r="H46" i="22" s="1"/>
  <c r="BA69" i="51"/>
  <c r="BB69" s="1"/>
  <c r="S3" s="1"/>
  <c r="H96" i="22" s="1"/>
  <c r="BA69" i="48"/>
  <c r="BB69" s="1"/>
  <c r="S3" s="1"/>
  <c r="H85" i="22" s="1"/>
  <c r="BA69" i="44"/>
  <c r="BB69" s="1"/>
  <c r="S3" s="1"/>
  <c r="H71" i="22" s="1"/>
  <c r="BA69" i="42"/>
  <c r="BB69" s="1"/>
  <c r="S3" s="1"/>
  <c r="H56" i="22" s="1"/>
  <c r="BA69" i="40"/>
  <c r="BB69" s="1"/>
  <c r="S3" s="1"/>
  <c r="H17" i="22" s="1"/>
  <c r="BA69" i="50"/>
  <c r="BB69" s="1"/>
  <c r="S3" s="1"/>
  <c r="H55" i="22" s="1"/>
  <c r="BA69" i="47"/>
  <c r="BB69" s="1"/>
  <c r="S3" s="1"/>
  <c r="H49" i="22" s="1"/>
  <c r="BA69" i="32"/>
  <c r="BB69" s="1"/>
  <c r="S3" s="1"/>
  <c r="H51" i="22" s="1"/>
  <c r="BA69" i="35"/>
  <c r="BB69" s="1"/>
  <c r="S3" s="1"/>
  <c r="H38" i="22" s="1"/>
  <c r="AF10" i="53"/>
  <c r="Y10" s="1"/>
  <c r="AF10" i="51"/>
  <c r="Y10" s="1"/>
  <c r="AF10" i="39"/>
  <c r="Y10" s="1"/>
  <c r="AF10" i="30"/>
  <c r="Y10" s="1"/>
  <c r="AF9" i="4"/>
  <c r="Y9" s="1"/>
  <c r="AF9" i="21"/>
  <c r="Y9" s="1"/>
  <c r="AF8" i="8"/>
  <c r="AF8" i="44"/>
  <c r="AF8" i="19"/>
  <c r="AF8" i="46"/>
  <c r="AF8" i="30"/>
  <c r="AF8" i="54"/>
  <c r="AF8" i="51"/>
  <c r="AI8" i="40"/>
  <c r="AF8" s="1"/>
  <c r="AU89"/>
  <c r="AP89" s="1"/>
  <c r="AW90" i="26"/>
  <c r="AX90"/>
  <c r="AV90"/>
  <c r="AW91"/>
  <c r="AV91"/>
  <c r="AX91"/>
  <c r="AW92"/>
  <c r="AV92"/>
  <c r="AX92"/>
  <c r="AW89"/>
  <c r="U3"/>
  <c r="AV89"/>
  <c r="AX89"/>
  <c r="AX91" i="37"/>
  <c r="AV91"/>
  <c r="AW91"/>
  <c r="AX89"/>
  <c r="AU89" s="1"/>
  <c r="AP89" s="1"/>
  <c r="U3"/>
  <c r="AV92"/>
  <c r="AU92" s="1"/>
  <c r="S3" i="39"/>
  <c r="H15" i="22" s="1"/>
  <c r="AU92" i="39"/>
  <c r="AP92" s="1"/>
  <c r="AU91"/>
  <c r="AP91" s="1"/>
  <c r="AU92" i="32"/>
  <c r="AP92" s="1"/>
  <c r="Y8" i="50"/>
  <c r="Y8" i="49"/>
  <c r="P3" s="1"/>
  <c r="T3"/>
  <c r="I20" i="22" s="1"/>
  <c r="Y8" i="48"/>
  <c r="P3" s="1"/>
  <c r="T3"/>
  <c r="I85" i="22" s="1"/>
  <c r="Y8" i="47"/>
  <c r="P3" s="1"/>
  <c r="T3"/>
  <c r="I49" i="22" s="1"/>
  <c r="AP89" i="46"/>
  <c r="Y8" i="45"/>
  <c r="P3" s="1"/>
  <c r="T3"/>
  <c r="I47" i="22" s="1"/>
  <c r="Y8" i="43"/>
  <c r="P3" s="1"/>
  <c r="T3"/>
  <c r="I41" i="22" s="1"/>
  <c r="Y8" i="40"/>
  <c r="T3"/>
  <c r="I17" i="22" s="1"/>
  <c r="Y8" i="38"/>
  <c r="P3" s="1"/>
  <c r="T3"/>
  <c r="I8" i="22" s="1"/>
  <c r="Y8" i="51"/>
  <c r="Y8" i="55"/>
  <c r="Y8" i="54"/>
  <c r="T3"/>
  <c r="I46" i="22" s="1"/>
  <c r="Y8" i="53"/>
  <c r="P3" s="1"/>
  <c r="T3"/>
  <c r="I72" i="22" s="1"/>
  <c r="Y8" i="52"/>
  <c r="P3" s="1"/>
  <c r="T3"/>
  <c r="I59" i="22" s="1"/>
  <c r="Y8" i="46"/>
  <c r="P3" s="1"/>
  <c r="T3"/>
  <c r="I79" i="22" s="1"/>
  <c r="Y8" i="44"/>
  <c r="P3" s="1"/>
  <c r="T3"/>
  <c r="I71" i="22" s="1"/>
  <c r="Y8" i="42"/>
  <c r="P3" s="1"/>
  <c r="T3"/>
  <c r="I56" i="22" s="1"/>
  <c r="Y8" i="41"/>
  <c r="P3" s="1"/>
  <c r="T3"/>
  <c r="I40" i="22" s="1"/>
  <c r="AP89" i="42"/>
  <c r="Y8" i="39"/>
  <c r="Y8" i="37"/>
  <c r="Y8" i="36"/>
  <c r="P3" s="1"/>
  <c r="T3"/>
  <c r="I50" i="22" s="1"/>
  <c r="Y8" i="34"/>
  <c r="P3" s="1"/>
  <c r="T3"/>
  <c r="I62" i="22" s="1"/>
  <c r="Y8" i="31"/>
  <c r="P3" s="1"/>
  <c r="T3"/>
  <c r="I26" i="22" s="1"/>
  <c r="AP89" i="35"/>
  <c r="Y8"/>
  <c r="P3" s="1"/>
  <c r="T3"/>
  <c r="I38" i="22" s="1"/>
  <c r="Y8" i="33"/>
  <c r="P3" s="1"/>
  <c r="T3"/>
  <c r="I89" i="22" s="1"/>
  <c r="Y8" i="32"/>
  <c r="P3" s="1"/>
  <c r="T3"/>
  <c r="I51" i="22" s="1"/>
  <c r="Y8" i="30"/>
  <c r="Y8" i="29"/>
  <c r="P3" s="1"/>
  <c r="T3"/>
  <c r="I93" i="22" s="1"/>
  <c r="S3" i="28"/>
  <c r="H73" i="22" s="1"/>
  <c r="AU91" i="28"/>
  <c r="AP91" s="1"/>
  <c r="Y8"/>
  <c r="P3" s="1"/>
  <c r="T3"/>
  <c r="I73" i="22" s="1"/>
  <c r="Y8" i="27"/>
  <c r="P3" s="1"/>
  <c r="T3"/>
  <c r="I45" i="22" s="1"/>
  <c r="Y8" i="26"/>
  <c r="P3" s="1"/>
  <c r="T3"/>
  <c r="I88" i="22" s="1"/>
  <c r="AP89" i="25"/>
  <c r="Y8"/>
  <c r="P3" s="1"/>
  <c r="T3"/>
  <c r="I35" i="22" s="1"/>
  <c r="AI8" i="21"/>
  <c r="AF8" s="1"/>
  <c r="Y8" s="1"/>
  <c r="AU91" i="6"/>
  <c r="AP91" s="1"/>
  <c r="S3" i="4"/>
  <c r="H68" i="22" s="1"/>
  <c r="Y8" i="20"/>
  <c r="Y8" i="19"/>
  <c r="P3" s="1"/>
  <c r="T3"/>
  <c r="I82" i="22" s="1"/>
  <c r="Y8" i="8"/>
  <c r="Y8" i="7"/>
  <c r="P3" s="1"/>
  <c r="T3"/>
  <c r="I11" i="22" s="1"/>
  <c r="Y8" i="6"/>
  <c r="P3" s="1"/>
  <c r="T3"/>
  <c r="I36" i="22" s="1"/>
  <c r="Y8" i="5"/>
  <c r="P3" s="1"/>
  <c r="T3"/>
  <c r="I23" i="22" s="1"/>
  <c r="AW89" i="3"/>
  <c r="AX89"/>
  <c r="Y44"/>
  <c r="P3" s="1"/>
  <c r="T3"/>
  <c r="I86" i="22" s="1"/>
  <c r="F68"/>
  <c r="AW92" i="4"/>
  <c r="AX89"/>
  <c r="AX90"/>
  <c r="AV91"/>
  <c r="AX90" i="3"/>
  <c r="AV91"/>
  <c r="AW92"/>
  <c r="AW89" i="4"/>
  <c r="AU89" s="1"/>
  <c r="AX92"/>
  <c r="AV90"/>
  <c r="AV92"/>
  <c r="AW91"/>
  <c r="AV90" i="3"/>
  <c r="AU90" s="1"/>
  <c r="AP90" s="1"/>
  <c r="AX91"/>
  <c r="AW91"/>
  <c r="AV92"/>
  <c r="AX91" i="4"/>
  <c r="AU90" i="51" l="1"/>
  <c r="AP90" s="1"/>
  <c r="AU89" i="88"/>
  <c r="AU90" i="77"/>
  <c r="AP90" s="1"/>
  <c r="AU90" i="63"/>
  <c r="AP90" s="1"/>
  <c r="AU91" i="30"/>
  <c r="AP91" s="1"/>
  <c r="AU91" i="49"/>
  <c r="AU89" i="55"/>
  <c r="AP89" s="1"/>
  <c r="AU92" i="6"/>
  <c r="AP92" s="1"/>
  <c r="AU90" i="96"/>
  <c r="AP90" s="1"/>
  <c r="AU92" i="83"/>
  <c r="AP92" s="1"/>
  <c r="AU91" i="69"/>
  <c r="AP91" s="1"/>
  <c r="AU92" i="65"/>
  <c r="AP92" s="1"/>
  <c r="AU91" i="87"/>
  <c r="AP91" s="1"/>
  <c r="AU92" i="85"/>
  <c r="AP92" s="1"/>
  <c r="AU92" i="94"/>
  <c r="AP92" s="1"/>
  <c r="AU90" i="108"/>
  <c r="AP90" s="1"/>
  <c r="AU92" i="103"/>
  <c r="AP92" s="1"/>
  <c r="AU90" i="87"/>
  <c r="AP90" s="1"/>
  <c r="AU89" i="76"/>
  <c r="AU92" i="109"/>
  <c r="AP92" s="1"/>
  <c r="AU90" i="29"/>
  <c r="AP90" s="1"/>
  <c r="AU92" i="31"/>
  <c r="AP92" s="1"/>
  <c r="AU90" i="53"/>
  <c r="AP90" s="1"/>
  <c r="AU91" i="20"/>
  <c r="AP91" s="1"/>
  <c r="R3" s="1"/>
  <c r="G4" i="22" s="1"/>
  <c r="AU91" i="50"/>
  <c r="AU89" i="48"/>
  <c r="AP89" s="1"/>
  <c r="AU91" i="53"/>
  <c r="AP91" s="1"/>
  <c r="AU89" i="19"/>
  <c r="AP89" s="1"/>
  <c r="R3" i="51"/>
  <c r="G96" i="22" s="1"/>
  <c r="AU92" i="46"/>
  <c r="AP92" s="1"/>
  <c r="R3" s="1"/>
  <c r="AU89" i="53"/>
  <c r="AP89" s="1"/>
  <c r="Y53" i="4"/>
  <c r="T3"/>
  <c r="I68" i="22" s="1"/>
  <c r="P3" i="4"/>
  <c r="E68" i="22" s="1"/>
  <c r="Y52" i="55"/>
  <c r="T3"/>
  <c r="I28" i="22" s="1"/>
  <c r="Y52" i="30"/>
  <c r="T3"/>
  <c r="I63" i="22" s="1"/>
  <c r="P3" i="55"/>
  <c r="E28" i="22" s="1"/>
  <c r="P3" i="21"/>
  <c r="E60" i="22" s="1"/>
  <c r="P3" i="30"/>
  <c r="AU91" i="45"/>
  <c r="AP91" s="1"/>
  <c r="R3" s="1"/>
  <c r="AU90" i="37"/>
  <c r="AP90" s="1"/>
  <c r="AU93" i="51"/>
  <c r="R3" i="34"/>
  <c r="G62" i="22" s="1"/>
  <c r="AU90" i="44"/>
  <c r="AP90" s="1"/>
  <c r="AU92" i="55"/>
  <c r="AP92" s="1"/>
  <c r="R3" s="1"/>
  <c r="AU91" i="27"/>
  <c r="AP91" s="1"/>
  <c r="AU92" i="43"/>
  <c r="AP92" s="1"/>
  <c r="Y50" i="50"/>
  <c r="P3" s="1"/>
  <c r="T3"/>
  <c r="I55" i="22" s="1"/>
  <c r="P3" i="37"/>
  <c r="E43" i="22" s="1"/>
  <c r="AU91" i="33"/>
  <c r="AP91" s="1"/>
  <c r="Y48" i="20"/>
  <c r="T3"/>
  <c r="I4" i="22" s="1"/>
  <c r="R3" i="48"/>
  <c r="G85" i="22" s="1"/>
  <c r="AP89" i="44"/>
  <c r="AP91" i="50"/>
  <c r="R3" s="1"/>
  <c r="G55" i="22" s="1"/>
  <c r="AU93" i="50"/>
  <c r="AP89" i="29"/>
  <c r="R3" s="1"/>
  <c r="G93" i="22" s="1"/>
  <c r="AU93" i="29"/>
  <c r="AP89" i="38"/>
  <c r="R3" s="1"/>
  <c r="G8" i="22" s="1"/>
  <c r="AU93" i="38"/>
  <c r="AP89" i="36"/>
  <c r="R3" s="1"/>
  <c r="G50" i="22" s="1"/>
  <c r="AU93" i="36"/>
  <c r="R3" i="53"/>
  <c r="G72" i="22" s="1"/>
  <c r="AU93" i="34"/>
  <c r="AU93" i="53"/>
  <c r="AU91" i="21"/>
  <c r="AP91" s="1"/>
  <c r="AU89" i="107"/>
  <c r="AP89" s="1"/>
  <c r="AU92" i="98"/>
  <c r="AP92" s="1"/>
  <c r="AU89"/>
  <c r="AP89" s="1"/>
  <c r="AU91" i="90"/>
  <c r="AP91" s="1"/>
  <c r="AU91" i="88"/>
  <c r="AP91" s="1"/>
  <c r="AU89" i="77"/>
  <c r="AP89" s="1"/>
  <c r="AU89" i="99"/>
  <c r="AP89" s="1"/>
  <c r="AU92" i="71"/>
  <c r="AP92" s="1"/>
  <c r="AU89" i="65"/>
  <c r="AP89" s="1"/>
  <c r="AU89" i="57"/>
  <c r="AP89" s="1"/>
  <c r="AU91" i="91"/>
  <c r="AP91" s="1"/>
  <c r="AU91" i="78"/>
  <c r="AP91" s="1"/>
  <c r="AU91" i="66"/>
  <c r="AP91" s="1"/>
  <c r="AU90" i="103"/>
  <c r="AP90" s="1"/>
  <c r="AU90" i="109"/>
  <c r="AP90" s="1"/>
  <c r="AU90" i="95"/>
  <c r="AP90" s="1"/>
  <c r="AU91" i="105"/>
  <c r="AP91" s="1"/>
  <c r="AU91" i="95"/>
  <c r="AP91" s="1"/>
  <c r="AU90" i="30"/>
  <c r="AP90" s="1"/>
  <c r="AU91" i="40"/>
  <c r="AU93" s="1"/>
  <c r="AU90" i="28"/>
  <c r="AP90" s="1"/>
  <c r="AU90" i="49"/>
  <c r="AP90" s="1"/>
  <c r="AU89" i="33"/>
  <c r="AP89" s="1"/>
  <c r="R3" s="1"/>
  <c r="G89" i="22" s="1"/>
  <c r="AU91" i="19"/>
  <c r="AP91" s="1"/>
  <c r="AU91" i="41"/>
  <c r="AP91" s="1"/>
  <c r="AU91" i="54"/>
  <c r="AP91" s="1"/>
  <c r="AU89" i="92"/>
  <c r="AU91"/>
  <c r="AP91" s="1"/>
  <c r="AU89" i="90"/>
  <c r="AP89" s="1"/>
  <c r="AU90" i="88"/>
  <c r="AP90" s="1"/>
  <c r="AU90" i="86"/>
  <c r="AP90" s="1"/>
  <c r="AU90" i="80"/>
  <c r="AP90" s="1"/>
  <c r="AU90" i="110"/>
  <c r="AP90" s="1"/>
  <c r="AU89" i="106"/>
  <c r="AP89" s="1"/>
  <c r="AU92" i="99"/>
  <c r="AP92" s="1"/>
  <c r="AU91"/>
  <c r="AP91" s="1"/>
  <c r="AU91" i="83"/>
  <c r="AP91" s="1"/>
  <c r="AU90" i="81"/>
  <c r="AP90" s="1"/>
  <c r="AU89" i="71"/>
  <c r="AP89" s="1"/>
  <c r="AU89" i="69"/>
  <c r="AU92" i="74"/>
  <c r="AP92" s="1"/>
  <c r="AU90" i="67"/>
  <c r="AP90" s="1"/>
  <c r="AU89" i="62"/>
  <c r="AP89" s="1"/>
  <c r="AU91"/>
  <c r="AP91" s="1"/>
  <c r="AU91" i="59"/>
  <c r="AP91" s="1"/>
  <c r="AU89"/>
  <c r="AP89" s="1"/>
  <c r="AU91" i="89"/>
  <c r="AP91" s="1"/>
  <c r="AU92" i="84"/>
  <c r="AP92" s="1"/>
  <c r="AU92" i="82"/>
  <c r="AP92" s="1"/>
  <c r="AU91" i="61"/>
  <c r="AP91" s="1"/>
  <c r="AU92" i="73"/>
  <c r="AP92" s="1"/>
  <c r="AU91" i="64"/>
  <c r="AP91" s="1"/>
  <c r="AU89" i="79"/>
  <c r="AP89" s="1"/>
  <c r="AU91" i="108"/>
  <c r="AP91" s="1"/>
  <c r="AU91" i="103"/>
  <c r="AP91" s="1"/>
  <c r="AU91" i="100"/>
  <c r="AP91" s="1"/>
  <c r="AU92" i="79"/>
  <c r="AP92" s="1"/>
  <c r="AU93" i="32"/>
  <c r="R3" i="43"/>
  <c r="G41" i="22" s="1"/>
  <c r="AP89" i="54"/>
  <c r="R3" i="32"/>
  <c r="G51" i="22" s="1"/>
  <c r="AU89" i="26"/>
  <c r="AP89" s="1"/>
  <c r="AP90" i="42"/>
  <c r="R3" s="1"/>
  <c r="AU93"/>
  <c r="AU93" i="47"/>
  <c r="AP89"/>
  <c r="R3" s="1"/>
  <c r="G49" i="22" s="1"/>
  <c r="AP89" i="41"/>
  <c r="AP92" i="35"/>
  <c r="R3" s="1"/>
  <c r="G38" i="22" s="1"/>
  <c r="AU93" i="35"/>
  <c r="AP89" i="27"/>
  <c r="AU93"/>
  <c r="AP92" i="19"/>
  <c r="AU93" i="52"/>
  <c r="AP89"/>
  <c r="R3" s="1"/>
  <c r="G59" i="22" s="1"/>
  <c r="AU91" i="31"/>
  <c r="AP92" i="25"/>
  <c r="AU93"/>
  <c r="AP90" i="8"/>
  <c r="R3" s="1"/>
  <c r="G91" i="22" s="1"/>
  <c r="AU93" i="8"/>
  <c r="R3" i="25"/>
  <c r="G35" i="22" s="1"/>
  <c r="AP91" i="7"/>
  <c r="R3" s="1"/>
  <c r="AU93"/>
  <c r="AP91" i="40"/>
  <c r="R3" s="1"/>
  <c r="G17" i="22" s="1"/>
  <c r="AU93" i="55"/>
  <c r="AP89" i="21"/>
  <c r="AP91" i="5"/>
  <c r="R3" s="1"/>
  <c r="G23" i="22" s="1"/>
  <c r="AU93" i="5"/>
  <c r="AP91" i="49"/>
  <c r="AP89" i="92"/>
  <c r="AP89" i="88"/>
  <c r="AP89" i="69"/>
  <c r="AP89" i="76"/>
  <c r="AU93" i="6"/>
  <c r="AU91" i="110"/>
  <c r="AP91" s="1"/>
  <c r="AU91" i="104"/>
  <c r="AP91" s="1"/>
  <c r="AU90" i="92"/>
  <c r="AP90" s="1"/>
  <c r="AU90" i="90"/>
  <c r="AP90" s="1"/>
  <c r="AU89" i="86"/>
  <c r="AU89" i="93"/>
  <c r="AU89" i="75"/>
  <c r="AU90" i="71"/>
  <c r="AP90" s="1"/>
  <c r="AU90" i="74"/>
  <c r="AP90" s="1"/>
  <c r="AU89" i="67"/>
  <c r="AU90" i="65"/>
  <c r="AP90" s="1"/>
  <c r="AU90" i="62"/>
  <c r="AP90" s="1"/>
  <c r="AU90" i="57"/>
  <c r="AP90" s="1"/>
  <c r="AU90" i="105"/>
  <c r="AP90" s="1"/>
  <c r="AU91" i="94"/>
  <c r="AP91" s="1"/>
  <c r="AU92" i="91"/>
  <c r="AP92" s="1"/>
  <c r="AU92" i="89"/>
  <c r="AP92" s="1"/>
  <c r="AU90" i="97"/>
  <c r="AP90" s="1"/>
  <c r="AU92" i="72"/>
  <c r="AP92" s="1"/>
  <c r="AU92" i="70"/>
  <c r="AP92" s="1"/>
  <c r="AU92" i="61"/>
  <c r="AP92" s="1"/>
  <c r="AU91" i="73"/>
  <c r="AP91" s="1"/>
  <c r="AU92" i="66"/>
  <c r="AP92" s="1"/>
  <c r="AU92" i="58"/>
  <c r="AP92" s="1"/>
  <c r="AU89" i="105"/>
  <c r="AU92" i="78"/>
  <c r="AP92" s="1"/>
  <c r="AU89" i="97"/>
  <c r="AU89" i="95"/>
  <c r="AU91" i="84"/>
  <c r="AP91" s="1"/>
  <c r="AU91" i="68"/>
  <c r="AP91" s="1"/>
  <c r="AU90" i="64"/>
  <c r="AP90" s="1"/>
  <c r="AU89" i="58"/>
  <c r="AU92" i="108"/>
  <c r="AP92" s="1"/>
  <c r="AU92" i="100"/>
  <c r="AP92" s="1"/>
  <c r="AU92" i="95"/>
  <c r="AP92" s="1"/>
  <c r="AU91" i="93"/>
  <c r="AP91" s="1"/>
  <c r="AU91" i="79"/>
  <c r="AP91" s="1"/>
  <c r="AU92" i="62"/>
  <c r="AP92" s="1"/>
  <c r="AU92" i="59"/>
  <c r="AP92" s="1"/>
  <c r="AU92" i="57"/>
  <c r="AP92" s="1"/>
  <c r="AU90" i="107"/>
  <c r="AP90" s="1"/>
  <c r="AU90" i="91"/>
  <c r="AP90" s="1"/>
  <c r="AU89" i="89"/>
  <c r="AU90" i="85"/>
  <c r="AP90" s="1"/>
  <c r="AU90" i="106"/>
  <c r="AP90" s="1"/>
  <c r="AU90" i="99"/>
  <c r="AP90" s="1"/>
  <c r="AU90" i="94"/>
  <c r="AP90" s="1"/>
  <c r="AU90" i="84"/>
  <c r="AP90" s="1"/>
  <c r="AU90" i="78"/>
  <c r="AP90" s="1"/>
  <c r="AU90" i="70"/>
  <c r="AP90" s="1"/>
  <c r="AU89" i="61"/>
  <c r="AU90" i="73"/>
  <c r="AP90" s="1"/>
  <c r="AU90" i="60"/>
  <c r="AP90" s="1"/>
  <c r="AU90" i="98"/>
  <c r="AP90" s="1"/>
  <c r="AU92" i="86"/>
  <c r="AP92" s="1"/>
  <c r="AU91" i="106"/>
  <c r="AP91" s="1"/>
  <c r="AU92" i="75"/>
  <c r="AP92" s="1"/>
  <c r="AU91" i="71"/>
  <c r="AP91" s="1"/>
  <c r="AU91" i="74"/>
  <c r="AP91" s="1"/>
  <c r="AU92" i="67"/>
  <c r="AP92" s="1"/>
  <c r="AU91" i="57"/>
  <c r="AP91" s="1"/>
  <c r="AP89" i="102"/>
  <c r="AP89" i="74"/>
  <c r="AU92" i="110"/>
  <c r="AP92" s="1"/>
  <c r="AU91" i="107"/>
  <c r="AP91" s="1"/>
  <c r="AU92" i="104"/>
  <c r="AP92" s="1"/>
  <c r="AU92" i="102"/>
  <c r="AP92" s="1"/>
  <c r="AU92" i="106"/>
  <c r="AP92" s="1"/>
  <c r="AU91" i="96"/>
  <c r="AP91" s="1"/>
  <c r="AU91" i="80"/>
  <c r="AP91" s="1"/>
  <c r="AU90" i="93"/>
  <c r="AP90" s="1"/>
  <c r="AU89" i="81"/>
  <c r="AU90" i="75"/>
  <c r="AP90" s="1"/>
  <c r="AU90" i="69"/>
  <c r="AP90" s="1"/>
  <c r="AU89" i="63"/>
  <c r="AU90" i="59"/>
  <c r="AP90" s="1"/>
  <c r="AU91" i="85"/>
  <c r="AP91" s="1"/>
  <c r="AU92" i="64"/>
  <c r="AP92" s="1"/>
  <c r="AU89" i="108"/>
  <c r="AU92" i="105"/>
  <c r="AP92" s="1"/>
  <c r="AU89" i="103"/>
  <c r="AU89" i="100"/>
  <c r="AU89" i="94"/>
  <c r="AU90" i="89"/>
  <c r="AP90" s="1"/>
  <c r="AU92" i="87"/>
  <c r="AP92" s="1"/>
  <c r="AU89" i="85"/>
  <c r="AU89" i="78"/>
  <c r="AU91" i="76"/>
  <c r="AP91" s="1"/>
  <c r="AU92"/>
  <c r="AP92" s="1"/>
  <c r="AU89" i="109"/>
  <c r="AU89" i="101"/>
  <c r="AU91"/>
  <c r="AP91" s="1"/>
  <c r="AU91" i="97"/>
  <c r="AP91" s="1"/>
  <c r="AU89" i="84"/>
  <c r="AU89" i="82"/>
  <c r="AU91"/>
  <c r="AP91" s="1"/>
  <c r="AU90" i="79"/>
  <c r="AP90" s="1"/>
  <c r="AU90" i="72"/>
  <c r="AP90" s="1"/>
  <c r="AU91" i="70"/>
  <c r="AP91" s="1"/>
  <c r="AU89"/>
  <c r="AU89" i="68"/>
  <c r="AU89" i="73"/>
  <c r="AU90" i="66"/>
  <c r="AP90" s="1"/>
  <c r="AU91" i="60"/>
  <c r="AP91" s="1"/>
  <c r="AU89"/>
  <c r="AU91" i="58"/>
  <c r="AP91" s="1"/>
  <c r="AU91" i="56"/>
  <c r="AP91" s="1"/>
  <c r="AU89"/>
  <c r="AU92" i="92"/>
  <c r="AP92" s="1"/>
  <c r="AU92" i="90"/>
  <c r="AP92" s="1"/>
  <c r="AU92" i="88"/>
  <c r="AP92" s="1"/>
  <c r="AU91" i="86"/>
  <c r="AP91" s="1"/>
  <c r="AU91" i="77"/>
  <c r="AP91" s="1"/>
  <c r="AU91" i="109"/>
  <c r="AP91" s="1"/>
  <c r="AU92" i="101"/>
  <c r="AP92" s="1"/>
  <c r="AU92" i="97"/>
  <c r="AP92" s="1"/>
  <c r="AU91" i="81"/>
  <c r="AP91" s="1"/>
  <c r="AU91" i="75"/>
  <c r="AP91" s="1"/>
  <c r="AU92" i="69"/>
  <c r="AP92" s="1"/>
  <c r="AU91" i="63"/>
  <c r="AP91" s="1"/>
  <c r="AU91" i="67"/>
  <c r="AP91" s="1"/>
  <c r="AU91" i="65"/>
  <c r="AP91" s="1"/>
  <c r="AU89" i="110"/>
  <c r="AU89" i="104"/>
  <c r="AU90" i="102"/>
  <c r="AP90" s="1"/>
  <c r="AU89" i="91"/>
  <c r="AU89" i="87"/>
  <c r="AU90" i="76"/>
  <c r="AP90" s="1"/>
  <c r="AU89" i="96"/>
  <c r="AU90" i="82"/>
  <c r="AP90" s="1"/>
  <c r="AU89" i="80"/>
  <c r="AU89" i="72"/>
  <c r="AU90" i="68"/>
  <c r="AP90" s="1"/>
  <c r="AU90" i="61"/>
  <c r="AP90" s="1"/>
  <c r="AU89" i="66"/>
  <c r="AU89" i="64"/>
  <c r="AU90" i="58"/>
  <c r="AP90" s="1"/>
  <c r="AU90" i="56"/>
  <c r="AP90" s="1"/>
  <c r="AU92" i="107"/>
  <c r="AP92" s="1"/>
  <c r="AU91" i="102"/>
  <c r="AP91" s="1"/>
  <c r="AU91" i="98"/>
  <c r="AP91" s="1"/>
  <c r="AU92" i="80"/>
  <c r="AP92" s="1"/>
  <c r="AU92" i="77"/>
  <c r="AP92" s="1"/>
  <c r="AU92" i="96"/>
  <c r="AP92" s="1"/>
  <c r="AU92" i="93"/>
  <c r="AP92" s="1"/>
  <c r="AU90" i="83"/>
  <c r="AP90" s="1"/>
  <c r="AU89"/>
  <c r="AU92" i="81"/>
  <c r="AP92" s="1"/>
  <c r="AU92" i="63"/>
  <c r="AP92" s="1"/>
  <c r="T3" i="37"/>
  <c r="I43" i="22" s="1"/>
  <c r="Y36" i="51"/>
  <c r="T3"/>
  <c r="I96" i="22" s="1"/>
  <c r="Y36" i="8"/>
  <c r="T3"/>
  <c r="I91" i="22" s="1"/>
  <c r="Y33" i="39"/>
  <c r="T3"/>
  <c r="I15" i="22" s="1"/>
  <c r="P3" i="8"/>
  <c r="E91" i="22" s="1"/>
  <c r="P3" i="20"/>
  <c r="P3" i="39"/>
  <c r="E15" i="22" s="1"/>
  <c r="P3" i="51"/>
  <c r="E96" i="22" s="1"/>
  <c r="P3" i="40"/>
  <c r="E17" i="22" s="1"/>
  <c r="P3" i="54"/>
  <c r="E46" i="22" s="1"/>
  <c r="AU91" i="37"/>
  <c r="AP91" s="1"/>
  <c r="AU91" i="26"/>
  <c r="AP91" s="1"/>
  <c r="E23" i="22"/>
  <c r="E36"/>
  <c r="E11"/>
  <c r="E82"/>
  <c r="E35"/>
  <c r="E45"/>
  <c r="E73"/>
  <c r="E51"/>
  <c r="E89"/>
  <c r="E38"/>
  <c r="E26"/>
  <c r="E62"/>
  <c r="E50"/>
  <c r="O3" i="36"/>
  <c r="E41" i="22"/>
  <c r="E47"/>
  <c r="E49"/>
  <c r="E85"/>
  <c r="E20"/>
  <c r="E93"/>
  <c r="E63"/>
  <c r="E40"/>
  <c r="E71"/>
  <c r="E79"/>
  <c r="E59"/>
  <c r="E72"/>
  <c r="E8"/>
  <c r="T3" i="21"/>
  <c r="I60" i="22" s="1"/>
  <c r="E56"/>
  <c r="AU92" i="26"/>
  <c r="AP92" s="1"/>
  <c r="E88" i="22"/>
  <c r="AU90" i="26"/>
  <c r="AP92" i="37"/>
  <c r="R3" i="39"/>
  <c r="G15" i="22" s="1"/>
  <c r="AU93" i="39"/>
  <c r="AP89" i="30"/>
  <c r="AP89" i="28"/>
  <c r="R3" s="1"/>
  <c r="O3" s="1"/>
  <c r="R3" i="6"/>
  <c r="G36" i="22" s="1"/>
  <c r="AU89" i="3"/>
  <c r="AP89" s="1"/>
  <c r="AU92" i="4"/>
  <c r="AP92" s="1"/>
  <c r="AU92" i="3"/>
  <c r="AP92" s="1"/>
  <c r="AU90" i="4"/>
  <c r="AP90" s="1"/>
  <c r="AP89"/>
  <c r="E86" i="22"/>
  <c r="AU91" i="3"/>
  <c r="AP91" s="1"/>
  <c r="AU91" i="4"/>
  <c r="AP91" s="1"/>
  <c r="C39" i="24"/>
  <c r="C77"/>
  <c r="R3" i="30" l="1"/>
  <c r="O3" s="1"/>
  <c r="R3" i="41"/>
  <c r="G40" i="22" s="1"/>
  <c r="AU93" i="28"/>
  <c r="AU93" i="30"/>
  <c r="O3" i="53"/>
  <c r="O3" i="48"/>
  <c r="AU93" i="41"/>
  <c r="AU93" i="33"/>
  <c r="AU93" i="20"/>
  <c r="R3" i="44"/>
  <c r="G71" i="22" s="1"/>
  <c r="R3" i="54"/>
  <c r="G46" i="22" s="1"/>
  <c r="O3" i="47"/>
  <c r="R3" i="27"/>
  <c r="G45" i="22" s="1"/>
  <c r="AU93" i="54"/>
  <c r="AU93" i="44"/>
  <c r="G47" i="22"/>
  <c r="O3" i="45"/>
  <c r="G79" i="22"/>
  <c r="O3" i="46"/>
  <c r="O3" i="38"/>
  <c r="O3" i="34"/>
  <c r="AU93" i="21"/>
  <c r="AU93" i="19"/>
  <c r="AU93" i="45"/>
  <c r="AU93" i="46"/>
  <c r="AU93" i="48"/>
  <c r="AU93" i="99"/>
  <c r="O3" i="43"/>
  <c r="O3" i="5"/>
  <c r="O3" i="20"/>
  <c r="AU93" i="43"/>
  <c r="O3" i="50"/>
  <c r="E55" i="22"/>
  <c r="R3" i="19"/>
  <c r="G82" i="22" s="1"/>
  <c r="R3" i="49"/>
  <c r="G20" i="22" s="1"/>
  <c r="O3" i="33"/>
  <c r="O3" i="32"/>
  <c r="AU93" i="74"/>
  <c r="AU93" i="49"/>
  <c r="R3" i="21"/>
  <c r="G60" i="22" s="1"/>
  <c r="R3" i="57"/>
  <c r="O3" s="1"/>
  <c r="AU93" i="37"/>
  <c r="O3" i="29"/>
  <c r="O3" i="25"/>
  <c r="G56" i="22"/>
  <c r="O3" i="42"/>
  <c r="R3" i="99"/>
  <c r="O3" s="1"/>
  <c r="R3" i="37"/>
  <c r="G43" i="22" s="1"/>
  <c r="E4"/>
  <c r="G28"/>
  <c r="O3" i="55"/>
  <c r="G11" i="22"/>
  <c r="O3" i="7"/>
  <c r="AP91" i="31"/>
  <c r="R3" s="1"/>
  <c r="AU93"/>
  <c r="O3" i="52"/>
  <c r="O3" i="35"/>
  <c r="O3" i="8"/>
  <c r="AU93" i="57"/>
  <c r="R3" i="74"/>
  <c r="G9" i="22" s="1"/>
  <c r="AP89" i="83"/>
  <c r="R3" s="1"/>
  <c r="AU93"/>
  <c r="AP89" i="66"/>
  <c r="R3" s="1"/>
  <c r="AU93"/>
  <c r="AP89" i="80"/>
  <c r="R3" s="1"/>
  <c r="AU93"/>
  <c r="AP89" i="96"/>
  <c r="R3" s="1"/>
  <c r="AU93"/>
  <c r="AU93" i="87"/>
  <c r="AP89"/>
  <c r="R3" s="1"/>
  <c r="AP89" i="110"/>
  <c r="R3" s="1"/>
  <c r="O3" s="1"/>
  <c r="AU93"/>
  <c r="AU93" i="60"/>
  <c r="AP89"/>
  <c r="R3" s="1"/>
  <c r="AP89" i="68"/>
  <c r="R3" s="1"/>
  <c r="AU93"/>
  <c r="AP89" i="82"/>
  <c r="R3" s="1"/>
  <c r="AU93"/>
  <c r="AP89" i="101"/>
  <c r="R3" s="1"/>
  <c r="AU93"/>
  <c r="AU93" i="78"/>
  <c r="AP89"/>
  <c r="R3" s="1"/>
  <c r="AU93" i="94"/>
  <c r="AP89"/>
  <c r="R3" s="1"/>
  <c r="AP89" i="103"/>
  <c r="R3" s="1"/>
  <c r="AU93"/>
  <c r="AP89" i="108"/>
  <c r="R3" s="1"/>
  <c r="AU93"/>
  <c r="AP89" i="63"/>
  <c r="R3" s="1"/>
  <c r="AU93"/>
  <c r="AP89" i="58"/>
  <c r="R3" s="1"/>
  <c r="AU93"/>
  <c r="AP89" i="95"/>
  <c r="R3" s="1"/>
  <c r="AU93"/>
  <c r="AP89" i="67"/>
  <c r="R3" s="1"/>
  <c r="AU93"/>
  <c r="AP89" i="93"/>
  <c r="R3" s="1"/>
  <c r="AU93"/>
  <c r="AU93" i="65"/>
  <c r="R3" i="77"/>
  <c r="R3" i="98"/>
  <c r="R3" i="102"/>
  <c r="R3" i="107"/>
  <c r="AU93" i="76"/>
  <c r="R3" i="79"/>
  <c r="R3" i="59"/>
  <c r="AU93" i="62"/>
  <c r="R3" i="69"/>
  <c r="R3" i="71"/>
  <c r="R3" i="106"/>
  <c r="AU93" i="88"/>
  <c r="R3" i="90"/>
  <c r="AU93" i="92"/>
  <c r="AP89" i="64"/>
  <c r="R3" s="1"/>
  <c r="AU93"/>
  <c r="AP89" i="72"/>
  <c r="R3" s="1"/>
  <c r="AU93"/>
  <c r="AU93" i="91"/>
  <c r="AP89"/>
  <c r="R3" s="1"/>
  <c r="AU93" i="104"/>
  <c r="AP89"/>
  <c r="R3" s="1"/>
  <c r="AP89" i="56"/>
  <c r="R3" s="1"/>
  <c r="AU93"/>
  <c r="AP89" i="73"/>
  <c r="R3" s="1"/>
  <c r="AU93"/>
  <c r="AU93" i="70"/>
  <c r="AP89"/>
  <c r="R3" s="1"/>
  <c r="AU93" i="84"/>
  <c r="AP89"/>
  <c r="R3" s="1"/>
  <c r="AP89" i="109"/>
  <c r="R3" s="1"/>
  <c r="AU93"/>
  <c r="AP89" i="85"/>
  <c r="R3" s="1"/>
  <c r="AU93"/>
  <c r="AP89" i="100"/>
  <c r="R3" s="1"/>
  <c r="AU93"/>
  <c r="AP89" i="81"/>
  <c r="R3" s="1"/>
  <c r="AU93"/>
  <c r="AP89" i="61"/>
  <c r="R3" s="1"/>
  <c r="AU93"/>
  <c r="AU93" i="89"/>
  <c r="AP89"/>
  <c r="R3" s="1"/>
  <c r="AU93" i="97"/>
  <c r="AP89"/>
  <c r="R3" s="1"/>
  <c r="AP89" i="105"/>
  <c r="R3" s="1"/>
  <c r="AU93"/>
  <c r="AP89" i="75"/>
  <c r="R3" s="1"/>
  <c r="AU93"/>
  <c r="AU93" i="86"/>
  <c r="AP89"/>
  <c r="R3" s="1"/>
  <c r="R3" i="65"/>
  <c r="AU93" i="77"/>
  <c r="AU93" i="98"/>
  <c r="AU93" i="102"/>
  <c r="AU93" i="107"/>
  <c r="R3" i="76"/>
  <c r="AU93" i="79"/>
  <c r="AU93" i="59"/>
  <c r="R3" i="62"/>
  <c r="AU93" i="69"/>
  <c r="AU93" i="71"/>
  <c r="AU93" i="106"/>
  <c r="R3" i="88"/>
  <c r="AU93" i="90"/>
  <c r="R3" i="92"/>
  <c r="O3" i="40"/>
  <c r="O3" i="51"/>
  <c r="D50" i="22"/>
  <c r="D91"/>
  <c r="D47"/>
  <c r="O3" i="39"/>
  <c r="O3" i="6"/>
  <c r="AP90" i="26"/>
  <c r="R3" s="1"/>
  <c r="AU93"/>
  <c r="R3" i="3"/>
  <c r="D73" i="22"/>
  <c r="G73"/>
  <c r="D63"/>
  <c r="AU93" i="3"/>
  <c r="AU93" i="4"/>
  <c r="R3"/>
  <c r="O3" s="1"/>
  <c r="C50" i="24"/>
  <c r="C2"/>
  <c r="C19"/>
  <c r="C30"/>
  <c r="C55"/>
  <c r="C40"/>
  <c r="C75"/>
  <c r="C45"/>
  <c r="C86"/>
  <c r="C28"/>
  <c r="C42"/>
  <c r="C29"/>
  <c r="C92"/>
  <c r="W2"/>
  <c r="C82"/>
  <c r="C9"/>
  <c r="C78"/>
  <c r="C67"/>
  <c r="C18"/>
  <c r="C85"/>
  <c r="C57"/>
  <c r="W85"/>
  <c r="C10"/>
  <c r="C51"/>
  <c r="C36"/>
  <c r="C94"/>
  <c r="C31"/>
  <c r="C62"/>
  <c r="W51"/>
  <c r="C54"/>
  <c r="C76"/>
  <c r="W9"/>
  <c r="C84"/>
  <c r="G63" i="22" l="1"/>
  <c r="D17"/>
  <c r="D38"/>
  <c r="D11"/>
  <c r="D93"/>
  <c r="D51"/>
  <c r="D23"/>
  <c r="D62"/>
  <c r="D79"/>
  <c r="D72"/>
  <c r="D96"/>
  <c r="D59"/>
  <c r="D56"/>
  <c r="D35"/>
  <c r="D89"/>
  <c r="D55"/>
  <c r="D4"/>
  <c r="D41"/>
  <c r="D8"/>
  <c r="D49"/>
  <c r="D85"/>
  <c r="O3" i="37"/>
  <c r="O3" i="41"/>
  <c r="O3" i="21"/>
  <c r="O3" i="49"/>
  <c r="O3" i="54"/>
  <c r="O3" i="27"/>
  <c r="G70" i="22"/>
  <c r="G67"/>
  <c r="O3" i="44"/>
  <c r="O3" i="19"/>
  <c r="D60" i="22"/>
  <c r="D82"/>
  <c r="O3" i="74"/>
  <c r="G26" i="22"/>
  <c r="O3" i="31"/>
  <c r="D40" i="22"/>
  <c r="D28"/>
  <c r="G14"/>
  <c r="O3" i="76"/>
  <c r="G95" i="22"/>
  <c r="O3" i="86"/>
  <c r="G84" i="22"/>
  <c r="O3" i="97"/>
  <c r="G19" i="22"/>
  <c r="O3" i="89"/>
  <c r="D70" i="22"/>
  <c r="G39"/>
  <c r="O3" i="84"/>
  <c r="G12" i="22"/>
  <c r="O3" i="70"/>
  <c r="G78" i="22"/>
  <c r="O3" i="104"/>
  <c r="G75" i="22"/>
  <c r="O3" i="91"/>
  <c r="G22" i="22"/>
  <c r="O3" i="71"/>
  <c r="G54" i="22"/>
  <c r="O3" i="79"/>
  <c r="G53" i="22"/>
  <c r="O3" i="107"/>
  <c r="G83" i="22"/>
  <c r="O3" i="98"/>
  <c r="G16" i="22"/>
  <c r="O3" i="93"/>
  <c r="G18" i="22"/>
  <c r="O3" i="67"/>
  <c r="O3" i="95"/>
  <c r="G76" i="22"/>
  <c r="G24"/>
  <c r="O3" i="58"/>
  <c r="G32" i="22"/>
  <c r="O3" i="63"/>
  <c r="G77" i="22"/>
  <c r="O3" i="108"/>
  <c r="O3" i="103"/>
  <c r="G27" i="22"/>
  <c r="G90"/>
  <c r="O3" i="101"/>
  <c r="G92" i="22"/>
  <c r="O3" i="82"/>
  <c r="G13" i="22"/>
  <c r="O3" i="68"/>
  <c r="G69" i="22"/>
  <c r="O3" i="96"/>
  <c r="G64" i="22"/>
  <c r="O3" i="80"/>
  <c r="G58" i="22"/>
  <c r="O3" i="66"/>
  <c r="G21" i="22"/>
  <c r="O3" i="83"/>
  <c r="G87" i="22"/>
  <c r="O3" i="92"/>
  <c r="G37" i="22"/>
  <c r="O3" i="88"/>
  <c r="G44" i="22"/>
  <c r="O3" i="62"/>
  <c r="G34" i="22"/>
  <c r="O3" i="65"/>
  <c r="G57" i="22"/>
  <c r="O3" i="75"/>
  <c r="G80" i="22"/>
  <c r="O3" i="105"/>
  <c r="G33" i="22"/>
  <c r="O3" i="61"/>
  <c r="G10" i="22"/>
  <c r="O3" i="81"/>
  <c r="G65" i="22"/>
  <c r="O3" i="100"/>
  <c r="G25" i="22"/>
  <c r="O3" i="85"/>
  <c r="G74" i="22"/>
  <c r="O3" i="109"/>
  <c r="G94" i="22"/>
  <c r="O3" i="73"/>
  <c r="G31" i="22"/>
  <c r="O3" i="56"/>
  <c r="G5" i="22"/>
  <c r="O3" i="72"/>
  <c r="G30" i="22"/>
  <c r="O3" i="64"/>
  <c r="G52" i="22"/>
  <c r="O3" i="90"/>
  <c r="G42" i="22"/>
  <c r="O3" i="106"/>
  <c r="G3" i="22"/>
  <c r="O3" i="69"/>
  <c r="G6" i="22"/>
  <c r="O3" i="59"/>
  <c r="G61" i="22"/>
  <c r="O3" i="102"/>
  <c r="G29" i="22"/>
  <c r="O3" i="77"/>
  <c r="D9" i="22"/>
  <c r="D67"/>
  <c r="G66"/>
  <c r="O3" i="94"/>
  <c r="G81" i="22"/>
  <c r="O3" i="78"/>
  <c r="G48" i="22"/>
  <c r="O3" i="60"/>
  <c r="G7" i="22"/>
  <c r="O3" i="87"/>
  <c r="D68" i="22"/>
  <c r="D36"/>
  <c r="D15"/>
  <c r="G86"/>
  <c r="O3" i="3"/>
  <c r="G88" i="22"/>
  <c r="O3" i="26"/>
  <c r="G68" i="22"/>
  <c r="W33" i="24"/>
  <c r="W66"/>
  <c r="C66"/>
  <c r="W78"/>
  <c r="C93"/>
  <c r="W56"/>
  <c r="C87"/>
  <c r="W42"/>
  <c r="W28"/>
  <c r="C34"/>
  <c r="W15"/>
  <c r="C21"/>
  <c r="W35"/>
  <c r="W90"/>
  <c r="C90"/>
  <c r="W81"/>
  <c r="W6"/>
  <c r="W94"/>
  <c r="C5"/>
  <c r="W34"/>
  <c r="W10"/>
  <c r="C68"/>
  <c r="C13"/>
  <c r="C60"/>
  <c r="W77"/>
  <c r="W74"/>
  <c r="C27"/>
  <c r="W91"/>
  <c r="C4"/>
  <c r="W58"/>
  <c r="C3"/>
  <c r="W70"/>
  <c r="W50"/>
  <c r="C38"/>
  <c r="W60"/>
  <c r="C83"/>
  <c r="W44"/>
  <c r="C69"/>
  <c r="W37"/>
  <c r="W17"/>
  <c r="W22"/>
  <c r="C65"/>
  <c r="C49"/>
  <c r="W14"/>
  <c r="C20"/>
  <c r="C52"/>
  <c r="W26"/>
  <c r="W40"/>
  <c r="W39"/>
  <c r="W54"/>
  <c r="W46"/>
  <c r="W83"/>
  <c r="C89"/>
  <c r="C74"/>
  <c r="C33"/>
  <c r="W89"/>
  <c r="W68"/>
  <c r="W36"/>
  <c r="W24"/>
  <c r="W63"/>
  <c r="C12"/>
  <c r="C43"/>
  <c r="W41"/>
  <c r="C22"/>
  <c r="C32"/>
  <c r="W92"/>
  <c r="W7"/>
  <c r="W13"/>
  <c r="C25"/>
  <c r="W53"/>
  <c r="C91"/>
  <c r="W80"/>
  <c r="C16"/>
  <c r="W3"/>
  <c r="W87"/>
  <c r="C81"/>
  <c r="C8"/>
  <c r="W29"/>
  <c r="C15"/>
  <c r="W59"/>
  <c r="W55"/>
  <c r="C26"/>
  <c r="C23"/>
  <c r="C59"/>
  <c r="W38"/>
  <c r="W31"/>
  <c r="C73"/>
  <c r="W43"/>
  <c r="W86"/>
  <c r="W84"/>
  <c r="C24"/>
  <c r="W69"/>
  <c r="W47"/>
  <c r="C80"/>
  <c r="W25"/>
  <c r="C41"/>
  <c r="W62"/>
  <c r="W79"/>
  <c r="C53"/>
  <c r="W27"/>
  <c r="C71"/>
  <c r="W76"/>
  <c r="C48"/>
  <c r="W4"/>
  <c r="W95"/>
  <c r="C61"/>
  <c r="W19"/>
  <c r="W93"/>
  <c r="W12"/>
  <c r="C37"/>
  <c r="W82"/>
  <c r="W18"/>
  <c r="C6"/>
  <c r="W8"/>
  <c r="C79"/>
  <c r="W16"/>
  <c r="C44"/>
  <c r="C72"/>
  <c r="W65"/>
  <c r="W49"/>
  <c r="W32"/>
  <c r="C47"/>
  <c r="W21"/>
  <c r="C35"/>
  <c r="C58"/>
  <c r="C14"/>
  <c r="W5"/>
  <c r="W30"/>
  <c r="W11"/>
  <c r="W61"/>
  <c r="W75"/>
  <c r="C95"/>
  <c r="C64"/>
  <c r="C88"/>
  <c r="W52"/>
  <c r="C56"/>
  <c r="W88"/>
  <c r="W67"/>
  <c r="W48"/>
  <c r="C70"/>
  <c r="C46"/>
  <c r="W20"/>
  <c r="C17"/>
  <c r="W72"/>
  <c r="C11"/>
  <c r="W64"/>
  <c r="W71"/>
  <c r="C7"/>
  <c r="W45"/>
  <c r="W57"/>
  <c r="W23"/>
  <c r="C63"/>
  <c r="W73"/>
  <c r="D43" i="22" l="1"/>
  <c r="D20"/>
  <c r="D46"/>
  <c r="D45"/>
  <c r="D71"/>
  <c r="D26"/>
  <c r="D27"/>
  <c r="D84"/>
  <c r="D95"/>
  <c r="D7"/>
  <c r="D48"/>
  <c r="D81"/>
  <c r="D66"/>
  <c r="D29"/>
  <c r="D61"/>
  <c r="D6"/>
  <c r="D3"/>
  <c r="D42"/>
  <c r="D52"/>
  <c r="D30"/>
  <c r="D5"/>
  <c r="D31"/>
  <c r="D94"/>
  <c r="D74"/>
  <c r="D25"/>
  <c r="D65"/>
  <c r="D10"/>
  <c r="D33"/>
  <c r="D80"/>
  <c r="D57"/>
  <c r="D34"/>
  <c r="D44"/>
  <c r="D37"/>
  <c r="D87"/>
  <c r="D21"/>
  <c r="D58"/>
  <c r="D64"/>
  <c r="D69"/>
  <c r="D13"/>
  <c r="D92"/>
  <c r="D90"/>
  <c r="D77"/>
  <c r="D32"/>
  <c r="D24"/>
  <c r="D18"/>
  <c r="D16"/>
  <c r="D83"/>
  <c r="D53"/>
  <c r="D54"/>
  <c r="D22"/>
  <c r="D75"/>
  <c r="D78"/>
  <c r="D12"/>
  <c r="D39"/>
  <c r="D76"/>
  <c r="D19"/>
  <c r="D14"/>
  <c r="D88"/>
  <c r="D86"/>
</calcChain>
</file>

<file path=xl/sharedStrings.xml><?xml version="1.0" encoding="utf-8"?>
<sst xmlns="http://schemas.openxmlformats.org/spreadsheetml/2006/main" count="61673" uniqueCount="344">
  <si>
    <t>1e ronde</t>
  </si>
  <si>
    <t>Nr.</t>
  </si>
  <si>
    <t>Datum</t>
  </si>
  <si>
    <t>Thuisploeg</t>
  </si>
  <si>
    <t>Uitploeg</t>
  </si>
  <si>
    <t>Eindstand</t>
  </si>
  <si>
    <t>Toto</t>
  </si>
  <si>
    <t>Pnt</t>
  </si>
  <si>
    <t>Brazilië</t>
  </si>
  <si>
    <t>-</t>
  </si>
  <si>
    <t>Kroatië</t>
  </si>
  <si>
    <t>Mexico</t>
  </si>
  <si>
    <t>Kameroen</t>
  </si>
  <si>
    <t>Spanje</t>
  </si>
  <si>
    <t>Nederland</t>
  </si>
  <si>
    <t>Chili</t>
  </si>
  <si>
    <t>Australië</t>
  </si>
  <si>
    <t>Colombia</t>
  </si>
  <si>
    <t>Griekenland</t>
  </si>
  <si>
    <t>Uruguay</t>
  </si>
  <si>
    <t>Costa Rica</t>
  </si>
  <si>
    <t>Engeland</t>
  </si>
  <si>
    <t>Italië</t>
  </si>
  <si>
    <t>Ivoorkust</t>
  </si>
  <si>
    <t>Japan</t>
  </si>
  <si>
    <t>Zwitserland</t>
  </si>
  <si>
    <t>Ecuador</t>
  </si>
  <si>
    <t>Frankrijk</t>
  </si>
  <si>
    <t>Honduras</t>
  </si>
  <si>
    <t>Argentinië</t>
  </si>
  <si>
    <t>Bosnië H.</t>
  </si>
  <si>
    <t>Duitsland</t>
  </si>
  <si>
    <t>Portugal</t>
  </si>
  <si>
    <t>Iran</t>
  </si>
  <si>
    <t>Nigeria</t>
  </si>
  <si>
    <t>Ghana</t>
  </si>
  <si>
    <t>Verenigde Staten</t>
  </si>
  <si>
    <t>België</t>
  </si>
  <si>
    <t>Algerije</t>
  </si>
  <si>
    <t>Rusland</t>
  </si>
  <si>
    <t>Zuid Korea</t>
  </si>
  <si>
    <t>Poule A</t>
  </si>
  <si>
    <t>Voor</t>
  </si>
  <si>
    <t>Tegen</t>
  </si>
  <si>
    <t>Saldo</t>
  </si>
  <si>
    <t>Punten</t>
  </si>
  <si>
    <t>Plaats</t>
  </si>
  <si>
    <t>A3</t>
  </si>
  <si>
    <t>A1</t>
  </si>
  <si>
    <t>A2</t>
  </si>
  <si>
    <t>A4</t>
  </si>
  <si>
    <t>Poule B</t>
  </si>
  <si>
    <t>B1</t>
  </si>
  <si>
    <t>B2</t>
  </si>
  <si>
    <t>B3</t>
  </si>
  <si>
    <t>B4</t>
  </si>
  <si>
    <t>Poule C</t>
  </si>
  <si>
    <t>C1</t>
  </si>
  <si>
    <t>C2</t>
  </si>
  <si>
    <t>C3</t>
  </si>
  <si>
    <t>C4</t>
  </si>
  <si>
    <t>Poule D</t>
  </si>
  <si>
    <t>D1</t>
  </si>
  <si>
    <t>D2</t>
  </si>
  <si>
    <t>D3</t>
  </si>
  <si>
    <t>D4</t>
  </si>
  <si>
    <t>Poule E</t>
  </si>
  <si>
    <t>E1</t>
  </si>
  <si>
    <t>E2</t>
  </si>
  <si>
    <t>E3</t>
  </si>
  <si>
    <t>E4</t>
  </si>
  <si>
    <t>Poule F</t>
  </si>
  <si>
    <t>F1</t>
  </si>
  <si>
    <t>F2</t>
  </si>
  <si>
    <t>F3</t>
  </si>
  <si>
    <t>F4</t>
  </si>
  <si>
    <t>Poule G</t>
  </si>
  <si>
    <t>G1</t>
  </si>
  <si>
    <t>G2</t>
  </si>
  <si>
    <t>G3</t>
  </si>
  <si>
    <t>G4</t>
  </si>
  <si>
    <t>Poule H</t>
  </si>
  <si>
    <t>H1</t>
  </si>
  <si>
    <t>H2</t>
  </si>
  <si>
    <t>H3</t>
  </si>
  <si>
    <t>H4</t>
  </si>
  <si>
    <t>Ronde 2</t>
  </si>
  <si>
    <t>Kwartfinales</t>
  </si>
  <si>
    <t>Halve Finales</t>
  </si>
  <si>
    <t>3e / 4e plaats</t>
  </si>
  <si>
    <t>FINALE</t>
  </si>
  <si>
    <t>Score</t>
  </si>
  <si>
    <t>Uitslag</t>
  </si>
  <si>
    <t>1e</t>
  </si>
  <si>
    <t>2e</t>
  </si>
  <si>
    <t>beide</t>
  </si>
  <si>
    <t>1e&gt;2e</t>
  </si>
  <si>
    <t>1e&lt;2e</t>
  </si>
  <si>
    <t>1e=2e</t>
  </si>
  <si>
    <t>Wedstrijden</t>
  </si>
  <si>
    <t>Poules</t>
  </si>
  <si>
    <t>Wereldkampioen</t>
  </si>
  <si>
    <t>Top 4</t>
  </si>
  <si>
    <t>score</t>
  </si>
  <si>
    <t>scores</t>
  </si>
  <si>
    <t>Top4</t>
  </si>
  <si>
    <t>goed</t>
  </si>
  <si>
    <t>wedstrijden</t>
  </si>
  <si>
    <t>Noem de basis opstelling tegen Australie</t>
  </si>
  <si>
    <t>Daley Blind</t>
  </si>
  <si>
    <t>Kenneth Vermeer</t>
  </si>
  <si>
    <t>Jasper Cillessen</t>
  </si>
  <si>
    <t>Joël Veltman</t>
  </si>
  <si>
    <t>Jean-Paul Boëtius</t>
  </si>
  <si>
    <t>Jordy Clasie</t>
  </si>
  <si>
    <t>Daryl Janmaat</t>
  </si>
  <si>
    <t xml:space="preserve"> </t>
  </si>
  <si>
    <t>Davy Klaassen</t>
  </si>
  <si>
    <t>Terence Kongolo</t>
  </si>
  <si>
    <t>Bruno Martins Indi</t>
  </si>
  <si>
    <t>Tonny Trindade de Vilhena</t>
  </si>
  <si>
    <t>Stefan de Vrij</t>
  </si>
  <si>
    <t>Luc Castaignos</t>
  </si>
  <si>
    <t>Quincy Promes</t>
  </si>
  <si>
    <t>Jeroen Zoet</t>
  </si>
  <si>
    <t>Georginio Wijnaldum</t>
  </si>
  <si>
    <t>Karim Rekik</t>
  </si>
  <si>
    <t>Memphis Depay</t>
  </si>
  <si>
    <t>Jürgen Locadia</t>
  </si>
  <si>
    <t>Luciano Narsingh</t>
  </si>
  <si>
    <t>Robin van Persie</t>
  </si>
  <si>
    <t>Arjen Robben</t>
  </si>
  <si>
    <t>(k)</t>
  </si>
  <si>
    <t>(v)</t>
  </si>
  <si>
    <t>(m)</t>
  </si>
  <si>
    <t>(a)</t>
  </si>
  <si>
    <t>Rafael vd Vaart</t>
  </si>
  <si>
    <t>Wesley Sneijder</t>
  </si>
  <si>
    <t>Jonathan de Guzman</t>
  </si>
  <si>
    <t>Nigel de Jong</t>
  </si>
  <si>
    <t>Bonus:</t>
  </si>
  <si>
    <t>Elftal</t>
  </si>
  <si>
    <t>Totaal</t>
  </si>
  <si>
    <t>Naam</t>
  </si>
  <si>
    <t>Deelnemer</t>
  </si>
  <si>
    <t>Naam:</t>
  </si>
  <si>
    <t>Wedstrijd</t>
  </si>
  <si>
    <t>poule</t>
  </si>
  <si>
    <t>volg</t>
  </si>
  <si>
    <t>Nr</t>
  </si>
  <si>
    <t>- Uitslag fout maar toto wel goed = 5 punten</t>
  </si>
  <si>
    <t>- Uitslag en toto fout maar aantal doelpunten (bij een van de ploegen) juist = 1 punt</t>
  </si>
  <si>
    <t>- Uitslag van de wedstrijden  juist = 10 punten</t>
  </si>
  <si>
    <t>Punten bij de wedstrijden:</t>
  </si>
  <si>
    <t>Eindstanden Poule's</t>
  </si>
  <si>
    <t>- Elk team op de juiste positie = 10 punten (max 40 punten per poule).</t>
  </si>
  <si>
    <t>- vanaf de 2de ronde is het uitslag na 90 min en invullen van toto voor winnaar na verlening of penaltys</t>
  </si>
  <si>
    <t>Nederlands elftal (opstelling tegen Australie in de poulefase)</t>
  </si>
  <si>
    <t>- Elftal 3 punten per speler</t>
  </si>
  <si>
    <t>- Bonus van 15 punten indien alle 11 goed</t>
  </si>
  <si>
    <t>- let op bij het invullen het is een keuze lijstje! Indien je buiten de lijst wil selecteren moet je dit in de mail aangeven</t>
  </si>
  <si>
    <t>SPELREGELS</t>
  </si>
  <si>
    <t>Deelname:</t>
  </si>
  <si>
    <t>- Je mag meedoen als je werkzaam bent bij de DCMR</t>
  </si>
  <si>
    <r>
      <t xml:space="preserve">- Iedere medewerker van de DCMR mag </t>
    </r>
    <r>
      <rPr>
        <b/>
        <sz val="11"/>
        <rFont val="Arial"/>
        <family val="2"/>
      </rPr>
      <t>1 introducee</t>
    </r>
    <r>
      <rPr>
        <sz val="11"/>
        <color indexed="8"/>
        <rFont val="Arial"/>
        <family val="2"/>
      </rPr>
      <t xml:space="preserve"> mee laten doen.</t>
    </r>
  </si>
  <si>
    <t>- Vul alleen de blauwe vakjes in (wedstrijdvoorspelling, poule stand en elftal)</t>
  </si>
  <si>
    <t>Winnaar WK goed = 50 punten</t>
  </si>
  <si>
    <t>De nummer 2 goed = 25 punten</t>
  </si>
  <si>
    <t>De nummer 3 goed = 15 punten</t>
  </si>
  <si>
    <t>De nummer 4 goed = 15 punten</t>
  </si>
  <si>
    <t>Jouw WK winnaar wordt 2de = 15 punten</t>
  </si>
  <si>
    <t>Jouw nummer 2 wordt WK winnaar = 15 punten</t>
  </si>
  <si>
    <t>Jouw nummer 3 wordt 4de = 10 punten</t>
  </si>
  <si>
    <t>Jouw nummer 4 wordt 3de = 10 punten</t>
  </si>
  <si>
    <t>- Inschrijfbijdrage Euro 2,00 per deelnemer</t>
  </si>
  <si>
    <t>Prijzenpot:</t>
  </si>
  <si>
    <t>- De prijzenpot is het aantal deelnemer x Euro 2,00</t>
  </si>
  <si>
    <t>- De nummer 2 krijgt 30% van de totale inleg</t>
  </si>
  <si>
    <t>- De nummer 3 krijgt 20% van de totale inleg</t>
  </si>
  <si>
    <t>- De winnaar krijgt 45% van de totale inleg</t>
  </si>
  <si>
    <t>- bij gelijke stand zal eerst gekeken worden wie de WK-winnaar goed had</t>
  </si>
  <si>
    <t>- Degene met de meeste wedstrijden goed voorspeld (= 10 punten) krijgt 5% van de totale inleg</t>
  </si>
  <si>
    <t>- bij gelijke stand wint degene die het hoogste staat op de ranglijst</t>
  </si>
  <si>
    <t>- indien dit geen uitsluitsel geeft zal worden gekeken wie de WK-winnaar goed had</t>
  </si>
  <si>
    <t>- Indien dit geen uitsluitsel geeft wordt er gekeken naar wie de meeste punten heeft behaald bij de top 4</t>
  </si>
  <si>
    <t>- indien dit geen uitsluitsel geeft dan naar de behaalde score van het elftal</t>
  </si>
  <si>
    <t>- indien dit wederom geen uitsluitsel geeft zal de prijs worden verdeeld</t>
  </si>
  <si>
    <t>- Wanneer er sprake is van een gelijke stand aangaande de plekken voor de prijzen zal:</t>
  </si>
  <si>
    <t>Jouw nummer 1 of 2 wordt 3de of 4de = 5 punten</t>
  </si>
  <si>
    <t>Jouw nummer 3 of 4 wordt 1ste of 2de = 5 punten</t>
  </si>
  <si>
    <t>- hulp: k = keeper, v = verdediger, m = middenvelder, a = aanvaller</t>
  </si>
  <si>
    <t>Tim Krul</t>
  </si>
  <si>
    <t>Maarten Stekelenburg</t>
  </si>
  <si>
    <t>Michel Vorm</t>
  </si>
  <si>
    <t>Ron Vlaar</t>
  </si>
  <si>
    <t>John Heitinga</t>
  </si>
  <si>
    <t>Urby Emanuelson</t>
  </si>
  <si>
    <t>Gregory van der Wiel</t>
  </si>
  <si>
    <t>Virgil van Dijk</t>
  </si>
  <si>
    <t>Leroy Fer</t>
  </si>
  <si>
    <t>Dirk Kuyt</t>
  </si>
  <si>
    <t>Jermain Lens</t>
  </si>
  <si>
    <t>Alexander Buttner</t>
  </si>
  <si>
    <t>Marco van Ginkel</t>
  </si>
  <si>
    <t>Klaas-Jan Huntelaar</t>
  </si>
  <si>
    <t>Ricky van Wolfswinkel</t>
  </si>
  <si>
    <t>Martin S.</t>
  </si>
  <si>
    <t>- Inleveren (formulier en geld): Uiterlijk woensdag 12 Juni 2014 uiterlijk 21:00 uur, per e-mail: info@meerkerkweb.nl</t>
  </si>
  <si>
    <t>Tim Krul (k)</t>
  </si>
  <si>
    <t>Ron Vlaar (v)</t>
  </si>
  <si>
    <t>Gregory van der Wiel (v)</t>
  </si>
  <si>
    <t>Bruno Martins Indi (v)</t>
  </si>
  <si>
    <t>Daley Blind (v)</t>
  </si>
  <si>
    <t>Nigel de Jong (m)</t>
  </si>
  <si>
    <t>Wesley Sneijder (m)</t>
  </si>
  <si>
    <t>Arjen Robben (a)</t>
  </si>
  <si>
    <t>Robin van Persie (a)</t>
  </si>
  <si>
    <t>Margret N.</t>
  </si>
  <si>
    <t>Maarten Stekelenburg (k)</t>
  </si>
  <si>
    <t>Joël Veltman (v)</t>
  </si>
  <si>
    <t>Daryl Janmaat (v)</t>
  </si>
  <si>
    <t>Jordy Clasie (m)</t>
  </si>
  <si>
    <t>Rafael vd Vaart (m)</t>
  </si>
  <si>
    <t>Dirk Kuyt (a)</t>
  </si>
  <si>
    <t>Jasper Cillessen (k)</t>
  </si>
  <si>
    <t>Stefan de Vrij (v)</t>
  </si>
  <si>
    <t>Jonathan de Guzman (m)</t>
  </si>
  <si>
    <t>Anoeska van S.</t>
  </si>
  <si>
    <t>Edwin B.</t>
  </si>
  <si>
    <t>Leroy Fer (m)</t>
  </si>
  <si>
    <t>Jermain Lens (a)</t>
  </si>
  <si>
    <t>Yvonne J.</t>
  </si>
  <si>
    <t>Daan V.</t>
  </si>
  <si>
    <t>Miranda v/d V</t>
  </si>
  <si>
    <t>Terence Kongolo (v)</t>
  </si>
  <si>
    <t>Memphis Depay (a)</t>
  </si>
  <si>
    <t>Gabriella Sabatini (JMK)</t>
  </si>
  <si>
    <t>Marco V.</t>
  </si>
  <si>
    <t>Christian van S.</t>
  </si>
  <si>
    <t>Michel Vorm (k)</t>
  </si>
  <si>
    <t>Klaas-Jan Huntelaar (a)</t>
  </si>
  <si>
    <t>Eric B.</t>
  </si>
  <si>
    <t>Pascal vd B.</t>
  </si>
  <si>
    <t>Sylvia R.</t>
  </si>
  <si>
    <t>Carlione (HUC)</t>
  </si>
  <si>
    <t>Jochem</t>
  </si>
  <si>
    <t>Mariëlle de K.</t>
  </si>
  <si>
    <t>Marcel B.</t>
  </si>
  <si>
    <t>René K.</t>
  </si>
  <si>
    <t>Arthur K.</t>
  </si>
  <si>
    <t>Frank S.</t>
  </si>
  <si>
    <t>Marcel M.</t>
  </si>
  <si>
    <t>Ricardo M.</t>
  </si>
  <si>
    <t>Malrini</t>
  </si>
  <si>
    <t>Kay L.</t>
  </si>
  <si>
    <t>Esther v/d L.</t>
  </si>
  <si>
    <t>Ton G.</t>
  </si>
  <si>
    <t>Luciano Narsingh (a)</t>
  </si>
  <si>
    <t>Quincy Promes (a)</t>
  </si>
  <si>
    <t>Irma</t>
  </si>
  <si>
    <t>Sabine O.</t>
  </si>
  <si>
    <t>Hans D.</t>
  </si>
  <si>
    <t>WK</t>
  </si>
  <si>
    <t>winnaar</t>
  </si>
  <si>
    <t>Cindy vd B.</t>
  </si>
  <si>
    <t>Leo N.</t>
  </si>
  <si>
    <t>Thomas H.</t>
  </si>
  <si>
    <t>Frank F.</t>
  </si>
  <si>
    <t>Davy Klaassen (m)</t>
  </si>
  <si>
    <t>Marcel S.</t>
  </si>
  <si>
    <t>René B.</t>
  </si>
  <si>
    <t>Corjan H.</t>
  </si>
  <si>
    <t>Louis B.</t>
  </si>
  <si>
    <t>Léon vh H.</t>
  </si>
  <si>
    <t>Maurice vd K.</t>
  </si>
  <si>
    <t>`1</t>
  </si>
  <si>
    <t>Jos S.</t>
  </si>
  <si>
    <t>René vd S.</t>
  </si>
  <si>
    <t>Martijn V.</t>
  </si>
  <si>
    <t>Jornt B.</t>
  </si>
  <si>
    <t>Hugo B.</t>
  </si>
  <si>
    <t>Gemma R.</t>
  </si>
  <si>
    <t>Georginio Wijnaldum (m)</t>
  </si>
  <si>
    <t>Tinka H.</t>
  </si>
  <si>
    <t>Kees K.</t>
  </si>
  <si>
    <t xml:space="preserve">Jan L. </t>
  </si>
  <si>
    <t>Koldo V.</t>
  </si>
  <si>
    <t>Wilbert van D.</t>
  </si>
  <si>
    <t>Marcel H. (introducee Marjan)</t>
  </si>
  <si>
    <t>Wim D.</t>
  </si>
  <si>
    <t>Alexander Buttner (v)</t>
  </si>
  <si>
    <t>Jorg R.</t>
  </si>
  <si>
    <t>Bert vd S</t>
  </si>
  <si>
    <t>Hans V.</t>
  </si>
  <si>
    <t>Jordy K. (introducee Vivian v V.)</t>
  </si>
  <si>
    <t>Vivian v. V.</t>
  </si>
  <si>
    <t>Sylvia W.</t>
  </si>
  <si>
    <t>Jan vd H.</t>
  </si>
  <si>
    <t>Inday vd S.</t>
  </si>
  <si>
    <t>Anneliez</t>
  </si>
  <si>
    <t>Martinos de Hoekos</t>
  </si>
  <si>
    <t>Radjesh S.</t>
  </si>
  <si>
    <t>Marco van Ginkel (m)</t>
  </si>
  <si>
    <t>Yair S.</t>
  </si>
  <si>
    <t>Foppe d. J.</t>
  </si>
  <si>
    <t>Patricia U.</t>
  </si>
  <si>
    <t>Ronald v. E.</t>
  </si>
  <si>
    <t>Stijn v. D.</t>
  </si>
  <si>
    <t>John Heitinga (v)</t>
  </si>
  <si>
    <t>René vd B.</t>
  </si>
  <si>
    <t>Miranda H.</t>
  </si>
  <si>
    <t>Rob F.</t>
  </si>
  <si>
    <t>Emiel V.</t>
  </si>
  <si>
    <t>Arnoud J.</t>
  </si>
  <si>
    <t>Tonny Trindade de Vilhena (m)</t>
  </si>
  <si>
    <t>Ricky van Wolfswinkel (a)</t>
  </si>
  <si>
    <t>Glen S.</t>
  </si>
  <si>
    <t>Marjan V.</t>
  </si>
  <si>
    <t>Marina P.</t>
  </si>
  <si>
    <t>Robért S.</t>
  </si>
  <si>
    <t>Annelies J.</t>
  </si>
  <si>
    <t>punten</t>
  </si>
  <si>
    <t>Volgnr</t>
  </si>
  <si>
    <t>_</t>
  </si>
  <si>
    <t>Edwin de G. (introducee Yvonne J.)</t>
  </si>
  <si>
    <t>Ricardo B. (introducee Marcel M.)</t>
  </si>
  <si>
    <t>Kees H. (introducee Thomas H.)</t>
  </si>
  <si>
    <t>Jasper S. (introducee Marcel S.)</t>
  </si>
  <si>
    <t>Astrid vd B. (introducee Pascal)</t>
  </si>
  <si>
    <t>Kim B. (introducee Esther vd L.)</t>
  </si>
  <si>
    <t>Francine S. (introducee Malrini)</t>
  </si>
  <si>
    <t>Jolise (introducee Ricardo M.)</t>
  </si>
  <si>
    <t>Sanne D. (introducee Kay L.)</t>
  </si>
  <si>
    <t>Alex R. (introducee Sylvia)</t>
  </si>
  <si>
    <t>Andrea S. (introducee Léon)</t>
  </si>
  <si>
    <t>Gerrit T. (introducee René K.)</t>
  </si>
  <si>
    <t>Jonas S. (introducee Robért)</t>
  </si>
  <si>
    <t>Jacco S. (introducee Martin S.)</t>
  </si>
  <si>
    <t>Carola L. (introducee Jan L.)</t>
  </si>
  <si>
    <t>Quinn H. (introducee Corjan)</t>
  </si>
  <si>
    <t>WK-winnaar</t>
  </si>
  <si>
    <t>Nr 2</t>
  </si>
  <si>
    <t>nr 3</t>
  </si>
  <si>
    <t>nr 4</t>
  </si>
</sst>
</file>

<file path=xl/styles.xml><?xml version="1.0" encoding="utf-8"?>
<styleSheet xmlns="http://schemas.openxmlformats.org/spreadsheetml/2006/main">
  <numFmts count="1">
    <numFmt numFmtId="164" formatCode="[$-413]d/mmm;@"/>
  </numFmts>
  <fonts count="42">
    <font>
      <sz val="11"/>
      <color theme="1"/>
      <name val="Calibri"/>
      <family val="2"/>
      <scheme val="minor"/>
    </font>
    <font>
      <b/>
      <sz val="11"/>
      <color indexed="9"/>
      <name val="Calibri"/>
      <family val="2"/>
    </font>
    <font>
      <b/>
      <sz val="10"/>
      <color indexed="8"/>
      <name val="Times New Roman"/>
      <family val="1"/>
    </font>
    <font>
      <b/>
      <sz val="10"/>
      <color indexed="12"/>
      <name val="Times New Roman"/>
      <family val="1"/>
    </font>
    <font>
      <b/>
      <sz val="10"/>
      <color indexed="10"/>
      <name val="Times New Roman"/>
      <family val="1"/>
    </font>
    <font>
      <b/>
      <sz val="10"/>
      <color indexed="51"/>
      <name val="Times New Roman"/>
      <family val="1"/>
    </font>
    <font>
      <b/>
      <sz val="14"/>
      <color indexed="8"/>
      <name val="Times New Roman"/>
      <family val="1"/>
    </font>
    <font>
      <b/>
      <sz val="10"/>
      <color indexed="9"/>
      <name val="Times New Roman"/>
      <family val="1"/>
    </font>
    <font>
      <b/>
      <sz val="16"/>
      <color indexed="13"/>
      <name val="Times New Roman"/>
      <family val="1"/>
    </font>
    <font>
      <sz val="9"/>
      <name val="Arial"/>
      <family val="2"/>
    </font>
    <font>
      <b/>
      <sz val="10"/>
      <color indexed="9"/>
      <name val="Arial"/>
      <family val="2"/>
    </font>
    <font>
      <sz val="11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13"/>
      <name val="Arial"/>
      <family val="2"/>
    </font>
    <font>
      <b/>
      <sz val="20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8"/>
      <name val="Calibri"/>
      <family val="2"/>
    </font>
    <font>
      <sz val="11"/>
      <color indexed="8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sz val="11"/>
      <color indexed="10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7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5" fillId="0" borderId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5" borderId="0" applyNumberFormat="0" applyBorder="0" applyAlignment="0" applyProtection="0"/>
    <xf numFmtId="0" fontId="26" fillId="26" borderId="64" applyNumberFormat="0" applyAlignment="0" applyProtection="0"/>
    <xf numFmtId="0" fontId="1" fillId="27" borderId="65" applyNumberFormat="0" applyAlignment="0" applyProtection="0"/>
    <xf numFmtId="0" fontId="27" fillId="0" borderId="66" applyNumberFormat="0" applyFill="0" applyAlignment="0" applyProtection="0"/>
    <xf numFmtId="0" fontId="28" fillId="10" borderId="0" applyNumberFormat="0" applyBorder="0" applyAlignment="0" applyProtection="0"/>
    <xf numFmtId="0" fontId="29" fillId="13" borderId="64" applyNumberFormat="0" applyAlignment="0" applyProtection="0"/>
    <xf numFmtId="0" fontId="30" fillId="0" borderId="67" applyNumberFormat="0" applyFill="0" applyAlignment="0" applyProtection="0"/>
    <xf numFmtId="0" fontId="31" fillId="0" borderId="68" applyNumberFormat="0" applyFill="0" applyAlignment="0" applyProtection="0"/>
    <xf numFmtId="0" fontId="32" fillId="0" borderId="69" applyNumberFormat="0" applyFill="0" applyAlignment="0" applyProtection="0"/>
    <xf numFmtId="0" fontId="32" fillId="0" borderId="0" applyNumberFormat="0" applyFill="0" applyBorder="0" applyAlignment="0" applyProtection="0"/>
    <xf numFmtId="0" fontId="33" fillId="28" borderId="0" applyNumberFormat="0" applyBorder="0" applyAlignment="0" applyProtection="0"/>
    <xf numFmtId="0" fontId="25" fillId="29" borderId="70" applyNumberFormat="0" applyFont="0" applyAlignment="0" applyProtection="0"/>
    <xf numFmtId="0" fontId="34" fillId="9" borderId="0" applyNumberFormat="0" applyBorder="0" applyAlignment="0" applyProtection="0"/>
    <xf numFmtId="0" fontId="35" fillId="0" borderId="0" applyNumberFormat="0" applyFill="0" applyBorder="0" applyAlignment="0" applyProtection="0"/>
    <xf numFmtId="0" fontId="12" fillId="0" borderId="71" applyNumberFormat="0" applyFill="0" applyAlignment="0" applyProtection="0"/>
    <xf numFmtId="0" fontId="36" fillId="26" borderId="72" applyNumberFormat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</cellStyleXfs>
  <cellXfs count="918">
    <xf numFmtId="0" fontId="0" fillId="0" borderId="0" xfId="0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quotePrefix="1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14" fontId="2" fillId="0" borderId="5" xfId="0" applyNumberFormat="1" applyFont="1" applyBorder="1"/>
    <xf numFmtId="0" fontId="2" fillId="0" borderId="6" xfId="0" applyFont="1" applyBorder="1" applyAlignment="1">
      <alignment horizontal="center"/>
    </xf>
    <xf numFmtId="0" fontId="2" fillId="0" borderId="7" xfId="0" quotePrefix="1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2" fillId="0" borderId="10" xfId="0" applyFont="1" applyBorder="1" applyAlignment="1">
      <alignment horizontal="center"/>
    </xf>
    <xf numFmtId="14" fontId="2" fillId="0" borderId="11" xfId="0" applyNumberFormat="1" applyFont="1" applyBorder="1"/>
    <xf numFmtId="0" fontId="2" fillId="0" borderId="12" xfId="0" applyFont="1" applyBorder="1" applyAlignment="1">
      <alignment horizontal="center"/>
    </xf>
    <xf numFmtId="0" fontId="2" fillId="0" borderId="13" xfId="0" quotePrefix="1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14" fontId="2" fillId="0" borderId="17" xfId="0" applyNumberFormat="1" applyFont="1" applyBorder="1"/>
    <xf numFmtId="0" fontId="2" fillId="0" borderId="18" xfId="0" applyFont="1" applyBorder="1" applyAlignment="1">
      <alignment horizontal="center"/>
    </xf>
    <xf numFmtId="0" fontId="2" fillId="0" borderId="0" xfId="0" quotePrefix="1" applyFont="1" applyBorder="1" applyAlignment="1">
      <alignment horizontal="center"/>
    </xf>
    <xf numFmtId="0" fontId="5" fillId="0" borderId="19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14" fontId="2" fillId="0" borderId="22" xfId="0" applyNumberFormat="1" applyFont="1" applyBorder="1"/>
    <xf numFmtId="0" fontId="2" fillId="0" borderId="23" xfId="0" applyFont="1" applyBorder="1" applyAlignment="1">
      <alignment horizontal="center"/>
    </xf>
    <xf numFmtId="0" fontId="2" fillId="0" borderId="3" xfId="0" quotePrefix="1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5" fillId="0" borderId="18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14" fontId="2" fillId="0" borderId="27" xfId="0" applyNumberFormat="1" applyFont="1" applyBorder="1"/>
    <xf numFmtId="0" fontId="2" fillId="0" borderId="28" xfId="0" applyFont="1" applyBorder="1" applyAlignment="1">
      <alignment horizontal="center"/>
    </xf>
    <xf numFmtId="0" fontId="2" fillId="0" borderId="29" xfId="0" quotePrefix="1" applyFont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4" fillId="0" borderId="31" xfId="0" applyFont="1" applyBorder="1" applyAlignment="1">
      <alignment horizontal="center"/>
    </xf>
    <xf numFmtId="14" fontId="2" fillId="0" borderId="0" xfId="0" applyNumberFormat="1" applyFont="1"/>
    <xf numFmtId="0" fontId="2" fillId="0" borderId="0" xfId="0" applyFont="1"/>
    <xf numFmtId="37" fontId="2" fillId="0" borderId="0" xfId="0" applyNumberFormat="1" applyFont="1" applyAlignment="1">
      <alignment horizontal="center"/>
    </xf>
    <xf numFmtId="0" fontId="2" fillId="2" borderId="32" xfId="0" applyFont="1" applyFill="1" applyBorder="1"/>
    <xf numFmtId="37" fontId="2" fillId="2" borderId="32" xfId="0" applyNumberFormat="1" applyFont="1" applyFill="1" applyBorder="1" applyAlignment="1">
      <alignment horizontal="center"/>
    </xf>
    <xf numFmtId="0" fontId="2" fillId="0" borderId="33" xfId="0" applyFont="1" applyBorder="1"/>
    <xf numFmtId="37" fontId="4" fillId="0" borderId="22" xfId="0" applyNumberFormat="1" applyFont="1" applyBorder="1" applyAlignment="1">
      <alignment horizontal="center"/>
    </xf>
    <xf numFmtId="37" fontId="4" fillId="0" borderId="34" xfId="0" applyNumberFormat="1" applyFont="1" applyBorder="1" applyAlignment="1">
      <alignment horizontal="center"/>
    </xf>
    <xf numFmtId="37" fontId="4" fillId="0" borderId="24" xfId="0" applyNumberFormat="1" applyFont="1" applyBorder="1" applyAlignment="1">
      <alignment horizontal="center"/>
    </xf>
    <xf numFmtId="0" fontId="2" fillId="0" borderId="35" xfId="0" applyFont="1" applyBorder="1"/>
    <xf numFmtId="37" fontId="4" fillId="0" borderId="5" xfId="0" applyNumberFormat="1" applyFont="1" applyBorder="1" applyAlignment="1">
      <alignment horizontal="center"/>
    </xf>
    <xf numFmtId="37" fontId="4" fillId="0" borderId="8" xfId="0" applyNumberFormat="1" applyFont="1" applyBorder="1" applyAlignment="1">
      <alignment horizontal="center"/>
    </xf>
    <xf numFmtId="0" fontId="2" fillId="0" borderId="36" xfId="0" applyFont="1" applyBorder="1"/>
    <xf numFmtId="37" fontId="4" fillId="0" borderId="37" xfId="0" applyNumberFormat="1" applyFont="1" applyBorder="1" applyAlignment="1">
      <alignment horizontal="center"/>
    </xf>
    <xf numFmtId="37" fontId="4" fillId="0" borderId="38" xfId="0" applyNumberFormat="1" applyFont="1" applyBorder="1" applyAlignment="1">
      <alignment horizontal="center"/>
    </xf>
    <xf numFmtId="0" fontId="5" fillId="0" borderId="35" xfId="0" applyFont="1" applyBorder="1"/>
    <xf numFmtId="0" fontId="4" fillId="0" borderId="12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4" fillId="0" borderId="23" xfId="0" applyFont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14" fontId="2" fillId="0" borderId="37" xfId="0" applyNumberFormat="1" applyFont="1" applyBorder="1"/>
    <xf numFmtId="0" fontId="4" fillId="0" borderId="39" xfId="0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14" fontId="7" fillId="3" borderId="37" xfId="0" applyNumberFormat="1" applyFont="1" applyFill="1" applyBorder="1" applyAlignment="1">
      <alignment horizontal="center"/>
    </xf>
    <xf numFmtId="0" fontId="7" fillId="3" borderId="39" xfId="0" applyFont="1" applyFill="1" applyBorder="1" applyAlignment="1">
      <alignment horizontal="center"/>
    </xf>
    <xf numFmtId="0" fontId="7" fillId="3" borderId="2" xfId="0" quotePrefix="1" applyFont="1" applyFill="1" applyBorder="1" applyAlignment="1">
      <alignment horizontal="center"/>
    </xf>
    <xf numFmtId="0" fontId="7" fillId="3" borderId="38" xfId="0" applyFont="1" applyFill="1" applyBorder="1" applyAlignment="1">
      <alignment horizontal="center"/>
    </xf>
    <xf numFmtId="0" fontId="7" fillId="3" borderId="40" xfId="0" applyFont="1" applyFill="1" applyBorder="1" applyAlignment="1">
      <alignment horizontal="center"/>
    </xf>
    <xf numFmtId="0" fontId="7" fillId="3" borderId="32" xfId="0" applyFont="1" applyFill="1" applyBorder="1"/>
    <xf numFmtId="37" fontId="7" fillId="3" borderId="41" xfId="0" applyNumberFormat="1" applyFont="1" applyFill="1" applyBorder="1" applyAlignment="1">
      <alignment horizontal="center"/>
    </xf>
    <xf numFmtId="37" fontId="7" fillId="3" borderId="42" xfId="0" applyNumberFormat="1" applyFont="1" applyFill="1" applyBorder="1" applyAlignment="1">
      <alignment horizontal="center"/>
    </xf>
    <xf numFmtId="37" fontId="7" fillId="3" borderId="43" xfId="0" applyNumberFormat="1" applyFont="1" applyFill="1" applyBorder="1" applyAlignment="1">
      <alignment horizontal="center"/>
    </xf>
    <xf numFmtId="37" fontId="7" fillId="3" borderId="32" xfId="0" applyNumberFormat="1" applyFont="1" applyFill="1" applyBorder="1" applyAlignment="1">
      <alignment horizontal="center"/>
    </xf>
    <xf numFmtId="0" fontId="7" fillId="3" borderId="44" xfId="0" applyFont="1" applyFill="1" applyBorder="1" applyAlignment="1">
      <alignment horizontal="center"/>
    </xf>
    <xf numFmtId="0" fontId="7" fillId="3" borderId="4" xfId="0" applyFont="1" applyFill="1" applyBorder="1" applyAlignment="1">
      <alignment horizontal="center"/>
    </xf>
    <xf numFmtId="14" fontId="7" fillId="3" borderId="5" xfId="0" applyNumberFormat="1" applyFont="1" applyFill="1" applyBorder="1" applyAlignment="1">
      <alignment horizontal="center"/>
    </xf>
    <xf numFmtId="0" fontId="7" fillId="3" borderId="6" xfId="0" applyFont="1" applyFill="1" applyBorder="1" applyAlignment="1">
      <alignment horizontal="center"/>
    </xf>
    <xf numFmtId="0" fontId="7" fillId="3" borderId="7" xfId="0" quotePrefix="1" applyFont="1" applyFill="1" applyBorder="1" applyAlignment="1">
      <alignment horizontal="center"/>
    </xf>
    <xf numFmtId="0" fontId="7" fillId="3" borderId="8" xfId="0" applyFont="1" applyFill="1" applyBorder="1" applyAlignment="1">
      <alignment horizontal="center"/>
    </xf>
    <xf numFmtId="0" fontId="7" fillId="3" borderId="9" xfId="0" applyFont="1" applyFill="1" applyBorder="1" applyAlignment="1">
      <alignment horizontal="center"/>
    </xf>
    <xf numFmtId="0" fontId="3" fillId="4" borderId="6" xfId="0" applyFont="1" applyFill="1" applyBorder="1" applyAlignment="1" applyProtection="1">
      <alignment horizontal="center"/>
      <protection locked="0"/>
    </xf>
    <xf numFmtId="0" fontId="3" fillId="4" borderId="12" xfId="0" applyFont="1" applyFill="1" applyBorder="1" applyAlignment="1" applyProtection="1">
      <alignment horizontal="center"/>
      <protection locked="0"/>
    </xf>
    <xf numFmtId="0" fontId="3" fillId="4" borderId="18" xfId="0" applyFont="1" applyFill="1" applyBorder="1" applyAlignment="1" applyProtection="1">
      <alignment horizontal="center"/>
      <protection locked="0"/>
    </xf>
    <xf numFmtId="0" fontId="3" fillId="4" borderId="23" xfId="0" applyFont="1" applyFill="1" applyBorder="1" applyAlignment="1" applyProtection="1">
      <alignment horizontal="center"/>
      <protection locked="0"/>
    </xf>
    <xf numFmtId="0" fontId="3" fillId="4" borderId="28" xfId="0" applyFont="1" applyFill="1" applyBorder="1" applyAlignment="1" applyProtection="1">
      <alignment horizontal="center"/>
      <protection locked="0"/>
    </xf>
    <xf numFmtId="0" fontId="3" fillId="4" borderId="7" xfId="0" applyFont="1" applyFill="1" applyBorder="1" applyAlignment="1" applyProtection="1">
      <alignment horizontal="center"/>
      <protection locked="0"/>
    </xf>
    <xf numFmtId="0" fontId="3" fillId="4" borderId="13" xfId="0" applyFont="1" applyFill="1" applyBorder="1" applyAlignment="1" applyProtection="1">
      <alignment horizontal="center"/>
      <protection locked="0"/>
    </xf>
    <xf numFmtId="0" fontId="3" fillId="4" borderId="0" xfId="0" applyFont="1" applyFill="1" applyBorder="1" applyAlignment="1" applyProtection="1">
      <alignment horizontal="center"/>
      <protection locked="0"/>
    </xf>
    <xf numFmtId="0" fontId="3" fillId="4" borderId="3" xfId="0" applyFont="1" applyFill="1" applyBorder="1" applyAlignment="1" applyProtection="1">
      <alignment horizontal="center"/>
      <protection locked="0"/>
    </xf>
    <xf numFmtId="0" fontId="3" fillId="4" borderId="29" xfId="0" applyFont="1" applyFill="1" applyBorder="1" applyAlignment="1" applyProtection="1">
      <alignment horizontal="center"/>
      <protection locked="0"/>
    </xf>
    <xf numFmtId="37" fontId="3" fillId="4" borderId="33" xfId="0" applyNumberFormat="1" applyFont="1" applyFill="1" applyBorder="1" applyAlignment="1" applyProtection="1">
      <alignment horizontal="center"/>
      <protection locked="0"/>
    </xf>
    <xf numFmtId="37" fontId="3" fillId="4" borderId="35" xfId="0" applyNumberFormat="1" applyFont="1" applyFill="1" applyBorder="1" applyAlignment="1" applyProtection="1">
      <alignment horizontal="center"/>
      <protection locked="0"/>
    </xf>
    <xf numFmtId="37" fontId="3" fillId="4" borderId="36" xfId="0" applyNumberFormat="1" applyFont="1" applyFill="1" applyBorder="1" applyAlignment="1" applyProtection="1">
      <alignment horizontal="center"/>
      <protection locked="0"/>
    </xf>
    <xf numFmtId="0" fontId="3" fillId="4" borderId="14" xfId="0" applyFont="1" applyFill="1" applyBorder="1" applyAlignment="1" applyProtection="1">
      <alignment horizontal="center"/>
      <protection locked="0"/>
    </xf>
    <xf numFmtId="0" fontId="3" fillId="4" borderId="15" xfId="0" applyFont="1" applyFill="1" applyBorder="1" applyAlignment="1" applyProtection="1">
      <alignment horizontal="center"/>
      <protection locked="0"/>
    </xf>
    <xf numFmtId="0" fontId="3" fillId="4" borderId="24" xfId="0" applyFont="1" applyFill="1" applyBorder="1" applyAlignment="1" applyProtection="1">
      <alignment horizontal="center"/>
      <protection locked="0"/>
    </xf>
    <xf numFmtId="0" fontId="3" fillId="4" borderId="25" xfId="0" applyFont="1" applyFill="1" applyBorder="1" applyAlignment="1" applyProtection="1">
      <alignment horizontal="center"/>
      <protection locked="0"/>
    </xf>
    <xf numFmtId="0" fontId="3" fillId="4" borderId="19" xfId="0" applyFont="1" applyFill="1" applyBorder="1" applyAlignment="1" applyProtection="1">
      <alignment horizontal="center"/>
      <protection locked="0"/>
    </xf>
    <xf numFmtId="0" fontId="3" fillId="4" borderId="20" xfId="0" applyFont="1" applyFill="1" applyBorder="1" applyAlignment="1" applyProtection="1">
      <alignment horizontal="center"/>
      <protection locked="0"/>
    </xf>
    <xf numFmtId="0" fontId="3" fillId="4" borderId="30" xfId="0" applyFont="1" applyFill="1" applyBorder="1" applyAlignment="1" applyProtection="1">
      <alignment horizontal="center"/>
      <protection locked="0"/>
    </xf>
    <xf numFmtId="0" fontId="3" fillId="4" borderId="31" xfId="0" applyFont="1" applyFill="1" applyBorder="1" applyAlignment="1" applyProtection="1">
      <alignment horizontal="center"/>
      <protection locked="0"/>
    </xf>
    <xf numFmtId="0" fontId="3" fillId="4" borderId="39" xfId="0" applyFont="1" applyFill="1" applyBorder="1" applyAlignment="1" applyProtection="1">
      <alignment horizontal="center"/>
      <protection locked="0"/>
    </xf>
    <xf numFmtId="0" fontId="3" fillId="4" borderId="38" xfId="0" applyFont="1" applyFill="1" applyBorder="1" applyAlignment="1" applyProtection="1">
      <alignment horizontal="center"/>
      <protection locked="0"/>
    </xf>
    <xf numFmtId="0" fontId="3" fillId="4" borderId="45" xfId="0" applyFont="1" applyFill="1" applyBorder="1" applyAlignment="1" applyProtection="1">
      <alignment horizontal="center"/>
      <protection locked="0"/>
    </xf>
    <xf numFmtId="0" fontId="0" fillId="0" borderId="5" xfId="0" applyBorder="1"/>
    <xf numFmtId="0" fontId="0" fillId="5" borderId="5" xfId="0" applyFill="1" applyBorder="1" applyAlignment="1">
      <alignment horizontal="center"/>
    </xf>
    <xf numFmtId="1" fontId="9" fillId="0" borderId="46" xfId="0" applyNumberFormat="1" applyFont="1" applyBorder="1" applyAlignment="1">
      <alignment horizontal="center" vertical="center"/>
    </xf>
    <xf numFmtId="1" fontId="9" fillId="0" borderId="47" xfId="0" applyNumberFormat="1" applyFont="1" applyBorder="1" applyAlignment="1">
      <alignment horizontal="center" vertical="center"/>
    </xf>
    <xf numFmtId="0" fontId="1" fillId="3" borderId="0" xfId="0" applyFont="1" applyFill="1"/>
    <xf numFmtId="0" fontId="10" fillId="3" borderId="0" xfId="0" applyFont="1" applyFill="1" applyAlignment="1">
      <alignment horizontal="center"/>
    </xf>
    <xf numFmtId="0" fontId="1" fillId="3" borderId="17" xfId="0" applyFont="1" applyFill="1" applyBorder="1"/>
    <xf numFmtId="37" fontId="4" fillId="0" borderId="48" xfId="0" applyNumberFormat="1" applyFont="1" applyBorder="1" applyAlignment="1" applyProtection="1">
      <alignment horizontal="center"/>
    </xf>
    <xf numFmtId="0" fontId="2" fillId="0" borderId="49" xfId="0" applyFont="1" applyBorder="1"/>
    <xf numFmtId="0" fontId="2" fillId="0" borderId="50" xfId="0" applyFont="1" applyBorder="1"/>
    <xf numFmtId="0" fontId="2" fillId="0" borderId="40" xfId="0" applyFont="1" applyBorder="1"/>
    <xf numFmtId="0" fontId="5" fillId="0" borderId="50" xfId="0" applyFont="1" applyBorder="1"/>
    <xf numFmtId="37" fontId="0" fillId="5" borderId="5" xfId="0" applyNumberFormat="1" applyFill="1" applyBorder="1" applyAlignment="1">
      <alignment horizontal="center"/>
    </xf>
    <xf numFmtId="164" fontId="7" fillId="3" borderId="37" xfId="0" applyNumberFormat="1" applyFont="1" applyFill="1" applyBorder="1" applyAlignment="1">
      <alignment horizontal="center"/>
    </xf>
    <xf numFmtId="164" fontId="7" fillId="3" borderId="5" xfId="0" applyNumberFormat="1" applyFon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164" fontId="2" fillId="0" borderId="5" xfId="0" applyNumberFormat="1" applyFont="1" applyBorder="1" applyAlignment="1">
      <alignment horizontal="center"/>
    </xf>
    <xf numFmtId="164" fontId="2" fillId="0" borderId="11" xfId="0" applyNumberFormat="1" applyFont="1" applyBorder="1" applyAlignment="1">
      <alignment horizontal="center"/>
    </xf>
    <xf numFmtId="164" fontId="2" fillId="0" borderId="17" xfId="0" applyNumberFormat="1" applyFont="1" applyBorder="1" applyAlignment="1">
      <alignment horizontal="center"/>
    </xf>
    <xf numFmtId="164" fontId="2" fillId="0" borderId="22" xfId="0" applyNumberFormat="1" applyFont="1" applyBorder="1" applyAlignment="1">
      <alignment horizontal="center"/>
    </xf>
    <xf numFmtId="164" fontId="2" fillId="0" borderId="27" xfId="0" applyNumberFormat="1" applyFont="1" applyBorder="1" applyAlignment="1">
      <alignment horizontal="center"/>
    </xf>
    <xf numFmtId="164" fontId="2" fillId="0" borderId="0" xfId="0" applyNumberFormat="1" applyFont="1" applyAlignment="1">
      <alignment horizontal="center"/>
    </xf>
    <xf numFmtId="164" fontId="2" fillId="0" borderId="37" xfId="0" applyNumberFormat="1" applyFont="1" applyBorder="1" applyAlignment="1">
      <alignment horizontal="center"/>
    </xf>
    <xf numFmtId="0" fontId="14" fillId="0" borderId="5" xfId="0" applyFont="1" applyFill="1" applyBorder="1" applyAlignment="1">
      <alignment horizontal="left"/>
    </xf>
    <xf numFmtId="0" fontId="0" fillId="0" borderId="0" xfId="0" applyFill="1"/>
    <xf numFmtId="0" fontId="15" fillId="0" borderId="51" xfId="0" applyFont="1" applyBorder="1"/>
    <xf numFmtId="0" fontId="13" fillId="3" borderId="0" xfId="0" applyFont="1" applyFill="1"/>
    <xf numFmtId="0" fontId="13" fillId="3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12" fillId="0" borderId="0" xfId="0" applyFont="1"/>
    <xf numFmtId="0" fontId="0" fillId="0" borderId="0" xfId="0" applyAlignment="1">
      <alignment horizontal="left"/>
    </xf>
    <xf numFmtId="0" fontId="11" fillId="5" borderId="5" xfId="0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12" fillId="0" borderId="5" xfId="0" applyFont="1" applyBorder="1"/>
    <xf numFmtId="0" fontId="0" fillId="2" borderId="5" xfId="0" applyFill="1" applyBorder="1" applyAlignment="1">
      <alignment horizontal="center"/>
    </xf>
    <xf numFmtId="0" fontId="0" fillId="4" borderId="3" xfId="0" applyFill="1" applyBorder="1"/>
    <xf numFmtId="0" fontId="16" fillId="0" borderId="5" xfId="0" applyFont="1" applyBorder="1" applyAlignment="1">
      <alignment horizontal="center" vertical="center"/>
    </xf>
    <xf numFmtId="0" fontId="17" fillId="0" borderId="5" xfId="0" applyFont="1" applyFill="1" applyBorder="1" applyAlignment="1">
      <alignment horizontal="left"/>
    </xf>
    <xf numFmtId="0" fontId="17" fillId="0" borderId="5" xfId="0" applyFont="1" applyFill="1" applyBorder="1" applyAlignment="1">
      <alignment horizontal="center"/>
    </xf>
    <xf numFmtId="0" fontId="17" fillId="0" borderId="5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/>
    </xf>
    <xf numFmtId="0" fontId="18" fillId="6" borderId="5" xfId="0" applyFont="1" applyFill="1" applyBorder="1" applyAlignment="1">
      <alignment horizontal="center"/>
    </xf>
    <xf numFmtId="0" fontId="20" fillId="7" borderId="52" xfId="0" applyFont="1" applyFill="1" applyBorder="1"/>
    <xf numFmtId="0" fontId="4" fillId="0" borderId="13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21" fillId="7" borderId="53" xfId="0" applyFont="1" applyFill="1" applyBorder="1"/>
    <xf numFmtId="49" fontId="22" fillId="7" borderId="0" xfId="0" applyNumberFormat="1" applyFont="1" applyFill="1" applyBorder="1" applyAlignment="1">
      <alignment horizontal="left"/>
    </xf>
    <xf numFmtId="49" fontId="15" fillId="7" borderId="0" xfId="0" applyNumberFormat="1" applyFont="1" applyFill="1" applyBorder="1" applyAlignment="1">
      <alignment horizontal="left"/>
    </xf>
    <xf numFmtId="49" fontId="23" fillId="7" borderId="53" xfId="0" applyNumberFormat="1" applyFont="1" applyFill="1" applyBorder="1" applyAlignment="1">
      <alignment horizontal="left"/>
    </xf>
    <xf numFmtId="49" fontId="20" fillId="7" borderId="53" xfId="0" applyNumberFormat="1" applyFont="1" applyFill="1" applyBorder="1"/>
    <xf numFmtId="49" fontId="20" fillId="7" borderId="0" xfId="0" applyNumberFormat="1" applyFont="1" applyFill="1" applyBorder="1" applyAlignment="1">
      <alignment horizontal="left"/>
    </xf>
    <xf numFmtId="49" fontId="22" fillId="7" borderId="53" xfId="0" applyNumberFormat="1" applyFont="1" applyFill="1" applyBorder="1" applyAlignment="1">
      <alignment horizontal="left"/>
    </xf>
    <xf numFmtId="49" fontId="20" fillId="7" borderId="53" xfId="0" applyNumberFormat="1" applyFont="1" applyFill="1" applyBorder="1" applyAlignment="1">
      <alignment horizontal="left"/>
    </xf>
    <xf numFmtId="49" fontId="21" fillId="7" borderId="53" xfId="0" applyNumberFormat="1" applyFont="1" applyFill="1" applyBorder="1" applyAlignment="1">
      <alignment horizontal="left"/>
    </xf>
    <xf numFmtId="0" fontId="0" fillId="7" borderId="53" xfId="0" applyFill="1" applyBorder="1"/>
    <xf numFmtId="0" fontId="0" fillId="7" borderId="0" xfId="0" applyFill="1" applyBorder="1"/>
    <xf numFmtId="0" fontId="0" fillId="7" borderId="52" xfId="0" applyFill="1" applyBorder="1"/>
    <xf numFmtId="49" fontId="20" fillId="7" borderId="54" xfId="0" applyNumberFormat="1" applyFont="1" applyFill="1" applyBorder="1" applyAlignment="1">
      <alignment horizontal="left"/>
    </xf>
    <xf numFmtId="0" fontId="0" fillId="7" borderId="29" xfId="0" applyFill="1" applyBorder="1"/>
    <xf numFmtId="0" fontId="0" fillId="7" borderId="55" xfId="0" applyFill="1" applyBorder="1"/>
    <xf numFmtId="0" fontId="20" fillId="7" borderId="56" xfId="0" applyFont="1" applyFill="1" applyBorder="1"/>
    <xf numFmtId="0" fontId="20" fillId="7" borderId="57" xfId="0" applyFont="1" applyFill="1" applyBorder="1"/>
    <xf numFmtId="0" fontId="20" fillId="7" borderId="58" xfId="0" applyFont="1" applyFill="1" applyBorder="1"/>
    <xf numFmtId="49" fontId="23" fillId="7" borderId="54" xfId="0" applyNumberFormat="1" applyFont="1" applyFill="1" applyBorder="1" applyAlignment="1">
      <alignment horizontal="left"/>
    </xf>
    <xf numFmtId="49" fontId="20" fillId="7" borderId="29" xfId="0" applyNumberFormat="1" applyFont="1" applyFill="1" applyBorder="1" applyAlignment="1">
      <alignment horizontal="left"/>
    </xf>
    <xf numFmtId="0" fontId="20" fillId="7" borderId="55" xfId="0" applyFont="1" applyFill="1" applyBorder="1"/>
    <xf numFmtId="49" fontId="23" fillId="7" borderId="56" xfId="0" applyNumberFormat="1" applyFont="1" applyFill="1" applyBorder="1" applyAlignment="1">
      <alignment horizontal="left"/>
    </xf>
    <xf numFmtId="49" fontId="20" fillId="7" borderId="57" xfId="0" applyNumberFormat="1" applyFont="1" applyFill="1" applyBorder="1" applyAlignment="1">
      <alignment horizontal="left"/>
    </xf>
    <xf numFmtId="0" fontId="20" fillId="7" borderId="54" xfId="0" applyFont="1" applyFill="1" applyBorder="1"/>
    <xf numFmtId="49" fontId="21" fillId="7" borderId="56" xfId="0" applyNumberFormat="1" applyFont="1" applyFill="1" applyBorder="1" applyAlignment="1">
      <alignment horizontal="left"/>
    </xf>
    <xf numFmtId="49" fontId="20" fillId="7" borderId="56" xfId="0" applyNumberFormat="1" applyFont="1" applyFill="1" applyBorder="1" applyAlignment="1">
      <alignment horizontal="left"/>
    </xf>
    <xf numFmtId="0" fontId="0" fillId="4" borderId="3" xfId="0" applyFill="1" applyBorder="1" applyProtection="1">
      <protection locked="0"/>
    </xf>
    <xf numFmtId="0" fontId="0" fillId="0" borderId="18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9" xfId="0" applyBorder="1" applyAlignment="1">
      <alignment horizontal="center"/>
    </xf>
    <xf numFmtId="14" fontId="2" fillId="0" borderId="28" xfId="0" applyNumberFormat="1" applyFont="1" applyBorder="1"/>
    <xf numFmtId="0" fontId="7" fillId="3" borderId="12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14" fontId="2" fillId="0" borderId="12" xfId="0" applyNumberFormat="1" applyFont="1" applyBorder="1"/>
    <xf numFmtId="14" fontId="2" fillId="0" borderId="23" xfId="0" applyNumberFormat="1" applyFont="1" applyBorder="1"/>
    <xf numFmtId="14" fontId="2" fillId="0" borderId="18" xfId="0" applyNumberFormat="1" applyFont="1" applyBorder="1"/>
    <xf numFmtId="0" fontId="3" fillId="4" borderId="7" xfId="0" applyFont="1" applyFill="1" applyBorder="1" applyAlignment="1" applyProtection="1">
      <alignment horizontal="center"/>
      <protection locked="0"/>
    </xf>
    <xf numFmtId="0" fontId="7" fillId="3" borderId="6" xfId="0" applyFont="1" applyFill="1" applyBorder="1" applyAlignment="1">
      <alignment horizontal="center"/>
    </xf>
    <xf numFmtId="0" fontId="7" fillId="3" borderId="8" xfId="0" applyFont="1" applyFill="1" applyBorder="1" applyAlignment="1">
      <alignment horizontal="center"/>
    </xf>
    <xf numFmtId="0" fontId="7" fillId="3" borderId="44" xfId="0" applyFont="1" applyFill="1" applyBorder="1" applyAlignment="1">
      <alignment horizontal="center"/>
    </xf>
    <xf numFmtId="0" fontId="7" fillId="3" borderId="39" xfId="0" applyFont="1" applyFill="1" applyBorder="1" applyAlignment="1">
      <alignment horizontal="center"/>
    </xf>
    <xf numFmtId="0" fontId="7" fillId="3" borderId="38" xfId="0" applyFont="1" applyFill="1" applyBorder="1" applyAlignment="1">
      <alignment horizontal="center"/>
    </xf>
    <xf numFmtId="0" fontId="7" fillId="3" borderId="6" xfId="0" applyFont="1" applyFill="1" applyBorder="1" applyAlignment="1">
      <alignment horizontal="center"/>
    </xf>
    <xf numFmtId="0" fontId="7" fillId="3" borderId="8" xfId="0" applyFont="1" applyFill="1" applyBorder="1" applyAlignment="1">
      <alignment horizontal="center"/>
    </xf>
    <xf numFmtId="0" fontId="3" fillId="4" borderId="7" xfId="0" applyFont="1" applyFill="1" applyBorder="1" applyAlignment="1" applyProtection="1">
      <alignment horizontal="center"/>
      <protection locked="0"/>
    </xf>
    <xf numFmtId="0" fontId="7" fillId="3" borderId="44" xfId="0" applyFont="1" applyFill="1" applyBorder="1" applyAlignment="1">
      <alignment horizontal="center"/>
    </xf>
    <xf numFmtId="0" fontId="7" fillId="3" borderId="39" xfId="0" applyFont="1" applyFill="1" applyBorder="1" applyAlignment="1">
      <alignment horizontal="center"/>
    </xf>
    <xf numFmtId="0" fontId="7" fillId="3" borderId="38" xfId="0" applyFont="1" applyFill="1" applyBorder="1" applyAlignment="1">
      <alignment horizontal="center"/>
    </xf>
    <xf numFmtId="164" fontId="13" fillId="3" borderId="0" xfId="0" applyNumberFormat="1" applyFont="1" applyFill="1"/>
    <xf numFmtId="164" fontId="2" fillId="0" borderId="5" xfId="0" applyNumberFormat="1" applyFont="1" applyBorder="1"/>
    <xf numFmtId="164" fontId="2" fillId="0" borderId="11" xfId="0" applyNumberFormat="1" applyFont="1" applyBorder="1"/>
    <xf numFmtId="164" fontId="2" fillId="0" borderId="17" xfId="0" applyNumberFormat="1" applyFont="1" applyBorder="1"/>
    <xf numFmtId="164" fontId="2" fillId="0" borderId="22" xfId="0" applyNumberFormat="1" applyFont="1" applyBorder="1"/>
    <xf numFmtId="164" fontId="2" fillId="0" borderId="27" xfId="0" applyNumberFormat="1" applyFont="1" applyBorder="1"/>
    <xf numFmtId="164" fontId="2" fillId="0" borderId="0" xfId="0" applyNumberFormat="1" applyFont="1"/>
    <xf numFmtId="164" fontId="2" fillId="0" borderId="12" xfId="0" applyNumberFormat="1" applyFont="1" applyBorder="1"/>
    <xf numFmtId="164" fontId="2" fillId="0" borderId="23" xfId="0" applyNumberFormat="1" applyFont="1" applyBorder="1"/>
    <xf numFmtId="164" fontId="2" fillId="0" borderId="18" xfId="0" applyNumberFormat="1" applyFont="1" applyBorder="1"/>
    <xf numFmtId="164" fontId="2" fillId="0" borderId="28" xfId="0" applyNumberFormat="1" applyFont="1" applyBorder="1"/>
    <xf numFmtId="164" fontId="2" fillId="0" borderId="37" xfId="0" applyNumberFormat="1" applyFont="1" applyBorder="1"/>
    <xf numFmtId="0" fontId="7" fillId="3" borderId="6" xfId="0" applyFont="1" applyFill="1" applyBorder="1" applyAlignment="1">
      <alignment horizontal="center"/>
    </xf>
    <xf numFmtId="0" fontId="7" fillId="3" borderId="8" xfId="0" applyFont="1" applyFill="1" applyBorder="1" applyAlignment="1">
      <alignment horizontal="center"/>
    </xf>
    <xf numFmtId="0" fontId="3" fillId="4" borderId="7" xfId="0" applyFont="1" applyFill="1" applyBorder="1" applyAlignment="1" applyProtection="1">
      <alignment horizontal="center"/>
      <protection locked="0"/>
    </xf>
    <xf numFmtId="0" fontId="7" fillId="3" borderId="44" xfId="0" applyFont="1" applyFill="1" applyBorder="1" applyAlignment="1">
      <alignment horizontal="center"/>
    </xf>
    <xf numFmtId="0" fontId="7" fillId="3" borderId="39" xfId="0" applyFont="1" applyFill="1" applyBorder="1" applyAlignment="1">
      <alignment horizontal="center"/>
    </xf>
    <xf numFmtId="0" fontId="7" fillId="3" borderId="38" xfId="0" applyFont="1" applyFill="1" applyBorder="1" applyAlignment="1">
      <alignment horizontal="center"/>
    </xf>
    <xf numFmtId="0" fontId="7" fillId="3" borderId="6" xfId="0" applyFont="1" applyFill="1" applyBorder="1" applyAlignment="1">
      <alignment horizontal="center"/>
    </xf>
    <xf numFmtId="0" fontId="7" fillId="3" borderId="8" xfId="0" applyFont="1" applyFill="1" applyBorder="1" applyAlignment="1">
      <alignment horizontal="center"/>
    </xf>
    <xf numFmtId="0" fontId="3" fillId="4" borderId="7" xfId="0" applyFont="1" applyFill="1" applyBorder="1" applyAlignment="1" applyProtection="1">
      <alignment horizontal="center"/>
      <protection locked="0"/>
    </xf>
    <xf numFmtId="0" fontId="7" fillId="3" borderId="44" xfId="0" applyFont="1" applyFill="1" applyBorder="1" applyAlignment="1">
      <alignment horizontal="center"/>
    </xf>
    <xf numFmtId="0" fontId="7" fillId="3" borderId="39" xfId="0" applyFont="1" applyFill="1" applyBorder="1" applyAlignment="1">
      <alignment horizontal="center"/>
    </xf>
    <xf numFmtId="0" fontId="7" fillId="3" borderId="38" xfId="0" applyFont="1" applyFill="1" applyBorder="1" applyAlignment="1">
      <alignment horizontal="center"/>
    </xf>
    <xf numFmtId="0" fontId="0" fillId="0" borderId="0" xfId="0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quotePrefix="1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14" fontId="2" fillId="0" borderId="5" xfId="0" applyNumberFormat="1" applyFont="1" applyBorder="1"/>
    <xf numFmtId="0" fontId="2" fillId="0" borderId="6" xfId="0" applyFont="1" applyBorder="1" applyAlignment="1">
      <alignment horizontal="center"/>
    </xf>
    <xf numFmtId="0" fontId="2" fillId="0" borderId="7" xfId="0" quotePrefix="1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2" fillId="0" borderId="10" xfId="0" applyFont="1" applyBorder="1" applyAlignment="1">
      <alignment horizontal="center"/>
    </xf>
    <xf numFmtId="14" fontId="2" fillId="0" borderId="11" xfId="0" applyNumberFormat="1" applyFont="1" applyBorder="1"/>
    <xf numFmtId="0" fontId="2" fillId="0" borderId="12" xfId="0" applyFont="1" applyBorder="1" applyAlignment="1">
      <alignment horizontal="center"/>
    </xf>
    <xf numFmtId="0" fontId="2" fillId="0" borderId="13" xfId="0" quotePrefix="1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14" fontId="2" fillId="0" borderId="17" xfId="0" applyNumberFormat="1" applyFont="1" applyBorder="1"/>
    <xf numFmtId="0" fontId="2" fillId="0" borderId="18" xfId="0" applyFont="1" applyBorder="1" applyAlignment="1">
      <alignment horizontal="center"/>
    </xf>
    <xf numFmtId="0" fontId="2" fillId="0" borderId="0" xfId="0" quotePrefix="1" applyFont="1" applyBorder="1" applyAlignment="1">
      <alignment horizontal="center"/>
    </xf>
    <xf numFmtId="0" fontId="5" fillId="0" borderId="19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14" fontId="2" fillId="0" borderId="22" xfId="0" applyNumberFormat="1" applyFont="1" applyBorder="1"/>
    <xf numFmtId="0" fontId="2" fillId="0" borderId="23" xfId="0" applyFont="1" applyBorder="1" applyAlignment="1">
      <alignment horizontal="center"/>
    </xf>
    <xf numFmtId="0" fontId="2" fillId="0" borderId="3" xfId="0" quotePrefix="1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5" fillId="0" borderId="18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14" fontId="2" fillId="0" borderId="27" xfId="0" applyNumberFormat="1" applyFont="1" applyBorder="1"/>
    <xf numFmtId="0" fontId="2" fillId="0" borderId="28" xfId="0" applyFont="1" applyBorder="1" applyAlignment="1">
      <alignment horizontal="center"/>
    </xf>
    <xf numFmtId="0" fontId="2" fillId="0" borderId="29" xfId="0" quotePrefix="1" applyFont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4" fillId="0" borderId="31" xfId="0" applyFont="1" applyBorder="1" applyAlignment="1">
      <alignment horizontal="center"/>
    </xf>
    <xf numFmtId="14" fontId="2" fillId="0" borderId="0" xfId="0" applyNumberFormat="1" applyFont="1"/>
    <xf numFmtId="0" fontId="2" fillId="0" borderId="0" xfId="0" applyFont="1"/>
    <xf numFmtId="37" fontId="2" fillId="0" borderId="0" xfId="0" applyNumberFormat="1" applyFont="1" applyAlignment="1">
      <alignment horizontal="center"/>
    </xf>
    <xf numFmtId="0" fontId="2" fillId="0" borderId="33" xfId="0" applyFont="1" applyBorder="1"/>
    <xf numFmtId="37" fontId="4" fillId="0" borderId="22" xfId="0" applyNumberFormat="1" applyFont="1" applyBorder="1" applyAlignment="1">
      <alignment horizontal="center"/>
    </xf>
    <xf numFmtId="37" fontId="4" fillId="0" borderId="34" xfId="0" applyNumberFormat="1" applyFont="1" applyBorder="1" applyAlignment="1">
      <alignment horizontal="center"/>
    </xf>
    <xf numFmtId="37" fontId="4" fillId="0" borderId="24" xfId="0" applyNumberFormat="1" applyFont="1" applyBorder="1" applyAlignment="1">
      <alignment horizontal="center"/>
    </xf>
    <xf numFmtId="0" fontId="2" fillId="0" borderId="35" xfId="0" applyFont="1" applyBorder="1"/>
    <xf numFmtId="37" fontId="4" fillId="0" borderId="5" xfId="0" applyNumberFormat="1" applyFont="1" applyBorder="1" applyAlignment="1">
      <alignment horizontal="center"/>
    </xf>
    <xf numFmtId="37" fontId="4" fillId="0" borderId="8" xfId="0" applyNumberFormat="1" applyFont="1" applyBorder="1" applyAlignment="1">
      <alignment horizontal="center"/>
    </xf>
    <xf numFmtId="0" fontId="2" fillId="0" borderId="36" xfId="0" applyFont="1" applyBorder="1"/>
    <xf numFmtId="37" fontId="4" fillId="0" borderId="37" xfId="0" applyNumberFormat="1" applyFont="1" applyBorder="1" applyAlignment="1">
      <alignment horizontal="center"/>
    </xf>
    <xf numFmtId="37" fontId="4" fillId="0" borderId="38" xfId="0" applyNumberFormat="1" applyFont="1" applyBorder="1" applyAlignment="1">
      <alignment horizontal="center"/>
    </xf>
    <xf numFmtId="0" fontId="5" fillId="0" borderId="35" xfId="0" applyFont="1" applyBorder="1"/>
    <xf numFmtId="0" fontId="4" fillId="0" borderId="12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4" fillId="0" borderId="23" xfId="0" applyFont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14" fontId="2" fillId="0" borderId="37" xfId="0" applyNumberFormat="1" applyFont="1" applyBorder="1"/>
    <xf numFmtId="0" fontId="4" fillId="0" borderId="39" xfId="0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14" fontId="7" fillId="3" borderId="37" xfId="0" applyNumberFormat="1" applyFont="1" applyFill="1" applyBorder="1" applyAlignment="1">
      <alignment horizontal="center"/>
    </xf>
    <xf numFmtId="0" fontId="7" fillId="3" borderId="39" xfId="0" applyFont="1" applyFill="1" applyBorder="1" applyAlignment="1">
      <alignment horizontal="center"/>
    </xf>
    <xf numFmtId="0" fontId="7" fillId="3" borderId="2" xfId="0" quotePrefix="1" applyFont="1" applyFill="1" applyBorder="1" applyAlignment="1">
      <alignment horizontal="center"/>
    </xf>
    <xf numFmtId="0" fontId="7" fillId="3" borderId="38" xfId="0" applyFont="1" applyFill="1" applyBorder="1" applyAlignment="1">
      <alignment horizontal="center"/>
    </xf>
    <xf numFmtId="0" fontId="7" fillId="3" borderId="40" xfId="0" applyFont="1" applyFill="1" applyBorder="1" applyAlignment="1">
      <alignment horizontal="center"/>
    </xf>
    <xf numFmtId="0" fontId="7" fillId="3" borderId="32" xfId="0" applyFont="1" applyFill="1" applyBorder="1"/>
    <xf numFmtId="37" fontId="7" fillId="3" borderId="41" xfId="0" applyNumberFormat="1" applyFont="1" applyFill="1" applyBorder="1" applyAlignment="1">
      <alignment horizontal="center"/>
    </xf>
    <xf numFmtId="37" fontId="7" fillId="3" borderId="42" xfId="0" applyNumberFormat="1" applyFont="1" applyFill="1" applyBorder="1" applyAlignment="1">
      <alignment horizontal="center"/>
    </xf>
    <xf numFmtId="37" fontId="7" fillId="3" borderId="43" xfId="0" applyNumberFormat="1" applyFont="1" applyFill="1" applyBorder="1" applyAlignment="1">
      <alignment horizontal="center"/>
    </xf>
    <xf numFmtId="37" fontId="7" fillId="3" borderId="32" xfId="0" applyNumberFormat="1" applyFont="1" applyFill="1" applyBorder="1" applyAlignment="1">
      <alignment horizontal="center"/>
    </xf>
    <xf numFmtId="0" fontId="7" fillId="3" borderId="44" xfId="0" applyFont="1" applyFill="1" applyBorder="1" applyAlignment="1">
      <alignment horizontal="center"/>
    </xf>
    <xf numFmtId="0" fontId="7" fillId="3" borderId="4" xfId="0" applyFont="1" applyFill="1" applyBorder="1" applyAlignment="1">
      <alignment horizontal="center"/>
    </xf>
    <xf numFmtId="14" fontId="7" fillId="3" borderId="5" xfId="0" applyNumberFormat="1" applyFont="1" applyFill="1" applyBorder="1" applyAlignment="1">
      <alignment horizontal="center"/>
    </xf>
    <xf numFmtId="0" fontId="7" fillId="3" borderId="6" xfId="0" applyFont="1" applyFill="1" applyBorder="1" applyAlignment="1">
      <alignment horizontal="center"/>
    </xf>
    <xf numFmtId="0" fontId="7" fillId="3" borderId="7" xfId="0" quotePrefix="1" applyFont="1" applyFill="1" applyBorder="1" applyAlignment="1">
      <alignment horizontal="center"/>
    </xf>
    <xf numFmtId="0" fontId="7" fillId="3" borderId="8" xfId="0" applyFont="1" applyFill="1" applyBorder="1" applyAlignment="1">
      <alignment horizontal="center"/>
    </xf>
    <xf numFmtId="0" fontId="7" fillId="3" borderId="9" xfId="0" applyFont="1" applyFill="1" applyBorder="1" applyAlignment="1">
      <alignment horizontal="center"/>
    </xf>
    <xf numFmtId="0" fontId="3" fillId="4" borderId="6" xfId="0" applyFont="1" applyFill="1" applyBorder="1" applyAlignment="1" applyProtection="1">
      <alignment horizontal="center"/>
      <protection locked="0"/>
    </xf>
    <xf numFmtId="0" fontId="3" fillId="4" borderId="12" xfId="0" applyFont="1" applyFill="1" applyBorder="1" applyAlignment="1" applyProtection="1">
      <alignment horizontal="center"/>
      <protection locked="0"/>
    </xf>
    <xf numFmtId="0" fontId="3" fillId="4" borderId="18" xfId="0" applyFont="1" applyFill="1" applyBorder="1" applyAlignment="1" applyProtection="1">
      <alignment horizontal="center"/>
      <protection locked="0"/>
    </xf>
    <xf numFmtId="0" fontId="3" fillId="4" borderId="23" xfId="0" applyFont="1" applyFill="1" applyBorder="1" applyAlignment="1" applyProtection="1">
      <alignment horizontal="center"/>
      <protection locked="0"/>
    </xf>
    <xf numFmtId="0" fontId="3" fillId="4" borderId="28" xfId="0" applyFont="1" applyFill="1" applyBorder="1" applyAlignment="1" applyProtection="1">
      <alignment horizontal="center"/>
      <protection locked="0"/>
    </xf>
    <xf numFmtId="0" fontId="3" fillId="4" borderId="7" xfId="0" applyFont="1" applyFill="1" applyBorder="1" applyAlignment="1" applyProtection="1">
      <alignment horizontal="center"/>
      <protection locked="0"/>
    </xf>
    <xf numFmtId="0" fontId="3" fillId="4" borderId="13" xfId="0" applyFont="1" applyFill="1" applyBorder="1" applyAlignment="1" applyProtection="1">
      <alignment horizontal="center"/>
      <protection locked="0"/>
    </xf>
    <xf numFmtId="0" fontId="3" fillId="4" borderId="0" xfId="0" applyFont="1" applyFill="1" applyBorder="1" applyAlignment="1" applyProtection="1">
      <alignment horizontal="center"/>
      <protection locked="0"/>
    </xf>
    <xf numFmtId="0" fontId="3" fillId="4" borderId="3" xfId="0" applyFont="1" applyFill="1" applyBorder="1" applyAlignment="1" applyProtection="1">
      <alignment horizontal="center"/>
      <protection locked="0"/>
    </xf>
    <xf numFmtId="0" fontId="3" fillId="4" borderId="29" xfId="0" applyFont="1" applyFill="1" applyBorder="1" applyAlignment="1" applyProtection="1">
      <alignment horizontal="center"/>
      <protection locked="0"/>
    </xf>
    <xf numFmtId="37" fontId="3" fillId="4" borderId="33" xfId="0" applyNumberFormat="1" applyFont="1" applyFill="1" applyBorder="1" applyAlignment="1" applyProtection="1">
      <alignment horizontal="center"/>
      <protection locked="0"/>
    </xf>
    <xf numFmtId="37" fontId="3" fillId="4" borderId="35" xfId="0" applyNumberFormat="1" applyFont="1" applyFill="1" applyBorder="1" applyAlignment="1" applyProtection="1">
      <alignment horizontal="center"/>
      <protection locked="0"/>
    </xf>
    <xf numFmtId="37" fontId="3" fillId="4" borderId="36" xfId="0" applyNumberFormat="1" applyFont="1" applyFill="1" applyBorder="1" applyAlignment="1" applyProtection="1">
      <alignment horizontal="center"/>
      <protection locked="0"/>
    </xf>
    <xf numFmtId="0" fontId="3" fillId="4" borderId="14" xfId="0" applyFont="1" applyFill="1" applyBorder="1" applyAlignment="1" applyProtection="1">
      <alignment horizontal="center"/>
      <protection locked="0"/>
    </xf>
    <xf numFmtId="0" fontId="3" fillId="4" borderId="15" xfId="0" applyFont="1" applyFill="1" applyBorder="1" applyAlignment="1" applyProtection="1">
      <alignment horizontal="center"/>
      <protection locked="0"/>
    </xf>
    <xf numFmtId="0" fontId="3" fillId="4" borderId="24" xfId="0" applyFont="1" applyFill="1" applyBorder="1" applyAlignment="1" applyProtection="1">
      <alignment horizontal="center"/>
      <protection locked="0"/>
    </xf>
    <xf numFmtId="0" fontId="3" fillId="4" borderId="25" xfId="0" applyFont="1" applyFill="1" applyBorder="1" applyAlignment="1" applyProtection="1">
      <alignment horizontal="center"/>
      <protection locked="0"/>
    </xf>
    <xf numFmtId="0" fontId="3" fillId="4" borderId="19" xfId="0" applyFont="1" applyFill="1" applyBorder="1" applyAlignment="1" applyProtection="1">
      <alignment horizontal="center"/>
      <protection locked="0"/>
    </xf>
    <xf numFmtId="0" fontId="3" fillId="4" borderId="20" xfId="0" applyFont="1" applyFill="1" applyBorder="1" applyAlignment="1" applyProtection="1">
      <alignment horizontal="center"/>
      <protection locked="0"/>
    </xf>
    <xf numFmtId="0" fontId="3" fillId="4" borderId="30" xfId="0" applyFont="1" applyFill="1" applyBorder="1" applyAlignment="1" applyProtection="1">
      <alignment horizontal="center"/>
      <protection locked="0"/>
    </xf>
    <xf numFmtId="0" fontId="3" fillId="4" borderId="31" xfId="0" applyFont="1" applyFill="1" applyBorder="1" applyAlignment="1" applyProtection="1">
      <alignment horizontal="center"/>
      <protection locked="0"/>
    </xf>
    <xf numFmtId="0" fontId="3" fillId="4" borderId="39" xfId="0" applyFont="1" applyFill="1" applyBorder="1" applyAlignment="1" applyProtection="1">
      <alignment horizontal="center"/>
      <protection locked="0"/>
    </xf>
    <xf numFmtId="0" fontId="3" fillId="4" borderId="38" xfId="0" applyFont="1" applyFill="1" applyBorder="1" applyAlignment="1" applyProtection="1">
      <alignment horizontal="center"/>
      <protection locked="0"/>
    </xf>
    <xf numFmtId="0" fontId="3" fillId="4" borderId="45" xfId="0" applyFont="1" applyFill="1" applyBorder="1" applyAlignment="1" applyProtection="1">
      <alignment horizontal="center"/>
      <protection locked="0"/>
    </xf>
    <xf numFmtId="0" fontId="13" fillId="3" borderId="0" xfId="0" applyFont="1" applyFill="1" applyAlignment="1">
      <alignment horizontal="center"/>
    </xf>
    <xf numFmtId="0" fontId="0" fillId="4" borderId="3" xfId="0" applyFill="1" applyBorder="1"/>
    <xf numFmtId="0" fontId="4" fillId="0" borderId="13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14" fontId="2" fillId="0" borderId="28" xfId="0" applyNumberFormat="1" applyFont="1" applyBorder="1"/>
    <xf numFmtId="0" fontId="7" fillId="3" borderId="12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14" fontId="2" fillId="0" borderId="12" xfId="0" applyNumberFormat="1" applyFont="1" applyBorder="1"/>
    <xf numFmtId="14" fontId="2" fillId="0" borderId="23" xfId="0" applyNumberFormat="1" applyFont="1" applyBorder="1"/>
    <xf numFmtId="14" fontId="2" fillId="0" borderId="18" xfId="0" applyNumberFormat="1" applyFont="1" applyBorder="1"/>
    <xf numFmtId="0" fontId="7" fillId="3" borderId="6" xfId="0" applyFont="1" applyFill="1" applyBorder="1" applyAlignment="1">
      <alignment horizontal="center"/>
    </xf>
    <xf numFmtId="0" fontId="7" fillId="3" borderId="8" xfId="0" applyFont="1" applyFill="1" applyBorder="1" applyAlignment="1">
      <alignment horizontal="center"/>
    </xf>
    <xf numFmtId="0" fontId="3" fillId="4" borderId="7" xfId="0" applyFont="1" applyFill="1" applyBorder="1" applyAlignment="1" applyProtection="1">
      <alignment horizontal="center"/>
      <protection locked="0"/>
    </xf>
    <xf numFmtId="0" fontId="7" fillId="3" borderId="44" xfId="0" applyFont="1" applyFill="1" applyBorder="1" applyAlignment="1">
      <alignment horizontal="center"/>
    </xf>
    <xf numFmtId="0" fontId="7" fillId="3" borderId="39" xfId="0" applyFont="1" applyFill="1" applyBorder="1" applyAlignment="1">
      <alignment horizontal="center"/>
    </xf>
    <xf numFmtId="0" fontId="7" fillId="3" borderId="38" xfId="0" applyFont="1" applyFill="1" applyBorder="1" applyAlignment="1">
      <alignment horizontal="center"/>
    </xf>
    <xf numFmtId="0" fontId="1" fillId="3" borderId="17" xfId="0" applyFont="1" applyFill="1" applyBorder="1" applyAlignment="1">
      <alignment horizontal="center"/>
    </xf>
    <xf numFmtId="0" fontId="0" fillId="0" borderId="0" xfId="0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quotePrefix="1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14" fontId="2" fillId="0" borderId="5" xfId="0" applyNumberFormat="1" applyFont="1" applyBorder="1"/>
    <xf numFmtId="0" fontId="2" fillId="0" borderId="6" xfId="0" applyFont="1" applyBorder="1" applyAlignment="1">
      <alignment horizontal="center"/>
    </xf>
    <xf numFmtId="0" fontId="2" fillId="0" borderId="7" xfId="0" quotePrefix="1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2" fillId="0" borderId="10" xfId="0" applyFont="1" applyBorder="1" applyAlignment="1">
      <alignment horizontal="center"/>
    </xf>
    <xf numFmtId="14" fontId="2" fillId="0" borderId="11" xfId="0" applyNumberFormat="1" applyFont="1" applyBorder="1"/>
    <xf numFmtId="0" fontId="2" fillId="0" borderId="12" xfId="0" applyFont="1" applyBorder="1" applyAlignment="1">
      <alignment horizontal="center"/>
    </xf>
    <xf numFmtId="0" fontId="2" fillId="0" borderId="13" xfId="0" quotePrefix="1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14" fontId="2" fillId="0" borderId="17" xfId="0" applyNumberFormat="1" applyFont="1" applyBorder="1"/>
    <xf numFmtId="0" fontId="2" fillId="0" borderId="18" xfId="0" applyFont="1" applyBorder="1" applyAlignment="1">
      <alignment horizontal="center"/>
    </xf>
    <xf numFmtId="0" fontId="2" fillId="0" borderId="0" xfId="0" quotePrefix="1" applyFont="1" applyBorder="1" applyAlignment="1">
      <alignment horizontal="center"/>
    </xf>
    <xf numFmtId="0" fontId="5" fillId="0" borderId="19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14" fontId="2" fillId="0" borderId="22" xfId="0" applyNumberFormat="1" applyFont="1" applyBorder="1"/>
    <xf numFmtId="0" fontId="2" fillId="0" borderId="23" xfId="0" applyFont="1" applyBorder="1" applyAlignment="1">
      <alignment horizontal="center"/>
    </xf>
    <xf numFmtId="0" fontId="2" fillId="0" borderId="3" xfId="0" quotePrefix="1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5" fillId="0" borderId="18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14" fontId="2" fillId="0" borderId="27" xfId="0" applyNumberFormat="1" applyFont="1" applyBorder="1"/>
    <xf numFmtId="0" fontId="2" fillId="0" borderId="28" xfId="0" applyFont="1" applyBorder="1" applyAlignment="1">
      <alignment horizontal="center"/>
    </xf>
    <xf numFmtId="0" fontId="2" fillId="0" borderId="29" xfId="0" quotePrefix="1" applyFont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4" fillId="0" borderId="31" xfId="0" applyFont="1" applyBorder="1" applyAlignment="1">
      <alignment horizontal="center"/>
    </xf>
    <xf numFmtId="14" fontId="2" fillId="0" borderId="0" xfId="0" applyNumberFormat="1" applyFont="1"/>
    <xf numFmtId="0" fontId="2" fillId="0" borderId="0" xfId="0" applyFont="1"/>
    <xf numFmtId="37" fontId="2" fillId="0" borderId="0" xfId="0" applyNumberFormat="1" applyFont="1" applyAlignment="1">
      <alignment horizontal="center"/>
    </xf>
    <xf numFmtId="0" fontId="2" fillId="0" borderId="33" xfId="0" applyFont="1" applyBorder="1"/>
    <xf numFmtId="37" fontId="4" fillId="0" borderId="22" xfId="0" applyNumberFormat="1" applyFont="1" applyBorder="1" applyAlignment="1">
      <alignment horizontal="center"/>
    </xf>
    <xf numFmtId="37" fontId="4" fillId="0" borderId="34" xfId="0" applyNumberFormat="1" applyFont="1" applyBorder="1" applyAlignment="1">
      <alignment horizontal="center"/>
    </xf>
    <xf numFmtId="37" fontId="4" fillId="0" borderId="24" xfId="0" applyNumberFormat="1" applyFont="1" applyBorder="1" applyAlignment="1">
      <alignment horizontal="center"/>
    </xf>
    <xf numFmtId="0" fontId="2" fillId="0" borderId="35" xfId="0" applyFont="1" applyBorder="1"/>
    <xf numFmtId="37" fontId="4" fillId="0" borderId="5" xfId="0" applyNumberFormat="1" applyFont="1" applyBorder="1" applyAlignment="1">
      <alignment horizontal="center"/>
    </xf>
    <xf numFmtId="37" fontId="4" fillId="0" borderId="8" xfId="0" applyNumberFormat="1" applyFont="1" applyBorder="1" applyAlignment="1">
      <alignment horizontal="center"/>
    </xf>
    <xf numFmtId="0" fontId="2" fillId="0" borderId="36" xfId="0" applyFont="1" applyBorder="1"/>
    <xf numFmtId="37" fontId="4" fillId="0" borderId="37" xfId="0" applyNumberFormat="1" applyFont="1" applyBorder="1" applyAlignment="1">
      <alignment horizontal="center"/>
    </xf>
    <xf numFmtId="37" fontId="4" fillId="0" borderId="38" xfId="0" applyNumberFormat="1" applyFont="1" applyBorder="1" applyAlignment="1">
      <alignment horizontal="center"/>
    </xf>
    <xf numFmtId="0" fontId="5" fillId="0" borderId="35" xfId="0" applyFont="1" applyBorder="1"/>
    <xf numFmtId="0" fontId="4" fillId="0" borderId="12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4" fillId="0" borderId="23" xfId="0" applyFont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14" fontId="2" fillId="0" borderId="37" xfId="0" applyNumberFormat="1" applyFont="1" applyBorder="1"/>
    <xf numFmtId="0" fontId="4" fillId="0" borderId="39" xfId="0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14" fontId="7" fillId="3" borderId="37" xfId="0" applyNumberFormat="1" applyFont="1" applyFill="1" applyBorder="1" applyAlignment="1">
      <alignment horizontal="center"/>
    </xf>
    <xf numFmtId="0" fontId="7" fillId="3" borderId="39" xfId="0" applyFont="1" applyFill="1" applyBorder="1" applyAlignment="1">
      <alignment horizontal="center"/>
    </xf>
    <xf numFmtId="0" fontId="7" fillId="3" borderId="2" xfId="0" quotePrefix="1" applyFont="1" applyFill="1" applyBorder="1" applyAlignment="1">
      <alignment horizontal="center"/>
    </xf>
    <xf numFmtId="0" fontId="7" fillId="3" borderId="38" xfId="0" applyFont="1" applyFill="1" applyBorder="1" applyAlignment="1">
      <alignment horizontal="center"/>
    </xf>
    <xf numFmtId="0" fontId="7" fillId="3" borderId="40" xfId="0" applyFont="1" applyFill="1" applyBorder="1" applyAlignment="1">
      <alignment horizontal="center"/>
    </xf>
    <xf numFmtId="0" fontId="7" fillId="3" borderId="32" xfId="0" applyFont="1" applyFill="1" applyBorder="1"/>
    <xf numFmtId="37" fontId="7" fillId="3" borderId="41" xfId="0" applyNumberFormat="1" applyFont="1" applyFill="1" applyBorder="1" applyAlignment="1">
      <alignment horizontal="center"/>
    </xf>
    <xf numFmtId="37" fontId="7" fillId="3" borderId="42" xfId="0" applyNumberFormat="1" applyFont="1" applyFill="1" applyBorder="1" applyAlignment="1">
      <alignment horizontal="center"/>
    </xf>
    <xf numFmtId="37" fontId="7" fillId="3" borderId="43" xfId="0" applyNumberFormat="1" applyFont="1" applyFill="1" applyBorder="1" applyAlignment="1">
      <alignment horizontal="center"/>
    </xf>
    <xf numFmtId="37" fontId="7" fillId="3" borderId="32" xfId="0" applyNumberFormat="1" applyFont="1" applyFill="1" applyBorder="1" applyAlignment="1">
      <alignment horizontal="center"/>
    </xf>
    <xf numFmtId="0" fontId="7" fillId="3" borderId="44" xfId="0" applyFont="1" applyFill="1" applyBorder="1" applyAlignment="1">
      <alignment horizontal="center"/>
    </xf>
    <xf numFmtId="0" fontId="7" fillId="3" borderId="4" xfId="0" applyFont="1" applyFill="1" applyBorder="1" applyAlignment="1">
      <alignment horizontal="center"/>
    </xf>
    <xf numFmtId="14" fontId="7" fillId="3" borderId="5" xfId="0" applyNumberFormat="1" applyFont="1" applyFill="1" applyBorder="1" applyAlignment="1">
      <alignment horizontal="center"/>
    </xf>
    <xf numFmtId="0" fontId="7" fillId="3" borderId="6" xfId="0" applyFont="1" applyFill="1" applyBorder="1" applyAlignment="1">
      <alignment horizontal="center"/>
    </xf>
    <xf numFmtId="0" fontId="7" fillId="3" borderId="7" xfId="0" quotePrefix="1" applyFont="1" applyFill="1" applyBorder="1" applyAlignment="1">
      <alignment horizontal="center"/>
    </xf>
    <xf numFmtId="0" fontId="7" fillId="3" borderId="8" xfId="0" applyFont="1" applyFill="1" applyBorder="1" applyAlignment="1">
      <alignment horizontal="center"/>
    </xf>
    <xf numFmtId="0" fontId="7" fillId="3" borderId="9" xfId="0" applyFont="1" applyFill="1" applyBorder="1" applyAlignment="1">
      <alignment horizontal="center"/>
    </xf>
    <xf numFmtId="0" fontId="3" fillId="4" borderId="6" xfId="0" applyFont="1" applyFill="1" applyBorder="1" applyAlignment="1" applyProtection="1">
      <alignment horizontal="center"/>
      <protection locked="0"/>
    </xf>
    <xf numFmtId="0" fontId="3" fillId="4" borderId="12" xfId="0" applyFont="1" applyFill="1" applyBorder="1" applyAlignment="1" applyProtection="1">
      <alignment horizontal="center"/>
      <protection locked="0"/>
    </xf>
    <xf numFmtId="0" fontId="3" fillId="4" borderId="18" xfId="0" applyFont="1" applyFill="1" applyBorder="1" applyAlignment="1" applyProtection="1">
      <alignment horizontal="center"/>
      <protection locked="0"/>
    </xf>
    <xf numFmtId="0" fontId="3" fillId="4" borderId="23" xfId="0" applyFont="1" applyFill="1" applyBorder="1" applyAlignment="1" applyProtection="1">
      <alignment horizontal="center"/>
      <protection locked="0"/>
    </xf>
    <xf numFmtId="0" fontId="3" fillId="4" borderId="28" xfId="0" applyFont="1" applyFill="1" applyBorder="1" applyAlignment="1" applyProtection="1">
      <alignment horizontal="center"/>
      <protection locked="0"/>
    </xf>
    <xf numFmtId="0" fontId="3" fillId="4" borderId="7" xfId="0" applyFont="1" applyFill="1" applyBorder="1" applyAlignment="1" applyProtection="1">
      <alignment horizontal="center"/>
      <protection locked="0"/>
    </xf>
    <xf numFmtId="0" fontId="3" fillId="4" borderId="13" xfId="0" applyFont="1" applyFill="1" applyBorder="1" applyAlignment="1" applyProtection="1">
      <alignment horizontal="center"/>
      <protection locked="0"/>
    </xf>
    <xf numFmtId="0" fontId="3" fillId="4" borderId="0" xfId="0" applyFont="1" applyFill="1" applyBorder="1" applyAlignment="1" applyProtection="1">
      <alignment horizontal="center"/>
      <protection locked="0"/>
    </xf>
    <xf numFmtId="0" fontId="3" fillId="4" borderId="3" xfId="0" applyFont="1" applyFill="1" applyBorder="1" applyAlignment="1" applyProtection="1">
      <alignment horizontal="center"/>
      <protection locked="0"/>
    </xf>
    <xf numFmtId="0" fontId="3" fillId="4" borderId="29" xfId="0" applyFont="1" applyFill="1" applyBorder="1" applyAlignment="1" applyProtection="1">
      <alignment horizontal="center"/>
      <protection locked="0"/>
    </xf>
    <xf numFmtId="37" fontId="3" fillId="4" borderId="33" xfId="0" applyNumberFormat="1" applyFont="1" applyFill="1" applyBorder="1" applyAlignment="1" applyProtection="1">
      <alignment horizontal="center"/>
      <protection locked="0"/>
    </xf>
    <xf numFmtId="37" fontId="3" fillId="4" borderId="35" xfId="0" applyNumberFormat="1" applyFont="1" applyFill="1" applyBorder="1" applyAlignment="1" applyProtection="1">
      <alignment horizontal="center"/>
      <protection locked="0"/>
    </xf>
    <xf numFmtId="37" fontId="3" fillId="4" borderId="36" xfId="0" applyNumberFormat="1" applyFont="1" applyFill="1" applyBorder="1" applyAlignment="1" applyProtection="1">
      <alignment horizontal="center"/>
      <protection locked="0"/>
    </xf>
    <xf numFmtId="0" fontId="3" fillId="4" borderId="14" xfId="0" applyFont="1" applyFill="1" applyBorder="1" applyAlignment="1" applyProtection="1">
      <alignment horizontal="center"/>
      <protection locked="0"/>
    </xf>
    <xf numFmtId="0" fontId="3" fillId="4" borderId="15" xfId="0" applyFont="1" applyFill="1" applyBorder="1" applyAlignment="1" applyProtection="1">
      <alignment horizontal="center"/>
      <protection locked="0"/>
    </xf>
    <xf numFmtId="0" fontId="3" fillId="4" borderId="24" xfId="0" applyFont="1" applyFill="1" applyBorder="1" applyAlignment="1" applyProtection="1">
      <alignment horizontal="center"/>
      <protection locked="0"/>
    </xf>
    <xf numFmtId="0" fontId="3" fillId="4" borderId="25" xfId="0" applyFont="1" applyFill="1" applyBorder="1" applyAlignment="1" applyProtection="1">
      <alignment horizontal="center"/>
      <protection locked="0"/>
    </xf>
    <xf numFmtId="0" fontId="3" fillId="4" borderId="19" xfId="0" applyFont="1" applyFill="1" applyBorder="1" applyAlignment="1" applyProtection="1">
      <alignment horizontal="center"/>
      <protection locked="0"/>
    </xf>
    <xf numFmtId="0" fontId="3" fillId="4" borderId="20" xfId="0" applyFont="1" applyFill="1" applyBorder="1" applyAlignment="1" applyProtection="1">
      <alignment horizontal="center"/>
      <protection locked="0"/>
    </xf>
    <xf numFmtId="0" fontId="3" fillId="4" borderId="30" xfId="0" applyFont="1" applyFill="1" applyBorder="1" applyAlignment="1" applyProtection="1">
      <alignment horizontal="center"/>
      <protection locked="0"/>
    </xf>
    <xf numFmtId="0" fontId="3" fillId="4" borderId="31" xfId="0" applyFont="1" applyFill="1" applyBorder="1" applyAlignment="1" applyProtection="1">
      <alignment horizontal="center"/>
      <protection locked="0"/>
    </xf>
    <xf numFmtId="0" fontId="3" fillId="4" borderId="39" xfId="0" applyFont="1" applyFill="1" applyBorder="1" applyAlignment="1" applyProtection="1">
      <alignment horizontal="center"/>
      <protection locked="0"/>
    </xf>
    <xf numFmtId="0" fontId="3" fillId="4" borderId="38" xfId="0" applyFont="1" applyFill="1" applyBorder="1" applyAlignment="1" applyProtection="1">
      <alignment horizontal="center"/>
      <protection locked="0"/>
    </xf>
    <xf numFmtId="0" fontId="3" fillId="4" borderId="45" xfId="0" applyFont="1" applyFill="1" applyBorder="1" applyAlignment="1" applyProtection="1">
      <alignment horizontal="center"/>
      <protection locked="0"/>
    </xf>
    <xf numFmtId="0" fontId="13" fillId="3" borderId="0" xfId="0" applyFont="1" applyFill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14" fontId="2" fillId="0" borderId="28" xfId="0" applyNumberFormat="1" applyFont="1" applyBorder="1"/>
    <xf numFmtId="0" fontId="7" fillId="3" borderId="12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14" fontId="2" fillId="0" borderId="12" xfId="0" applyNumberFormat="1" applyFont="1" applyBorder="1"/>
    <xf numFmtId="14" fontId="2" fillId="0" borderId="23" xfId="0" applyNumberFormat="1" applyFont="1" applyBorder="1"/>
    <xf numFmtId="14" fontId="2" fillId="0" borderId="18" xfId="0" applyNumberFormat="1" applyFont="1" applyBorder="1"/>
    <xf numFmtId="1" fontId="3" fillId="4" borderId="12" xfId="0" applyNumberFormat="1" applyFont="1" applyFill="1" applyBorder="1" applyAlignment="1" applyProtection="1">
      <alignment horizontal="center"/>
      <protection locked="0"/>
    </xf>
    <xf numFmtId="1" fontId="3" fillId="4" borderId="13" xfId="0" applyNumberFormat="1" applyFont="1" applyFill="1" applyBorder="1" applyAlignment="1" applyProtection="1">
      <alignment horizontal="center"/>
      <protection locked="0"/>
    </xf>
    <xf numFmtId="1" fontId="3" fillId="4" borderId="18" xfId="0" applyNumberFormat="1" applyFont="1" applyFill="1" applyBorder="1" applyAlignment="1" applyProtection="1">
      <alignment horizontal="center"/>
      <protection locked="0"/>
    </xf>
    <xf numFmtId="1" fontId="3" fillId="4" borderId="0" xfId="0" applyNumberFormat="1" applyFont="1" applyFill="1" applyBorder="1" applyAlignment="1" applyProtection="1">
      <alignment horizontal="center"/>
      <protection locked="0"/>
    </xf>
    <xf numFmtId="1" fontId="3" fillId="4" borderId="23" xfId="0" applyNumberFormat="1" applyFont="1" applyFill="1" applyBorder="1" applyAlignment="1" applyProtection="1">
      <alignment horizontal="center"/>
      <protection locked="0"/>
    </xf>
    <xf numFmtId="1" fontId="3" fillId="4" borderId="3" xfId="0" applyNumberFormat="1" applyFont="1" applyFill="1" applyBorder="1" applyAlignment="1" applyProtection="1">
      <alignment horizontal="center"/>
      <protection locked="0"/>
    </xf>
    <xf numFmtId="1" fontId="3" fillId="4" borderId="28" xfId="0" applyNumberFormat="1" applyFont="1" applyFill="1" applyBorder="1" applyAlignment="1" applyProtection="1">
      <alignment horizontal="center"/>
      <protection locked="0"/>
    </xf>
    <xf numFmtId="1" fontId="3" fillId="4" borderId="29" xfId="0" applyNumberFormat="1" applyFont="1" applyFill="1" applyBorder="1" applyAlignment="1" applyProtection="1">
      <alignment horizontal="center"/>
      <protection locked="0"/>
    </xf>
    <xf numFmtId="0" fontId="7" fillId="3" borderId="6" xfId="0" applyFont="1" applyFill="1" applyBorder="1" applyAlignment="1">
      <alignment horizontal="center"/>
    </xf>
    <xf numFmtId="0" fontId="7" fillId="3" borderId="8" xfId="0" applyFont="1" applyFill="1" applyBorder="1" applyAlignment="1">
      <alignment horizontal="center"/>
    </xf>
    <xf numFmtId="0" fontId="3" fillId="4" borderId="7" xfId="0" applyFont="1" applyFill="1" applyBorder="1" applyAlignment="1" applyProtection="1">
      <alignment horizontal="center"/>
      <protection locked="0"/>
    </xf>
    <xf numFmtId="0" fontId="7" fillId="3" borderId="44" xfId="0" applyFont="1" applyFill="1" applyBorder="1" applyAlignment="1">
      <alignment horizontal="center"/>
    </xf>
    <xf numFmtId="0" fontId="7" fillId="3" borderId="39" xfId="0" applyFont="1" applyFill="1" applyBorder="1" applyAlignment="1">
      <alignment horizontal="center"/>
    </xf>
    <xf numFmtId="0" fontId="7" fillId="3" borderId="38" xfId="0" applyFont="1" applyFill="1" applyBorder="1" applyAlignment="1">
      <alignment horizontal="center"/>
    </xf>
    <xf numFmtId="0" fontId="7" fillId="3" borderId="6" xfId="0" applyFont="1" applyFill="1" applyBorder="1" applyAlignment="1">
      <alignment horizontal="center"/>
    </xf>
    <xf numFmtId="0" fontId="7" fillId="3" borderId="8" xfId="0" applyFont="1" applyFill="1" applyBorder="1" applyAlignment="1">
      <alignment horizontal="center"/>
    </xf>
    <xf numFmtId="0" fontId="3" fillId="4" borderId="7" xfId="0" applyFont="1" applyFill="1" applyBorder="1" applyAlignment="1" applyProtection="1">
      <alignment horizontal="center"/>
      <protection locked="0"/>
    </xf>
    <xf numFmtId="0" fontId="7" fillId="3" borderId="44" xfId="0" applyFont="1" applyFill="1" applyBorder="1" applyAlignment="1">
      <alignment horizontal="center"/>
    </xf>
    <xf numFmtId="0" fontId="7" fillId="3" borderId="39" xfId="0" applyFont="1" applyFill="1" applyBorder="1" applyAlignment="1">
      <alignment horizontal="center"/>
    </xf>
    <xf numFmtId="0" fontId="7" fillId="3" borderId="38" xfId="0" applyFont="1" applyFill="1" applyBorder="1" applyAlignment="1">
      <alignment horizontal="center"/>
    </xf>
    <xf numFmtId="0" fontId="0" fillId="0" borderId="0" xfId="0" applyProtection="1"/>
    <xf numFmtId="0" fontId="2" fillId="0" borderId="0" xfId="0" applyFont="1" applyAlignment="1" applyProtection="1">
      <alignment horizontal="center"/>
    </xf>
    <xf numFmtId="0" fontId="2" fillId="0" borderId="0" xfId="0" applyFont="1" applyProtection="1"/>
    <xf numFmtId="37" fontId="2" fillId="0" borderId="0" xfId="0" applyNumberFormat="1" applyFont="1" applyAlignment="1" applyProtection="1">
      <alignment horizontal="center"/>
    </xf>
    <xf numFmtId="0" fontId="7" fillId="3" borderId="1" xfId="0" applyFont="1" applyFill="1" applyBorder="1" applyAlignment="1" applyProtection="1">
      <alignment horizontal="center"/>
    </xf>
    <xf numFmtId="14" fontId="7" fillId="3" borderId="37" xfId="0" applyNumberFormat="1" applyFont="1" applyFill="1" applyBorder="1" applyAlignment="1" applyProtection="1">
      <alignment horizontal="center"/>
    </xf>
    <xf numFmtId="0" fontId="7" fillId="3" borderId="39" xfId="0" applyFont="1" applyFill="1" applyBorder="1" applyAlignment="1" applyProtection="1">
      <alignment horizontal="center"/>
    </xf>
    <xf numFmtId="0" fontId="7" fillId="3" borderId="2" xfId="0" quotePrefix="1" applyFont="1" applyFill="1" applyBorder="1" applyAlignment="1" applyProtection="1">
      <alignment horizontal="center"/>
    </xf>
    <xf numFmtId="0" fontId="7" fillId="3" borderId="38" xfId="0" applyFont="1" applyFill="1" applyBorder="1" applyAlignment="1" applyProtection="1">
      <alignment horizontal="center"/>
    </xf>
    <xf numFmtId="0" fontId="7" fillId="3" borderId="40" xfId="0" applyFont="1" applyFill="1" applyBorder="1" applyAlignment="1" applyProtection="1">
      <alignment horizontal="center"/>
    </xf>
    <xf numFmtId="0" fontId="2" fillId="0" borderId="3" xfId="0" applyFont="1" applyBorder="1" applyAlignment="1" applyProtection="1">
      <alignment horizontal="center"/>
    </xf>
    <xf numFmtId="0" fontId="2" fillId="0" borderId="4" xfId="0" applyFont="1" applyBorder="1" applyAlignment="1" applyProtection="1">
      <alignment horizontal="center"/>
    </xf>
    <xf numFmtId="14" fontId="2" fillId="0" borderId="5" xfId="0" applyNumberFormat="1" applyFont="1" applyBorder="1" applyProtection="1"/>
    <xf numFmtId="0" fontId="2" fillId="0" borderId="6" xfId="0" applyFont="1" applyBorder="1" applyAlignment="1" applyProtection="1">
      <alignment horizontal="center"/>
    </xf>
    <xf numFmtId="0" fontId="2" fillId="0" borderId="7" xfId="0" quotePrefix="1" applyFont="1" applyBorder="1" applyAlignment="1" applyProtection="1">
      <alignment horizontal="center"/>
    </xf>
    <xf numFmtId="0" fontId="2" fillId="0" borderId="8" xfId="0" applyFont="1" applyBorder="1" applyAlignment="1" applyProtection="1">
      <alignment horizontal="center"/>
    </xf>
    <xf numFmtId="0" fontId="3" fillId="4" borderId="6" xfId="0" applyFont="1" applyFill="1" applyBorder="1" applyAlignment="1" applyProtection="1">
      <alignment horizontal="center"/>
    </xf>
    <xf numFmtId="0" fontId="3" fillId="4" borderId="7" xfId="0" applyFont="1" applyFill="1" applyBorder="1" applyAlignment="1" applyProtection="1">
      <alignment horizontal="center"/>
    </xf>
    <xf numFmtId="0" fontId="4" fillId="0" borderId="9" xfId="0" applyFont="1" applyBorder="1" applyAlignment="1" applyProtection="1">
      <alignment horizontal="center"/>
    </xf>
    <xf numFmtId="0" fontId="4" fillId="0" borderId="0" xfId="0" applyFont="1" applyAlignment="1" applyProtection="1">
      <alignment horizontal="center"/>
    </xf>
    <xf numFmtId="0" fontId="7" fillId="3" borderId="32" xfId="0" applyFont="1" applyFill="1" applyBorder="1" applyProtection="1"/>
    <xf numFmtId="37" fontId="7" fillId="3" borderId="41" xfId="0" applyNumberFormat="1" applyFont="1" applyFill="1" applyBorder="1" applyAlignment="1" applyProtection="1">
      <alignment horizontal="center"/>
    </xf>
    <xf numFmtId="37" fontId="7" fillId="3" borderId="42" xfId="0" applyNumberFormat="1" applyFont="1" applyFill="1" applyBorder="1" applyAlignment="1" applyProtection="1">
      <alignment horizontal="center"/>
    </xf>
    <xf numFmtId="37" fontId="7" fillId="3" borderId="43" xfId="0" applyNumberFormat="1" applyFont="1" applyFill="1" applyBorder="1" applyAlignment="1" applyProtection="1">
      <alignment horizontal="center"/>
    </xf>
    <xf numFmtId="37" fontId="7" fillId="3" borderId="32" xfId="0" applyNumberFormat="1" applyFont="1" applyFill="1" applyBorder="1" applyAlignment="1" applyProtection="1">
      <alignment horizontal="center"/>
    </xf>
    <xf numFmtId="0" fontId="2" fillId="0" borderId="10" xfId="0" applyFont="1" applyBorder="1" applyAlignment="1" applyProtection="1">
      <alignment horizontal="center"/>
    </xf>
    <xf numFmtId="14" fontId="2" fillId="0" borderId="11" xfId="0" applyNumberFormat="1" applyFont="1" applyBorder="1" applyProtection="1"/>
    <xf numFmtId="0" fontId="2" fillId="0" borderId="12" xfId="0" applyFont="1" applyBorder="1" applyAlignment="1" applyProtection="1">
      <alignment horizontal="center"/>
    </xf>
    <xf numFmtId="0" fontId="2" fillId="0" borderId="13" xfId="0" quotePrefix="1" applyFont="1" applyBorder="1" applyAlignment="1" applyProtection="1">
      <alignment horizontal="center"/>
    </xf>
    <xf numFmtId="0" fontId="2" fillId="0" borderId="14" xfId="0" applyFont="1" applyBorder="1" applyAlignment="1" applyProtection="1">
      <alignment horizontal="center"/>
    </xf>
    <xf numFmtId="0" fontId="3" fillId="4" borderId="12" xfId="0" applyFont="1" applyFill="1" applyBorder="1" applyAlignment="1" applyProtection="1">
      <alignment horizontal="center"/>
    </xf>
    <xf numFmtId="0" fontId="3" fillId="4" borderId="13" xfId="0" applyFont="1" applyFill="1" applyBorder="1" applyAlignment="1" applyProtection="1">
      <alignment horizontal="center"/>
    </xf>
    <xf numFmtId="0" fontId="4" fillId="0" borderId="15" xfId="0" applyFont="1" applyBorder="1" applyAlignment="1" applyProtection="1">
      <alignment horizontal="center"/>
    </xf>
    <xf numFmtId="0" fontId="2" fillId="0" borderId="33" xfId="0" applyFont="1" applyBorder="1" applyProtection="1"/>
    <xf numFmtId="37" fontId="4" fillId="0" borderId="22" xfId="0" applyNumberFormat="1" applyFont="1" applyBorder="1" applyAlignment="1" applyProtection="1">
      <alignment horizontal="center"/>
    </xf>
    <xf numFmtId="37" fontId="4" fillId="0" borderId="34" xfId="0" applyNumberFormat="1" applyFont="1" applyBorder="1" applyAlignment="1" applyProtection="1">
      <alignment horizontal="center"/>
    </xf>
    <xf numFmtId="37" fontId="4" fillId="0" borderId="24" xfId="0" applyNumberFormat="1" applyFont="1" applyBorder="1" applyAlignment="1" applyProtection="1">
      <alignment horizontal="center"/>
    </xf>
    <xf numFmtId="37" fontId="3" fillId="4" borderId="33" xfId="0" applyNumberFormat="1" applyFont="1" applyFill="1" applyBorder="1" applyAlignment="1" applyProtection="1">
      <alignment horizontal="center"/>
    </xf>
    <xf numFmtId="0" fontId="2" fillId="0" borderId="16" xfId="0" applyFont="1" applyBorder="1" applyAlignment="1" applyProtection="1">
      <alignment horizontal="center"/>
    </xf>
    <xf numFmtId="14" fontId="2" fillId="0" borderId="17" xfId="0" applyNumberFormat="1" applyFont="1" applyBorder="1" applyProtection="1"/>
    <xf numFmtId="0" fontId="2" fillId="0" borderId="18" xfId="0" applyFont="1" applyBorder="1" applyAlignment="1" applyProtection="1">
      <alignment horizontal="center"/>
    </xf>
    <xf numFmtId="0" fontId="2" fillId="0" borderId="0" xfId="0" quotePrefix="1" applyFont="1" applyBorder="1" applyAlignment="1" applyProtection="1">
      <alignment horizontal="center"/>
    </xf>
    <xf numFmtId="0" fontId="5" fillId="0" borderId="19" xfId="0" applyFont="1" applyBorder="1" applyAlignment="1" applyProtection="1">
      <alignment horizontal="center"/>
    </xf>
    <xf numFmtId="0" fontId="3" fillId="4" borderId="18" xfId="0" applyFont="1" applyFill="1" applyBorder="1" applyAlignment="1" applyProtection="1">
      <alignment horizontal="center"/>
    </xf>
    <xf numFmtId="0" fontId="3" fillId="4" borderId="0" xfId="0" applyFont="1" applyFill="1" applyBorder="1" applyAlignment="1" applyProtection="1">
      <alignment horizontal="center"/>
    </xf>
    <xf numFmtId="0" fontId="4" fillId="0" borderId="20" xfId="0" applyFont="1" applyBorder="1" applyAlignment="1" applyProtection="1">
      <alignment horizontal="center"/>
    </xf>
    <xf numFmtId="0" fontId="2" fillId="0" borderId="35" xfId="0" applyFont="1" applyBorder="1" applyProtection="1"/>
    <xf numFmtId="37" fontId="4" fillId="0" borderId="5" xfId="0" applyNumberFormat="1" applyFont="1" applyBorder="1" applyAlignment="1" applyProtection="1">
      <alignment horizontal="center"/>
    </xf>
    <xf numFmtId="37" fontId="4" fillId="0" borderId="8" xfId="0" applyNumberFormat="1" applyFont="1" applyBorder="1" applyAlignment="1" applyProtection="1">
      <alignment horizontal="center"/>
    </xf>
    <xf numFmtId="37" fontId="3" fillId="4" borderId="35" xfId="0" applyNumberFormat="1" applyFont="1" applyFill="1" applyBorder="1" applyAlignment="1" applyProtection="1">
      <alignment horizontal="center"/>
    </xf>
    <xf numFmtId="0" fontId="2" fillId="0" borderId="21" xfId="0" applyFont="1" applyBorder="1" applyAlignment="1" applyProtection="1">
      <alignment horizontal="center"/>
    </xf>
    <xf numFmtId="14" fontId="2" fillId="0" borderId="22" xfId="0" applyNumberFormat="1" applyFont="1" applyBorder="1" applyProtection="1"/>
    <xf numFmtId="0" fontId="2" fillId="0" borderId="23" xfId="0" applyFont="1" applyBorder="1" applyAlignment="1" applyProtection="1">
      <alignment horizontal="center"/>
    </xf>
    <xf numFmtId="0" fontId="2" fillId="0" borderId="3" xfId="0" quotePrefix="1" applyFont="1" applyBorder="1" applyAlignment="1" applyProtection="1">
      <alignment horizontal="center"/>
    </xf>
    <xf numFmtId="0" fontId="2" fillId="0" borderId="24" xfId="0" applyFont="1" applyBorder="1" applyAlignment="1" applyProtection="1">
      <alignment horizontal="center"/>
    </xf>
    <xf numFmtId="0" fontId="3" fillId="4" borderId="23" xfId="0" applyFont="1" applyFill="1" applyBorder="1" applyAlignment="1" applyProtection="1">
      <alignment horizontal="center"/>
    </xf>
    <xf numFmtId="0" fontId="3" fillId="4" borderId="3" xfId="0" applyFont="1" applyFill="1" applyBorder="1" applyAlignment="1" applyProtection="1">
      <alignment horizontal="center"/>
    </xf>
    <xf numFmtId="0" fontId="4" fillId="0" borderId="25" xfId="0" applyFont="1" applyBorder="1" applyAlignment="1" applyProtection="1">
      <alignment horizontal="center"/>
    </xf>
    <xf numFmtId="0" fontId="2" fillId="0" borderId="36" xfId="0" applyFont="1" applyBorder="1" applyProtection="1"/>
    <xf numFmtId="37" fontId="4" fillId="0" borderId="37" xfId="0" applyNumberFormat="1" applyFont="1" applyBorder="1" applyAlignment="1" applyProtection="1">
      <alignment horizontal="center"/>
    </xf>
    <xf numFmtId="37" fontId="4" fillId="0" borderId="38" xfId="0" applyNumberFormat="1" applyFont="1" applyBorder="1" applyAlignment="1" applyProtection="1">
      <alignment horizontal="center"/>
    </xf>
    <xf numFmtId="37" fontId="3" fillId="4" borderId="36" xfId="0" applyNumberFormat="1" applyFont="1" applyFill="1" applyBorder="1" applyAlignment="1" applyProtection="1">
      <alignment horizontal="center"/>
    </xf>
    <xf numFmtId="0" fontId="2" fillId="0" borderId="19" xfId="0" applyFont="1" applyBorder="1" applyAlignment="1" applyProtection="1">
      <alignment horizontal="center"/>
    </xf>
    <xf numFmtId="0" fontId="5" fillId="0" borderId="35" xfId="0" applyFont="1" applyBorder="1" applyProtection="1"/>
    <xf numFmtId="0" fontId="5" fillId="0" borderId="14" xfId="0" applyFont="1" applyBorder="1" applyAlignment="1" applyProtection="1">
      <alignment horizontal="center"/>
    </xf>
    <xf numFmtId="0" fontId="5" fillId="0" borderId="18" xfId="0" applyFont="1" applyBorder="1" applyAlignment="1" applyProtection="1">
      <alignment horizontal="center"/>
    </xf>
    <xf numFmtId="0" fontId="2" fillId="0" borderId="26" xfId="0" applyFont="1" applyBorder="1" applyAlignment="1" applyProtection="1">
      <alignment horizontal="center"/>
    </xf>
    <xf numFmtId="14" fontId="2" fillId="0" borderId="27" xfId="0" applyNumberFormat="1" applyFont="1" applyBorder="1" applyProtection="1"/>
    <xf numFmtId="0" fontId="2" fillId="0" borderId="28" xfId="0" applyFont="1" applyBorder="1" applyAlignment="1" applyProtection="1">
      <alignment horizontal="center"/>
    </xf>
    <xf numFmtId="0" fontId="2" fillId="0" borderId="29" xfId="0" quotePrefix="1" applyFont="1" applyBorder="1" applyAlignment="1" applyProtection="1">
      <alignment horizontal="center"/>
    </xf>
    <xf numFmtId="0" fontId="2" fillId="0" borderId="30" xfId="0" applyFont="1" applyBorder="1" applyAlignment="1" applyProtection="1">
      <alignment horizontal="center"/>
    </xf>
    <xf numFmtId="0" fontId="3" fillId="4" borderId="28" xfId="0" applyFont="1" applyFill="1" applyBorder="1" applyAlignment="1" applyProtection="1">
      <alignment horizontal="center"/>
    </xf>
    <xf numFmtId="0" fontId="3" fillId="4" borderId="29" xfId="0" applyFont="1" applyFill="1" applyBorder="1" applyAlignment="1" applyProtection="1">
      <alignment horizontal="center"/>
    </xf>
    <xf numFmtId="0" fontId="4" fillId="0" borderId="31" xfId="0" applyFont="1" applyBorder="1" applyAlignment="1" applyProtection="1">
      <alignment horizontal="center"/>
    </xf>
    <xf numFmtId="14" fontId="2" fillId="0" borderId="0" xfId="0" applyNumberFormat="1" applyFont="1" applyProtection="1"/>
    <xf numFmtId="0" fontId="7" fillId="3" borderId="44" xfId="0" applyFont="1" applyFill="1" applyBorder="1" applyAlignment="1" applyProtection="1">
      <alignment horizontal="center"/>
    </xf>
    <xf numFmtId="0" fontId="7" fillId="3" borderId="4" xfId="0" applyFont="1" applyFill="1" applyBorder="1" applyAlignment="1" applyProtection="1">
      <alignment horizontal="center"/>
    </xf>
    <xf numFmtId="14" fontId="7" fillId="3" borderId="5" xfId="0" applyNumberFormat="1" applyFont="1" applyFill="1" applyBorder="1" applyAlignment="1" applyProtection="1">
      <alignment horizontal="center"/>
    </xf>
    <xf numFmtId="0" fontId="7" fillId="3" borderId="6" xfId="0" applyFont="1" applyFill="1" applyBorder="1" applyAlignment="1" applyProtection="1">
      <alignment horizontal="center"/>
    </xf>
    <xf numFmtId="0" fontId="7" fillId="3" borderId="7" xfId="0" quotePrefix="1" applyFont="1" applyFill="1" applyBorder="1" applyAlignment="1" applyProtection="1">
      <alignment horizontal="center"/>
    </xf>
    <xf numFmtId="0" fontId="7" fillId="3" borderId="8" xfId="0" applyFont="1" applyFill="1" applyBorder="1" applyAlignment="1" applyProtection="1">
      <alignment horizontal="center"/>
    </xf>
    <xf numFmtId="0" fontId="7" fillId="3" borderId="9" xfId="0" applyFont="1" applyFill="1" applyBorder="1" applyAlignment="1" applyProtection="1">
      <alignment horizontal="center"/>
    </xf>
    <xf numFmtId="0" fontId="13" fillId="3" borderId="0" xfId="0" applyFont="1" applyFill="1" applyAlignment="1" applyProtection="1">
      <alignment horizontal="center"/>
    </xf>
    <xf numFmtId="0" fontId="4" fillId="0" borderId="13" xfId="0" applyFont="1" applyBorder="1" applyAlignment="1" applyProtection="1">
      <alignment horizontal="center"/>
    </xf>
    <xf numFmtId="0" fontId="4" fillId="0" borderId="14" xfId="0" applyFont="1" applyBorder="1" applyAlignment="1" applyProtection="1">
      <alignment horizontal="center"/>
    </xf>
    <xf numFmtId="0" fontId="3" fillId="4" borderId="14" xfId="0" applyFont="1" applyFill="1" applyBorder="1" applyAlignment="1" applyProtection="1">
      <alignment horizontal="center"/>
    </xf>
    <xf numFmtId="0" fontId="3" fillId="4" borderId="15" xfId="0" applyFont="1" applyFill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4" fillId="0" borderId="3" xfId="0" applyFont="1" applyBorder="1" applyAlignment="1" applyProtection="1">
      <alignment horizontal="center"/>
    </xf>
    <xf numFmtId="0" fontId="4" fillId="0" borderId="24" xfId="0" applyFont="1" applyBorder="1" applyAlignment="1" applyProtection="1">
      <alignment horizontal="center"/>
    </xf>
    <xf numFmtId="0" fontId="3" fillId="4" borderId="24" xfId="0" applyFont="1" applyFill="1" applyBorder="1" applyAlignment="1" applyProtection="1">
      <alignment horizontal="center"/>
    </xf>
    <xf numFmtId="0" fontId="3" fillId="4" borderId="25" xfId="0" applyFont="1" applyFill="1" applyBorder="1" applyAlignment="1" applyProtection="1">
      <alignment horizontal="center"/>
    </xf>
    <xf numFmtId="0" fontId="4" fillId="0" borderId="0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</xf>
    <xf numFmtId="0" fontId="3" fillId="4" borderId="19" xfId="0" applyFont="1" applyFill="1" applyBorder="1" applyAlignment="1" applyProtection="1">
      <alignment horizontal="center"/>
    </xf>
    <xf numFmtId="0" fontId="3" fillId="4" borderId="20" xfId="0" applyFont="1" applyFill="1" applyBorder="1" applyAlignment="1" applyProtection="1">
      <alignment horizontal="center"/>
    </xf>
    <xf numFmtId="0" fontId="4" fillId="0" borderId="29" xfId="0" applyFont="1" applyBorder="1" applyAlignment="1" applyProtection="1">
      <alignment horizontal="center"/>
    </xf>
    <xf numFmtId="0" fontId="4" fillId="0" borderId="30" xfId="0" applyFont="1" applyBorder="1" applyAlignment="1" applyProtection="1">
      <alignment horizontal="center"/>
    </xf>
    <xf numFmtId="0" fontId="3" fillId="4" borderId="30" xfId="0" applyFont="1" applyFill="1" applyBorder="1" applyAlignment="1" applyProtection="1">
      <alignment horizontal="center"/>
    </xf>
    <xf numFmtId="0" fontId="3" fillId="4" borderId="31" xfId="0" applyFont="1" applyFill="1" applyBorder="1" applyAlignment="1" applyProtection="1">
      <alignment horizontal="center"/>
    </xf>
    <xf numFmtId="0" fontId="4" fillId="0" borderId="12" xfId="0" applyFont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/>
    </xf>
    <xf numFmtId="0" fontId="4" fillId="0" borderId="28" xfId="0" applyFont="1" applyBorder="1" applyAlignment="1" applyProtection="1">
      <alignment horizontal="center"/>
    </xf>
    <xf numFmtId="0" fontId="2" fillId="0" borderId="1" xfId="0" applyFont="1" applyBorder="1" applyAlignment="1" applyProtection="1">
      <alignment horizontal="center"/>
    </xf>
    <xf numFmtId="14" fontId="2" fillId="0" borderId="37" xfId="0" applyNumberFormat="1" applyFont="1" applyBorder="1" applyProtection="1"/>
    <xf numFmtId="0" fontId="4" fillId="0" borderId="39" xfId="0" applyFont="1" applyBorder="1" applyAlignment="1" applyProtection="1">
      <alignment horizontal="center"/>
    </xf>
    <xf numFmtId="0" fontId="2" fillId="0" borderId="2" xfId="0" quotePrefix="1" applyFont="1" applyBorder="1" applyAlignment="1" applyProtection="1">
      <alignment horizontal="center"/>
    </xf>
    <xf numFmtId="0" fontId="4" fillId="0" borderId="38" xfId="0" applyFont="1" applyBorder="1" applyAlignment="1" applyProtection="1">
      <alignment horizontal="center"/>
    </xf>
    <xf numFmtId="0" fontId="3" fillId="4" borderId="39" xfId="0" applyFont="1" applyFill="1" applyBorder="1" applyAlignment="1" applyProtection="1">
      <alignment horizontal="center"/>
    </xf>
    <xf numFmtId="0" fontId="3" fillId="4" borderId="38" xfId="0" applyFont="1" applyFill="1" applyBorder="1" applyAlignment="1" applyProtection="1">
      <alignment horizontal="center"/>
    </xf>
    <xf numFmtId="0" fontId="3" fillId="4" borderId="45" xfId="0" applyFont="1" applyFill="1" applyBorder="1" applyAlignment="1" applyProtection="1">
      <alignment horizontal="center"/>
    </xf>
    <xf numFmtId="0" fontId="25" fillId="0" borderId="0" xfId="1"/>
    <xf numFmtId="0" fontId="2" fillId="0" borderId="0" xfId="1" applyFont="1" applyAlignment="1">
      <alignment horizontal="center"/>
    </xf>
    <xf numFmtId="0" fontId="2" fillId="0" borderId="1" xfId="1" applyFont="1" applyBorder="1" applyAlignment="1">
      <alignment horizontal="center"/>
    </xf>
    <xf numFmtId="0" fontId="2" fillId="0" borderId="2" xfId="1" quotePrefix="1" applyFont="1" applyBorder="1" applyAlignment="1">
      <alignment horizontal="center"/>
    </xf>
    <xf numFmtId="0" fontId="2" fillId="0" borderId="3" xfId="1" applyFont="1" applyBorder="1" applyAlignment="1">
      <alignment horizontal="center"/>
    </xf>
    <xf numFmtId="0" fontId="2" fillId="0" borderId="4" xfId="1" applyFont="1" applyBorder="1" applyAlignment="1">
      <alignment horizontal="center"/>
    </xf>
    <xf numFmtId="14" fontId="2" fillId="0" borderId="5" xfId="1" applyNumberFormat="1" applyFont="1" applyBorder="1"/>
    <xf numFmtId="0" fontId="2" fillId="0" borderId="6" xfId="1" applyFont="1" applyBorder="1" applyAlignment="1">
      <alignment horizontal="center"/>
    </xf>
    <xf numFmtId="0" fontId="2" fillId="0" borderId="7" xfId="1" quotePrefix="1" applyFont="1" applyBorder="1" applyAlignment="1">
      <alignment horizontal="center"/>
    </xf>
    <xf numFmtId="0" fontId="2" fillId="0" borderId="8" xfId="1" applyFont="1" applyBorder="1" applyAlignment="1">
      <alignment horizontal="center"/>
    </xf>
    <xf numFmtId="0" fontId="4" fillId="0" borderId="9" xfId="1" applyFont="1" applyBorder="1" applyAlignment="1">
      <alignment horizontal="center"/>
    </xf>
    <xf numFmtId="0" fontId="4" fillId="0" borderId="0" xfId="1" applyFont="1" applyAlignment="1">
      <alignment horizontal="center"/>
    </xf>
    <xf numFmtId="0" fontId="2" fillId="0" borderId="10" xfId="1" applyFont="1" applyBorder="1" applyAlignment="1">
      <alignment horizontal="center"/>
    </xf>
    <xf numFmtId="14" fontId="2" fillId="0" borderId="11" xfId="1" applyNumberFormat="1" applyFont="1" applyBorder="1"/>
    <xf numFmtId="0" fontId="2" fillId="0" borderId="12" xfId="1" applyFont="1" applyBorder="1" applyAlignment="1">
      <alignment horizontal="center"/>
    </xf>
    <xf numFmtId="0" fontId="2" fillId="0" borderId="13" xfId="1" quotePrefix="1" applyFont="1" applyBorder="1" applyAlignment="1">
      <alignment horizontal="center"/>
    </xf>
    <xf numFmtId="0" fontId="2" fillId="0" borderId="14" xfId="1" applyFont="1" applyBorder="1" applyAlignment="1">
      <alignment horizontal="center"/>
    </xf>
    <xf numFmtId="0" fontId="4" fillId="0" borderId="15" xfId="1" applyFont="1" applyBorder="1" applyAlignment="1">
      <alignment horizontal="center"/>
    </xf>
    <xf numFmtId="0" fontId="2" fillId="0" borderId="16" xfId="1" applyFont="1" applyBorder="1" applyAlignment="1">
      <alignment horizontal="center"/>
    </xf>
    <xf numFmtId="14" fontId="2" fillId="0" borderId="17" xfId="1" applyNumberFormat="1" applyFont="1" applyBorder="1"/>
    <xf numFmtId="0" fontId="2" fillId="0" borderId="18" xfId="1" applyFont="1" applyBorder="1" applyAlignment="1">
      <alignment horizontal="center"/>
    </xf>
    <xf numFmtId="0" fontId="2" fillId="0" borderId="0" xfId="1" quotePrefix="1" applyFont="1" applyBorder="1" applyAlignment="1">
      <alignment horizontal="center"/>
    </xf>
    <xf numFmtId="0" fontId="5" fillId="0" borderId="19" xfId="1" applyFont="1" applyBorder="1" applyAlignment="1">
      <alignment horizontal="center"/>
    </xf>
    <xf numFmtId="0" fontId="4" fillId="0" borderId="20" xfId="1" applyFont="1" applyBorder="1" applyAlignment="1">
      <alignment horizontal="center"/>
    </xf>
    <xf numFmtId="0" fontId="2" fillId="0" borderId="21" xfId="1" applyFont="1" applyBorder="1" applyAlignment="1">
      <alignment horizontal="center"/>
    </xf>
    <xf numFmtId="14" fontId="2" fillId="0" borderId="22" xfId="1" applyNumberFormat="1" applyFont="1" applyBorder="1"/>
    <xf numFmtId="0" fontId="2" fillId="0" borderId="23" xfId="1" applyFont="1" applyBorder="1" applyAlignment="1">
      <alignment horizontal="center"/>
    </xf>
    <xf numFmtId="0" fontId="2" fillId="0" borderId="3" xfId="1" quotePrefix="1" applyFont="1" applyBorder="1" applyAlignment="1">
      <alignment horizontal="center"/>
    </xf>
    <xf numFmtId="0" fontId="2" fillId="0" borderId="24" xfId="1" applyFont="1" applyBorder="1" applyAlignment="1">
      <alignment horizontal="center"/>
    </xf>
    <xf numFmtId="0" fontId="4" fillId="0" borderId="25" xfId="1" applyFont="1" applyBorder="1" applyAlignment="1">
      <alignment horizontal="center"/>
    </xf>
    <xf numFmtId="0" fontId="2" fillId="0" borderId="19" xfId="1" applyFont="1" applyBorder="1" applyAlignment="1">
      <alignment horizontal="center"/>
    </xf>
    <xf numFmtId="0" fontId="5" fillId="0" borderId="14" xfId="1" applyFont="1" applyBorder="1" applyAlignment="1">
      <alignment horizontal="center"/>
    </xf>
    <xf numFmtId="0" fontId="5" fillId="0" borderId="18" xfId="1" applyFont="1" applyBorder="1" applyAlignment="1">
      <alignment horizontal="center"/>
    </xf>
    <xf numFmtId="0" fontId="2" fillId="0" borderId="26" xfId="1" applyFont="1" applyBorder="1" applyAlignment="1">
      <alignment horizontal="center"/>
    </xf>
    <xf numFmtId="14" fontId="2" fillId="0" borderId="27" xfId="1" applyNumberFormat="1" applyFont="1" applyBorder="1"/>
    <xf numFmtId="0" fontId="2" fillId="0" borderId="28" xfId="1" applyFont="1" applyBorder="1" applyAlignment="1">
      <alignment horizontal="center"/>
    </xf>
    <xf numFmtId="0" fontId="2" fillId="0" borderId="29" xfId="1" quotePrefix="1" applyFont="1" applyBorder="1" applyAlignment="1">
      <alignment horizontal="center"/>
    </xf>
    <xf numFmtId="0" fontId="2" fillId="0" borderId="30" xfId="1" applyFont="1" applyBorder="1" applyAlignment="1">
      <alignment horizontal="center"/>
    </xf>
    <xf numFmtId="0" fontId="4" fillId="0" borderId="31" xfId="1" applyFont="1" applyBorder="1" applyAlignment="1">
      <alignment horizontal="center"/>
    </xf>
    <xf numFmtId="14" fontId="2" fillId="0" borderId="0" xfId="1" applyNumberFormat="1" applyFont="1"/>
    <xf numFmtId="0" fontId="2" fillId="0" borderId="0" xfId="1" applyFont="1"/>
    <xf numFmtId="37" fontId="2" fillId="0" borderId="0" xfId="1" applyNumberFormat="1" applyFont="1" applyAlignment="1">
      <alignment horizontal="center"/>
    </xf>
    <xf numFmtId="0" fontId="2" fillId="0" borderId="33" xfId="1" applyFont="1" applyBorder="1"/>
    <xf numFmtId="37" fontId="4" fillId="0" borderId="22" xfId="1" applyNumberFormat="1" applyFont="1" applyBorder="1" applyAlignment="1">
      <alignment horizontal="center"/>
    </xf>
    <xf numFmtId="37" fontId="4" fillId="0" borderId="34" xfId="1" applyNumberFormat="1" applyFont="1" applyBorder="1" applyAlignment="1">
      <alignment horizontal="center"/>
    </xf>
    <xf numFmtId="37" fontId="4" fillId="0" borderId="24" xfId="1" applyNumberFormat="1" applyFont="1" applyBorder="1" applyAlignment="1">
      <alignment horizontal="center"/>
    </xf>
    <xf numFmtId="0" fontId="2" fillId="0" borderId="35" xfId="1" applyFont="1" applyBorder="1"/>
    <xf numFmtId="37" fontId="4" fillId="0" borderId="5" xfId="1" applyNumberFormat="1" applyFont="1" applyBorder="1" applyAlignment="1">
      <alignment horizontal="center"/>
    </xf>
    <xf numFmtId="37" fontId="4" fillId="0" borderId="8" xfId="1" applyNumberFormat="1" applyFont="1" applyBorder="1" applyAlignment="1">
      <alignment horizontal="center"/>
    </xf>
    <xf numFmtId="0" fontId="2" fillId="0" borderId="36" xfId="1" applyFont="1" applyBorder="1"/>
    <xf numFmtId="37" fontId="4" fillId="0" borderId="37" xfId="1" applyNumberFormat="1" applyFont="1" applyBorder="1" applyAlignment="1">
      <alignment horizontal="center"/>
    </xf>
    <xf numFmtId="37" fontId="4" fillId="0" borderId="38" xfId="1" applyNumberFormat="1" applyFont="1" applyBorder="1" applyAlignment="1">
      <alignment horizontal="center"/>
    </xf>
    <xf numFmtId="0" fontId="5" fillId="0" borderId="35" xfId="1" applyFont="1" applyBorder="1"/>
    <xf numFmtId="0" fontId="4" fillId="0" borderId="12" xfId="1" applyFont="1" applyBorder="1" applyAlignment="1">
      <alignment horizontal="center"/>
    </xf>
    <xf numFmtId="0" fontId="4" fillId="0" borderId="14" xfId="1" applyFont="1" applyBorder="1" applyAlignment="1">
      <alignment horizontal="center"/>
    </xf>
    <xf numFmtId="0" fontId="3" fillId="0" borderId="0" xfId="1" applyFont="1" applyAlignment="1">
      <alignment horizontal="center"/>
    </xf>
    <xf numFmtId="0" fontId="4" fillId="0" borderId="23" xfId="1" applyFont="1" applyBorder="1" applyAlignment="1">
      <alignment horizontal="center"/>
    </xf>
    <xf numFmtId="0" fontId="4" fillId="0" borderId="24" xfId="1" applyFont="1" applyBorder="1" applyAlignment="1">
      <alignment horizontal="center"/>
    </xf>
    <xf numFmtId="0" fontId="4" fillId="0" borderId="19" xfId="1" applyFont="1" applyBorder="1" applyAlignment="1">
      <alignment horizontal="center"/>
    </xf>
    <xf numFmtId="0" fontId="4" fillId="0" borderId="28" xfId="1" applyFont="1" applyBorder="1" applyAlignment="1">
      <alignment horizontal="center"/>
    </xf>
    <xf numFmtId="0" fontId="4" fillId="0" borderId="30" xfId="1" applyFont="1" applyBorder="1" applyAlignment="1">
      <alignment horizontal="center"/>
    </xf>
    <xf numFmtId="14" fontId="2" fillId="0" borderId="37" xfId="1" applyNumberFormat="1" applyFont="1" applyBorder="1"/>
    <xf numFmtId="0" fontId="4" fillId="0" borderId="39" xfId="1" applyFont="1" applyBorder="1" applyAlignment="1">
      <alignment horizontal="center"/>
    </xf>
    <xf numFmtId="0" fontId="4" fillId="0" borderId="38" xfId="1" applyFont="1" applyBorder="1" applyAlignment="1">
      <alignment horizontal="center"/>
    </xf>
    <xf numFmtId="0" fontId="7" fillId="3" borderId="1" xfId="1" applyFont="1" applyFill="1" applyBorder="1" applyAlignment="1">
      <alignment horizontal="center"/>
    </xf>
    <xf numFmtId="14" fontId="7" fillId="3" borderId="37" xfId="1" applyNumberFormat="1" applyFont="1" applyFill="1" applyBorder="1" applyAlignment="1">
      <alignment horizontal="center"/>
    </xf>
    <xf numFmtId="0" fontId="7" fillId="3" borderId="39" xfId="1" applyFont="1" applyFill="1" applyBorder="1" applyAlignment="1">
      <alignment horizontal="center"/>
    </xf>
    <xf numFmtId="0" fontId="7" fillId="3" borderId="2" xfId="1" quotePrefix="1" applyFont="1" applyFill="1" applyBorder="1" applyAlignment="1">
      <alignment horizontal="center"/>
    </xf>
    <xf numFmtId="0" fontId="7" fillId="3" borderId="38" xfId="1" applyFont="1" applyFill="1" applyBorder="1" applyAlignment="1">
      <alignment horizontal="center"/>
    </xf>
    <xf numFmtId="0" fontId="7" fillId="3" borderId="40" xfId="1" applyFont="1" applyFill="1" applyBorder="1" applyAlignment="1">
      <alignment horizontal="center"/>
    </xf>
    <xf numFmtId="0" fontId="7" fillId="3" borderId="32" xfId="1" applyFont="1" applyFill="1" applyBorder="1"/>
    <xf numFmtId="37" fontId="7" fillId="3" borderId="41" xfId="1" applyNumberFormat="1" applyFont="1" applyFill="1" applyBorder="1" applyAlignment="1">
      <alignment horizontal="center"/>
    </xf>
    <xf numFmtId="37" fontId="7" fillId="3" borderId="42" xfId="1" applyNumberFormat="1" applyFont="1" applyFill="1" applyBorder="1" applyAlignment="1">
      <alignment horizontal="center"/>
    </xf>
    <xf numFmtId="37" fontId="7" fillId="3" borderId="43" xfId="1" applyNumberFormat="1" applyFont="1" applyFill="1" applyBorder="1" applyAlignment="1">
      <alignment horizontal="center"/>
    </xf>
    <xf numFmtId="37" fontId="7" fillId="3" borderId="32" xfId="1" applyNumberFormat="1" applyFont="1" applyFill="1" applyBorder="1" applyAlignment="1">
      <alignment horizontal="center"/>
    </xf>
    <xf numFmtId="0" fontId="7" fillId="3" borderId="44" xfId="1" applyFont="1" applyFill="1" applyBorder="1" applyAlignment="1">
      <alignment horizontal="center"/>
    </xf>
    <xf numFmtId="0" fontId="7" fillId="3" borderId="4" xfId="1" applyFont="1" applyFill="1" applyBorder="1" applyAlignment="1">
      <alignment horizontal="center"/>
    </xf>
    <xf numFmtId="14" fontId="7" fillId="3" borderId="5" xfId="1" applyNumberFormat="1" applyFont="1" applyFill="1" applyBorder="1" applyAlignment="1">
      <alignment horizontal="center"/>
    </xf>
    <xf numFmtId="0" fontId="7" fillId="3" borderId="6" xfId="1" applyFont="1" applyFill="1" applyBorder="1" applyAlignment="1">
      <alignment horizontal="center"/>
    </xf>
    <xf numFmtId="0" fontId="7" fillId="3" borderId="7" xfId="1" quotePrefix="1" applyFont="1" applyFill="1" applyBorder="1" applyAlignment="1">
      <alignment horizontal="center"/>
    </xf>
    <xf numFmtId="0" fontId="7" fillId="3" borderId="8" xfId="1" applyFont="1" applyFill="1" applyBorder="1" applyAlignment="1">
      <alignment horizontal="center"/>
    </xf>
    <xf numFmtId="0" fontId="7" fillId="3" borderId="9" xfId="1" applyFont="1" applyFill="1" applyBorder="1" applyAlignment="1">
      <alignment horizontal="center"/>
    </xf>
    <xf numFmtId="0" fontId="3" fillId="4" borderId="6" xfId="1" applyFont="1" applyFill="1" applyBorder="1" applyAlignment="1" applyProtection="1">
      <alignment horizontal="center"/>
      <protection locked="0"/>
    </xf>
    <xf numFmtId="0" fontId="3" fillId="4" borderId="12" xfId="1" applyFont="1" applyFill="1" applyBorder="1" applyAlignment="1" applyProtection="1">
      <alignment horizontal="center"/>
      <protection locked="0"/>
    </xf>
    <xf numFmtId="0" fontId="3" fillId="4" borderId="18" xfId="1" applyFont="1" applyFill="1" applyBorder="1" applyAlignment="1" applyProtection="1">
      <alignment horizontal="center"/>
      <protection locked="0"/>
    </xf>
    <xf numFmtId="0" fontId="3" fillId="4" borderId="23" xfId="1" applyFont="1" applyFill="1" applyBorder="1" applyAlignment="1" applyProtection="1">
      <alignment horizontal="center"/>
      <protection locked="0"/>
    </xf>
    <xf numFmtId="0" fontId="3" fillId="4" borderId="28" xfId="1" applyFont="1" applyFill="1" applyBorder="1" applyAlignment="1" applyProtection="1">
      <alignment horizontal="center"/>
      <protection locked="0"/>
    </xf>
    <xf numFmtId="0" fontId="3" fillId="4" borderId="7" xfId="1" applyFont="1" applyFill="1" applyBorder="1" applyAlignment="1" applyProtection="1">
      <alignment horizontal="center"/>
      <protection locked="0"/>
    </xf>
    <xf numFmtId="0" fontId="3" fillId="4" borderId="13" xfId="1" applyFont="1" applyFill="1" applyBorder="1" applyAlignment="1" applyProtection="1">
      <alignment horizontal="center"/>
      <protection locked="0"/>
    </xf>
    <xf numFmtId="0" fontId="3" fillId="4" borderId="0" xfId="1" applyFont="1" applyFill="1" applyBorder="1" applyAlignment="1" applyProtection="1">
      <alignment horizontal="center"/>
      <protection locked="0"/>
    </xf>
    <xf numFmtId="0" fontId="3" fillId="4" borderId="3" xfId="1" applyFont="1" applyFill="1" applyBorder="1" applyAlignment="1" applyProtection="1">
      <alignment horizontal="center"/>
      <protection locked="0"/>
    </xf>
    <xf numFmtId="0" fontId="3" fillId="4" borderId="29" xfId="1" applyFont="1" applyFill="1" applyBorder="1" applyAlignment="1" applyProtection="1">
      <alignment horizontal="center"/>
      <protection locked="0"/>
    </xf>
    <xf numFmtId="37" fontId="3" fillId="4" borderId="33" xfId="1" applyNumberFormat="1" applyFont="1" applyFill="1" applyBorder="1" applyAlignment="1" applyProtection="1">
      <alignment horizontal="center"/>
      <protection locked="0"/>
    </xf>
    <xf numFmtId="37" fontId="3" fillId="4" borderId="35" xfId="1" applyNumberFormat="1" applyFont="1" applyFill="1" applyBorder="1" applyAlignment="1" applyProtection="1">
      <alignment horizontal="center"/>
      <protection locked="0"/>
    </xf>
    <xf numFmtId="37" fontId="3" fillId="4" borderId="36" xfId="1" applyNumberFormat="1" applyFont="1" applyFill="1" applyBorder="1" applyAlignment="1" applyProtection="1">
      <alignment horizontal="center"/>
      <protection locked="0"/>
    </xf>
    <xf numFmtId="0" fontId="3" fillId="4" borderId="14" xfId="1" applyFont="1" applyFill="1" applyBorder="1" applyAlignment="1" applyProtection="1">
      <alignment horizontal="center"/>
      <protection locked="0"/>
    </xf>
    <xf numFmtId="0" fontId="3" fillId="4" borderId="15" xfId="1" applyFont="1" applyFill="1" applyBorder="1" applyAlignment="1" applyProtection="1">
      <alignment horizontal="center"/>
      <protection locked="0"/>
    </xf>
    <xf numFmtId="0" fontId="3" fillId="4" borderId="24" xfId="1" applyFont="1" applyFill="1" applyBorder="1" applyAlignment="1" applyProtection="1">
      <alignment horizontal="center"/>
      <protection locked="0"/>
    </xf>
    <xf numFmtId="0" fontId="3" fillId="4" borderId="25" xfId="1" applyFont="1" applyFill="1" applyBorder="1" applyAlignment="1" applyProtection="1">
      <alignment horizontal="center"/>
      <protection locked="0"/>
    </xf>
    <xf numFmtId="0" fontId="3" fillId="4" borderId="19" xfId="1" applyFont="1" applyFill="1" applyBorder="1" applyAlignment="1" applyProtection="1">
      <alignment horizontal="center"/>
      <protection locked="0"/>
    </xf>
    <xf numFmtId="0" fontId="3" fillId="4" borderId="20" xfId="1" applyFont="1" applyFill="1" applyBorder="1" applyAlignment="1" applyProtection="1">
      <alignment horizontal="center"/>
      <protection locked="0"/>
    </xf>
    <xf numFmtId="0" fontId="3" fillId="4" borderId="30" xfId="1" applyFont="1" applyFill="1" applyBorder="1" applyAlignment="1" applyProtection="1">
      <alignment horizontal="center"/>
      <protection locked="0"/>
    </xf>
    <xf numFmtId="0" fontId="3" fillId="4" borderId="31" xfId="1" applyFont="1" applyFill="1" applyBorder="1" applyAlignment="1" applyProtection="1">
      <alignment horizontal="center"/>
      <protection locked="0"/>
    </xf>
    <xf numFmtId="0" fontId="3" fillId="4" borderId="39" xfId="1" applyFont="1" applyFill="1" applyBorder="1" applyAlignment="1" applyProtection="1">
      <alignment horizontal="center"/>
      <protection locked="0"/>
    </xf>
    <xf numFmtId="0" fontId="3" fillId="4" borderId="38" xfId="1" applyFont="1" applyFill="1" applyBorder="1" applyAlignment="1" applyProtection="1">
      <alignment horizontal="center"/>
      <protection locked="0"/>
    </xf>
    <xf numFmtId="0" fontId="3" fillId="4" borderId="45" xfId="1" applyFont="1" applyFill="1" applyBorder="1" applyAlignment="1" applyProtection="1">
      <alignment horizontal="center"/>
      <protection locked="0"/>
    </xf>
    <xf numFmtId="0" fontId="13" fillId="3" borderId="0" xfId="1" applyFont="1" applyFill="1" applyAlignment="1">
      <alignment horizontal="center"/>
    </xf>
    <xf numFmtId="0" fontId="4" fillId="0" borderId="13" xfId="1" applyFont="1" applyBorder="1" applyAlignment="1">
      <alignment horizontal="center"/>
    </xf>
    <xf numFmtId="0" fontId="4" fillId="0" borderId="3" xfId="1" applyFont="1" applyBorder="1" applyAlignment="1">
      <alignment horizontal="center"/>
    </xf>
    <xf numFmtId="0" fontId="4" fillId="0" borderId="29" xfId="1" applyFont="1" applyBorder="1" applyAlignment="1">
      <alignment horizontal="center"/>
    </xf>
    <xf numFmtId="14" fontId="2" fillId="0" borderId="28" xfId="1" applyNumberFormat="1" applyFont="1" applyBorder="1"/>
    <xf numFmtId="0" fontId="7" fillId="3" borderId="12" xfId="1" applyFont="1" applyFill="1" applyBorder="1" applyAlignment="1">
      <alignment horizontal="center"/>
    </xf>
    <xf numFmtId="0" fontId="4" fillId="0" borderId="0" xfId="1" applyFont="1" applyBorder="1" applyAlignment="1">
      <alignment horizontal="center"/>
    </xf>
    <xf numFmtId="14" fontId="2" fillId="0" borderId="12" xfId="1" applyNumberFormat="1" applyFont="1" applyBorder="1"/>
    <xf numFmtId="14" fontId="2" fillId="0" borderId="23" xfId="1" applyNumberFormat="1" applyFont="1" applyBorder="1"/>
    <xf numFmtId="14" fontId="2" fillId="0" borderId="18" xfId="1" applyNumberFormat="1" applyFont="1" applyBorder="1"/>
    <xf numFmtId="0" fontId="25" fillId="0" borderId="0" xfId="1"/>
    <xf numFmtId="0" fontId="2" fillId="0" borderId="0" xfId="1" applyFont="1" applyAlignment="1">
      <alignment horizontal="center"/>
    </xf>
    <xf numFmtId="0" fontId="2" fillId="0" borderId="1" xfId="1" applyFont="1" applyBorder="1" applyAlignment="1">
      <alignment horizontal="center"/>
    </xf>
    <xf numFmtId="0" fontId="2" fillId="0" borderId="2" xfId="1" quotePrefix="1" applyFont="1" applyBorder="1" applyAlignment="1">
      <alignment horizontal="center"/>
    </xf>
    <xf numFmtId="0" fontId="2" fillId="0" borderId="3" xfId="1" applyFont="1" applyBorder="1" applyAlignment="1">
      <alignment horizontal="center"/>
    </xf>
    <xf numFmtId="0" fontId="2" fillId="0" borderId="4" xfId="1" applyFont="1" applyBorder="1" applyAlignment="1">
      <alignment horizontal="center"/>
    </xf>
    <xf numFmtId="14" fontId="2" fillId="0" borderId="5" xfId="1" applyNumberFormat="1" applyFont="1" applyBorder="1"/>
    <xf numFmtId="0" fontId="2" fillId="0" borderId="6" xfId="1" applyFont="1" applyBorder="1" applyAlignment="1">
      <alignment horizontal="center"/>
    </xf>
    <xf numFmtId="0" fontId="2" fillId="0" borderId="7" xfId="1" quotePrefix="1" applyFont="1" applyBorder="1" applyAlignment="1">
      <alignment horizontal="center"/>
    </xf>
    <xf numFmtId="0" fontId="2" fillId="0" borderId="8" xfId="1" applyFont="1" applyBorder="1" applyAlignment="1">
      <alignment horizontal="center"/>
    </xf>
    <xf numFmtId="0" fontId="4" fillId="0" borderId="9" xfId="1" applyFont="1" applyBorder="1" applyAlignment="1">
      <alignment horizontal="center"/>
    </xf>
    <xf numFmtId="0" fontId="4" fillId="0" borderId="0" xfId="1" applyFont="1" applyAlignment="1">
      <alignment horizontal="center"/>
    </xf>
    <xf numFmtId="0" fontId="2" fillId="0" borderId="10" xfId="1" applyFont="1" applyBorder="1" applyAlignment="1">
      <alignment horizontal="center"/>
    </xf>
    <xf numFmtId="14" fontId="2" fillId="0" borderId="11" xfId="1" applyNumberFormat="1" applyFont="1" applyBorder="1"/>
    <xf numFmtId="0" fontId="2" fillId="0" borderId="12" xfId="1" applyFont="1" applyBorder="1" applyAlignment="1">
      <alignment horizontal="center"/>
    </xf>
    <xf numFmtId="0" fontId="2" fillId="0" borderId="13" xfId="1" quotePrefix="1" applyFont="1" applyBorder="1" applyAlignment="1">
      <alignment horizontal="center"/>
    </xf>
    <xf numFmtId="0" fontId="2" fillId="0" borderId="14" xfId="1" applyFont="1" applyBorder="1" applyAlignment="1">
      <alignment horizontal="center"/>
    </xf>
    <xf numFmtId="0" fontId="4" fillId="0" borderId="15" xfId="1" applyFont="1" applyBorder="1" applyAlignment="1">
      <alignment horizontal="center"/>
    </xf>
    <xf numFmtId="0" fontId="2" fillId="0" borderId="16" xfId="1" applyFont="1" applyBorder="1" applyAlignment="1">
      <alignment horizontal="center"/>
    </xf>
    <xf numFmtId="14" fontId="2" fillId="0" borderId="17" xfId="1" applyNumberFormat="1" applyFont="1" applyBorder="1"/>
    <xf numFmtId="0" fontId="2" fillId="0" borderId="18" xfId="1" applyFont="1" applyBorder="1" applyAlignment="1">
      <alignment horizontal="center"/>
    </xf>
    <xf numFmtId="0" fontId="2" fillId="0" borderId="0" xfId="1" quotePrefix="1" applyFont="1" applyBorder="1" applyAlignment="1">
      <alignment horizontal="center"/>
    </xf>
    <xf numFmtId="0" fontId="5" fillId="0" borderId="19" xfId="1" applyFont="1" applyBorder="1" applyAlignment="1">
      <alignment horizontal="center"/>
    </xf>
    <xf numFmtId="0" fontId="4" fillId="0" borderId="20" xfId="1" applyFont="1" applyBorder="1" applyAlignment="1">
      <alignment horizontal="center"/>
    </xf>
    <xf numFmtId="0" fontId="2" fillId="0" borderId="21" xfId="1" applyFont="1" applyBorder="1" applyAlignment="1">
      <alignment horizontal="center"/>
    </xf>
    <xf numFmtId="14" fontId="2" fillId="0" borderId="22" xfId="1" applyNumberFormat="1" applyFont="1" applyBorder="1"/>
    <xf numFmtId="0" fontId="2" fillId="0" borderId="23" xfId="1" applyFont="1" applyBorder="1" applyAlignment="1">
      <alignment horizontal="center"/>
    </xf>
    <xf numFmtId="0" fontId="2" fillId="0" borderId="3" xfId="1" quotePrefix="1" applyFont="1" applyBorder="1" applyAlignment="1">
      <alignment horizontal="center"/>
    </xf>
    <xf numFmtId="0" fontId="2" fillId="0" borderId="24" xfId="1" applyFont="1" applyBorder="1" applyAlignment="1">
      <alignment horizontal="center"/>
    </xf>
    <xf numFmtId="0" fontId="4" fillId="0" borderId="25" xfId="1" applyFont="1" applyBorder="1" applyAlignment="1">
      <alignment horizontal="center"/>
    </xf>
    <xf numFmtId="0" fontId="2" fillId="0" borderId="19" xfId="1" applyFont="1" applyBorder="1" applyAlignment="1">
      <alignment horizontal="center"/>
    </xf>
    <xf numFmtId="0" fontId="5" fillId="0" borderId="14" xfId="1" applyFont="1" applyBorder="1" applyAlignment="1">
      <alignment horizontal="center"/>
    </xf>
    <xf numFmtId="0" fontId="5" fillId="0" borderId="18" xfId="1" applyFont="1" applyBorder="1" applyAlignment="1">
      <alignment horizontal="center"/>
    </xf>
    <xf numFmtId="0" fontId="2" fillId="0" borderId="26" xfId="1" applyFont="1" applyBorder="1" applyAlignment="1">
      <alignment horizontal="center"/>
    </xf>
    <xf numFmtId="14" fontId="2" fillId="0" borderId="27" xfId="1" applyNumberFormat="1" applyFont="1" applyBorder="1"/>
    <xf numFmtId="0" fontId="2" fillId="0" borderId="28" xfId="1" applyFont="1" applyBorder="1" applyAlignment="1">
      <alignment horizontal="center"/>
    </xf>
    <xf numFmtId="0" fontId="2" fillId="0" borderId="29" xfId="1" quotePrefix="1" applyFont="1" applyBorder="1" applyAlignment="1">
      <alignment horizontal="center"/>
    </xf>
    <xf numFmtId="0" fontId="2" fillId="0" borderId="30" xfId="1" applyFont="1" applyBorder="1" applyAlignment="1">
      <alignment horizontal="center"/>
    </xf>
    <xf numFmtId="0" fontId="4" fillId="0" borderId="31" xfId="1" applyFont="1" applyBorder="1" applyAlignment="1">
      <alignment horizontal="center"/>
    </xf>
    <xf numFmtId="14" fontId="2" fillId="0" borderId="0" xfId="1" applyNumberFormat="1" applyFont="1"/>
    <xf numFmtId="0" fontId="2" fillId="0" borderId="0" xfId="1" applyFont="1"/>
    <xf numFmtId="37" fontId="2" fillId="0" borderId="0" xfId="1" applyNumberFormat="1" applyFont="1" applyAlignment="1">
      <alignment horizontal="center"/>
    </xf>
    <xf numFmtId="0" fontId="2" fillId="0" borderId="33" xfId="1" applyFont="1" applyBorder="1"/>
    <xf numFmtId="37" fontId="4" fillId="0" borderId="22" xfId="1" applyNumberFormat="1" applyFont="1" applyBorder="1" applyAlignment="1">
      <alignment horizontal="center"/>
    </xf>
    <xf numFmtId="37" fontId="4" fillId="0" borderId="34" xfId="1" applyNumberFormat="1" applyFont="1" applyBorder="1" applyAlignment="1">
      <alignment horizontal="center"/>
    </xf>
    <xf numFmtId="37" fontId="4" fillId="0" borderId="24" xfId="1" applyNumberFormat="1" applyFont="1" applyBorder="1" applyAlignment="1">
      <alignment horizontal="center"/>
    </xf>
    <xf numFmtId="0" fontId="2" fillId="0" borderId="35" xfId="1" applyFont="1" applyBorder="1"/>
    <xf numFmtId="37" fontId="4" fillId="0" borderId="5" xfId="1" applyNumberFormat="1" applyFont="1" applyBorder="1" applyAlignment="1">
      <alignment horizontal="center"/>
    </xf>
    <xf numFmtId="37" fontId="4" fillId="0" borderId="8" xfId="1" applyNumberFormat="1" applyFont="1" applyBorder="1" applyAlignment="1">
      <alignment horizontal="center"/>
    </xf>
    <xf numFmtId="0" fontId="2" fillId="0" borderId="36" xfId="1" applyFont="1" applyBorder="1"/>
    <xf numFmtId="37" fontId="4" fillId="0" borderId="37" xfId="1" applyNumberFormat="1" applyFont="1" applyBorder="1" applyAlignment="1">
      <alignment horizontal="center"/>
    </xf>
    <xf numFmtId="37" fontId="4" fillId="0" borderId="38" xfId="1" applyNumberFormat="1" applyFont="1" applyBorder="1" applyAlignment="1">
      <alignment horizontal="center"/>
    </xf>
    <xf numFmtId="0" fontId="5" fillId="0" borderId="35" xfId="1" applyFont="1" applyBorder="1"/>
    <xf numFmtId="0" fontId="4" fillId="0" borderId="12" xfId="1" applyFont="1" applyBorder="1" applyAlignment="1">
      <alignment horizontal="center"/>
    </xf>
    <xf numFmtId="0" fontId="4" fillId="0" borderId="14" xfId="1" applyFont="1" applyBorder="1" applyAlignment="1">
      <alignment horizontal="center"/>
    </xf>
    <xf numFmtId="0" fontId="3" fillId="0" borderId="0" xfId="1" applyFont="1" applyAlignment="1">
      <alignment horizontal="center"/>
    </xf>
    <xf numFmtId="0" fontId="4" fillId="0" borderId="23" xfId="1" applyFont="1" applyBorder="1" applyAlignment="1">
      <alignment horizontal="center"/>
    </xf>
    <xf numFmtId="0" fontId="4" fillId="0" borderId="24" xfId="1" applyFont="1" applyBorder="1" applyAlignment="1">
      <alignment horizontal="center"/>
    </xf>
    <xf numFmtId="0" fontId="4" fillId="0" borderId="19" xfId="1" applyFont="1" applyBorder="1" applyAlignment="1">
      <alignment horizontal="center"/>
    </xf>
    <xf numFmtId="0" fontId="4" fillId="0" borderId="28" xfId="1" applyFont="1" applyBorder="1" applyAlignment="1">
      <alignment horizontal="center"/>
    </xf>
    <xf numFmtId="0" fontId="4" fillId="0" borderId="30" xfId="1" applyFont="1" applyBorder="1" applyAlignment="1">
      <alignment horizontal="center"/>
    </xf>
    <xf numFmtId="14" fontId="2" fillId="0" borderId="37" xfId="1" applyNumberFormat="1" applyFont="1" applyBorder="1"/>
    <xf numFmtId="0" fontId="4" fillId="0" borderId="39" xfId="1" applyFont="1" applyBorder="1" applyAlignment="1">
      <alignment horizontal="center"/>
    </xf>
    <xf numFmtId="0" fontId="4" fillId="0" borderId="38" xfId="1" applyFont="1" applyBorder="1" applyAlignment="1">
      <alignment horizontal="center"/>
    </xf>
    <xf numFmtId="0" fontId="7" fillId="3" borderId="1" xfId="1" applyFont="1" applyFill="1" applyBorder="1" applyAlignment="1">
      <alignment horizontal="center"/>
    </xf>
    <xf numFmtId="14" fontId="7" fillId="3" borderId="37" xfId="1" applyNumberFormat="1" applyFont="1" applyFill="1" applyBorder="1" applyAlignment="1">
      <alignment horizontal="center"/>
    </xf>
    <xf numFmtId="0" fontId="7" fillId="3" borderId="39" xfId="1" applyFont="1" applyFill="1" applyBorder="1" applyAlignment="1">
      <alignment horizontal="center"/>
    </xf>
    <xf numFmtId="0" fontId="7" fillId="3" borderId="2" xfId="1" quotePrefix="1" applyFont="1" applyFill="1" applyBorder="1" applyAlignment="1">
      <alignment horizontal="center"/>
    </xf>
    <xf numFmtId="0" fontId="7" fillId="3" borderId="38" xfId="1" applyFont="1" applyFill="1" applyBorder="1" applyAlignment="1">
      <alignment horizontal="center"/>
    </xf>
    <xf numFmtId="0" fontId="7" fillId="3" borderId="40" xfId="1" applyFont="1" applyFill="1" applyBorder="1" applyAlignment="1">
      <alignment horizontal="center"/>
    </xf>
    <xf numFmtId="0" fontId="7" fillId="3" borderId="32" xfId="1" applyFont="1" applyFill="1" applyBorder="1"/>
    <xf numFmtId="37" fontId="7" fillId="3" borderId="41" xfId="1" applyNumberFormat="1" applyFont="1" applyFill="1" applyBorder="1" applyAlignment="1">
      <alignment horizontal="center"/>
    </xf>
    <xf numFmtId="37" fontId="7" fillId="3" borderId="42" xfId="1" applyNumberFormat="1" applyFont="1" applyFill="1" applyBorder="1" applyAlignment="1">
      <alignment horizontal="center"/>
    </xf>
    <xf numFmtId="37" fontId="7" fillId="3" borderId="43" xfId="1" applyNumberFormat="1" applyFont="1" applyFill="1" applyBorder="1" applyAlignment="1">
      <alignment horizontal="center"/>
    </xf>
    <xf numFmtId="37" fontId="7" fillId="3" borderId="32" xfId="1" applyNumberFormat="1" applyFont="1" applyFill="1" applyBorder="1" applyAlignment="1">
      <alignment horizontal="center"/>
    </xf>
    <xf numFmtId="0" fontId="7" fillId="3" borderId="44" xfId="1" applyFont="1" applyFill="1" applyBorder="1" applyAlignment="1">
      <alignment horizontal="center"/>
    </xf>
    <xf numFmtId="0" fontId="7" fillId="3" borderId="4" xfId="1" applyFont="1" applyFill="1" applyBorder="1" applyAlignment="1">
      <alignment horizontal="center"/>
    </xf>
    <xf numFmtId="14" fontId="7" fillId="3" borderId="5" xfId="1" applyNumberFormat="1" applyFont="1" applyFill="1" applyBorder="1" applyAlignment="1">
      <alignment horizontal="center"/>
    </xf>
    <xf numFmtId="0" fontId="7" fillId="3" borderId="6" xfId="1" applyFont="1" applyFill="1" applyBorder="1" applyAlignment="1">
      <alignment horizontal="center"/>
    </xf>
    <xf numFmtId="0" fontId="7" fillId="3" borderId="7" xfId="1" quotePrefix="1" applyFont="1" applyFill="1" applyBorder="1" applyAlignment="1">
      <alignment horizontal="center"/>
    </xf>
    <xf numFmtId="0" fontId="7" fillId="3" borderId="8" xfId="1" applyFont="1" applyFill="1" applyBorder="1" applyAlignment="1">
      <alignment horizontal="center"/>
    </xf>
    <xf numFmtId="0" fontId="7" fillId="3" borderId="9" xfId="1" applyFont="1" applyFill="1" applyBorder="1" applyAlignment="1">
      <alignment horizontal="center"/>
    </xf>
    <xf numFmtId="0" fontId="3" fillId="4" borderId="6" xfId="1" applyFont="1" applyFill="1" applyBorder="1" applyAlignment="1" applyProtection="1">
      <alignment horizontal="center"/>
      <protection locked="0"/>
    </xf>
    <xf numFmtId="0" fontId="3" fillId="4" borderId="12" xfId="1" applyFont="1" applyFill="1" applyBorder="1" applyAlignment="1" applyProtection="1">
      <alignment horizontal="center"/>
      <protection locked="0"/>
    </xf>
    <xf numFmtId="0" fontId="3" fillId="4" borderId="18" xfId="1" applyFont="1" applyFill="1" applyBorder="1" applyAlignment="1" applyProtection="1">
      <alignment horizontal="center"/>
      <protection locked="0"/>
    </xf>
    <xf numFmtId="0" fontId="3" fillId="4" borderId="23" xfId="1" applyFont="1" applyFill="1" applyBorder="1" applyAlignment="1" applyProtection="1">
      <alignment horizontal="center"/>
      <protection locked="0"/>
    </xf>
    <xf numFmtId="0" fontId="3" fillId="4" borderId="28" xfId="1" applyFont="1" applyFill="1" applyBorder="1" applyAlignment="1" applyProtection="1">
      <alignment horizontal="center"/>
      <protection locked="0"/>
    </xf>
    <xf numFmtId="0" fontId="3" fillId="4" borderId="7" xfId="1" applyFont="1" applyFill="1" applyBorder="1" applyAlignment="1" applyProtection="1">
      <alignment horizontal="center"/>
      <protection locked="0"/>
    </xf>
    <xf numFmtId="0" fontId="3" fillId="4" borderId="13" xfId="1" applyFont="1" applyFill="1" applyBorder="1" applyAlignment="1" applyProtection="1">
      <alignment horizontal="center"/>
      <protection locked="0"/>
    </xf>
    <xf numFmtId="0" fontId="3" fillId="4" borderId="0" xfId="1" applyFont="1" applyFill="1" applyBorder="1" applyAlignment="1" applyProtection="1">
      <alignment horizontal="center"/>
      <protection locked="0"/>
    </xf>
    <xf numFmtId="0" fontId="3" fillId="4" borderId="3" xfId="1" applyFont="1" applyFill="1" applyBorder="1" applyAlignment="1" applyProtection="1">
      <alignment horizontal="center"/>
      <protection locked="0"/>
    </xf>
    <xf numFmtId="0" fontId="3" fillId="4" borderId="29" xfId="1" applyFont="1" applyFill="1" applyBorder="1" applyAlignment="1" applyProtection="1">
      <alignment horizontal="center"/>
      <protection locked="0"/>
    </xf>
    <xf numFmtId="37" fontId="3" fillId="4" borderId="33" xfId="1" applyNumberFormat="1" applyFont="1" applyFill="1" applyBorder="1" applyAlignment="1" applyProtection="1">
      <alignment horizontal="center"/>
      <protection locked="0"/>
    </xf>
    <xf numFmtId="37" fontId="3" fillId="4" borderId="35" xfId="1" applyNumberFormat="1" applyFont="1" applyFill="1" applyBorder="1" applyAlignment="1" applyProtection="1">
      <alignment horizontal="center"/>
      <protection locked="0"/>
    </xf>
    <xf numFmtId="37" fontId="3" fillId="4" borderId="36" xfId="1" applyNumberFormat="1" applyFont="1" applyFill="1" applyBorder="1" applyAlignment="1" applyProtection="1">
      <alignment horizontal="center"/>
      <protection locked="0"/>
    </xf>
    <xf numFmtId="0" fontId="3" fillId="4" borderId="14" xfId="1" applyFont="1" applyFill="1" applyBorder="1" applyAlignment="1" applyProtection="1">
      <alignment horizontal="center"/>
      <protection locked="0"/>
    </xf>
    <xf numFmtId="0" fontId="3" fillId="4" borderId="15" xfId="1" applyFont="1" applyFill="1" applyBorder="1" applyAlignment="1" applyProtection="1">
      <alignment horizontal="center"/>
      <protection locked="0"/>
    </xf>
    <xf numFmtId="0" fontId="3" fillId="4" borderId="24" xfId="1" applyFont="1" applyFill="1" applyBorder="1" applyAlignment="1" applyProtection="1">
      <alignment horizontal="center"/>
      <protection locked="0"/>
    </xf>
    <xf numFmtId="0" fontId="3" fillId="4" borderId="25" xfId="1" applyFont="1" applyFill="1" applyBorder="1" applyAlignment="1" applyProtection="1">
      <alignment horizontal="center"/>
      <protection locked="0"/>
    </xf>
    <xf numFmtId="0" fontId="3" fillId="4" borderId="19" xfId="1" applyFont="1" applyFill="1" applyBorder="1" applyAlignment="1" applyProtection="1">
      <alignment horizontal="center"/>
      <protection locked="0"/>
    </xf>
    <xf numFmtId="0" fontId="3" fillId="4" borderId="20" xfId="1" applyFont="1" applyFill="1" applyBorder="1" applyAlignment="1" applyProtection="1">
      <alignment horizontal="center"/>
      <protection locked="0"/>
    </xf>
    <xf numFmtId="0" fontId="3" fillId="4" borderId="30" xfId="1" applyFont="1" applyFill="1" applyBorder="1" applyAlignment="1" applyProtection="1">
      <alignment horizontal="center"/>
      <protection locked="0"/>
    </xf>
    <xf numFmtId="0" fontId="3" fillId="4" borderId="31" xfId="1" applyFont="1" applyFill="1" applyBorder="1" applyAlignment="1" applyProtection="1">
      <alignment horizontal="center"/>
      <protection locked="0"/>
    </xf>
    <xf numFmtId="0" fontId="3" fillId="4" borderId="39" xfId="1" applyFont="1" applyFill="1" applyBorder="1" applyAlignment="1" applyProtection="1">
      <alignment horizontal="center"/>
      <protection locked="0"/>
    </xf>
    <xf numFmtId="0" fontId="3" fillId="4" borderId="38" xfId="1" applyFont="1" applyFill="1" applyBorder="1" applyAlignment="1" applyProtection="1">
      <alignment horizontal="center"/>
      <protection locked="0"/>
    </xf>
    <xf numFmtId="0" fontId="3" fillId="4" borderId="45" xfId="1" applyFont="1" applyFill="1" applyBorder="1" applyAlignment="1" applyProtection="1">
      <alignment horizontal="center"/>
      <protection locked="0"/>
    </xf>
    <xf numFmtId="0" fontId="13" fillId="3" borderId="0" xfId="1" applyFont="1" applyFill="1" applyAlignment="1">
      <alignment horizontal="center"/>
    </xf>
    <xf numFmtId="0" fontId="4" fillId="0" borderId="13" xfId="1" applyFont="1" applyBorder="1" applyAlignment="1">
      <alignment horizontal="center"/>
    </xf>
    <xf numFmtId="0" fontId="4" fillId="0" borderId="3" xfId="1" applyFont="1" applyBorder="1" applyAlignment="1">
      <alignment horizontal="center"/>
    </xf>
    <xf numFmtId="0" fontId="4" fillId="0" borderId="29" xfId="1" applyFont="1" applyBorder="1" applyAlignment="1">
      <alignment horizontal="center"/>
    </xf>
    <xf numFmtId="14" fontId="2" fillId="0" borderId="28" xfId="1" applyNumberFormat="1" applyFont="1" applyBorder="1"/>
    <xf numFmtId="0" fontId="7" fillId="3" borderId="12" xfId="1" applyFont="1" applyFill="1" applyBorder="1" applyAlignment="1">
      <alignment horizontal="center"/>
    </xf>
    <xf numFmtId="0" fontId="4" fillId="0" borderId="0" xfId="1" applyFont="1" applyBorder="1" applyAlignment="1">
      <alignment horizontal="center"/>
    </xf>
    <xf numFmtId="14" fontId="2" fillId="0" borderId="12" xfId="1" applyNumberFormat="1" applyFont="1" applyBorder="1"/>
    <xf numFmtId="14" fontId="2" fillId="0" borderId="23" xfId="1" applyNumberFormat="1" applyFont="1" applyBorder="1"/>
    <xf numFmtId="14" fontId="2" fillId="0" borderId="18" xfId="1" applyNumberFormat="1" applyFont="1" applyBorder="1"/>
    <xf numFmtId="0" fontId="0" fillId="0" borderId="0" xfId="0" applyAlignment="1">
      <alignment horizontal="center"/>
    </xf>
    <xf numFmtId="0" fontId="2" fillId="0" borderId="0" xfId="0" applyFont="1" applyBorder="1" applyAlignment="1">
      <alignment horizontal="center"/>
    </xf>
    <xf numFmtId="0" fontId="41" fillId="0" borderId="0" xfId="0" applyFont="1" applyBorder="1" applyAlignment="1">
      <alignment horizontal="center"/>
    </xf>
    <xf numFmtId="0" fontId="41" fillId="0" borderId="0" xfId="0" applyFont="1"/>
    <xf numFmtId="0" fontId="7" fillId="3" borderId="6" xfId="0" applyFont="1" applyFill="1" applyBorder="1" applyAlignment="1">
      <alignment horizontal="center"/>
    </xf>
    <xf numFmtId="0" fontId="7" fillId="3" borderId="8" xfId="0" applyFont="1" applyFill="1" applyBorder="1" applyAlignment="1">
      <alignment horizontal="center"/>
    </xf>
    <xf numFmtId="0" fontId="7" fillId="3" borderId="44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39" fillId="0" borderId="5" xfId="0" applyFont="1" applyBorder="1" applyAlignment="1">
      <alignment horizontal="center"/>
    </xf>
    <xf numFmtId="0" fontId="39" fillId="0" borderId="5" xfId="0" applyFont="1" applyBorder="1" applyAlignment="1">
      <alignment horizontal="left"/>
    </xf>
    <xf numFmtId="0" fontId="0" fillId="0" borderId="5" xfId="0" applyBorder="1" applyAlignment="1">
      <alignment horizontal="left"/>
    </xf>
    <xf numFmtId="0" fontId="2" fillId="0" borderId="73" xfId="0" applyFont="1" applyBorder="1" applyAlignment="1">
      <alignment horizontal="center"/>
    </xf>
    <xf numFmtId="0" fontId="2" fillId="0" borderId="34" xfId="0" quotePrefix="1" applyFont="1" applyBorder="1" applyAlignment="1">
      <alignment horizontal="center"/>
    </xf>
    <xf numFmtId="0" fontId="2" fillId="0" borderId="74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9" xfId="0" applyBorder="1" applyAlignment="1">
      <alignment horizontal="center"/>
    </xf>
    <xf numFmtId="0" fontId="39" fillId="0" borderId="6" xfId="0" applyFont="1" applyBorder="1" applyAlignment="1">
      <alignment horizontal="left"/>
    </xf>
    <xf numFmtId="0" fontId="0" fillId="0" borderId="6" xfId="0" applyBorder="1" applyAlignment="1">
      <alignment horizontal="left"/>
    </xf>
    <xf numFmtId="0" fontId="40" fillId="0" borderId="63" xfId="0" applyFont="1" applyBorder="1"/>
    <xf numFmtId="0" fontId="41" fillId="0" borderId="7" xfId="0" applyFont="1" applyBorder="1" applyAlignment="1">
      <alignment horizontal="center"/>
    </xf>
    <xf numFmtId="0" fontId="0" fillId="3" borderId="5" xfId="0" applyFill="1" applyBorder="1"/>
    <xf numFmtId="0" fontId="0" fillId="3" borderId="5" xfId="0" applyFill="1" applyBorder="1" applyAlignment="1">
      <alignment horizontal="center"/>
    </xf>
    <xf numFmtId="0" fontId="10" fillId="3" borderId="5" xfId="0" applyFont="1" applyFill="1" applyBorder="1" applyAlignment="1">
      <alignment horizontal="center"/>
    </xf>
    <xf numFmtId="0" fontId="0" fillId="0" borderId="5" xfId="0" applyFont="1" applyBorder="1" applyAlignment="1">
      <alignment horizontal="left"/>
    </xf>
    <xf numFmtId="0" fontId="39" fillId="0" borderId="73" xfId="0" applyFont="1" applyBorder="1" applyAlignment="1">
      <alignment horizontal="center"/>
    </xf>
    <xf numFmtId="0" fontId="39" fillId="0" borderId="34" xfId="0" applyFont="1" applyBorder="1" applyAlignment="1">
      <alignment horizontal="left"/>
    </xf>
    <xf numFmtId="0" fontId="2" fillId="0" borderId="34" xfId="0" applyFont="1" applyBorder="1" applyAlignment="1">
      <alignment horizontal="left"/>
    </xf>
    <xf numFmtId="0" fontId="39" fillId="0" borderId="74" xfId="0" applyFont="1" applyBorder="1" applyAlignment="1">
      <alignment horizontal="left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left"/>
    </xf>
    <xf numFmtId="0" fontId="0" fillId="0" borderId="1" xfId="0" applyFont="1" applyBorder="1" applyAlignment="1">
      <alignment horizontal="center"/>
    </xf>
    <xf numFmtId="0" fontId="0" fillId="0" borderId="37" xfId="0" applyFont="1" applyBorder="1" applyAlignment="1">
      <alignment horizontal="left"/>
    </xf>
    <xf numFmtId="0" fontId="0" fillId="0" borderId="45" xfId="0" applyFont="1" applyBorder="1" applyAlignment="1">
      <alignment horizontal="left"/>
    </xf>
    <xf numFmtId="0" fontId="0" fillId="0" borderId="5" xfId="0" applyBorder="1" applyAlignment="1">
      <alignment horizontal="center"/>
    </xf>
    <xf numFmtId="0" fontId="7" fillId="3" borderId="62" xfId="0" applyFont="1" applyFill="1" applyBorder="1" applyAlignment="1">
      <alignment horizontal="center"/>
    </xf>
    <xf numFmtId="0" fontId="7" fillId="3" borderId="63" xfId="0" applyFont="1" applyFill="1" applyBorder="1" applyAlignment="1">
      <alignment horizontal="center"/>
    </xf>
    <xf numFmtId="0" fontId="7" fillId="3" borderId="6" xfId="0" applyFont="1" applyFill="1" applyBorder="1" applyAlignment="1">
      <alignment horizontal="center"/>
    </xf>
    <xf numFmtId="0" fontId="7" fillId="3" borderId="7" xfId="0" applyFont="1" applyFill="1" applyBorder="1" applyAlignment="1">
      <alignment horizontal="center"/>
    </xf>
    <xf numFmtId="0" fontId="7" fillId="3" borderId="8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5" xfId="0" applyBorder="1" applyAlignment="1"/>
    <xf numFmtId="0" fontId="11" fillId="0" borderId="5" xfId="0" applyFont="1" applyFill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6" fillId="6" borderId="5" xfId="0" applyFont="1" applyFill="1" applyBorder="1" applyAlignment="1">
      <alignment horizontal="center"/>
    </xf>
    <xf numFmtId="0" fontId="7" fillId="3" borderId="0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3" fillId="4" borderId="7" xfId="0" applyFont="1" applyFill="1" applyBorder="1" applyAlignment="1" applyProtection="1">
      <alignment horizontal="center"/>
      <protection locked="0"/>
    </xf>
    <xf numFmtId="0" fontId="3" fillId="4" borderId="8" xfId="0" applyFont="1" applyFill="1" applyBorder="1" applyAlignment="1" applyProtection="1">
      <alignment horizontal="center"/>
      <protection locked="0"/>
    </xf>
    <xf numFmtId="0" fontId="7" fillId="3" borderId="44" xfId="0" applyFont="1" applyFill="1" applyBorder="1" applyAlignment="1">
      <alignment horizontal="center"/>
    </xf>
    <xf numFmtId="0" fontId="7" fillId="3" borderId="39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0" fontId="7" fillId="3" borderId="38" xfId="0" applyFont="1" applyFill="1" applyBorder="1" applyAlignment="1">
      <alignment horizontal="center"/>
    </xf>
    <xf numFmtId="49" fontId="19" fillId="7" borderId="59" xfId="0" applyNumberFormat="1" applyFont="1" applyFill="1" applyBorder="1" applyAlignment="1">
      <alignment horizontal="center"/>
    </xf>
    <xf numFmtId="49" fontId="19" fillId="7" borderId="60" xfId="0" applyNumberFormat="1" applyFont="1" applyFill="1" applyBorder="1" applyAlignment="1">
      <alignment horizontal="center"/>
    </xf>
    <xf numFmtId="49" fontId="19" fillId="7" borderId="61" xfId="0" applyNumberFormat="1" applyFont="1" applyFill="1" applyBorder="1" applyAlignment="1">
      <alignment horizontal="center"/>
    </xf>
    <xf numFmtId="0" fontId="3" fillId="4" borderId="7" xfId="0" applyFont="1" applyFill="1" applyBorder="1" applyAlignment="1" applyProtection="1">
      <alignment horizontal="center"/>
    </xf>
    <xf numFmtId="0" fontId="3" fillId="4" borderId="8" xfId="0" applyFont="1" applyFill="1" applyBorder="1" applyAlignment="1" applyProtection="1">
      <alignment horizontal="center"/>
    </xf>
    <xf numFmtId="0" fontId="0" fillId="0" borderId="5" xfId="0" applyBorder="1" applyAlignment="1" applyProtection="1">
      <alignment horizontal="center"/>
    </xf>
    <xf numFmtId="0" fontId="0" fillId="0" borderId="5" xfId="0" applyBorder="1" applyAlignment="1" applyProtection="1"/>
    <xf numFmtId="0" fontId="8" fillId="6" borderId="5" xfId="0" applyFont="1" applyFill="1" applyBorder="1" applyAlignment="1" applyProtection="1">
      <alignment horizontal="center"/>
    </xf>
    <xf numFmtId="0" fontId="11" fillId="0" borderId="5" xfId="0" applyFont="1" applyFill="1" applyBorder="1" applyAlignment="1" applyProtection="1">
      <alignment horizontal="center"/>
    </xf>
    <xf numFmtId="0" fontId="7" fillId="3" borderId="62" xfId="0" applyFont="1" applyFill="1" applyBorder="1" applyAlignment="1" applyProtection="1">
      <alignment horizontal="center"/>
    </xf>
    <xf numFmtId="0" fontId="7" fillId="3" borderId="63" xfId="0" applyFont="1" applyFill="1" applyBorder="1" applyAlignment="1" applyProtection="1">
      <alignment horizontal="center"/>
    </xf>
    <xf numFmtId="0" fontId="7" fillId="3" borderId="44" xfId="0" applyFont="1" applyFill="1" applyBorder="1" applyAlignment="1" applyProtection="1">
      <alignment horizontal="center"/>
    </xf>
    <xf numFmtId="0" fontId="7" fillId="3" borderId="39" xfId="0" applyFont="1" applyFill="1" applyBorder="1" applyAlignment="1" applyProtection="1">
      <alignment horizontal="center"/>
    </xf>
    <xf numFmtId="0" fontId="7" fillId="3" borderId="2" xfId="0" applyFont="1" applyFill="1" applyBorder="1" applyAlignment="1" applyProtection="1">
      <alignment horizontal="center"/>
    </xf>
    <xf numFmtId="0" fontId="7" fillId="3" borderId="38" xfId="0" applyFont="1" applyFill="1" applyBorder="1" applyAlignment="1" applyProtection="1">
      <alignment horizontal="center"/>
    </xf>
    <xf numFmtId="0" fontId="7" fillId="3" borderId="6" xfId="0" applyFont="1" applyFill="1" applyBorder="1" applyAlignment="1" applyProtection="1">
      <alignment horizontal="center"/>
    </xf>
    <xf numFmtId="0" fontId="7" fillId="3" borderId="7" xfId="0" applyFont="1" applyFill="1" applyBorder="1" applyAlignment="1" applyProtection="1">
      <alignment horizontal="center"/>
    </xf>
    <xf numFmtId="0" fontId="7" fillId="3" borderId="8" xfId="0" applyFont="1" applyFill="1" applyBorder="1" applyAlignment="1" applyProtection="1">
      <alignment horizontal="center"/>
    </xf>
    <xf numFmtId="0" fontId="7" fillId="3" borderId="0" xfId="0" applyFont="1" applyFill="1" applyBorder="1" applyAlignment="1" applyProtection="1">
      <alignment horizontal="center"/>
    </xf>
    <xf numFmtId="0" fontId="12" fillId="0" borderId="0" xfId="0" applyFont="1" applyAlignment="1" applyProtection="1">
      <alignment horizontal="center"/>
    </xf>
    <xf numFmtId="0" fontId="6" fillId="6" borderId="5" xfId="0" applyFont="1" applyFill="1" applyBorder="1" applyAlignment="1" applyProtection="1">
      <alignment horizontal="center"/>
    </xf>
    <xf numFmtId="0" fontId="14" fillId="0" borderId="6" xfId="0" applyFont="1" applyFill="1" applyBorder="1" applyAlignment="1">
      <alignment horizontal="left"/>
    </xf>
    <xf numFmtId="0" fontId="14" fillId="0" borderId="7" xfId="0" applyFont="1" applyFill="1" applyBorder="1" applyAlignment="1">
      <alignment horizontal="left"/>
    </xf>
    <xf numFmtId="0" fontId="14" fillId="0" borderId="8" xfId="0" applyFont="1" applyFill="1" applyBorder="1" applyAlignment="1">
      <alignment horizontal="left"/>
    </xf>
    <xf numFmtId="0" fontId="7" fillId="3" borderId="62" xfId="1" applyFont="1" applyFill="1" applyBorder="1" applyAlignment="1">
      <alignment horizontal="center"/>
    </xf>
    <xf numFmtId="0" fontId="7" fillId="3" borderId="63" xfId="1" applyFont="1" applyFill="1" applyBorder="1" applyAlignment="1">
      <alignment horizontal="center"/>
    </xf>
    <xf numFmtId="0" fontId="7" fillId="3" borderId="44" xfId="1" applyFont="1" applyFill="1" applyBorder="1" applyAlignment="1">
      <alignment horizontal="center"/>
    </xf>
    <xf numFmtId="0" fontId="7" fillId="3" borderId="39" xfId="1" applyFont="1" applyFill="1" applyBorder="1" applyAlignment="1">
      <alignment horizontal="center"/>
    </xf>
    <xf numFmtId="0" fontId="7" fillId="3" borderId="2" xfId="1" applyFont="1" applyFill="1" applyBorder="1" applyAlignment="1">
      <alignment horizontal="center"/>
    </xf>
    <xf numFmtId="0" fontId="7" fillId="3" borderId="38" xfId="1" applyFont="1" applyFill="1" applyBorder="1" applyAlignment="1">
      <alignment horizontal="center"/>
    </xf>
    <xf numFmtId="0" fontId="7" fillId="3" borderId="6" xfId="1" applyFont="1" applyFill="1" applyBorder="1" applyAlignment="1">
      <alignment horizontal="center"/>
    </xf>
    <xf numFmtId="0" fontId="7" fillId="3" borderId="7" xfId="1" applyFont="1" applyFill="1" applyBorder="1" applyAlignment="1">
      <alignment horizontal="center"/>
    </xf>
    <xf numFmtId="0" fontId="7" fillId="3" borderId="8" xfId="1" applyFont="1" applyFill="1" applyBorder="1" applyAlignment="1">
      <alignment horizontal="center"/>
    </xf>
    <xf numFmtId="0" fontId="7" fillId="3" borderId="0" xfId="1" applyFont="1" applyFill="1" applyBorder="1" applyAlignment="1">
      <alignment horizontal="center"/>
    </xf>
    <xf numFmtId="0" fontId="12" fillId="0" borderId="0" xfId="1" applyFont="1" applyAlignment="1">
      <alignment horizontal="center"/>
    </xf>
  </cellXfs>
  <cellStyles count="43">
    <cellStyle name="20% - Accent1 2" xfId="2"/>
    <cellStyle name="20% - Accent2 2" xfId="3"/>
    <cellStyle name="20% - Accent3 2" xfId="4"/>
    <cellStyle name="20% - Accent4 2" xfId="5"/>
    <cellStyle name="20% - Accent5 2" xfId="6"/>
    <cellStyle name="20% - Accent6 2" xfId="7"/>
    <cellStyle name="40% - Accent1 2" xfId="8"/>
    <cellStyle name="40% - Accent2 2" xfId="9"/>
    <cellStyle name="40% - Accent3 2" xfId="10"/>
    <cellStyle name="40% - Accent4 2" xfId="11"/>
    <cellStyle name="40% - Accent5 2" xfId="12"/>
    <cellStyle name="40% - Accent6 2" xfId="13"/>
    <cellStyle name="60% - Accent1 2" xfId="14"/>
    <cellStyle name="60% - Accent2 2" xfId="15"/>
    <cellStyle name="60% - Accent3 2" xfId="16"/>
    <cellStyle name="60% - Accent4 2" xfId="17"/>
    <cellStyle name="60% - Accent5 2" xfId="18"/>
    <cellStyle name="60% - Accent6 2" xfId="19"/>
    <cellStyle name="Accent1 2" xfId="20"/>
    <cellStyle name="Accent2 2" xfId="21"/>
    <cellStyle name="Accent3 2" xfId="22"/>
    <cellStyle name="Accent4 2" xfId="23"/>
    <cellStyle name="Accent5 2" xfId="24"/>
    <cellStyle name="Accent6 2" xfId="25"/>
    <cellStyle name="Berekening 2" xfId="26"/>
    <cellStyle name="Controlecel 2" xfId="27"/>
    <cellStyle name="Gekoppelde cel 2" xfId="28"/>
    <cellStyle name="Goed 2" xfId="29"/>
    <cellStyle name="Invoer 2" xfId="30"/>
    <cellStyle name="Kop 1 2" xfId="31"/>
    <cellStyle name="Kop 2 2" xfId="32"/>
    <cellStyle name="Kop 3 2" xfId="33"/>
    <cellStyle name="Kop 4 2" xfId="34"/>
    <cellStyle name="Neutraal 2" xfId="35"/>
    <cellStyle name="Notitie 2" xfId="36"/>
    <cellStyle name="Ongeldig 2" xfId="37"/>
    <cellStyle name="Standaard" xfId="0" builtinId="0"/>
    <cellStyle name="Standaard 2" xfId="1"/>
    <cellStyle name="Titel 2" xfId="38"/>
    <cellStyle name="Totaal 2" xfId="39"/>
    <cellStyle name="Uitvoer 2" xfId="40"/>
    <cellStyle name="Verklarende tekst 2" xfId="41"/>
    <cellStyle name="Waarschuwingstekst 2" xfId="42"/>
  </cellStyles>
  <dxfs count="30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9525</xdr:colOff>
      <xdr:row>0</xdr:row>
      <xdr:rowOff>9525</xdr:rowOff>
    </xdr:from>
    <xdr:to>
      <xdr:col>19</xdr:col>
      <xdr:colOff>381000</xdr:colOff>
      <xdr:row>6</xdr:row>
      <xdr:rowOff>152400</xdr:rowOff>
    </xdr:to>
    <xdr:pic>
      <xdr:nvPicPr>
        <xdr:cNvPr id="2049" name="Afbeelding 1" descr="FIFA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91150" y="9525"/>
          <a:ext cx="28575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381000</xdr:colOff>
      <xdr:row>1</xdr:row>
      <xdr:rowOff>0</xdr:rowOff>
    </xdr:from>
    <xdr:to>
      <xdr:col>13</xdr:col>
      <xdr:colOff>609600</xdr:colOff>
      <xdr:row>7</xdr:row>
      <xdr:rowOff>0</xdr:rowOff>
    </xdr:to>
    <xdr:pic>
      <xdr:nvPicPr>
        <xdr:cNvPr id="3073" name="Afbeelding 1" descr="FIFA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0" y="200025"/>
          <a:ext cx="20574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</xdr:colOff>
      <xdr:row>0</xdr:row>
      <xdr:rowOff>28575</xdr:rowOff>
    </xdr:from>
    <xdr:to>
      <xdr:col>20</xdr:col>
      <xdr:colOff>9525</xdr:colOff>
      <xdr:row>6</xdr:row>
      <xdr:rowOff>171450</xdr:rowOff>
    </xdr:to>
    <xdr:pic>
      <xdr:nvPicPr>
        <xdr:cNvPr id="1025" name="Afbeelding 1" descr="FIFA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67375" y="28575"/>
          <a:ext cx="286702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eerkerk/AppData/Local/Temp/deelnameformulier%20WK%20poul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eerkerk/AppData/Local/Temp/deelnameformulier-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eelnameformulier"/>
      <sheetName val="Spelregels"/>
    </sheetNames>
    <sheetDataSet>
      <sheetData sheetId="0"/>
      <sheetData sheetId="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eelnameformulier"/>
      <sheetName val="Spelregels"/>
    </sheet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3:AB98"/>
  <sheetViews>
    <sheetView zoomScaleNormal="100" workbookViewId="0">
      <selection activeCell="P66" sqref="P66:T66"/>
    </sheetView>
  </sheetViews>
  <sheetFormatPr defaultRowHeight="15" outlineLevelCol="1"/>
  <cols>
    <col min="1" max="1" width="2.42578125" customWidth="1"/>
    <col min="2" max="2" width="3.5703125" bestFit="1" customWidth="1"/>
    <col min="4" max="4" width="15.28515625" customWidth="1"/>
    <col min="5" max="5" width="5" customWidth="1"/>
    <col min="6" max="6" width="14.7109375" bestFit="1" customWidth="1"/>
    <col min="7" max="7" width="7.7109375" customWidth="1"/>
    <col min="8" max="8" width="1.5703125" bestFit="1" customWidth="1"/>
    <col min="9" max="9" width="7.7109375" customWidth="1"/>
    <col min="10" max="10" width="4.42578125" bestFit="1" customWidth="1"/>
    <col min="11" max="13" width="9.140625" hidden="1" customWidth="1" outlineLevel="1"/>
    <col min="14" max="14" width="9.140625" collapsed="1"/>
    <col min="15" max="15" width="14.7109375" bestFit="1" customWidth="1"/>
    <col min="16" max="16" width="4.85546875" bestFit="1" customWidth="1"/>
    <col min="17" max="17" width="5.85546875" bestFit="1" customWidth="1"/>
    <col min="18" max="18" width="5.28515625" bestFit="1" customWidth="1"/>
    <col min="19" max="19" width="6.5703125" bestFit="1" customWidth="1"/>
    <col min="20" max="20" width="5.85546875" bestFit="1" customWidth="1"/>
    <col min="22" max="23" width="9.140625" hidden="1" customWidth="1" outlineLevel="1"/>
    <col min="24" max="24" width="10.5703125" hidden="1" customWidth="1" outlineLevel="1"/>
    <col min="25" max="27" width="9.140625" hidden="1" customWidth="1" outlineLevel="1"/>
    <col min="28" max="28" width="9.140625" collapsed="1"/>
  </cols>
  <sheetData>
    <row r="3" spans="2:23">
      <c r="C3" s="134" t="s">
        <v>145</v>
      </c>
      <c r="D3" s="182"/>
      <c r="E3" s="145"/>
      <c r="F3" s="145"/>
    </row>
    <row r="5" spans="2:23" ht="15.75" thickBot="1"/>
    <row r="6" spans="2:23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1"/>
      <c r="L6" s="1"/>
      <c r="O6" s="40"/>
      <c r="P6" s="41"/>
      <c r="Q6" s="41"/>
      <c r="R6" s="41"/>
      <c r="S6" s="41"/>
      <c r="T6" s="41"/>
      <c r="U6" s="40"/>
      <c r="V6" s="40"/>
      <c r="W6" s="40"/>
    </row>
    <row r="7" spans="2:23" ht="15.75" thickBot="1">
      <c r="B7" s="66" t="s">
        <v>1</v>
      </c>
      <c r="C7" s="67" t="s">
        <v>2</v>
      </c>
      <c r="D7" s="68" t="s">
        <v>3</v>
      </c>
      <c r="E7" s="69"/>
      <c r="F7" s="70" t="s">
        <v>4</v>
      </c>
      <c r="G7" s="880" t="s">
        <v>5</v>
      </c>
      <c r="H7" s="881"/>
      <c r="I7" s="882"/>
      <c r="J7" s="71" t="s">
        <v>6</v>
      </c>
      <c r="K7" s="4" t="s">
        <v>7</v>
      </c>
      <c r="L7" s="4" t="s">
        <v>7</v>
      </c>
      <c r="O7" s="1"/>
      <c r="P7" s="41"/>
      <c r="Q7" s="41"/>
      <c r="R7" s="41"/>
      <c r="S7" s="41"/>
      <c r="T7" s="41"/>
      <c r="U7" s="1"/>
      <c r="V7" s="1"/>
      <c r="W7" s="1"/>
    </row>
    <row r="8" spans="2:23" ht="15.75" thickBot="1">
      <c r="B8" s="5">
        <v>1</v>
      </c>
      <c r="C8" s="6">
        <v>41802</v>
      </c>
      <c r="D8" s="7" t="s">
        <v>8</v>
      </c>
      <c r="E8" s="8" t="s">
        <v>9</v>
      </c>
      <c r="F8" s="9" t="s">
        <v>10</v>
      </c>
      <c r="G8" s="84"/>
      <c r="H8" s="8" t="s">
        <v>9</v>
      </c>
      <c r="I8" s="89"/>
      <c r="J8" s="10" t="str">
        <f>IF(I8="","",IF(G8&gt;I8,1,IF(G8&lt;I8,2,3)))</f>
        <v/>
      </c>
      <c r="K8" s="11" t="str">
        <f>IF(I8="","",IF($G8&gt;$I8,3,IF($G8=$I8,1,0)))</f>
        <v/>
      </c>
      <c r="L8" s="11" t="str">
        <f>IF(I8="","",IF($G8&lt;$I8,3,IF($G8=$I8,1,0)))</f>
        <v/>
      </c>
      <c r="O8" s="72" t="s">
        <v>41</v>
      </c>
      <c r="P8" s="73" t="s">
        <v>42</v>
      </c>
      <c r="Q8" s="73" t="s">
        <v>43</v>
      </c>
      <c r="R8" s="74" t="s">
        <v>44</v>
      </c>
      <c r="S8" s="75" t="s">
        <v>45</v>
      </c>
      <c r="T8" s="76" t="s">
        <v>46</v>
      </c>
      <c r="U8" s="40"/>
      <c r="V8" s="40"/>
      <c r="W8" s="40"/>
    </row>
    <row r="9" spans="2:23">
      <c r="B9" s="12">
        <v>2</v>
      </c>
      <c r="C9" s="13">
        <v>41803</v>
      </c>
      <c r="D9" s="14" t="s">
        <v>11</v>
      </c>
      <c r="E9" s="15" t="s">
        <v>9</v>
      </c>
      <c r="F9" s="16" t="s">
        <v>12</v>
      </c>
      <c r="G9" s="85"/>
      <c r="H9" s="15" t="s">
        <v>9</v>
      </c>
      <c r="I9" s="90"/>
      <c r="J9" s="17" t="str">
        <f t="shared" ref="J9:J55" si="0">IF(I9="","",IF(G9&gt;I9,1,IF(G9&lt;I9,2,3)))</f>
        <v/>
      </c>
      <c r="K9" s="11" t="str">
        <f t="shared" ref="K9:K55" si="1">IF(I9="","",IF($G9&gt;$I9,3,IF($G9=$I9,1,0)))</f>
        <v/>
      </c>
      <c r="L9" s="11" t="str">
        <f t="shared" ref="L9:L55" si="2">IF(I9="","",IF($G9&lt;$I9,3,IF($G9=$I9,1,0)))</f>
        <v/>
      </c>
      <c r="O9" s="44" t="s">
        <v>8</v>
      </c>
      <c r="P9" s="45">
        <f>SUMIF($D$8:$D$55,$O9,$G$8:$G$55)+SUMIF($F$8:$F$55,$O9,$I$8:$I$55)</f>
        <v>0</v>
      </c>
      <c r="Q9" s="45">
        <f>SUMIF($D$8:$D$55,$O9,$I$8:$I$55)+SUMIF($F$8:$F$55,$O9,$G$8:$G$55)</f>
        <v>0</v>
      </c>
      <c r="R9" s="46">
        <f>P9-Q9</f>
        <v>0</v>
      </c>
      <c r="S9" s="47">
        <f>SUMIF($D$8:$D$55,$O9,$K$8:$K$55)+SUMIF($F$8:$F$55,$O9,$L$8:$L$55)</f>
        <v>0</v>
      </c>
      <c r="T9" s="94"/>
      <c r="U9" s="40"/>
      <c r="V9" s="40" t="str">
        <f>O9</f>
        <v>Brazilië</v>
      </c>
      <c r="W9" s="40" t="s">
        <v>48</v>
      </c>
    </row>
    <row r="10" spans="2:23">
      <c r="B10" s="18">
        <v>3</v>
      </c>
      <c r="C10" s="19">
        <v>41803</v>
      </c>
      <c r="D10" s="20" t="s">
        <v>13</v>
      </c>
      <c r="E10" s="21" t="s">
        <v>9</v>
      </c>
      <c r="F10" s="22" t="s">
        <v>14</v>
      </c>
      <c r="G10" s="86"/>
      <c r="H10" s="21" t="s">
        <v>9</v>
      </c>
      <c r="I10" s="91"/>
      <c r="J10" s="23" t="str">
        <f t="shared" si="0"/>
        <v/>
      </c>
      <c r="K10" s="11" t="str">
        <f t="shared" si="1"/>
        <v/>
      </c>
      <c r="L10" s="11" t="str">
        <f t="shared" si="2"/>
        <v/>
      </c>
      <c r="O10" s="48" t="s">
        <v>10</v>
      </c>
      <c r="P10" s="49">
        <f>SUMIF($D$8:$D$55,$O10,$G$8:$G$55)+SUMIF($F$8:$F$55,$O10,$I$8:$I$55)</f>
        <v>0</v>
      </c>
      <c r="Q10" s="49">
        <f>SUMIF($D$8:$D$55,$O10,$I$8:$I$55)+SUMIF($F$8:$F$55,$O10,$G$8:$G$55)</f>
        <v>0</v>
      </c>
      <c r="R10" s="49">
        <f>P10-Q10</f>
        <v>0</v>
      </c>
      <c r="S10" s="50">
        <f>SUMIF($D$8:$D$55,$O10,$K$8:$K$55)+SUMIF($F$8:$F$55,$O10,$L$8:$L$55)</f>
        <v>0</v>
      </c>
      <c r="T10" s="95"/>
      <c r="U10" s="40"/>
      <c r="V10" s="40" t="str">
        <f>O10</f>
        <v>Kroatië</v>
      </c>
      <c r="W10" s="40" t="s">
        <v>49</v>
      </c>
    </row>
    <row r="11" spans="2:23">
      <c r="B11" s="24">
        <v>4</v>
      </c>
      <c r="C11" s="25">
        <v>41803</v>
      </c>
      <c r="D11" s="26" t="s">
        <v>15</v>
      </c>
      <c r="E11" s="27" t="s">
        <v>9</v>
      </c>
      <c r="F11" s="28" t="s">
        <v>16</v>
      </c>
      <c r="G11" s="87"/>
      <c r="H11" s="27" t="s">
        <v>9</v>
      </c>
      <c r="I11" s="92"/>
      <c r="J11" s="29" t="str">
        <f t="shared" si="0"/>
        <v/>
      </c>
      <c r="K11" s="11" t="str">
        <f t="shared" si="1"/>
        <v/>
      </c>
      <c r="L11" s="11" t="str">
        <f t="shared" si="2"/>
        <v/>
      </c>
      <c r="O11" s="48" t="s">
        <v>11</v>
      </c>
      <c r="P11" s="49">
        <f>SUMIF($D$8:$D$55,$O11,$G$8:$G$55)+SUMIF($F$8:$F$55,$O11,$I$8:$I$55)</f>
        <v>0</v>
      </c>
      <c r="Q11" s="49">
        <f>SUMIF($D$8:$D$55,$O11,$I$8:$I$55)+SUMIF($F$8:$F$55,$O11,$G$8:$G$55)</f>
        <v>0</v>
      </c>
      <c r="R11" s="49">
        <f>P11-Q11</f>
        <v>0</v>
      </c>
      <c r="S11" s="50">
        <f>SUMIF($D$8:$D$55,$O11,$K$8:$K$55)+SUMIF($F$8:$F$55,$O11,$L$8:$L$55)</f>
        <v>0</v>
      </c>
      <c r="T11" s="95"/>
      <c r="U11" s="40"/>
      <c r="V11" s="40" t="str">
        <f>O11</f>
        <v>Mexico</v>
      </c>
      <c r="W11" s="40" t="s">
        <v>47</v>
      </c>
    </row>
    <row r="12" spans="2:23" ht="15.75" thickBot="1">
      <c r="B12" s="12">
        <v>5</v>
      </c>
      <c r="C12" s="13">
        <v>41804</v>
      </c>
      <c r="D12" s="14" t="s">
        <v>17</v>
      </c>
      <c r="E12" s="15" t="s">
        <v>9</v>
      </c>
      <c r="F12" s="16" t="s">
        <v>18</v>
      </c>
      <c r="G12" s="85"/>
      <c r="H12" s="15" t="s">
        <v>9</v>
      </c>
      <c r="I12" s="90"/>
      <c r="J12" s="17" t="str">
        <f t="shared" si="0"/>
        <v/>
      </c>
      <c r="K12" s="11" t="str">
        <f t="shared" si="1"/>
        <v/>
      </c>
      <c r="L12" s="11" t="str">
        <f t="shared" si="2"/>
        <v/>
      </c>
      <c r="O12" s="51" t="s">
        <v>12</v>
      </c>
      <c r="P12" s="52">
        <f>SUMIF($D$8:$D$55,$O12,$G$8:$G$55)+SUMIF($F$8:$F$55,$O12,$I$8:$I$55)</f>
        <v>0</v>
      </c>
      <c r="Q12" s="52">
        <f>SUMIF($D$8:$D$55,$O12,$I$8:$I$55)+SUMIF($F$8:$F$55,$O12,$G$8:$G$55)</f>
        <v>0</v>
      </c>
      <c r="R12" s="52">
        <f>P12-Q12</f>
        <v>0</v>
      </c>
      <c r="S12" s="53">
        <f>SUMIF($D$8:$D$55,$O12,$K$8:$K$55)+SUMIF($F$8:$F$55,$O12,$L$8:$L$55)</f>
        <v>0</v>
      </c>
      <c r="T12" s="96"/>
      <c r="U12" s="40"/>
      <c r="V12" s="40" t="str">
        <f>O12</f>
        <v>Kameroen</v>
      </c>
      <c r="W12" s="40" t="s">
        <v>50</v>
      </c>
    </row>
    <row r="13" spans="2:23" ht="15.75" thickBot="1">
      <c r="B13" s="18">
        <v>6</v>
      </c>
      <c r="C13" s="19">
        <v>41804</v>
      </c>
      <c r="D13" s="20" t="s">
        <v>19</v>
      </c>
      <c r="E13" s="21" t="s">
        <v>9</v>
      </c>
      <c r="F13" s="30" t="s">
        <v>20</v>
      </c>
      <c r="G13" s="86"/>
      <c r="H13" s="21" t="s">
        <v>9</v>
      </c>
      <c r="I13" s="91"/>
      <c r="J13" s="23" t="str">
        <f t="shared" si="0"/>
        <v/>
      </c>
      <c r="K13" s="11" t="str">
        <f t="shared" si="1"/>
        <v/>
      </c>
      <c r="L13" s="11" t="str">
        <f t="shared" si="2"/>
        <v/>
      </c>
      <c r="O13" s="40"/>
      <c r="P13" s="41"/>
      <c r="Q13" s="41"/>
      <c r="R13" s="41"/>
      <c r="S13" s="41"/>
      <c r="T13" s="41"/>
      <c r="U13" s="40"/>
      <c r="V13" s="40"/>
      <c r="W13" s="40"/>
    </row>
    <row r="14" spans="2:23" ht="15.75" thickBot="1">
      <c r="B14" s="18">
        <v>7</v>
      </c>
      <c r="C14" s="19">
        <v>41804</v>
      </c>
      <c r="D14" s="20" t="s">
        <v>21</v>
      </c>
      <c r="E14" s="21" t="s">
        <v>9</v>
      </c>
      <c r="F14" s="30" t="s">
        <v>22</v>
      </c>
      <c r="G14" s="86"/>
      <c r="H14" s="21" t="s">
        <v>9</v>
      </c>
      <c r="I14" s="91"/>
      <c r="J14" s="23" t="str">
        <f t="shared" si="0"/>
        <v/>
      </c>
      <c r="K14" s="11" t="str">
        <f t="shared" si="1"/>
        <v/>
      </c>
      <c r="L14" s="11" t="str">
        <f t="shared" si="2"/>
        <v/>
      </c>
      <c r="O14" s="72" t="s">
        <v>51</v>
      </c>
      <c r="P14" s="73" t="s">
        <v>42</v>
      </c>
      <c r="Q14" s="73" t="s">
        <v>43</v>
      </c>
      <c r="R14" s="74" t="s">
        <v>44</v>
      </c>
      <c r="S14" s="75" t="s">
        <v>45</v>
      </c>
      <c r="T14" s="76" t="s">
        <v>46</v>
      </c>
      <c r="U14" s="40"/>
      <c r="V14" s="40"/>
      <c r="W14" s="40"/>
    </row>
    <row r="15" spans="2:23">
      <c r="B15" s="24">
        <v>8</v>
      </c>
      <c r="C15" s="25">
        <v>41804</v>
      </c>
      <c r="D15" s="26" t="s">
        <v>23</v>
      </c>
      <c r="E15" s="27" t="s">
        <v>9</v>
      </c>
      <c r="F15" s="28" t="s">
        <v>24</v>
      </c>
      <c r="G15" s="87"/>
      <c r="H15" s="27" t="s">
        <v>9</v>
      </c>
      <c r="I15" s="92"/>
      <c r="J15" s="29" t="str">
        <f t="shared" si="0"/>
        <v/>
      </c>
      <c r="K15" s="11" t="str">
        <f t="shared" si="1"/>
        <v/>
      </c>
      <c r="L15" s="11" t="str">
        <f t="shared" si="2"/>
        <v/>
      </c>
      <c r="O15" s="44" t="s">
        <v>13</v>
      </c>
      <c r="P15" s="45">
        <f>SUMIF($D$8:$D$55,$O15,$G$8:$G$55)+SUMIF($F$8:$F$55,$O15,$I$8:$I$55)</f>
        <v>0</v>
      </c>
      <c r="Q15" s="45">
        <f>SUMIF($D$8:$D$55,$O15,$I$8:$I$55)+SUMIF($F$8:$F$55,$O15,$G$8:$G$55)</f>
        <v>0</v>
      </c>
      <c r="R15" s="46">
        <f>P15-Q15</f>
        <v>0</v>
      </c>
      <c r="S15" s="47">
        <f>SUMIF($D$8:$D$55,$O15,$K$8:$K$55)+SUMIF($F$8:$F$55,$O15,$L$8:$L$55)</f>
        <v>0</v>
      </c>
      <c r="T15" s="94"/>
      <c r="U15" s="40"/>
      <c r="V15" s="40" t="str">
        <f>O15</f>
        <v>Spanje</v>
      </c>
      <c r="W15" s="40" t="s">
        <v>52</v>
      </c>
    </row>
    <row r="16" spans="2:23">
      <c r="B16" s="12">
        <v>9</v>
      </c>
      <c r="C16" s="13">
        <v>41805</v>
      </c>
      <c r="D16" s="14" t="s">
        <v>25</v>
      </c>
      <c r="E16" s="15" t="s">
        <v>9</v>
      </c>
      <c r="F16" s="16" t="s">
        <v>26</v>
      </c>
      <c r="G16" s="85"/>
      <c r="H16" s="15" t="s">
        <v>9</v>
      </c>
      <c r="I16" s="90"/>
      <c r="J16" s="17" t="str">
        <f t="shared" si="0"/>
        <v/>
      </c>
      <c r="K16" s="11" t="str">
        <f t="shared" si="1"/>
        <v/>
      </c>
      <c r="L16" s="11" t="str">
        <f t="shared" si="2"/>
        <v/>
      </c>
      <c r="O16" s="54" t="s">
        <v>14</v>
      </c>
      <c r="P16" s="49">
        <f>SUMIF($D$8:$D$55,$O16,$G$8:$G$55)+SUMIF($F$8:$F$55,$O16,$I$8:$I$55)</f>
        <v>0</v>
      </c>
      <c r="Q16" s="49">
        <f>SUMIF($D$8:$D$55,$O16,$I$8:$I$55)+SUMIF($F$8:$F$55,$O16,$G$8:$G$55)</f>
        <v>0</v>
      </c>
      <c r="R16" s="49">
        <f>P16-Q16</f>
        <v>0</v>
      </c>
      <c r="S16" s="50">
        <f>SUMIF($D$8:$D$55,$O16,$K$8:$K$55)+SUMIF($F$8:$F$55,$O16,$L$8:$L$55)</f>
        <v>0</v>
      </c>
      <c r="T16" s="95"/>
      <c r="U16" s="40"/>
      <c r="V16" s="40" t="str">
        <f>O16</f>
        <v>Nederland</v>
      </c>
      <c r="W16" s="40" t="s">
        <v>53</v>
      </c>
    </row>
    <row r="17" spans="2:23">
      <c r="B17" s="18">
        <v>10</v>
      </c>
      <c r="C17" s="19">
        <v>41805</v>
      </c>
      <c r="D17" s="20" t="s">
        <v>27</v>
      </c>
      <c r="E17" s="21" t="s">
        <v>9</v>
      </c>
      <c r="F17" s="30" t="s">
        <v>28</v>
      </c>
      <c r="G17" s="86"/>
      <c r="H17" s="21" t="s">
        <v>9</v>
      </c>
      <c r="I17" s="91"/>
      <c r="J17" s="23" t="str">
        <f t="shared" si="0"/>
        <v/>
      </c>
      <c r="K17" s="11" t="str">
        <f t="shared" si="1"/>
        <v/>
      </c>
      <c r="L17" s="11" t="str">
        <f t="shared" si="2"/>
        <v/>
      </c>
      <c r="O17" s="48" t="s">
        <v>15</v>
      </c>
      <c r="P17" s="49">
        <f>SUMIF($D$8:$D$55,$O17,$G$8:$G$55)+SUMIF($F$8:$F$55,$O17,$I$8:$I$55)</f>
        <v>0</v>
      </c>
      <c r="Q17" s="49">
        <f>SUMIF($D$8:$D$55,$O17,$I$8:$I$55)+SUMIF($F$8:$F$55,$O17,$G$8:$G$55)</f>
        <v>0</v>
      </c>
      <c r="R17" s="49">
        <f>P17-Q17</f>
        <v>0</v>
      </c>
      <c r="S17" s="50">
        <f>SUMIF($D$8:$D$55,$O17,$K$8:$K$55)+SUMIF($F$8:$F$55,$O17,$L$8:$L$55)</f>
        <v>0</v>
      </c>
      <c r="T17" s="95"/>
      <c r="U17" s="40"/>
      <c r="V17" s="40" t="str">
        <f>O17</f>
        <v>Chili</v>
      </c>
      <c r="W17" s="40" t="s">
        <v>54</v>
      </c>
    </row>
    <row r="18" spans="2:23" ht="15.75" thickBot="1">
      <c r="B18" s="24">
        <v>11</v>
      </c>
      <c r="C18" s="25">
        <v>41805</v>
      </c>
      <c r="D18" s="26" t="s">
        <v>29</v>
      </c>
      <c r="E18" s="27" t="s">
        <v>9</v>
      </c>
      <c r="F18" s="28" t="s">
        <v>30</v>
      </c>
      <c r="G18" s="87"/>
      <c r="H18" s="27" t="s">
        <v>9</v>
      </c>
      <c r="I18" s="92"/>
      <c r="J18" s="29" t="str">
        <f t="shared" si="0"/>
        <v/>
      </c>
      <c r="K18" s="11" t="str">
        <f t="shared" si="1"/>
        <v/>
      </c>
      <c r="L18" s="11" t="str">
        <f t="shared" si="2"/>
        <v/>
      </c>
      <c r="O18" s="51" t="s">
        <v>16</v>
      </c>
      <c r="P18" s="52">
        <f>SUMIF($D$8:$D$55,$O18,$G$8:$G$55)+SUMIF($F$8:$F$55,$O18,$I$8:$I$55)</f>
        <v>0</v>
      </c>
      <c r="Q18" s="52">
        <f>SUMIF($D$8:$D$55,$O18,$I$8:$I$55)+SUMIF($F$8:$F$55,$O18,$G$8:$G$55)</f>
        <v>0</v>
      </c>
      <c r="R18" s="52">
        <f>P18-Q18</f>
        <v>0</v>
      </c>
      <c r="S18" s="53">
        <f>SUMIF($D$8:$D$55,$O18,$K$8:$K$55)+SUMIF($F$8:$F$55,$O18,$L$8:$L$55)</f>
        <v>0</v>
      </c>
      <c r="T18" s="96"/>
      <c r="U18" s="40"/>
      <c r="V18" s="40" t="str">
        <f>O18</f>
        <v>Australië</v>
      </c>
      <c r="W18" s="40" t="s">
        <v>55</v>
      </c>
    </row>
    <row r="19" spans="2:23" ht="15.75" thickBot="1">
      <c r="B19" s="12">
        <v>12</v>
      </c>
      <c r="C19" s="13">
        <v>41806</v>
      </c>
      <c r="D19" s="14" t="s">
        <v>31</v>
      </c>
      <c r="E19" s="15" t="s">
        <v>9</v>
      </c>
      <c r="F19" s="16" t="s">
        <v>32</v>
      </c>
      <c r="G19" s="85"/>
      <c r="H19" s="15" t="s">
        <v>9</v>
      </c>
      <c r="I19" s="90"/>
      <c r="J19" s="17" t="str">
        <f t="shared" si="0"/>
        <v/>
      </c>
      <c r="K19" s="11" t="str">
        <f t="shared" si="1"/>
        <v/>
      </c>
      <c r="L19" s="11" t="str">
        <f t="shared" si="2"/>
        <v/>
      </c>
      <c r="O19" s="40"/>
      <c r="P19" s="41"/>
      <c r="Q19" s="41"/>
      <c r="R19" s="41"/>
      <c r="S19" s="41"/>
      <c r="T19" s="41"/>
      <c r="U19" s="40"/>
      <c r="V19" s="40"/>
      <c r="W19" s="40"/>
    </row>
    <row r="20" spans="2:23" ht="15.75" thickBot="1">
      <c r="B20" s="18">
        <v>13</v>
      </c>
      <c r="C20" s="19">
        <v>41806</v>
      </c>
      <c r="D20" s="20" t="s">
        <v>33</v>
      </c>
      <c r="E20" s="21" t="s">
        <v>9</v>
      </c>
      <c r="F20" s="30" t="s">
        <v>34</v>
      </c>
      <c r="G20" s="86"/>
      <c r="H20" s="21" t="s">
        <v>9</v>
      </c>
      <c r="I20" s="91"/>
      <c r="J20" s="23" t="str">
        <f t="shared" si="0"/>
        <v/>
      </c>
      <c r="K20" s="11" t="str">
        <f t="shared" si="1"/>
        <v/>
      </c>
      <c r="L20" s="11" t="str">
        <f t="shared" si="2"/>
        <v/>
      </c>
      <c r="O20" s="72" t="s">
        <v>56</v>
      </c>
      <c r="P20" s="73" t="s">
        <v>42</v>
      </c>
      <c r="Q20" s="73" t="s">
        <v>43</v>
      </c>
      <c r="R20" s="74" t="s">
        <v>44</v>
      </c>
      <c r="S20" s="75" t="s">
        <v>45</v>
      </c>
      <c r="T20" s="76" t="s">
        <v>46</v>
      </c>
      <c r="U20" s="40"/>
      <c r="V20" s="40"/>
      <c r="W20" s="40"/>
    </row>
    <row r="21" spans="2:23">
      <c r="B21" s="24">
        <v>14</v>
      </c>
      <c r="C21" s="25">
        <v>41806</v>
      </c>
      <c r="D21" s="26" t="s">
        <v>35</v>
      </c>
      <c r="E21" s="27" t="s">
        <v>9</v>
      </c>
      <c r="F21" s="28" t="s">
        <v>36</v>
      </c>
      <c r="G21" s="87"/>
      <c r="H21" s="27" t="s">
        <v>9</v>
      </c>
      <c r="I21" s="92"/>
      <c r="J21" s="29" t="str">
        <f t="shared" si="0"/>
        <v/>
      </c>
      <c r="K21" s="11" t="str">
        <f t="shared" si="1"/>
        <v/>
      </c>
      <c r="L21" s="11" t="str">
        <f t="shared" si="2"/>
        <v/>
      </c>
      <c r="O21" s="44" t="s">
        <v>17</v>
      </c>
      <c r="P21" s="45">
        <f>SUMIF($D$8:$D$55,$O21,$G$8:$G$55)+SUMIF($F$8:$F$55,$O21,$I$8:$I$55)</f>
        <v>0</v>
      </c>
      <c r="Q21" s="45">
        <f>SUMIF($D$8:$D$55,$O21,$I$8:$I$55)+SUMIF($F$8:$F$55,$O21,$G$8:$G$55)</f>
        <v>0</v>
      </c>
      <c r="R21" s="46">
        <f>P21-Q21</f>
        <v>0</v>
      </c>
      <c r="S21" s="47">
        <f>SUMIF($D$8:$D$55,$O21,$K$8:$K$55)+SUMIF($F$8:$F$55,$O21,$L$8:$L$55)</f>
        <v>0</v>
      </c>
      <c r="T21" s="94"/>
      <c r="U21" s="40"/>
      <c r="V21" s="40" t="str">
        <f>O21</f>
        <v>Colombia</v>
      </c>
      <c r="W21" s="40" t="s">
        <v>57</v>
      </c>
    </row>
    <row r="22" spans="2:23">
      <c r="B22" s="12">
        <v>15</v>
      </c>
      <c r="C22" s="13">
        <v>41807</v>
      </c>
      <c r="D22" s="14" t="s">
        <v>37</v>
      </c>
      <c r="E22" s="15" t="s">
        <v>9</v>
      </c>
      <c r="F22" s="16" t="s">
        <v>38</v>
      </c>
      <c r="G22" s="85"/>
      <c r="H22" s="15" t="s">
        <v>9</v>
      </c>
      <c r="I22" s="90"/>
      <c r="J22" s="17" t="str">
        <f t="shared" si="0"/>
        <v/>
      </c>
      <c r="K22" s="11" t="str">
        <f t="shared" si="1"/>
        <v/>
      </c>
      <c r="L22" s="11" t="str">
        <f t="shared" si="2"/>
        <v/>
      </c>
      <c r="O22" s="48" t="s">
        <v>18</v>
      </c>
      <c r="P22" s="49">
        <f>SUMIF($D$8:$D$55,$O22,$G$8:$G$55)+SUMIF($F$8:$F$55,$O22,$I$8:$I$55)</f>
        <v>0</v>
      </c>
      <c r="Q22" s="49">
        <f>SUMIF($D$8:$D$55,$O22,$I$8:$I$55)+SUMIF($F$8:$F$55,$O22,$G$8:$G$55)</f>
        <v>0</v>
      </c>
      <c r="R22" s="49">
        <f>P22-Q22</f>
        <v>0</v>
      </c>
      <c r="S22" s="50">
        <f>SUMIF($D$8:$D$55,$O22,$K$8:$K$55)+SUMIF($F$8:$F$55,$O22,$L$8:$L$55)</f>
        <v>0</v>
      </c>
      <c r="T22" s="95"/>
      <c r="U22" s="40"/>
      <c r="V22" s="40" t="str">
        <f>O22</f>
        <v>Griekenland</v>
      </c>
      <c r="W22" s="40" t="s">
        <v>58</v>
      </c>
    </row>
    <row r="23" spans="2:23">
      <c r="B23" s="18">
        <v>16</v>
      </c>
      <c r="C23" s="19">
        <v>41807</v>
      </c>
      <c r="D23" s="20" t="s">
        <v>8</v>
      </c>
      <c r="E23" s="21" t="s">
        <v>9</v>
      </c>
      <c r="F23" s="30" t="s">
        <v>11</v>
      </c>
      <c r="G23" s="86"/>
      <c r="H23" s="21" t="s">
        <v>9</v>
      </c>
      <c r="I23" s="91"/>
      <c r="J23" s="23" t="str">
        <f t="shared" si="0"/>
        <v/>
      </c>
      <c r="K23" s="11" t="str">
        <f t="shared" si="1"/>
        <v/>
      </c>
      <c r="L23" s="11" t="str">
        <f t="shared" si="2"/>
        <v/>
      </c>
      <c r="O23" s="48" t="s">
        <v>23</v>
      </c>
      <c r="P23" s="49">
        <f>SUMIF($D$8:$D$55,$O23,$G$8:$G$55)+SUMIF($F$8:$F$55,$O23,$I$8:$I$55)</f>
        <v>0</v>
      </c>
      <c r="Q23" s="49">
        <f>SUMIF($D$8:$D$55,$O23,$I$8:$I$55)+SUMIF($F$8:$F$55,$O23,$G$8:$G$55)</f>
        <v>0</v>
      </c>
      <c r="R23" s="49">
        <f>P23-Q23</f>
        <v>0</v>
      </c>
      <c r="S23" s="50">
        <f>SUMIF($D$8:$D$55,$O23,$K$8:$K$55)+SUMIF($F$8:$F$55,$O23,$L$8:$L$55)</f>
        <v>0</v>
      </c>
      <c r="T23" s="95"/>
      <c r="U23" s="40"/>
      <c r="V23" s="40" t="str">
        <f>O23</f>
        <v>Ivoorkust</v>
      </c>
      <c r="W23" s="40" t="s">
        <v>59</v>
      </c>
    </row>
    <row r="24" spans="2:23" ht="15.75" thickBot="1">
      <c r="B24" s="24">
        <v>17</v>
      </c>
      <c r="C24" s="25">
        <v>41807</v>
      </c>
      <c r="D24" s="26" t="s">
        <v>39</v>
      </c>
      <c r="E24" s="27" t="s">
        <v>9</v>
      </c>
      <c r="F24" s="28" t="s">
        <v>40</v>
      </c>
      <c r="G24" s="87"/>
      <c r="H24" s="27" t="s">
        <v>9</v>
      </c>
      <c r="I24" s="92"/>
      <c r="J24" s="29" t="str">
        <f t="shared" si="0"/>
        <v/>
      </c>
      <c r="K24" s="11" t="str">
        <f t="shared" si="1"/>
        <v/>
      </c>
      <c r="L24" s="11" t="str">
        <f t="shared" si="2"/>
        <v/>
      </c>
      <c r="O24" s="51" t="s">
        <v>24</v>
      </c>
      <c r="P24" s="52">
        <f>SUMIF($D$8:$D$55,$O24,$G$8:$G$55)+SUMIF($F$8:$F$55,$O24,$I$8:$I$55)</f>
        <v>0</v>
      </c>
      <c r="Q24" s="52">
        <f>SUMIF($D$8:$D$55,$O24,$I$8:$I$55)+SUMIF($F$8:$F$55,$O24,$G$8:$G$55)</f>
        <v>0</v>
      </c>
      <c r="R24" s="52">
        <f>P24-Q24</f>
        <v>0</v>
      </c>
      <c r="S24" s="53">
        <f>SUMIF($D$8:$D$55,$O24,$K$8:$K$55)+SUMIF($F$8:$F$55,$O24,$L$8:$L$55)</f>
        <v>0</v>
      </c>
      <c r="T24" s="96"/>
      <c r="U24" s="40"/>
      <c r="V24" s="40" t="str">
        <f>O24</f>
        <v>Japan</v>
      </c>
      <c r="W24" s="40" t="s">
        <v>60</v>
      </c>
    </row>
    <row r="25" spans="2:23" ht="15.75" thickBot="1">
      <c r="B25" s="12">
        <v>18</v>
      </c>
      <c r="C25" s="13">
        <v>41808</v>
      </c>
      <c r="D25" s="14" t="s">
        <v>16</v>
      </c>
      <c r="E25" s="15" t="s">
        <v>9</v>
      </c>
      <c r="F25" s="31" t="s">
        <v>14</v>
      </c>
      <c r="G25" s="85"/>
      <c r="H25" s="15" t="s">
        <v>9</v>
      </c>
      <c r="I25" s="90"/>
      <c r="J25" s="17" t="str">
        <f t="shared" si="0"/>
        <v/>
      </c>
      <c r="K25" s="11" t="str">
        <f t="shared" si="1"/>
        <v/>
      </c>
      <c r="L25" s="11" t="str">
        <f t="shared" si="2"/>
        <v/>
      </c>
      <c r="O25" s="40"/>
      <c r="P25" s="41"/>
      <c r="Q25" s="41"/>
      <c r="R25" s="41"/>
      <c r="S25" s="41"/>
      <c r="T25" s="41"/>
      <c r="U25" s="40"/>
      <c r="V25" s="40"/>
      <c r="W25" s="40"/>
    </row>
    <row r="26" spans="2:23" ht="15.75" thickBot="1">
      <c r="B26" s="18">
        <v>19</v>
      </c>
      <c r="C26" s="19">
        <v>41808</v>
      </c>
      <c r="D26" s="20" t="s">
        <v>13</v>
      </c>
      <c r="E26" s="21" t="s">
        <v>9</v>
      </c>
      <c r="F26" s="30" t="s">
        <v>15</v>
      </c>
      <c r="G26" s="86"/>
      <c r="H26" s="21" t="s">
        <v>9</v>
      </c>
      <c r="I26" s="91"/>
      <c r="J26" s="23" t="str">
        <f t="shared" si="0"/>
        <v/>
      </c>
      <c r="K26" s="11" t="str">
        <f t="shared" si="1"/>
        <v/>
      </c>
      <c r="L26" s="11" t="str">
        <f t="shared" si="2"/>
        <v/>
      </c>
      <c r="O26" s="72" t="s">
        <v>61</v>
      </c>
      <c r="P26" s="73" t="s">
        <v>42</v>
      </c>
      <c r="Q26" s="73" t="s">
        <v>43</v>
      </c>
      <c r="R26" s="74" t="s">
        <v>44</v>
      </c>
      <c r="S26" s="75" t="s">
        <v>45</v>
      </c>
      <c r="T26" s="76" t="s">
        <v>46</v>
      </c>
      <c r="U26" s="40"/>
      <c r="V26" s="40"/>
      <c r="W26" s="40"/>
    </row>
    <row r="27" spans="2:23">
      <c r="B27" s="24">
        <v>20</v>
      </c>
      <c r="C27" s="25">
        <v>41808</v>
      </c>
      <c r="D27" s="26" t="s">
        <v>12</v>
      </c>
      <c r="E27" s="27" t="s">
        <v>9</v>
      </c>
      <c r="F27" s="28" t="s">
        <v>10</v>
      </c>
      <c r="G27" s="87"/>
      <c r="H27" s="27" t="s">
        <v>9</v>
      </c>
      <c r="I27" s="92"/>
      <c r="J27" s="29" t="str">
        <f t="shared" si="0"/>
        <v/>
      </c>
      <c r="K27" s="11" t="str">
        <f t="shared" si="1"/>
        <v/>
      </c>
      <c r="L27" s="11" t="str">
        <f t="shared" si="2"/>
        <v/>
      </c>
      <c r="O27" s="44" t="s">
        <v>19</v>
      </c>
      <c r="P27" s="45">
        <f>SUMIF($D$8:$D$55,$O27,$G$8:$G$55)+SUMIF($F$8:$F$55,$O27,$I$8:$I$55)</f>
        <v>0</v>
      </c>
      <c r="Q27" s="45">
        <f>SUMIF($D$8:$D$55,$O27,$I$8:$I$55)+SUMIF($F$8:$F$55,$O27,$G$8:$G$55)</f>
        <v>0</v>
      </c>
      <c r="R27" s="46">
        <f>P27-Q27</f>
        <v>0</v>
      </c>
      <c r="S27" s="47">
        <f>SUMIF($D$8:$D$55,$O27,$K$8:$K$55)+SUMIF($F$8:$F$55,$O27,$L$8:$L$55)</f>
        <v>0</v>
      </c>
      <c r="T27" s="94"/>
      <c r="U27" s="40"/>
      <c r="V27" s="40" t="str">
        <f>O27</f>
        <v>Uruguay</v>
      </c>
      <c r="W27" s="40" t="s">
        <v>62</v>
      </c>
    </row>
    <row r="28" spans="2:23">
      <c r="B28" s="12">
        <v>21</v>
      </c>
      <c r="C28" s="13">
        <v>41809</v>
      </c>
      <c r="D28" s="14" t="s">
        <v>17</v>
      </c>
      <c r="E28" s="15" t="s">
        <v>9</v>
      </c>
      <c r="F28" s="16" t="s">
        <v>23</v>
      </c>
      <c r="G28" s="85"/>
      <c r="H28" s="15" t="s">
        <v>9</v>
      </c>
      <c r="I28" s="90"/>
      <c r="J28" s="17" t="str">
        <f t="shared" si="0"/>
        <v/>
      </c>
      <c r="K28" s="11" t="str">
        <f t="shared" si="1"/>
        <v/>
      </c>
      <c r="L28" s="11" t="str">
        <f t="shared" si="2"/>
        <v/>
      </c>
      <c r="O28" s="48" t="s">
        <v>20</v>
      </c>
      <c r="P28" s="49">
        <f>SUMIF($D$8:$D$55,$O28,$G$8:$G$55)+SUMIF($F$8:$F$55,$O28,$I$8:$I$55)</f>
        <v>0</v>
      </c>
      <c r="Q28" s="49">
        <f>SUMIF($D$8:$D$55,$O28,$I$8:$I$55)+SUMIF($F$8:$F$55,$O28,$G$8:$G$55)</f>
        <v>0</v>
      </c>
      <c r="R28" s="49">
        <f>P28-Q28</f>
        <v>0</v>
      </c>
      <c r="S28" s="50">
        <f>SUMIF($D$8:$D$55,$O28,$K$8:$K$55)+SUMIF($F$8:$F$55,$O28,$L$8:$L$55)</f>
        <v>0</v>
      </c>
      <c r="T28" s="95"/>
      <c r="U28" s="40"/>
      <c r="V28" s="40" t="str">
        <f>O28</f>
        <v>Costa Rica</v>
      </c>
      <c r="W28" s="40" t="s">
        <v>63</v>
      </c>
    </row>
    <row r="29" spans="2:23">
      <c r="B29" s="18">
        <v>22</v>
      </c>
      <c r="C29" s="19">
        <v>41809</v>
      </c>
      <c r="D29" s="20" t="s">
        <v>19</v>
      </c>
      <c r="E29" s="21" t="s">
        <v>9</v>
      </c>
      <c r="F29" s="30" t="s">
        <v>21</v>
      </c>
      <c r="G29" s="86"/>
      <c r="H29" s="21" t="s">
        <v>9</v>
      </c>
      <c r="I29" s="91"/>
      <c r="J29" s="23" t="str">
        <f t="shared" si="0"/>
        <v/>
      </c>
      <c r="K29" s="11" t="str">
        <f t="shared" si="1"/>
        <v/>
      </c>
      <c r="L29" s="11" t="str">
        <f t="shared" si="2"/>
        <v/>
      </c>
      <c r="O29" s="48" t="s">
        <v>21</v>
      </c>
      <c r="P29" s="49">
        <f>SUMIF($D$8:$D$55,$O29,$G$8:$G$55)+SUMIF($F$8:$F$55,$O29,$I$8:$I$55)</f>
        <v>0</v>
      </c>
      <c r="Q29" s="49">
        <f>SUMIF($D$8:$D$55,$O29,$I$8:$I$55)+SUMIF($F$8:$F$55,$O29,$G$8:$G$55)</f>
        <v>0</v>
      </c>
      <c r="R29" s="49">
        <f>P29-Q29</f>
        <v>0</v>
      </c>
      <c r="S29" s="50">
        <f>SUMIF($D$8:$D$55,$O29,$K$8:$K$55)+SUMIF($F$8:$F$55,$O29,$L$8:$L$55)</f>
        <v>0</v>
      </c>
      <c r="T29" s="95"/>
      <c r="U29" s="40"/>
      <c r="V29" s="40" t="str">
        <f>O29</f>
        <v>Engeland</v>
      </c>
      <c r="W29" s="40" t="s">
        <v>64</v>
      </c>
    </row>
    <row r="30" spans="2:23" ht="15.75" thickBot="1">
      <c r="B30" s="24">
        <v>23</v>
      </c>
      <c r="C30" s="25">
        <v>41809</v>
      </c>
      <c r="D30" s="26" t="s">
        <v>24</v>
      </c>
      <c r="E30" s="27" t="s">
        <v>9</v>
      </c>
      <c r="F30" s="28" t="s">
        <v>18</v>
      </c>
      <c r="G30" s="87"/>
      <c r="H30" s="27" t="s">
        <v>9</v>
      </c>
      <c r="I30" s="92"/>
      <c r="J30" s="29" t="str">
        <f t="shared" si="0"/>
        <v/>
      </c>
      <c r="K30" s="11" t="str">
        <f t="shared" si="1"/>
        <v/>
      </c>
      <c r="L30" s="11" t="str">
        <f t="shared" si="2"/>
        <v/>
      </c>
      <c r="O30" s="51" t="s">
        <v>22</v>
      </c>
      <c r="P30" s="52">
        <f>SUMIF($D$8:$D$55,$O30,$G$8:$G$55)+SUMIF($F$8:$F$55,$O30,$I$8:$I$55)</f>
        <v>0</v>
      </c>
      <c r="Q30" s="52">
        <f>SUMIF($D$8:$D$55,$O30,$I$8:$I$55)+SUMIF($F$8:$F$55,$O30,$G$8:$G$55)</f>
        <v>0</v>
      </c>
      <c r="R30" s="52">
        <f>P30-Q30</f>
        <v>0</v>
      </c>
      <c r="S30" s="53">
        <f>SUMIF($D$8:$D$55,$O30,$K$8:$K$55)+SUMIF($F$8:$F$55,$O30,$L$8:$L$55)</f>
        <v>0</v>
      </c>
      <c r="T30" s="96"/>
      <c r="U30" s="40"/>
      <c r="V30" s="40" t="str">
        <f>O30</f>
        <v>Italië</v>
      </c>
      <c r="W30" s="40" t="s">
        <v>65</v>
      </c>
    </row>
    <row r="31" spans="2:23" ht="15.75" thickBot="1">
      <c r="B31" s="12">
        <v>24</v>
      </c>
      <c r="C31" s="13">
        <v>41810</v>
      </c>
      <c r="D31" s="14" t="s">
        <v>22</v>
      </c>
      <c r="E31" s="15" t="s">
        <v>9</v>
      </c>
      <c r="F31" s="16" t="s">
        <v>20</v>
      </c>
      <c r="G31" s="85"/>
      <c r="H31" s="15" t="s">
        <v>9</v>
      </c>
      <c r="I31" s="90"/>
      <c r="J31" s="17" t="str">
        <f t="shared" si="0"/>
        <v/>
      </c>
      <c r="K31" s="11" t="str">
        <f t="shared" si="1"/>
        <v/>
      </c>
      <c r="L31" s="11" t="str">
        <f t="shared" si="2"/>
        <v/>
      </c>
      <c r="O31" s="40"/>
      <c r="P31" s="41"/>
      <c r="Q31" s="41"/>
      <c r="R31" s="41"/>
      <c r="S31" s="41"/>
      <c r="T31" s="41"/>
      <c r="U31" s="40"/>
      <c r="V31" s="40"/>
      <c r="W31" s="40"/>
    </row>
    <row r="32" spans="2:23" ht="15.75" thickBot="1">
      <c r="B32" s="18">
        <v>25</v>
      </c>
      <c r="C32" s="19">
        <v>41810</v>
      </c>
      <c r="D32" s="20" t="s">
        <v>25</v>
      </c>
      <c r="E32" s="21" t="s">
        <v>9</v>
      </c>
      <c r="F32" s="30" t="s">
        <v>27</v>
      </c>
      <c r="G32" s="86"/>
      <c r="H32" s="21" t="s">
        <v>9</v>
      </c>
      <c r="I32" s="91"/>
      <c r="J32" s="23" t="str">
        <f t="shared" si="0"/>
        <v/>
      </c>
      <c r="K32" s="11" t="str">
        <f t="shared" si="1"/>
        <v/>
      </c>
      <c r="L32" s="11" t="str">
        <f t="shared" si="2"/>
        <v/>
      </c>
      <c r="O32" s="72" t="s">
        <v>66</v>
      </c>
      <c r="P32" s="73" t="s">
        <v>42</v>
      </c>
      <c r="Q32" s="73" t="s">
        <v>43</v>
      </c>
      <c r="R32" s="74" t="s">
        <v>44</v>
      </c>
      <c r="S32" s="75" t="s">
        <v>45</v>
      </c>
      <c r="T32" s="76" t="s">
        <v>46</v>
      </c>
      <c r="U32" s="40"/>
      <c r="V32" s="40"/>
      <c r="W32" s="40"/>
    </row>
    <row r="33" spans="2:23">
      <c r="B33" s="24">
        <v>26</v>
      </c>
      <c r="C33" s="25">
        <v>41810</v>
      </c>
      <c r="D33" s="26" t="s">
        <v>28</v>
      </c>
      <c r="E33" s="27" t="s">
        <v>9</v>
      </c>
      <c r="F33" s="28" t="s">
        <v>26</v>
      </c>
      <c r="G33" s="87"/>
      <c r="H33" s="27" t="s">
        <v>9</v>
      </c>
      <c r="I33" s="92"/>
      <c r="J33" s="29" t="str">
        <f t="shared" si="0"/>
        <v/>
      </c>
      <c r="K33" s="11" t="str">
        <f t="shared" si="1"/>
        <v/>
      </c>
      <c r="L33" s="11" t="str">
        <f t="shared" si="2"/>
        <v/>
      </c>
      <c r="O33" s="44" t="s">
        <v>25</v>
      </c>
      <c r="P33" s="45">
        <f>SUMIF($D$8:$D$55,$O33,$G$8:$G$55)+SUMIF($F$8:$F$55,$O33,$I$8:$I$55)</f>
        <v>0</v>
      </c>
      <c r="Q33" s="45">
        <f>SUMIF($D$8:$D$55,$O33,$I$8:$I$55)+SUMIF($F$8:$F$55,$O33,$G$8:$G$55)</f>
        <v>0</v>
      </c>
      <c r="R33" s="46">
        <f>P33-Q33</f>
        <v>0</v>
      </c>
      <c r="S33" s="47">
        <f>SUMIF($D$8:$D$55,$O33,$K$8:$K$55)+SUMIF($F$8:$F$55,$O33,$L$8:$L$55)</f>
        <v>0</v>
      </c>
      <c r="T33" s="94"/>
      <c r="U33" s="40"/>
      <c r="V33" s="40" t="str">
        <f>O33</f>
        <v>Zwitserland</v>
      </c>
      <c r="W33" s="40" t="s">
        <v>67</v>
      </c>
    </row>
    <row r="34" spans="2:23">
      <c r="B34" s="12">
        <v>27</v>
      </c>
      <c r="C34" s="13">
        <v>41811</v>
      </c>
      <c r="D34" s="14" t="s">
        <v>29</v>
      </c>
      <c r="E34" s="15" t="s">
        <v>9</v>
      </c>
      <c r="F34" s="16" t="s">
        <v>33</v>
      </c>
      <c r="G34" s="85"/>
      <c r="H34" s="15" t="s">
        <v>9</v>
      </c>
      <c r="I34" s="90"/>
      <c r="J34" s="17" t="str">
        <f t="shared" si="0"/>
        <v/>
      </c>
      <c r="K34" s="11" t="str">
        <f t="shared" si="1"/>
        <v/>
      </c>
      <c r="L34" s="11" t="str">
        <f t="shared" si="2"/>
        <v/>
      </c>
      <c r="O34" s="48" t="s">
        <v>26</v>
      </c>
      <c r="P34" s="49">
        <f>SUMIF($D$8:$D$55,$O34,$G$8:$G$55)+SUMIF($F$8:$F$55,$O34,$I$8:$I$55)</f>
        <v>0</v>
      </c>
      <c r="Q34" s="49">
        <f>SUMIF($D$8:$D$55,$O34,$I$8:$I$55)+SUMIF($F$8:$F$55,$O34,$G$8:$G$55)</f>
        <v>0</v>
      </c>
      <c r="R34" s="49">
        <f>P34-Q34</f>
        <v>0</v>
      </c>
      <c r="S34" s="50">
        <f>SUMIF($D$8:$D$55,$O34,$K$8:$K$55)+SUMIF($F$8:$F$55,$O34,$L$8:$L$55)</f>
        <v>0</v>
      </c>
      <c r="T34" s="95"/>
      <c r="U34" s="40"/>
      <c r="V34" s="40" t="str">
        <f>O34</f>
        <v>Ecuador</v>
      </c>
      <c r="W34" s="40" t="s">
        <v>68</v>
      </c>
    </row>
    <row r="35" spans="2:23">
      <c r="B35" s="18">
        <v>28</v>
      </c>
      <c r="C35" s="19">
        <v>41811</v>
      </c>
      <c r="D35" s="20" t="s">
        <v>31</v>
      </c>
      <c r="E35" s="21" t="s">
        <v>9</v>
      </c>
      <c r="F35" s="30" t="s">
        <v>35</v>
      </c>
      <c r="G35" s="86"/>
      <c r="H35" s="21" t="s">
        <v>9</v>
      </c>
      <c r="I35" s="91"/>
      <c r="J35" s="23" t="str">
        <f t="shared" si="0"/>
        <v/>
      </c>
      <c r="K35" s="11" t="str">
        <f t="shared" si="1"/>
        <v/>
      </c>
      <c r="L35" s="11" t="str">
        <f t="shared" si="2"/>
        <v/>
      </c>
      <c r="O35" s="48" t="s">
        <v>27</v>
      </c>
      <c r="P35" s="49">
        <f>SUMIF($D$8:$D$55,$O35,$G$8:$G$55)+SUMIF($F$8:$F$55,$O35,$I$8:$I$55)</f>
        <v>0</v>
      </c>
      <c r="Q35" s="49">
        <f>SUMIF($D$8:$D$55,$O35,$I$8:$I$55)+SUMIF($F$8:$F$55,$O35,$G$8:$G$55)</f>
        <v>0</v>
      </c>
      <c r="R35" s="49">
        <f>P35-Q35</f>
        <v>0</v>
      </c>
      <c r="S35" s="50">
        <f>SUMIF($D$8:$D$55,$O35,$K$8:$K$55)+SUMIF($F$8:$F$55,$O35,$L$8:$L$55)</f>
        <v>0</v>
      </c>
      <c r="T35" s="95"/>
      <c r="U35" s="40"/>
      <c r="V35" s="40" t="str">
        <f>O35</f>
        <v>Frankrijk</v>
      </c>
      <c r="W35" s="40" t="s">
        <v>69</v>
      </c>
    </row>
    <row r="36" spans="2:23" ht="15.75" thickBot="1">
      <c r="B36" s="24">
        <v>29</v>
      </c>
      <c r="C36" s="25">
        <v>41811</v>
      </c>
      <c r="D36" s="26" t="s">
        <v>34</v>
      </c>
      <c r="E36" s="27" t="s">
        <v>9</v>
      </c>
      <c r="F36" s="28" t="s">
        <v>30</v>
      </c>
      <c r="G36" s="87"/>
      <c r="H36" s="27" t="s">
        <v>9</v>
      </c>
      <c r="I36" s="92"/>
      <c r="J36" s="29" t="str">
        <f t="shared" si="0"/>
        <v/>
      </c>
      <c r="K36" s="11" t="str">
        <f t="shared" si="1"/>
        <v/>
      </c>
      <c r="L36" s="11" t="str">
        <f t="shared" si="2"/>
        <v/>
      </c>
      <c r="O36" s="51" t="s">
        <v>28</v>
      </c>
      <c r="P36" s="52">
        <f>SUMIF($D$8:$D$55,$O36,$G$8:$G$55)+SUMIF($F$8:$F$55,$O36,$I$8:$I$55)</f>
        <v>0</v>
      </c>
      <c r="Q36" s="52">
        <f>SUMIF($D$8:$D$55,$O36,$I$8:$I$55)+SUMIF($F$8:$F$55,$O36,$G$8:$G$55)</f>
        <v>0</v>
      </c>
      <c r="R36" s="52">
        <f>P36-Q36</f>
        <v>0</v>
      </c>
      <c r="S36" s="53">
        <f>SUMIF($D$8:$D$55,$O36,$K$8:$K$55)+SUMIF($F$8:$F$55,$O36,$L$8:$L$55)</f>
        <v>0</v>
      </c>
      <c r="T36" s="96"/>
      <c r="U36" s="40"/>
      <c r="V36" s="40" t="str">
        <f>O36</f>
        <v>Honduras</v>
      </c>
      <c r="W36" s="40" t="s">
        <v>70</v>
      </c>
    </row>
    <row r="37" spans="2:23" ht="15.75" thickBot="1">
      <c r="B37" s="12">
        <v>30</v>
      </c>
      <c r="C37" s="13">
        <v>41812</v>
      </c>
      <c r="D37" s="14" t="s">
        <v>37</v>
      </c>
      <c r="E37" s="15" t="s">
        <v>9</v>
      </c>
      <c r="F37" s="16" t="s">
        <v>39</v>
      </c>
      <c r="G37" s="85"/>
      <c r="H37" s="15" t="s">
        <v>9</v>
      </c>
      <c r="I37" s="90"/>
      <c r="J37" s="17" t="str">
        <f t="shared" si="0"/>
        <v/>
      </c>
      <c r="K37" s="11" t="str">
        <f t="shared" si="1"/>
        <v/>
      </c>
      <c r="L37" s="11" t="str">
        <f t="shared" si="2"/>
        <v/>
      </c>
      <c r="O37" s="40"/>
      <c r="P37" s="41"/>
      <c r="Q37" s="41"/>
      <c r="R37" s="41"/>
      <c r="S37" s="41"/>
      <c r="T37" s="41"/>
      <c r="U37" s="40"/>
      <c r="V37" s="40"/>
      <c r="W37" s="40"/>
    </row>
    <row r="38" spans="2:23" ht="15.75" thickBot="1">
      <c r="B38" s="18">
        <v>31</v>
      </c>
      <c r="C38" s="19">
        <v>41812</v>
      </c>
      <c r="D38" s="20" t="s">
        <v>40</v>
      </c>
      <c r="E38" s="21" t="s">
        <v>9</v>
      </c>
      <c r="F38" s="30" t="s">
        <v>38</v>
      </c>
      <c r="G38" s="86"/>
      <c r="H38" s="21" t="s">
        <v>9</v>
      </c>
      <c r="I38" s="91"/>
      <c r="J38" s="23" t="str">
        <f t="shared" si="0"/>
        <v/>
      </c>
      <c r="K38" s="11" t="str">
        <f t="shared" si="1"/>
        <v/>
      </c>
      <c r="L38" s="11" t="str">
        <f t="shared" si="2"/>
        <v/>
      </c>
      <c r="O38" s="72" t="s">
        <v>71</v>
      </c>
      <c r="P38" s="73" t="s">
        <v>42</v>
      </c>
      <c r="Q38" s="73" t="s">
        <v>43</v>
      </c>
      <c r="R38" s="74" t="s">
        <v>44</v>
      </c>
      <c r="S38" s="75" t="s">
        <v>45</v>
      </c>
      <c r="T38" s="76" t="s">
        <v>46</v>
      </c>
      <c r="U38" s="40"/>
      <c r="V38" s="40"/>
      <c r="W38" s="40"/>
    </row>
    <row r="39" spans="2:23">
      <c r="B39" s="24">
        <v>32</v>
      </c>
      <c r="C39" s="25">
        <v>41812</v>
      </c>
      <c r="D39" s="26" t="s">
        <v>36</v>
      </c>
      <c r="E39" s="27" t="s">
        <v>9</v>
      </c>
      <c r="F39" s="28" t="s">
        <v>32</v>
      </c>
      <c r="G39" s="87"/>
      <c r="H39" s="27" t="s">
        <v>9</v>
      </c>
      <c r="I39" s="92"/>
      <c r="J39" s="29" t="str">
        <f t="shared" si="0"/>
        <v/>
      </c>
      <c r="K39" s="11" t="str">
        <f t="shared" si="1"/>
        <v/>
      </c>
      <c r="L39" s="11" t="str">
        <f t="shared" si="2"/>
        <v/>
      </c>
      <c r="O39" s="44" t="s">
        <v>29</v>
      </c>
      <c r="P39" s="45">
        <f>SUMIF($D$8:$D$55,$O39,$G$8:$G$55)+SUMIF($F$8:$F$55,$O39,$I$8:$I$55)</f>
        <v>0</v>
      </c>
      <c r="Q39" s="45">
        <f>SUMIF($D$8:$D$55,$O39,$I$8:$I$55)+SUMIF($F$8:$F$55,$O39,$G$8:$G$55)</f>
        <v>0</v>
      </c>
      <c r="R39" s="46">
        <f>P39-Q39</f>
        <v>0</v>
      </c>
      <c r="S39" s="47">
        <f>SUMIF($D$8:$D$55,$O39,$K$8:$K$55)+SUMIF($F$8:$F$55,$O39,$L$8:$L$55)</f>
        <v>0</v>
      </c>
      <c r="T39" s="94"/>
      <c r="U39" s="40"/>
      <c r="V39" s="40" t="str">
        <f>O39</f>
        <v>Argentinië</v>
      </c>
      <c r="W39" s="40" t="s">
        <v>72</v>
      </c>
    </row>
    <row r="40" spans="2:23">
      <c r="B40" s="12">
        <v>33</v>
      </c>
      <c r="C40" s="13">
        <v>41813</v>
      </c>
      <c r="D40" s="14" t="s">
        <v>16</v>
      </c>
      <c r="E40" s="15" t="s">
        <v>9</v>
      </c>
      <c r="F40" s="16" t="s">
        <v>13</v>
      </c>
      <c r="G40" s="85"/>
      <c r="H40" s="15" t="s">
        <v>9</v>
      </c>
      <c r="I40" s="90"/>
      <c r="J40" s="17" t="str">
        <f t="shared" si="0"/>
        <v/>
      </c>
      <c r="K40" s="11" t="str">
        <f t="shared" si="1"/>
        <v/>
      </c>
      <c r="L40" s="11" t="str">
        <f t="shared" si="2"/>
        <v/>
      </c>
      <c r="O40" s="48" t="s">
        <v>30</v>
      </c>
      <c r="P40" s="49">
        <f>SUMIF($D$8:$D$55,$O40,$G$8:$G$55)+SUMIF($F$8:$F$55,$O40,$I$8:$I$55)</f>
        <v>0</v>
      </c>
      <c r="Q40" s="49">
        <f>SUMIF($D$8:$D$55,$O40,$I$8:$I$55)+SUMIF($F$8:$F$55,$O40,$G$8:$G$55)</f>
        <v>0</v>
      </c>
      <c r="R40" s="49">
        <f>P40-Q40</f>
        <v>0</v>
      </c>
      <c r="S40" s="50">
        <f>SUMIF($D$8:$D$55,$O40,$K$8:$K$55)+SUMIF($F$8:$F$55,$O40,$L$8:$L$55)</f>
        <v>0</v>
      </c>
      <c r="T40" s="95"/>
      <c r="U40" s="40"/>
      <c r="V40" s="40" t="str">
        <f>O40</f>
        <v>Bosnië H.</v>
      </c>
      <c r="W40" s="40" t="s">
        <v>73</v>
      </c>
    </row>
    <row r="41" spans="2:23">
      <c r="B41" s="18">
        <v>34</v>
      </c>
      <c r="C41" s="19">
        <v>41813</v>
      </c>
      <c r="D41" s="32" t="s">
        <v>14</v>
      </c>
      <c r="E41" s="21" t="s">
        <v>9</v>
      </c>
      <c r="F41" s="30" t="s">
        <v>15</v>
      </c>
      <c r="G41" s="86"/>
      <c r="H41" s="21" t="s">
        <v>9</v>
      </c>
      <c r="I41" s="91"/>
      <c r="J41" s="23" t="str">
        <f t="shared" si="0"/>
        <v/>
      </c>
      <c r="K41" s="11" t="str">
        <f t="shared" si="1"/>
        <v/>
      </c>
      <c r="L41" s="11" t="str">
        <f t="shared" si="2"/>
        <v/>
      </c>
      <c r="O41" s="48" t="s">
        <v>33</v>
      </c>
      <c r="P41" s="49">
        <f>SUMIF($D$8:$D$55,$O41,$G$8:$G$55)+SUMIF($F$8:$F$55,$O41,$I$8:$I$55)</f>
        <v>0</v>
      </c>
      <c r="Q41" s="49">
        <f>SUMIF($D$8:$D$55,$O41,$I$8:$I$55)+SUMIF($F$8:$F$55,$O41,$G$8:$G$55)</f>
        <v>0</v>
      </c>
      <c r="R41" s="49">
        <f>P41-Q41</f>
        <v>0</v>
      </c>
      <c r="S41" s="50">
        <f>SUMIF($D$8:$D$55,$O41,$K$8:$K$55)+SUMIF($F$8:$F$55,$O41,$L$8:$L$55)</f>
        <v>0</v>
      </c>
      <c r="T41" s="95"/>
      <c r="U41" s="40"/>
      <c r="V41" s="40" t="str">
        <f>O41</f>
        <v>Iran</v>
      </c>
      <c r="W41" s="40" t="s">
        <v>74</v>
      </c>
    </row>
    <row r="42" spans="2:23" ht="15.75" thickBot="1">
      <c r="B42" s="18">
        <v>35</v>
      </c>
      <c r="C42" s="19">
        <v>41813</v>
      </c>
      <c r="D42" s="20" t="s">
        <v>12</v>
      </c>
      <c r="E42" s="21" t="s">
        <v>9</v>
      </c>
      <c r="F42" s="30" t="s">
        <v>8</v>
      </c>
      <c r="G42" s="86"/>
      <c r="H42" s="21" t="s">
        <v>9</v>
      </c>
      <c r="I42" s="91"/>
      <c r="J42" s="23" t="str">
        <f t="shared" si="0"/>
        <v/>
      </c>
      <c r="K42" s="11" t="str">
        <f t="shared" si="1"/>
        <v/>
      </c>
      <c r="L42" s="11" t="str">
        <f t="shared" si="2"/>
        <v/>
      </c>
      <c r="O42" s="51" t="s">
        <v>34</v>
      </c>
      <c r="P42" s="52">
        <f>SUMIF($D$8:$D$55,$O42,$G$8:$G$55)+SUMIF($F$8:$F$55,$O42,$I$8:$I$55)</f>
        <v>0</v>
      </c>
      <c r="Q42" s="52">
        <f>SUMIF($D$8:$D$55,$O42,$I$8:$I$55)+SUMIF($F$8:$F$55,$O42,$G$8:$G$55)</f>
        <v>0</v>
      </c>
      <c r="R42" s="52">
        <f>P42-Q42</f>
        <v>0</v>
      </c>
      <c r="S42" s="53">
        <f>SUMIF($D$8:$D$55,$O42,$K$8:$K$55)+SUMIF($F$8:$F$55,$O42,$L$8:$L$55)</f>
        <v>0</v>
      </c>
      <c r="T42" s="96"/>
      <c r="U42" s="40"/>
      <c r="V42" s="40" t="str">
        <f>O42</f>
        <v>Nigeria</v>
      </c>
      <c r="W42" s="40" t="s">
        <v>75</v>
      </c>
    </row>
    <row r="43" spans="2:23" ht="15.75" thickBot="1">
      <c r="B43" s="24">
        <v>36</v>
      </c>
      <c r="C43" s="25">
        <v>41813</v>
      </c>
      <c r="D43" s="26" t="s">
        <v>10</v>
      </c>
      <c r="E43" s="27" t="s">
        <v>9</v>
      </c>
      <c r="F43" s="28" t="s">
        <v>11</v>
      </c>
      <c r="G43" s="87"/>
      <c r="H43" s="27" t="s">
        <v>9</v>
      </c>
      <c r="I43" s="92"/>
      <c r="J43" s="29" t="str">
        <f t="shared" si="0"/>
        <v/>
      </c>
      <c r="K43" s="11" t="str">
        <f t="shared" si="1"/>
        <v/>
      </c>
      <c r="L43" s="11" t="str">
        <f t="shared" si="2"/>
        <v/>
      </c>
      <c r="O43" s="40"/>
      <c r="P43" s="41"/>
      <c r="Q43" s="41"/>
      <c r="R43" s="41"/>
      <c r="S43" s="41"/>
      <c r="T43" s="41"/>
      <c r="U43" s="40"/>
      <c r="V43" s="40"/>
      <c r="W43" s="40"/>
    </row>
    <row r="44" spans="2:23" ht="15.75" thickBot="1">
      <c r="B44" s="12">
        <v>37</v>
      </c>
      <c r="C44" s="13">
        <v>41814</v>
      </c>
      <c r="D44" s="14" t="s">
        <v>22</v>
      </c>
      <c r="E44" s="15" t="s">
        <v>9</v>
      </c>
      <c r="F44" s="16" t="s">
        <v>19</v>
      </c>
      <c r="G44" s="85"/>
      <c r="H44" s="15" t="s">
        <v>9</v>
      </c>
      <c r="I44" s="90"/>
      <c r="J44" s="17" t="str">
        <f t="shared" si="0"/>
        <v/>
      </c>
      <c r="K44" s="11" t="str">
        <f t="shared" si="1"/>
        <v/>
      </c>
      <c r="L44" s="11" t="str">
        <f t="shared" si="2"/>
        <v/>
      </c>
      <c r="O44" s="72" t="s">
        <v>76</v>
      </c>
      <c r="P44" s="73" t="s">
        <v>42</v>
      </c>
      <c r="Q44" s="73" t="s">
        <v>43</v>
      </c>
      <c r="R44" s="74" t="s">
        <v>44</v>
      </c>
      <c r="S44" s="75" t="s">
        <v>45</v>
      </c>
      <c r="T44" s="76" t="s">
        <v>46</v>
      </c>
      <c r="U44" s="40"/>
      <c r="V44" s="40"/>
      <c r="W44" s="40"/>
    </row>
    <row r="45" spans="2:23">
      <c r="B45" s="18">
        <v>38</v>
      </c>
      <c r="C45" s="19">
        <v>41814</v>
      </c>
      <c r="D45" s="20" t="s">
        <v>20</v>
      </c>
      <c r="E45" s="21" t="s">
        <v>9</v>
      </c>
      <c r="F45" s="30" t="s">
        <v>21</v>
      </c>
      <c r="G45" s="86"/>
      <c r="H45" s="21" t="s">
        <v>9</v>
      </c>
      <c r="I45" s="91"/>
      <c r="J45" s="23" t="str">
        <f t="shared" si="0"/>
        <v/>
      </c>
      <c r="K45" s="11" t="str">
        <f t="shared" si="1"/>
        <v/>
      </c>
      <c r="L45" s="11" t="str">
        <f t="shared" si="2"/>
        <v/>
      </c>
      <c r="O45" s="44" t="s">
        <v>31</v>
      </c>
      <c r="P45" s="45">
        <f>SUMIF($D$8:$D$55,$O45,$G$8:$G$55)+SUMIF($F$8:$F$55,$O45,$I$8:$I$55)</f>
        <v>0</v>
      </c>
      <c r="Q45" s="45">
        <f>SUMIF($D$8:$D$55,$O45,$I$8:$I$55)+SUMIF($F$8:$F$55,$O45,$G$8:$G$55)</f>
        <v>0</v>
      </c>
      <c r="R45" s="46">
        <f>P45-Q45</f>
        <v>0</v>
      </c>
      <c r="S45" s="47">
        <f>SUMIF($D$8:$D$55,$O45,$K$8:$K$55)+SUMIF($F$8:$F$55,$O45,$L$8:$L$55)</f>
        <v>0</v>
      </c>
      <c r="T45" s="94"/>
      <c r="U45" s="40"/>
      <c r="V45" s="40" t="str">
        <f>O45</f>
        <v>Duitsland</v>
      </c>
      <c r="W45" s="40" t="s">
        <v>77</v>
      </c>
    </row>
    <row r="46" spans="2:23">
      <c r="B46" s="18">
        <v>39</v>
      </c>
      <c r="C46" s="19">
        <v>41814</v>
      </c>
      <c r="D46" s="20" t="s">
        <v>24</v>
      </c>
      <c r="E46" s="21" t="s">
        <v>9</v>
      </c>
      <c r="F46" s="30" t="s">
        <v>17</v>
      </c>
      <c r="G46" s="86"/>
      <c r="H46" s="21" t="s">
        <v>9</v>
      </c>
      <c r="I46" s="91"/>
      <c r="J46" s="23" t="str">
        <f t="shared" si="0"/>
        <v/>
      </c>
      <c r="K46" s="11" t="str">
        <f t="shared" si="1"/>
        <v/>
      </c>
      <c r="L46" s="11" t="str">
        <f t="shared" si="2"/>
        <v/>
      </c>
      <c r="O46" s="48" t="s">
        <v>32</v>
      </c>
      <c r="P46" s="49">
        <f>SUMIF($D$8:$D$55,$O46,$G$8:$G$55)+SUMIF($F$8:$F$55,$O46,$I$8:$I$55)</f>
        <v>0</v>
      </c>
      <c r="Q46" s="49">
        <f>SUMIF($D$8:$D$55,$O46,$I$8:$I$55)+SUMIF($F$8:$F$55,$O46,$G$8:$G$55)</f>
        <v>0</v>
      </c>
      <c r="R46" s="49">
        <f>P46-Q46</f>
        <v>0</v>
      </c>
      <c r="S46" s="50">
        <f>SUMIF($D$8:$D$55,$O46,$K$8:$K$55)+SUMIF($F$8:$F$55,$O46,$L$8:$L$55)</f>
        <v>0</v>
      </c>
      <c r="T46" s="95"/>
      <c r="U46" s="40"/>
      <c r="V46" s="40" t="str">
        <f>O46</f>
        <v>Portugal</v>
      </c>
      <c r="W46" s="40" t="s">
        <v>78</v>
      </c>
    </row>
    <row r="47" spans="2:23">
      <c r="B47" s="24">
        <v>40</v>
      </c>
      <c r="C47" s="25">
        <v>41814</v>
      </c>
      <c r="D47" s="26" t="s">
        <v>18</v>
      </c>
      <c r="E47" s="27" t="s">
        <v>9</v>
      </c>
      <c r="F47" s="28" t="s">
        <v>23</v>
      </c>
      <c r="G47" s="87"/>
      <c r="H47" s="27" t="s">
        <v>9</v>
      </c>
      <c r="I47" s="92"/>
      <c r="J47" s="29" t="str">
        <f t="shared" si="0"/>
        <v/>
      </c>
      <c r="K47" s="11" t="str">
        <f t="shared" si="1"/>
        <v/>
      </c>
      <c r="L47" s="11" t="str">
        <f t="shared" si="2"/>
        <v/>
      </c>
      <c r="O47" s="48" t="s">
        <v>35</v>
      </c>
      <c r="P47" s="49">
        <f>SUMIF($D$8:$D$55,$O47,$G$8:$G$55)+SUMIF($F$8:$F$55,$O47,$I$8:$I$55)</f>
        <v>0</v>
      </c>
      <c r="Q47" s="49">
        <f>SUMIF($D$8:$D$55,$O47,$I$8:$I$55)+SUMIF($F$8:$F$55,$O47,$G$8:$G$55)</f>
        <v>0</v>
      </c>
      <c r="R47" s="49">
        <f>P47-Q47</f>
        <v>0</v>
      </c>
      <c r="S47" s="50">
        <f>SUMIF($D$8:$D$55,$O47,$K$8:$K$55)+SUMIF($F$8:$F$55,$O47,$L$8:$L$55)</f>
        <v>0</v>
      </c>
      <c r="T47" s="95"/>
      <c r="U47" s="40"/>
      <c r="V47" s="40" t="str">
        <f>O47</f>
        <v>Ghana</v>
      </c>
      <c r="W47" s="40" t="s">
        <v>79</v>
      </c>
    </row>
    <row r="48" spans="2:23" ht="15.75" thickBot="1">
      <c r="B48" s="12">
        <v>41</v>
      </c>
      <c r="C48" s="13">
        <v>41815</v>
      </c>
      <c r="D48" s="14" t="s">
        <v>34</v>
      </c>
      <c r="E48" s="15" t="s">
        <v>9</v>
      </c>
      <c r="F48" s="16" t="s">
        <v>29</v>
      </c>
      <c r="G48" s="85"/>
      <c r="H48" s="15" t="s">
        <v>9</v>
      </c>
      <c r="I48" s="90"/>
      <c r="J48" s="17" t="str">
        <f t="shared" si="0"/>
        <v/>
      </c>
      <c r="K48" s="11" t="str">
        <f t="shared" si="1"/>
        <v/>
      </c>
      <c r="L48" s="11" t="str">
        <f t="shared" si="2"/>
        <v/>
      </c>
      <c r="O48" s="51" t="s">
        <v>36</v>
      </c>
      <c r="P48" s="52">
        <f>SUMIF($D$8:$D$55,$O48,$G$8:$G$55)+SUMIF($F$8:$F$55,$O48,$I$8:$I$55)</f>
        <v>0</v>
      </c>
      <c r="Q48" s="52">
        <f>SUMIF($D$8:$D$55,$O48,$I$8:$I$55)+SUMIF($F$8:$F$55,$O48,$G$8:$G$55)</f>
        <v>0</v>
      </c>
      <c r="R48" s="52">
        <f>P48-Q48</f>
        <v>0</v>
      </c>
      <c r="S48" s="53">
        <f>SUMIF($D$8:$D$55,$O48,$K$8:$K$55)+SUMIF($F$8:$F$55,$O48,$L$8:$L$55)</f>
        <v>0</v>
      </c>
      <c r="T48" s="96"/>
      <c r="U48" s="40"/>
      <c r="V48" s="40" t="str">
        <f>O48</f>
        <v>Verenigde Staten</v>
      </c>
      <c r="W48" s="40" t="s">
        <v>80</v>
      </c>
    </row>
    <row r="49" spans="2:27" ht="15.75" thickBot="1">
      <c r="B49" s="18">
        <v>42</v>
      </c>
      <c r="C49" s="19">
        <v>41815</v>
      </c>
      <c r="D49" s="20" t="s">
        <v>30</v>
      </c>
      <c r="E49" s="21" t="s">
        <v>9</v>
      </c>
      <c r="F49" s="30" t="s">
        <v>33</v>
      </c>
      <c r="G49" s="86"/>
      <c r="H49" s="21" t="s">
        <v>9</v>
      </c>
      <c r="I49" s="91"/>
      <c r="J49" s="23" t="str">
        <f t="shared" si="0"/>
        <v/>
      </c>
      <c r="K49" s="11" t="str">
        <f t="shared" si="1"/>
        <v/>
      </c>
      <c r="L49" s="11" t="str">
        <f t="shared" si="2"/>
        <v/>
      </c>
      <c r="O49" s="40"/>
      <c r="P49" s="41"/>
      <c r="Q49" s="41"/>
      <c r="R49" s="41"/>
      <c r="S49" s="41"/>
      <c r="T49" s="41"/>
      <c r="U49" s="40"/>
      <c r="V49" s="40"/>
      <c r="W49" s="40"/>
    </row>
    <row r="50" spans="2:27" ht="15.75" thickBot="1">
      <c r="B50" s="18">
        <v>43</v>
      </c>
      <c r="C50" s="19">
        <v>41815</v>
      </c>
      <c r="D50" s="20" t="s">
        <v>28</v>
      </c>
      <c r="E50" s="21" t="s">
        <v>9</v>
      </c>
      <c r="F50" s="30" t="s">
        <v>25</v>
      </c>
      <c r="G50" s="86"/>
      <c r="H50" s="21" t="s">
        <v>9</v>
      </c>
      <c r="I50" s="91"/>
      <c r="J50" s="23" t="str">
        <f t="shared" si="0"/>
        <v/>
      </c>
      <c r="K50" s="11" t="str">
        <f t="shared" si="1"/>
        <v/>
      </c>
      <c r="L50" s="11" t="str">
        <f t="shared" si="2"/>
        <v/>
      </c>
      <c r="O50" s="72" t="s">
        <v>81</v>
      </c>
      <c r="P50" s="73" t="s">
        <v>42</v>
      </c>
      <c r="Q50" s="73" t="s">
        <v>43</v>
      </c>
      <c r="R50" s="74" t="s">
        <v>44</v>
      </c>
      <c r="S50" s="75" t="s">
        <v>45</v>
      </c>
      <c r="T50" s="76" t="s">
        <v>46</v>
      </c>
      <c r="U50" s="40"/>
      <c r="V50" s="40"/>
      <c r="W50" s="40"/>
    </row>
    <row r="51" spans="2:27">
      <c r="B51" s="24">
        <v>44</v>
      </c>
      <c r="C51" s="25">
        <v>41815</v>
      </c>
      <c r="D51" s="26" t="s">
        <v>26</v>
      </c>
      <c r="E51" s="27" t="s">
        <v>9</v>
      </c>
      <c r="F51" s="28" t="s">
        <v>27</v>
      </c>
      <c r="G51" s="87"/>
      <c r="H51" s="27" t="s">
        <v>9</v>
      </c>
      <c r="I51" s="92"/>
      <c r="J51" s="29" t="str">
        <f t="shared" si="0"/>
        <v/>
      </c>
      <c r="K51" s="11" t="str">
        <f t="shared" si="1"/>
        <v/>
      </c>
      <c r="L51" s="11" t="str">
        <f>IF(I51="","",IF($G51&lt;$I51,3,IF($G51=$I51,1,0)))</f>
        <v/>
      </c>
      <c r="O51" s="44" t="s">
        <v>37</v>
      </c>
      <c r="P51" s="45">
        <f>SUMIF($D$8:$D$55,$O51,$G$8:$G$55)+SUMIF($F$8:$F$55,$O51,$I$8:$I$55)</f>
        <v>0</v>
      </c>
      <c r="Q51" s="45">
        <f>SUMIF($D$8:$D$55,$O51,$I$8:$I$55)+SUMIF($F$8:$F$55,$O51,$G$8:$G$55)</f>
        <v>0</v>
      </c>
      <c r="R51" s="46">
        <f>P51-Q51</f>
        <v>0</v>
      </c>
      <c r="S51" s="47">
        <f>SUMIF($D$8:$D$55,$O51,$K$8:$K$55)+SUMIF($F$8:$F$55,$O51,$L$8:$L$55)</f>
        <v>0</v>
      </c>
      <c r="T51" s="94"/>
      <c r="U51" s="40"/>
      <c r="V51" s="40" t="str">
        <f>O51</f>
        <v>België</v>
      </c>
      <c r="W51" s="40" t="s">
        <v>82</v>
      </c>
    </row>
    <row r="52" spans="2:27">
      <c r="B52" s="18">
        <v>45</v>
      </c>
      <c r="C52" s="19">
        <v>41816</v>
      </c>
      <c r="D52" s="20" t="s">
        <v>36</v>
      </c>
      <c r="E52" s="21" t="s">
        <v>9</v>
      </c>
      <c r="F52" s="30" t="s">
        <v>31</v>
      </c>
      <c r="G52" s="86"/>
      <c r="H52" s="21" t="s">
        <v>9</v>
      </c>
      <c r="I52" s="91"/>
      <c r="J52" s="17" t="str">
        <f t="shared" si="0"/>
        <v/>
      </c>
      <c r="K52" s="11" t="str">
        <f t="shared" si="1"/>
        <v/>
      </c>
      <c r="L52" s="11" t="str">
        <f t="shared" si="2"/>
        <v/>
      </c>
      <c r="O52" s="48" t="s">
        <v>38</v>
      </c>
      <c r="P52" s="49">
        <f>SUMIF($D$8:$D$55,$O52,$G$8:$G$55)+SUMIF($F$8:$F$55,$O52,$I$8:$I$55)</f>
        <v>0</v>
      </c>
      <c r="Q52" s="49">
        <f>SUMIF($D$8:$D$55,$O52,$I$8:$I$55)+SUMIF($F$8:$F$55,$O52,$G$8:$G$55)</f>
        <v>0</v>
      </c>
      <c r="R52" s="49">
        <f>P52-Q52</f>
        <v>0</v>
      </c>
      <c r="S52" s="50">
        <f>SUMIF($D$8:$D$55,$O52,$K$8:$K$55)+SUMIF($F$8:$F$55,$O52,$L$8:$L$55)</f>
        <v>0</v>
      </c>
      <c r="T52" s="95"/>
      <c r="U52" s="40"/>
      <c r="V52" s="40" t="str">
        <f>O52</f>
        <v>Algerije</v>
      </c>
      <c r="W52" s="40" t="s">
        <v>83</v>
      </c>
    </row>
    <row r="53" spans="2:27">
      <c r="B53" s="18">
        <v>46</v>
      </c>
      <c r="C53" s="19">
        <v>41816</v>
      </c>
      <c r="D53" s="20" t="s">
        <v>32</v>
      </c>
      <c r="E53" s="21" t="s">
        <v>9</v>
      </c>
      <c r="F53" s="30" t="s">
        <v>35</v>
      </c>
      <c r="G53" s="86"/>
      <c r="H53" s="21" t="s">
        <v>9</v>
      </c>
      <c r="I53" s="91"/>
      <c r="J53" s="23" t="str">
        <f t="shared" si="0"/>
        <v/>
      </c>
      <c r="K53" s="11" t="str">
        <f t="shared" si="1"/>
        <v/>
      </c>
      <c r="L53" s="11" t="str">
        <f t="shared" si="2"/>
        <v/>
      </c>
      <c r="O53" s="48" t="s">
        <v>39</v>
      </c>
      <c r="P53" s="49">
        <f>SUMIF($D$8:$D$55,$O53,$G$8:$G$55)+SUMIF($F$8:$F$55,$O53,$I$8:$I$55)</f>
        <v>0</v>
      </c>
      <c r="Q53" s="49">
        <f>SUMIF($D$8:$D$55,$O53,$I$8:$I$55)+SUMIF($F$8:$F$55,$O53,$G$8:$G$55)</f>
        <v>0</v>
      </c>
      <c r="R53" s="49">
        <f>P53-Q53</f>
        <v>0</v>
      </c>
      <c r="S53" s="50">
        <f>SUMIF($D$8:$D$55,$O53,$K$8:$K$55)+SUMIF($F$8:$F$55,$O53,$L$8:$L$55)</f>
        <v>0</v>
      </c>
      <c r="T53" s="95"/>
      <c r="U53" s="40"/>
      <c r="V53" s="40" t="str">
        <f>O53</f>
        <v>Rusland</v>
      </c>
      <c r="W53" s="40" t="s">
        <v>84</v>
      </c>
    </row>
    <row r="54" spans="2:27" ht="15.75" thickBot="1">
      <c r="B54" s="18">
        <v>47</v>
      </c>
      <c r="C54" s="19">
        <v>41816</v>
      </c>
      <c r="D54" s="20" t="s">
        <v>40</v>
      </c>
      <c r="E54" s="21" t="s">
        <v>9</v>
      </c>
      <c r="F54" s="30" t="s">
        <v>37</v>
      </c>
      <c r="G54" s="86"/>
      <c r="H54" s="21" t="s">
        <v>9</v>
      </c>
      <c r="I54" s="91"/>
      <c r="J54" s="23" t="str">
        <f t="shared" si="0"/>
        <v/>
      </c>
      <c r="K54" s="11" t="str">
        <f t="shared" si="1"/>
        <v/>
      </c>
      <c r="L54" s="11" t="str">
        <f t="shared" si="2"/>
        <v/>
      </c>
      <c r="O54" s="51" t="s">
        <v>40</v>
      </c>
      <c r="P54" s="52">
        <f>SUMIF($D$8:$D$55,$O54,$G$8:$G$55)+SUMIF($F$8:$F$55,$O54,$I$8:$I$55)</f>
        <v>0</v>
      </c>
      <c r="Q54" s="52">
        <f>SUMIF($D$8:$D$55,$O54,$I$8:$I$55)+SUMIF($F$8:$F$55,$O54,$G$8:$G$55)</f>
        <v>0</v>
      </c>
      <c r="R54" s="52">
        <f>P54-Q54</f>
        <v>0</v>
      </c>
      <c r="S54" s="53">
        <f>SUMIF($D$8:$D$55,$O54,$K$8:$K$55)+SUMIF($F$8:$F$55,$O54,$L$8:$L$55)</f>
        <v>0</v>
      </c>
      <c r="T54" s="96"/>
      <c r="U54" s="40"/>
      <c r="V54" s="40" t="str">
        <f>O54</f>
        <v>Zuid Korea</v>
      </c>
      <c r="W54" s="40" t="s">
        <v>85</v>
      </c>
    </row>
    <row r="55" spans="2:27" ht="15.75" thickBot="1">
      <c r="B55" s="33">
        <v>48</v>
      </c>
      <c r="C55" s="34">
        <v>41816</v>
      </c>
      <c r="D55" s="35" t="s">
        <v>38</v>
      </c>
      <c r="E55" s="36" t="s">
        <v>9</v>
      </c>
      <c r="F55" s="37" t="s">
        <v>39</v>
      </c>
      <c r="G55" s="88"/>
      <c r="H55" s="36" t="s">
        <v>9</v>
      </c>
      <c r="I55" s="93"/>
      <c r="J55" s="38" t="str">
        <f t="shared" si="0"/>
        <v/>
      </c>
      <c r="K55" s="11" t="str">
        <f t="shared" si="1"/>
        <v/>
      </c>
      <c r="L55" s="11" t="str">
        <f t="shared" si="2"/>
        <v/>
      </c>
      <c r="O55" s="40"/>
      <c r="P55" s="41"/>
      <c r="Q55" s="41"/>
      <c r="R55" s="41"/>
      <c r="S55" s="41"/>
      <c r="T55" s="41"/>
      <c r="U55" s="40"/>
      <c r="V55" s="40"/>
      <c r="W55" s="40"/>
    </row>
    <row r="56" spans="2:27" ht="15.75" thickBot="1">
      <c r="B56" s="1"/>
      <c r="C56" s="39"/>
      <c r="D56" s="40"/>
      <c r="E56" s="1"/>
      <c r="F56" s="40"/>
      <c r="G56" s="1"/>
      <c r="H56" s="1"/>
      <c r="I56" s="1"/>
      <c r="J56" s="1"/>
      <c r="K56" s="1"/>
      <c r="L56" s="1"/>
      <c r="M56" s="1"/>
    </row>
    <row r="57" spans="2:27">
      <c r="B57" s="865" t="s">
        <v>86</v>
      </c>
      <c r="C57" s="866"/>
      <c r="D57" s="866"/>
      <c r="E57" s="866"/>
      <c r="F57" s="866"/>
      <c r="G57" s="866"/>
      <c r="H57" s="866"/>
      <c r="I57" s="866"/>
      <c r="J57" s="77"/>
      <c r="K57" s="1"/>
      <c r="L57" s="1"/>
      <c r="M57" s="1"/>
      <c r="O57" s="875" t="s">
        <v>108</v>
      </c>
      <c r="P57" s="876"/>
      <c r="Q57" s="876"/>
      <c r="R57" s="876"/>
      <c r="S57" s="876"/>
      <c r="T57" s="876"/>
      <c r="Z57" t="s">
        <v>116</v>
      </c>
    </row>
    <row r="58" spans="2:27">
      <c r="B58" s="78" t="s">
        <v>1</v>
      </c>
      <c r="C58" s="79" t="s">
        <v>2</v>
      </c>
      <c r="D58" s="187" t="s">
        <v>3</v>
      </c>
      <c r="E58" s="81"/>
      <c r="F58" s="82" t="s">
        <v>4</v>
      </c>
      <c r="G58" s="867" t="s">
        <v>5</v>
      </c>
      <c r="H58" s="868"/>
      <c r="I58" s="869"/>
      <c r="J58" s="83" t="s">
        <v>6</v>
      </c>
      <c r="K58" s="1"/>
      <c r="L58" s="1"/>
      <c r="M58" s="1"/>
      <c r="O58" s="135">
        <v>1</v>
      </c>
      <c r="P58" s="877"/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3">CONCATENATE(W58," ",V58)</f>
        <v>Jeroen Zoet (k)</v>
      </c>
    </row>
    <row r="59" spans="2:27">
      <c r="B59" s="12">
        <v>49</v>
      </c>
      <c r="C59" s="189">
        <v>41818</v>
      </c>
      <c r="D59" s="153" t="str">
        <f>IF(ISERROR(Z59),K59,Z59)</f>
        <v>A1</v>
      </c>
      <c r="E59" s="15" t="s">
        <v>9</v>
      </c>
      <c r="F59" s="56" t="str">
        <f>IF(ISERROR(AA59),L59,AA59)</f>
        <v>B2</v>
      </c>
      <c r="G59" s="85"/>
      <c r="H59" s="15" t="s">
        <v>9</v>
      </c>
      <c r="I59" s="97"/>
      <c r="J59" s="98"/>
      <c r="K59" s="57" t="s">
        <v>48</v>
      </c>
      <c r="L59" s="57" t="s">
        <v>53</v>
      </c>
      <c r="M59" s="57">
        <v>1</v>
      </c>
      <c r="O59" s="135">
        <v>2</v>
      </c>
      <c r="P59" s="877"/>
      <c r="Q59" s="877"/>
      <c r="R59" s="877"/>
      <c r="S59" s="877"/>
      <c r="T59" s="878"/>
      <c r="V59" t="s">
        <v>132</v>
      </c>
      <c r="W59" t="s">
        <v>111</v>
      </c>
      <c r="X59" t="str">
        <f t="shared" si="3"/>
        <v>Jasper Cillessen (k)</v>
      </c>
      <c r="Z59" t="e">
        <f>IF(K59=""," ",VLOOKUP(K59,$T$9:$V$54,3,FALSE))</f>
        <v>#N/A</v>
      </c>
      <c r="AA59" t="e">
        <f>IF(L59=""," ",VLOOKUP(L59,$T$9:$V$54,3,FALSE))</f>
        <v>#N/A</v>
      </c>
    </row>
    <row r="60" spans="2:27">
      <c r="B60" s="24">
        <v>50</v>
      </c>
      <c r="C60" s="190">
        <v>41818</v>
      </c>
      <c r="D60" s="154" t="str">
        <f t="shared" ref="D60:D66" si="4">IF(ISERROR(Z60),K60,Z60)</f>
        <v>C1</v>
      </c>
      <c r="E60" s="27" t="s">
        <v>9</v>
      </c>
      <c r="F60" s="59" t="str">
        <f t="shared" ref="F60:F66" si="5">IF(ISERROR(AA60),L60,AA60)</f>
        <v>D2</v>
      </c>
      <c r="G60" s="87"/>
      <c r="H60" s="27" t="s">
        <v>9</v>
      </c>
      <c r="I60" s="99"/>
      <c r="J60" s="100"/>
      <c r="K60" s="57" t="s">
        <v>57</v>
      </c>
      <c r="L60" s="57" t="s">
        <v>63</v>
      </c>
      <c r="M60" s="57">
        <v>2</v>
      </c>
      <c r="O60" s="135">
        <v>3</v>
      </c>
      <c r="P60" s="877"/>
      <c r="Q60" s="877"/>
      <c r="R60" s="877"/>
      <c r="S60" s="877"/>
      <c r="T60" s="878"/>
      <c r="V60" t="s">
        <v>132</v>
      </c>
      <c r="W60" t="s">
        <v>110</v>
      </c>
      <c r="X60" t="str">
        <f t="shared" si="3"/>
        <v>Kenneth Vermeer (k)</v>
      </c>
      <c r="Z60" t="e">
        <f t="shared" ref="Z60:Z66" si="6">IF(K60=""," ",VLOOKUP(K60,$T$9:$V$54,3,FALSE))</f>
        <v>#N/A</v>
      </c>
      <c r="AA60" t="e">
        <f t="shared" ref="AA60:AA66" si="7">IF(L60=""," ",VLOOKUP(L60,$T$9:$V$54,3,FALSE))</f>
        <v>#N/A</v>
      </c>
    </row>
    <row r="61" spans="2:27">
      <c r="B61" s="12">
        <v>51</v>
      </c>
      <c r="C61" s="189">
        <v>41819</v>
      </c>
      <c r="D61" s="188" t="str">
        <f t="shared" si="4"/>
        <v>B1</v>
      </c>
      <c r="E61" s="15" t="s">
        <v>9</v>
      </c>
      <c r="F61" s="56" t="str">
        <f t="shared" si="5"/>
        <v>A2</v>
      </c>
      <c r="G61" s="85"/>
      <c r="H61" s="15" t="s">
        <v>9</v>
      </c>
      <c r="I61" s="97"/>
      <c r="J61" s="98"/>
      <c r="K61" s="57" t="s">
        <v>52</v>
      </c>
      <c r="L61" s="57" t="s">
        <v>49</v>
      </c>
      <c r="M61" s="57"/>
      <c r="O61" s="135">
        <v>4</v>
      </c>
      <c r="P61" s="877"/>
      <c r="Q61" s="877"/>
      <c r="R61" s="877"/>
      <c r="S61" s="877"/>
      <c r="T61" s="878"/>
      <c r="V61" t="s">
        <v>132</v>
      </c>
      <c r="W61" t="s">
        <v>191</v>
      </c>
      <c r="X61" t="str">
        <f t="shared" si="3"/>
        <v>Tim Krul (k)</v>
      </c>
      <c r="Z61" t="e">
        <f t="shared" si="6"/>
        <v>#N/A</v>
      </c>
      <c r="AA61" t="e">
        <f t="shared" si="7"/>
        <v>#N/A</v>
      </c>
    </row>
    <row r="62" spans="2:27">
      <c r="B62" s="24">
        <v>52</v>
      </c>
      <c r="C62" s="190">
        <v>41819</v>
      </c>
      <c r="D62" s="188" t="str">
        <f t="shared" si="4"/>
        <v>D1</v>
      </c>
      <c r="E62" s="27" t="s">
        <v>9</v>
      </c>
      <c r="F62" s="59" t="str">
        <f t="shared" si="5"/>
        <v>C2</v>
      </c>
      <c r="G62" s="87"/>
      <c r="H62" s="27" t="s">
        <v>9</v>
      </c>
      <c r="I62" s="99"/>
      <c r="J62" s="100"/>
      <c r="K62" s="57" t="s">
        <v>62</v>
      </c>
      <c r="L62" s="57" t="s">
        <v>58</v>
      </c>
      <c r="M62" s="57"/>
      <c r="O62" s="135">
        <v>5</v>
      </c>
      <c r="P62" s="877"/>
      <c r="Q62" s="877"/>
      <c r="R62" s="877"/>
      <c r="S62" s="877"/>
      <c r="T62" s="878"/>
      <c r="V62" t="s">
        <v>132</v>
      </c>
      <c r="W62" t="s">
        <v>192</v>
      </c>
      <c r="X62" t="str">
        <f t="shared" si="3"/>
        <v>Maarten Stekelenburg (k)</v>
      </c>
      <c r="Z62" t="e">
        <f t="shared" si="6"/>
        <v>#N/A</v>
      </c>
      <c r="AA62" t="e">
        <f t="shared" si="7"/>
        <v>#N/A</v>
      </c>
    </row>
    <row r="63" spans="2:27">
      <c r="B63" s="12">
        <v>53</v>
      </c>
      <c r="C63" s="189">
        <v>41820</v>
      </c>
      <c r="D63" s="153" t="str">
        <f t="shared" si="4"/>
        <v>E1</v>
      </c>
      <c r="E63" s="15" t="s">
        <v>9</v>
      </c>
      <c r="F63" s="56" t="str">
        <f t="shared" si="5"/>
        <v>F2</v>
      </c>
      <c r="G63" s="85"/>
      <c r="H63" s="15" t="s">
        <v>9</v>
      </c>
      <c r="I63" s="97"/>
      <c r="J63" s="98"/>
      <c r="K63" s="57" t="s">
        <v>67</v>
      </c>
      <c r="L63" s="57" t="s">
        <v>73</v>
      </c>
      <c r="M63" s="57"/>
      <c r="O63" s="135">
        <v>6</v>
      </c>
      <c r="P63" s="877"/>
      <c r="Q63" s="877"/>
      <c r="R63" s="877"/>
      <c r="S63" s="877"/>
      <c r="T63" s="878"/>
      <c r="V63" t="s">
        <v>132</v>
      </c>
      <c r="W63" t="s">
        <v>193</v>
      </c>
      <c r="X63" t="str">
        <f t="shared" si="3"/>
        <v>Michel Vorm (k)</v>
      </c>
      <c r="Z63" t="e">
        <f t="shared" si="6"/>
        <v>#N/A</v>
      </c>
      <c r="AA63" t="e">
        <f t="shared" si="7"/>
        <v>#N/A</v>
      </c>
    </row>
    <row r="64" spans="2:27">
      <c r="B64" s="24">
        <v>54</v>
      </c>
      <c r="C64" s="190">
        <v>41820</v>
      </c>
      <c r="D64" s="154" t="str">
        <f t="shared" si="4"/>
        <v>G1</v>
      </c>
      <c r="E64" s="27" t="s">
        <v>9</v>
      </c>
      <c r="F64" s="59" t="str">
        <f t="shared" si="5"/>
        <v>H2</v>
      </c>
      <c r="G64" s="87"/>
      <c r="H64" s="27" t="s">
        <v>9</v>
      </c>
      <c r="I64" s="99"/>
      <c r="J64" s="100"/>
      <c r="K64" s="57" t="s">
        <v>77</v>
      </c>
      <c r="L64" s="57" t="s">
        <v>83</v>
      </c>
      <c r="M64" s="57"/>
      <c r="O64" s="135">
        <v>7</v>
      </c>
      <c r="P64" s="877"/>
      <c r="Q64" s="877"/>
      <c r="R64" s="877"/>
      <c r="S64" s="877"/>
      <c r="T64" s="878"/>
      <c r="V64" t="s">
        <v>133</v>
      </c>
      <c r="W64" t="s">
        <v>112</v>
      </c>
      <c r="X64" t="str">
        <f t="shared" si="3"/>
        <v>Joël Veltman (v)</v>
      </c>
      <c r="Z64" t="e">
        <f t="shared" si="6"/>
        <v>#N/A</v>
      </c>
      <c r="AA64" t="e">
        <f t="shared" si="7"/>
        <v>#N/A</v>
      </c>
    </row>
    <row r="65" spans="2:27">
      <c r="B65" s="18">
        <v>55</v>
      </c>
      <c r="C65" s="191">
        <v>41821</v>
      </c>
      <c r="D65" s="153" t="str">
        <f t="shared" si="4"/>
        <v>F1</v>
      </c>
      <c r="E65" s="21" t="s">
        <v>9</v>
      </c>
      <c r="F65" s="60" t="str">
        <f t="shared" si="5"/>
        <v>E2</v>
      </c>
      <c r="G65" s="86"/>
      <c r="H65" s="21" t="s">
        <v>9</v>
      </c>
      <c r="I65" s="101"/>
      <c r="J65" s="102"/>
      <c r="K65" s="57" t="s">
        <v>72</v>
      </c>
      <c r="L65" s="57" t="s">
        <v>68</v>
      </c>
      <c r="M65" s="57"/>
      <c r="O65" s="135">
        <v>8</v>
      </c>
      <c r="P65" s="877"/>
      <c r="Q65" s="877"/>
      <c r="R65" s="877"/>
      <c r="S65" s="877"/>
      <c r="T65" s="878"/>
      <c r="V65" t="s">
        <v>133</v>
      </c>
      <c r="W65" t="s">
        <v>109</v>
      </c>
      <c r="X65" t="str">
        <f t="shared" si="3"/>
        <v>Daley Blind (v)</v>
      </c>
      <c r="Z65" t="e">
        <f t="shared" si="6"/>
        <v>#N/A</v>
      </c>
      <c r="AA65" t="e">
        <f t="shared" si="7"/>
        <v>#N/A</v>
      </c>
    </row>
    <row r="66" spans="2:27" ht="15.75" thickBot="1">
      <c r="B66" s="33">
        <v>56</v>
      </c>
      <c r="C66" s="186">
        <v>41821</v>
      </c>
      <c r="D66" s="155" t="str">
        <f t="shared" si="4"/>
        <v>H1</v>
      </c>
      <c r="E66" s="36" t="s">
        <v>9</v>
      </c>
      <c r="F66" s="62" t="str">
        <f t="shared" si="5"/>
        <v>G2</v>
      </c>
      <c r="G66" s="88"/>
      <c r="H66" s="36" t="s">
        <v>9</v>
      </c>
      <c r="I66" s="103"/>
      <c r="J66" s="104"/>
      <c r="K66" s="57" t="s">
        <v>82</v>
      </c>
      <c r="L66" s="57" t="s">
        <v>78</v>
      </c>
      <c r="M66" s="57"/>
      <c r="O66" s="135">
        <v>9</v>
      </c>
      <c r="P66" s="877"/>
      <c r="Q66" s="877"/>
      <c r="R66" s="877"/>
      <c r="S66" s="877"/>
      <c r="T66" s="878"/>
      <c r="V66" t="s">
        <v>133</v>
      </c>
      <c r="W66" t="s">
        <v>115</v>
      </c>
      <c r="X66" t="str">
        <f t="shared" si="3"/>
        <v>Daryl Janmaat (v)</v>
      </c>
      <c r="Z66" t="e">
        <f t="shared" si="6"/>
        <v>#N/A</v>
      </c>
      <c r="AA66" t="e">
        <f t="shared" si="7"/>
        <v>#N/A</v>
      </c>
    </row>
    <row r="67" spans="2:27" ht="15.75" thickBot="1">
      <c r="B67" s="1"/>
      <c r="C67" s="39"/>
      <c r="D67" s="40"/>
      <c r="E67" s="1"/>
      <c r="F67" s="40"/>
      <c r="G67" s="1"/>
      <c r="H67" s="1"/>
      <c r="I67" s="1"/>
      <c r="J67" s="1"/>
      <c r="K67" s="1"/>
      <c r="L67" s="1"/>
      <c r="M67" s="1"/>
      <c r="O67" s="135">
        <v>10</v>
      </c>
      <c r="P67" s="877"/>
      <c r="Q67" s="877"/>
      <c r="R67" s="877"/>
      <c r="S67" s="877"/>
      <c r="T67" s="878"/>
      <c r="V67" t="s">
        <v>133</v>
      </c>
      <c r="W67" t="s">
        <v>118</v>
      </c>
      <c r="X67" t="str">
        <f t="shared" si="3"/>
        <v>Terence Kongolo (v)</v>
      </c>
    </row>
    <row r="68" spans="2:27">
      <c r="B68" s="865" t="s">
        <v>87</v>
      </c>
      <c r="C68" s="866"/>
      <c r="D68" s="866"/>
      <c r="E68" s="866"/>
      <c r="F68" s="866"/>
      <c r="G68" s="866"/>
      <c r="H68" s="866"/>
      <c r="I68" s="866"/>
      <c r="J68" s="77"/>
      <c r="K68" s="1"/>
      <c r="L68" s="1"/>
      <c r="M68" s="1"/>
      <c r="O68" s="135">
        <v>11</v>
      </c>
      <c r="P68" s="877"/>
      <c r="Q68" s="877"/>
      <c r="R68" s="877"/>
      <c r="S68" s="877"/>
      <c r="T68" s="878"/>
      <c r="V68" t="s">
        <v>133</v>
      </c>
      <c r="W68" t="s">
        <v>119</v>
      </c>
      <c r="X68" t="str">
        <f t="shared" si="3"/>
        <v>Bruno Martins Indi (v)</v>
      </c>
    </row>
    <row r="69" spans="2:27">
      <c r="B69" s="78" t="s">
        <v>1</v>
      </c>
      <c r="C69" s="79" t="s">
        <v>2</v>
      </c>
      <c r="D69" s="80" t="s">
        <v>3</v>
      </c>
      <c r="E69" s="81"/>
      <c r="F69" s="82" t="s">
        <v>4</v>
      </c>
      <c r="G69" s="867" t="s">
        <v>5</v>
      </c>
      <c r="H69" s="868"/>
      <c r="I69" s="869"/>
      <c r="J69" s="83" t="s">
        <v>6</v>
      </c>
      <c r="K69" s="1"/>
      <c r="L69" s="1"/>
      <c r="M69" s="1"/>
      <c r="V69" t="s">
        <v>133</v>
      </c>
      <c r="W69" t="s">
        <v>121</v>
      </c>
      <c r="X69" t="str">
        <f t="shared" si="3"/>
        <v>Stefan de Vrij (v)</v>
      </c>
    </row>
    <row r="70" spans="2:27">
      <c r="B70" s="12">
        <v>57</v>
      </c>
      <c r="C70" s="13">
        <v>41824</v>
      </c>
      <c r="D70" s="55" t="str">
        <f>IF(J63="","Winnaar 53",IF(J63=1,D63,F63))</f>
        <v>Winnaar 53</v>
      </c>
      <c r="E70" s="15" t="s">
        <v>9</v>
      </c>
      <c r="F70" s="56" t="str">
        <f>IF(J64="","Winnaar 54",IF(J64=1,D64,F64))</f>
        <v>Winnaar 54</v>
      </c>
      <c r="G70" s="85"/>
      <c r="H70" s="15" t="s">
        <v>9</v>
      </c>
      <c r="I70" s="97"/>
      <c r="J70" s="98"/>
      <c r="K70" s="1"/>
      <c r="L70" s="1"/>
      <c r="M70" s="1"/>
      <c r="V70" t="s">
        <v>133</v>
      </c>
      <c r="W70" t="s">
        <v>126</v>
      </c>
      <c r="X70" t="str">
        <f t="shared" si="3"/>
        <v>Karim Rekik (v)</v>
      </c>
    </row>
    <row r="71" spans="2:27">
      <c r="B71" s="24">
        <v>58</v>
      </c>
      <c r="C71" s="25">
        <v>41824</v>
      </c>
      <c r="D71" s="58" t="str">
        <f>IF(J59="","Winnaar 49",IF(J59=1,D59,F59))</f>
        <v>Winnaar 49</v>
      </c>
      <c r="E71" s="27" t="s">
        <v>9</v>
      </c>
      <c r="F71" s="59" t="str">
        <f>IF(J60="","Winnaar 50",IF(J60=1,D60,F60))</f>
        <v>Winnaar 50</v>
      </c>
      <c r="G71" s="87"/>
      <c r="H71" s="27" t="s">
        <v>9</v>
      </c>
      <c r="I71" s="99"/>
      <c r="J71" s="100"/>
      <c r="K71" s="1"/>
      <c r="L71" s="1"/>
      <c r="M71" s="1"/>
      <c r="V71" t="s">
        <v>133</v>
      </c>
      <c r="W71" t="s">
        <v>194</v>
      </c>
      <c r="X71" t="str">
        <f t="shared" si="3"/>
        <v>Ron Vlaar (v)</v>
      </c>
    </row>
    <row r="72" spans="2:27">
      <c r="B72" s="12">
        <v>59</v>
      </c>
      <c r="C72" s="13">
        <v>41825</v>
      </c>
      <c r="D72" s="55" t="str">
        <f>IF(J65="","Winnaar 55",IF(J65=1,D65,F65))</f>
        <v>Winnaar 55</v>
      </c>
      <c r="E72" s="15" t="s">
        <v>9</v>
      </c>
      <c r="F72" s="56" t="str">
        <f>IF(J66="","Winnaar 56",IF(J66=1,D66,F66))</f>
        <v>Winnaar 56</v>
      </c>
      <c r="G72" s="85"/>
      <c r="H72" s="15" t="s">
        <v>9</v>
      </c>
      <c r="I72" s="97"/>
      <c r="J72" s="98"/>
      <c r="K72" s="1"/>
      <c r="L72" s="1"/>
      <c r="M72" s="1"/>
      <c r="V72" t="s">
        <v>133</v>
      </c>
      <c r="W72" t="s">
        <v>195</v>
      </c>
      <c r="X72" t="str">
        <f t="shared" si="3"/>
        <v>John Heitinga (v)</v>
      </c>
    </row>
    <row r="73" spans="2:27" ht="15.75" thickBot="1">
      <c r="B73" s="33">
        <v>60</v>
      </c>
      <c r="C73" s="34">
        <v>41825</v>
      </c>
      <c r="D73" s="61" t="str">
        <f>IF(J61="","Winnaar 51",IF(J61=1,D61,F61))</f>
        <v>Winnaar 51</v>
      </c>
      <c r="E73" s="36" t="s">
        <v>9</v>
      </c>
      <c r="F73" s="62" t="str">
        <f>IF(J62="","Winnaar 52",IF(J62=1,D62,F62))</f>
        <v>Winnaar 52</v>
      </c>
      <c r="G73" s="88"/>
      <c r="H73" s="36" t="s">
        <v>9</v>
      </c>
      <c r="I73" s="103"/>
      <c r="J73" s="104"/>
      <c r="K73" s="1"/>
      <c r="L73" s="1"/>
      <c r="M73" s="1"/>
      <c r="V73" t="s">
        <v>133</v>
      </c>
      <c r="W73" t="s">
        <v>196</v>
      </c>
      <c r="X73" t="str">
        <f t="shared" si="3"/>
        <v>Urby Emanuelson (v)</v>
      </c>
    </row>
    <row r="74" spans="2:27" ht="15.75" thickBot="1">
      <c r="B74" s="1"/>
      <c r="C74" s="39"/>
      <c r="D74" s="40"/>
      <c r="E74" s="1"/>
      <c r="F74" s="40"/>
      <c r="G74" s="1"/>
      <c r="H74" s="1"/>
      <c r="I74" s="1"/>
      <c r="J74" s="1"/>
      <c r="K74" s="1"/>
      <c r="L74" s="1"/>
      <c r="M74" s="1"/>
      <c r="V74" t="s">
        <v>133</v>
      </c>
      <c r="W74" t="s">
        <v>197</v>
      </c>
      <c r="X74" t="str">
        <f t="shared" si="3"/>
        <v>Gregory van der Wiel (v)</v>
      </c>
    </row>
    <row r="75" spans="2:27">
      <c r="B75" s="865" t="s">
        <v>88</v>
      </c>
      <c r="C75" s="866"/>
      <c r="D75" s="866"/>
      <c r="E75" s="866"/>
      <c r="F75" s="866"/>
      <c r="G75" s="866"/>
      <c r="H75" s="866"/>
      <c r="I75" s="866"/>
      <c r="J75" s="77"/>
      <c r="K75" s="1"/>
      <c r="L75" s="1"/>
      <c r="M75" s="1"/>
      <c r="V75" t="s">
        <v>133</v>
      </c>
      <c r="W75" t="s">
        <v>198</v>
      </c>
      <c r="X75" t="str">
        <f t="shared" si="3"/>
        <v>Virgil van Dijk (v)</v>
      </c>
    </row>
    <row r="76" spans="2:27">
      <c r="B76" s="78" t="s">
        <v>1</v>
      </c>
      <c r="C76" s="79" t="s">
        <v>2</v>
      </c>
      <c r="D76" s="80" t="s">
        <v>3</v>
      </c>
      <c r="E76" s="81"/>
      <c r="F76" s="82" t="s">
        <v>4</v>
      </c>
      <c r="G76" s="867" t="s">
        <v>5</v>
      </c>
      <c r="H76" s="868"/>
      <c r="I76" s="869"/>
      <c r="J76" s="83" t="s">
        <v>6</v>
      </c>
      <c r="K76" s="1"/>
      <c r="L76" s="1"/>
      <c r="M76" s="1"/>
      <c r="V76" t="s">
        <v>133</v>
      </c>
      <c r="W76" t="s">
        <v>202</v>
      </c>
      <c r="X76" t="str">
        <f t="shared" si="3"/>
        <v>Alexander Buttner (v)</v>
      </c>
    </row>
    <row r="77" spans="2:27">
      <c r="B77" s="12">
        <v>61</v>
      </c>
      <c r="C77" s="13">
        <v>41828</v>
      </c>
      <c r="D77" s="55" t="str">
        <f>IF(J70="","Winnaar 57",IF(J70=1,D70,F70))</f>
        <v>Winnaar 57</v>
      </c>
      <c r="E77" s="15" t="s">
        <v>9</v>
      </c>
      <c r="F77" s="56" t="str">
        <f>IF(J71="","Winnaar 58",IF(J71=1,D71,F71))</f>
        <v>Winnaar 58</v>
      </c>
      <c r="G77" s="85"/>
      <c r="H77" s="15" t="s">
        <v>9</v>
      </c>
      <c r="I77" s="97"/>
      <c r="J77" s="98"/>
      <c r="K77" s="1"/>
      <c r="L77" s="1"/>
      <c r="M77" s="1"/>
      <c r="V77" t="s">
        <v>134</v>
      </c>
      <c r="W77" t="s">
        <v>203</v>
      </c>
      <c r="X77" t="str">
        <f t="shared" si="3"/>
        <v>Marco van Ginkel (m)</v>
      </c>
    </row>
    <row r="78" spans="2:27" ht="15.75" thickBot="1">
      <c r="B78" s="33">
        <v>62</v>
      </c>
      <c r="C78" s="34">
        <v>41829</v>
      </c>
      <c r="D78" s="61" t="str">
        <f>IF(J72="","Winnaar 59",IF(J72=1,D72,F72))</f>
        <v>Winnaar 59</v>
      </c>
      <c r="E78" s="36" t="s">
        <v>9</v>
      </c>
      <c r="F78" s="62" t="str">
        <f>IF(J73="","Winnaar 60",IF(J73=1,D73,F73))</f>
        <v>Winnaar 60</v>
      </c>
      <c r="G78" s="88"/>
      <c r="H78" s="36" t="s">
        <v>9</v>
      </c>
      <c r="I78" s="103"/>
      <c r="J78" s="104"/>
      <c r="K78" s="1"/>
      <c r="L78" s="1"/>
      <c r="M78" s="1"/>
      <c r="V78" t="s">
        <v>134</v>
      </c>
      <c r="W78" t="s">
        <v>199</v>
      </c>
      <c r="X78" t="str">
        <f t="shared" si="3"/>
        <v>Leroy Fer (m)</v>
      </c>
    </row>
    <row r="79" spans="2:27" ht="15.75" thickBot="1">
      <c r="B79" s="1"/>
      <c r="C79" s="39"/>
      <c r="D79" s="40"/>
      <c r="E79" s="1"/>
      <c r="F79" s="40"/>
      <c r="G79" s="1"/>
      <c r="H79" s="1"/>
      <c r="I79" s="1"/>
      <c r="J79" s="1"/>
      <c r="K79" s="1"/>
      <c r="L79" s="1"/>
      <c r="M79" s="1"/>
      <c r="V79" t="s">
        <v>134</v>
      </c>
      <c r="W79" t="s">
        <v>114</v>
      </c>
      <c r="X79" t="str">
        <f t="shared" si="3"/>
        <v>Jordy Clasie (m)</v>
      </c>
    </row>
    <row r="80" spans="2:27">
      <c r="B80" s="865" t="s">
        <v>89</v>
      </c>
      <c r="C80" s="866"/>
      <c r="D80" s="866"/>
      <c r="E80" s="866"/>
      <c r="F80" s="866"/>
      <c r="G80" s="866"/>
      <c r="H80" s="866"/>
      <c r="I80" s="866"/>
      <c r="J80" s="77"/>
      <c r="K80" s="1"/>
      <c r="L80" s="1"/>
      <c r="M80" s="1"/>
      <c r="V80" t="s">
        <v>134</v>
      </c>
      <c r="W80" t="s">
        <v>117</v>
      </c>
      <c r="X80" t="str">
        <f t="shared" si="3"/>
        <v>Davy Klaassen (m)</v>
      </c>
    </row>
    <row r="81" spans="2:24">
      <c r="B81" s="78" t="s">
        <v>1</v>
      </c>
      <c r="C81" s="79" t="s">
        <v>2</v>
      </c>
      <c r="D81" s="80" t="s">
        <v>3</v>
      </c>
      <c r="E81" s="81"/>
      <c r="F81" s="82" t="s">
        <v>4</v>
      </c>
      <c r="G81" s="867" t="s">
        <v>5</v>
      </c>
      <c r="H81" s="868"/>
      <c r="I81" s="869"/>
      <c r="J81" s="83" t="s">
        <v>6</v>
      </c>
      <c r="K81" s="1"/>
      <c r="L81" s="1"/>
      <c r="M81" s="1"/>
      <c r="V81" t="s">
        <v>134</v>
      </c>
      <c r="W81" t="s">
        <v>120</v>
      </c>
      <c r="X81" t="str">
        <f t="shared" si="3"/>
        <v>Tonny Trindade de Vilhena (m)</v>
      </c>
    </row>
    <row r="82" spans="2:24" ht="15.75" thickBot="1">
      <c r="B82" s="2">
        <v>63</v>
      </c>
      <c r="C82" s="63">
        <v>41832</v>
      </c>
      <c r="D82" s="64" t="str">
        <f>IF(J77="","Verliezer 61",IF(J77=1,F77,D77))</f>
        <v>Verliezer 61</v>
      </c>
      <c r="E82" s="3" t="s">
        <v>9</v>
      </c>
      <c r="F82" s="65" t="str">
        <f>IF(J78="","Verliezer 62",IF(J78=1,F78,D78))</f>
        <v>Verliezer 62</v>
      </c>
      <c r="G82" s="105"/>
      <c r="H82" s="3" t="s">
        <v>9</v>
      </c>
      <c r="I82" s="106"/>
      <c r="J82" s="107"/>
      <c r="K82" s="1"/>
      <c r="L82" s="1"/>
      <c r="M82" s="1"/>
      <c r="V82" t="s">
        <v>134</v>
      </c>
      <c r="W82" t="s">
        <v>125</v>
      </c>
      <c r="X82" t="str">
        <f t="shared" si="3"/>
        <v>Georginio Wijnaldum (m)</v>
      </c>
    </row>
    <row r="83" spans="2:24" ht="15.75" thickBot="1">
      <c r="B83" s="1"/>
      <c r="C83" s="39"/>
      <c r="D83" s="40"/>
      <c r="E83" s="1"/>
      <c r="F83" s="40"/>
      <c r="G83" s="1"/>
      <c r="H83" s="1"/>
      <c r="I83" s="1"/>
      <c r="J83" s="1"/>
      <c r="K83" s="1"/>
      <c r="L83" s="1"/>
      <c r="M83" s="1"/>
      <c r="V83" t="s">
        <v>134</v>
      </c>
      <c r="W83" t="s">
        <v>136</v>
      </c>
      <c r="X83" t="str">
        <f t="shared" si="3"/>
        <v>Rafael vd Vaart (m)</v>
      </c>
    </row>
    <row r="84" spans="2:24">
      <c r="B84" s="865" t="s">
        <v>90</v>
      </c>
      <c r="C84" s="866"/>
      <c r="D84" s="866"/>
      <c r="E84" s="866"/>
      <c r="F84" s="866"/>
      <c r="G84" s="866"/>
      <c r="H84" s="866"/>
      <c r="I84" s="866"/>
      <c r="J84" s="77"/>
      <c r="K84" s="1"/>
      <c r="L84" s="1"/>
      <c r="M84" s="1"/>
      <c r="V84" t="s">
        <v>134</v>
      </c>
      <c r="W84" t="s">
        <v>137</v>
      </c>
      <c r="X84" t="str">
        <f t="shared" si="3"/>
        <v>Wesley Sneijder (m)</v>
      </c>
    </row>
    <row r="85" spans="2:24">
      <c r="B85" s="78" t="s">
        <v>1</v>
      </c>
      <c r="C85" s="79" t="s">
        <v>2</v>
      </c>
      <c r="D85" s="80" t="s">
        <v>3</v>
      </c>
      <c r="E85" s="81"/>
      <c r="F85" s="82" t="s">
        <v>4</v>
      </c>
      <c r="G85" s="867" t="s">
        <v>5</v>
      </c>
      <c r="H85" s="868"/>
      <c r="I85" s="869"/>
      <c r="J85" s="83" t="s">
        <v>6</v>
      </c>
      <c r="K85" s="1"/>
      <c r="L85" s="1"/>
      <c r="M85" s="1"/>
      <c r="V85" t="s">
        <v>134</v>
      </c>
      <c r="W85" t="s">
        <v>138</v>
      </c>
      <c r="X85" t="str">
        <f t="shared" si="3"/>
        <v>Jonathan de Guzman (m)</v>
      </c>
    </row>
    <row r="86" spans="2:24" ht="15.75" thickBot="1">
      <c r="B86" s="2">
        <v>64</v>
      </c>
      <c r="C86" s="63">
        <v>41833</v>
      </c>
      <c r="D86" s="64" t="str">
        <f>IF(J77="","Winnaar 61",IF(J77=1,D77,F77))</f>
        <v>Winnaar 61</v>
      </c>
      <c r="E86" s="3" t="s">
        <v>9</v>
      </c>
      <c r="F86" s="65" t="str">
        <f>IF(J78="","Winnaar 62",IF(J78=1,D78,F78))</f>
        <v>Winnaar 62</v>
      </c>
      <c r="G86" s="105"/>
      <c r="H86" s="3" t="s">
        <v>9</v>
      </c>
      <c r="I86" s="106"/>
      <c r="J86" s="107"/>
      <c r="K86" s="1"/>
      <c r="L86" s="1"/>
      <c r="M86" s="1"/>
      <c r="V86" t="s">
        <v>134</v>
      </c>
      <c r="W86" t="s">
        <v>139</v>
      </c>
      <c r="X86" t="str">
        <f t="shared" si="3"/>
        <v>Nigel de Jong (m)</v>
      </c>
    </row>
    <row r="87" spans="2:24">
      <c r="B87" s="1"/>
      <c r="C87" s="3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3"/>
        <v>Ricky van Wolfswinkel (a)</v>
      </c>
    </row>
    <row r="88" spans="2:24">
      <c r="B88" s="1"/>
      <c r="C88" s="3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3"/>
        <v>Klaas-Jan Huntelaar (a)</v>
      </c>
    </row>
    <row r="89" spans="2:24" ht="20.25">
      <c r="C89" s="874" t="s">
        <v>101</v>
      </c>
      <c r="D89" s="871"/>
      <c r="E89" s="873" t="str">
        <f>IF(J86=1,D86,IF(J86=2,F86,"Wie zal het worden?"))</f>
        <v>Wie zal het worden?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3"/>
        <v>Jermain Lens (a)</v>
      </c>
    </row>
    <row r="90" spans="2:24">
      <c r="C90" s="870">
        <v>2</v>
      </c>
      <c r="D90" s="871"/>
      <c r="E90" s="872" t="str">
        <f>IF(J86=2,D86,IF(J86=1,F86,"Wie wordt 2de?"))</f>
        <v>Wie wordt 2de?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3"/>
        <v>Dirk Kuyt (a)</v>
      </c>
    </row>
    <row r="91" spans="2:24">
      <c r="C91" s="870">
        <v>3</v>
      </c>
      <c r="D91" s="871"/>
      <c r="E91" s="872" t="str">
        <f>IF(J82=1,D82,IF(J82=2,F82,"Wie wordt 3de?"))</f>
        <v>Wie wordt 3de?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3"/>
        <v>Jürgen Locadia (a)</v>
      </c>
    </row>
    <row r="92" spans="2:24">
      <c r="C92" s="870">
        <v>4</v>
      </c>
      <c r="D92" s="871"/>
      <c r="E92" s="872" t="str">
        <f>IF(J82=2,D82,IF(J82=1,F82,"Wie wordt 4de?"))</f>
        <v>Wie wordt 4de?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3"/>
        <v>Memphis Depay (a)</v>
      </c>
    </row>
    <row r="93" spans="2:24">
      <c r="V93" t="s">
        <v>135</v>
      </c>
      <c r="W93" t="s">
        <v>123</v>
      </c>
      <c r="X93" t="str">
        <f t="shared" si="3"/>
        <v>Quincy Promes (a)</v>
      </c>
    </row>
    <row r="94" spans="2:24">
      <c r="V94" t="s">
        <v>135</v>
      </c>
      <c r="W94" t="s">
        <v>122</v>
      </c>
      <c r="X94" t="str">
        <f t="shared" si="3"/>
        <v>Luc Castaignos (a)</v>
      </c>
    </row>
    <row r="95" spans="2:24">
      <c r="V95" t="s">
        <v>135</v>
      </c>
      <c r="W95" t="s">
        <v>113</v>
      </c>
      <c r="X95" t="str">
        <f t="shared" si="3"/>
        <v>Jean-Paul Boëtius (a)</v>
      </c>
    </row>
    <row r="96" spans="2:24">
      <c r="V96" t="s">
        <v>135</v>
      </c>
      <c r="W96" t="s">
        <v>129</v>
      </c>
      <c r="X96" t="str">
        <f t="shared" si="3"/>
        <v>Luciano Narsingh (a)</v>
      </c>
    </row>
    <row r="97" spans="22:24">
      <c r="V97" t="s">
        <v>135</v>
      </c>
      <c r="W97" t="s">
        <v>130</v>
      </c>
      <c r="X97" t="str">
        <f t="shared" si="3"/>
        <v>Robin van Persie (a)</v>
      </c>
    </row>
    <row r="98" spans="22:24">
      <c r="V98" t="s">
        <v>135</v>
      </c>
      <c r="W98" t="s">
        <v>131</v>
      </c>
      <c r="X98" t="str">
        <f t="shared" si="3"/>
        <v>Arjen Robben (a)</v>
      </c>
    </row>
  </sheetData>
  <mergeCells count="32">
    <mergeCell ref="G69:I69"/>
    <mergeCell ref="B68:I68"/>
    <mergeCell ref="P67:T67"/>
    <mergeCell ref="P68:T68"/>
    <mergeCell ref="B75:I75"/>
    <mergeCell ref="P60:T60"/>
    <mergeCell ref="P61:T61"/>
    <mergeCell ref="P62:T62"/>
    <mergeCell ref="P65:T65"/>
    <mergeCell ref="P66:T66"/>
    <mergeCell ref="P63:T63"/>
    <mergeCell ref="P64:T64"/>
    <mergeCell ref="O57:T57"/>
    <mergeCell ref="P58:T58"/>
    <mergeCell ref="P59:T59"/>
    <mergeCell ref="B6:J6"/>
    <mergeCell ref="G7:I7"/>
    <mergeCell ref="B57:I57"/>
    <mergeCell ref="G58:I58"/>
    <mergeCell ref="B84:I84"/>
    <mergeCell ref="G76:I76"/>
    <mergeCell ref="B80:I80"/>
    <mergeCell ref="C92:D92"/>
    <mergeCell ref="E92:J92"/>
    <mergeCell ref="G85:I85"/>
    <mergeCell ref="E89:J89"/>
    <mergeCell ref="C89:D89"/>
    <mergeCell ref="E91:J91"/>
    <mergeCell ref="G81:I81"/>
    <mergeCell ref="C91:D91"/>
    <mergeCell ref="C90:D90"/>
    <mergeCell ref="E90:J90"/>
  </mergeCells>
  <phoneticPr fontId="24" type="noConversion"/>
  <dataValidations count="10"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51:T54">
      <formula1>$W$51:$W$54</formula1>
    </dataValidation>
    <dataValidation type="list" allowBlank="1" showInputMessage="1" showErrorMessage="1" sqref="P58:T68">
      <formula1>$X$58:$X$98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B1:BB98"/>
  <sheetViews>
    <sheetView topLeftCell="A43" zoomScale="70" zoomScaleNormal="70" workbookViewId="0">
      <selection activeCell="P58" sqref="P58:T68"/>
    </sheetView>
  </sheetViews>
  <sheetFormatPr defaultRowHeight="15" outlineLevelCol="2"/>
  <cols>
    <col min="1" max="1" width="3.42578125" customWidth="1"/>
    <col min="2" max="2" width="3.5703125" bestFit="1" customWidth="1"/>
    <col min="3" max="3" width="8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204" t="s">
        <v>145</v>
      </c>
      <c r="D3" s="145" t="s">
        <v>231</v>
      </c>
      <c r="E3" s="145"/>
      <c r="F3" s="145"/>
      <c r="N3" t="str">
        <f>D3</f>
        <v>Yvonne J.</v>
      </c>
      <c r="O3" s="144">
        <f>SUM(P3:S3)</f>
        <v>454</v>
      </c>
      <c r="P3" s="109">
        <f>SUM(Y8:Y86)</f>
        <v>209</v>
      </c>
      <c r="Q3" s="109">
        <f>SUM(AM4:AM55)</f>
        <v>180</v>
      </c>
      <c r="R3" s="109">
        <f>SUM(AP89:AP92)</f>
        <v>35</v>
      </c>
      <c r="S3" s="109">
        <f>SUM(BB58:BB69)</f>
        <v>30</v>
      </c>
      <c r="T3" s="109">
        <f>COUNTIF(AF8:AF86,10)</f>
        <v>5</v>
      </c>
      <c r="U3" s="109" t="str">
        <f>E89</f>
        <v>Brazilië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1"/>
      <c r="L6" s="1"/>
      <c r="O6" s="40"/>
      <c r="P6" s="41"/>
      <c r="Q6" s="41"/>
      <c r="R6" s="41"/>
      <c r="S6" s="41"/>
      <c r="T6" s="41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66" t="s">
        <v>1</v>
      </c>
      <c r="C7" s="121" t="s">
        <v>2</v>
      </c>
      <c r="D7" s="196" t="s">
        <v>3</v>
      </c>
      <c r="E7" s="69"/>
      <c r="F7" s="197" t="s">
        <v>4</v>
      </c>
      <c r="G7" s="880" t="s">
        <v>5</v>
      </c>
      <c r="H7" s="881"/>
      <c r="I7" s="882"/>
      <c r="J7" s="71" t="s">
        <v>6</v>
      </c>
      <c r="K7" s="4" t="s">
        <v>7</v>
      </c>
      <c r="L7" s="4" t="s">
        <v>7</v>
      </c>
      <c r="O7" s="1"/>
      <c r="P7" s="41"/>
      <c r="Q7" s="41"/>
      <c r="R7" s="41"/>
      <c r="S7" s="41"/>
      <c r="T7" s="41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5">
        <v>1</v>
      </c>
      <c r="C8" s="205">
        <v>41802</v>
      </c>
      <c r="D8" s="7" t="s">
        <v>8</v>
      </c>
      <c r="E8" s="8" t="s">
        <v>9</v>
      </c>
      <c r="F8" s="9" t="s">
        <v>10</v>
      </c>
      <c r="G8" s="84">
        <v>4</v>
      </c>
      <c r="H8" s="8" t="s">
        <v>9</v>
      </c>
      <c r="I8" s="192">
        <v>1</v>
      </c>
      <c r="J8" s="10">
        <f t="shared" ref="J8:J55" si="0">IF(I8="","",IF(G8&gt;I8,1,IF(G8&lt;I8,2,3)))</f>
        <v>1</v>
      </c>
      <c r="K8" s="11">
        <f t="shared" ref="K8:K55" si="1">IF(I8="","",IF($G8&gt;$I8,3,IF($G8=$I8,1,0)))</f>
        <v>3</v>
      </c>
      <c r="L8" s="11">
        <f t="shared" ref="L8:L55" si="2">IF(I8="","",IF($G8&lt;$I8,3,IF($G8=$I8,1,0)))</f>
        <v>0</v>
      </c>
      <c r="O8" s="72" t="s">
        <v>41</v>
      </c>
      <c r="P8" s="73" t="s">
        <v>42</v>
      </c>
      <c r="Q8" s="73" t="s">
        <v>43</v>
      </c>
      <c r="R8" s="74" t="s">
        <v>44</v>
      </c>
      <c r="S8" s="75" t="s">
        <v>45</v>
      </c>
      <c r="T8" s="76" t="s">
        <v>46</v>
      </c>
      <c r="U8" s="40"/>
      <c r="V8" s="40"/>
      <c r="W8" s="40"/>
      <c r="Y8" s="109">
        <f>AF8</f>
        <v>6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6</v>
      </c>
      <c r="AG8" s="108">
        <f t="shared" ref="AG8:AG55" si="3">IF(AC8="",0,(IF(G8=AC8,1,0)))</f>
        <v>0</v>
      </c>
      <c r="AH8" s="108">
        <f t="shared" ref="AH8:AH55" si="4">IF(AD8="",0,(IF(I8=AD8,1,0)))</f>
        <v>1</v>
      </c>
      <c r="AI8" s="108">
        <f>IF(AND(AG8=1,AH8=1),10,0)</f>
        <v>0</v>
      </c>
      <c r="AJ8" s="108">
        <f t="shared" ref="AJ8:AJ55" si="5">IF(AND(G8&gt;I8,AC8&gt;AD8),5,0)</f>
        <v>5</v>
      </c>
      <c r="AK8" s="108">
        <f t="shared" ref="AK8:AK55" si="6">IF(AND(G8&lt;I8,AC8&lt;AD8),5,0)</f>
        <v>0</v>
      </c>
      <c r="AL8" s="108">
        <f t="shared" ref="AL8:AL55" si="7">IF(AND(G8=I8,AC8=AD8),5,0)</f>
        <v>0</v>
      </c>
      <c r="AN8" s="42" t="s">
        <v>41</v>
      </c>
      <c r="AO8" s="43" t="s">
        <v>46</v>
      </c>
    </row>
    <row r="9" spans="2:54" ht="15.75" thickBot="1">
      <c r="B9" s="12">
        <v>2</v>
      </c>
      <c r="C9" s="206">
        <v>41803</v>
      </c>
      <c r="D9" s="14" t="s">
        <v>11</v>
      </c>
      <c r="E9" s="15" t="s">
        <v>9</v>
      </c>
      <c r="F9" s="16" t="s">
        <v>12</v>
      </c>
      <c r="G9" s="85">
        <v>2</v>
      </c>
      <c r="H9" s="15" t="s">
        <v>9</v>
      </c>
      <c r="I9" s="90">
        <v>0</v>
      </c>
      <c r="J9" s="17">
        <f t="shared" si="0"/>
        <v>1</v>
      </c>
      <c r="K9" s="11">
        <f t="shared" si="1"/>
        <v>3</v>
      </c>
      <c r="L9" s="11">
        <f t="shared" si="2"/>
        <v>0</v>
      </c>
      <c r="O9" s="44" t="s">
        <v>8</v>
      </c>
      <c r="P9" s="45">
        <f>SUMIF($D$8:$D$55,$O9,$G$8:$G$55)+SUMIF($F$8:$F$55,$O9,$I$8:$I$55)</f>
        <v>9</v>
      </c>
      <c r="Q9" s="45">
        <f>SUMIF($D$8:$D$55,$O9,$I$8:$I$55)+SUMIF($F$8:$F$55,$O9,$G$8:$G$55)</f>
        <v>2</v>
      </c>
      <c r="R9" s="46">
        <f>P9-Q9</f>
        <v>7</v>
      </c>
      <c r="S9" s="47">
        <f>SUMIF($D$8:$D$55,$O9,$K$8:$K$55)+SUMIF($F$8:$F$55,$O9,$L$8:$L$55)</f>
        <v>9</v>
      </c>
      <c r="T9" s="94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6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6</v>
      </c>
      <c r="AG9" s="108">
        <f t="shared" si="3"/>
        <v>0</v>
      </c>
      <c r="AH9" s="108">
        <f t="shared" si="4"/>
        <v>1</v>
      </c>
      <c r="AI9" s="108">
        <f t="shared" ref="AI9:AI55" si="10">IF(AND(AG9=1,AH9=1),10,0)</f>
        <v>0</v>
      </c>
      <c r="AJ9" s="108">
        <f t="shared" si="5"/>
        <v>5</v>
      </c>
      <c r="AK9" s="108">
        <f t="shared" si="6"/>
        <v>0</v>
      </c>
      <c r="AL9" s="108">
        <f t="shared" si="7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18">
        <v>3</v>
      </c>
      <c r="C10" s="207">
        <v>41803</v>
      </c>
      <c r="D10" s="20" t="s">
        <v>13</v>
      </c>
      <c r="E10" s="21" t="s">
        <v>9</v>
      </c>
      <c r="F10" s="22" t="s">
        <v>14</v>
      </c>
      <c r="G10" s="86">
        <v>3</v>
      </c>
      <c r="H10" s="21" t="s">
        <v>9</v>
      </c>
      <c r="I10" s="91">
        <v>2</v>
      </c>
      <c r="J10" s="23">
        <f t="shared" si="0"/>
        <v>1</v>
      </c>
      <c r="K10" s="11">
        <f t="shared" si="1"/>
        <v>3</v>
      </c>
      <c r="L10" s="11">
        <f t="shared" si="2"/>
        <v>0</v>
      </c>
      <c r="O10" s="48" t="s">
        <v>10</v>
      </c>
      <c r="P10" s="49">
        <f>SUMIF($D$8:$D$55,$O10,$G$8:$G$55)+SUMIF($F$8:$F$55,$O10,$I$8:$I$55)</f>
        <v>2</v>
      </c>
      <c r="Q10" s="49">
        <f>SUMIF($D$8:$D$55,$O10,$I$8:$I$55)+SUMIF($F$8:$F$55,$O10,$G$8:$G$55)</f>
        <v>6</v>
      </c>
      <c r="R10" s="49">
        <f>P10-Q10</f>
        <v>-4</v>
      </c>
      <c r="S10" s="50">
        <f>SUMIF($D$8:$D$55,$O10,$K$8:$K$55)+SUMIF($F$8:$F$55,$O10,$L$8:$L$55)</f>
        <v>3</v>
      </c>
      <c r="T10" s="95" t="s">
        <v>47</v>
      </c>
      <c r="U10" s="40"/>
      <c r="V10" s="40" t="str">
        <f>O10</f>
        <v>Kroatië</v>
      </c>
      <c r="W10" s="40" t="s">
        <v>49</v>
      </c>
      <c r="Y10" s="109">
        <f t="shared" si="8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0</v>
      </c>
      <c r="AG10" s="108">
        <f t="shared" si="3"/>
        <v>0</v>
      </c>
      <c r="AH10" s="108">
        <f t="shared" si="4"/>
        <v>0</v>
      </c>
      <c r="AI10" s="108">
        <f t="shared" si="10"/>
        <v>0</v>
      </c>
      <c r="AJ10" s="108">
        <f t="shared" si="5"/>
        <v>0</v>
      </c>
      <c r="AK10" s="108">
        <f t="shared" si="6"/>
        <v>0</v>
      </c>
      <c r="AL10" s="108">
        <f t="shared" si="7"/>
        <v>0</v>
      </c>
      <c r="AM10" s="120">
        <f>AO10</f>
        <v>10</v>
      </c>
      <c r="AN10" s="117" t="s">
        <v>10</v>
      </c>
      <c r="AO10" s="115">
        <f>IF(Uitslag!T10="",0,IF(T10=Uitslag!T10,10,0))</f>
        <v>10</v>
      </c>
    </row>
    <row r="11" spans="2:54" ht="15.75" thickBot="1">
      <c r="B11" s="24">
        <v>4</v>
      </c>
      <c r="C11" s="208">
        <v>41803</v>
      </c>
      <c r="D11" s="26" t="s">
        <v>15</v>
      </c>
      <c r="E11" s="27" t="s">
        <v>9</v>
      </c>
      <c r="F11" s="28" t="s">
        <v>16</v>
      </c>
      <c r="G11" s="87">
        <v>0</v>
      </c>
      <c r="H11" s="27" t="s">
        <v>9</v>
      </c>
      <c r="I11" s="92">
        <v>1</v>
      </c>
      <c r="J11" s="29">
        <f t="shared" si="0"/>
        <v>2</v>
      </c>
      <c r="K11" s="11">
        <f t="shared" si="1"/>
        <v>0</v>
      </c>
      <c r="L11" s="11">
        <f t="shared" si="2"/>
        <v>3</v>
      </c>
      <c r="O11" s="48" t="s">
        <v>11</v>
      </c>
      <c r="P11" s="49">
        <f>SUMIF($D$8:$D$55,$O11,$G$8:$G$55)+SUMIF($F$8:$F$55,$O11,$I$8:$I$55)</f>
        <v>5</v>
      </c>
      <c r="Q11" s="49">
        <f>SUMIF($D$8:$D$55,$O11,$I$8:$I$55)+SUMIF($F$8:$F$55,$O11,$G$8:$G$55)</f>
        <v>2</v>
      </c>
      <c r="R11" s="49">
        <f>P11-Q11</f>
        <v>3</v>
      </c>
      <c r="S11" s="50">
        <f>SUMIF($D$8:$D$55,$O11,$K$8:$K$55)+SUMIF($F$8:$F$55,$O11,$L$8:$L$55)</f>
        <v>6</v>
      </c>
      <c r="T11" s="95" t="s">
        <v>49</v>
      </c>
      <c r="U11" s="40"/>
      <c r="V11" s="40" t="str">
        <f>O11</f>
        <v>Mexico</v>
      </c>
      <c r="W11" s="40" t="s">
        <v>47</v>
      </c>
      <c r="Y11" s="109">
        <f t="shared" si="8"/>
        <v>1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1</v>
      </c>
      <c r="AG11" s="108">
        <f t="shared" si="3"/>
        <v>0</v>
      </c>
      <c r="AH11" s="108">
        <f t="shared" si="4"/>
        <v>1</v>
      </c>
      <c r="AI11" s="108">
        <f t="shared" si="10"/>
        <v>0</v>
      </c>
      <c r="AJ11" s="108">
        <f t="shared" si="5"/>
        <v>0</v>
      </c>
      <c r="AK11" s="108">
        <f t="shared" si="6"/>
        <v>0</v>
      </c>
      <c r="AL11" s="108">
        <f t="shared" si="7"/>
        <v>0</v>
      </c>
      <c r="AM11" s="120">
        <f>AO11</f>
        <v>10</v>
      </c>
      <c r="AN11" s="117" t="s">
        <v>11</v>
      </c>
      <c r="AO11" s="115">
        <f>IF(Uitslag!T11="",0,IF(T11=Uitslag!T11,10,0))</f>
        <v>10</v>
      </c>
    </row>
    <row r="12" spans="2:54" ht="15.75" thickBot="1">
      <c r="B12" s="12">
        <v>5</v>
      </c>
      <c r="C12" s="206">
        <v>41804</v>
      </c>
      <c r="D12" s="14" t="s">
        <v>17</v>
      </c>
      <c r="E12" s="15" t="s">
        <v>9</v>
      </c>
      <c r="F12" s="16" t="s">
        <v>18</v>
      </c>
      <c r="G12" s="85">
        <v>0</v>
      </c>
      <c r="H12" s="15" t="s">
        <v>9</v>
      </c>
      <c r="I12" s="90">
        <v>0</v>
      </c>
      <c r="J12" s="17">
        <f t="shared" si="0"/>
        <v>3</v>
      </c>
      <c r="K12" s="11">
        <f t="shared" si="1"/>
        <v>1</v>
      </c>
      <c r="L12" s="11">
        <f t="shared" si="2"/>
        <v>1</v>
      </c>
      <c r="O12" s="51" t="s">
        <v>12</v>
      </c>
      <c r="P12" s="52">
        <f>SUMIF($D$8:$D$55,$O12,$G$8:$G$55)+SUMIF($F$8:$F$55,$O12,$I$8:$I$55)</f>
        <v>0</v>
      </c>
      <c r="Q12" s="52">
        <f>SUMIF($D$8:$D$55,$O12,$I$8:$I$55)+SUMIF($F$8:$F$55,$O12,$G$8:$G$55)</f>
        <v>6</v>
      </c>
      <c r="R12" s="52">
        <f>P12-Q12</f>
        <v>-6</v>
      </c>
      <c r="S12" s="53">
        <f>SUMIF($D$8:$D$55,$O12,$K$8:$K$55)+SUMIF($F$8:$F$55,$O12,$L$8:$L$55)</f>
        <v>0</v>
      </c>
      <c r="T12" s="96" t="s">
        <v>50</v>
      </c>
      <c r="U12" s="40"/>
      <c r="V12" s="40" t="str">
        <f>O12</f>
        <v>Kameroen</v>
      </c>
      <c r="W12" s="40" t="s">
        <v>50</v>
      </c>
      <c r="Y12" s="109">
        <f t="shared" si="8"/>
        <v>1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1</v>
      </c>
      <c r="AG12" s="108">
        <f t="shared" si="3"/>
        <v>0</v>
      </c>
      <c r="AH12" s="108">
        <f t="shared" si="4"/>
        <v>1</v>
      </c>
      <c r="AI12" s="108">
        <f t="shared" si="10"/>
        <v>0</v>
      </c>
      <c r="AJ12" s="108">
        <f t="shared" si="5"/>
        <v>0</v>
      </c>
      <c r="AK12" s="108">
        <f t="shared" si="6"/>
        <v>0</v>
      </c>
      <c r="AL12" s="108">
        <f t="shared" si="7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18">
        <v>6</v>
      </c>
      <c r="C13" s="207">
        <v>41804</v>
      </c>
      <c r="D13" s="20" t="s">
        <v>19</v>
      </c>
      <c r="E13" s="21" t="s">
        <v>9</v>
      </c>
      <c r="F13" s="30" t="s">
        <v>20</v>
      </c>
      <c r="G13" s="86">
        <v>1</v>
      </c>
      <c r="H13" s="21" t="s">
        <v>9</v>
      </c>
      <c r="I13" s="91">
        <v>0</v>
      </c>
      <c r="J13" s="23">
        <f t="shared" si="0"/>
        <v>1</v>
      </c>
      <c r="K13" s="11">
        <f t="shared" si="1"/>
        <v>3</v>
      </c>
      <c r="L13" s="11">
        <f t="shared" si="2"/>
        <v>0</v>
      </c>
      <c r="O13" s="40"/>
      <c r="P13" s="41"/>
      <c r="Q13" s="41"/>
      <c r="R13" s="41"/>
      <c r="S13" s="41"/>
      <c r="T13" s="41"/>
      <c r="U13" s="40"/>
      <c r="V13" s="40"/>
      <c r="W13" s="40"/>
      <c r="Y13" s="109">
        <f t="shared" si="8"/>
        <v>1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1</v>
      </c>
      <c r="AG13" s="108">
        <f t="shared" si="3"/>
        <v>1</v>
      </c>
      <c r="AH13" s="108">
        <f t="shared" si="4"/>
        <v>0</v>
      </c>
      <c r="AI13" s="108">
        <f t="shared" si="10"/>
        <v>0</v>
      </c>
      <c r="AJ13" s="108">
        <f t="shared" si="5"/>
        <v>0</v>
      </c>
      <c r="AK13" s="108">
        <f t="shared" si="6"/>
        <v>0</v>
      </c>
      <c r="AL13" s="108">
        <f t="shared" si="7"/>
        <v>0</v>
      </c>
      <c r="AN13" s="40"/>
      <c r="AO13" s="41"/>
    </row>
    <row r="14" spans="2:54" ht="15.75" thickBot="1">
      <c r="B14" s="18">
        <v>7</v>
      </c>
      <c r="C14" s="207">
        <v>41804</v>
      </c>
      <c r="D14" s="20" t="s">
        <v>21</v>
      </c>
      <c r="E14" s="21" t="s">
        <v>9</v>
      </c>
      <c r="F14" s="30" t="s">
        <v>22</v>
      </c>
      <c r="G14" s="86">
        <v>2</v>
      </c>
      <c r="H14" s="21" t="s">
        <v>9</v>
      </c>
      <c r="I14" s="91">
        <v>2</v>
      </c>
      <c r="J14" s="23">
        <f t="shared" si="0"/>
        <v>3</v>
      </c>
      <c r="K14" s="11">
        <f t="shared" si="1"/>
        <v>1</v>
      </c>
      <c r="L14" s="11">
        <f t="shared" si="2"/>
        <v>1</v>
      </c>
      <c r="O14" s="72" t="s">
        <v>51</v>
      </c>
      <c r="P14" s="73" t="s">
        <v>42</v>
      </c>
      <c r="Q14" s="73" t="s">
        <v>43</v>
      </c>
      <c r="R14" s="74" t="s">
        <v>44</v>
      </c>
      <c r="S14" s="75" t="s">
        <v>45</v>
      </c>
      <c r="T14" s="76" t="s">
        <v>46</v>
      </c>
      <c r="U14" s="40"/>
      <c r="V14" s="40"/>
      <c r="W14" s="40"/>
      <c r="Y14" s="109">
        <f t="shared" si="8"/>
        <v>1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</v>
      </c>
      <c r="AG14" s="108">
        <f t="shared" si="3"/>
        <v>0</v>
      </c>
      <c r="AH14" s="108">
        <f t="shared" si="4"/>
        <v>1</v>
      </c>
      <c r="AI14" s="108">
        <f t="shared" si="10"/>
        <v>0</v>
      </c>
      <c r="AJ14" s="108">
        <f t="shared" si="5"/>
        <v>0</v>
      </c>
      <c r="AK14" s="108">
        <f t="shared" si="6"/>
        <v>0</v>
      </c>
      <c r="AL14" s="108">
        <f t="shared" si="7"/>
        <v>0</v>
      </c>
      <c r="AN14" s="42" t="s">
        <v>51</v>
      </c>
      <c r="AO14" s="43" t="s">
        <v>46</v>
      </c>
    </row>
    <row r="15" spans="2:54" ht="15.75" thickBot="1">
      <c r="B15" s="24">
        <v>8</v>
      </c>
      <c r="C15" s="208">
        <v>41804</v>
      </c>
      <c r="D15" s="26" t="s">
        <v>23</v>
      </c>
      <c r="E15" s="27" t="s">
        <v>9</v>
      </c>
      <c r="F15" s="28" t="s">
        <v>24</v>
      </c>
      <c r="G15" s="87">
        <v>0</v>
      </c>
      <c r="H15" s="27" t="s">
        <v>9</v>
      </c>
      <c r="I15" s="92">
        <v>0</v>
      </c>
      <c r="J15" s="29">
        <f t="shared" si="0"/>
        <v>3</v>
      </c>
      <c r="K15" s="11">
        <f t="shared" si="1"/>
        <v>1</v>
      </c>
      <c r="L15" s="11">
        <f t="shared" si="2"/>
        <v>1</v>
      </c>
      <c r="O15" s="44" t="s">
        <v>13</v>
      </c>
      <c r="P15" s="45">
        <f>SUMIF($D$8:$D$55,$O15,$G$8:$G$55)+SUMIF($F$8:$F$55,$O15,$I$8:$I$55)</f>
        <v>10</v>
      </c>
      <c r="Q15" s="45">
        <f>SUMIF($D$8:$D$55,$O15,$I$8:$I$55)+SUMIF($F$8:$F$55,$O15,$G$8:$G$55)</f>
        <v>3</v>
      </c>
      <c r="R15" s="46">
        <f>P15-Q15</f>
        <v>7</v>
      </c>
      <c r="S15" s="47">
        <f>SUMIF($D$8:$D$55,$O15,$K$8:$K$55)+SUMIF($F$8:$F$55,$O15,$L$8:$L$55)</f>
        <v>9</v>
      </c>
      <c r="T15" s="94" t="s">
        <v>52</v>
      </c>
      <c r="U15" s="40"/>
      <c r="V15" s="40" t="str">
        <f>O15</f>
        <v>Spanje</v>
      </c>
      <c r="W15" s="40" t="s">
        <v>52</v>
      </c>
      <c r="Y15" s="109">
        <f t="shared" si="8"/>
        <v>0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0</v>
      </c>
      <c r="AG15" s="108">
        <f t="shared" si="3"/>
        <v>0</v>
      </c>
      <c r="AH15" s="108">
        <f t="shared" si="4"/>
        <v>0</v>
      </c>
      <c r="AI15" s="108">
        <f t="shared" si="10"/>
        <v>0</v>
      </c>
      <c r="AJ15" s="108">
        <f t="shared" si="5"/>
        <v>0</v>
      </c>
      <c r="AK15" s="108">
        <f t="shared" si="6"/>
        <v>0</v>
      </c>
      <c r="AL15" s="108">
        <f t="shared" si="7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12">
        <v>9</v>
      </c>
      <c r="C16" s="206">
        <v>41805</v>
      </c>
      <c r="D16" s="14" t="s">
        <v>25</v>
      </c>
      <c r="E16" s="15" t="s">
        <v>9</v>
      </c>
      <c r="F16" s="16" t="s">
        <v>26</v>
      </c>
      <c r="G16" s="85">
        <v>1</v>
      </c>
      <c r="H16" s="15" t="s">
        <v>9</v>
      </c>
      <c r="I16" s="90">
        <v>1</v>
      </c>
      <c r="J16" s="17">
        <f t="shared" si="0"/>
        <v>3</v>
      </c>
      <c r="K16" s="11">
        <f t="shared" si="1"/>
        <v>1</v>
      </c>
      <c r="L16" s="11">
        <f t="shared" si="2"/>
        <v>1</v>
      </c>
      <c r="O16" s="54" t="s">
        <v>14</v>
      </c>
      <c r="P16" s="49">
        <f>SUMIF($D$8:$D$55,$O16,$G$8:$G$55)+SUMIF($F$8:$F$55,$O16,$I$8:$I$55)</f>
        <v>8</v>
      </c>
      <c r="Q16" s="49">
        <f>SUMIF($D$8:$D$55,$O16,$I$8:$I$55)+SUMIF($F$8:$F$55,$O16,$G$8:$G$55)</f>
        <v>5</v>
      </c>
      <c r="R16" s="49">
        <f>P16-Q16</f>
        <v>3</v>
      </c>
      <c r="S16" s="50">
        <f>SUMIF($D$8:$D$55,$O16,$K$8:$K$55)+SUMIF($F$8:$F$55,$O16,$L$8:$L$55)</f>
        <v>6</v>
      </c>
      <c r="T16" s="95" t="s">
        <v>53</v>
      </c>
      <c r="U16" s="40"/>
      <c r="V16" s="40" t="str">
        <f>O16</f>
        <v>Nederland</v>
      </c>
      <c r="W16" s="40" t="s">
        <v>53</v>
      </c>
      <c r="Y16" s="109">
        <f t="shared" si="8"/>
        <v>1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1</v>
      </c>
      <c r="AG16" s="108">
        <f t="shared" si="3"/>
        <v>0</v>
      </c>
      <c r="AH16" s="108">
        <f t="shared" si="4"/>
        <v>1</v>
      </c>
      <c r="AI16" s="108">
        <f t="shared" si="10"/>
        <v>0</v>
      </c>
      <c r="AJ16" s="108">
        <f t="shared" si="5"/>
        <v>0</v>
      </c>
      <c r="AK16" s="108">
        <f t="shared" si="6"/>
        <v>0</v>
      </c>
      <c r="AL16" s="108">
        <f t="shared" si="7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18">
        <v>10</v>
      </c>
      <c r="C17" s="207">
        <v>41805</v>
      </c>
      <c r="D17" s="20" t="s">
        <v>27</v>
      </c>
      <c r="E17" s="21" t="s">
        <v>9</v>
      </c>
      <c r="F17" s="30" t="s">
        <v>28</v>
      </c>
      <c r="G17" s="86">
        <v>2</v>
      </c>
      <c r="H17" s="21" t="s">
        <v>9</v>
      </c>
      <c r="I17" s="91">
        <v>0</v>
      </c>
      <c r="J17" s="23">
        <f t="shared" si="0"/>
        <v>1</v>
      </c>
      <c r="K17" s="11">
        <f t="shared" si="1"/>
        <v>3</v>
      </c>
      <c r="L17" s="11">
        <f t="shared" si="2"/>
        <v>0</v>
      </c>
      <c r="O17" s="48" t="s">
        <v>15</v>
      </c>
      <c r="P17" s="49">
        <f>SUMIF($D$8:$D$55,$O17,$G$8:$G$55)+SUMIF($F$8:$F$55,$O17,$I$8:$I$55)</f>
        <v>1</v>
      </c>
      <c r="Q17" s="49">
        <f>SUMIF($D$8:$D$55,$O17,$I$8:$I$55)+SUMIF($F$8:$F$55,$O17,$G$8:$G$55)</f>
        <v>9</v>
      </c>
      <c r="R17" s="49">
        <f>P17-Q17</f>
        <v>-8</v>
      </c>
      <c r="S17" s="50">
        <f>SUMIF($D$8:$D$55,$O17,$K$8:$K$55)+SUMIF($F$8:$F$55,$O17,$L$8:$L$55)</f>
        <v>0</v>
      </c>
      <c r="T17" s="95" t="s">
        <v>55</v>
      </c>
      <c r="U17" s="40"/>
      <c r="V17" s="40" t="str">
        <f>O17</f>
        <v>Chili</v>
      </c>
      <c r="W17" s="40" t="s">
        <v>54</v>
      </c>
      <c r="Y17" s="109">
        <f t="shared" si="8"/>
        <v>6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6</v>
      </c>
      <c r="AG17" s="108">
        <f t="shared" si="3"/>
        <v>0</v>
      </c>
      <c r="AH17" s="108">
        <f t="shared" si="4"/>
        <v>1</v>
      </c>
      <c r="AI17" s="108">
        <f t="shared" si="10"/>
        <v>0</v>
      </c>
      <c r="AJ17" s="108">
        <f t="shared" si="5"/>
        <v>5</v>
      </c>
      <c r="AK17" s="108">
        <f t="shared" si="6"/>
        <v>0</v>
      </c>
      <c r="AL17" s="108">
        <f t="shared" si="7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24">
        <v>11</v>
      </c>
      <c r="C18" s="208">
        <v>41805</v>
      </c>
      <c r="D18" s="26" t="s">
        <v>29</v>
      </c>
      <c r="E18" s="27" t="s">
        <v>9</v>
      </c>
      <c r="F18" s="28" t="s">
        <v>30</v>
      </c>
      <c r="G18" s="87">
        <v>3</v>
      </c>
      <c r="H18" s="27" t="s">
        <v>9</v>
      </c>
      <c r="I18" s="92">
        <v>0</v>
      </c>
      <c r="J18" s="29">
        <f t="shared" si="0"/>
        <v>1</v>
      </c>
      <c r="K18" s="11">
        <f t="shared" si="1"/>
        <v>3</v>
      </c>
      <c r="L18" s="11">
        <f t="shared" si="2"/>
        <v>0</v>
      </c>
      <c r="O18" s="51" t="s">
        <v>16</v>
      </c>
      <c r="P18" s="52">
        <f>SUMIF($D$8:$D$55,$O18,$G$8:$G$55)+SUMIF($F$8:$F$55,$O18,$I$8:$I$55)</f>
        <v>3</v>
      </c>
      <c r="Q18" s="52">
        <f>SUMIF($D$8:$D$55,$O18,$I$8:$I$55)+SUMIF($F$8:$F$55,$O18,$G$8:$G$55)</f>
        <v>5</v>
      </c>
      <c r="R18" s="52">
        <f>P18-Q18</f>
        <v>-2</v>
      </c>
      <c r="S18" s="53">
        <f>SUMIF($D$8:$D$55,$O18,$K$8:$K$55)+SUMIF($F$8:$F$55,$O18,$L$8:$L$55)</f>
        <v>3</v>
      </c>
      <c r="T18" s="96" t="s">
        <v>54</v>
      </c>
      <c r="U18" s="40"/>
      <c r="V18" s="40" t="str">
        <f>O18</f>
        <v>Australië</v>
      </c>
      <c r="W18" s="40" t="s">
        <v>55</v>
      </c>
      <c r="Y18" s="109">
        <f t="shared" si="8"/>
        <v>5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5</v>
      </c>
      <c r="AG18" s="108">
        <f t="shared" si="3"/>
        <v>0</v>
      </c>
      <c r="AH18" s="108">
        <f t="shared" si="4"/>
        <v>0</v>
      </c>
      <c r="AI18" s="108">
        <f t="shared" si="10"/>
        <v>0</v>
      </c>
      <c r="AJ18" s="108">
        <f t="shared" si="5"/>
        <v>5</v>
      </c>
      <c r="AK18" s="108">
        <f t="shared" si="6"/>
        <v>0</v>
      </c>
      <c r="AL18" s="108">
        <f t="shared" si="7"/>
        <v>0</v>
      </c>
      <c r="AM18" s="120">
        <f>AO18</f>
        <v>0</v>
      </c>
      <c r="AN18" s="118" t="s">
        <v>16</v>
      </c>
      <c r="AO18" s="115">
        <f>IF(Uitslag!T18="",0,IF(T18=Uitslag!T18,10,0))</f>
        <v>0</v>
      </c>
    </row>
    <row r="19" spans="2:41" ht="15.75" thickBot="1">
      <c r="B19" s="12">
        <v>12</v>
      </c>
      <c r="C19" s="206">
        <v>41806</v>
      </c>
      <c r="D19" s="14" t="s">
        <v>31</v>
      </c>
      <c r="E19" s="15" t="s">
        <v>9</v>
      </c>
      <c r="F19" s="16" t="s">
        <v>32</v>
      </c>
      <c r="G19" s="85">
        <v>3</v>
      </c>
      <c r="H19" s="15" t="s">
        <v>9</v>
      </c>
      <c r="I19" s="90">
        <v>2</v>
      </c>
      <c r="J19" s="17">
        <f t="shared" si="0"/>
        <v>1</v>
      </c>
      <c r="K19" s="11">
        <f t="shared" si="1"/>
        <v>3</v>
      </c>
      <c r="L19" s="11">
        <f t="shared" si="2"/>
        <v>0</v>
      </c>
      <c r="O19" s="40"/>
      <c r="P19" s="41"/>
      <c r="Q19" s="41"/>
      <c r="R19" s="41"/>
      <c r="S19" s="41"/>
      <c r="T19" s="41"/>
      <c r="U19" s="40"/>
      <c r="V19" s="40"/>
      <c r="W19" s="40"/>
      <c r="Y19" s="109">
        <f t="shared" si="8"/>
        <v>5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5</v>
      </c>
      <c r="AG19" s="108">
        <f t="shared" si="3"/>
        <v>0</v>
      </c>
      <c r="AH19" s="108">
        <f t="shared" si="4"/>
        <v>0</v>
      </c>
      <c r="AI19" s="108">
        <f t="shared" si="10"/>
        <v>0</v>
      </c>
      <c r="AJ19" s="108">
        <f t="shared" si="5"/>
        <v>5</v>
      </c>
      <c r="AK19" s="108">
        <f t="shared" si="6"/>
        <v>0</v>
      </c>
      <c r="AL19" s="108">
        <f t="shared" si="7"/>
        <v>0</v>
      </c>
      <c r="AN19" s="40"/>
      <c r="AO19" s="41"/>
    </row>
    <row r="20" spans="2:41" ht="15.75" thickBot="1">
      <c r="B20" s="18">
        <v>13</v>
      </c>
      <c r="C20" s="207">
        <v>41806</v>
      </c>
      <c r="D20" s="20" t="s">
        <v>33</v>
      </c>
      <c r="E20" s="21" t="s">
        <v>9</v>
      </c>
      <c r="F20" s="30" t="s">
        <v>34</v>
      </c>
      <c r="G20" s="86">
        <v>1</v>
      </c>
      <c r="H20" s="21" t="s">
        <v>9</v>
      </c>
      <c r="I20" s="91">
        <v>1</v>
      </c>
      <c r="J20" s="23">
        <f t="shared" si="0"/>
        <v>3</v>
      </c>
      <c r="K20" s="11">
        <f t="shared" si="1"/>
        <v>1</v>
      </c>
      <c r="L20" s="11">
        <f t="shared" si="2"/>
        <v>1</v>
      </c>
      <c r="O20" s="72" t="s">
        <v>56</v>
      </c>
      <c r="P20" s="73" t="s">
        <v>42</v>
      </c>
      <c r="Q20" s="73" t="s">
        <v>43</v>
      </c>
      <c r="R20" s="74" t="s">
        <v>44</v>
      </c>
      <c r="S20" s="75" t="s">
        <v>45</v>
      </c>
      <c r="T20" s="76" t="s">
        <v>46</v>
      </c>
      <c r="U20" s="40"/>
      <c r="V20" s="40"/>
      <c r="W20" s="40"/>
      <c r="Y20" s="109">
        <f t="shared" si="8"/>
        <v>5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5</v>
      </c>
      <c r="AG20" s="108">
        <f t="shared" si="3"/>
        <v>0</v>
      </c>
      <c r="AH20" s="108">
        <f t="shared" si="4"/>
        <v>0</v>
      </c>
      <c r="AI20" s="108">
        <f t="shared" si="10"/>
        <v>0</v>
      </c>
      <c r="AJ20" s="108">
        <f t="shared" si="5"/>
        <v>0</v>
      </c>
      <c r="AK20" s="108">
        <f t="shared" si="6"/>
        <v>0</v>
      </c>
      <c r="AL20" s="108">
        <f t="shared" si="7"/>
        <v>5</v>
      </c>
      <c r="AN20" s="42" t="s">
        <v>56</v>
      </c>
      <c r="AO20" s="43" t="s">
        <v>46</v>
      </c>
    </row>
    <row r="21" spans="2:41" ht="15.75" thickBot="1">
      <c r="B21" s="24">
        <v>14</v>
      </c>
      <c r="C21" s="208">
        <v>41806</v>
      </c>
      <c r="D21" s="26" t="s">
        <v>35</v>
      </c>
      <c r="E21" s="27" t="s">
        <v>9</v>
      </c>
      <c r="F21" s="28" t="s">
        <v>36</v>
      </c>
      <c r="G21" s="87">
        <v>0</v>
      </c>
      <c r="H21" s="27" t="s">
        <v>9</v>
      </c>
      <c r="I21" s="92">
        <v>2</v>
      </c>
      <c r="J21" s="29">
        <f t="shared" si="0"/>
        <v>2</v>
      </c>
      <c r="K21" s="11">
        <f t="shared" si="1"/>
        <v>0</v>
      </c>
      <c r="L21" s="11">
        <f t="shared" si="2"/>
        <v>3</v>
      </c>
      <c r="O21" s="44" t="s">
        <v>17</v>
      </c>
      <c r="P21" s="45">
        <f>SUMIF($D$8:$D$55,$O21,$G$8:$G$55)+SUMIF($F$8:$F$55,$O21,$I$8:$I$55)</f>
        <v>3</v>
      </c>
      <c r="Q21" s="45">
        <f>SUMIF($D$8:$D$55,$O21,$I$8:$I$55)+SUMIF($F$8:$F$55,$O21,$G$8:$G$55)</f>
        <v>1</v>
      </c>
      <c r="R21" s="46">
        <f>P21-Q21</f>
        <v>2</v>
      </c>
      <c r="S21" s="47">
        <f>SUMIF($D$8:$D$55,$O21,$K$8:$K$55)+SUMIF($F$8:$F$55,$O21,$L$8:$L$55)</f>
        <v>7</v>
      </c>
      <c r="T21" s="94" t="s">
        <v>57</v>
      </c>
      <c r="U21" s="40"/>
      <c r="V21" s="40" t="str">
        <f>O21</f>
        <v>Colombia</v>
      </c>
      <c r="W21" s="40" t="s">
        <v>57</v>
      </c>
      <c r="Y21" s="109">
        <f t="shared" si="8"/>
        <v>6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6</v>
      </c>
      <c r="AG21" s="108">
        <f t="shared" si="3"/>
        <v>0</v>
      </c>
      <c r="AH21" s="108">
        <f t="shared" si="4"/>
        <v>1</v>
      </c>
      <c r="AI21" s="108">
        <f t="shared" si="10"/>
        <v>0</v>
      </c>
      <c r="AJ21" s="108">
        <f t="shared" si="5"/>
        <v>0</v>
      </c>
      <c r="AK21" s="108">
        <f t="shared" si="6"/>
        <v>5</v>
      </c>
      <c r="AL21" s="108">
        <f t="shared" si="7"/>
        <v>0</v>
      </c>
      <c r="AM21" s="120">
        <f>AO21</f>
        <v>10</v>
      </c>
      <c r="AN21" s="116" t="s">
        <v>17</v>
      </c>
      <c r="AO21" s="115">
        <f>IF(Uitslag!T21="",0,IF(T21=Uitslag!T21,10,0))</f>
        <v>10</v>
      </c>
    </row>
    <row r="22" spans="2:41" ht="15.75" thickBot="1">
      <c r="B22" s="12">
        <v>15</v>
      </c>
      <c r="C22" s="206">
        <v>41807</v>
      </c>
      <c r="D22" s="14" t="s">
        <v>37</v>
      </c>
      <c r="E22" s="15" t="s">
        <v>9</v>
      </c>
      <c r="F22" s="16" t="s">
        <v>38</v>
      </c>
      <c r="G22" s="85">
        <v>1</v>
      </c>
      <c r="H22" s="15" t="s">
        <v>9</v>
      </c>
      <c r="I22" s="90">
        <v>0</v>
      </c>
      <c r="J22" s="17">
        <f t="shared" si="0"/>
        <v>1</v>
      </c>
      <c r="K22" s="11">
        <f t="shared" si="1"/>
        <v>3</v>
      </c>
      <c r="L22" s="11">
        <f t="shared" si="2"/>
        <v>0</v>
      </c>
      <c r="O22" s="48" t="s">
        <v>18</v>
      </c>
      <c r="P22" s="49">
        <f>SUMIF($D$8:$D$55,$O22,$G$8:$G$55)+SUMIF($F$8:$F$55,$O22,$I$8:$I$55)</f>
        <v>2</v>
      </c>
      <c r="Q22" s="49">
        <f>SUMIF($D$8:$D$55,$O22,$I$8:$I$55)+SUMIF($F$8:$F$55,$O22,$G$8:$G$55)</f>
        <v>1</v>
      </c>
      <c r="R22" s="49">
        <f>P22-Q22</f>
        <v>1</v>
      </c>
      <c r="S22" s="50">
        <f>SUMIF($D$8:$D$55,$O22,$K$8:$K$55)+SUMIF($F$8:$F$55,$O22,$L$8:$L$55)</f>
        <v>5</v>
      </c>
      <c r="T22" s="95" t="s">
        <v>58</v>
      </c>
      <c r="U22" s="40"/>
      <c r="V22" s="40" t="str">
        <f>O22</f>
        <v>Griekenland</v>
      </c>
      <c r="W22" s="40" t="s">
        <v>58</v>
      </c>
      <c r="Y22" s="109">
        <f t="shared" si="8"/>
        <v>5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5</v>
      </c>
      <c r="AG22" s="108">
        <f t="shared" si="3"/>
        <v>0</v>
      </c>
      <c r="AH22" s="108">
        <f t="shared" si="4"/>
        <v>0</v>
      </c>
      <c r="AI22" s="108">
        <f t="shared" si="10"/>
        <v>0</v>
      </c>
      <c r="AJ22" s="108">
        <f t="shared" si="5"/>
        <v>5</v>
      </c>
      <c r="AK22" s="108">
        <f t="shared" si="6"/>
        <v>0</v>
      </c>
      <c r="AL22" s="108">
        <f t="shared" si="7"/>
        <v>0</v>
      </c>
      <c r="AM22" s="120">
        <f>AO22</f>
        <v>10</v>
      </c>
      <c r="AN22" s="117" t="s">
        <v>18</v>
      </c>
      <c r="AO22" s="115">
        <f>IF(Uitslag!T22="",0,IF(T22=Uitslag!T22,10,0))</f>
        <v>10</v>
      </c>
    </row>
    <row r="23" spans="2:41" ht="15.75" thickBot="1">
      <c r="B23" s="18">
        <v>16</v>
      </c>
      <c r="C23" s="207">
        <v>41807</v>
      </c>
      <c r="D23" s="20" t="s">
        <v>8</v>
      </c>
      <c r="E23" s="21" t="s">
        <v>9</v>
      </c>
      <c r="F23" s="30" t="s">
        <v>11</v>
      </c>
      <c r="G23" s="86">
        <v>2</v>
      </c>
      <c r="H23" s="21" t="s">
        <v>9</v>
      </c>
      <c r="I23" s="91">
        <v>1</v>
      </c>
      <c r="J23" s="23">
        <f t="shared" si="0"/>
        <v>1</v>
      </c>
      <c r="K23" s="11">
        <f t="shared" si="1"/>
        <v>3</v>
      </c>
      <c r="L23" s="11">
        <f t="shared" si="2"/>
        <v>0</v>
      </c>
      <c r="O23" s="48" t="s">
        <v>23</v>
      </c>
      <c r="P23" s="49">
        <f>SUMIF($D$8:$D$55,$O23,$G$8:$G$55)+SUMIF($F$8:$F$55,$O23,$I$8:$I$55)</f>
        <v>2</v>
      </c>
      <c r="Q23" s="49">
        <f>SUMIF($D$8:$D$55,$O23,$I$8:$I$55)+SUMIF($F$8:$F$55,$O23,$G$8:$G$55)</f>
        <v>3</v>
      </c>
      <c r="R23" s="49">
        <f>P23-Q23</f>
        <v>-1</v>
      </c>
      <c r="S23" s="50">
        <f>SUMIF($D$8:$D$55,$O23,$K$8:$K$55)+SUMIF($F$8:$F$55,$O23,$L$8:$L$55)</f>
        <v>2</v>
      </c>
      <c r="T23" s="95" t="s">
        <v>59</v>
      </c>
      <c r="U23" s="40"/>
      <c r="V23" s="40" t="str">
        <f>O23</f>
        <v>Ivoorkust</v>
      </c>
      <c r="W23" s="40" t="s">
        <v>59</v>
      </c>
      <c r="Y23" s="109">
        <f t="shared" si="8"/>
        <v>0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0</v>
      </c>
      <c r="AG23" s="108">
        <f t="shared" si="3"/>
        <v>0</v>
      </c>
      <c r="AH23" s="108">
        <f t="shared" si="4"/>
        <v>0</v>
      </c>
      <c r="AI23" s="108">
        <f t="shared" si="10"/>
        <v>0</v>
      </c>
      <c r="AJ23" s="108">
        <f t="shared" si="5"/>
        <v>0</v>
      </c>
      <c r="AK23" s="108">
        <f t="shared" si="6"/>
        <v>0</v>
      </c>
      <c r="AL23" s="108">
        <f t="shared" si="7"/>
        <v>0</v>
      </c>
      <c r="AM23" s="120">
        <f>AO23</f>
        <v>10</v>
      </c>
      <c r="AN23" s="117" t="s">
        <v>23</v>
      </c>
      <c r="AO23" s="115">
        <f>IF(Uitslag!T23="",0,IF(T23=Uitslag!T23,10,0))</f>
        <v>10</v>
      </c>
    </row>
    <row r="24" spans="2:41" ht="15.75" thickBot="1">
      <c r="B24" s="24">
        <v>17</v>
      </c>
      <c r="C24" s="208">
        <v>41807</v>
      </c>
      <c r="D24" s="26" t="s">
        <v>39</v>
      </c>
      <c r="E24" s="27" t="s">
        <v>9</v>
      </c>
      <c r="F24" s="28" t="s">
        <v>40</v>
      </c>
      <c r="G24" s="87">
        <v>1</v>
      </c>
      <c r="H24" s="27" t="s">
        <v>9</v>
      </c>
      <c r="I24" s="92">
        <v>1</v>
      </c>
      <c r="J24" s="29">
        <f t="shared" si="0"/>
        <v>3</v>
      </c>
      <c r="K24" s="11">
        <f t="shared" si="1"/>
        <v>1</v>
      </c>
      <c r="L24" s="11">
        <f t="shared" si="2"/>
        <v>1</v>
      </c>
      <c r="O24" s="51" t="s">
        <v>24</v>
      </c>
      <c r="P24" s="52">
        <f>SUMIF($D$8:$D$55,$O24,$G$8:$G$55)+SUMIF($F$8:$F$55,$O24,$I$8:$I$55)</f>
        <v>0</v>
      </c>
      <c r="Q24" s="52">
        <f>SUMIF($D$8:$D$55,$O24,$I$8:$I$55)+SUMIF($F$8:$F$55,$O24,$G$8:$G$55)</f>
        <v>2</v>
      </c>
      <c r="R24" s="52">
        <f>P24-Q24</f>
        <v>-2</v>
      </c>
      <c r="S24" s="53">
        <f>SUMIF($D$8:$D$55,$O24,$K$8:$K$55)+SUMIF($F$8:$F$55,$O24,$L$8:$L$55)</f>
        <v>1</v>
      </c>
      <c r="T24" s="96" t="s">
        <v>60</v>
      </c>
      <c r="U24" s="40"/>
      <c r="V24" s="40" t="str">
        <f>O24</f>
        <v>Japan</v>
      </c>
      <c r="W24" s="40" t="s">
        <v>60</v>
      </c>
      <c r="Y24" s="109">
        <f t="shared" si="8"/>
        <v>10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10</v>
      </c>
      <c r="AG24" s="108">
        <f t="shared" si="3"/>
        <v>1</v>
      </c>
      <c r="AH24" s="108">
        <f t="shared" si="4"/>
        <v>1</v>
      </c>
      <c r="AI24" s="108">
        <f t="shared" si="10"/>
        <v>10</v>
      </c>
      <c r="AJ24" s="108">
        <f t="shared" si="5"/>
        <v>0</v>
      </c>
      <c r="AK24" s="108">
        <f t="shared" si="6"/>
        <v>0</v>
      </c>
      <c r="AL24" s="108">
        <f t="shared" si="7"/>
        <v>5</v>
      </c>
      <c r="AM24" s="120">
        <f>AO24</f>
        <v>10</v>
      </c>
      <c r="AN24" s="118" t="s">
        <v>24</v>
      </c>
      <c r="AO24" s="115">
        <f>IF(Uitslag!T24="",0,IF(T24=Uitslag!T24,10,0))</f>
        <v>10</v>
      </c>
    </row>
    <row r="25" spans="2:41" ht="15.75" thickBot="1">
      <c r="B25" s="12">
        <v>18</v>
      </c>
      <c r="C25" s="206">
        <v>41808</v>
      </c>
      <c r="D25" s="14" t="s">
        <v>16</v>
      </c>
      <c r="E25" s="15" t="s">
        <v>9</v>
      </c>
      <c r="F25" s="31" t="s">
        <v>14</v>
      </c>
      <c r="G25" s="85">
        <v>1</v>
      </c>
      <c r="H25" s="15" t="s">
        <v>9</v>
      </c>
      <c r="I25" s="90">
        <v>3</v>
      </c>
      <c r="J25" s="17">
        <f t="shared" si="0"/>
        <v>2</v>
      </c>
      <c r="K25" s="11">
        <f t="shared" si="1"/>
        <v>0</v>
      </c>
      <c r="L25" s="11">
        <f t="shared" si="2"/>
        <v>3</v>
      </c>
      <c r="O25" s="40"/>
      <c r="P25" s="41"/>
      <c r="Q25" s="41"/>
      <c r="R25" s="41"/>
      <c r="S25" s="41"/>
      <c r="T25" s="41"/>
      <c r="U25" s="40"/>
      <c r="V25" s="40"/>
      <c r="W25" s="40"/>
      <c r="Y25" s="109">
        <f t="shared" si="8"/>
        <v>6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6</v>
      </c>
      <c r="AG25" s="108">
        <f t="shared" si="3"/>
        <v>0</v>
      </c>
      <c r="AH25" s="108">
        <f t="shared" si="4"/>
        <v>1</v>
      </c>
      <c r="AI25" s="108">
        <f t="shared" si="10"/>
        <v>0</v>
      </c>
      <c r="AJ25" s="108">
        <f t="shared" si="5"/>
        <v>0</v>
      </c>
      <c r="AK25" s="108">
        <f t="shared" si="6"/>
        <v>5</v>
      </c>
      <c r="AL25" s="108">
        <f t="shared" si="7"/>
        <v>0</v>
      </c>
      <c r="AN25" s="40"/>
      <c r="AO25" s="41"/>
    </row>
    <row r="26" spans="2:41" ht="15.75" thickBot="1">
      <c r="B26" s="18">
        <v>19</v>
      </c>
      <c r="C26" s="207">
        <v>41808</v>
      </c>
      <c r="D26" s="20" t="s">
        <v>13</v>
      </c>
      <c r="E26" s="21" t="s">
        <v>9</v>
      </c>
      <c r="F26" s="30" t="s">
        <v>15</v>
      </c>
      <c r="G26" s="86">
        <v>5</v>
      </c>
      <c r="H26" s="21" t="s">
        <v>9</v>
      </c>
      <c r="I26" s="91">
        <v>0</v>
      </c>
      <c r="J26" s="23">
        <f t="shared" si="0"/>
        <v>1</v>
      </c>
      <c r="K26" s="11">
        <f t="shared" si="1"/>
        <v>3</v>
      </c>
      <c r="L26" s="11">
        <f t="shared" si="2"/>
        <v>0</v>
      </c>
      <c r="O26" s="72" t="s">
        <v>61</v>
      </c>
      <c r="P26" s="73" t="s">
        <v>42</v>
      </c>
      <c r="Q26" s="73" t="s">
        <v>43</v>
      </c>
      <c r="R26" s="74" t="s">
        <v>44</v>
      </c>
      <c r="S26" s="75" t="s">
        <v>45</v>
      </c>
      <c r="T26" s="76" t="s">
        <v>46</v>
      </c>
      <c r="U26" s="40"/>
      <c r="V26" s="40"/>
      <c r="W26" s="40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3"/>
        <v>0</v>
      </c>
      <c r="AH26" s="108">
        <f t="shared" si="4"/>
        <v>0</v>
      </c>
      <c r="AI26" s="108">
        <f t="shared" si="10"/>
        <v>0</v>
      </c>
      <c r="AJ26" s="108">
        <f t="shared" si="5"/>
        <v>0</v>
      </c>
      <c r="AK26" s="108">
        <f t="shared" si="6"/>
        <v>0</v>
      </c>
      <c r="AL26" s="108">
        <f t="shared" si="7"/>
        <v>0</v>
      </c>
      <c r="AN26" s="42" t="s">
        <v>61</v>
      </c>
      <c r="AO26" s="43" t="s">
        <v>46</v>
      </c>
    </row>
    <row r="27" spans="2:41" ht="15.75" thickBot="1">
      <c r="B27" s="24">
        <v>20</v>
      </c>
      <c r="C27" s="208">
        <v>41808</v>
      </c>
      <c r="D27" s="26" t="s">
        <v>12</v>
      </c>
      <c r="E27" s="27" t="s">
        <v>9</v>
      </c>
      <c r="F27" s="28" t="s">
        <v>10</v>
      </c>
      <c r="G27" s="87">
        <v>0</v>
      </c>
      <c r="H27" s="27" t="s">
        <v>9</v>
      </c>
      <c r="I27" s="92">
        <v>1</v>
      </c>
      <c r="J27" s="29">
        <f t="shared" si="0"/>
        <v>2</v>
      </c>
      <c r="K27" s="11">
        <f t="shared" si="1"/>
        <v>0</v>
      </c>
      <c r="L27" s="11">
        <f t="shared" si="2"/>
        <v>3</v>
      </c>
      <c r="O27" s="44" t="s">
        <v>19</v>
      </c>
      <c r="P27" s="45">
        <f>SUMIF($D$8:$D$55,$O27,$G$8:$G$55)+SUMIF($F$8:$F$55,$O27,$I$8:$I$55)</f>
        <v>3</v>
      </c>
      <c r="Q27" s="45">
        <f>SUMIF($D$8:$D$55,$O27,$I$8:$I$55)+SUMIF($F$8:$F$55,$O27,$G$8:$G$55)</f>
        <v>5</v>
      </c>
      <c r="R27" s="46">
        <f>P27-Q27</f>
        <v>-2</v>
      </c>
      <c r="S27" s="47">
        <f>SUMIF($D$8:$D$55,$O27,$K$8:$K$55)+SUMIF($F$8:$F$55,$O27,$L$8:$L$55)</f>
        <v>3</v>
      </c>
      <c r="T27" s="94" t="s">
        <v>64</v>
      </c>
      <c r="U27" s="40"/>
      <c r="V27" s="40" t="str">
        <f>O27</f>
        <v>Uruguay</v>
      </c>
      <c r="W27" s="40" t="s">
        <v>62</v>
      </c>
      <c r="Y27" s="109">
        <f t="shared" si="8"/>
        <v>6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6</v>
      </c>
      <c r="AG27" s="108">
        <f t="shared" si="3"/>
        <v>1</v>
      </c>
      <c r="AH27" s="108">
        <f t="shared" si="4"/>
        <v>0</v>
      </c>
      <c r="AI27" s="108">
        <f t="shared" si="10"/>
        <v>0</v>
      </c>
      <c r="AJ27" s="108">
        <f t="shared" si="5"/>
        <v>0</v>
      </c>
      <c r="AK27" s="108">
        <f t="shared" si="6"/>
        <v>5</v>
      </c>
      <c r="AL27" s="108">
        <f t="shared" si="7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12">
        <v>21</v>
      </c>
      <c r="C28" s="206">
        <v>41809</v>
      </c>
      <c r="D28" s="14" t="s">
        <v>17</v>
      </c>
      <c r="E28" s="15" t="s">
        <v>9</v>
      </c>
      <c r="F28" s="16" t="s">
        <v>23</v>
      </c>
      <c r="G28" s="85">
        <v>2</v>
      </c>
      <c r="H28" s="15" t="s">
        <v>9</v>
      </c>
      <c r="I28" s="90">
        <v>1</v>
      </c>
      <c r="J28" s="17">
        <f t="shared" si="0"/>
        <v>1</v>
      </c>
      <c r="K28" s="11">
        <f t="shared" si="1"/>
        <v>3</v>
      </c>
      <c r="L28" s="11">
        <f t="shared" si="2"/>
        <v>0</v>
      </c>
      <c r="O28" s="48" t="s">
        <v>20</v>
      </c>
      <c r="P28" s="49">
        <f>SUMIF($D$8:$D$55,$O28,$G$8:$G$55)+SUMIF($F$8:$F$55,$O28,$I$8:$I$55)</f>
        <v>3</v>
      </c>
      <c r="Q28" s="49">
        <f>SUMIF($D$8:$D$55,$O28,$I$8:$I$55)+SUMIF($F$8:$F$55,$O28,$G$8:$G$55)</f>
        <v>8</v>
      </c>
      <c r="R28" s="49">
        <f>P28-Q28</f>
        <v>-5</v>
      </c>
      <c r="S28" s="50">
        <f>SUMIF($D$8:$D$55,$O28,$K$8:$K$55)+SUMIF($F$8:$F$55,$O28,$L$8:$L$55)</f>
        <v>0</v>
      </c>
      <c r="T28" s="95" t="s">
        <v>65</v>
      </c>
      <c r="U28" s="40"/>
      <c r="V28" s="40" t="str">
        <f>O28</f>
        <v>Costa Rica</v>
      </c>
      <c r="W28" s="40" t="s">
        <v>63</v>
      </c>
      <c r="Y28" s="109">
        <f t="shared" si="8"/>
        <v>10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10</v>
      </c>
      <c r="AG28" s="108">
        <f t="shared" si="3"/>
        <v>1</v>
      </c>
      <c r="AH28" s="108">
        <f t="shared" si="4"/>
        <v>1</v>
      </c>
      <c r="AI28" s="108">
        <f t="shared" si="10"/>
        <v>10</v>
      </c>
      <c r="AJ28" s="108">
        <f t="shared" si="5"/>
        <v>5</v>
      </c>
      <c r="AK28" s="108">
        <f t="shared" si="6"/>
        <v>0</v>
      </c>
      <c r="AL28" s="108">
        <f t="shared" si="7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18">
        <v>22</v>
      </c>
      <c r="C29" s="207">
        <v>41809</v>
      </c>
      <c r="D29" s="20" t="s">
        <v>19</v>
      </c>
      <c r="E29" s="21" t="s">
        <v>9</v>
      </c>
      <c r="F29" s="30" t="s">
        <v>21</v>
      </c>
      <c r="G29" s="86">
        <v>1</v>
      </c>
      <c r="H29" s="21" t="s">
        <v>9</v>
      </c>
      <c r="I29" s="91">
        <v>3</v>
      </c>
      <c r="J29" s="23">
        <f t="shared" si="0"/>
        <v>2</v>
      </c>
      <c r="K29" s="11">
        <f t="shared" si="1"/>
        <v>0</v>
      </c>
      <c r="L29" s="11">
        <f t="shared" si="2"/>
        <v>3</v>
      </c>
      <c r="O29" s="48" t="s">
        <v>21</v>
      </c>
      <c r="P29" s="49">
        <f>SUMIF($D$8:$D$55,$O29,$G$8:$G$55)+SUMIF($F$8:$F$55,$O29,$I$8:$I$55)</f>
        <v>8</v>
      </c>
      <c r="Q29" s="49">
        <f>SUMIF($D$8:$D$55,$O29,$I$8:$I$55)+SUMIF($F$8:$F$55,$O29,$G$8:$G$55)</f>
        <v>4</v>
      </c>
      <c r="R29" s="49">
        <f>P29-Q29</f>
        <v>4</v>
      </c>
      <c r="S29" s="50">
        <f>SUMIF($D$8:$D$55,$O29,$K$8:$K$55)+SUMIF($F$8:$F$55,$O29,$L$8:$L$55)</f>
        <v>7</v>
      </c>
      <c r="T29" s="95" t="s">
        <v>62</v>
      </c>
      <c r="U29" s="40"/>
      <c r="V29" s="40" t="str">
        <f>O29</f>
        <v>Engeland</v>
      </c>
      <c r="W29" s="40" t="s">
        <v>64</v>
      </c>
      <c r="Y29" s="109">
        <f t="shared" si="8"/>
        <v>0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0</v>
      </c>
      <c r="AG29" s="108">
        <f t="shared" si="3"/>
        <v>0</v>
      </c>
      <c r="AH29" s="108">
        <f t="shared" si="4"/>
        <v>0</v>
      </c>
      <c r="AI29" s="108">
        <f t="shared" si="10"/>
        <v>0</v>
      </c>
      <c r="AJ29" s="108">
        <f t="shared" si="5"/>
        <v>0</v>
      </c>
      <c r="AK29" s="108">
        <f t="shared" si="6"/>
        <v>0</v>
      </c>
      <c r="AL29" s="108">
        <f t="shared" si="7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24">
        <v>23</v>
      </c>
      <c r="C30" s="208">
        <v>41809</v>
      </c>
      <c r="D30" s="26" t="s">
        <v>24</v>
      </c>
      <c r="E30" s="27" t="s">
        <v>9</v>
      </c>
      <c r="F30" s="28" t="s">
        <v>18</v>
      </c>
      <c r="G30" s="87">
        <v>0</v>
      </c>
      <c r="H30" s="27" t="s">
        <v>9</v>
      </c>
      <c r="I30" s="92">
        <v>1</v>
      </c>
      <c r="J30" s="29">
        <f t="shared" si="0"/>
        <v>2</v>
      </c>
      <c r="K30" s="11">
        <f t="shared" si="1"/>
        <v>0</v>
      </c>
      <c r="L30" s="11">
        <f t="shared" si="2"/>
        <v>3</v>
      </c>
      <c r="O30" s="51" t="s">
        <v>22</v>
      </c>
      <c r="P30" s="52">
        <f>SUMIF($D$8:$D$55,$O30,$G$8:$G$55)+SUMIF($F$8:$F$55,$O30,$I$8:$I$55)</f>
        <v>8</v>
      </c>
      <c r="Q30" s="52">
        <f>SUMIF($D$8:$D$55,$O30,$I$8:$I$55)+SUMIF($F$8:$F$55,$O30,$G$8:$G$55)</f>
        <v>5</v>
      </c>
      <c r="R30" s="52">
        <f>P30-Q30</f>
        <v>3</v>
      </c>
      <c r="S30" s="53">
        <f>SUMIF($D$8:$D$55,$O30,$K$8:$K$55)+SUMIF($F$8:$F$55,$O30,$L$8:$L$55)</f>
        <v>7</v>
      </c>
      <c r="T30" s="96" t="s">
        <v>63</v>
      </c>
      <c r="U30" s="40"/>
      <c r="V30" s="40" t="str">
        <f>O30</f>
        <v>Italië</v>
      </c>
      <c r="W30" s="40" t="s">
        <v>65</v>
      </c>
      <c r="Y30" s="109">
        <f t="shared" si="8"/>
        <v>1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1</v>
      </c>
      <c r="AG30" s="108">
        <f t="shared" si="3"/>
        <v>1</v>
      </c>
      <c r="AH30" s="108">
        <f t="shared" si="4"/>
        <v>0</v>
      </c>
      <c r="AI30" s="108">
        <f t="shared" si="10"/>
        <v>0</v>
      </c>
      <c r="AJ30" s="108">
        <f t="shared" si="5"/>
        <v>0</v>
      </c>
      <c r="AK30" s="108">
        <f t="shared" si="6"/>
        <v>0</v>
      </c>
      <c r="AL30" s="108">
        <f t="shared" si="7"/>
        <v>0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12">
        <v>24</v>
      </c>
      <c r="C31" s="206">
        <v>41810</v>
      </c>
      <c r="D31" s="14" t="s">
        <v>22</v>
      </c>
      <c r="E31" s="15" t="s">
        <v>9</v>
      </c>
      <c r="F31" s="16" t="s">
        <v>20</v>
      </c>
      <c r="G31" s="85">
        <v>4</v>
      </c>
      <c r="H31" s="15" t="s">
        <v>9</v>
      </c>
      <c r="I31" s="90">
        <v>2</v>
      </c>
      <c r="J31" s="17">
        <f t="shared" si="0"/>
        <v>1</v>
      </c>
      <c r="K31" s="11">
        <f t="shared" si="1"/>
        <v>3</v>
      </c>
      <c r="L31" s="11">
        <f t="shared" si="2"/>
        <v>0</v>
      </c>
      <c r="O31" s="40"/>
      <c r="P31" s="41"/>
      <c r="Q31" s="41"/>
      <c r="R31" s="41"/>
      <c r="S31" s="41"/>
      <c r="T31" s="41"/>
      <c r="U31" s="40"/>
      <c r="V31" s="40"/>
      <c r="W31" s="40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3"/>
        <v>0</v>
      </c>
      <c r="AH31" s="108">
        <f t="shared" si="4"/>
        <v>0</v>
      </c>
      <c r="AI31" s="108">
        <f t="shared" si="10"/>
        <v>0</v>
      </c>
      <c r="AJ31" s="108">
        <f t="shared" si="5"/>
        <v>0</v>
      </c>
      <c r="AK31" s="108">
        <f t="shared" si="6"/>
        <v>0</v>
      </c>
      <c r="AL31" s="108">
        <f t="shared" si="7"/>
        <v>0</v>
      </c>
      <c r="AN31" s="40"/>
      <c r="AO31" s="41"/>
    </row>
    <row r="32" spans="2:41" ht="15.75" thickBot="1">
      <c r="B32" s="18">
        <v>25</v>
      </c>
      <c r="C32" s="207">
        <v>41810</v>
      </c>
      <c r="D32" s="20" t="s">
        <v>25</v>
      </c>
      <c r="E32" s="21" t="s">
        <v>9</v>
      </c>
      <c r="F32" s="30" t="s">
        <v>27</v>
      </c>
      <c r="G32" s="86">
        <v>0</v>
      </c>
      <c r="H32" s="21" t="s">
        <v>9</v>
      </c>
      <c r="I32" s="91">
        <v>3</v>
      </c>
      <c r="J32" s="23">
        <f t="shared" si="0"/>
        <v>2</v>
      </c>
      <c r="K32" s="11">
        <f t="shared" si="1"/>
        <v>0</v>
      </c>
      <c r="L32" s="11">
        <f t="shared" si="2"/>
        <v>3</v>
      </c>
      <c r="O32" s="72" t="s">
        <v>66</v>
      </c>
      <c r="P32" s="73" t="s">
        <v>42</v>
      </c>
      <c r="Q32" s="73" t="s">
        <v>43</v>
      </c>
      <c r="R32" s="74" t="s">
        <v>44</v>
      </c>
      <c r="S32" s="75" t="s">
        <v>45</v>
      </c>
      <c r="T32" s="76" t="s">
        <v>46</v>
      </c>
      <c r="U32" s="40"/>
      <c r="V32" s="40"/>
      <c r="W32" s="40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3"/>
        <v>0</v>
      </c>
      <c r="AH32" s="108">
        <f t="shared" si="4"/>
        <v>0</v>
      </c>
      <c r="AI32" s="108">
        <f t="shared" si="10"/>
        <v>0</v>
      </c>
      <c r="AJ32" s="108">
        <f t="shared" si="5"/>
        <v>0</v>
      </c>
      <c r="AK32" s="108">
        <f t="shared" si="6"/>
        <v>5</v>
      </c>
      <c r="AL32" s="108">
        <f t="shared" si="7"/>
        <v>0</v>
      </c>
      <c r="AN32" s="42" t="s">
        <v>66</v>
      </c>
      <c r="AO32" s="43" t="s">
        <v>46</v>
      </c>
    </row>
    <row r="33" spans="2:41" ht="15.75" thickBot="1">
      <c r="B33" s="24">
        <v>26</v>
      </c>
      <c r="C33" s="208">
        <v>41810</v>
      </c>
      <c r="D33" s="26" t="s">
        <v>28</v>
      </c>
      <c r="E33" s="27" t="s">
        <v>9</v>
      </c>
      <c r="F33" s="28" t="s">
        <v>26</v>
      </c>
      <c r="G33" s="87">
        <v>1</v>
      </c>
      <c r="H33" s="27" t="s">
        <v>9</v>
      </c>
      <c r="I33" s="92">
        <v>2</v>
      </c>
      <c r="J33" s="29">
        <f t="shared" si="0"/>
        <v>2</v>
      </c>
      <c r="K33" s="11">
        <f t="shared" si="1"/>
        <v>0</v>
      </c>
      <c r="L33" s="11">
        <f t="shared" si="2"/>
        <v>3</v>
      </c>
      <c r="O33" s="44" t="s">
        <v>25</v>
      </c>
      <c r="P33" s="45">
        <f>SUMIF($D$8:$D$55,$O33,$G$8:$G$55)+SUMIF($F$8:$F$55,$O33,$I$8:$I$55)</f>
        <v>2</v>
      </c>
      <c r="Q33" s="45">
        <f>SUMIF($D$8:$D$55,$O33,$I$8:$I$55)+SUMIF($F$8:$F$55,$O33,$G$8:$G$55)</f>
        <v>4</v>
      </c>
      <c r="R33" s="46">
        <f>P33-Q33</f>
        <v>-2</v>
      </c>
      <c r="S33" s="47">
        <f>SUMIF($D$8:$D$55,$O33,$K$8:$K$55)+SUMIF($F$8:$F$55,$O33,$L$8:$L$55)</f>
        <v>4</v>
      </c>
      <c r="T33" s="94" t="s">
        <v>69</v>
      </c>
      <c r="U33" s="40"/>
      <c r="V33" s="40" t="str">
        <f>O33</f>
        <v>Zwitserland</v>
      </c>
      <c r="W33" s="40" t="s">
        <v>67</v>
      </c>
      <c r="Y33" s="109">
        <f t="shared" si="8"/>
        <v>10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10</v>
      </c>
      <c r="AG33" s="108">
        <f t="shared" si="3"/>
        <v>1</v>
      </c>
      <c r="AH33" s="108">
        <f t="shared" si="4"/>
        <v>1</v>
      </c>
      <c r="AI33" s="108">
        <f t="shared" si="10"/>
        <v>10</v>
      </c>
      <c r="AJ33" s="108">
        <f t="shared" si="5"/>
        <v>0</v>
      </c>
      <c r="AK33" s="108">
        <f t="shared" si="6"/>
        <v>5</v>
      </c>
      <c r="AL33" s="108">
        <f t="shared" si="7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12">
        <v>27</v>
      </c>
      <c r="C34" s="206">
        <v>41811</v>
      </c>
      <c r="D34" s="14" t="s">
        <v>29</v>
      </c>
      <c r="E34" s="15" t="s">
        <v>9</v>
      </c>
      <c r="F34" s="16" t="s">
        <v>33</v>
      </c>
      <c r="G34" s="85">
        <v>2</v>
      </c>
      <c r="H34" s="15" t="s">
        <v>9</v>
      </c>
      <c r="I34" s="90">
        <v>0</v>
      </c>
      <c r="J34" s="17">
        <f t="shared" si="0"/>
        <v>1</v>
      </c>
      <c r="K34" s="11">
        <f t="shared" si="1"/>
        <v>3</v>
      </c>
      <c r="L34" s="11">
        <f t="shared" si="2"/>
        <v>0</v>
      </c>
      <c r="O34" s="48" t="s">
        <v>26</v>
      </c>
      <c r="P34" s="49">
        <f>SUMIF($D$8:$D$55,$O34,$G$8:$G$55)+SUMIF($F$8:$F$55,$O34,$I$8:$I$55)</f>
        <v>4</v>
      </c>
      <c r="Q34" s="49">
        <f>SUMIF($D$8:$D$55,$O34,$I$8:$I$55)+SUMIF($F$8:$F$55,$O34,$G$8:$G$55)</f>
        <v>3</v>
      </c>
      <c r="R34" s="49">
        <f>P34-Q34</f>
        <v>1</v>
      </c>
      <c r="S34" s="50">
        <f>SUMIF($D$8:$D$55,$O34,$K$8:$K$55)+SUMIF($F$8:$F$55,$O34,$L$8:$L$55)</f>
        <v>5</v>
      </c>
      <c r="T34" s="95" t="s">
        <v>68</v>
      </c>
      <c r="U34" s="40"/>
      <c r="V34" s="40" t="str">
        <f>O34</f>
        <v>Ecuador</v>
      </c>
      <c r="W34" s="40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3"/>
        <v>0</v>
      </c>
      <c r="AH34" s="108">
        <f t="shared" si="4"/>
        <v>1</v>
      </c>
      <c r="AI34" s="108">
        <f t="shared" si="10"/>
        <v>0</v>
      </c>
      <c r="AJ34" s="108">
        <f t="shared" si="5"/>
        <v>5</v>
      </c>
      <c r="AK34" s="108">
        <f t="shared" si="6"/>
        <v>0</v>
      </c>
      <c r="AL34" s="108">
        <f t="shared" si="7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18">
        <v>28</v>
      </c>
      <c r="C35" s="207">
        <v>41811</v>
      </c>
      <c r="D35" s="20" t="s">
        <v>31</v>
      </c>
      <c r="E35" s="21" t="s">
        <v>9</v>
      </c>
      <c r="F35" s="30" t="s">
        <v>35</v>
      </c>
      <c r="G35" s="86">
        <v>4</v>
      </c>
      <c r="H35" s="21" t="s">
        <v>9</v>
      </c>
      <c r="I35" s="91">
        <v>1</v>
      </c>
      <c r="J35" s="23">
        <f t="shared" si="0"/>
        <v>1</v>
      </c>
      <c r="K35" s="11">
        <f t="shared" si="1"/>
        <v>3</v>
      </c>
      <c r="L35" s="11">
        <f t="shared" si="2"/>
        <v>0</v>
      </c>
      <c r="O35" s="48" t="s">
        <v>27</v>
      </c>
      <c r="P35" s="49">
        <f>SUMIF($D$8:$D$55,$O35,$G$8:$G$55)+SUMIF($F$8:$F$55,$O35,$I$8:$I$55)</f>
        <v>6</v>
      </c>
      <c r="Q35" s="49">
        <f>SUMIF($D$8:$D$55,$O35,$I$8:$I$55)+SUMIF($F$8:$F$55,$O35,$G$8:$G$55)</f>
        <v>1</v>
      </c>
      <c r="R35" s="49">
        <f>P35-Q35</f>
        <v>5</v>
      </c>
      <c r="S35" s="50">
        <f>SUMIF($D$8:$D$55,$O35,$K$8:$K$55)+SUMIF($F$8:$F$55,$O35,$L$8:$L$55)</f>
        <v>7</v>
      </c>
      <c r="T35" s="95" t="s">
        <v>67</v>
      </c>
      <c r="U35" s="40"/>
      <c r="V35" s="40" t="str">
        <f>O35</f>
        <v>Frankrijk</v>
      </c>
      <c r="W35" s="40" t="s">
        <v>69</v>
      </c>
      <c r="Y35" s="109">
        <f t="shared" si="8"/>
        <v>0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0</v>
      </c>
      <c r="AG35" s="108">
        <f t="shared" si="3"/>
        <v>0</v>
      </c>
      <c r="AH35" s="108">
        <f t="shared" si="4"/>
        <v>0</v>
      </c>
      <c r="AI35" s="108">
        <f t="shared" si="10"/>
        <v>0</v>
      </c>
      <c r="AJ35" s="108">
        <f t="shared" si="5"/>
        <v>0</v>
      </c>
      <c r="AK35" s="108">
        <f t="shared" si="6"/>
        <v>0</v>
      </c>
      <c r="AL35" s="108">
        <f t="shared" si="7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24">
        <v>29</v>
      </c>
      <c r="C36" s="208">
        <v>41811</v>
      </c>
      <c r="D36" s="26" t="s">
        <v>34</v>
      </c>
      <c r="E36" s="27" t="s">
        <v>9</v>
      </c>
      <c r="F36" s="28" t="s">
        <v>30</v>
      </c>
      <c r="G36" s="87">
        <v>0</v>
      </c>
      <c r="H36" s="27" t="s">
        <v>9</v>
      </c>
      <c r="I36" s="92">
        <v>0</v>
      </c>
      <c r="J36" s="29">
        <f t="shared" si="0"/>
        <v>3</v>
      </c>
      <c r="K36" s="11">
        <f t="shared" si="1"/>
        <v>1</v>
      </c>
      <c r="L36" s="11">
        <f t="shared" si="2"/>
        <v>1</v>
      </c>
      <c r="O36" s="51" t="s">
        <v>28</v>
      </c>
      <c r="P36" s="52">
        <f>SUMIF($D$8:$D$55,$O36,$G$8:$G$55)+SUMIF($F$8:$F$55,$O36,$I$8:$I$55)</f>
        <v>1</v>
      </c>
      <c r="Q36" s="52">
        <f>SUMIF($D$8:$D$55,$O36,$I$8:$I$55)+SUMIF($F$8:$F$55,$O36,$G$8:$G$55)</f>
        <v>5</v>
      </c>
      <c r="R36" s="52">
        <f>P36-Q36</f>
        <v>-4</v>
      </c>
      <c r="S36" s="53">
        <f>SUMIF($D$8:$D$55,$O36,$K$8:$K$55)+SUMIF($F$8:$F$55,$O36,$L$8:$L$55)</f>
        <v>0</v>
      </c>
      <c r="T36" s="96" t="s">
        <v>70</v>
      </c>
      <c r="U36" s="40"/>
      <c r="V36" s="40" t="str">
        <f>O36</f>
        <v>Honduras</v>
      </c>
      <c r="W36" s="40" t="s">
        <v>70</v>
      </c>
      <c r="Y36" s="109">
        <f t="shared" si="8"/>
        <v>1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1</v>
      </c>
      <c r="AG36" s="108">
        <f t="shared" si="3"/>
        <v>0</v>
      </c>
      <c r="AH36" s="108">
        <f t="shared" si="4"/>
        <v>1</v>
      </c>
      <c r="AI36" s="108">
        <f t="shared" si="10"/>
        <v>0</v>
      </c>
      <c r="AJ36" s="108">
        <f t="shared" si="5"/>
        <v>0</v>
      </c>
      <c r="AK36" s="108">
        <f t="shared" si="6"/>
        <v>0</v>
      </c>
      <c r="AL36" s="108">
        <f t="shared" si="7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12">
        <v>30</v>
      </c>
      <c r="C37" s="206">
        <v>41812</v>
      </c>
      <c r="D37" s="14" t="s">
        <v>37</v>
      </c>
      <c r="E37" s="15" t="s">
        <v>9</v>
      </c>
      <c r="F37" s="16" t="s">
        <v>39</v>
      </c>
      <c r="G37" s="85">
        <v>1</v>
      </c>
      <c r="H37" s="15" t="s">
        <v>9</v>
      </c>
      <c r="I37" s="90">
        <v>0</v>
      </c>
      <c r="J37" s="17">
        <f t="shared" si="0"/>
        <v>1</v>
      </c>
      <c r="K37" s="11">
        <f t="shared" si="1"/>
        <v>3</v>
      </c>
      <c r="L37" s="11">
        <f t="shared" si="2"/>
        <v>0</v>
      </c>
      <c r="O37" s="40"/>
      <c r="P37" s="41"/>
      <c r="Q37" s="41"/>
      <c r="R37" s="41"/>
      <c r="S37" s="41"/>
      <c r="T37" s="41"/>
      <c r="U37" s="40"/>
      <c r="V37" s="40"/>
      <c r="W37" s="40"/>
      <c r="Y37" s="109">
        <f t="shared" si="8"/>
        <v>10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10</v>
      </c>
      <c r="AG37" s="108">
        <f t="shared" si="3"/>
        <v>1</v>
      </c>
      <c r="AH37" s="108">
        <f t="shared" si="4"/>
        <v>1</v>
      </c>
      <c r="AI37" s="108">
        <f t="shared" si="10"/>
        <v>10</v>
      </c>
      <c r="AJ37" s="108">
        <f t="shared" si="5"/>
        <v>5</v>
      </c>
      <c r="AK37" s="108">
        <f t="shared" si="6"/>
        <v>0</v>
      </c>
      <c r="AL37" s="108">
        <f t="shared" si="7"/>
        <v>0</v>
      </c>
      <c r="AN37" s="40"/>
      <c r="AO37" s="41"/>
    </row>
    <row r="38" spans="2:41" ht="15.75" thickBot="1">
      <c r="B38" s="18">
        <v>31</v>
      </c>
      <c r="C38" s="207">
        <v>41812</v>
      </c>
      <c r="D38" s="20" t="s">
        <v>40</v>
      </c>
      <c r="E38" s="21" t="s">
        <v>9</v>
      </c>
      <c r="F38" s="30" t="s">
        <v>38</v>
      </c>
      <c r="G38" s="86">
        <v>1</v>
      </c>
      <c r="H38" s="21" t="s">
        <v>9</v>
      </c>
      <c r="I38" s="91">
        <v>0</v>
      </c>
      <c r="J38" s="23">
        <f t="shared" si="0"/>
        <v>1</v>
      </c>
      <c r="K38" s="11">
        <f t="shared" si="1"/>
        <v>3</v>
      </c>
      <c r="L38" s="11">
        <f t="shared" si="2"/>
        <v>0</v>
      </c>
      <c r="O38" s="72" t="s">
        <v>71</v>
      </c>
      <c r="P38" s="73" t="s">
        <v>42</v>
      </c>
      <c r="Q38" s="73" t="s">
        <v>43</v>
      </c>
      <c r="R38" s="74" t="s">
        <v>44</v>
      </c>
      <c r="S38" s="75" t="s">
        <v>45</v>
      </c>
      <c r="T38" s="76" t="s">
        <v>46</v>
      </c>
      <c r="U38" s="40"/>
      <c r="V38" s="40"/>
      <c r="W38" s="40"/>
      <c r="Y38" s="109">
        <f t="shared" si="8"/>
        <v>0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0</v>
      </c>
      <c r="AG38" s="108">
        <f t="shared" si="3"/>
        <v>0</v>
      </c>
      <c r="AH38" s="108">
        <f t="shared" si="4"/>
        <v>0</v>
      </c>
      <c r="AI38" s="108">
        <f t="shared" si="10"/>
        <v>0</v>
      </c>
      <c r="AJ38" s="108">
        <f t="shared" si="5"/>
        <v>0</v>
      </c>
      <c r="AK38" s="108">
        <f t="shared" si="6"/>
        <v>0</v>
      </c>
      <c r="AL38" s="108">
        <f t="shared" si="7"/>
        <v>0</v>
      </c>
      <c r="AN38" s="42" t="s">
        <v>71</v>
      </c>
      <c r="AO38" s="43" t="s">
        <v>46</v>
      </c>
    </row>
    <row r="39" spans="2:41" ht="15.75" thickBot="1">
      <c r="B39" s="24">
        <v>32</v>
      </c>
      <c r="C39" s="208">
        <v>41812</v>
      </c>
      <c r="D39" s="26" t="s">
        <v>36</v>
      </c>
      <c r="E39" s="27" t="s">
        <v>9</v>
      </c>
      <c r="F39" s="28" t="s">
        <v>32</v>
      </c>
      <c r="G39" s="87">
        <v>1</v>
      </c>
      <c r="H39" s="27" t="s">
        <v>9</v>
      </c>
      <c r="I39" s="92">
        <v>3</v>
      </c>
      <c r="J39" s="29">
        <f t="shared" si="0"/>
        <v>2</v>
      </c>
      <c r="K39" s="11">
        <f t="shared" si="1"/>
        <v>0</v>
      </c>
      <c r="L39" s="11">
        <f t="shared" si="2"/>
        <v>3</v>
      </c>
      <c r="O39" s="44" t="s">
        <v>29</v>
      </c>
      <c r="P39" s="45">
        <f>SUMIF($D$8:$D$55,$O39,$G$8:$G$55)+SUMIF($F$8:$F$55,$O39,$I$8:$I$55)</f>
        <v>9</v>
      </c>
      <c r="Q39" s="45">
        <f>SUMIF($D$8:$D$55,$O39,$I$8:$I$55)+SUMIF($F$8:$F$55,$O39,$G$8:$G$55)</f>
        <v>0</v>
      </c>
      <c r="R39" s="46">
        <f>P39-Q39</f>
        <v>9</v>
      </c>
      <c r="S39" s="47">
        <f>SUMIF($D$8:$D$55,$O39,$K$8:$K$55)+SUMIF($F$8:$F$55,$O39,$L$8:$L$55)</f>
        <v>9</v>
      </c>
      <c r="T39" s="94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0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0</v>
      </c>
      <c r="AG39" s="108">
        <f t="shared" si="3"/>
        <v>0</v>
      </c>
      <c r="AH39" s="108">
        <f t="shared" si="4"/>
        <v>0</v>
      </c>
      <c r="AI39" s="108">
        <f t="shared" si="10"/>
        <v>0</v>
      </c>
      <c r="AJ39" s="108">
        <f t="shared" si="5"/>
        <v>0</v>
      </c>
      <c r="AK39" s="108">
        <f t="shared" si="6"/>
        <v>0</v>
      </c>
      <c r="AL39" s="108">
        <f t="shared" si="7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12">
        <v>33</v>
      </c>
      <c r="C40" s="206">
        <v>41813</v>
      </c>
      <c r="D40" s="14" t="s">
        <v>16</v>
      </c>
      <c r="E40" s="15" t="s">
        <v>9</v>
      </c>
      <c r="F40" s="16" t="s">
        <v>13</v>
      </c>
      <c r="G40" s="85">
        <v>1</v>
      </c>
      <c r="H40" s="15" t="s">
        <v>9</v>
      </c>
      <c r="I40" s="90">
        <v>2</v>
      </c>
      <c r="J40" s="17">
        <f t="shared" si="0"/>
        <v>2</v>
      </c>
      <c r="K40" s="11">
        <f t="shared" si="1"/>
        <v>0</v>
      </c>
      <c r="L40" s="11">
        <f t="shared" si="2"/>
        <v>3</v>
      </c>
      <c r="O40" s="48" t="s">
        <v>30</v>
      </c>
      <c r="P40" s="49">
        <f>SUMIF($D$8:$D$55,$O40,$G$8:$G$55)+SUMIF($F$8:$F$55,$O40,$I$8:$I$55)</f>
        <v>1</v>
      </c>
      <c r="Q40" s="49">
        <f>SUMIF($D$8:$D$55,$O40,$I$8:$I$55)+SUMIF($F$8:$F$55,$O40,$G$8:$G$55)</f>
        <v>4</v>
      </c>
      <c r="R40" s="49">
        <f>P40-Q40</f>
        <v>-3</v>
      </c>
      <c r="S40" s="50">
        <f>SUMIF($D$8:$D$55,$O40,$K$8:$K$55)+SUMIF($F$8:$F$55,$O40,$L$8:$L$55)</f>
        <v>2</v>
      </c>
      <c r="T40" s="95" t="s">
        <v>74</v>
      </c>
      <c r="U40" s="40"/>
      <c r="V40" s="40" t="str">
        <f>O40</f>
        <v>Bosnië H.</v>
      </c>
      <c r="W40" s="40" t="s">
        <v>73</v>
      </c>
      <c r="Y40" s="109">
        <f t="shared" si="8"/>
        <v>5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5</v>
      </c>
      <c r="AG40" s="108">
        <f t="shared" si="3"/>
        <v>0</v>
      </c>
      <c r="AH40" s="108">
        <f t="shared" si="4"/>
        <v>0</v>
      </c>
      <c r="AI40" s="108">
        <f t="shared" si="10"/>
        <v>0</v>
      </c>
      <c r="AJ40" s="108">
        <f t="shared" si="5"/>
        <v>0</v>
      </c>
      <c r="AK40" s="108">
        <f t="shared" si="6"/>
        <v>5</v>
      </c>
      <c r="AL40" s="108">
        <f t="shared" si="7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18">
        <v>34</v>
      </c>
      <c r="C41" s="207">
        <v>41813</v>
      </c>
      <c r="D41" s="32" t="s">
        <v>14</v>
      </c>
      <c r="E41" s="21" t="s">
        <v>9</v>
      </c>
      <c r="F41" s="30" t="s">
        <v>15</v>
      </c>
      <c r="G41" s="86">
        <v>3</v>
      </c>
      <c r="H41" s="21" t="s">
        <v>9</v>
      </c>
      <c r="I41" s="91">
        <v>1</v>
      </c>
      <c r="J41" s="23">
        <f t="shared" si="0"/>
        <v>1</v>
      </c>
      <c r="K41" s="11">
        <f t="shared" si="1"/>
        <v>3</v>
      </c>
      <c r="L41" s="11">
        <f t="shared" si="2"/>
        <v>0</v>
      </c>
      <c r="O41" s="48" t="s">
        <v>33</v>
      </c>
      <c r="P41" s="49">
        <f>SUMIF($D$8:$D$55,$O41,$G$8:$G$55)+SUMIF($F$8:$F$55,$O41,$I$8:$I$55)</f>
        <v>2</v>
      </c>
      <c r="Q41" s="49">
        <f>SUMIF($D$8:$D$55,$O41,$I$8:$I$55)+SUMIF($F$8:$F$55,$O41,$G$8:$G$55)</f>
        <v>4</v>
      </c>
      <c r="R41" s="49">
        <f>P41-Q41</f>
        <v>-2</v>
      </c>
      <c r="S41" s="50">
        <f>SUMIF($D$8:$D$55,$O41,$K$8:$K$55)+SUMIF($F$8:$F$55,$O41,$L$8:$L$55)</f>
        <v>2</v>
      </c>
      <c r="T41" s="95" t="s">
        <v>75</v>
      </c>
      <c r="U41" s="40"/>
      <c r="V41" s="40" t="str">
        <f>O41</f>
        <v>Iran</v>
      </c>
      <c r="W41" s="40" t="s">
        <v>74</v>
      </c>
      <c r="Y41" s="109">
        <f t="shared" si="8"/>
        <v>5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5</v>
      </c>
      <c r="AG41" s="108">
        <f t="shared" si="3"/>
        <v>0</v>
      </c>
      <c r="AH41" s="108">
        <f t="shared" si="4"/>
        <v>0</v>
      </c>
      <c r="AI41" s="108">
        <f t="shared" si="10"/>
        <v>0</v>
      </c>
      <c r="AJ41" s="108">
        <f t="shared" si="5"/>
        <v>5</v>
      </c>
      <c r="AK41" s="108">
        <f t="shared" si="6"/>
        <v>0</v>
      </c>
      <c r="AL41" s="108">
        <f t="shared" si="7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18">
        <v>35</v>
      </c>
      <c r="C42" s="207">
        <v>41813</v>
      </c>
      <c r="D42" s="20" t="s">
        <v>12</v>
      </c>
      <c r="E42" s="21" t="s">
        <v>9</v>
      </c>
      <c r="F42" s="30" t="s">
        <v>8</v>
      </c>
      <c r="G42" s="86">
        <v>0</v>
      </c>
      <c r="H42" s="21" t="s">
        <v>9</v>
      </c>
      <c r="I42" s="91">
        <v>3</v>
      </c>
      <c r="J42" s="23">
        <f t="shared" si="0"/>
        <v>2</v>
      </c>
      <c r="K42" s="11">
        <f t="shared" si="1"/>
        <v>0</v>
      </c>
      <c r="L42" s="11">
        <f t="shared" si="2"/>
        <v>3</v>
      </c>
      <c r="O42" s="51" t="s">
        <v>34</v>
      </c>
      <c r="P42" s="52">
        <f>SUMIF($D$8:$D$55,$O42,$G$8:$G$55)+SUMIF($F$8:$F$55,$O42,$I$8:$I$55)</f>
        <v>1</v>
      </c>
      <c r="Q42" s="52">
        <f>SUMIF($D$8:$D$55,$O42,$I$8:$I$55)+SUMIF($F$8:$F$55,$O42,$G$8:$G$55)</f>
        <v>5</v>
      </c>
      <c r="R42" s="52">
        <f>P42-Q42</f>
        <v>-4</v>
      </c>
      <c r="S42" s="53">
        <f>SUMIF($D$8:$D$55,$O42,$K$8:$K$55)+SUMIF($F$8:$F$55,$O42,$L$8:$L$55)</f>
        <v>2</v>
      </c>
      <c r="T42" s="96" t="s">
        <v>73</v>
      </c>
      <c r="U42" s="40"/>
      <c r="V42" s="40" t="str">
        <f>O42</f>
        <v>Nigeria</v>
      </c>
      <c r="W42" s="40" t="s">
        <v>75</v>
      </c>
      <c r="Y42" s="109">
        <f t="shared" si="8"/>
        <v>5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5</v>
      </c>
      <c r="AG42" s="108">
        <f t="shared" si="3"/>
        <v>0</v>
      </c>
      <c r="AH42" s="108">
        <f t="shared" si="4"/>
        <v>0</v>
      </c>
      <c r="AI42" s="108">
        <f t="shared" si="10"/>
        <v>0</v>
      </c>
      <c r="AJ42" s="108">
        <f t="shared" si="5"/>
        <v>0</v>
      </c>
      <c r="AK42" s="108">
        <f t="shared" si="6"/>
        <v>5</v>
      </c>
      <c r="AL42" s="108">
        <f t="shared" si="7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24">
        <v>36</v>
      </c>
      <c r="C43" s="208">
        <v>41813</v>
      </c>
      <c r="D43" s="26" t="s">
        <v>10</v>
      </c>
      <c r="E43" s="27" t="s">
        <v>9</v>
      </c>
      <c r="F43" s="28" t="s">
        <v>11</v>
      </c>
      <c r="G43" s="87">
        <v>0</v>
      </c>
      <c r="H43" s="27" t="s">
        <v>9</v>
      </c>
      <c r="I43" s="92">
        <v>2</v>
      </c>
      <c r="J43" s="29">
        <f t="shared" si="0"/>
        <v>2</v>
      </c>
      <c r="K43" s="11">
        <f t="shared" si="1"/>
        <v>0</v>
      </c>
      <c r="L43" s="11">
        <f t="shared" si="2"/>
        <v>3</v>
      </c>
      <c r="O43" s="40"/>
      <c r="P43" s="41"/>
      <c r="Q43" s="41"/>
      <c r="R43" s="41"/>
      <c r="S43" s="41"/>
      <c r="T43" s="41"/>
      <c r="U43" s="40"/>
      <c r="V43" s="40"/>
      <c r="W43" s="40"/>
      <c r="Y43" s="109">
        <f t="shared" si="8"/>
        <v>5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5</v>
      </c>
      <c r="AG43" s="108">
        <f t="shared" si="3"/>
        <v>0</v>
      </c>
      <c r="AH43" s="108">
        <f t="shared" si="4"/>
        <v>0</v>
      </c>
      <c r="AI43" s="108">
        <f t="shared" si="10"/>
        <v>0</v>
      </c>
      <c r="AJ43" s="108">
        <f t="shared" si="5"/>
        <v>0</v>
      </c>
      <c r="AK43" s="108">
        <f t="shared" si="6"/>
        <v>5</v>
      </c>
      <c r="AL43" s="108">
        <f t="shared" si="7"/>
        <v>0</v>
      </c>
      <c r="AN43" s="40"/>
      <c r="AO43" s="41"/>
    </row>
    <row r="44" spans="2:41" ht="15.75" thickBot="1">
      <c r="B44" s="12">
        <v>37</v>
      </c>
      <c r="C44" s="206">
        <v>41814</v>
      </c>
      <c r="D44" s="14" t="s">
        <v>22</v>
      </c>
      <c r="E44" s="15" t="s">
        <v>9</v>
      </c>
      <c r="F44" s="16" t="s">
        <v>19</v>
      </c>
      <c r="G44" s="85">
        <v>2</v>
      </c>
      <c r="H44" s="15" t="s">
        <v>9</v>
      </c>
      <c r="I44" s="90">
        <v>1</v>
      </c>
      <c r="J44" s="17">
        <f t="shared" si="0"/>
        <v>1</v>
      </c>
      <c r="K44" s="11">
        <f t="shared" si="1"/>
        <v>3</v>
      </c>
      <c r="L44" s="11">
        <f t="shared" si="2"/>
        <v>0</v>
      </c>
      <c r="O44" s="72" t="s">
        <v>76</v>
      </c>
      <c r="P44" s="73" t="s">
        <v>42</v>
      </c>
      <c r="Q44" s="73" t="s">
        <v>43</v>
      </c>
      <c r="R44" s="74" t="s">
        <v>44</v>
      </c>
      <c r="S44" s="75" t="s">
        <v>45</v>
      </c>
      <c r="T44" s="76" t="s">
        <v>46</v>
      </c>
      <c r="U44" s="40"/>
      <c r="V44" s="40"/>
      <c r="W44" s="40"/>
      <c r="Y44" s="109">
        <f t="shared" si="8"/>
        <v>1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1</v>
      </c>
      <c r="AG44" s="108">
        <f t="shared" si="3"/>
        <v>0</v>
      </c>
      <c r="AH44" s="108">
        <f t="shared" si="4"/>
        <v>1</v>
      </c>
      <c r="AI44" s="108">
        <f t="shared" si="10"/>
        <v>0</v>
      </c>
      <c r="AJ44" s="108">
        <f t="shared" si="5"/>
        <v>0</v>
      </c>
      <c r="AK44" s="108">
        <f t="shared" si="6"/>
        <v>0</v>
      </c>
      <c r="AL44" s="108">
        <f t="shared" si="7"/>
        <v>0</v>
      </c>
      <c r="AN44" s="42" t="s">
        <v>76</v>
      </c>
      <c r="AO44" s="43" t="s">
        <v>46</v>
      </c>
    </row>
    <row r="45" spans="2:41" ht="15.75" thickBot="1">
      <c r="B45" s="18">
        <v>38</v>
      </c>
      <c r="C45" s="207">
        <v>41814</v>
      </c>
      <c r="D45" s="20" t="s">
        <v>20</v>
      </c>
      <c r="E45" s="21" t="s">
        <v>9</v>
      </c>
      <c r="F45" s="30" t="s">
        <v>21</v>
      </c>
      <c r="G45" s="86">
        <v>1</v>
      </c>
      <c r="H45" s="21" t="s">
        <v>9</v>
      </c>
      <c r="I45" s="91">
        <v>3</v>
      </c>
      <c r="J45" s="23">
        <f t="shared" si="0"/>
        <v>2</v>
      </c>
      <c r="K45" s="11">
        <f t="shared" si="1"/>
        <v>0</v>
      </c>
      <c r="L45" s="11">
        <f t="shared" si="2"/>
        <v>3</v>
      </c>
      <c r="O45" s="44" t="s">
        <v>31</v>
      </c>
      <c r="P45" s="45">
        <f>SUMIF($D$8:$D$55,$O45,$G$8:$G$55)+SUMIF($F$8:$F$55,$O45,$I$8:$I$55)</f>
        <v>10</v>
      </c>
      <c r="Q45" s="45">
        <f>SUMIF($D$8:$D$55,$O45,$I$8:$I$55)+SUMIF($F$8:$F$55,$O45,$G$8:$G$55)</f>
        <v>3</v>
      </c>
      <c r="R45" s="46">
        <f>P45-Q45</f>
        <v>7</v>
      </c>
      <c r="S45" s="47">
        <f>SUMIF($D$8:$D$55,$O45,$K$8:$K$55)+SUMIF($F$8:$F$55,$O45,$L$8:$L$55)</f>
        <v>9</v>
      </c>
      <c r="T45" s="94" t="s">
        <v>77</v>
      </c>
      <c r="U45" s="40"/>
      <c r="V45" s="40" t="str">
        <f>O45</f>
        <v>Duitsland</v>
      </c>
      <c r="W45" s="40" t="s">
        <v>77</v>
      </c>
      <c r="Y45" s="109">
        <f t="shared" si="8"/>
        <v>0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0</v>
      </c>
      <c r="AG45" s="108">
        <f t="shared" si="3"/>
        <v>0</v>
      </c>
      <c r="AH45" s="108">
        <f t="shared" si="4"/>
        <v>0</v>
      </c>
      <c r="AI45" s="108">
        <f t="shared" si="10"/>
        <v>0</v>
      </c>
      <c r="AJ45" s="108">
        <f t="shared" si="5"/>
        <v>0</v>
      </c>
      <c r="AK45" s="108">
        <f t="shared" si="6"/>
        <v>0</v>
      </c>
      <c r="AL45" s="108">
        <f t="shared" si="7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18">
        <v>39</v>
      </c>
      <c r="C46" s="207">
        <v>41814</v>
      </c>
      <c r="D46" s="20" t="s">
        <v>24</v>
      </c>
      <c r="E46" s="21" t="s">
        <v>9</v>
      </c>
      <c r="F46" s="30" t="s">
        <v>17</v>
      </c>
      <c r="G46" s="86">
        <v>0</v>
      </c>
      <c r="H46" s="21" t="s">
        <v>9</v>
      </c>
      <c r="I46" s="91">
        <v>1</v>
      </c>
      <c r="J46" s="23">
        <f t="shared" si="0"/>
        <v>2</v>
      </c>
      <c r="K46" s="11">
        <f t="shared" si="1"/>
        <v>0</v>
      </c>
      <c r="L46" s="11">
        <f t="shared" si="2"/>
        <v>3</v>
      </c>
      <c r="O46" s="48" t="s">
        <v>32</v>
      </c>
      <c r="P46" s="49">
        <f>SUMIF($D$8:$D$55,$O46,$G$8:$G$55)+SUMIF($F$8:$F$55,$O46,$I$8:$I$55)</f>
        <v>6</v>
      </c>
      <c r="Q46" s="49">
        <f>SUMIF($D$8:$D$55,$O46,$I$8:$I$55)+SUMIF($F$8:$F$55,$O46,$G$8:$G$55)</f>
        <v>4</v>
      </c>
      <c r="R46" s="49">
        <f>P46-Q46</f>
        <v>2</v>
      </c>
      <c r="S46" s="50">
        <f>SUMIF($D$8:$D$55,$O46,$K$8:$K$55)+SUMIF($F$8:$F$55,$O46,$L$8:$L$55)</f>
        <v>6</v>
      </c>
      <c r="T46" s="95" t="s">
        <v>78</v>
      </c>
      <c r="U46" s="40"/>
      <c r="V46" s="40" t="str">
        <f>O46</f>
        <v>Portugal</v>
      </c>
      <c r="W46" s="40" t="s">
        <v>78</v>
      </c>
      <c r="Y46" s="109">
        <f t="shared" si="8"/>
        <v>5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5</v>
      </c>
      <c r="AG46" s="108">
        <f t="shared" si="3"/>
        <v>0</v>
      </c>
      <c r="AH46" s="108">
        <f t="shared" si="4"/>
        <v>0</v>
      </c>
      <c r="AI46" s="108">
        <f t="shared" si="10"/>
        <v>0</v>
      </c>
      <c r="AJ46" s="108">
        <f t="shared" si="5"/>
        <v>0</v>
      </c>
      <c r="AK46" s="108">
        <f t="shared" si="6"/>
        <v>5</v>
      </c>
      <c r="AL46" s="108">
        <f t="shared" si="7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24">
        <v>40</v>
      </c>
      <c r="C47" s="208">
        <v>41814</v>
      </c>
      <c r="D47" s="26" t="s">
        <v>18</v>
      </c>
      <c r="E47" s="27" t="s">
        <v>9</v>
      </c>
      <c r="F47" s="28" t="s">
        <v>23</v>
      </c>
      <c r="G47" s="87">
        <v>1</v>
      </c>
      <c r="H47" s="27" t="s">
        <v>9</v>
      </c>
      <c r="I47" s="92">
        <v>1</v>
      </c>
      <c r="J47" s="29">
        <f t="shared" si="0"/>
        <v>3</v>
      </c>
      <c r="K47" s="11">
        <f t="shared" si="1"/>
        <v>1</v>
      </c>
      <c r="L47" s="11">
        <f t="shared" si="2"/>
        <v>1</v>
      </c>
      <c r="O47" s="48" t="s">
        <v>35</v>
      </c>
      <c r="P47" s="49">
        <f>SUMIF($D$8:$D$55,$O47,$G$8:$G$55)+SUMIF($F$8:$F$55,$O47,$I$8:$I$55)</f>
        <v>1</v>
      </c>
      <c r="Q47" s="49">
        <f>SUMIF($D$8:$D$55,$O47,$I$8:$I$55)+SUMIF($F$8:$F$55,$O47,$G$8:$G$55)</f>
        <v>7</v>
      </c>
      <c r="R47" s="49">
        <f>P47-Q47</f>
        <v>-6</v>
      </c>
      <c r="S47" s="50">
        <f>SUMIF($D$8:$D$55,$O47,$K$8:$K$55)+SUMIF($F$8:$F$55,$O47,$L$8:$L$55)</f>
        <v>0</v>
      </c>
      <c r="T47" s="95" t="s">
        <v>80</v>
      </c>
      <c r="U47" s="40"/>
      <c r="V47" s="40" t="str">
        <f>O47</f>
        <v>Ghana</v>
      </c>
      <c r="W47" s="40" t="s">
        <v>79</v>
      </c>
      <c r="Y47" s="109">
        <f t="shared" si="8"/>
        <v>1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1</v>
      </c>
      <c r="AG47" s="108">
        <f t="shared" si="3"/>
        <v>0</v>
      </c>
      <c r="AH47" s="108">
        <f t="shared" si="4"/>
        <v>1</v>
      </c>
      <c r="AI47" s="108">
        <f t="shared" si="10"/>
        <v>0</v>
      </c>
      <c r="AJ47" s="108">
        <f t="shared" si="5"/>
        <v>0</v>
      </c>
      <c r="AK47" s="108">
        <f t="shared" si="6"/>
        <v>0</v>
      </c>
      <c r="AL47" s="108">
        <f t="shared" si="7"/>
        <v>0</v>
      </c>
      <c r="AM47" s="120">
        <f>AO47</f>
        <v>10</v>
      </c>
      <c r="AN47" s="117" t="s">
        <v>35</v>
      </c>
      <c r="AO47" s="115">
        <f>IF(Uitslag!T47="",0,IF(T47=Uitslag!T47,10,0))</f>
        <v>10</v>
      </c>
    </row>
    <row r="48" spans="2:41" ht="15.75" thickBot="1">
      <c r="B48" s="12">
        <v>41</v>
      </c>
      <c r="C48" s="206">
        <v>41815</v>
      </c>
      <c r="D48" s="14" t="s">
        <v>34</v>
      </c>
      <c r="E48" s="15" t="s">
        <v>9</v>
      </c>
      <c r="F48" s="16" t="s">
        <v>29</v>
      </c>
      <c r="G48" s="85">
        <v>0</v>
      </c>
      <c r="H48" s="15" t="s">
        <v>9</v>
      </c>
      <c r="I48" s="90">
        <v>4</v>
      </c>
      <c r="J48" s="17">
        <f t="shared" si="0"/>
        <v>2</v>
      </c>
      <c r="K48" s="11">
        <f t="shared" si="1"/>
        <v>0</v>
      </c>
      <c r="L48" s="11">
        <f t="shared" si="2"/>
        <v>3</v>
      </c>
      <c r="O48" s="51" t="s">
        <v>36</v>
      </c>
      <c r="P48" s="52">
        <f>SUMIF($D$8:$D$55,$O48,$G$8:$G$55)+SUMIF($F$8:$F$55,$O48,$I$8:$I$55)</f>
        <v>3</v>
      </c>
      <c r="Q48" s="52">
        <f>SUMIF($D$8:$D$55,$O48,$I$8:$I$55)+SUMIF($F$8:$F$55,$O48,$G$8:$G$55)</f>
        <v>6</v>
      </c>
      <c r="R48" s="52">
        <f>P48-Q48</f>
        <v>-3</v>
      </c>
      <c r="S48" s="53">
        <f>SUMIF($D$8:$D$55,$O48,$K$8:$K$55)+SUMIF($F$8:$F$55,$O48,$L$8:$L$55)</f>
        <v>3</v>
      </c>
      <c r="T48" s="96" t="s">
        <v>79</v>
      </c>
      <c r="U48" s="40"/>
      <c r="V48" s="40" t="str">
        <f>O48</f>
        <v>Verenigde Staten</v>
      </c>
      <c r="W48" s="40" t="s">
        <v>80</v>
      </c>
      <c r="Y48" s="109">
        <f t="shared" si="8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5</v>
      </c>
      <c r="AG48" s="108">
        <f t="shared" si="3"/>
        <v>0</v>
      </c>
      <c r="AH48" s="108">
        <f t="shared" si="4"/>
        <v>0</v>
      </c>
      <c r="AI48" s="108">
        <f t="shared" si="10"/>
        <v>0</v>
      </c>
      <c r="AJ48" s="108">
        <f t="shared" si="5"/>
        <v>0</v>
      </c>
      <c r="AK48" s="108">
        <f t="shared" si="6"/>
        <v>5</v>
      </c>
      <c r="AL48" s="108">
        <f t="shared" si="7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18">
        <v>42</v>
      </c>
      <c r="C49" s="207">
        <v>41815</v>
      </c>
      <c r="D49" s="20" t="s">
        <v>30</v>
      </c>
      <c r="E49" s="21" t="s">
        <v>9</v>
      </c>
      <c r="F49" s="30" t="s">
        <v>33</v>
      </c>
      <c r="G49" s="86">
        <v>1</v>
      </c>
      <c r="H49" s="21" t="s">
        <v>9</v>
      </c>
      <c r="I49" s="91">
        <v>1</v>
      </c>
      <c r="J49" s="23">
        <f t="shared" si="0"/>
        <v>3</v>
      </c>
      <c r="K49" s="11">
        <f t="shared" si="1"/>
        <v>1</v>
      </c>
      <c r="L49" s="11">
        <f t="shared" si="2"/>
        <v>1</v>
      </c>
      <c r="O49" s="40"/>
      <c r="P49" s="41"/>
      <c r="Q49" s="41"/>
      <c r="R49" s="41"/>
      <c r="S49" s="41"/>
      <c r="T49" s="41"/>
      <c r="U49" s="40"/>
      <c r="V49" s="40"/>
      <c r="W49" s="40"/>
      <c r="Y49" s="109">
        <f t="shared" si="8"/>
        <v>1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1</v>
      </c>
      <c r="AG49" s="108">
        <f t="shared" si="3"/>
        <v>0</v>
      </c>
      <c r="AH49" s="108">
        <f t="shared" si="4"/>
        <v>1</v>
      </c>
      <c r="AI49" s="108">
        <f t="shared" si="10"/>
        <v>0</v>
      </c>
      <c r="AJ49" s="108">
        <f t="shared" si="5"/>
        <v>0</v>
      </c>
      <c r="AK49" s="108">
        <f t="shared" si="6"/>
        <v>0</v>
      </c>
      <c r="AL49" s="108">
        <f t="shared" si="7"/>
        <v>0</v>
      </c>
      <c r="AN49" s="40"/>
      <c r="AO49" s="41"/>
    </row>
    <row r="50" spans="2:54" ht="15.75" thickBot="1">
      <c r="B50" s="18">
        <v>43</v>
      </c>
      <c r="C50" s="207">
        <v>41815</v>
      </c>
      <c r="D50" s="20" t="s">
        <v>28</v>
      </c>
      <c r="E50" s="21" t="s">
        <v>9</v>
      </c>
      <c r="F50" s="30" t="s">
        <v>25</v>
      </c>
      <c r="G50" s="86">
        <v>0</v>
      </c>
      <c r="H50" s="21" t="s">
        <v>9</v>
      </c>
      <c r="I50" s="91">
        <v>1</v>
      </c>
      <c r="J50" s="23">
        <f t="shared" si="0"/>
        <v>2</v>
      </c>
      <c r="K50" s="11">
        <f t="shared" si="1"/>
        <v>0</v>
      </c>
      <c r="L50" s="11">
        <f t="shared" si="2"/>
        <v>3</v>
      </c>
      <c r="O50" s="72" t="s">
        <v>81</v>
      </c>
      <c r="P50" s="73" t="s">
        <v>42</v>
      </c>
      <c r="Q50" s="73" t="s">
        <v>43</v>
      </c>
      <c r="R50" s="74" t="s">
        <v>44</v>
      </c>
      <c r="S50" s="75" t="s">
        <v>45</v>
      </c>
      <c r="T50" s="76" t="s">
        <v>46</v>
      </c>
      <c r="U50" s="40"/>
      <c r="V50" s="40"/>
      <c r="W50" s="40"/>
      <c r="Y50" s="109">
        <f t="shared" si="8"/>
        <v>6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6</v>
      </c>
      <c r="AG50" s="108">
        <f t="shared" si="3"/>
        <v>1</v>
      </c>
      <c r="AH50" s="108">
        <f t="shared" si="4"/>
        <v>0</v>
      </c>
      <c r="AI50" s="108">
        <f t="shared" si="10"/>
        <v>0</v>
      </c>
      <c r="AJ50" s="108">
        <f t="shared" si="5"/>
        <v>0</v>
      </c>
      <c r="AK50" s="108">
        <f t="shared" si="6"/>
        <v>5</v>
      </c>
      <c r="AL50" s="108">
        <f t="shared" si="7"/>
        <v>0</v>
      </c>
      <c r="AN50" s="42" t="s">
        <v>81</v>
      </c>
      <c r="AO50" s="43" t="s">
        <v>46</v>
      </c>
    </row>
    <row r="51" spans="2:54" ht="15.75" thickBot="1">
      <c r="B51" s="24">
        <v>44</v>
      </c>
      <c r="C51" s="208">
        <v>41815</v>
      </c>
      <c r="D51" s="26" t="s">
        <v>26</v>
      </c>
      <c r="E51" s="27" t="s">
        <v>9</v>
      </c>
      <c r="F51" s="28" t="s">
        <v>27</v>
      </c>
      <c r="G51" s="87">
        <v>1</v>
      </c>
      <c r="H51" s="27" t="s">
        <v>9</v>
      </c>
      <c r="I51" s="92">
        <v>1</v>
      </c>
      <c r="J51" s="29">
        <f t="shared" si="0"/>
        <v>3</v>
      </c>
      <c r="K51" s="11">
        <f t="shared" si="1"/>
        <v>1</v>
      </c>
      <c r="L51" s="11">
        <f t="shared" si="2"/>
        <v>1</v>
      </c>
      <c r="O51" s="44" t="s">
        <v>37</v>
      </c>
      <c r="P51" s="45">
        <f>SUMIF($D$8:$D$55,$O51,$G$8:$G$55)+SUMIF($F$8:$F$55,$O51,$I$8:$I$55)</f>
        <v>3</v>
      </c>
      <c r="Q51" s="45">
        <f>SUMIF($D$8:$D$55,$O51,$I$8:$I$55)+SUMIF($F$8:$F$55,$O51,$G$8:$G$55)</f>
        <v>1</v>
      </c>
      <c r="R51" s="46">
        <f>P51-Q51</f>
        <v>2</v>
      </c>
      <c r="S51" s="47">
        <f>SUMIF($D$8:$D$55,$O51,$K$8:$K$55)+SUMIF($F$8:$F$55,$O51,$L$8:$L$55)</f>
        <v>7</v>
      </c>
      <c r="T51" s="94" t="s">
        <v>82</v>
      </c>
      <c r="U51" s="40"/>
      <c r="V51" s="40" t="str">
        <f>O51</f>
        <v>België</v>
      </c>
      <c r="W51" s="40" t="s">
        <v>82</v>
      </c>
      <c r="Y51" s="109">
        <f t="shared" si="8"/>
        <v>5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5</v>
      </c>
      <c r="AG51" s="108">
        <f t="shared" si="3"/>
        <v>0</v>
      </c>
      <c r="AH51" s="108">
        <f t="shared" si="4"/>
        <v>0</v>
      </c>
      <c r="AI51" s="108">
        <f t="shared" si="10"/>
        <v>0</v>
      </c>
      <c r="AJ51" s="108">
        <f t="shared" si="5"/>
        <v>0</v>
      </c>
      <c r="AK51" s="108">
        <f t="shared" si="6"/>
        <v>0</v>
      </c>
      <c r="AL51" s="108">
        <f t="shared" si="7"/>
        <v>5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18">
        <v>45</v>
      </c>
      <c r="C52" s="207">
        <v>41816</v>
      </c>
      <c r="D52" s="20" t="s">
        <v>36</v>
      </c>
      <c r="E52" s="21" t="s">
        <v>9</v>
      </c>
      <c r="F52" s="30" t="s">
        <v>31</v>
      </c>
      <c r="G52" s="86">
        <v>0</v>
      </c>
      <c r="H52" s="21" t="s">
        <v>9</v>
      </c>
      <c r="I52" s="91">
        <v>3</v>
      </c>
      <c r="J52" s="17">
        <f t="shared" si="0"/>
        <v>2</v>
      </c>
      <c r="K52" s="11">
        <f t="shared" si="1"/>
        <v>0</v>
      </c>
      <c r="L52" s="11">
        <f t="shared" si="2"/>
        <v>3</v>
      </c>
      <c r="O52" s="48" t="s">
        <v>38</v>
      </c>
      <c r="P52" s="49">
        <f>SUMIF($D$8:$D$55,$O52,$G$8:$G$55)+SUMIF($F$8:$F$55,$O52,$I$8:$I$55)</f>
        <v>0</v>
      </c>
      <c r="Q52" s="49">
        <f>SUMIF($D$8:$D$55,$O52,$I$8:$I$55)+SUMIF($F$8:$F$55,$O52,$G$8:$G$55)</f>
        <v>2</v>
      </c>
      <c r="R52" s="49">
        <f>P52-Q52</f>
        <v>-2</v>
      </c>
      <c r="S52" s="50">
        <f>SUMIF($D$8:$D$55,$O52,$K$8:$K$55)+SUMIF($F$8:$F$55,$O52,$L$8:$L$55)</f>
        <v>1</v>
      </c>
      <c r="T52" s="95" t="s">
        <v>85</v>
      </c>
      <c r="U52" s="40"/>
      <c r="V52" s="40" t="str">
        <f>O52</f>
        <v>Algerije</v>
      </c>
      <c r="W52" s="40" t="s">
        <v>83</v>
      </c>
      <c r="Y52" s="109">
        <f t="shared" si="8"/>
        <v>6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6</v>
      </c>
      <c r="AG52" s="108">
        <f t="shared" si="3"/>
        <v>1</v>
      </c>
      <c r="AH52" s="108">
        <f t="shared" si="4"/>
        <v>0</v>
      </c>
      <c r="AI52" s="108">
        <f t="shared" si="10"/>
        <v>0</v>
      </c>
      <c r="AJ52" s="108">
        <f t="shared" si="5"/>
        <v>0</v>
      </c>
      <c r="AK52" s="108">
        <f t="shared" si="6"/>
        <v>5</v>
      </c>
      <c r="AL52" s="108">
        <f t="shared" si="7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18">
        <v>46</v>
      </c>
      <c r="C53" s="207">
        <v>41816</v>
      </c>
      <c r="D53" s="20" t="s">
        <v>32</v>
      </c>
      <c r="E53" s="21" t="s">
        <v>9</v>
      </c>
      <c r="F53" s="30" t="s">
        <v>35</v>
      </c>
      <c r="G53" s="86">
        <v>1</v>
      </c>
      <c r="H53" s="21" t="s">
        <v>9</v>
      </c>
      <c r="I53" s="91">
        <v>0</v>
      </c>
      <c r="J53" s="23">
        <f t="shared" si="0"/>
        <v>1</v>
      </c>
      <c r="K53" s="11">
        <f t="shared" si="1"/>
        <v>3</v>
      </c>
      <c r="L53" s="11">
        <f t="shared" si="2"/>
        <v>0</v>
      </c>
      <c r="O53" s="48" t="s">
        <v>39</v>
      </c>
      <c r="P53" s="49">
        <f>SUMIF($D$8:$D$55,$O53,$G$8:$G$55)+SUMIF($F$8:$F$55,$O53,$I$8:$I$55)</f>
        <v>1</v>
      </c>
      <c r="Q53" s="49">
        <f>SUMIF($D$8:$D$55,$O53,$I$8:$I$55)+SUMIF($F$8:$F$55,$O53,$G$8:$G$55)</f>
        <v>2</v>
      </c>
      <c r="R53" s="49">
        <f>P53-Q53</f>
        <v>-1</v>
      </c>
      <c r="S53" s="50">
        <f>SUMIF($D$8:$D$55,$O53,$K$8:$K$55)+SUMIF($F$8:$F$55,$O53,$L$8:$L$55)</f>
        <v>2</v>
      </c>
      <c r="T53" s="95" t="s">
        <v>84</v>
      </c>
      <c r="U53" s="40"/>
      <c r="V53" s="40" t="str">
        <f>O53</f>
        <v>Rusland</v>
      </c>
      <c r="W53" s="40" t="s">
        <v>84</v>
      </c>
      <c r="Y53" s="109">
        <f t="shared" si="8"/>
        <v>5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5</v>
      </c>
      <c r="AG53" s="108">
        <f t="shared" si="3"/>
        <v>0</v>
      </c>
      <c r="AH53" s="108">
        <f t="shared" si="4"/>
        <v>0</v>
      </c>
      <c r="AI53" s="108">
        <f t="shared" si="10"/>
        <v>0</v>
      </c>
      <c r="AJ53" s="108">
        <f t="shared" si="5"/>
        <v>5</v>
      </c>
      <c r="AK53" s="108">
        <f t="shared" si="6"/>
        <v>0</v>
      </c>
      <c r="AL53" s="108">
        <f t="shared" si="7"/>
        <v>0</v>
      </c>
      <c r="AM53" s="120">
        <f>AO53</f>
        <v>10</v>
      </c>
      <c r="AN53" s="117" t="s">
        <v>39</v>
      </c>
      <c r="AO53" s="115">
        <f>IF(Uitslag!T53="",0,IF(T53=Uitslag!T53,10,0))</f>
        <v>10</v>
      </c>
    </row>
    <row r="54" spans="2:54" ht="15.75" thickBot="1">
      <c r="B54" s="18">
        <v>47</v>
      </c>
      <c r="C54" s="207">
        <v>41816</v>
      </c>
      <c r="D54" s="20" t="s">
        <v>40</v>
      </c>
      <c r="E54" s="21" t="s">
        <v>9</v>
      </c>
      <c r="F54" s="30" t="s">
        <v>37</v>
      </c>
      <c r="G54" s="86">
        <v>1</v>
      </c>
      <c r="H54" s="21" t="s">
        <v>9</v>
      </c>
      <c r="I54" s="91">
        <v>1</v>
      </c>
      <c r="J54" s="23">
        <f t="shared" si="0"/>
        <v>3</v>
      </c>
      <c r="K54" s="11">
        <f t="shared" si="1"/>
        <v>1</v>
      </c>
      <c r="L54" s="11">
        <f t="shared" si="2"/>
        <v>1</v>
      </c>
      <c r="O54" s="51" t="s">
        <v>40</v>
      </c>
      <c r="P54" s="52">
        <f>SUMIF($D$8:$D$55,$O54,$G$8:$G$55)+SUMIF($F$8:$F$55,$O54,$I$8:$I$55)</f>
        <v>3</v>
      </c>
      <c r="Q54" s="52">
        <f>SUMIF($D$8:$D$55,$O54,$I$8:$I$55)+SUMIF($F$8:$F$55,$O54,$G$8:$G$55)</f>
        <v>2</v>
      </c>
      <c r="R54" s="52">
        <f>P54-Q54</f>
        <v>1</v>
      </c>
      <c r="S54" s="53">
        <f>SUMIF($D$8:$D$55,$O54,$K$8:$K$55)+SUMIF($F$8:$F$55,$O54,$L$8:$L$55)</f>
        <v>5</v>
      </c>
      <c r="T54" s="96" t="s">
        <v>83</v>
      </c>
      <c r="U54" s="40"/>
      <c r="V54" s="40" t="str">
        <f>O54</f>
        <v>Zuid Korea</v>
      </c>
      <c r="W54" s="40" t="s">
        <v>85</v>
      </c>
      <c r="Y54" s="109">
        <f t="shared" si="8"/>
        <v>1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1</v>
      </c>
      <c r="AG54" s="108">
        <f t="shared" si="3"/>
        <v>0</v>
      </c>
      <c r="AH54" s="108">
        <f t="shared" si="4"/>
        <v>1</v>
      </c>
      <c r="AI54" s="108">
        <f t="shared" si="10"/>
        <v>0</v>
      </c>
      <c r="AJ54" s="108">
        <f t="shared" si="5"/>
        <v>0</v>
      </c>
      <c r="AK54" s="108">
        <f t="shared" si="6"/>
        <v>0</v>
      </c>
      <c r="AL54" s="108">
        <f t="shared" si="7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3">
        <v>48</v>
      </c>
      <c r="C55" s="209">
        <v>41816</v>
      </c>
      <c r="D55" s="35" t="s">
        <v>38</v>
      </c>
      <c r="E55" s="36" t="s">
        <v>9</v>
      </c>
      <c r="F55" s="37" t="s">
        <v>39</v>
      </c>
      <c r="G55" s="88">
        <v>0</v>
      </c>
      <c r="H55" s="36" t="s">
        <v>9</v>
      </c>
      <c r="I55" s="93">
        <v>0</v>
      </c>
      <c r="J55" s="38">
        <f t="shared" si="0"/>
        <v>3</v>
      </c>
      <c r="K55" s="11">
        <f t="shared" si="1"/>
        <v>1</v>
      </c>
      <c r="L55" s="11">
        <f t="shared" si="2"/>
        <v>1</v>
      </c>
      <c r="O55" s="40"/>
      <c r="P55" s="41"/>
      <c r="Q55" s="41"/>
      <c r="R55" s="41"/>
      <c r="S55" s="41"/>
      <c r="T55" s="41"/>
      <c r="U55" s="40"/>
      <c r="V55" s="40"/>
      <c r="W55" s="40"/>
      <c r="Y55" s="109">
        <f t="shared" si="8"/>
        <v>5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5</v>
      </c>
      <c r="AG55" s="108">
        <f t="shared" si="3"/>
        <v>0</v>
      </c>
      <c r="AH55" s="108">
        <f t="shared" si="4"/>
        <v>0</v>
      </c>
      <c r="AI55" s="108">
        <f t="shared" si="10"/>
        <v>0</v>
      </c>
      <c r="AJ55" s="108">
        <f t="shared" si="5"/>
        <v>0</v>
      </c>
      <c r="AK55" s="108">
        <f t="shared" si="6"/>
        <v>0</v>
      </c>
      <c r="AL55" s="108">
        <f t="shared" si="7"/>
        <v>5</v>
      </c>
    </row>
    <row r="56" spans="2:54" ht="15.75" thickBot="1">
      <c r="B56" s="1"/>
      <c r="C56" s="210"/>
      <c r="D56" s="40"/>
      <c r="E56" s="1"/>
      <c r="F56" s="40"/>
      <c r="G56" s="1"/>
      <c r="H56" s="1"/>
      <c r="I56" s="1"/>
      <c r="J56" s="1"/>
      <c r="K56" s="1"/>
      <c r="L56" s="1"/>
      <c r="M56" s="1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195"/>
      <c r="K57" s="1"/>
      <c r="L57" s="1"/>
      <c r="M57" s="1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78" t="s">
        <v>1</v>
      </c>
      <c r="C58" s="122" t="s">
        <v>2</v>
      </c>
      <c r="D58" s="187" t="s">
        <v>3</v>
      </c>
      <c r="E58" s="81"/>
      <c r="F58" s="194" t="s">
        <v>4</v>
      </c>
      <c r="G58" s="867" t="s">
        <v>5</v>
      </c>
      <c r="H58" s="868"/>
      <c r="I58" s="869"/>
      <c r="J58" s="83" t="s">
        <v>6</v>
      </c>
      <c r="K58" s="1"/>
      <c r="L58" s="1"/>
      <c r="M58" s="1"/>
      <c r="O58" s="135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12">
        <v>49</v>
      </c>
      <c r="C59" s="211">
        <v>41818</v>
      </c>
      <c r="D59" s="153" t="str">
        <f t="shared" ref="D59:D66" si="13">IF(ISERROR(Z59),K59,Z59)</f>
        <v>Brazilië</v>
      </c>
      <c r="E59" s="15" t="s">
        <v>9</v>
      </c>
      <c r="F59" s="56" t="str">
        <f t="shared" ref="F59:F66" si="14">IF(ISERROR(AA59),L59,AA59)</f>
        <v>Nederland</v>
      </c>
      <c r="G59" s="85">
        <v>3</v>
      </c>
      <c r="H59" s="15" t="s">
        <v>9</v>
      </c>
      <c r="I59" s="97">
        <v>2</v>
      </c>
      <c r="J59" s="98">
        <v>1</v>
      </c>
      <c r="K59" s="57" t="s">
        <v>48</v>
      </c>
      <c r="L59" s="57" t="s">
        <v>53</v>
      </c>
      <c r="M59" s="57">
        <v>1</v>
      </c>
      <c r="O59" s="135">
        <v>2</v>
      </c>
      <c r="P59" s="877" t="s">
        <v>212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5">AF59</f>
        <v>0</v>
      </c>
      <c r="Z59" t="str">
        <f t="shared" ref="Z59:AA65" si="16">IF(K59=""," ",VLOOKUP(K59,$T$9:$V$54,3,FALSE))</f>
        <v>Brazilië</v>
      </c>
      <c r="AA59" t="str">
        <f t="shared" si="16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7">IF(OR(AC59="",AD59=""),0,(IF(SUM(AG59:AL59)&gt;10,10,SUM(AG59:AL59))))</f>
        <v>0</v>
      </c>
      <c r="AG59" s="108">
        <f t="shared" ref="AG59:AG66" si="18">IF(AC59="",0,(IF(G59=AC59,1,0)))</f>
        <v>0</v>
      </c>
      <c r="AH59" s="108">
        <f t="shared" ref="AH59:AH66" si="19">IF(AD59="",0,(IF(I59=AD59,1,0)))</f>
        <v>0</v>
      </c>
      <c r="AI59" s="108">
        <f t="shared" ref="AI59:AI66" si="20">IF(AND(AG59=1,AH59=1),10,0)</f>
        <v>0</v>
      </c>
      <c r="AJ59" s="108">
        <f t="shared" ref="AJ59:AJ66" si="21">IF(AND(G59&gt;I59,AC59&gt;AD59),5,0)</f>
        <v>0</v>
      </c>
      <c r="AK59" s="108">
        <f t="shared" ref="AK59:AK66" si="22">IF(AND(G59&lt;I59,AC59&lt;AD59),5,0)</f>
        <v>0</v>
      </c>
      <c r="AL59" s="108">
        <f t="shared" ref="AL59:AL66" si="23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4">BA59</f>
        <v>3</v>
      </c>
    </row>
    <row r="60" spans="2:54">
      <c r="B60" s="24">
        <v>50</v>
      </c>
      <c r="C60" s="212">
        <v>41818</v>
      </c>
      <c r="D60" s="154" t="str">
        <f t="shared" si="13"/>
        <v>Colombia</v>
      </c>
      <c r="E60" s="27" t="s">
        <v>9</v>
      </c>
      <c r="F60" s="59" t="str">
        <f t="shared" si="14"/>
        <v>Italië</v>
      </c>
      <c r="G60" s="87">
        <v>1</v>
      </c>
      <c r="H60" s="27" t="s">
        <v>9</v>
      </c>
      <c r="I60" s="99">
        <v>2</v>
      </c>
      <c r="J60" s="100">
        <v>2</v>
      </c>
      <c r="K60" s="57" t="s">
        <v>57</v>
      </c>
      <c r="L60" s="57" t="s">
        <v>63</v>
      </c>
      <c r="M60" s="57">
        <v>2</v>
      </c>
      <c r="O60" s="135">
        <v>3</v>
      </c>
      <c r="P60" s="877" t="s">
        <v>211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5"/>
        <v>0</v>
      </c>
      <c r="Z60" t="str">
        <f t="shared" si="16"/>
        <v>Colombia</v>
      </c>
      <c r="AA60" t="str">
        <f t="shared" si="16"/>
        <v>Italië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7"/>
        <v>0</v>
      </c>
      <c r="AG60" s="108">
        <f t="shared" si="18"/>
        <v>0</v>
      </c>
      <c r="AH60" s="108">
        <f t="shared" si="19"/>
        <v>0</v>
      </c>
      <c r="AI60" s="108">
        <f t="shared" si="20"/>
        <v>0</v>
      </c>
      <c r="AJ60" s="108">
        <f t="shared" si="21"/>
        <v>0</v>
      </c>
      <c r="AK60" s="108">
        <f t="shared" si="22"/>
        <v>0</v>
      </c>
      <c r="AL60" s="108">
        <f t="shared" si="23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4"/>
        <v>3</v>
      </c>
    </row>
    <row r="61" spans="2:54">
      <c r="B61" s="12">
        <v>51</v>
      </c>
      <c r="C61" s="211">
        <v>41819</v>
      </c>
      <c r="D61" s="188" t="str">
        <f t="shared" si="13"/>
        <v>Spanje</v>
      </c>
      <c r="E61" s="15" t="s">
        <v>9</v>
      </c>
      <c r="F61" s="56" t="str">
        <f t="shared" si="14"/>
        <v>Mexico</v>
      </c>
      <c r="G61" s="85">
        <v>2</v>
      </c>
      <c r="H61" s="15" t="s">
        <v>9</v>
      </c>
      <c r="I61" s="97">
        <v>2</v>
      </c>
      <c r="J61" s="98">
        <v>1</v>
      </c>
      <c r="K61" s="57" t="s">
        <v>52</v>
      </c>
      <c r="L61" s="57" t="s">
        <v>49</v>
      </c>
      <c r="M61" s="57"/>
      <c r="O61" s="135">
        <v>4</v>
      </c>
      <c r="P61" s="877" t="s">
        <v>209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5"/>
        <v>1</v>
      </c>
      <c r="Z61" t="str">
        <f t="shared" si="16"/>
        <v>Spanje</v>
      </c>
      <c r="AA61" t="str">
        <f t="shared" si="16"/>
        <v>Mexico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7"/>
        <v>1</v>
      </c>
      <c r="AG61" s="108">
        <f t="shared" si="18"/>
        <v>1</v>
      </c>
      <c r="AH61" s="108">
        <f t="shared" si="19"/>
        <v>0</v>
      </c>
      <c r="AI61" s="108">
        <f t="shared" si="20"/>
        <v>0</v>
      </c>
      <c r="AJ61" s="108">
        <f t="shared" si="21"/>
        <v>0</v>
      </c>
      <c r="AK61" s="108">
        <f t="shared" si="22"/>
        <v>0</v>
      </c>
      <c r="AL61" s="108">
        <f t="shared" si="23"/>
        <v>0</v>
      </c>
      <c r="AZ61" s="138" t="str">
        <f>Uitslag!P61</f>
        <v>Ron Vlaar (v)</v>
      </c>
      <c r="BA61" s="140">
        <f t="shared" si="12"/>
        <v>3</v>
      </c>
      <c r="BB61" s="139">
        <f t="shared" si="24"/>
        <v>3</v>
      </c>
    </row>
    <row r="62" spans="2:54">
      <c r="B62" s="24">
        <v>52</v>
      </c>
      <c r="C62" s="212">
        <v>41819</v>
      </c>
      <c r="D62" s="188" t="str">
        <f t="shared" si="13"/>
        <v>Engeland</v>
      </c>
      <c r="E62" s="27" t="s">
        <v>9</v>
      </c>
      <c r="F62" s="59" t="str">
        <f t="shared" si="14"/>
        <v>Griekenland</v>
      </c>
      <c r="G62" s="87">
        <v>1</v>
      </c>
      <c r="H62" s="27" t="s">
        <v>9</v>
      </c>
      <c r="I62" s="99">
        <v>0</v>
      </c>
      <c r="J62" s="100">
        <v>1</v>
      </c>
      <c r="K62" s="57" t="s">
        <v>62</v>
      </c>
      <c r="L62" s="57" t="s">
        <v>58</v>
      </c>
      <c r="M62" s="57"/>
      <c r="O62" s="135">
        <v>5</v>
      </c>
      <c r="P62" s="877" t="s">
        <v>225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5"/>
        <v>1</v>
      </c>
      <c r="Z62" t="str">
        <f t="shared" si="16"/>
        <v>Engeland</v>
      </c>
      <c r="AA62" t="str">
        <f t="shared" si="16"/>
        <v>Griekenland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7"/>
        <v>1</v>
      </c>
      <c r="AG62" s="108">
        <f t="shared" si="18"/>
        <v>1</v>
      </c>
      <c r="AH62" s="108">
        <f t="shared" si="19"/>
        <v>0</v>
      </c>
      <c r="AI62" s="108">
        <f t="shared" si="20"/>
        <v>0</v>
      </c>
      <c r="AJ62" s="108">
        <f t="shared" si="21"/>
        <v>0</v>
      </c>
      <c r="AK62" s="108">
        <f t="shared" si="22"/>
        <v>0</v>
      </c>
      <c r="AL62" s="108">
        <f t="shared" si="23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4"/>
        <v>3</v>
      </c>
    </row>
    <row r="63" spans="2:54">
      <c r="B63" s="12">
        <v>53</v>
      </c>
      <c r="C63" s="211">
        <v>41820</v>
      </c>
      <c r="D63" s="153" t="str">
        <f t="shared" si="13"/>
        <v>Frankrijk</v>
      </c>
      <c r="E63" s="15" t="s">
        <v>9</v>
      </c>
      <c r="F63" s="56" t="str">
        <f t="shared" si="14"/>
        <v>Nigeria</v>
      </c>
      <c r="G63" s="85">
        <v>1</v>
      </c>
      <c r="H63" s="15" t="s">
        <v>9</v>
      </c>
      <c r="I63" s="97">
        <v>0</v>
      </c>
      <c r="J63" s="98">
        <v>1</v>
      </c>
      <c r="K63" s="57" t="s">
        <v>67</v>
      </c>
      <c r="L63" s="57" t="s">
        <v>73</v>
      </c>
      <c r="M63" s="57"/>
      <c r="O63" s="135">
        <v>6</v>
      </c>
      <c r="P63" s="877" t="s">
        <v>213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5"/>
        <v>6</v>
      </c>
      <c r="Z63" t="str">
        <f t="shared" si="16"/>
        <v>Frankrijk</v>
      </c>
      <c r="AA63" t="str">
        <f t="shared" si="16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7"/>
        <v>6</v>
      </c>
      <c r="AG63" s="108">
        <f t="shared" si="18"/>
        <v>0</v>
      </c>
      <c r="AH63" s="108">
        <f t="shared" si="19"/>
        <v>1</v>
      </c>
      <c r="AI63" s="108">
        <f t="shared" si="20"/>
        <v>0</v>
      </c>
      <c r="AJ63" s="108">
        <f t="shared" si="21"/>
        <v>5</v>
      </c>
      <c r="AK63" s="108">
        <f t="shared" si="22"/>
        <v>0</v>
      </c>
      <c r="AL63" s="108">
        <f t="shared" si="23"/>
        <v>0</v>
      </c>
      <c r="AZ63" s="138" t="str">
        <f>Uitslag!P63</f>
        <v>Daley Blind (v)</v>
      </c>
      <c r="BA63" s="140">
        <f t="shared" si="12"/>
        <v>3</v>
      </c>
      <c r="BB63" s="139">
        <f t="shared" si="24"/>
        <v>3</v>
      </c>
    </row>
    <row r="64" spans="2:54">
      <c r="B64" s="24">
        <v>54</v>
      </c>
      <c r="C64" s="212">
        <v>41820</v>
      </c>
      <c r="D64" s="154" t="str">
        <f t="shared" si="13"/>
        <v>Duitsland</v>
      </c>
      <c r="E64" s="27" t="s">
        <v>9</v>
      </c>
      <c r="F64" s="59" t="str">
        <f t="shared" si="14"/>
        <v>Zuid Korea</v>
      </c>
      <c r="G64" s="87">
        <v>3</v>
      </c>
      <c r="H64" s="27" t="s">
        <v>9</v>
      </c>
      <c r="I64" s="99">
        <v>1</v>
      </c>
      <c r="J64" s="100">
        <v>1</v>
      </c>
      <c r="K64" s="57" t="s">
        <v>77</v>
      </c>
      <c r="L64" s="57" t="s">
        <v>83</v>
      </c>
      <c r="M64" s="57"/>
      <c r="O64" s="135">
        <v>7</v>
      </c>
      <c r="P64" s="877" t="s">
        <v>226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5"/>
        <v>0</v>
      </c>
      <c r="Z64" t="str">
        <f t="shared" si="16"/>
        <v>Duitsland</v>
      </c>
      <c r="AA64" t="str">
        <f t="shared" si="16"/>
        <v>Zuid Korea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7"/>
        <v>0</v>
      </c>
      <c r="AG64" s="108">
        <f t="shared" si="18"/>
        <v>0</v>
      </c>
      <c r="AH64" s="108">
        <f t="shared" si="19"/>
        <v>0</v>
      </c>
      <c r="AI64" s="108">
        <f t="shared" si="20"/>
        <v>0</v>
      </c>
      <c r="AJ64" s="108">
        <f t="shared" si="21"/>
        <v>0</v>
      </c>
      <c r="AK64" s="108">
        <f t="shared" si="22"/>
        <v>0</v>
      </c>
      <c r="AL64" s="108">
        <f t="shared" si="23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4"/>
        <v>3</v>
      </c>
    </row>
    <row r="65" spans="2:54">
      <c r="B65" s="18">
        <v>55</v>
      </c>
      <c r="C65" s="213">
        <v>41821</v>
      </c>
      <c r="D65" s="153" t="str">
        <f t="shared" si="13"/>
        <v>Argentinië</v>
      </c>
      <c r="E65" s="21" t="s">
        <v>9</v>
      </c>
      <c r="F65" s="60" t="str">
        <f t="shared" si="14"/>
        <v>Ecuador</v>
      </c>
      <c r="G65" s="86">
        <v>3</v>
      </c>
      <c r="H65" s="21" t="s">
        <v>9</v>
      </c>
      <c r="I65" s="101">
        <v>2</v>
      </c>
      <c r="J65" s="102">
        <v>1</v>
      </c>
      <c r="K65" s="57" t="s">
        <v>72</v>
      </c>
      <c r="L65" s="57" t="s">
        <v>68</v>
      </c>
      <c r="M65" s="57"/>
      <c r="O65" s="135">
        <v>8</v>
      </c>
      <c r="P65" s="877" t="s">
        <v>221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5"/>
        <v>0</v>
      </c>
      <c r="Z65" t="str">
        <f t="shared" si="16"/>
        <v>Argentinië</v>
      </c>
      <c r="AA65" t="str">
        <f t="shared" si="16"/>
        <v>Ecuador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7"/>
        <v>0</v>
      </c>
      <c r="AG65" s="108">
        <f t="shared" si="18"/>
        <v>0</v>
      </c>
      <c r="AH65" s="108">
        <f t="shared" si="19"/>
        <v>0</v>
      </c>
      <c r="AI65" s="108">
        <f t="shared" si="20"/>
        <v>0</v>
      </c>
      <c r="AJ65" s="108">
        <f t="shared" si="21"/>
        <v>0</v>
      </c>
      <c r="AK65" s="108">
        <f t="shared" si="22"/>
        <v>0</v>
      </c>
      <c r="AL65" s="108">
        <f t="shared" si="23"/>
        <v>0</v>
      </c>
      <c r="AZ65" s="138" t="str">
        <f>Uitslag!P65</f>
        <v>Nigel de Jong (m)</v>
      </c>
      <c r="BA65" s="140">
        <f t="shared" si="12"/>
        <v>0</v>
      </c>
      <c r="BB65" s="139">
        <f t="shared" si="24"/>
        <v>0</v>
      </c>
    </row>
    <row r="66" spans="2:54" ht="15.75" thickBot="1">
      <c r="B66" s="33">
        <v>56</v>
      </c>
      <c r="C66" s="214">
        <v>41821</v>
      </c>
      <c r="D66" s="155" t="str">
        <f t="shared" si="13"/>
        <v>België</v>
      </c>
      <c r="E66" s="36" t="s">
        <v>9</v>
      </c>
      <c r="F66" s="62" t="str">
        <f t="shared" si="14"/>
        <v>Portugal</v>
      </c>
      <c r="G66" s="88">
        <v>0</v>
      </c>
      <c r="H66" s="36" t="s">
        <v>9</v>
      </c>
      <c r="I66" s="103">
        <v>3</v>
      </c>
      <c r="J66" s="104">
        <v>2</v>
      </c>
      <c r="K66" s="57" t="s">
        <v>82</v>
      </c>
      <c r="L66" s="57" t="s">
        <v>78</v>
      </c>
      <c r="M66" s="57"/>
      <c r="O66" s="135">
        <v>9</v>
      </c>
      <c r="P66" s="877" t="s">
        <v>214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5"/>
        <v>1</v>
      </c>
      <c r="Z66" t="str">
        <f>IF(K66=""," ",VLOOKUP(K66,$T$9:$V$54,3,FALSE))</f>
        <v>België</v>
      </c>
      <c r="AA66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7"/>
        <v>1</v>
      </c>
      <c r="AG66" s="108">
        <f t="shared" si="18"/>
        <v>1</v>
      </c>
      <c r="AH66" s="108">
        <f t="shared" si="19"/>
        <v>0</v>
      </c>
      <c r="AI66" s="108">
        <f t="shared" si="20"/>
        <v>0</v>
      </c>
      <c r="AJ66" s="108">
        <f t="shared" si="21"/>
        <v>0</v>
      </c>
      <c r="AK66" s="108">
        <f t="shared" si="22"/>
        <v>0</v>
      </c>
      <c r="AL66" s="108">
        <f t="shared" si="23"/>
        <v>0</v>
      </c>
      <c r="AZ66" s="138" t="str">
        <f>Uitslag!P66</f>
        <v>Jonathan de Guzman (m)</v>
      </c>
      <c r="BA66" s="140">
        <f t="shared" si="12"/>
        <v>3</v>
      </c>
      <c r="BB66" s="139">
        <f t="shared" si="24"/>
        <v>3</v>
      </c>
    </row>
    <row r="67" spans="2:54" ht="15.75" thickBot="1">
      <c r="B67" s="1"/>
      <c r="C67" s="210"/>
      <c r="D67" s="40"/>
      <c r="E67" s="1"/>
      <c r="F67" s="40"/>
      <c r="G67" s="1"/>
      <c r="H67" s="1"/>
      <c r="I67" s="1"/>
      <c r="J67" s="1"/>
      <c r="K67" s="1"/>
      <c r="L67" s="1"/>
      <c r="M67" s="1"/>
      <c r="O67" s="135">
        <v>10</v>
      </c>
      <c r="P67" s="877" t="s">
        <v>216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4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195"/>
      <c r="K68" s="1"/>
      <c r="L68" s="1"/>
      <c r="M68" s="1"/>
      <c r="O68" s="135">
        <v>11</v>
      </c>
      <c r="P68" s="877" t="s">
        <v>215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4"/>
        <v>3</v>
      </c>
    </row>
    <row r="69" spans="2:54">
      <c r="B69" s="78" t="s">
        <v>1</v>
      </c>
      <c r="C69" s="122" t="s">
        <v>2</v>
      </c>
      <c r="D69" s="193" t="s">
        <v>3</v>
      </c>
      <c r="E69" s="81"/>
      <c r="F69" s="194" t="s">
        <v>4</v>
      </c>
      <c r="G69" s="867" t="s">
        <v>5</v>
      </c>
      <c r="H69" s="868"/>
      <c r="I69" s="869"/>
      <c r="J69" s="83" t="s">
        <v>6</v>
      </c>
      <c r="K69" s="1"/>
      <c r="L69" s="1"/>
      <c r="M69" s="1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30</v>
      </c>
      <c r="BB69" s="139" t="str">
        <f>IF(AND(BA69&lt;&gt;"",BA69=33),15,"nvt")</f>
        <v>nvt</v>
      </c>
    </row>
    <row r="70" spans="2:54">
      <c r="B70" s="12">
        <v>57</v>
      </c>
      <c r="C70" s="206">
        <v>41824</v>
      </c>
      <c r="D70" s="55" t="str">
        <f>IF(J63="","Winnaar 53",IF(J63=1,D63,F63))</f>
        <v>Frankrijk</v>
      </c>
      <c r="E70" s="15" t="s">
        <v>9</v>
      </c>
      <c r="F70" s="56" t="str">
        <f>IF(J64="","Winnaar 54",IF(J64=1,D64,F64))</f>
        <v>Duitsland</v>
      </c>
      <c r="G70" s="85">
        <v>1</v>
      </c>
      <c r="H70" s="15" t="s">
        <v>9</v>
      </c>
      <c r="I70" s="97">
        <v>2</v>
      </c>
      <c r="J70" s="98">
        <v>2</v>
      </c>
      <c r="K70" s="1"/>
      <c r="L70" s="1"/>
      <c r="M70" s="1"/>
      <c r="V70" t="s">
        <v>133</v>
      </c>
      <c r="W70" t="s">
        <v>126</v>
      </c>
      <c r="X70" t="str">
        <f t="shared" si="11"/>
        <v>Karim Rekik (v)</v>
      </c>
      <c r="Y70" s="109">
        <f>AF70</f>
        <v>5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5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24">
        <v>58</v>
      </c>
      <c r="C71" s="208">
        <v>41824</v>
      </c>
      <c r="D71" s="58" t="str">
        <f>IF(J59="","Winnaar 49",IF(J59=1,D59,F59))</f>
        <v>Brazilië</v>
      </c>
      <c r="E71" s="27" t="s">
        <v>9</v>
      </c>
      <c r="F71" s="59" t="str">
        <f>IF(J60="","Winnaar 50",IF(J60=1,D60,F60))</f>
        <v>Italië</v>
      </c>
      <c r="G71" s="87">
        <v>3</v>
      </c>
      <c r="H71" s="27" t="s">
        <v>9</v>
      </c>
      <c r="I71" s="99">
        <v>2</v>
      </c>
      <c r="J71" s="100">
        <v>1</v>
      </c>
      <c r="K71" s="1"/>
      <c r="L71" s="1"/>
      <c r="M71" s="1"/>
      <c r="V71" t="s">
        <v>133</v>
      </c>
      <c r="W71" t="s">
        <v>194</v>
      </c>
      <c r="X71" t="str">
        <f t="shared" si="11"/>
        <v>Ron Vlaar (v)</v>
      </c>
      <c r="Y71" s="109">
        <f>AF71</f>
        <v>5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5</v>
      </c>
      <c r="AG71" s="108">
        <f>IF(AC71="",0,(IF(G71=AC71,1,0)))</f>
        <v>0</v>
      </c>
      <c r="AH71" s="108">
        <f>IF(AD71="",0,(IF(I71=AD71,1,0)))</f>
        <v>0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12">
        <v>59</v>
      </c>
      <c r="C72" s="206">
        <v>41825</v>
      </c>
      <c r="D72" s="55" t="str">
        <f>IF(J65="","Winnaar 55",IF(J65=1,D65,F65))</f>
        <v>Argentinië</v>
      </c>
      <c r="E72" s="15" t="s">
        <v>9</v>
      </c>
      <c r="F72" s="56" t="str">
        <f>IF(J66="","Winnaar 56",IF(J66=1,D66,F66))</f>
        <v>Portugal</v>
      </c>
      <c r="G72" s="85">
        <v>1</v>
      </c>
      <c r="H72" s="15" t="s">
        <v>9</v>
      </c>
      <c r="I72" s="97">
        <v>0</v>
      </c>
      <c r="J72" s="98">
        <v>1</v>
      </c>
      <c r="K72" s="1"/>
      <c r="L72" s="1"/>
      <c r="M72" s="1"/>
      <c r="V72" t="s">
        <v>133</v>
      </c>
      <c r="W72" t="s">
        <v>195</v>
      </c>
      <c r="X72" t="str">
        <f t="shared" si="11"/>
        <v>John Heitinga (v)</v>
      </c>
      <c r="Y72" s="109">
        <f>AF72</f>
        <v>10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10</v>
      </c>
      <c r="AG72" s="108">
        <f>IF(AC72="",0,(IF(G72=AC72,1,0)))</f>
        <v>1</v>
      </c>
      <c r="AH72" s="108">
        <f>IF(AD72="",0,(IF(I72=AD72,1,0)))</f>
        <v>1</v>
      </c>
      <c r="AI72" s="108">
        <f>IF(AND(AG72=1,AH72=1),10,0)</f>
        <v>10</v>
      </c>
      <c r="AJ72" s="108">
        <f>IF(AND(G72&gt;I72,AC72&gt;AD72),5,0)</f>
        <v>5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3">
        <v>60</v>
      </c>
      <c r="C73" s="209">
        <v>41825</v>
      </c>
      <c r="D73" s="61" t="str">
        <f>IF(J61="","Winnaar 51",IF(J61=1,D61,F61))</f>
        <v>Spanje</v>
      </c>
      <c r="E73" s="36" t="s">
        <v>9</v>
      </c>
      <c r="F73" s="62" t="str">
        <f>IF(J62="","Winnaar 52",IF(J62=1,D62,F62))</f>
        <v>Engeland</v>
      </c>
      <c r="G73" s="88">
        <v>2</v>
      </c>
      <c r="H73" s="36" t="s">
        <v>9</v>
      </c>
      <c r="I73" s="103">
        <v>2</v>
      </c>
      <c r="J73" s="104">
        <v>1</v>
      </c>
      <c r="K73" s="1"/>
      <c r="L73" s="1"/>
      <c r="M73" s="1"/>
      <c r="V73" t="s">
        <v>133</v>
      </c>
      <c r="W73" t="s">
        <v>196</v>
      </c>
      <c r="X73" t="str">
        <f t="shared" si="11"/>
        <v>Urby Emanuelson (v)</v>
      </c>
      <c r="Y73" s="109">
        <f>AF73</f>
        <v>5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5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5</v>
      </c>
    </row>
    <row r="74" spans="2:54" ht="15.75" thickBot="1">
      <c r="B74" s="1"/>
      <c r="C74" s="210"/>
      <c r="D74" s="40"/>
      <c r="E74" s="1"/>
      <c r="F74" s="40"/>
      <c r="G74" s="1"/>
      <c r="H74" s="1"/>
      <c r="I74" s="1"/>
      <c r="J74" s="1"/>
      <c r="K74" s="1"/>
      <c r="L74" s="1"/>
      <c r="M74" s="1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195"/>
      <c r="K75" s="1"/>
      <c r="L75" s="1"/>
      <c r="M75" s="1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78" t="s">
        <v>1</v>
      </c>
      <c r="C76" s="122" t="s">
        <v>2</v>
      </c>
      <c r="D76" s="193" t="s">
        <v>3</v>
      </c>
      <c r="E76" s="81"/>
      <c r="F76" s="194" t="s">
        <v>4</v>
      </c>
      <c r="G76" s="867" t="s">
        <v>5</v>
      </c>
      <c r="H76" s="868"/>
      <c r="I76" s="869"/>
      <c r="J76" s="83" t="s">
        <v>6</v>
      </c>
      <c r="K76" s="1"/>
      <c r="L76" s="1"/>
      <c r="M76" s="1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12">
        <v>61</v>
      </c>
      <c r="C77" s="206">
        <v>41828</v>
      </c>
      <c r="D77" s="55" t="str">
        <f>IF(J70="","Winnaar 57",IF(J70=1,D70,F70))</f>
        <v>Duitsland</v>
      </c>
      <c r="E77" s="15" t="s">
        <v>9</v>
      </c>
      <c r="F77" s="56" t="str">
        <f>IF(J71="","Winnaar 58",IF(J71=1,D71,F71))</f>
        <v>Brazilië</v>
      </c>
      <c r="G77" s="85">
        <v>1</v>
      </c>
      <c r="H77" s="15" t="s">
        <v>9</v>
      </c>
      <c r="I77" s="97">
        <v>3</v>
      </c>
      <c r="J77" s="98">
        <v>2</v>
      </c>
      <c r="K77" s="1"/>
      <c r="L77" s="1"/>
      <c r="M77" s="1"/>
      <c r="V77" t="s">
        <v>134</v>
      </c>
      <c r="W77" t="s">
        <v>203</v>
      </c>
      <c r="X77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3">
        <v>62</v>
      </c>
      <c r="C78" s="209">
        <v>41829</v>
      </c>
      <c r="D78" s="61" t="str">
        <f>IF(J72="","Winnaar 59",IF(J72=1,D72,F72))</f>
        <v>Argentinië</v>
      </c>
      <c r="E78" s="36" t="s">
        <v>9</v>
      </c>
      <c r="F78" s="62" t="str">
        <f>IF(J73="","Winnaar 60",IF(J73=1,D73,F73))</f>
        <v>Spanje</v>
      </c>
      <c r="G78" s="88">
        <v>3</v>
      </c>
      <c r="H78" s="36" t="s">
        <v>9</v>
      </c>
      <c r="I78" s="103">
        <v>2</v>
      </c>
      <c r="J78" s="104">
        <v>1</v>
      </c>
      <c r="K78" s="1"/>
      <c r="L78" s="1"/>
      <c r="M78" s="1"/>
      <c r="V78" t="s">
        <v>134</v>
      </c>
      <c r="W78" t="s">
        <v>199</v>
      </c>
      <c r="X78" t="str">
        <f t="shared" si="11"/>
        <v>Leroy Fer (m)</v>
      </c>
      <c r="Y78" s="109">
        <f>AF78</f>
        <v>0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0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1"/>
      <c r="C79" s="210"/>
      <c r="D79" s="40"/>
      <c r="E79" s="1"/>
      <c r="F79" s="40"/>
      <c r="G79" s="1"/>
      <c r="H79" s="1"/>
      <c r="I79" s="1"/>
      <c r="J79" s="1"/>
      <c r="K79" s="1"/>
      <c r="L79" s="1"/>
      <c r="M79" s="1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195"/>
      <c r="K80" s="1"/>
      <c r="L80" s="1"/>
      <c r="M80" s="1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78" t="s">
        <v>1</v>
      </c>
      <c r="C81" s="122" t="s">
        <v>2</v>
      </c>
      <c r="D81" s="193" t="s">
        <v>3</v>
      </c>
      <c r="E81" s="81"/>
      <c r="F81" s="194" t="s">
        <v>4</v>
      </c>
      <c r="G81" s="867" t="s">
        <v>5</v>
      </c>
      <c r="H81" s="868"/>
      <c r="I81" s="869"/>
      <c r="J81" s="83" t="s">
        <v>6</v>
      </c>
      <c r="K81" s="1"/>
      <c r="L81" s="1"/>
      <c r="M81" s="1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2">
        <v>63</v>
      </c>
      <c r="C82" s="215">
        <v>41832</v>
      </c>
      <c r="D82" s="64" t="str">
        <f>IF(J77="","Verliezer 61",IF(J77=1,F77,D77))</f>
        <v>Duitsland</v>
      </c>
      <c r="E82" s="3" t="s">
        <v>9</v>
      </c>
      <c r="F82" s="65" t="str">
        <f>IF(J78="","Verliezer 62",IF(J78=1,F78,D78))</f>
        <v>Spanje</v>
      </c>
      <c r="G82" s="105">
        <v>1</v>
      </c>
      <c r="H82" s="3" t="s">
        <v>9</v>
      </c>
      <c r="I82" s="106">
        <v>0</v>
      </c>
      <c r="J82" s="107">
        <v>1</v>
      </c>
      <c r="K82" s="1"/>
      <c r="L82" s="1"/>
      <c r="M82" s="1"/>
      <c r="V82" t="s">
        <v>134</v>
      </c>
      <c r="W82" t="s">
        <v>125</v>
      </c>
      <c r="X8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1"/>
      <c r="C83" s="210"/>
      <c r="D83" s="40"/>
      <c r="E83" s="1"/>
      <c r="F83" s="40"/>
      <c r="G83" s="1"/>
      <c r="H83" s="1"/>
      <c r="I83" s="1"/>
      <c r="J83" s="1"/>
      <c r="K83" s="1"/>
      <c r="L83" s="1"/>
      <c r="M83" s="1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195"/>
      <c r="K84" s="1"/>
      <c r="L84" s="1"/>
      <c r="M84" s="1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78" t="s">
        <v>1</v>
      </c>
      <c r="C85" s="122" t="s">
        <v>2</v>
      </c>
      <c r="D85" s="193" t="s">
        <v>3</v>
      </c>
      <c r="E85" s="81"/>
      <c r="F85" s="194" t="s">
        <v>4</v>
      </c>
      <c r="G85" s="867" t="s">
        <v>5</v>
      </c>
      <c r="H85" s="868"/>
      <c r="I85" s="869"/>
      <c r="J85" s="83" t="s">
        <v>6</v>
      </c>
      <c r="K85" s="1"/>
      <c r="L85" s="1"/>
      <c r="M85" s="1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2">
        <v>64</v>
      </c>
      <c r="C86" s="215">
        <v>41833</v>
      </c>
      <c r="D86" s="64" t="str">
        <f>IF(J77="","Winnaar 61",IF(J77=1,D77,F77))</f>
        <v>Brazilië</v>
      </c>
      <c r="E86" s="3" t="s">
        <v>9</v>
      </c>
      <c r="F86" s="65" t="str">
        <f>IF(J78="","Winnaar 62",IF(J78=1,D78,F78))</f>
        <v>Argentinië</v>
      </c>
      <c r="G86" s="105">
        <v>3</v>
      </c>
      <c r="H86" s="3" t="s">
        <v>9</v>
      </c>
      <c r="I86" s="106">
        <v>1</v>
      </c>
      <c r="J86" s="107">
        <v>1</v>
      </c>
      <c r="K86" s="1"/>
      <c r="L86" s="1"/>
      <c r="M86" s="1"/>
      <c r="V86" t="s">
        <v>134</v>
      </c>
      <c r="W86" t="s">
        <v>139</v>
      </c>
      <c r="X86" t="str">
        <f t="shared" si="11"/>
        <v>Nigel de Jong (m)</v>
      </c>
      <c r="Y86" s="109">
        <f>AF86</f>
        <v>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0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Brazilië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5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5</v>
      </c>
      <c r="AV89">
        <f>IF(AR89=0,0,IF(E89=AR89,50,0))</f>
        <v>0</v>
      </c>
      <c r="AW89">
        <f>IF(E89=0,0,IF(OR(E89=AR90),15,0))</f>
        <v>0</v>
      </c>
      <c r="AX89">
        <f>IF(E89=0,0,IF(OR(E89=AR91,E89=AR92),5,0))</f>
        <v>5</v>
      </c>
    </row>
    <row r="90" spans="2:50">
      <c r="C90" s="870">
        <v>2</v>
      </c>
      <c r="D90" s="871"/>
      <c r="E90" s="872" t="str">
        <f>IF(J86=2,D86,IF(J86=1,F86,"Wie wordt 2de?"))</f>
        <v>Argentinië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25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25</v>
      </c>
      <c r="AV90">
        <f>IF(AR90=0,0,IF(AR90=E90,25,0))</f>
        <v>25</v>
      </c>
      <c r="AW90">
        <f>IF(E90=0,0,IF(OR(E90=AR89,),15,0))</f>
        <v>0</v>
      </c>
      <c r="AX90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Duitsland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5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5</v>
      </c>
      <c r="AV91">
        <f>IF(AR91=0,0,IF(AR91=E91,15,0))</f>
        <v>0</v>
      </c>
      <c r="AW91">
        <f>IF(E91=0,0,IF(OR(E91=AR92),10,0))</f>
        <v>0</v>
      </c>
      <c r="AX91">
        <f>IF(E91=0,0,IF(OR(E91=AR89,E91=AR90),5,0))</f>
        <v>5</v>
      </c>
    </row>
    <row r="92" spans="2:50">
      <c r="C92" s="870">
        <v>4</v>
      </c>
      <c r="D92" s="871"/>
      <c r="E92" s="872" t="str">
        <f>IF(J82=2,D82,IF(J82=1,F82,"Wie wordt 4de?"))</f>
        <v>Spanje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0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0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35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phoneticPr fontId="24" type="noConversion"/>
  <conditionalFormatting sqref="AO9:AO12 AO15:AO18 AO21:AO24 AO27:AO30 AO33:AO36 AO39:AO42 AO45:AO48 AO51:AO54">
    <cfRule type="cellIs" dxfId="273" priority="3" operator="equal">
      <formula>10</formula>
    </cfRule>
  </conditionalFormatting>
  <conditionalFormatting sqref="P58:T58">
    <cfRule type="duplicateValues" dxfId="272" priority="2"/>
  </conditionalFormatting>
  <conditionalFormatting sqref="P58:T68">
    <cfRule type="duplicateValues" dxfId="271" priority="1"/>
  </conditionalFormatting>
  <dataValidations count="10">
    <dataValidation type="list" allowBlank="1" showInputMessage="1" showErrorMessage="1" sqref="T51:T54">
      <formula1>$W$51:$W$54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P58:P68">
      <formula1>$X$58:$X$98</formula1>
    </dataValidation>
  </dataValidation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>
  <dimension ref="B1:BB98"/>
  <sheetViews>
    <sheetView topLeftCell="A49" zoomScale="70" zoomScaleNormal="70" workbookViewId="0">
      <selection activeCell="D59" sqref="D59"/>
    </sheetView>
  </sheetViews>
  <sheetFormatPr defaultRowHeight="15" outlineLevelCol="2"/>
  <cols>
    <col min="1" max="1" width="3.42578125" style="352" customWidth="1"/>
    <col min="2" max="2" width="3.5703125" style="352" bestFit="1" customWidth="1"/>
    <col min="3" max="3" width="8.5703125" style="123" bestFit="1" customWidth="1"/>
    <col min="4" max="4" width="19.7109375" style="352" bestFit="1" customWidth="1"/>
    <col min="5" max="5" width="3.42578125" style="352" customWidth="1"/>
    <col min="6" max="6" width="19.7109375" style="352" bestFit="1" customWidth="1"/>
    <col min="7" max="7" width="6.7109375" style="352" customWidth="1"/>
    <col min="8" max="8" width="1.5703125" style="352" bestFit="1" customWidth="1"/>
    <col min="9" max="9" width="6.7109375" style="352" customWidth="1"/>
    <col min="10" max="10" width="6.85546875" style="352" bestFit="1" customWidth="1"/>
    <col min="11" max="13" width="9.140625" style="352" hidden="1" customWidth="1" outlineLevel="1"/>
    <col min="14" max="14" width="11.42578125" style="352" bestFit="1" customWidth="1" collapsed="1"/>
    <col min="15" max="15" width="14.7109375" style="352" bestFit="1" customWidth="1"/>
    <col min="16" max="16" width="12.28515625" style="352" bestFit="1" customWidth="1"/>
    <col min="17" max="17" width="8.140625" style="352" bestFit="1" customWidth="1"/>
    <col min="18" max="18" width="7.7109375" style="352" bestFit="1" customWidth="1"/>
    <col min="19" max="19" width="9.140625" style="352"/>
    <col min="20" max="20" width="8.5703125" style="352" bestFit="1" customWidth="1"/>
    <col min="21" max="21" width="9.140625" style="352"/>
    <col min="22" max="23" width="9.140625" style="352" hidden="1" customWidth="1" outlineLevel="1"/>
    <col min="24" max="24" width="2" style="352" hidden="1" customWidth="1" outlineLevel="1"/>
    <col min="25" max="25" width="12.28515625" style="352" bestFit="1" customWidth="1" collapsed="1"/>
    <col min="26" max="27" width="12.28515625" style="352" hidden="1" customWidth="1" outlineLevel="1"/>
    <col min="28" max="28" width="4.7109375" style="352" hidden="1" customWidth="1" outlineLevel="1"/>
    <col min="29" max="38" width="9.140625" style="352" hidden="1" customWidth="1" outlineLevel="1"/>
    <col min="39" max="39" width="7.42578125" style="352" bestFit="1" customWidth="1" collapsed="1"/>
    <col min="40" max="40" width="19.7109375" style="352" hidden="1" customWidth="1" outlineLevel="1"/>
    <col min="41" max="41" width="9.140625" style="352" hidden="1" customWidth="1" outlineLevel="1"/>
    <col min="42" max="42" width="9.140625" style="352" collapsed="1"/>
    <col min="43" max="49" width="9.140625" style="352" hidden="1" customWidth="1" outlineLevel="2"/>
    <col min="50" max="50" width="11.5703125" style="352" hidden="1" customWidth="1" outlineLevel="2"/>
    <col min="51" max="51" width="11.85546875" style="352" hidden="1" customWidth="1" outlineLevel="1" collapsed="1"/>
    <col min="52" max="52" width="9.42578125" style="352" hidden="1" customWidth="1" outlineLevel="1"/>
    <col min="53" max="53" width="10.5703125" style="352" hidden="1" customWidth="1" outlineLevel="1"/>
    <col min="54" max="54" width="9.140625" style="352" collapsed="1"/>
    <col min="55" max="55" width="11.85546875" style="352" bestFit="1" customWidth="1"/>
    <col min="56" max="16384" width="9.140625" style="352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/>
      <c r="E3" s="335"/>
      <c r="F3" s="335"/>
      <c r="N3" s="352">
        <f>D3</f>
        <v>0</v>
      </c>
      <c r="O3" s="144">
        <f>SUM(P3:S3)</f>
        <v>161</v>
      </c>
      <c r="P3" s="109">
        <f>SUM(Y8:Y86)</f>
        <v>161</v>
      </c>
      <c r="Q3" s="109">
        <f>SUM(AM4:AM55)</f>
        <v>0</v>
      </c>
      <c r="R3" s="109">
        <f>SUM(AP89:AP92)</f>
        <v>0</v>
      </c>
      <c r="S3" s="109">
        <f>SUM(BB58:BB69)</f>
        <v>0</v>
      </c>
      <c r="T3" s="109">
        <f>COUNTIF(AF8:AF86,10)</f>
        <v>11</v>
      </c>
      <c r="U3" s="109" t="str">
        <f>E89</f>
        <v>Wie zal het worden?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O6" s="392"/>
      <c r="P6" s="393"/>
      <c r="Q6" s="393"/>
      <c r="R6" s="393"/>
      <c r="S6" s="393"/>
      <c r="T6" s="393"/>
      <c r="U6" s="392"/>
      <c r="V6" s="392"/>
      <c r="W6" s="392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121" t="s">
        <v>2</v>
      </c>
      <c r="D7" s="480" t="s">
        <v>3</v>
      </c>
      <c r="E7" s="419"/>
      <c r="F7" s="481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O7" s="353"/>
      <c r="P7" s="393"/>
      <c r="Q7" s="393"/>
      <c r="R7" s="393"/>
      <c r="S7" s="393"/>
      <c r="T7" s="393"/>
      <c r="U7" s="353"/>
      <c r="V7" s="353"/>
      <c r="W7" s="353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458"/>
      <c r="BB7" s="142"/>
    </row>
    <row r="8" spans="2:54" ht="15.75" thickBot="1">
      <c r="B8" s="357">
        <v>1</v>
      </c>
      <c r="C8" s="124">
        <v>41802</v>
      </c>
      <c r="D8" s="359" t="s">
        <v>8</v>
      </c>
      <c r="E8" s="360" t="s">
        <v>9</v>
      </c>
      <c r="F8" s="361" t="s">
        <v>10</v>
      </c>
      <c r="G8" s="434"/>
      <c r="H8" s="360" t="s">
        <v>9</v>
      </c>
      <c r="I8" s="478"/>
      <c r="J8" s="362" t="str">
        <f>IF(I8="","",IF(G8&gt;I8,1,IF(G8&lt;I8,2,3)))</f>
        <v/>
      </c>
      <c r="K8" s="363" t="str">
        <f>IF(I8="","",IF($G8&gt;$I8,3,IF($G8=$I8,1,0)))</f>
        <v/>
      </c>
      <c r="L8" s="363" t="str">
        <f>IF(I8="","",IF($G8&lt;$I8,3,IF($G8=$I8,1,0)))</f>
        <v/>
      </c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392"/>
      <c r="V8" s="392"/>
      <c r="W8" s="392"/>
      <c r="Y8" s="109">
        <f>AF8</f>
        <v>0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0</v>
      </c>
      <c r="AG8" s="108">
        <f t="shared" ref="AG8:AG55" si="0">IF(AC8="",0,(IF(G8=AC8,1,0)))</f>
        <v>0</v>
      </c>
      <c r="AH8" s="108">
        <f t="shared" ref="AH8:AH55" si="1">IF(AD8="",0,(IF(I8=AD8,1,0)))</f>
        <v>0</v>
      </c>
      <c r="AI8" s="108">
        <f>IF(AND(AG8=1,AH8=1),10,0)</f>
        <v>0</v>
      </c>
      <c r="AJ8" s="108">
        <f t="shared" ref="AJ8:AJ55" si="2">IF(AND(G8&gt;I8,AC8&gt;AD8),5,0)</f>
        <v>0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125">
        <v>41803</v>
      </c>
      <c r="D9" s="366" t="s">
        <v>11</v>
      </c>
      <c r="E9" s="367" t="s">
        <v>9</v>
      </c>
      <c r="F9" s="368" t="s">
        <v>12</v>
      </c>
      <c r="G9" s="435"/>
      <c r="H9" s="367" t="s">
        <v>9</v>
      </c>
      <c r="I9" s="440"/>
      <c r="J9" s="369" t="str">
        <f>IF(I9="","",IF(G9&gt;I9,1,IF(G9&lt;I9,2,3)))</f>
        <v/>
      </c>
      <c r="K9" s="363" t="str">
        <f t="shared" ref="K9:K55" si="5">IF(I9="","",IF($G9&gt;$I9,3,IF($G9=$I9,1,0)))</f>
        <v/>
      </c>
      <c r="L9" s="363" t="str">
        <f t="shared" ref="L9:L55" si="6">IF(I9="","",IF($G9&lt;$I9,3,IF($G9=$I9,1,0)))</f>
        <v/>
      </c>
      <c r="O9" s="394" t="s">
        <v>8</v>
      </c>
      <c r="P9" s="395">
        <f>SUMIF($D$8:$D$55,$O9,$G$8:$G$55)+SUMIF($F$8:$F$55,$O9,$I$8:$I$55)</f>
        <v>0</v>
      </c>
      <c r="Q9" s="395">
        <f>SUMIF($D$8:$D$55,$O9,$I$8:$I$55)+SUMIF($F$8:$F$55,$O9,$G$8:$G$55)</f>
        <v>0</v>
      </c>
      <c r="R9" s="396">
        <f>P9-Q9</f>
        <v>0</v>
      </c>
      <c r="S9" s="397">
        <f>SUMIF($D$8:$D$55,$O9,$K$8:$K$55)+SUMIF($F$8:$F$55,$O9,$L$8:$L$55)</f>
        <v>0</v>
      </c>
      <c r="T9" s="444"/>
      <c r="U9" s="392"/>
      <c r="V9" s="392" t="str">
        <f>O9</f>
        <v>Brazilië</v>
      </c>
      <c r="W9" s="392" t="s">
        <v>48</v>
      </c>
      <c r="Y9" s="109">
        <f t="shared" ref="Y9:Y55" si="7">AF9</f>
        <v>1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8">IF(OR(AC9="",AD9=""),0,(IF(SUM(AG9:AL9)&gt;10,10,SUM(AG9:AL9))))</f>
        <v>1</v>
      </c>
      <c r="AG9" s="108">
        <f t="shared" si="0"/>
        <v>0</v>
      </c>
      <c r="AH9" s="108">
        <f t="shared" si="1"/>
        <v>1</v>
      </c>
      <c r="AI9" s="108">
        <f t="shared" ref="AI9:AI55" si="9">IF(AND(AG9=1,AH9=1),10,0)</f>
        <v>0</v>
      </c>
      <c r="AJ9" s="108">
        <f t="shared" si="2"/>
        <v>0</v>
      </c>
      <c r="AK9" s="108">
        <f t="shared" si="3"/>
        <v>0</v>
      </c>
      <c r="AL9" s="108">
        <f t="shared" si="4"/>
        <v>0</v>
      </c>
      <c r="AM9" s="120">
        <f>AO9</f>
        <v>0</v>
      </c>
      <c r="AN9" s="116" t="s">
        <v>8</v>
      </c>
      <c r="AO9" s="115">
        <f>IF(Uitslag!T9="",0,IF(T9=Uitslag!T9,10,0))</f>
        <v>0</v>
      </c>
    </row>
    <row r="10" spans="2:54" ht="15.75" thickBot="1">
      <c r="B10" s="370">
        <v>3</v>
      </c>
      <c r="C10" s="126">
        <v>41803</v>
      </c>
      <c r="D10" s="372" t="s">
        <v>13</v>
      </c>
      <c r="E10" s="373" t="s">
        <v>9</v>
      </c>
      <c r="F10" s="374" t="s">
        <v>14</v>
      </c>
      <c r="G10" s="436"/>
      <c r="H10" s="373" t="s">
        <v>9</v>
      </c>
      <c r="I10" s="441"/>
      <c r="J10" s="375" t="str">
        <f t="shared" ref="J10:J55" si="10">IF(I10="","",IF(G10&gt;I10,1,IF(G10&lt;I10,2,3)))</f>
        <v/>
      </c>
      <c r="K10" s="363" t="str">
        <f t="shared" si="5"/>
        <v/>
      </c>
      <c r="L10" s="363" t="str">
        <f t="shared" si="6"/>
        <v/>
      </c>
      <c r="O10" s="398" t="s">
        <v>10</v>
      </c>
      <c r="P10" s="399">
        <f>SUMIF($D$8:$D$55,$O10,$G$8:$G$55)+SUMIF($F$8:$F$55,$O10,$I$8:$I$55)</f>
        <v>0</v>
      </c>
      <c r="Q10" s="399">
        <f>SUMIF($D$8:$D$55,$O10,$I$8:$I$55)+SUMIF($F$8:$F$55,$O10,$G$8:$G$55)</f>
        <v>0</v>
      </c>
      <c r="R10" s="399">
        <f>P10-Q10</f>
        <v>0</v>
      </c>
      <c r="S10" s="400">
        <f>SUMIF($D$8:$D$55,$O10,$K$8:$K$55)+SUMIF($F$8:$F$55,$O10,$L$8:$L$55)</f>
        <v>0</v>
      </c>
      <c r="T10" s="445"/>
      <c r="U10" s="392"/>
      <c r="V10" s="392" t="str">
        <f>O10</f>
        <v>Kroatië</v>
      </c>
      <c r="W10" s="392" t="s">
        <v>49</v>
      </c>
      <c r="Y10" s="109">
        <f t="shared" si="7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8"/>
        <v>0</v>
      </c>
      <c r="AG10" s="108">
        <f t="shared" si="0"/>
        <v>0</v>
      </c>
      <c r="AH10" s="108">
        <f t="shared" si="1"/>
        <v>0</v>
      </c>
      <c r="AI10" s="108">
        <f t="shared" si="9"/>
        <v>0</v>
      </c>
      <c r="AJ10" s="108">
        <f t="shared" si="2"/>
        <v>0</v>
      </c>
      <c r="AK10" s="108">
        <f t="shared" si="3"/>
        <v>0</v>
      </c>
      <c r="AL10" s="108">
        <f t="shared" si="4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376">
        <v>4</v>
      </c>
      <c r="C11" s="127">
        <v>41803</v>
      </c>
      <c r="D11" s="378" t="s">
        <v>15</v>
      </c>
      <c r="E11" s="379" t="s">
        <v>9</v>
      </c>
      <c r="F11" s="380" t="s">
        <v>16</v>
      </c>
      <c r="G11" s="437"/>
      <c r="H11" s="379" t="s">
        <v>9</v>
      </c>
      <c r="I11" s="442"/>
      <c r="J11" s="381" t="str">
        <f t="shared" si="10"/>
        <v/>
      </c>
      <c r="K11" s="363" t="str">
        <f t="shared" si="5"/>
        <v/>
      </c>
      <c r="L11" s="363" t="str">
        <f t="shared" si="6"/>
        <v/>
      </c>
      <c r="O11" s="398" t="s">
        <v>11</v>
      </c>
      <c r="P11" s="399">
        <f>SUMIF($D$8:$D$55,$O11,$G$8:$G$55)+SUMIF($F$8:$F$55,$O11,$I$8:$I$55)</f>
        <v>0</v>
      </c>
      <c r="Q11" s="399">
        <f>SUMIF($D$8:$D$55,$O11,$I$8:$I$55)+SUMIF($F$8:$F$55,$O11,$G$8:$G$55)</f>
        <v>0</v>
      </c>
      <c r="R11" s="399">
        <f>P11-Q11</f>
        <v>0</v>
      </c>
      <c r="S11" s="400">
        <f>SUMIF($D$8:$D$55,$O11,$K$8:$K$55)+SUMIF($F$8:$F$55,$O11,$L$8:$L$55)</f>
        <v>0</v>
      </c>
      <c r="T11" s="445"/>
      <c r="U11" s="392"/>
      <c r="V11" s="392" t="str">
        <f>O11</f>
        <v>Mexico</v>
      </c>
      <c r="W11" s="392" t="s">
        <v>47</v>
      </c>
      <c r="Y11" s="109">
        <f t="shared" si="7"/>
        <v>0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8"/>
        <v>0</v>
      </c>
      <c r="AG11" s="108">
        <f t="shared" si="0"/>
        <v>0</v>
      </c>
      <c r="AH11" s="108">
        <f t="shared" si="1"/>
        <v>0</v>
      </c>
      <c r="AI11" s="108">
        <f t="shared" si="9"/>
        <v>0</v>
      </c>
      <c r="AJ11" s="108">
        <f t="shared" si="2"/>
        <v>0</v>
      </c>
      <c r="AK11" s="108">
        <f t="shared" si="3"/>
        <v>0</v>
      </c>
      <c r="AL11" s="108">
        <f t="shared" si="4"/>
        <v>0</v>
      </c>
      <c r="AM11" s="120">
        <f>AO11</f>
        <v>0</v>
      </c>
      <c r="AN11" s="117" t="s">
        <v>11</v>
      </c>
      <c r="AO11" s="115">
        <f>IF(Uitslag!T11="",0,IF(T11=Uitslag!T11,10,0))</f>
        <v>0</v>
      </c>
    </row>
    <row r="12" spans="2:54" ht="15.75" thickBot="1">
      <c r="B12" s="364">
        <v>5</v>
      </c>
      <c r="C12" s="125">
        <v>41804</v>
      </c>
      <c r="D12" s="366" t="s">
        <v>17</v>
      </c>
      <c r="E12" s="367" t="s">
        <v>9</v>
      </c>
      <c r="F12" s="368" t="s">
        <v>18</v>
      </c>
      <c r="G12" s="435"/>
      <c r="H12" s="367" t="s">
        <v>9</v>
      </c>
      <c r="I12" s="440"/>
      <c r="J12" s="369" t="str">
        <f t="shared" si="10"/>
        <v/>
      </c>
      <c r="K12" s="363" t="str">
        <f t="shared" si="5"/>
        <v/>
      </c>
      <c r="L12" s="363" t="str">
        <f t="shared" si="6"/>
        <v/>
      </c>
      <c r="O12" s="401" t="s">
        <v>12</v>
      </c>
      <c r="P12" s="402">
        <f>SUMIF($D$8:$D$55,$O12,$G$8:$G$55)+SUMIF($F$8:$F$55,$O12,$I$8:$I$55)</f>
        <v>0</v>
      </c>
      <c r="Q12" s="402">
        <f>SUMIF($D$8:$D$55,$O12,$I$8:$I$55)+SUMIF($F$8:$F$55,$O12,$G$8:$G$55)</f>
        <v>0</v>
      </c>
      <c r="R12" s="402">
        <f>P12-Q12</f>
        <v>0</v>
      </c>
      <c r="S12" s="403">
        <f>SUMIF($D$8:$D$55,$O12,$K$8:$K$55)+SUMIF($F$8:$F$55,$O12,$L$8:$L$55)</f>
        <v>0</v>
      </c>
      <c r="T12" s="446"/>
      <c r="U12" s="392"/>
      <c r="V12" s="392" t="str">
        <f>O12</f>
        <v>Kameroen</v>
      </c>
      <c r="W12" s="392" t="s">
        <v>50</v>
      </c>
      <c r="Y12" s="109">
        <f t="shared" si="7"/>
        <v>1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8"/>
        <v>1</v>
      </c>
      <c r="AG12" s="108">
        <f t="shared" si="0"/>
        <v>0</v>
      </c>
      <c r="AH12" s="108">
        <f t="shared" si="1"/>
        <v>1</v>
      </c>
      <c r="AI12" s="108">
        <f t="shared" si="9"/>
        <v>0</v>
      </c>
      <c r="AJ12" s="108">
        <f t="shared" si="2"/>
        <v>0</v>
      </c>
      <c r="AK12" s="108">
        <f t="shared" si="3"/>
        <v>0</v>
      </c>
      <c r="AL12" s="108">
        <f t="shared" si="4"/>
        <v>0</v>
      </c>
      <c r="AM12" s="120">
        <f>AO12</f>
        <v>0</v>
      </c>
      <c r="AN12" s="118" t="s">
        <v>12</v>
      </c>
      <c r="AO12" s="115">
        <f>IF(Uitslag!T12="",0,IF(T12=Uitslag!T12,10,0))</f>
        <v>0</v>
      </c>
    </row>
    <row r="13" spans="2:54" ht="15.75" thickBot="1">
      <c r="B13" s="370">
        <v>6</v>
      </c>
      <c r="C13" s="126">
        <v>41804</v>
      </c>
      <c r="D13" s="372" t="s">
        <v>19</v>
      </c>
      <c r="E13" s="373" t="s">
        <v>9</v>
      </c>
      <c r="F13" s="382" t="s">
        <v>20</v>
      </c>
      <c r="G13" s="436"/>
      <c r="H13" s="373" t="s">
        <v>9</v>
      </c>
      <c r="I13" s="441"/>
      <c r="J13" s="375" t="str">
        <f t="shared" si="10"/>
        <v/>
      </c>
      <c r="K13" s="363" t="str">
        <f t="shared" si="5"/>
        <v/>
      </c>
      <c r="L13" s="363" t="str">
        <f t="shared" si="6"/>
        <v/>
      </c>
      <c r="O13" s="392"/>
      <c r="P13" s="393"/>
      <c r="Q13" s="393"/>
      <c r="R13" s="393"/>
      <c r="S13" s="393"/>
      <c r="T13" s="393"/>
      <c r="U13" s="392"/>
      <c r="V13" s="392"/>
      <c r="W13" s="392"/>
      <c r="Y13" s="109">
        <f t="shared" si="7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8"/>
        <v>0</v>
      </c>
      <c r="AG13" s="108">
        <f t="shared" si="0"/>
        <v>0</v>
      </c>
      <c r="AH13" s="108">
        <f t="shared" si="1"/>
        <v>0</v>
      </c>
      <c r="AI13" s="108">
        <f t="shared" si="9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392"/>
      <c r="AO13" s="393"/>
    </row>
    <row r="14" spans="2:54" ht="15.75" thickBot="1">
      <c r="B14" s="370">
        <v>7</v>
      </c>
      <c r="C14" s="126">
        <v>41804</v>
      </c>
      <c r="D14" s="372" t="s">
        <v>21</v>
      </c>
      <c r="E14" s="373" t="s">
        <v>9</v>
      </c>
      <c r="F14" s="382" t="s">
        <v>22</v>
      </c>
      <c r="G14" s="436"/>
      <c r="H14" s="373" t="s">
        <v>9</v>
      </c>
      <c r="I14" s="441"/>
      <c r="J14" s="375" t="str">
        <f t="shared" si="10"/>
        <v/>
      </c>
      <c r="K14" s="363" t="str">
        <f t="shared" si="5"/>
        <v/>
      </c>
      <c r="L14" s="363" t="str">
        <f t="shared" si="6"/>
        <v/>
      </c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392"/>
      <c r="V14" s="392"/>
      <c r="W14" s="392"/>
      <c r="Y14" s="109">
        <f t="shared" si="7"/>
        <v>0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8"/>
        <v>0</v>
      </c>
      <c r="AG14" s="108">
        <f t="shared" si="0"/>
        <v>0</v>
      </c>
      <c r="AH14" s="108">
        <f t="shared" si="1"/>
        <v>0</v>
      </c>
      <c r="AI14" s="108">
        <f t="shared" si="9"/>
        <v>0</v>
      </c>
      <c r="AJ14" s="108">
        <f t="shared" si="2"/>
        <v>0</v>
      </c>
      <c r="AK14" s="108">
        <f t="shared" si="3"/>
        <v>0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127">
        <v>41804</v>
      </c>
      <c r="D15" s="378" t="s">
        <v>23</v>
      </c>
      <c r="E15" s="379" t="s">
        <v>9</v>
      </c>
      <c r="F15" s="380" t="s">
        <v>24</v>
      </c>
      <c r="G15" s="437"/>
      <c r="H15" s="379" t="s">
        <v>9</v>
      </c>
      <c r="I15" s="442"/>
      <c r="J15" s="381" t="str">
        <f t="shared" si="10"/>
        <v/>
      </c>
      <c r="K15" s="363" t="str">
        <f t="shared" si="5"/>
        <v/>
      </c>
      <c r="L15" s="363" t="str">
        <f t="shared" si="6"/>
        <v/>
      </c>
      <c r="O15" s="394" t="s">
        <v>13</v>
      </c>
      <c r="P15" s="395">
        <f>SUMIF($D$8:$D$55,$O15,$G$8:$G$55)+SUMIF($F$8:$F$55,$O15,$I$8:$I$55)</f>
        <v>0</v>
      </c>
      <c r="Q15" s="395">
        <f>SUMIF($D$8:$D$55,$O15,$I$8:$I$55)+SUMIF($F$8:$F$55,$O15,$G$8:$G$55)</f>
        <v>0</v>
      </c>
      <c r="R15" s="396">
        <f>P15-Q15</f>
        <v>0</v>
      </c>
      <c r="S15" s="397">
        <f>SUMIF($D$8:$D$55,$O15,$K$8:$K$55)+SUMIF($F$8:$F$55,$O15,$L$8:$L$55)</f>
        <v>0</v>
      </c>
      <c r="T15" s="444"/>
      <c r="U15" s="392"/>
      <c r="V15" s="392" t="str">
        <f>O15</f>
        <v>Spanje</v>
      </c>
      <c r="W15" s="392" t="s">
        <v>52</v>
      </c>
      <c r="Y15" s="109">
        <f t="shared" si="7"/>
        <v>0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8"/>
        <v>0</v>
      </c>
      <c r="AG15" s="108">
        <f t="shared" si="0"/>
        <v>0</v>
      </c>
      <c r="AH15" s="108">
        <f t="shared" si="1"/>
        <v>0</v>
      </c>
      <c r="AI15" s="108">
        <f t="shared" si="9"/>
        <v>0</v>
      </c>
      <c r="AJ15" s="108">
        <f t="shared" si="2"/>
        <v>0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125">
        <v>41805</v>
      </c>
      <c r="D16" s="366" t="s">
        <v>25</v>
      </c>
      <c r="E16" s="367" t="s">
        <v>9</v>
      </c>
      <c r="F16" s="368" t="s">
        <v>26</v>
      </c>
      <c r="G16" s="435"/>
      <c r="H16" s="367" t="s">
        <v>9</v>
      </c>
      <c r="I16" s="440"/>
      <c r="J16" s="369" t="str">
        <f t="shared" si="10"/>
        <v/>
      </c>
      <c r="K16" s="363" t="str">
        <f t="shared" si="5"/>
        <v/>
      </c>
      <c r="L16" s="363" t="str">
        <f t="shared" si="6"/>
        <v/>
      </c>
      <c r="O16" s="404" t="s">
        <v>14</v>
      </c>
      <c r="P16" s="399">
        <f>SUMIF($D$8:$D$55,$O16,$G$8:$G$55)+SUMIF($F$8:$F$55,$O16,$I$8:$I$55)</f>
        <v>0</v>
      </c>
      <c r="Q16" s="399">
        <f>SUMIF($D$8:$D$55,$O16,$I$8:$I$55)+SUMIF($F$8:$F$55,$O16,$G$8:$G$55)</f>
        <v>0</v>
      </c>
      <c r="R16" s="399">
        <f>P16-Q16</f>
        <v>0</v>
      </c>
      <c r="S16" s="400">
        <f>SUMIF($D$8:$D$55,$O16,$K$8:$K$55)+SUMIF($F$8:$F$55,$O16,$L$8:$L$55)</f>
        <v>0</v>
      </c>
      <c r="T16" s="445"/>
      <c r="U16" s="392"/>
      <c r="V16" s="392" t="str">
        <f>O16</f>
        <v>Nederland</v>
      </c>
      <c r="W16" s="392" t="s">
        <v>53</v>
      </c>
      <c r="Y16" s="109">
        <f t="shared" si="7"/>
        <v>0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8"/>
        <v>0</v>
      </c>
      <c r="AG16" s="108">
        <f t="shared" si="0"/>
        <v>0</v>
      </c>
      <c r="AH16" s="108">
        <f t="shared" si="1"/>
        <v>0</v>
      </c>
      <c r="AI16" s="108">
        <f t="shared" si="9"/>
        <v>0</v>
      </c>
      <c r="AJ16" s="108">
        <f t="shared" si="2"/>
        <v>0</v>
      </c>
      <c r="AK16" s="108">
        <f t="shared" si="3"/>
        <v>0</v>
      </c>
      <c r="AL16" s="108">
        <f t="shared" si="4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370">
        <v>10</v>
      </c>
      <c r="C17" s="126">
        <v>41805</v>
      </c>
      <c r="D17" s="372" t="s">
        <v>27</v>
      </c>
      <c r="E17" s="373" t="s">
        <v>9</v>
      </c>
      <c r="F17" s="382" t="s">
        <v>28</v>
      </c>
      <c r="G17" s="436"/>
      <c r="H17" s="373" t="s">
        <v>9</v>
      </c>
      <c r="I17" s="441"/>
      <c r="J17" s="375" t="str">
        <f t="shared" si="10"/>
        <v/>
      </c>
      <c r="K17" s="363" t="str">
        <f t="shared" si="5"/>
        <v/>
      </c>
      <c r="L17" s="363" t="str">
        <f t="shared" si="6"/>
        <v/>
      </c>
      <c r="O17" s="398" t="s">
        <v>15</v>
      </c>
      <c r="P17" s="399">
        <f>SUMIF($D$8:$D$55,$O17,$G$8:$G$55)+SUMIF($F$8:$F$55,$O17,$I$8:$I$55)</f>
        <v>0</v>
      </c>
      <c r="Q17" s="399">
        <f>SUMIF($D$8:$D$55,$O17,$I$8:$I$55)+SUMIF($F$8:$F$55,$O17,$G$8:$G$55)</f>
        <v>0</v>
      </c>
      <c r="R17" s="399">
        <f>P17-Q17</f>
        <v>0</v>
      </c>
      <c r="S17" s="400">
        <f>SUMIF($D$8:$D$55,$O17,$K$8:$K$55)+SUMIF($F$8:$F$55,$O17,$L$8:$L$55)</f>
        <v>0</v>
      </c>
      <c r="T17" s="445"/>
      <c r="U17" s="392"/>
      <c r="V17" s="392" t="str">
        <f>O17</f>
        <v>Chili</v>
      </c>
      <c r="W17" s="392" t="s">
        <v>54</v>
      </c>
      <c r="Y17" s="109">
        <f t="shared" si="7"/>
        <v>1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8"/>
        <v>1</v>
      </c>
      <c r="AG17" s="108">
        <f t="shared" si="0"/>
        <v>0</v>
      </c>
      <c r="AH17" s="108">
        <f t="shared" si="1"/>
        <v>1</v>
      </c>
      <c r="AI17" s="108">
        <f t="shared" si="9"/>
        <v>0</v>
      </c>
      <c r="AJ17" s="108">
        <f t="shared" si="2"/>
        <v>0</v>
      </c>
      <c r="AK17" s="108">
        <f t="shared" si="3"/>
        <v>0</v>
      </c>
      <c r="AL17" s="108">
        <f t="shared" si="4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376">
        <v>11</v>
      </c>
      <c r="C18" s="127">
        <v>41805</v>
      </c>
      <c r="D18" s="378" t="s">
        <v>29</v>
      </c>
      <c r="E18" s="379" t="s">
        <v>9</v>
      </c>
      <c r="F18" s="380" t="s">
        <v>30</v>
      </c>
      <c r="G18" s="437"/>
      <c r="H18" s="379" t="s">
        <v>9</v>
      </c>
      <c r="I18" s="442"/>
      <c r="J18" s="381" t="str">
        <f t="shared" si="10"/>
        <v/>
      </c>
      <c r="K18" s="363" t="str">
        <f t="shared" si="5"/>
        <v/>
      </c>
      <c r="L18" s="363" t="str">
        <f t="shared" si="6"/>
        <v/>
      </c>
      <c r="O18" s="401" t="s">
        <v>16</v>
      </c>
      <c r="P18" s="402">
        <f>SUMIF($D$8:$D$55,$O18,$G$8:$G$55)+SUMIF($F$8:$F$55,$O18,$I$8:$I$55)</f>
        <v>0</v>
      </c>
      <c r="Q18" s="402">
        <f>SUMIF($D$8:$D$55,$O18,$I$8:$I$55)+SUMIF($F$8:$F$55,$O18,$G$8:$G$55)</f>
        <v>0</v>
      </c>
      <c r="R18" s="402">
        <f>P18-Q18</f>
        <v>0</v>
      </c>
      <c r="S18" s="403">
        <f>SUMIF($D$8:$D$55,$O18,$K$8:$K$55)+SUMIF($F$8:$F$55,$O18,$L$8:$L$55)</f>
        <v>0</v>
      </c>
      <c r="T18" s="446"/>
      <c r="U18" s="392"/>
      <c r="V18" s="392" t="str">
        <f>O18</f>
        <v>Australië</v>
      </c>
      <c r="W18" s="392" t="s">
        <v>55</v>
      </c>
      <c r="Y18" s="109">
        <f t="shared" si="7"/>
        <v>0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8"/>
        <v>0</v>
      </c>
      <c r="AG18" s="108">
        <f t="shared" si="0"/>
        <v>0</v>
      </c>
      <c r="AH18" s="108">
        <f t="shared" si="1"/>
        <v>0</v>
      </c>
      <c r="AI18" s="108">
        <f t="shared" si="9"/>
        <v>0</v>
      </c>
      <c r="AJ18" s="108">
        <f t="shared" si="2"/>
        <v>0</v>
      </c>
      <c r="AK18" s="108">
        <f t="shared" si="3"/>
        <v>0</v>
      </c>
      <c r="AL18" s="108">
        <f t="shared" si="4"/>
        <v>0</v>
      </c>
      <c r="AM18" s="120">
        <f>AO18</f>
        <v>0</v>
      </c>
      <c r="AN18" s="118" t="s">
        <v>16</v>
      </c>
      <c r="AO18" s="115">
        <f>IF(Uitslag!T18="",0,IF(T18=Uitslag!T18,10,0))</f>
        <v>0</v>
      </c>
    </row>
    <row r="19" spans="2:41" ht="15.75" thickBot="1">
      <c r="B19" s="364">
        <v>12</v>
      </c>
      <c r="C19" s="125">
        <v>41806</v>
      </c>
      <c r="D19" s="366" t="s">
        <v>31</v>
      </c>
      <c r="E19" s="367" t="s">
        <v>9</v>
      </c>
      <c r="F19" s="368" t="s">
        <v>32</v>
      </c>
      <c r="G19" s="435"/>
      <c r="H19" s="367" t="s">
        <v>9</v>
      </c>
      <c r="I19" s="440"/>
      <c r="J19" s="369" t="str">
        <f t="shared" si="10"/>
        <v/>
      </c>
      <c r="K19" s="363" t="str">
        <f t="shared" si="5"/>
        <v/>
      </c>
      <c r="L19" s="363" t="str">
        <f t="shared" si="6"/>
        <v/>
      </c>
      <c r="O19" s="392"/>
      <c r="P19" s="393"/>
      <c r="Q19" s="393"/>
      <c r="R19" s="393"/>
      <c r="S19" s="393"/>
      <c r="T19" s="393"/>
      <c r="U19" s="392"/>
      <c r="V19" s="392"/>
      <c r="W19" s="392"/>
      <c r="Y19" s="109">
        <f t="shared" si="7"/>
        <v>1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8"/>
        <v>1</v>
      </c>
      <c r="AG19" s="108">
        <f t="shared" si="0"/>
        <v>0</v>
      </c>
      <c r="AH19" s="108">
        <f t="shared" si="1"/>
        <v>1</v>
      </c>
      <c r="AI19" s="108">
        <f t="shared" si="9"/>
        <v>0</v>
      </c>
      <c r="AJ19" s="108">
        <f t="shared" si="2"/>
        <v>0</v>
      </c>
      <c r="AK19" s="108">
        <f t="shared" si="3"/>
        <v>0</v>
      </c>
      <c r="AL19" s="108">
        <f t="shared" si="4"/>
        <v>0</v>
      </c>
      <c r="AN19" s="392"/>
      <c r="AO19" s="393"/>
    </row>
    <row r="20" spans="2:41" ht="15.75" thickBot="1">
      <c r="B20" s="370">
        <v>13</v>
      </c>
      <c r="C20" s="126">
        <v>41806</v>
      </c>
      <c r="D20" s="372" t="s">
        <v>33</v>
      </c>
      <c r="E20" s="373" t="s">
        <v>9</v>
      </c>
      <c r="F20" s="382" t="s">
        <v>34</v>
      </c>
      <c r="G20" s="436"/>
      <c r="H20" s="373" t="s">
        <v>9</v>
      </c>
      <c r="I20" s="441"/>
      <c r="J20" s="375" t="str">
        <f t="shared" si="10"/>
        <v/>
      </c>
      <c r="K20" s="363" t="str">
        <f t="shared" si="5"/>
        <v/>
      </c>
      <c r="L20" s="363" t="str">
        <f t="shared" si="6"/>
        <v/>
      </c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392"/>
      <c r="V20" s="392"/>
      <c r="W20" s="392"/>
      <c r="Y20" s="109">
        <f t="shared" si="7"/>
        <v>10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8"/>
        <v>10</v>
      </c>
      <c r="AG20" s="108">
        <f t="shared" si="0"/>
        <v>1</v>
      </c>
      <c r="AH20" s="108">
        <f t="shared" si="1"/>
        <v>1</v>
      </c>
      <c r="AI20" s="108">
        <f t="shared" si="9"/>
        <v>10</v>
      </c>
      <c r="AJ20" s="108">
        <f t="shared" si="2"/>
        <v>0</v>
      </c>
      <c r="AK20" s="108">
        <f t="shared" si="3"/>
        <v>0</v>
      </c>
      <c r="AL20" s="108">
        <f t="shared" si="4"/>
        <v>5</v>
      </c>
      <c r="AN20" s="42" t="s">
        <v>56</v>
      </c>
      <c r="AO20" s="43" t="s">
        <v>46</v>
      </c>
    </row>
    <row r="21" spans="2:41" ht="15.75" thickBot="1">
      <c r="B21" s="376">
        <v>14</v>
      </c>
      <c r="C21" s="127">
        <v>41806</v>
      </c>
      <c r="D21" s="378" t="s">
        <v>35</v>
      </c>
      <c r="E21" s="379" t="s">
        <v>9</v>
      </c>
      <c r="F21" s="380" t="s">
        <v>36</v>
      </c>
      <c r="G21" s="437"/>
      <c r="H21" s="379" t="s">
        <v>9</v>
      </c>
      <c r="I21" s="442"/>
      <c r="J21" s="381" t="str">
        <f t="shared" si="10"/>
        <v/>
      </c>
      <c r="K21" s="363" t="str">
        <f t="shared" si="5"/>
        <v/>
      </c>
      <c r="L21" s="363" t="str">
        <f t="shared" si="6"/>
        <v/>
      </c>
      <c r="O21" s="394" t="s">
        <v>17</v>
      </c>
      <c r="P21" s="395">
        <f>SUMIF($D$8:$D$55,$O21,$G$8:$G$55)+SUMIF($F$8:$F$55,$O21,$I$8:$I$55)</f>
        <v>0</v>
      </c>
      <c r="Q21" s="395">
        <f>SUMIF($D$8:$D$55,$O21,$I$8:$I$55)+SUMIF($F$8:$F$55,$O21,$G$8:$G$55)</f>
        <v>0</v>
      </c>
      <c r="R21" s="396">
        <f>P21-Q21</f>
        <v>0</v>
      </c>
      <c r="S21" s="397">
        <f>SUMIF($D$8:$D$55,$O21,$K$8:$K$55)+SUMIF($F$8:$F$55,$O21,$L$8:$L$55)</f>
        <v>0</v>
      </c>
      <c r="T21" s="444"/>
      <c r="U21" s="392"/>
      <c r="V21" s="392" t="str">
        <f>O21</f>
        <v>Colombia</v>
      </c>
      <c r="W21" s="392" t="s">
        <v>57</v>
      </c>
      <c r="Y21" s="109">
        <f t="shared" si="7"/>
        <v>0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8"/>
        <v>0</v>
      </c>
      <c r="AG21" s="108">
        <f t="shared" si="0"/>
        <v>0</v>
      </c>
      <c r="AH21" s="108">
        <f t="shared" si="1"/>
        <v>0</v>
      </c>
      <c r="AI21" s="108">
        <f t="shared" si="9"/>
        <v>0</v>
      </c>
      <c r="AJ21" s="108">
        <f t="shared" si="2"/>
        <v>0</v>
      </c>
      <c r="AK21" s="108">
        <f t="shared" si="3"/>
        <v>0</v>
      </c>
      <c r="AL21" s="108">
        <f t="shared" si="4"/>
        <v>0</v>
      </c>
      <c r="AM21" s="120">
        <f>AO21</f>
        <v>0</v>
      </c>
      <c r="AN21" s="116" t="s">
        <v>17</v>
      </c>
      <c r="AO21" s="115">
        <f>IF(Uitslag!T21="",0,IF(T21=Uitslag!T21,10,0))</f>
        <v>0</v>
      </c>
    </row>
    <row r="22" spans="2:41" ht="15.75" thickBot="1">
      <c r="B22" s="364">
        <v>15</v>
      </c>
      <c r="C22" s="125">
        <v>41807</v>
      </c>
      <c r="D22" s="366" t="s">
        <v>37</v>
      </c>
      <c r="E22" s="367" t="s">
        <v>9</v>
      </c>
      <c r="F22" s="368" t="s">
        <v>38</v>
      </c>
      <c r="G22" s="435"/>
      <c r="H22" s="367" t="s">
        <v>9</v>
      </c>
      <c r="I22" s="440"/>
      <c r="J22" s="369" t="str">
        <f t="shared" si="10"/>
        <v/>
      </c>
      <c r="K22" s="363" t="str">
        <f t="shared" si="5"/>
        <v/>
      </c>
      <c r="L22" s="363" t="str">
        <f t="shared" si="6"/>
        <v/>
      </c>
      <c r="O22" s="398" t="s">
        <v>18</v>
      </c>
      <c r="P22" s="399">
        <f>SUMIF($D$8:$D$55,$O22,$G$8:$G$55)+SUMIF($F$8:$F$55,$O22,$I$8:$I$55)</f>
        <v>0</v>
      </c>
      <c r="Q22" s="399">
        <f>SUMIF($D$8:$D$55,$O22,$I$8:$I$55)+SUMIF($F$8:$F$55,$O22,$G$8:$G$55)</f>
        <v>0</v>
      </c>
      <c r="R22" s="399">
        <f>P22-Q22</f>
        <v>0</v>
      </c>
      <c r="S22" s="400">
        <f>SUMIF($D$8:$D$55,$O22,$K$8:$K$55)+SUMIF($F$8:$F$55,$O22,$L$8:$L$55)</f>
        <v>0</v>
      </c>
      <c r="T22" s="445"/>
      <c r="U22" s="392"/>
      <c r="V22" s="392" t="str">
        <f>O22</f>
        <v>Griekenland</v>
      </c>
      <c r="W22" s="392" t="s">
        <v>58</v>
      </c>
      <c r="Y22" s="109">
        <f t="shared" si="7"/>
        <v>0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8"/>
        <v>0</v>
      </c>
      <c r="AG22" s="108">
        <f t="shared" si="0"/>
        <v>0</v>
      </c>
      <c r="AH22" s="108">
        <f t="shared" si="1"/>
        <v>0</v>
      </c>
      <c r="AI22" s="108">
        <f t="shared" si="9"/>
        <v>0</v>
      </c>
      <c r="AJ22" s="108">
        <f t="shared" si="2"/>
        <v>0</v>
      </c>
      <c r="AK22" s="108">
        <f t="shared" si="3"/>
        <v>0</v>
      </c>
      <c r="AL22" s="108">
        <f t="shared" si="4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370">
        <v>16</v>
      </c>
      <c r="C23" s="126">
        <v>41807</v>
      </c>
      <c r="D23" s="372" t="s">
        <v>8</v>
      </c>
      <c r="E23" s="373" t="s">
        <v>9</v>
      </c>
      <c r="F23" s="382" t="s">
        <v>11</v>
      </c>
      <c r="G23" s="436"/>
      <c r="H23" s="373" t="s">
        <v>9</v>
      </c>
      <c r="I23" s="441"/>
      <c r="J23" s="375" t="str">
        <f t="shared" si="10"/>
        <v/>
      </c>
      <c r="K23" s="363" t="str">
        <f t="shared" si="5"/>
        <v/>
      </c>
      <c r="L23" s="363" t="str">
        <f t="shared" si="6"/>
        <v/>
      </c>
      <c r="O23" s="398" t="s">
        <v>23</v>
      </c>
      <c r="P23" s="399">
        <f>SUMIF($D$8:$D$55,$O23,$G$8:$G$55)+SUMIF($F$8:$F$55,$O23,$I$8:$I$55)</f>
        <v>0</v>
      </c>
      <c r="Q23" s="399">
        <f>SUMIF($D$8:$D$55,$O23,$I$8:$I$55)+SUMIF($F$8:$F$55,$O23,$G$8:$G$55)</f>
        <v>0</v>
      </c>
      <c r="R23" s="399">
        <f>P23-Q23</f>
        <v>0</v>
      </c>
      <c r="S23" s="400">
        <f>SUMIF($D$8:$D$55,$O23,$K$8:$K$55)+SUMIF($F$8:$F$55,$O23,$L$8:$L$55)</f>
        <v>0</v>
      </c>
      <c r="T23" s="445"/>
      <c r="U23" s="392"/>
      <c r="V23" s="392" t="str">
        <f>O23</f>
        <v>Ivoorkust</v>
      </c>
      <c r="W23" s="392" t="s">
        <v>59</v>
      </c>
      <c r="Y23" s="109">
        <f t="shared" si="7"/>
        <v>10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8"/>
        <v>10</v>
      </c>
      <c r="AG23" s="108">
        <f t="shared" si="0"/>
        <v>1</v>
      </c>
      <c r="AH23" s="108">
        <f t="shared" si="1"/>
        <v>1</v>
      </c>
      <c r="AI23" s="108">
        <f t="shared" si="9"/>
        <v>10</v>
      </c>
      <c r="AJ23" s="108">
        <f t="shared" si="2"/>
        <v>0</v>
      </c>
      <c r="AK23" s="108">
        <f t="shared" si="3"/>
        <v>0</v>
      </c>
      <c r="AL23" s="108">
        <f t="shared" si="4"/>
        <v>5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376">
        <v>17</v>
      </c>
      <c r="C24" s="127">
        <v>41807</v>
      </c>
      <c r="D24" s="378" t="s">
        <v>39</v>
      </c>
      <c r="E24" s="379" t="s">
        <v>9</v>
      </c>
      <c r="F24" s="380" t="s">
        <v>40</v>
      </c>
      <c r="G24" s="437"/>
      <c r="H24" s="379" t="s">
        <v>9</v>
      </c>
      <c r="I24" s="442"/>
      <c r="J24" s="381" t="str">
        <f t="shared" si="10"/>
        <v/>
      </c>
      <c r="K24" s="363" t="str">
        <f t="shared" si="5"/>
        <v/>
      </c>
      <c r="L24" s="363" t="str">
        <f t="shared" si="6"/>
        <v/>
      </c>
      <c r="O24" s="401" t="s">
        <v>24</v>
      </c>
      <c r="P24" s="402">
        <f>SUMIF($D$8:$D$55,$O24,$G$8:$G$55)+SUMIF($F$8:$F$55,$O24,$I$8:$I$55)</f>
        <v>0</v>
      </c>
      <c r="Q24" s="402">
        <f>SUMIF($D$8:$D$55,$O24,$I$8:$I$55)+SUMIF($F$8:$F$55,$O24,$G$8:$G$55)</f>
        <v>0</v>
      </c>
      <c r="R24" s="402">
        <f>P24-Q24</f>
        <v>0</v>
      </c>
      <c r="S24" s="403">
        <f>SUMIF($D$8:$D$55,$O24,$K$8:$K$55)+SUMIF($F$8:$F$55,$O24,$L$8:$L$55)</f>
        <v>0</v>
      </c>
      <c r="T24" s="446"/>
      <c r="U24" s="392"/>
      <c r="V24" s="392" t="str">
        <f>O24</f>
        <v>Japan</v>
      </c>
      <c r="W24" s="392" t="s">
        <v>60</v>
      </c>
      <c r="Y24" s="109">
        <f t="shared" si="7"/>
        <v>5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8"/>
        <v>5</v>
      </c>
      <c r="AG24" s="108">
        <f t="shared" si="0"/>
        <v>0</v>
      </c>
      <c r="AH24" s="108">
        <f t="shared" si="1"/>
        <v>0</v>
      </c>
      <c r="AI24" s="108">
        <f t="shared" si="9"/>
        <v>0</v>
      </c>
      <c r="AJ24" s="108">
        <f t="shared" si="2"/>
        <v>0</v>
      </c>
      <c r="AK24" s="108">
        <f t="shared" si="3"/>
        <v>0</v>
      </c>
      <c r="AL24" s="108">
        <f t="shared" si="4"/>
        <v>5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364">
        <v>18</v>
      </c>
      <c r="C25" s="125">
        <v>41808</v>
      </c>
      <c r="D25" s="366" t="s">
        <v>16</v>
      </c>
      <c r="E25" s="367" t="s">
        <v>9</v>
      </c>
      <c r="F25" s="383" t="s">
        <v>14</v>
      </c>
      <c r="G25" s="435"/>
      <c r="H25" s="367" t="s">
        <v>9</v>
      </c>
      <c r="I25" s="440"/>
      <c r="J25" s="369" t="str">
        <f t="shared" si="10"/>
        <v/>
      </c>
      <c r="K25" s="363" t="str">
        <f t="shared" si="5"/>
        <v/>
      </c>
      <c r="L25" s="363" t="str">
        <f t="shared" si="6"/>
        <v/>
      </c>
      <c r="O25" s="392"/>
      <c r="P25" s="393"/>
      <c r="Q25" s="393"/>
      <c r="R25" s="393"/>
      <c r="S25" s="393"/>
      <c r="T25" s="393"/>
      <c r="U25" s="392"/>
      <c r="V25" s="392"/>
      <c r="W25" s="392"/>
      <c r="Y25" s="109">
        <f t="shared" si="7"/>
        <v>0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8"/>
        <v>0</v>
      </c>
      <c r="AG25" s="108">
        <f t="shared" si="0"/>
        <v>0</v>
      </c>
      <c r="AH25" s="108">
        <f t="shared" si="1"/>
        <v>0</v>
      </c>
      <c r="AI25" s="108">
        <f t="shared" si="9"/>
        <v>0</v>
      </c>
      <c r="AJ25" s="108">
        <f t="shared" si="2"/>
        <v>0</v>
      </c>
      <c r="AK25" s="108">
        <f t="shared" si="3"/>
        <v>0</v>
      </c>
      <c r="AL25" s="108">
        <f t="shared" si="4"/>
        <v>0</v>
      </c>
      <c r="AN25" s="392"/>
      <c r="AO25" s="393"/>
    </row>
    <row r="26" spans="2:41" ht="15.75" thickBot="1">
      <c r="B26" s="370">
        <v>19</v>
      </c>
      <c r="C26" s="126">
        <v>41808</v>
      </c>
      <c r="D26" s="372" t="s">
        <v>13</v>
      </c>
      <c r="E26" s="373" t="s">
        <v>9</v>
      </c>
      <c r="F26" s="382" t="s">
        <v>15</v>
      </c>
      <c r="G26" s="436"/>
      <c r="H26" s="373" t="s">
        <v>9</v>
      </c>
      <c r="I26" s="441"/>
      <c r="J26" s="375" t="str">
        <f t="shared" si="10"/>
        <v/>
      </c>
      <c r="K26" s="363" t="str">
        <f t="shared" si="5"/>
        <v/>
      </c>
      <c r="L26" s="363" t="str">
        <f t="shared" si="6"/>
        <v/>
      </c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392"/>
      <c r="V26" s="392"/>
      <c r="W26" s="392"/>
      <c r="Y26" s="109">
        <f t="shared" si="7"/>
        <v>1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8"/>
        <v>1</v>
      </c>
      <c r="AG26" s="108">
        <f t="shared" si="0"/>
        <v>1</v>
      </c>
      <c r="AH26" s="108">
        <f t="shared" si="1"/>
        <v>0</v>
      </c>
      <c r="AI26" s="108">
        <f t="shared" si="9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127">
        <v>41808</v>
      </c>
      <c r="D27" s="378" t="s">
        <v>12</v>
      </c>
      <c r="E27" s="379" t="s">
        <v>9</v>
      </c>
      <c r="F27" s="380" t="s">
        <v>10</v>
      </c>
      <c r="G27" s="437"/>
      <c r="H27" s="379" t="s">
        <v>9</v>
      </c>
      <c r="I27" s="442"/>
      <c r="J27" s="381" t="str">
        <f t="shared" si="10"/>
        <v/>
      </c>
      <c r="K27" s="363" t="str">
        <f t="shared" si="5"/>
        <v/>
      </c>
      <c r="L27" s="363" t="str">
        <f t="shared" si="6"/>
        <v/>
      </c>
      <c r="O27" s="394" t="s">
        <v>19</v>
      </c>
      <c r="P27" s="395">
        <f>SUMIF($D$8:$D$55,$O27,$G$8:$G$55)+SUMIF($F$8:$F$55,$O27,$I$8:$I$55)</f>
        <v>0</v>
      </c>
      <c r="Q27" s="395">
        <f>SUMIF($D$8:$D$55,$O27,$I$8:$I$55)+SUMIF($F$8:$F$55,$O27,$G$8:$G$55)</f>
        <v>0</v>
      </c>
      <c r="R27" s="396">
        <f>P27-Q27</f>
        <v>0</v>
      </c>
      <c r="S27" s="397">
        <f>SUMIF($D$8:$D$55,$O27,$K$8:$K$55)+SUMIF($F$8:$F$55,$O27,$L$8:$L$55)</f>
        <v>0</v>
      </c>
      <c r="T27" s="444"/>
      <c r="U27" s="392"/>
      <c r="V27" s="392" t="str">
        <f>O27</f>
        <v>Uruguay</v>
      </c>
      <c r="W27" s="392" t="s">
        <v>62</v>
      </c>
      <c r="Y27" s="109">
        <f t="shared" si="7"/>
        <v>1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8"/>
        <v>1</v>
      </c>
      <c r="AG27" s="108">
        <f t="shared" si="0"/>
        <v>1</v>
      </c>
      <c r="AH27" s="108">
        <f t="shared" si="1"/>
        <v>0</v>
      </c>
      <c r="AI27" s="108">
        <f t="shared" si="9"/>
        <v>0</v>
      </c>
      <c r="AJ27" s="108">
        <f t="shared" si="2"/>
        <v>0</v>
      </c>
      <c r="AK27" s="108">
        <f t="shared" si="3"/>
        <v>0</v>
      </c>
      <c r="AL27" s="108">
        <f t="shared" si="4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364">
        <v>21</v>
      </c>
      <c r="C28" s="125">
        <v>41809</v>
      </c>
      <c r="D28" s="366" t="s">
        <v>17</v>
      </c>
      <c r="E28" s="367" t="s">
        <v>9</v>
      </c>
      <c r="F28" s="368" t="s">
        <v>23</v>
      </c>
      <c r="G28" s="435"/>
      <c r="H28" s="367" t="s">
        <v>9</v>
      </c>
      <c r="I28" s="440"/>
      <c r="J28" s="369" t="str">
        <f t="shared" si="10"/>
        <v/>
      </c>
      <c r="K28" s="363" t="str">
        <f t="shared" si="5"/>
        <v/>
      </c>
      <c r="L28" s="363" t="str">
        <f t="shared" si="6"/>
        <v/>
      </c>
      <c r="O28" s="398" t="s">
        <v>20</v>
      </c>
      <c r="P28" s="399">
        <f>SUMIF($D$8:$D$55,$O28,$G$8:$G$55)+SUMIF($F$8:$F$55,$O28,$I$8:$I$55)</f>
        <v>0</v>
      </c>
      <c r="Q28" s="399">
        <f>SUMIF($D$8:$D$55,$O28,$I$8:$I$55)+SUMIF($F$8:$F$55,$O28,$G$8:$G$55)</f>
        <v>0</v>
      </c>
      <c r="R28" s="399">
        <f>P28-Q28</f>
        <v>0</v>
      </c>
      <c r="S28" s="400">
        <f>SUMIF($D$8:$D$55,$O28,$K$8:$K$55)+SUMIF($F$8:$F$55,$O28,$L$8:$L$55)</f>
        <v>0</v>
      </c>
      <c r="T28" s="445"/>
      <c r="U28" s="392"/>
      <c r="V28" s="392" t="str">
        <f>O28</f>
        <v>Costa Rica</v>
      </c>
      <c r="W28" s="392" t="s">
        <v>63</v>
      </c>
      <c r="Y28" s="109">
        <f t="shared" si="7"/>
        <v>0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8"/>
        <v>0</v>
      </c>
      <c r="AG28" s="108">
        <f t="shared" si="0"/>
        <v>0</v>
      </c>
      <c r="AH28" s="108">
        <f t="shared" si="1"/>
        <v>0</v>
      </c>
      <c r="AI28" s="108">
        <f t="shared" si="9"/>
        <v>0</v>
      </c>
      <c r="AJ28" s="108">
        <f t="shared" si="2"/>
        <v>0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126">
        <v>41809</v>
      </c>
      <c r="D29" s="372" t="s">
        <v>19</v>
      </c>
      <c r="E29" s="373" t="s">
        <v>9</v>
      </c>
      <c r="F29" s="382" t="s">
        <v>21</v>
      </c>
      <c r="G29" s="436"/>
      <c r="H29" s="373" t="s">
        <v>9</v>
      </c>
      <c r="I29" s="441"/>
      <c r="J29" s="375" t="str">
        <f t="shared" si="10"/>
        <v/>
      </c>
      <c r="K29" s="363" t="str">
        <f t="shared" si="5"/>
        <v/>
      </c>
      <c r="L29" s="363" t="str">
        <f t="shared" si="6"/>
        <v/>
      </c>
      <c r="O29" s="398" t="s">
        <v>21</v>
      </c>
      <c r="P29" s="399">
        <f>SUMIF($D$8:$D$55,$O29,$G$8:$G$55)+SUMIF($F$8:$F$55,$O29,$I$8:$I$55)</f>
        <v>0</v>
      </c>
      <c r="Q29" s="399">
        <f>SUMIF($D$8:$D$55,$O29,$I$8:$I$55)+SUMIF($F$8:$F$55,$O29,$G$8:$G$55)</f>
        <v>0</v>
      </c>
      <c r="R29" s="399">
        <f>P29-Q29</f>
        <v>0</v>
      </c>
      <c r="S29" s="400">
        <f>SUMIF($D$8:$D$55,$O29,$K$8:$K$55)+SUMIF($F$8:$F$55,$O29,$L$8:$L$55)</f>
        <v>0</v>
      </c>
      <c r="T29" s="445"/>
      <c r="U29" s="392"/>
      <c r="V29" s="392" t="str">
        <f>O29</f>
        <v>Engeland</v>
      </c>
      <c r="W29" s="392" t="s">
        <v>64</v>
      </c>
      <c r="Y29" s="109">
        <f t="shared" si="7"/>
        <v>0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8"/>
        <v>0</v>
      </c>
      <c r="AG29" s="108">
        <f t="shared" si="0"/>
        <v>0</v>
      </c>
      <c r="AH29" s="108">
        <f t="shared" si="1"/>
        <v>0</v>
      </c>
      <c r="AI29" s="108">
        <f t="shared" si="9"/>
        <v>0</v>
      </c>
      <c r="AJ29" s="108">
        <f t="shared" si="2"/>
        <v>0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127">
        <v>41809</v>
      </c>
      <c r="D30" s="378" t="s">
        <v>24</v>
      </c>
      <c r="E30" s="379" t="s">
        <v>9</v>
      </c>
      <c r="F30" s="380" t="s">
        <v>18</v>
      </c>
      <c r="G30" s="437"/>
      <c r="H30" s="379" t="s">
        <v>9</v>
      </c>
      <c r="I30" s="442"/>
      <c r="J30" s="381" t="str">
        <f t="shared" si="10"/>
        <v/>
      </c>
      <c r="K30" s="363" t="str">
        <f t="shared" si="5"/>
        <v/>
      </c>
      <c r="L30" s="363" t="str">
        <f t="shared" si="6"/>
        <v/>
      </c>
      <c r="O30" s="401" t="s">
        <v>22</v>
      </c>
      <c r="P30" s="402">
        <f>SUMIF($D$8:$D$55,$O30,$G$8:$G$55)+SUMIF($F$8:$F$55,$O30,$I$8:$I$55)</f>
        <v>0</v>
      </c>
      <c r="Q30" s="402">
        <f>SUMIF($D$8:$D$55,$O30,$I$8:$I$55)+SUMIF($F$8:$F$55,$O30,$G$8:$G$55)</f>
        <v>0</v>
      </c>
      <c r="R30" s="402">
        <f>P30-Q30</f>
        <v>0</v>
      </c>
      <c r="S30" s="403">
        <f>SUMIF($D$8:$D$55,$O30,$K$8:$K$55)+SUMIF($F$8:$F$55,$O30,$L$8:$L$55)</f>
        <v>0</v>
      </c>
      <c r="T30" s="446"/>
      <c r="U30" s="392"/>
      <c r="V30" s="392" t="str">
        <f>O30</f>
        <v>Italië</v>
      </c>
      <c r="W30" s="392" t="s">
        <v>65</v>
      </c>
      <c r="Y30" s="109">
        <f t="shared" si="7"/>
        <v>10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8"/>
        <v>10</v>
      </c>
      <c r="AG30" s="108">
        <f t="shared" si="0"/>
        <v>1</v>
      </c>
      <c r="AH30" s="108">
        <f t="shared" si="1"/>
        <v>1</v>
      </c>
      <c r="AI30" s="108">
        <f t="shared" si="9"/>
        <v>10</v>
      </c>
      <c r="AJ30" s="108">
        <f t="shared" si="2"/>
        <v>0</v>
      </c>
      <c r="AK30" s="108">
        <f t="shared" si="3"/>
        <v>0</v>
      </c>
      <c r="AL30" s="108">
        <f t="shared" si="4"/>
        <v>5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364">
        <v>24</v>
      </c>
      <c r="C31" s="125">
        <v>41810</v>
      </c>
      <c r="D31" s="366" t="s">
        <v>22</v>
      </c>
      <c r="E31" s="367" t="s">
        <v>9</v>
      </c>
      <c r="F31" s="368" t="s">
        <v>20</v>
      </c>
      <c r="G31" s="435"/>
      <c r="H31" s="367" t="s">
        <v>9</v>
      </c>
      <c r="I31" s="440"/>
      <c r="J31" s="369" t="str">
        <f t="shared" si="10"/>
        <v/>
      </c>
      <c r="K31" s="363" t="str">
        <f t="shared" si="5"/>
        <v/>
      </c>
      <c r="L31" s="363" t="str">
        <f t="shared" si="6"/>
        <v/>
      </c>
      <c r="O31" s="392"/>
      <c r="P31" s="393"/>
      <c r="Q31" s="393"/>
      <c r="R31" s="393"/>
      <c r="S31" s="393"/>
      <c r="T31" s="393"/>
      <c r="U31" s="392"/>
      <c r="V31" s="392"/>
      <c r="W31" s="392"/>
      <c r="Y31" s="109">
        <f t="shared" si="7"/>
        <v>1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8"/>
        <v>1</v>
      </c>
      <c r="AG31" s="108">
        <f t="shared" si="0"/>
        <v>1</v>
      </c>
      <c r="AH31" s="108">
        <f t="shared" si="1"/>
        <v>0</v>
      </c>
      <c r="AI31" s="108">
        <f t="shared" si="9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392"/>
      <c r="AO31" s="393"/>
    </row>
    <row r="32" spans="2:41" ht="15.75" thickBot="1">
      <c r="B32" s="370">
        <v>25</v>
      </c>
      <c r="C32" s="126">
        <v>41810</v>
      </c>
      <c r="D32" s="372" t="s">
        <v>25</v>
      </c>
      <c r="E32" s="373" t="s">
        <v>9</v>
      </c>
      <c r="F32" s="382" t="s">
        <v>27</v>
      </c>
      <c r="G32" s="436"/>
      <c r="H32" s="373" t="s">
        <v>9</v>
      </c>
      <c r="I32" s="441"/>
      <c r="J32" s="375" t="str">
        <f t="shared" si="10"/>
        <v/>
      </c>
      <c r="K32" s="363" t="str">
        <f t="shared" si="5"/>
        <v/>
      </c>
      <c r="L32" s="363" t="str">
        <f t="shared" si="6"/>
        <v/>
      </c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392"/>
      <c r="V32" s="392"/>
      <c r="W32" s="392"/>
      <c r="Y32" s="109">
        <f t="shared" si="7"/>
        <v>0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8"/>
        <v>0</v>
      </c>
      <c r="AG32" s="108">
        <f t="shared" si="0"/>
        <v>0</v>
      </c>
      <c r="AH32" s="108">
        <f t="shared" si="1"/>
        <v>0</v>
      </c>
      <c r="AI32" s="108">
        <f t="shared" si="9"/>
        <v>0</v>
      </c>
      <c r="AJ32" s="108">
        <f t="shared" si="2"/>
        <v>0</v>
      </c>
      <c r="AK32" s="108">
        <f t="shared" si="3"/>
        <v>0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127">
        <v>41810</v>
      </c>
      <c r="D33" s="378" t="s">
        <v>28</v>
      </c>
      <c r="E33" s="379" t="s">
        <v>9</v>
      </c>
      <c r="F33" s="380" t="s">
        <v>26</v>
      </c>
      <c r="G33" s="437"/>
      <c r="H33" s="379" t="s">
        <v>9</v>
      </c>
      <c r="I33" s="442"/>
      <c r="J33" s="381" t="str">
        <f t="shared" si="10"/>
        <v/>
      </c>
      <c r="K33" s="363" t="str">
        <f t="shared" si="5"/>
        <v/>
      </c>
      <c r="L33" s="363" t="str">
        <f t="shared" si="6"/>
        <v/>
      </c>
      <c r="O33" s="394" t="s">
        <v>25</v>
      </c>
      <c r="P33" s="395">
        <f>SUMIF($D$8:$D$55,$O33,$G$8:$G$55)+SUMIF($F$8:$F$55,$O33,$I$8:$I$55)</f>
        <v>0</v>
      </c>
      <c r="Q33" s="395">
        <f>SUMIF($D$8:$D$55,$O33,$I$8:$I$55)+SUMIF($F$8:$F$55,$O33,$G$8:$G$55)</f>
        <v>0</v>
      </c>
      <c r="R33" s="396">
        <f>P33-Q33</f>
        <v>0</v>
      </c>
      <c r="S33" s="397">
        <f>SUMIF($D$8:$D$55,$O33,$K$8:$K$55)+SUMIF($F$8:$F$55,$O33,$L$8:$L$55)</f>
        <v>0</v>
      </c>
      <c r="T33" s="444"/>
      <c r="U33" s="392"/>
      <c r="V33" s="392" t="str">
        <f>O33</f>
        <v>Zwitserland</v>
      </c>
      <c r="W33" s="392" t="s">
        <v>67</v>
      </c>
      <c r="Y33" s="109">
        <f t="shared" si="7"/>
        <v>0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8"/>
        <v>0</v>
      </c>
      <c r="AG33" s="108">
        <f t="shared" si="0"/>
        <v>0</v>
      </c>
      <c r="AH33" s="108">
        <f t="shared" si="1"/>
        <v>0</v>
      </c>
      <c r="AI33" s="108">
        <f t="shared" si="9"/>
        <v>0</v>
      </c>
      <c r="AJ33" s="108">
        <f t="shared" si="2"/>
        <v>0</v>
      </c>
      <c r="AK33" s="108">
        <f t="shared" si="3"/>
        <v>0</v>
      </c>
      <c r="AL33" s="108">
        <f t="shared" si="4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364">
        <v>27</v>
      </c>
      <c r="C34" s="125">
        <v>41811</v>
      </c>
      <c r="D34" s="366" t="s">
        <v>29</v>
      </c>
      <c r="E34" s="367" t="s">
        <v>9</v>
      </c>
      <c r="F34" s="368" t="s">
        <v>33</v>
      </c>
      <c r="G34" s="435"/>
      <c r="H34" s="367" t="s">
        <v>9</v>
      </c>
      <c r="I34" s="440"/>
      <c r="J34" s="369" t="str">
        <f t="shared" si="10"/>
        <v/>
      </c>
      <c r="K34" s="363" t="str">
        <f t="shared" si="5"/>
        <v/>
      </c>
      <c r="L34" s="363" t="str">
        <f t="shared" si="6"/>
        <v/>
      </c>
      <c r="O34" s="398" t="s">
        <v>26</v>
      </c>
      <c r="P34" s="399">
        <f>SUMIF($D$8:$D$55,$O34,$G$8:$G$55)+SUMIF($F$8:$F$55,$O34,$I$8:$I$55)</f>
        <v>0</v>
      </c>
      <c r="Q34" s="399">
        <f>SUMIF($D$8:$D$55,$O34,$I$8:$I$55)+SUMIF($F$8:$F$55,$O34,$G$8:$G$55)</f>
        <v>0</v>
      </c>
      <c r="R34" s="399">
        <f>P34-Q34</f>
        <v>0</v>
      </c>
      <c r="S34" s="400">
        <f>SUMIF($D$8:$D$55,$O34,$K$8:$K$55)+SUMIF($F$8:$F$55,$O34,$L$8:$L$55)</f>
        <v>0</v>
      </c>
      <c r="T34" s="445"/>
      <c r="U34" s="392"/>
      <c r="V34" s="392" t="str">
        <f>O34</f>
        <v>Ecuador</v>
      </c>
      <c r="W34" s="392" t="s">
        <v>68</v>
      </c>
      <c r="Y34" s="109">
        <f t="shared" si="7"/>
        <v>1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8"/>
        <v>1</v>
      </c>
      <c r="AG34" s="108">
        <f t="shared" si="0"/>
        <v>0</v>
      </c>
      <c r="AH34" s="108">
        <f t="shared" si="1"/>
        <v>1</v>
      </c>
      <c r="AI34" s="108">
        <f t="shared" si="9"/>
        <v>0</v>
      </c>
      <c r="AJ34" s="108">
        <f t="shared" si="2"/>
        <v>0</v>
      </c>
      <c r="AK34" s="108">
        <f t="shared" si="3"/>
        <v>0</v>
      </c>
      <c r="AL34" s="108">
        <f t="shared" si="4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370">
        <v>28</v>
      </c>
      <c r="C35" s="126">
        <v>41811</v>
      </c>
      <c r="D35" s="372" t="s">
        <v>31</v>
      </c>
      <c r="E35" s="373" t="s">
        <v>9</v>
      </c>
      <c r="F35" s="382" t="s">
        <v>35</v>
      </c>
      <c r="G35" s="436"/>
      <c r="H35" s="373" t="s">
        <v>9</v>
      </c>
      <c r="I35" s="441"/>
      <c r="J35" s="375" t="str">
        <f t="shared" si="10"/>
        <v/>
      </c>
      <c r="K35" s="363" t="str">
        <f t="shared" si="5"/>
        <v/>
      </c>
      <c r="L35" s="363" t="str">
        <f t="shared" si="6"/>
        <v/>
      </c>
      <c r="O35" s="398" t="s">
        <v>27</v>
      </c>
      <c r="P35" s="399">
        <f>SUMIF($D$8:$D$55,$O35,$G$8:$G$55)+SUMIF($F$8:$F$55,$O35,$I$8:$I$55)</f>
        <v>0</v>
      </c>
      <c r="Q35" s="399">
        <f>SUMIF($D$8:$D$55,$O35,$I$8:$I$55)+SUMIF($F$8:$F$55,$O35,$G$8:$G$55)</f>
        <v>0</v>
      </c>
      <c r="R35" s="399">
        <f>P35-Q35</f>
        <v>0</v>
      </c>
      <c r="S35" s="400">
        <f>SUMIF($D$8:$D$55,$O35,$K$8:$K$55)+SUMIF($F$8:$F$55,$O35,$L$8:$L$55)</f>
        <v>0</v>
      </c>
      <c r="T35" s="445"/>
      <c r="U35" s="392"/>
      <c r="V35" s="392" t="str">
        <f>O35</f>
        <v>Frankrijk</v>
      </c>
      <c r="W35" s="392" t="s">
        <v>69</v>
      </c>
      <c r="Y35" s="109">
        <f t="shared" si="7"/>
        <v>5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8"/>
        <v>5</v>
      </c>
      <c r="AG35" s="108">
        <f t="shared" si="0"/>
        <v>0</v>
      </c>
      <c r="AH35" s="108">
        <f t="shared" si="1"/>
        <v>0</v>
      </c>
      <c r="AI35" s="108">
        <f t="shared" si="9"/>
        <v>0</v>
      </c>
      <c r="AJ35" s="108">
        <f t="shared" si="2"/>
        <v>0</v>
      </c>
      <c r="AK35" s="108">
        <f t="shared" si="3"/>
        <v>0</v>
      </c>
      <c r="AL35" s="108">
        <f t="shared" si="4"/>
        <v>5</v>
      </c>
      <c r="AM35" s="120">
        <f>AO35</f>
        <v>0</v>
      </c>
      <c r="AN35" s="117" t="s">
        <v>27</v>
      </c>
      <c r="AO35" s="115">
        <f>IF(Uitslag!T35="",0,IF(T35=Uitslag!T35,10,0))</f>
        <v>0</v>
      </c>
    </row>
    <row r="36" spans="2:41" ht="15.75" thickBot="1">
      <c r="B36" s="376">
        <v>29</v>
      </c>
      <c r="C36" s="127">
        <v>41811</v>
      </c>
      <c r="D36" s="378" t="s">
        <v>34</v>
      </c>
      <c r="E36" s="379" t="s">
        <v>9</v>
      </c>
      <c r="F36" s="380" t="s">
        <v>30</v>
      </c>
      <c r="G36" s="437"/>
      <c r="H36" s="379" t="s">
        <v>9</v>
      </c>
      <c r="I36" s="442"/>
      <c r="J36" s="381" t="str">
        <f t="shared" si="10"/>
        <v/>
      </c>
      <c r="K36" s="363" t="str">
        <f t="shared" si="5"/>
        <v/>
      </c>
      <c r="L36" s="363" t="str">
        <f t="shared" si="6"/>
        <v/>
      </c>
      <c r="O36" s="401" t="s">
        <v>28</v>
      </c>
      <c r="P36" s="402">
        <f>SUMIF($D$8:$D$55,$O36,$G$8:$G$55)+SUMIF($F$8:$F$55,$O36,$I$8:$I$55)</f>
        <v>0</v>
      </c>
      <c r="Q36" s="402">
        <f>SUMIF($D$8:$D$55,$O36,$I$8:$I$55)+SUMIF($F$8:$F$55,$O36,$G$8:$G$55)</f>
        <v>0</v>
      </c>
      <c r="R36" s="402">
        <f>P36-Q36</f>
        <v>0</v>
      </c>
      <c r="S36" s="403">
        <f>SUMIF($D$8:$D$55,$O36,$K$8:$K$55)+SUMIF($F$8:$F$55,$O36,$L$8:$L$55)</f>
        <v>0</v>
      </c>
      <c r="T36" s="446"/>
      <c r="U36" s="392"/>
      <c r="V36" s="392" t="str">
        <f>O36</f>
        <v>Honduras</v>
      </c>
      <c r="W36" s="392" t="s">
        <v>70</v>
      </c>
      <c r="Y36" s="109">
        <f t="shared" si="7"/>
        <v>1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8"/>
        <v>1</v>
      </c>
      <c r="AG36" s="108">
        <f t="shared" si="0"/>
        <v>0</v>
      </c>
      <c r="AH36" s="108">
        <f t="shared" si="1"/>
        <v>1</v>
      </c>
      <c r="AI36" s="108">
        <f t="shared" si="9"/>
        <v>0</v>
      </c>
      <c r="AJ36" s="108">
        <f t="shared" si="2"/>
        <v>0</v>
      </c>
      <c r="AK36" s="108">
        <f t="shared" si="3"/>
        <v>0</v>
      </c>
      <c r="AL36" s="108">
        <f t="shared" si="4"/>
        <v>0</v>
      </c>
      <c r="AM36" s="120">
        <f>AO36</f>
        <v>0</v>
      </c>
      <c r="AN36" s="118" t="s">
        <v>28</v>
      </c>
      <c r="AO36" s="115">
        <f>IF(Uitslag!T36="",0,IF(T36=Uitslag!T36,10,0))</f>
        <v>0</v>
      </c>
    </row>
    <row r="37" spans="2:41" ht="15.75" thickBot="1">
      <c r="B37" s="364">
        <v>30</v>
      </c>
      <c r="C37" s="125">
        <v>41812</v>
      </c>
      <c r="D37" s="366" t="s">
        <v>37</v>
      </c>
      <c r="E37" s="367" t="s">
        <v>9</v>
      </c>
      <c r="F37" s="368" t="s">
        <v>39</v>
      </c>
      <c r="G37" s="435"/>
      <c r="H37" s="367" t="s">
        <v>9</v>
      </c>
      <c r="I37" s="440"/>
      <c r="J37" s="369" t="str">
        <f t="shared" si="10"/>
        <v/>
      </c>
      <c r="K37" s="363" t="str">
        <f t="shared" si="5"/>
        <v/>
      </c>
      <c r="L37" s="363" t="str">
        <f t="shared" si="6"/>
        <v/>
      </c>
      <c r="O37" s="392"/>
      <c r="P37" s="393"/>
      <c r="Q37" s="393"/>
      <c r="R37" s="393"/>
      <c r="S37" s="393"/>
      <c r="T37" s="393"/>
      <c r="U37" s="392"/>
      <c r="V37" s="392"/>
      <c r="W37" s="392"/>
      <c r="Y37" s="109">
        <f t="shared" si="7"/>
        <v>1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8"/>
        <v>1</v>
      </c>
      <c r="AG37" s="108">
        <f t="shared" si="0"/>
        <v>0</v>
      </c>
      <c r="AH37" s="108">
        <f t="shared" si="1"/>
        <v>1</v>
      </c>
      <c r="AI37" s="108">
        <f t="shared" si="9"/>
        <v>0</v>
      </c>
      <c r="AJ37" s="108">
        <f t="shared" si="2"/>
        <v>0</v>
      </c>
      <c r="AK37" s="108">
        <f t="shared" si="3"/>
        <v>0</v>
      </c>
      <c r="AL37" s="108">
        <f t="shared" si="4"/>
        <v>0</v>
      </c>
      <c r="AN37" s="392"/>
      <c r="AO37" s="393"/>
    </row>
    <row r="38" spans="2:41" ht="15.75" thickBot="1">
      <c r="B38" s="370">
        <v>31</v>
      </c>
      <c r="C38" s="126">
        <v>41812</v>
      </c>
      <c r="D38" s="372" t="s">
        <v>40</v>
      </c>
      <c r="E38" s="373" t="s">
        <v>9</v>
      </c>
      <c r="F38" s="382" t="s">
        <v>38</v>
      </c>
      <c r="G38" s="436"/>
      <c r="H38" s="373" t="s">
        <v>9</v>
      </c>
      <c r="I38" s="441"/>
      <c r="J38" s="375" t="str">
        <f t="shared" si="10"/>
        <v/>
      </c>
      <c r="K38" s="363" t="str">
        <f t="shared" si="5"/>
        <v/>
      </c>
      <c r="L38" s="363" t="str">
        <f t="shared" si="6"/>
        <v/>
      </c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392"/>
      <c r="V38" s="392"/>
      <c r="W38" s="392"/>
      <c r="Y38" s="109">
        <f t="shared" si="7"/>
        <v>0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8"/>
        <v>0</v>
      </c>
      <c r="AG38" s="108">
        <f t="shared" si="0"/>
        <v>0</v>
      </c>
      <c r="AH38" s="108">
        <f t="shared" si="1"/>
        <v>0</v>
      </c>
      <c r="AI38" s="108">
        <f t="shared" si="9"/>
        <v>0</v>
      </c>
      <c r="AJ38" s="108">
        <f t="shared" si="2"/>
        <v>0</v>
      </c>
      <c r="AK38" s="108">
        <f t="shared" si="3"/>
        <v>0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127">
        <v>41812</v>
      </c>
      <c r="D39" s="378" t="s">
        <v>36</v>
      </c>
      <c r="E39" s="379" t="s">
        <v>9</v>
      </c>
      <c r="F39" s="380" t="s">
        <v>32</v>
      </c>
      <c r="G39" s="437"/>
      <c r="H39" s="379" t="s">
        <v>9</v>
      </c>
      <c r="I39" s="442"/>
      <c r="J39" s="381" t="str">
        <f t="shared" si="10"/>
        <v/>
      </c>
      <c r="K39" s="363" t="str">
        <f t="shared" si="5"/>
        <v/>
      </c>
      <c r="L39" s="363" t="str">
        <f t="shared" si="6"/>
        <v/>
      </c>
      <c r="O39" s="394" t="s">
        <v>29</v>
      </c>
      <c r="P39" s="395">
        <f>SUMIF($D$8:$D$55,$O39,$G$8:$G$55)+SUMIF($F$8:$F$55,$O39,$I$8:$I$55)</f>
        <v>0</v>
      </c>
      <c r="Q39" s="395">
        <f>SUMIF($D$8:$D$55,$O39,$I$8:$I$55)+SUMIF($F$8:$F$55,$O39,$G$8:$G$55)</f>
        <v>0</v>
      </c>
      <c r="R39" s="396">
        <f>P39-Q39</f>
        <v>0</v>
      </c>
      <c r="S39" s="397">
        <f>SUMIF($D$8:$D$55,$O39,$K$8:$K$55)+SUMIF($F$8:$F$55,$O39,$L$8:$L$55)</f>
        <v>0</v>
      </c>
      <c r="T39" s="444"/>
      <c r="U39" s="392"/>
      <c r="V39" s="392" t="str">
        <f>O39</f>
        <v>Argentinië</v>
      </c>
      <c r="W39" s="392" t="s">
        <v>72</v>
      </c>
      <c r="Y39" s="109">
        <f t="shared" si="7"/>
        <v>5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8"/>
        <v>5</v>
      </c>
      <c r="AG39" s="108">
        <f t="shared" si="0"/>
        <v>0</v>
      </c>
      <c r="AH39" s="108">
        <f t="shared" si="1"/>
        <v>0</v>
      </c>
      <c r="AI39" s="108">
        <f t="shared" si="9"/>
        <v>0</v>
      </c>
      <c r="AJ39" s="108">
        <f t="shared" si="2"/>
        <v>0</v>
      </c>
      <c r="AK39" s="108">
        <f t="shared" si="3"/>
        <v>0</v>
      </c>
      <c r="AL39" s="108">
        <f t="shared" si="4"/>
        <v>5</v>
      </c>
      <c r="AM39" s="120">
        <f>AO39</f>
        <v>0</v>
      </c>
      <c r="AN39" s="116" t="s">
        <v>29</v>
      </c>
      <c r="AO39" s="115">
        <f>IF(Uitslag!T39="",0,IF(T39=Uitslag!T39,10,0))</f>
        <v>0</v>
      </c>
    </row>
    <row r="40" spans="2:41" ht="15.75" thickBot="1">
      <c r="B40" s="364">
        <v>33</v>
      </c>
      <c r="C40" s="125">
        <v>41813</v>
      </c>
      <c r="D40" s="366" t="s">
        <v>16</v>
      </c>
      <c r="E40" s="367" t="s">
        <v>9</v>
      </c>
      <c r="F40" s="368" t="s">
        <v>13</v>
      </c>
      <c r="G40" s="435"/>
      <c r="H40" s="367" t="s">
        <v>9</v>
      </c>
      <c r="I40" s="440"/>
      <c r="J40" s="369" t="str">
        <f t="shared" si="10"/>
        <v/>
      </c>
      <c r="K40" s="363" t="str">
        <f t="shared" si="5"/>
        <v/>
      </c>
      <c r="L40" s="363" t="str">
        <f t="shared" si="6"/>
        <v/>
      </c>
      <c r="O40" s="398" t="s">
        <v>30</v>
      </c>
      <c r="P40" s="399">
        <f>SUMIF($D$8:$D$55,$O40,$G$8:$G$55)+SUMIF($F$8:$F$55,$O40,$I$8:$I$55)</f>
        <v>0</v>
      </c>
      <c r="Q40" s="399">
        <f>SUMIF($D$8:$D$55,$O40,$I$8:$I$55)+SUMIF($F$8:$F$55,$O40,$G$8:$G$55)</f>
        <v>0</v>
      </c>
      <c r="R40" s="399">
        <f>P40-Q40</f>
        <v>0</v>
      </c>
      <c r="S40" s="400">
        <f>SUMIF($D$8:$D$55,$O40,$K$8:$K$55)+SUMIF($F$8:$F$55,$O40,$L$8:$L$55)</f>
        <v>0</v>
      </c>
      <c r="T40" s="445"/>
      <c r="U40" s="392"/>
      <c r="V40" s="392" t="str">
        <f>O40</f>
        <v>Bosnië H.</v>
      </c>
      <c r="W40" s="392" t="s">
        <v>73</v>
      </c>
      <c r="Y40" s="109">
        <f t="shared" si="7"/>
        <v>1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8"/>
        <v>1</v>
      </c>
      <c r="AG40" s="108">
        <f t="shared" si="0"/>
        <v>1</v>
      </c>
      <c r="AH40" s="108">
        <f t="shared" si="1"/>
        <v>0</v>
      </c>
      <c r="AI40" s="108">
        <f t="shared" si="9"/>
        <v>0</v>
      </c>
      <c r="AJ40" s="108">
        <f t="shared" si="2"/>
        <v>0</v>
      </c>
      <c r="AK40" s="108">
        <f t="shared" si="3"/>
        <v>0</v>
      </c>
      <c r="AL40" s="108">
        <f t="shared" si="4"/>
        <v>0</v>
      </c>
      <c r="AM40" s="120">
        <f>AO40</f>
        <v>0</v>
      </c>
      <c r="AN40" s="117" t="s">
        <v>30</v>
      </c>
      <c r="AO40" s="115">
        <f>IF(Uitslag!T40="",0,IF(T40=Uitslag!T40,10,0))</f>
        <v>0</v>
      </c>
    </row>
    <row r="41" spans="2:41" ht="15.75" thickBot="1">
      <c r="B41" s="370">
        <v>34</v>
      </c>
      <c r="C41" s="126">
        <v>41813</v>
      </c>
      <c r="D41" s="384" t="s">
        <v>14</v>
      </c>
      <c r="E41" s="373" t="s">
        <v>9</v>
      </c>
      <c r="F41" s="382" t="s">
        <v>15</v>
      </c>
      <c r="G41" s="436"/>
      <c r="H41" s="373" t="s">
        <v>9</v>
      </c>
      <c r="I41" s="441"/>
      <c r="J41" s="375" t="str">
        <f t="shared" si="10"/>
        <v/>
      </c>
      <c r="K41" s="363" t="str">
        <f t="shared" si="5"/>
        <v/>
      </c>
      <c r="L41" s="363" t="str">
        <f t="shared" si="6"/>
        <v/>
      </c>
      <c r="O41" s="398" t="s">
        <v>33</v>
      </c>
      <c r="P41" s="399">
        <f>SUMIF($D$8:$D$55,$O41,$G$8:$G$55)+SUMIF($F$8:$F$55,$O41,$I$8:$I$55)</f>
        <v>0</v>
      </c>
      <c r="Q41" s="399">
        <f>SUMIF($D$8:$D$55,$O41,$I$8:$I$55)+SUMIF($F$8:$F$55,$O41,$G$8:$G$55)</f>
        <v>0</v>
      </c>
      <c r="R41" s="399">
        <f>P41-Q41</f>
        <v>0</v>
      </c>
      <c r="S41" s="400">
        <f>SUMIF($D$8:$D$55,$O41,$K$8:$K$55)+SUMIF($F$8:$F$55,$O41,$L$8:$L$55)</f>
        <v>0</v>
      </c>
      <c r="T41" s="445"/>
      <c r="U41" s="392"/>
      <c r="V41" s="392" t="str">
        <f>O41</f>
        <v>Iran</v>
      </c>
      <c r="W41" s="392" t="s">
        <v>74</v>
      </c>
      <c r="Y41" s="109">
        <f t="shared" si="7"/>
        <v>1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8"/>
        <v>1</v>
      </c>
      <c r="AG41" s="108">
        <f t="shared" si="0"/>
        <v>0</v>
      </c>
      <c r="AH41" s="108">
        <f t="shared" si="1"/>
        <v>1</v>
      </c>
      <c r="AI41" s="108">
        <f t="shared" si="9"/>
        <v>0</v>
      </c>
      <c r="AJ41" s="108">
        <f t="shared" si="2"/>
        <v>0</v>
      </c>
      <c r="AK41" s="108">
        <f t="shared" si="3"/>
        <v>0</v>
      </c>
      <c r="AL41" s="108">
        <f t="shared" si="4"/>
        <v>0</v>
      </c>
      <c r="AM41" s="120">
        <f>AO41</f>
        <v>0</v>
      </c>
      <c r="AN41" s="117" t="s">
        <v>33</v>
      </c>
      <c r="AO41" s="115">
        <f>IF(Uitslag!T41="",0,IF(T41=Uitslag!T41,10,0))</f>
        <v>0</v>
      </c>
    </row>
    <row r="42" spans="2:41" ht="15.75" thickBot="1">
      <c r="B42" s="370">
        <v>35</v>
      </c>
      <c r="C42" s="126">
        <v>41813</v>
      </c>
      <c r="D42" s="372" t="s">
        <v>12</v>
      </c>
      <c r="E42" s="373" t="s">
        <v>9</v>
      </c>
      <c r="F42" s="382" t="s">
        <v>8</v>
      </c>
      <c r="G42" s="436"/>
      <c r="H42" s="373" t="s">
        <v>9</v>
      </c>
      <c r="I42" s="441"/>
      <c r="J42" s="375" t="str">
        <f t="shared" si="10"/>
        <v/>
      </c>
      <c r="K42" s="363" t="str">
        <f t="shared" si="5"/>
        <v/>
      </c>
      <c r="L42" s="363" t="str">
        <f t="shared" si="6"/>
        <v/>
      </c>
      <c r="O42" s="401" t="s">
        <v>34</v>
      </c>
      <c r="P42" s="402">
        <f>SUMIF($D$8:$D$55,$O42,$G$8:$G$55)+SUMIF($F$8:$F$55,$O42,$I$8:$I$55)</f>
        <v>0</v>
      </c>
      <c r="Q42" s="402">
        <f>SUMIF($D$8:$D$55,$O42,$I$8:$I$55)+SUMIF($F$8:$F$55,$O42,$G$8:$G$55)</f>
        <v>0</v>
      </c>
      <c r="R42" s="402">
        <f>P42-Q42</f>
        <v>0</v>
      </c>
      <c r="S42" s="403">
        <f>SUMIF($D$8:$D$55,$O42,$K$8:$K$55)+SUMIF($F$8:$F$55,$O42,$L$8:$L$55)</f>
        <v>0</v>
      </c>
      <c r="T42" s="446"/>
      <c r="U42" s="392"/>
      <c r="V42" s="392" t="str">
        <f>O42</f>
        <v>Nigeria</v>
      </c>
      <c r="W42" s="392" t="s">
        <v>75</v>
      </c>
      <c r="Y42" s="109">
        <f t="shared" si="7"/>
        <v>0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8"/>
        <v>0</v>
      </c>
      <c r="AG42" s="108">
        <f t="shared" si="0"/>
        <v>0</v>
      </c>
      <c r="AH42" s="108">
        <f t="shared" si="1"/>
        <v>0</v>
      </c>
      <c r="AI42" s="108">
        <f t="shared" si="9"/>
        <v>0</v>
      </c>
      <c r="AJ42" s="108">
        <f t="shared" si="2"/>
        <v>0</v>
      </c>
      <c r="AK42" s="108">
        <f t="shared" si="3"/>
        <v>0</v>
      </c>
      <c r="AL42" s="108">
        <f t="shared" si="4"/>
        <v>0</v>
      </c>
      <c r="AM42" s="120">
        <f>AO42</f>
        <v>0</v>
      </c>
      <c r="AN42" s="118" t="s">
        <v>34</v>
      </c>
      <c r="AO42" s="115">
        <f>IF(Uitslag!T42="",0,IF(T42=Uitslag!T42,10,0))</f>
        <v>0</v>
      </c>
    </row>
    <row r="43" spans="2:41" ht="15.75" thickBot="1">
      <c r="B43" s="376">
        <v>36</v>
      </c>
      <c r="C43" s="127">
        <v>41813</v>
      </c>
      <c r="D43" s="378" t="s">
        <v>10</v>
      </c>
      <c r="E43" s="379" t="s">
        <v>9</v>
      </c>
      <c r="F43" s="380" t="s">
        <v>11</v>
      </c>
      <c r="G43" s="437"/>
      <c r="H43" s="379" t="s">
        <v>9</v>
      </c>
      <c r="I43" s="442"/>
      <c r="J43" s="381" t="str">
        <f t="shared" si="10"/>
        <v/>
      </c>
      <c r="K43" s="363" t="str">
        <f t="shared" si="5"/>
        <v/>
      </c>
      <c r="L43" s="363" t="str">
        <f t="shared" si="6"/>
        <v/>
      </c>
      <c r="O43" s="392"/>
      <c r="P43" s="393"/>
      <c r="Q43" s="393"/>
      <c r="R43" s="393"/>
      <c r="S43" s="393"/>
      <c r="T43" s="393"/>
      <c r="U43" s="392"/>
      <c r="V43" s="392"/>
      <c r="W43" s="392"/>
      <c r="Y43" s="109">
        <f t="shared" si="7"/>
        <v>0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8"/>
        <v>0</v>
      </c>
      <c r="AG43" s="108">
        <f t="shared" si="0"/>
        <v>0</v>
      </c>
      <c r="AH43" s="108">
        <f t="shared" si="1"/>
        <v>0</v>
      </c>
      <c r="AI43" s="108">
        <f t="shared" si="9"/>
        <v>0</v>
      </c>
      <c r="AJ43" s="108">
        <f t="shared" si="2"/>
        <v>0</v>
      </c>
      <c r="AK43" s="108">
        <f t="shared" si="3"/>
        <v>0</v>
      </c>
      <c r="AL43" s="108">
        <f t="shared" si="4"/>
        <v>0</v>
      </c>
      <c r="AN43" s="392"/>
      <c r="AO43" s="393"/>
    </row>
    <row r="44" spans="2:41" ht="15.75" thickBot="1">
      <c r="B44" s="364">
        <v>37</v>
      </c>
      <c r="C44" s="125">
        <v>41814</v>
      </c>
      <c r="D44" s="366" t="s">
        <v>22</v>
      </c>
      <c r="E44" s="367" t="s">
        <v>9</v>
      </c>
      <c r="F44" s="368" t="s">
        <v>19</v>
      </c>
      <c r="G44" s="435"/>
      <c r="H44" s="367" t="s">
        <v>9</v>
      </c>
      <c r="I44" s="440"/>
      <c r="J44" s="369" t="str">
        <f t="shared" si="10"/>
        <v/>
      </c>
      <c r="K44" s="363" t="str">
        <f t="shared" si="5"/>
        <v/>
      </c>
      <c r="L44" s="363" t="str">
        <f t="shared" si="6"/>
        <v/>
      </c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392"/>
      <c r="V44" s="392"/>
      <c r="W44" s="392"/>
      <c r="Y44" s="109">
        <f t="shared" si="7"/>
        <v>1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8"/>
        <v>1</v>
      </c>
      <c r="AG44" s="108">
        <f t="shared" si="0"/>
        <v>1</v>
      </c>
      <c r="AH44" s="108">
        <f t="shared" si="1"/>
        <v>0</v>
      </c>
      <c r="AI44" s="108">
        <f t="shared" si="9"/>
        <v>0</v>
      </c>
      <c r="AJ44" s="108">
        <f t="shared" si="2"/>
        <v>0</v>
      </c>
      <c r="AK44" s="108">
        <f t="shared" si="3"/>
        <v>0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126">
        <v>41814</v>
      </c>
      <c r="D45" s="372" t="s">
        <v>20</v>
      </c>
      <c r="E45" s="373" t="s">
        <v>9</v>
      </c>
      <c r="F45" s="382" t="s">
        <v>21</v>
      </c>
      <c r="G45" s="436"/>
      <c r="H45" s="373" t="s">
        <v>9</v>
      </c>
      <c r="I45" s="441"/>
      <c r="J45" s="375" t="str">
        <f t="shared" si="10"/>
        <v/>
      </c>
      <c r="K45" s="363" t="str">
        <f t="shared" si="5"/>
        <v/>
      </c>
      <c r="L45" s="363" t="str">
        <f t="shared" si="6"/>
        <v/>
      </c>
      <c r="O45" s="394" t="s">
        <v>31</v>
      </c>
      <c r="P45" s="395">
        <f>SUMIF($D$8:$D$55,$O45,$G$8:$G$55)+SUMIF($F$8:$F$55,$O45,$I$8:$I$55)</f>
        <v>0</v>
      </c>
      <c r="Q45" s="395">
        <f>SUMIF($D$8:$D$55,$O45,$I$8:$I$55)+SUMIF($F$8:$F$55,$O45,$G$8:$G$55)</f>
        <v>0</v>
      </c>
      <c r="R45" s="396">
        <f>P45-Q45</f>
        <v>0</v>
      </c>
      <c r="S45" s="397">
        <f>SUMIF($D$8:$D$55,$O45,$K$8:$K$55)+SUMIF($F$8:$F$55,$O45,$L$8:$L$55)</f>
        <v>0</v>
      </c>
      <c r="T45" s="444"/>
      <c r="U45" s="392"/>
      <c r="V45" s="392" t="str">
        <f>O45</f>
        <v>Duitsland</v>
      </c>
      <c r="W45" s="392" t="s">
        <v>77</v>
      </c>
      <c r="Y45" s="109">
        <f t="shared" si="7"/>
        <v>10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8"/>
        <v>10</v>
      </c>
      <c r="AG45" s="108">
        <f t="shared" si="0"/>
        <v>1</v>
      </c>
      <c r="AH45" s="108">
        <f t="shared" si="1"/>
        <v>1</v>
      </c>
      <c r="AI45" s="108">
        <f t="shared" si="9"/>
        <v>10</v>
      </c>
      <c r="AJ45" s="108">
        <f t="shared" si="2"/>
        <v>0</v>
      </c>
      <c r="AK45" s="108">
        <f t="shared" si="3"/>
        <v>0</v>
      </c>
      <c r="AL45" s="108">
        <f t="shared" si="4"/>
        <v>5</v>
      </c>
      <c r="AM45" s="120">
        <f>AO45</f>
        <v>0</v>
      </c>
      <c r="AN45" s="116" t="s">
        <v>31</v>
      </c>
      <c r="AO45" s="115">
        <f>IF(Uitslag!T45="",0,IF(T45=Uitslag!T45,10,0))</f>
        <v>0</v>
      </c>
    </row>
    <row r="46" spans="2:41" ht="15.75" thickBot="1">
      <c r="B46" s="370">
        <v>39</v>
      </c>
      <c r="C46" s="126">
        <v>41814</v>
      </c>
      <c r="D46" s="372" t="s">
        <v>24</v>
      </c>
      <c r="E46" s="373" t="s">
        <v>9</v>
      </c>
      <c r="F46" s="382" t="s">
        <v>17</v>
      </c>
      <c r="G46" s="436"/>
      <c r="H46" s="373" t="s">
        <v>9</v>
      </c>
      <c r="I46" s="441"/>
      <c r="J46" s="375" t="str">
        <f t="shared" si="10"/>
        <v/>
      </c>
      <c r="K46" s="363" t="str">
        <f t="shared" si="5"/>
        <v/>
      </c>
      <c r="L46" s="363" t="str">
        <f t="shared" si="6"/>
        <v/>
      </c>
      <c r="O46" s="398" t="s">
        <v>32</v>
      </c>
      <c r="P46" s="399">
        <f>SUMIF($D$8:$D$55,$O46,$G$8:$G$55)+SUMIF($F$8:$F$55,$O46,$I$8:$I$55)</f>
        <v>0</v>
      </c>
      <c r="Q46" s="399">
        <f>SUMIF($D$8:$D$55,$O46,$I$8:$I$55)+SUMIF($F$8:$F$55,$O46,$G$8:$G$55)</f>
        <v>0</v>
      </c>
      <c r="R46" s="399">
        <f>P46-Q46</f>
        <v>0</v>
      </c>
      <c r="S46" s="400">
        <f>SUMIF($D$8:$D$55,$O46,$K$8:$K$55)+SUMIF($F$8:$F$55,$O46,$L$8:$L$55)</f>
        <v>0</v>
      </c>
      <c r="T46" s="445"/>
      <c r="U46" s="392"/>
      <c r="V46" s="392" t="str">
        <f>O46</f>
        <v>Portugal</v>
      </c>
      <c r="W46" s="392" t="s">
        <v>78</v>
      </c>
      <c r="Y46" s="109">
        <f t="shared" si="7"/>
        <v>0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8"/>
        <v>0</v>
      </c>
      <c r="AG46" s="108">
        <f t="shared" si="0"/>
        <v>0</v>
      </c>
      <c r="AH46" s="108">
        <f t="shared" si="1"/>
        <v>0</v>
      </c>
      <c r="AI46" s="108">
        <f t="shared" si="9"/>
        <v>0</v>
      </c>
      <c r="AJ46" s="108">
        <f t="shared" si="2"/>
        <v>0</v>
      </c>
      <c r="AK46" s="108">
        <f t="shared" si="3"/>
        <v>0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127">
        <v>41814</v>
      </c>
      <c r="D47" s="378" t="s">
        <v>18</v>
      </c>
      <c r="E47" s="379" t="s">
        <v>9</v>
      </c>
      <c r="F47" s="380" t="s">
        <v>23</v>
      </c>
      <c r="G47" s="437"/>
      <c r="H47" s="379" t="s">
        <v>9</v>
      </c>
      <c r="I47" s="442"/>
      <c r="J47" s="381" t="str">
        <f t="shared" si="10"/>
        <v/>
      </c>
      <c r="K47" s="363" t="str">
        <f t="shared" si="5"/>
        <v/>
      </c>
      <c r="L47" s="363" t="str">
        <f t="shared" si="6"/>
        <v/>
      </c>
      <c r="O47" s="398" t="s">
        <v>35</v>
      </c>
      <c r="P47" s="399">
        <f>SUMIF($D$8:$D$55,$O47,$G$8:$G$55)+SUMIF($F$8:$F$55,$O47,$I$8:$I$55)</f>
        <v>0</v>
      </c>
      <c r="Q47" s="399">
        <f>SUMIF($D$8:$D$55,$O47,$I$8:$I$55)+SUMIF($F$8:$F$55,$O47,$G$8:$G$55)</f>
        <v>0</v>
      </c>
      <c r="R47" s="399">
        <f>P47-Q47</f>
        <v>0</v>
      </c>
      <c r="S47" s="400">
        <f>SUMIF($D$8:$D$55,$O47,$K$8:$K$55)+SUMIF($F$8:$F$55,$O47,$L$8:$L$55)</f>
        <v>0</v>
      </c>
      <c r="T47" s="445"/>
      <c r="U47" s="392"/>
      <c r="V47" s="392" t="str">
        <f>O47</f>
        <v>Ghana</v>
      </c>
      <c r="W47" s="392" t="s">
        <v>79</v>
      </c>
      <c r="Y47" s="109">
        <f t="shared" si="7"/>
        <v>0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8"/>
        <v>0</v>
      </c>
      <c r="AG47" s="108">
        <f t="shared" si="0"/>
        <v>0</v>
      </c>
      <c r="AH47" s="108">
        <f t="shared" si="1"/>
        <v>0</v>
      </c>
      <c r="AI47" s="108">
        <f t="shared" si="9"/>
        <v>0</v>
      </c>
      <c r="AJ47" s="108">
        <f t="shared" si="2"/>
        <v>0</v>
      </c>
      <c r="AK47" s="108">
        <f t="shared" si="3"/>
        <v>0</v>
      </c>
      <c r="AL47" s="108">
        <f t="shared" si="4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364">
        <v>41</v>
      </c>
      <c r="C48" s="125">
        <v>41815</v>
      </c>
      <c r="D48" s="366" t="s">
        <v>34</v>
      </c>
      <c r="E48" s="367" t="s">
        <v>9</v>
      </c>
      <c r="F48" s="368" t="s">
        <v>29</v>
      </c>
      <c r="G48" s="435"/>
      <c r="H48" s="367" t="s">
        <v>9</v>
      </c>
      <c r="I48" s="440"/>
      <c r="J48" s="369" t="str">
        <f t="shared" si="10"/>
        <v/>
      </c>
      <c r="K48" s="363" t="str">
        <f t="shared" si="5"/>
        <v/>
      </c>
      <c r="L48" s="363" t="str">
        <f t="shared" si="6"/>
        <v/>
      </c>
      <c r="O48" s="401" t="s">
        <v>36</v>
      </c>
      <c r="P48" s="402">
        <f>SUMIF($D$8:$D$55,$O48,$G$8:$G$55)+SUMIF($F$8:$F$55,$O48,$I$8:$I$55)</f>
        <v>0</v>
      </c>
      <c r="Q48" s="402">
        <f>SUMIF($D$8:$D$55,$O48,$I$8:$I$55)+SUMIF($F$8:$F$55,$O48,$G$8:$G$55)</f>
        <v>0</v>
      </c>
      <c r="R48" s="402">
        <f>P48-Q48</f>
        <v>0</v>
      </c>
      <c r="S48" s="403">
        <f>SUMIF($D$8:$D$55,$O48,$K$8:$K$55)+SUMIF($F$8:$F$55,$O48,$L$8:$L$55)</f>
        <v>0</v>
      </c>
      <c r="T48" s="446"/>
      <c r="U48" s="392"/>
      <c r="V48" s="392" t="str">
        <f>O48</f>
        <v>Verenigde Staten</v>
      </c>
      <c r="W48" s="392" t="s">
        <v>80</v>
      </c>
      <c r="Y48" s="109">
        <f t="shared" si="7"/>
        <v>0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8"/>
        <v>0</v>
      </c>
      <c r="AG48" s="108">
        <f t="shared" si="0"/>
        <v>0</v>
      </c>
      <c r="AH48" s="108">
        <f t="shared" si="1"/>
        <v>0</v>
      </c>
      <c r="AI48" s="108">
        <f t="shared" si="9"/>
        <v>0</v>
      </c>
      <c r="AJ48" s="108">
        <f t="shared" si="2"/>
        <v>0</v>
      </c>
      <c r="AK48" s="108">
        <f t="shared" si="3"/>
        <v>0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126">
        <v>41815</v>
      </c>
      <c r="D49" s="372" t="s">
        <v>30</v>
      </c>
      <c r="E49" s="373" t="s">
        <v>9</v>
      </c>
      <c r="F49" s="382" t="s">
        <v>33</v>
      </c>
      <c r="G49" s="436"/>
      <c r="H49" s="373" t="s">
        <v>9</v>
      </c>
      <c r="I49" s="441"/>
      <c r="J49" s="375" t="str">
        <f t="shared" si="10"/>
        <v/>
      </c>
      <c r="K49" s="363" t="str">
        <f t="shared" si="5"/>
        <v/>
      </c>
      <c r="L49" s="363" t="str">
        <f t="shared" si="6"/>
        <v/>
      </c>
      <c r="O49" s="392"/>
      <c r="P49" s="393"/>
      <c r="Q49" s="393"/>
      <c r="R49" s="393"/>
      <c r="S49" s="393"/>
      <c r="T49" s="393"/>
      <c r="U49" s="392"/>
      <c r="V49" s="392"/>
      <c r="W49" s="392"/>
      <c r="Y49" s="109">
        <f t="shared" si="7"/>
        <v>0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8"/>
        <v>0</v>
      </c>
      <c r="AG49" s="108">
        <f t="shared" si="0"/>
        <v>0</v>
      </c>
      <c r="AH49" s="108">
        <f t="shared" si="1"/>
        <v>0</v>
      </c>
      <c r="AI49" s="108">
        <f t="shared" si="9"/>
        <v>0</v>
      </c>
      <c r="AJ49" s="108">
        <f t="shared" si="2"/>
        <v>0</v>
      </c>
      <c r="AK49" s="108">
        <f t="shared" si="3"/>
        <v>0</v>
      </c>
      <c r="AL49" s="108">
        <f t="shared" si="4"/>
        <v>0</v>
      </c>
      <c r="AN49" s="392"/>
      <c r="AO49" s="393"/>
    </row>
    <row r="50" spans="2:54" ht="15.75" thickBot="1">
      <c r="B50" s="370">
        <v>43</v>
      </c>
      <c r="C50" s="126">
        <v>41815</v>
      </c>
      <c r="D50" s="372" t="s">
        <v>28</v>
      </c>
      <c r="E50" s="373" t="s">
        <v>9</v>
      </c>
      <c r="F50" s="382" t="s">
        <v>25</v>
      </c>
      <c r="G50" s="436"/>
      <c r="H50" s="373" t="s">
        <v>9</v>
      </c>
      <c r="I50" s="441"/>
      <c r="J50" s="375" t="str">
        <f t="shared" si="10"/>
        <v/>
      </c>
      <c r="K50" s="363" t="str">
        <f t="shared" si="5"/>
        <v/>
      </c>
      <c r="L50" s="363" t="str">
        <f t="shared" si="6"/>
        <v/>
      </c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392"/>
      <c r="V50" s="392"/>
      <c r="W50" s="392"/>
      <c r="Y50" s="109">
        <f t="shared" si="7"/>
        <v>1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8"/>
        <v>1</v>
      </c>
      <c r="AG50" s="108">
        <f t="shared" si="0"/>
        <v>1</v>
      </c>
      <c r="AH50" s="108">
        <f t="shared" si="1"/>
        <v>0</v>
      </c>
      <c r="AI50" s="108">
        <f t="shared" si="9"/>
        <v>0</v>
      </c>
      <c r="AJ50" s="108">
        <f t="shared" si="2"/>
        <v>0</v>
      </c>
      <c r="AK50" s="108">
        <f t="shared" si="3"/>
        <v>0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127">
        <v>41815</v>
      </c>
      <c r="D51" s="378" t="s">
        <v>26</v>
      </c>
      <c r="E51" s="379" t="s">
        <v>9</v>
      </c>
      <c r="F51" s="380" t="s">
        <v>27</v>
      </c>
      <c r="G51" s="437"/>
      <c r="H51" s="379" t="s">
        <v>9</v>
      </c>
      <c r="I51" s="442"/>
      <c r="J51" s="381" t="str">
        <f t="shared" si="10"/>
        <v/>
      </c>
      <c r="K51" s="363" t="str">
        <f t="shared" si="5"/>
        <v/>
      </c>
      <c r="L51" s="363" t="str">
        <f t="shared" si="6"/>
        <v/>
      </c>
      <c r="O51" s="394" t="s">
        <v>37</v>
      </c>
      <c r="P51" s="395">
        <f>SUMIF($D$8:$D$55,$O51,$G$8:$G$55)+SUMIF($F$8:$F$55,$O51,$I$8:$I$55)</f>
        <v>0</v>
      </c>
      <c r="Q51" s="395">
        <f>SUMIF($D$8:$D$55,$O51,$I$8:$I$55)+SUMIF($F$8:$F$55,$O51,$G$8:$G$55)</f>
        <v>0</v>
      </c>
      <c r="R51" s="396">
        <f>P51-Q51</f>
        <v>0</v>
      </c>
      <c r="S51" s="397">
        <f>SUMIF($D$8:$D$55,$O51,$K$8:$K$55)+SUMIF($F$8:$F$55,$O51,$L$8:$L$55)</f>
        <v>0</v>
      </c>
      <c r="T51" s="444"/>
      <c r="U51" s="392"/>
      <c r="V51" s="392" t="str">
        <f>O51</f>
        <v>België</v>
      </c>
      <c r="W51" s="392" t="s">
        <v>82</v>
      </c>
      <c r="Y51" s="109">
        <f t="shared" si="7"/>
        <v>10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8"/>
        <v>10</v>
      </c>
      <c r="AG51" s="108">
        <f t="shared" si="0"/>
        <v>1</v>
      </c>
      <c r="AH51" s="108">
        <f t="shared" si="1"/>
        <v>1</v>
      </c>
      <c r="AI51" s="108">
        <f t="shared" si="9"/>
        <v>10</v>
      </c>
      <c r="AJ51" s="108">
        <f t="shared" si="2"/>
        <v>0</v>
      </c>
      <c r="AK51" s="108">
        <f t="shared" si="3"/>
        <v>0</v>
      </c>
      <c r="AL51" s="108">
        <f t="shared" si="4"/>
        <v>5</v>
      </c>
      <c r="AM51" s="120">
        <f>AO51</f>
        <v>0</v>
      </c>
      <c r="AN51" s="116" t="s">
        <v>37</v>
      </c>
      <c r="AO51" s="115">
        <f>IF(Uitslag!T51="",0,IF(T51=Uitslag!T51,10,0))</f>
        <v>0</v>
      </c>
    </row>
    <row r="52" spans="2:54" ht="15.75" thickBot="1">
      <c r="B52" s="370">
        <v>45</v>
      </c>
      <c r="C52" s="126">
        <v>41816</v>
      </c>
      <c r="D52" s="372" t="s">
        <v>36</v>
      </c>
      <c r="E52" s="373" t="s">
        <v>9</v>
      </c>
      <c r="F52" s="382" t="s">
        <v>31</v>
      </c>
      <c r="G52" s="436"/>
      <c r="H52" s="373" t="s">
        <v>9</v>
      </c>
      <c r="I52" s="441"/>
      <c r="J52" s="369" t="str">
        <f t="shared" si="10"/>
        <v/>
      </c>
      <c r="K52" s="363" t="str">
        <f t="shared" si="5"/>
        <v/>
      </c>
      <c r="L52" s="363" t="str">
        <f t="shared" si="6"/>
        <v/>
      </c>
      <c r="O52" s="398" t="s">
        <v>38</v>
      </c>
      <c r="P52" s="399">
        <f>SUMIF($D$8:$D$55,$O52,$G$8:$G$55)+SUMIF($F$8:$F$55,$O52,$I$8:$I$55)</f>
        <v>0</v>
      </c>
      <c r="Q52" s="399">
        <f>SUMIF($D$8:$D$55,$O52,$I$8:$I$55)+SUMIF($F$8:$F$55,$O52,$G$8:$G$55)</f>
        <v>0</v>
      </c>
      <c r="R52" s="399">
        <f>P52-Q52</f>
        <v>0</v>
      </c>
      <c r="S52" s="400">
        <f>SUMIF($D$8:$D$55,$O52,$K$8:$K$55)+SUMIF($F$8:$F$55,$O52,$L$8:$L$55)</f>
        <v>0</v>
      </c>
      <c r="T52" s="445"/>
      <c r="U52" s="392"/>
      <c r="V52" s="392" t="str">
        <f>O52</f>
        <v>Algerije</v>
      </c>
      <c r="W52" s="392" t="s">
        <v>83</v>
      </c>
      <c r="Y52" s="109">
        <f t="shared" si="7"/>
        <v>1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8"/>
        <v>1</v>
      </c>
      <c r="AG52" s="108">
        <f t="shared" si="0"/>
        <v>1</v>
      </c>
      <c r="AH52" s="108">
        <f t="shared" si="1"/>
        <v>0</v>
      </c>
      <c r="AI52" s="108">
        <f t="shared" si="9"/>
        <v>0</v>
      </c>
      <c r="AJ52" s="108">
        <f t="shared" si="2"/>
        <v>0</v>
      </c>
      <c r="AK52" s="108">
        <f t="shared" si="3"/>
        <v>0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126">
        <v>41816</v>
      </c>
      <c r="D53" s="372" t="s">
        <v>32</v>
      </c>
      <c r="E53" s="373" t="s">
        <v>9</v>
      </c>
      <c r="F53" s="382" t="s">
        <v>35</v>
      </c>
      <c r="G53" s="436"/>
      <c r="H53" s="373" t="s">
        <v>9</v>
      </c>
      <c r="I53" s="441"/>
      <c r="J53" s="375" t="str">
        <f t="shared" si="10"/>
        <v/>
      </c>
      <c r="K53" s="363" t="str">
        <f t="shared" si="5"/>
        <v/>
      </c>
      <c r="L53" s="363" t="str">
        <f t="shared" si="6"/>
        <v/>
      </c>
      <c r="O53" s="398" t="s">
        <v>39</v>
      </c>
      <c r="P53" s="399">
        <f>SUMIF($D$8:$D$55,$O53,$G$8:$G$55)+SUMIF($F$8:$F$55,$O53,$I$8:$I$55)</f>
        <v>0</v>
      </c>
      <c r="Q53" s="399">
        <f>SUMIF($D$8:$D$55,$O53,$I$8:$I$55)+SUMIF($F$8:$F$55,$O53,$G$8:$G$55)</f>
        <v>0</v>
      </c>
      <c r="R53" s="399">
        <f>P53-Q53</f>
        <v>0</v>
      </c>
      <c r="S53" s="400">
        <f>SUMIF($D$8:$D$55,$O53,$K$8:$K$55)+SUMIF($F$8:$F$55,$O53,$L$8:$L$55)</f>
        <v>0</v>
      </c>
      <c r="T53" s="445"/>
      <c r="U53" s="392"/>
      <c r="V53" s="392" t="str">
        <f>O53</f>
        <v>Rusland</v>
      </c>
      <c r="W53" s="392" t="s">
        <v>84</v>
      </c>
      <c r="Y53" s="109">
        <f t="shared" si="7"/>
        <v>0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8"/>
        <v>0</v>
      </c>
      <c r="AG53" s="108">
        <f t="shared" si="0"/>
        <v>0</v>
      </c>
      <c r="AH53" s="108">
        <f t="shared" si="1"/>
        <v>0</v>
      </c>
      <c r="AI53" s="108">
        <f t="shared" si="9"/>
        <v>0</v>
      </c>
      <c r="AJ53" s="108">
        <f t="shared" si="2"/>
        <v>0</v>
      </c>
      <c r="AK53" s="108">
        <f t="shared" si="3"/>
        <v>0</v>
      </c>
      <c r="AL53" s="108">
        <f t="shared" si="4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370">
        <v>47</v>
      </c>
      <c r="C54" s="126">
        <v>41816</v>
      </c>
      <c r="D54" s="372" t="s">
        <v>40</v>
      </c>
      <c r="E54" s="373" t="s">
        <v>9</v>
      </c>
      <c r="F54" s="382" t="s">
        <v>37</v>
      </c>
      <c r="G54" s="436"/>
      <c r="H54" s="373" t="s">
        <v>9</v>
      </c>
      <c r="I54" s="441"/>
      <c r="J54" s="375" t="str">
        <f t="shared" si="10"/>
        <v/>
      </c>
      <c r="K54" s="363" t="str">
        <f t="shared" si="5"/>
        <v/>
      </c>
      <c r="L54" s="363" t="str">
        <f t="shared" si="6"/>
        <v/>
      </c>
      <c r="O54" s="401" t="s">
        <v>40</v>
      </c>
      <c r="P54" s="402">
        <f>SUMIF($D$8:$D$55,$O54,$G$8:$G$55)+SUMIF($F$8:$F$55,$O54,$I$8:$I$55)</f>
        <v>0</v>
      </c>
      <c r="Q54" s="402">
        <f>SUMIF($D$8:$D$55,$O54,$I$8:$I$55)+SUMIF($F$8:$F$55,$O54,$G$8:$G$55)</f>
        <v>0</v>
      </c>
      <c r="R54" s="402">
        <f>P54-Q54</f>
        <v>0</v>
      </c>
      <c r="S54" s="403">
        <f>SUMIF($D$8:$D$55,$O54,$K$8:$K$55)+SUMIF($F$8:$F$55,$O54,$L$8:$L$55)</f>
        <v>0</v>
      </c>
      <c r="T54" s="446"/>
      <c r="U54" s="392"/>
      <c r="V54" s="392" t="str">
        <f>O54</f>
        <v>Zuid Korea</v>
      </c>
      <c r="W54" s="392" t="s">
        <v>85</v>
      </c>
      <c r="Y54" s="109">
        <f t="shared" si="7"/>
        <v>1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8"/>
        <v>1</v>
      </c>
      <c r="AG54" s="108">
        <f t="shared" si="0"/>
        <v>1</v>
      </c>
      <c r="AH54" s="108">
        <f t="shared" si="1"/>
        <v>0</v>
      </c>
      <c r="AI54" s="108">
        <f t="shared" si="9"/>
        <v>0</v>
      </c>
      <c r="AJ54" s="108">
        <f t="shared" si="2"/>
        <v>0</v>
      </c>
      <c r="AK54" s="108">
        <f t="shared" si="3"/>
        <v>0</v>
      </c>
      <c r="AL54" s="108">
        <f t="shared" si="4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85">
        <v>48</v>
      </c>
      <c r="C55" s="128">
        <v>41816</v>
      </c>
      <c r="D55" s="387" t="s">
        <v>38</v>
      </c>
      <c r="E55" s="388" t="s">
        <v>9</v>
      </c>
      <c r="F55" s="389" t="s">
        <v>39</v>
      </c>
      <c r="G55" s="438"/>
      <c r="H55" s="388" t="s">
        <v>9</v>
      </c>
      <c r="I55" s="443"/>
      <c r="J55" s="390" t="str">
        <f t="shared" si="10"/>
        <v/>
      </c>
      <c r="K55" s="363" t="str">
        <f t="shared" si="5"/>
        <v/>
      </c>
      <c r="L55" s="363" t="str">
        <f t="shared" si="6"/>
        <v/>
      </c>
      <c r="O55" s="392"/>
      <c r="P55" s="393"/>
      <c r="Q55" s="393"/>
      <c r="R55" s="393"/>
      <c r="S55" s="393"/>
      <c r="T55" s="393"/>
      <c r="U55" s="392"/>
      <c r="V55" s="392"/>
      <c r="W55" s="392"/>
      <c r="Y55" s="109">
        <f t="shared" si="7"/>
        <v>5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8"/>
        <v>5</v>
      </c>
      <c r="AG55" s="108">
        <f t="shared" si="0"/>
        <v>0</v>
      </c>
      <c r="AH55" s="108">
        <f t="shared" si="1"/>
        <v>0</v>
      </c>
      <c r="AI55" s="108">
        <f t="shared" si="9"/>
        <v>0</v>
      </c>
      <c r="AJ55" s="108">
        <f t="shared" si="2"/>
        <v>0</v>
      </c>
      <c r="AK55" s="108">
        <f t="shared" si="3"/>
        <v>0</v>
      </c>
      <c r="AL55" s="108">
        <f t="shared" si="4"/>
        <v>5</v>
      </c>
    </row>
    <row r="56" spans="2:54" ht="15.75" thickBot="1">
      <c r="B56" s="353"/>
      <c r="C56" s="129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79"/>
      <c r="K57" s="353"/>
      <c r="L57" s="353"/>
      <c r="M57" s="353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122" t="s">
        <v>2</v>
      </c>
      <c r="D58" s="476" t="s">
        <v>3</v>
      </c>
      <c r="E58" s="431"/>
      <c r="F58" s="477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O58" s="458">
        <v>1</v>
      </c>
      <c r="P58" s="877"/>
      <c r="Q58" s="877"/>
      <c r="R58" s="877"/>
      <c r="S58" s="877"/>
      <c r="T58" s="878"/>
      <c r="V58" s="352" t="s">
        <v>132</v>
      </c>
      <c r="W58" s="352" t="s">
        <v>124</v>
      </c>
      <c r="X58" s="352" t="str">
        <f t="shared" ref="X58:X98" si="11">CONCATENATE(W58," ",V58)</f>
        <v>Jeroen Zoet (k)</v>
      </c>
      <c r="Y58" s="113" t="s">
        <v>91</v>
      </c>
      <c r="Z58" s="352" t="str">
        <f>IF(K58=""," ",VLOOKUP(K58,$T$9:$V$54,3,FALSE))</f>
        <v xml:space="preserve"> </v>
      </c>
      <c r="AA58" s="352" t="str">
        <f>IF(L58=""," ",VLOOKUP(L58,$T$9:$V$54,3,FALSE))</f>
        <v xml:space="preserve"> </v>
      </c>
      <c r="AZ58" s="138" t="str">
        <f>Uitslag!P58</f>
        <v>Jasper Cillessen (k)</v>
      </c>
      <c r="BA58" s="140" t="str">
        <f t="shared" ref="BA58:BA68" si="12">IF(P58="","",COUNTIF($AZ$58:$AZ$68,P58)*3)</f>
        <v/>
      </c>
      <c r="BB58" s="139" t="str">
        <f>BA58</f>
        <v/>
      </c>
    </row>
    <row r="59" spans="2:54">
      <c r="B59" s="364">
        <v>49</v>
      </c>
      <c r="C59" s="125">
        <v>41818</v>
      </c>
      <c r="D59" s="459" t="str">
        <f>IF(ISERROR(Z59),K59,Z59)</f>
        <v>A1</v>
      </c>
      <c r="E59" s="367" t="s">
        <v>9</v>
      </c>
      <c r="F59" s="406" t="str">
        <f>IF(ISERROR(AA59),L59,AA59)</f>
        <v>B2</v>
      </c>
      <c r="G59" s="435"/>
      <c r="H59" s="367" t="s">
        <v>9</v>
      </c>
      <c r="I59" s="447"/>
      <c r="J59" s="448"/>
      <c r="K59" s="407" t="s">
        <v>48</v>
      </c>
      <c r="L59" s="407" t="s">
        <v>53</v>
      </c>
      <c r="M59" s="407">
        <v>1</v>
      </c>
      <c r="O59" s="458">
        <v>2</v>
      </c>
      <c r="P59" s="877"/>
      <c r="Q59" s="877"/>
      <c r="R59" s="877"/>
      <c r="S59" s="877"/>
      <c r="T59" s="878"/>
      <c r="V59" s="352" t="s">
        <v>132</v>
      </c>
      <c r="W59" s="352" t="s">
        <v>111</v>
      </c>
      <c r="X59" s="352" t="str">
        <f t="shared" si="11"/>
        <v>Jasper Cillessen (k)</v>
      </c>
      <c r="Y59" s="109">
        <f t="shared" ref="Y59:Y66" si="13">AF59</f>
        <v>5</v>
      </c>
      <c r="Z59" s="352" t="e">
        <f t="shared" ref="Z59:AA65" si="14">IF(K59=""," ",VLOOKUP(K59,$T$9:$V$54,3,FALSE))</f>
        <v>#N/A</v>
      </c>
      <c r="AA59" s="352" t="e">
        <f t="shared" si="14"/>
        <v>#N/A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5</v>
      </c>
      <c r="AG59" s="108">
        <f t="shared" ref="AG59:AG66" si="16">IF(AC59="",0,(IF(G59=AC59,1,0)))</f>
        <v>0</v>
      </c>
      <c r="AH59" s="108">
        <f t="shared" ref="AH59:AH66" si="17">IF(AD59="",0,(IF(I59=AD59,1,0)))</f>
        <v>0</v>
      </c>
      <c r="AI59" s="108">
        <f t="shared" ref="AI59:AI66" si="18">IF(AND(AG59=1,AH59=1),10,0)</f>
        <v>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5</v>
      </c>
      <c r="AZ59" s="138" t="str">
        <f>Uitslag!P59</f>
        <v>Daryl Janmaat (v)</v>
      </c>
      <c r="BA59" s="140" t="str">
        <f t="shared" si="12"/>
        <v/>
      </c>
      <c r="BB59" s="139" t="str">
        <f t="shared" ref="BB59:BB68" si="22">BA59</f>
        <v/>
      </c>
    </row>
    <row r="60" spans="2:54">
      <c r="B60" s="376">
        <v>50</v>
      </c>
      <c r="C60" s="127">
        <v>41818</v>
      </c>
      <c r="D60" s="460" t="str">
        <f t="shared" ref="D60:D66" si="23">IF(ISERROR(Z60),K60,Z60)</f>
        <v>C1</v>
      </c>
      <c r="E60" s="379" t="s">
        <v>9</v>
      </c>
      <c r="F60" s="409" t="str">
        <f t="shared" ref="F60:F66" si="24">IF(ISERROR(AA60),L60,AA60)</f>
        <v>D2</v>
      </c>
      <c r="G60" s="437"/>
      <c r="H60" s="379" t="s">
        <v>9</v>
      </c>
      <c r="I60" s="449"/>
      <c r="J60" s="450"/>
      <c r="K60" s="407" t="s">
        <v>57</v>
      </c>
      <c r="L60" s="407" t="s">
        <v>63</v>
      </c>
      <c r="M60" s="407">
        <v>2</v>
      </c>
      <c r="O60" s="458">
        <v>3</v>
      </c>
      <c r="P60" s="877"/>
      <c r="Q60" s="877"/>
      <c r="R60" s="877"/>
      <c r="S60" s="877"/>
      <c r="T60" s="878"/>
      <c r="V60" s="352" t="s">
        <v>132</v>
      </c>
      <c r="W60" s="352" t="s">
        <v>110</v>
      </c>
      <c r="X60" s="352" t="str">
        <f t="shared" si="11"/>
        <v>Kenneth Vermeer (k)</v>
      </c>
      <c r="Y60" s="109">
        <f t="shared" si="13"/>
        <v>1</v>
      </c>
      <c r="Z60" s="352" t="e">
        <f t="shared" si="14"/>
        <v>#N/A</v>
      </c>
      <c r="AA60" s="352" t="e">
        <f t="shared" si="14"/>
        <v>#N/A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1</v>
      </c>
      <c r="AG60" s="108">
        <f t="shared" si="16"/>
        <v>0</v>
      </c>
      <c r="AH60" s="108">
        <f t="shared" si="17"/>
        <v>1</v>
      </c>
      <c r="AI60" s="108">
        <f t="shared" si="18"/>
        <v>0</v>
      </c>
      <c r="AJ60" s="108">
        <f t="shared" si="19"/>
        <v>0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 t="str">
        <f t="shared" si="12"/>
        <v/>
      </c>
      <c r="BB60" s="139" t="str">
        <f t="shared" si="22"/>
        <v/>
      </c>
    </row>
    <row r="61" spans="2:54">
      <c r="B61" s="364">
        <v>51</v>
      </c>
      <c r="C61" s="125">
        <v>41819</v>
      </c>
      <c r="D61" s="464" t="str">
        <f t="shared" si="23"/>
        <v>B1</v>
      </c>
      <c r="E61" s="367" t="s">
        <v>9</v>
      </c>
      <c r="F61" s="406" t="str">
        <f t="shared" si="24"/>
        <v>A2</v>
      </c>
      <c r="G61" s="435"/>
      <c r="H61" s="367" t="s">
        <v>9</v>
      </c>
      <c r="I61" s="447"/>
      <c r="J61" s="448"/>
      <c r="K61" s="407" t="s">
        <v>52</v>
      </c>
      <c r="L61" s="407" t="s">
        <v>49</v>
      </c>
      <c r="M61" s="407"/>
      <c r="O61" s="458">
        <v>4</v>
      </c>
      <c r="P61" s="877"/>
      <c r="Q61" s="877"/>
      <c r="R61" s="877"/>
      <c r="S61" s="877"/>
      <c r="T61" s="878"/>
      <c r="V61" s="352" t="s">
        <v>132</v>
      </c>
      <c r="W61" s="352" t="s">
        <v>191</v>
      </c>
      <c r="X61" s="352" t="str">
        <f t="shared" si="11"/>
        <v>Tim Krul (k)</v>
      </c>
      <c r="Y61" s="109">
        <f t="shared" si="13"/>
        <v>0</v>
      </c>
      <c r="Z61" s="352" t="e">
        <f t="shared" si="14"/>
        <v>#N/A</v>
      </c>
      <c r="AA61" s="352" t="e">
        <f t="shared" si="14"/>
        <v>#N/A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0</v>
      </c>
      <c r="AG61" s="108">
        <f t="shared" si="16"/>
        <v>0</v>
      </c>
      <c r="AH61" s="108">
        <f t="shared" si="17"/>
        <v>0</v>
      </c>
      <c r="AI61" s="108">
        <f t="shared" si="18"/>
        <v>0</v>
      </c>
      <c r="AJ61" s="108">
        <f t="shared" si="19"/>
        <v>0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 t="str">
        <f t="shared" si="12"/>
        <v/>
      </c>
      <c r="BB61" s="139" t="str">
        <f t="shared" si="22"/>
        <v/>
      </c>
    </row>
    <row r="62" spans="2:54">
      <c r="B62" s="376">
        <v>52</v>
      </c>
      <c r="C62" s="127">
        <v>41819</v>
      </c>
      <c r="D62" s="464" t="str">
        <f t="shared" si="23"/>
        <v>D1</v>
      </c>
      <c r="E62" s="379" t="s">
        <v>9</v>
      </c>
      <c r="F62" s="409" t="str">
        <f t="shared" si="24"/>
        <v>C2</v>
      </c>
      <c r="G62" s="437"/>
      <c r="H62" s="379" t="s">
        <v>9</v>
      </c>
      <c r="I62" s="449"/>
      <c r="J62" s="450"/>
      <c r="K62" s="407" t="s">
        <v>62</v>
      </c>
      <c r="L62" s="407" t="s">
        <v>58</v>
      </c>
      <c r="M62" s="407"/>
      <c r="O62" s="458">
        <v>5</v>
      </c>
      <c r="P62" s="877"/>
      <c r="Q62" s="877"/>
      <c r="R62" s="877"/>
      <c r="S62" s="877"/>
      <c r="T62" s="878"/>
      <c r="V62" s="352" t="s">
        <v>132</v>
      </c>
      <c r="W62" s="352" t="s">
        <v>192</v>
      </c>
      <c r="X62" s="352" t="str">
        <f t="shared" si="11"/>
        <v>Maarten Stekelenburg (k)</v>
      </c>
      <c r="Y62" s="109">
        <f t="shared" si="13"/>
        <v>5</v>
      </c>
      <c r="Z62" s="352" t="e">
        <f t="shared" si="14"/>
        <v>#N/A</v>
      </c>
      <c r="AA62" s="352" t="e">
        <f t="shared" si="14"/>
        <v>#N/A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5</v>
      </c>
      <c r="AG62" s="108">
        <f t="shared" si="16"/>
        <v>0</v>
      </c>
      <c r="AH62" s="108">
        <f t="shared" si="17"/>
        <v>0</v>
      </c>
      <c r="AI62" s="108">
        <f t="shared" si="18"/>
        <v>0</v>
      </c>
      <c r="AJ62" s="108">
        <f t="shared" si="19"/>
        <v>0</v>
      </c>
      <c r="AK62" s="108">
        <f t="shared" si="20"/>
        <v>0</v>
      </c>
      <c r="AL62" s="108">
        <f t="shared" si="21"/>
        <v>5</v>
      </c>
      <c r="AZ62" s="138" t="str">
        <f>Uitslag!P62</f>
        <v>Bruno Martins Indi (v)</v>
      </c>
      <c r="BA62" s="140" t="str">
        <f t="shared" si="12"/>
        <v/>
      </c>
      <c r="BB62" s="139" t="str">
        <f t="shared" si="22"/>
        <v/>
      </c>
    </row>
    <row r="63" spans="2:54">
      <c r="B63" s="364">
        <v>53</v>
      </c>
      <c r="C63" s="125">
        <v>41820</v>
      </c>
      <c r="D63" s="459" t="str">
        <f t="shared" si="23"/>
        <v>E1</v>
      </c>
      <c r="E63" s="367" t="s">
        <v>9</v>
      </c>
      <c r="F63" s="406" t="str">
        <f t="shared" si="24"/>
        <v>F2</v>
      </c>
      <c r="G63" s="435"/>
      <c r="H63" s="367" t="s">
        <v>9</v>
      </c>
      <c r="I63" s="447"/>
      <c r="J63" s="448"/>
      <c r="K63" s="407" t="s">
        <v>67</v>
      </c>
      <c r="L63" s="407" t="s">
        <v>73</v>
      </c>
      <c r="M63" s="407"/>
      <c r="O63" s="458">
        <v>6</v>
      </c>
      <c r="P63" s="877"/>
      <c r="Q63" s="877"/>
      <c r="R63" s="877"/>
      <c r="S63" s="877"/>
      <c r="T63" s="878"/>
      <c r="V63" s="352" t="s">
        <v>132</v>
      </c>
      <c r="W63" s="352" t="s">
        <v>193</v>
      </c>
      <c r="X63" s="352" t="str">
        <f t="shared" si="11"/>
        <v>Michel Vorm (k)</v>
      </c>
      <c r="Y63" s="109">
        <f t="shared" si="13"/>
        <v>1</v>
      </c>
      <c r="Z63" s="352" t="e">
        <f t="shared" si="14"/>
        <v>#N/A</v>
      </c>
      <c r="AA63" s="352" t="e">
        <f t="shared" si="14"/>
        <v>#N/A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1</v>
      </c>
      <c r="AG63" s="108">
        <f t="shared" si="16"/>
        <v>0</v>
      </c>
      <c r="AH63" s="108">
        <f t="shared" si="17"/>
        <v>1</v>
      </c>
      <c r="AI63" s="108">
        <f t="shared" si="18"/>
        <v>0</v>
      </c>
      <c r="AJ63" s="108">
        <f t="shared" si="19"/>
        <v>0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 t="str">
        <f t="shared" si="12"/>
        <v/>
      </c>
      <c r="BB63" s="139" t="str">
        <f t="shared" si="22"/>
        <v/>
      </c>
    </row>
    <row r="64" spans="2:54">
      <c r="B64" s="376">
        <v>54</v>
      </c>
      <c r="C64" s="127">
        <v>41820</v>
      </c>
      <c r="D64" s="460" t="str">
        <f t="shared" si="23"/>
        <v>G1</v>
      </c>
      <c r="E64" s="379" t="s">
        <v>9</v>
      </c>
      <c r="F64" s="409" t="str">
        <f t="shared" si="24"/>
        <v>H2</v>
      </c>
      <c r="G64" s="437"/>
      <c r="H64" s="379" t="s">
        <v>9</v>
      </c>
      <c r="I64" s="449"/>
      <c r="J64" s="450"/>
      <c r="K64" s="407" t="s">
        <v>77</v>
      </c>
      <c r="L64" s="407" t="s">
        <v>83</v>
      </c>
      <c r="M64" s="407"/>
      <c r="O64" s="458">
        <v>7</v>
      </c>
      <c r="P64" s="877"/>
      <c r="Q64" s="877"/>
      <c r="R64" s="877"/>
      <c r="S64" s="877"/>
      <c r="T64" s="878"/>
      <c r="V64" s="352" t="s">
        <v>133</v>
      </c>
      <c r="W64" s="352" t="s">
        <v>112</v>
      </c>
      <c r="X64" s="352" t="str">
        <f t="shared" si="11"/>
        <v>Joël Veltman (v)</v>
      </c>
      <c r="Y64" s="109">
        <f t="shared" si="13"/>
        <v>10</v>
      </c>
      <c r="Z64" s="352" t="e">
        <f t="shared" si="14"/>
        <v>#N/A</v>
      </c>
      <c r="AA64" s="352" t="e">
        <f t="shared" si="14"/>
        <v>#N/A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10</v>
      </c>
      <c r="AG64" s="108">
        <f t="shared" si="16"/>
        <v>1</v>
      </c>
      <c r="AH64" s="108">
        <f t="shared" si="17"/>
        <v>1</v>
      </c>
      <c r="AI64" s="108">
        <f t="shared" si="18"/>
        <v>10</v>
      </c>
      <c r="AJ64" s="108">
        <f t="shared" si="19"/>
        <v>0</v>
      </c>
      <c r="AK64" s="108">
        <f t="shared" si="20"/>
        <v>0</v>
      </c>
      <c r="AL64" s="108">
        <f t="shared" si="21"/>
        <v>5</v>
      </c>
      <c r="AZ64" s="138" t="str">
        <f>Uitslag!P64</f>
        <v>Wesley Sneijder (m)</v>
      </c>
      <c r="BA64" s="140" t="str">
        <f t="shared" si="12"/>
        <v/>
      </c>
      <c r="BB64" s="139" t="str">
        <f t="shared" si="22"/>
        <v/>
      </c>
    </row>
    <row r="65" spans="2:54">
      <c r="B65" s="370">
        <v>55</v>
      </c>
      <c r="C65" s="126">
        <v>41821</v>
      </c>
      <c r="D65" s="459" t="str">
        <f t="shared" si="23"/>
        <v>F1</v>
      </c>
      <c r="E65" s="373" t="s">
        <v>9</v>
      </c>
      <c r="F65" s="410" t="str">
        <f t="shared" si="24"/>
        <v>E2</v>
      </c>
      <c r="G65" s="436"/>
      <c r="H65" s="373" t="s">
        <v>9</v>
      </c>
      <c r="I65" s="451"/>
      <c r="J65" s="452"/>
      <c r="K65" s="407" t="s">
        <v>72</v>
      </c>
      <c r="L65" s="407" t="s">
        <v>68</v>
      </c>
      <c r="M65" s="407"/>
      <c r="O65" s="458">
        <v>8</v>
      </c>
      <c r="P65" s="877"/>
      <c r="Q65" s="877"/>
      <c r="R65" s="877"/>
      <c r="S65" s="877"/>
      <c r="T65" s="878"/>
      <c r="V65" s="352" t="s">
        <v>133</v>
      </c>
      <c r="W65" s="352" t="s">
        <v>109</v>
      </c>
      <c r="X65" s="352" t="str">
        <f t="shared" si="11"/>
        <v>Daley Blind (v)</v>
      </c>
      <c r="Y65" s="109">
        <f t="shared" si="13"/>
        <v>10</v>
      </c>
      <c r="Z65" s="352" t="e">
        <f t="shared" si="14"/>
        <v>#N/A</v>
      </c>
      <c r="AA65" s="352" t="e">
        <f t="shared" si="14"/>
        <v>#N/A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10</v>
      </c>
      <c r="AG65" s="108">
        <f t="shared" si="16"/>
        <v>1</v>
      </c>
      <c r="AH65" s="108">
        <f t="shared" si="17"/>
        <v>1</v>
      </c>
      <c r="AI65" s="108">
        <f t="shared" si="18"/>
        <v>10</v>
      </c>
      <c r="AJ65" s="108">
        <f t="shared" si="19"/>
        <v>0</v>
      </c>
      <c r="AK65" s="108">
        <f t="shared" si="20"/>
        <v>0</v>
      </c>
      <c r="AL65" s="108">
        <f t="shared" si="21"/>
        <v>5</v>
      </c>
      <c r="AZ65" s="138" t="str">
        <f>Uitslag!P65</f>
        <v>Nigel de Jong (m)</v>
      </c>
      <c r="BA65" s="140" t="str">
        <f t="shared" si="12"/>
        <v/>
      </c>
      <c r="BB65" s="139" t="str">
        <f t="shared" si="22"/>
        <v/>
      </c>
    </row>
    <row r="66" spans="2:54" ht="15.75" thickBot="1">
      <c r="B66" s="385">
        <v>56</v>
      </c>
      <c r="C66" s="128">
        <v>41821</v>
      </c>
      <c r="D66" s="461" t="str">
        <f t="shared" si="23"/>
        <v>H1</v>
      </c>
      <c r="E66" s="388" t="s">
        <v>9</v>
      </c>
      <c r="F66" s="412" t="str">
        <f t="shared" si="24"/>
        <v>G2</v>
      </c>
      <c r="G66" s="438"/>
      <c r="H66" s="388" t="s">
        <v>9</v>
      </c>
      <c r="I66" s="453"/>
      <c r="J66" s="454"/>
      <c r="K66" s="407" t="s">
        <v>82</v>
      </c>
      <c r="L66" s="407" t="s">
        <v>78</v>
      </c>
      <c r="M66" s="407"/>
      <c r="O66" s="458">
        <v>9</v>
      </c>
      <c r="P66" s="877"/>
      <c r="Q66" s="877"/>
      <c r="R66" s="877"/>
      <c r="S66" s="877"/>
      <c r="T66" s="878"/>
      <c r="V66" s="352" t="s">
        <v>133</v>
      </c>
      <c r="W66" s="352" t="s">
        <v>115</v>
      </c>
      <c r="X66" s="352" t="str">
        <f t="shared" si="11"/>
        <v>Daryl Janmaat (v)</v>
      </c>
      <c r="Y66" s="109">
        <f t="shared" si="13"/>
        <v>10</v>
      </c>
      <c r="Z66" s="352" t="e">
        <f>IF(K66=""," ",VLOOKUP(K66,$T$9:$V$54,3,FALSE))</f>
        <v>#N/A</v>
      </c>
      <c r="AA66" s="352" t="e">
        <f>IF(L66=""," ",VLOOKUP(L66,$T$9:$V$54,3,FALSE))</f>
        <v>#N/A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10</v>
      </c>
      <c r="AG66" s="108">
        <f t="shared" si="16"/>
        <v>1</v>
      </c>
      <c r="AH66" s="108">
        <f t="shared" si="17"/>
        <v>1</v>
      </c>
      <c r="AI66" s="108">
        <f t="shared" si="18"/>
        <v>10</v>
      </c>
      <c r="AJ66" s="108">
        <f t="shared" si="19"/>
        <v>0</v>
      </c>
      <c r="AK66" s="108">
        <f t="shared" si="20"/>
        <v>0</v>
      </c>
      <c r="AL66" s="108">
        <f t="shared" si="21"/>
        <v>5</v>
      </c>
      <c r="AZ66" s="138" t="str">
        <f>Uitslag!P66</f>
        <v>Jonathan de Guzman (m)</v>
      </c>
      <c r="BA66" s="140" t="str">
        <f t="shared" si="12"/>
        <v/>
      </c>
      <c r="BB66" s="139" t="str">
        <f t="shared" si="22"/>
        <v/>
      </c>
    </row>
    <row r="67" spans="2:54" ht="15.75" thickBot="1">
      <c r="B67" s="353"/>
      <c r="C67" s="129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O67" s="458">
        <v>10</v>
      </c>
      <c r="P67" s="877"/>
      <c r="Q67" s="877"/>
      <c r="R67" s="877"/>
      <c r="S67" s="877"/>
      <c r="T67" s="878"/>
      <c r="V67" s="352" t="s">
        <v>133</v>
      </c>
      <c r="W67" s="352" t="s">
        <v>118</v>
      </c>
      <c r="X67" s="352" t="str">
        <f t="shared" si="11"/>
        <v>Terence Kongolo (v)</v>
      </c>
      <c r="AZ67" s="138" t="str">
        <f>Uitslag!P67</f>
        <v>Robin van Persie (a)</v>
      </c>
      <c r="BA67" s="140" t="str">
        <f t="shared" si="12"/>
        <v/>
      </c>
      <c r="BB67" s="139" t="str">
        <f t="shared" si="22"/>
        <v/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79"/>
      <c r="K68" s="353"/>
      <c r="L68" s="353"/>
      <c r="M68" s="353"/>
      <c r="O68" s="458">
        <v>11</v>
      </c>
      <c r="P68" s="877"/>
      <c r="Q68" s="877"/>
      <c r="R68" s="877"/>
      <c r="S68" s="877"/>
      <c r="T68" s="878"/>
      <c r="V68" s="352" t="s">
        <v>133</v>
      </c>
      <c r="W68" s="352" t="s">
        <v>119</v>
      </c>
      <c r="X68" s="352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 t="str">
        <f t="shared" si="12"/>
        <v/>
      </c>
      <c r="BB68" s="139" t="str">
        <f t="shared" si="22"/>
        <v/>
      </c>
    </row>
    <row r="69" spans="2:54">
      <c r="B69" s="428" t="s">
        <v>1</v>
      </c>
      <c r="C69" s="122" t="s">
        <v>2</v>
      </c>
      <c r="D69" s="476" t="s">
        <v>3</v>
      </c>
      <c r="E69" s="431"/>
      <c r="F69" s="477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V69" s="352" t="s">
        <v>133</v>
      </c>
      <c r="W69" s="352" t="s">
        <v>121</v>
      </c>
      <c r="X69" s="352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0</v>
      </c>
      <c r="BB69" s="139" t="str">
        <f>IF(AND(BA69&lt;&gt;"",BA69=33),15,"nvt")</f>
        <v>nvt</v>
      </c>
    </row>
    <row r="70" spans="2:54">
      <c r="B70" s="364">
        <v>57</v>
      </c>
      <c r="C70" s="125">
        <v>41824</v>
      </c>
      <c r="D70" s="405" t="str">
        <f>IF(J63="","Winnaar 53",IF(J63=1,D63,F63))</f>
        <v>Winnaar 53</v>
      </c>
      <c r="E70" s="367" t="s">
        <v>9</v>
      </c>
      <c r="F70" s="406" t="str">
        <f>IF(J64="","Winnaar 54",IF(J64=1,D64,F64))</f>
        <v>Winnaar 54</v>
      </c>
      <c r="G70" s="435"/>
      <c r="H70" s="367" t="s">
        <v>9</v>
      </c>
      <c r="I70" s="447"/>
      <c r="J70" s="448"/>
      <c r="K70" s="353"/>
      <c r="L70" s="353"/>
      <c r="M70" s="353"/>
      <c r="V70" s="352" t="s">
        <v>133</v>
      </c>
      <c r="W70" s="352" t="s">
        <v>126</v>
      </c>
      <c r="X70" s="352" t="str">
        <f t="shared" si="11"/>
        <v>Karim Rekik (v)</v>
      </c>
      <c r="Y70" s="109">
        <f>AF70</f>
        <v>1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1</v>
      </c>
      <c r="AG70" s="108">
        <f>IF(AC70="",0,(IF(G70=AC70,1,0)))</f>
        <v>1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0</v>
      </c>
      <c r="AL70" s="108">
        <f>IF(AND(G70=I70,AC70=AD70),5,0)</f>
        <v>0</v>
      </c>
    </row>
    <row r="71" spans="2:54">
      <c r="B71" s="376">
        <v>58</v>
      </c>
      <c r="C71" s="127">
        <v>41824</v>
      </c>
      <c r="D71" s="408" t="str">
        <f>IF(J59="","Winnaar 49",IF(J59=1,D59,F59))</f>
        <v>Winnaar 49</v>
      </c>
      <c r="E71" s="379" t="s">
        <v>9</v>
      </c>
      <c r="F71" s="409" t="str">
        <f>IF(J60="","Winnaar 50",IF(J60=1,D60,F60))</f>
        <v>Winnaar 50</v>
      </c>
      <c r="G71" s="437"/>
      <c r="H71" s="379" t="s">
        <v>9</v>
      </c>
      <c r="I71" s="449"/>
      <c r="J71" s="450"/>
      <c r="K71" s="353"/>
      <c r="L71" s="353"/>
      <c r="M71" s="353"/>
      <c r="V71" s="352" t="s">
        <v>133</v>
      </c>
      <c r="W71" s="352" t="s">
        <v>194</v>
      </c>
      <c r="X71" s="352" t="str">
        <f t="shared" si="11"/>
        <v>Ron Vlaar (v)</v>
      </c>
      <c r="Y71" s="109">
        <f>AF71</f>
        <v>0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0</v>
      </c>
      <c r="AG71" s="108">
        <f>IF(AC71="",0,(IF(G71=AC71,1,0)))</f>
        <v>0</v>
      </c>
      <c r="AH71" s="108">
        <f>IF(AD71="",0,(IF(I71=AD71,1,0)))</f>
        <v>0</v>
      </c>
      <c r="AI71" s="108">
        <f>IF(AND(AG71=1,AH71=1),10,0)</f>
        <v>0</v>
      </c>
      <c r="AJ71" s="108">
        <f>IF(AND(G71&gt;I71,AC71&gt;AD71),5,0)</f>
        <v>0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125">
        <v>41825</v>
      </c>
      <c r="D72" s="405" t="str">
        <f>IF(J65="","Winnaar 55",IF(J65=1,D65,F65))</f>
        <v>Winnaar 55</v>
      </c>
      <c r="E72" s="367" t="s">
        <v>9</v>
      </c>
      <c r="F72" s="406" t="str">
        <f>IF(J66="","Winnaar 56",IF(J66=1,D66,F66))</f>
        <v>Winnaar 56</v>
      </c>
      <c r="G72" s="435"/>
      <c r="H72" s="367" t="s">
        <v>9</v>
      </c>
      <c r="I72" s="447"/>
      <c r="J72" s="448"/>
      <c r="K72" s="353"/>
      <c r="L72" s="353"/>
      <c r="M72" s="353"/>
      <c r="V72" s="352" t="s">
        <v>133</v>
      </c>
      <c r="W72" s="352" t="s">
        <v>195</v>
      </c>
      <c r="X72" s="352" t="str">
        <f t="shared" si="11"/>
        <v>John Heitinga (v)</v>
      </c>
      <c r="Y72" s="109">
        <f>AF72</f>
        <v>1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1</v>
      </c>
      <c r="AG72" s="108">
        <f>IF(AC72="",0,(IF(G72=AC72,1,0)))</f>
        <v>0</v>
      </c>
      <c r="AH72" s="108">
        <f>IF(AD72="",0,(IF(I72=AD72,1,0)))</f>
        <v>1</v>
      </c>
      <c r="AI72" s="108">
        <f>IF(AND(AG72=1,AH72=1),10,0)</f>
        <v>0</v>
      </c>
      <c r="AJ72" s="108">
        <f>IF(AND(G72&gt;I72,AC72&gt;AD72),5,0)</f>
        <v>0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128">
        <v>41825</v>
      </c>
      <c r="D73" s="411" t="str">
        <f>IF(J61="","Winnaar 51",IF(J61=1,D61,F61))</f>
        <v>Winnaar 51</v>
      </c>
      <c r="E73" s="388" t="s">
        <v>9</v>
      </c>
      <c r="F73" s="412" t="str">
        <f>IF(J62="","Winnaar 52",IF(J62=1,D62,F62))</f>
        <v>Winnaar 52</v>
      </c>
      <c r="G73" s="438"/>
      <c r="H73" s="388" t="s">
        <v>9</v>
      </c>
      <c r="I73" s="453"/>
      <c r="J73" s="454"/>
      <c r="K73" s="353"/>
      <c r="L73" s="353"/>
      <c r="M73" s="353"/>
      <c r="V73" s="352" t="s">
        <v>133</v>
      </c>
      <c r="W73" s="352" t="s">
        <v>196</v>
      </c>
      <c r="X73" s="352" t="str">
        <f t="shared" si="11"/>
        <v>Urby Emanuelson (v)</v>
      </c>
      <c r="Y73" s="109">
        <f>AF73</f>
        <v>10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10</v>
      </c>
      <c r="AG73" s="108">
        <f>IF(AC73="",0,(IF(G73=AC73,1,0)))</f>
        <v>1</v>
      </c>
      <c r="AH73" s="108">
        <f>IF(AD73="",0,(IF(I73=AD73,1,0)))</f>
        <v>1</v>
      </c>
      <c r="AI73" s="108">
        <f>IF(AND(AG73=1,AH73=1),10,0)</f>
        <v>10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5</v>
      </c>
    </row>
    <row r="74" spans="2:54" ht="15.75" thickBot="1">
      <c r="B74" s="353"/>
      <c r="C74" s="129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V74" s="352" t="s">
        <v>133</v>
      </c>
      <c r="W74" s="352" t="s">
        <v>197</v>
      </c>
      <c r="X74" s="352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79"/>
      <c r="K75" s="353"/>
      <c r="L75" s="353"/>
      <c r="M75" s="353"/>
      <c r="V75" s="352" t="s">
        <v>133</v>
      </c>
      <c r="W75" s="352" t="s">
        <v>198</v>
      </c>
      <c r="X75" s="352" t="str">
        <f t="shared" si="11"/>
        <v>Virgil van Dijk (v)</v>
      </c>
      <c r="Y75" s="112" t="s">
        <v>99</v>
      </c>
    </row>
    <row r="76" spans="2:54">
      <c r="B76" s="428" t="s">
        <v>1</v>
      </c>
      <c r="C76" s="122" t="s">
        <v>2</v>
      </c>
      <c r="D76" s="476" t="s">
        <v>3</v>
      </c>
      <c r="E76" s="431"/>
      <c r="F76" s="477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V76" s="352" t="s">
        <v>133</v>
      </c>
      <c r="W76" s="352" t="s">
        <v>202</v>
      </c>
      <c r="X76" s="352" t="str">
        <f t="shared" si="11"/>
        <v>Alexander Buttner (v)</v>
      </c>
      <c r="Y76" s="113" t="s">
        <v>91</v>
      </c>
    </row>
    <row r="77" spans="2:54">
      <c r="B77" s="364">
        <v>61</v>
      </c>
      <c r="C77" s="125">
        <v>41828</v>
      </c>
      <c r="D77" s="405" t="str">
        <f>IF(J70="","Winnaar 57",IF(J70=1,D70,F70))</f>
        <v>Winnaar 57</v>
      </c>
      <c r="E77" s="367" t="s">
        <v>9</v>
      </c>
      <c r="F77" s="406" t="str">
        <f>IF(J71="","Winnaar 58",IF(J71=1,D71,F71))</f>
        <v>Winnaar 58</v>
      </c>
      <c r="G77" s="435"/>
      <c r="H77" s="367" t="s">
        <v>9</v>
      </c>
      <c r="I77" s="447"/>
      <c r="J77" s="448"/>
      <c r="K77" s="353"/>
      <c r="L77" s="353"/>
      <c r="M77" s="353"/>
      <c r="V77" s="352" t="s">
        <v>134</v>
      </c>
      <c r="W77" s="352" t="s">
        <v>203</v>
      </c>
      <c r="X77" s="352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128">
        <v>41829</v>
      </c>
      <c r="D78" s="411" t="str">
        <f>IF(J72="","Winnaar 59",IF(J72=1,D72,F72))</f>
        <v>Winnaar 59</v>
      </c>
      <c r="E78" s="388" t="s">
        <v>9</v>
      </c>
      <c r="F78" s="412" t="str">
        <f>IF(J73="","Winnaar 60",IF(J73=1,D73,F73))</f>
        <v>Winnaar 60</v>
      </c>
      <c r="G78" s="438"/>
      <c r="H78" s="388" t="s">
        <v>9</v>
      </c>
      <c r="I78" s="453"/>
      <c r="J78" s="454"/>
      <c r="K78" s="353"/>
      <c r="L78" s="353"/>
      <c r="M78" s="353"/>
      <c r="V78" s="352" t="s">
        <v>134</v>
      </c>
      <c r="W78" s="352" t="s">
        <v>199</v>
      </c>
      <c r="X78" s="352" t="str">
        <f t="shared" si="11"/>
        <v>Leroy Fer (m)</v>
      </c>
      <c r="Y78" s="109">
        <f>AF78</f>
        <v>10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10</v>
      </c>
      <c r="AG78" s="108">
        <f>IF(AC78="",0,(IF(G78=AC78,1,0)))</f>
        <v>1</v>
      </c>
      <c r="AH78" s="108">
        <f>IF(AD78="",0,(IF(I78=AD78,1,0)))</f>
        <v>1</v>
      </c>
      <c r="AI78" s="108">
        <f>IF(AND(AG78=1,AH78=1),10,0)</f>
        <v>10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5</v>
      </c>
    </row>
    <row r="79" spans="2:54" ht="15.75" thickBot="1">
      <c r="B79" s="353"/>
      <c r="C79" s="129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V79" s="352" t="s">
        <v>134</v>
      </c>
      <c r="W79" s="352" t="s">
        <v>114</v>
      </c>
      <c r="X79" s="352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79"/>
      <c r="K80" s="353"/>
      <c r="L80" s="353"/>
      <c r="M80" s="353"/>
      <c r="V80" s="352" t="s">
        <v>134</v>
      </c>
      <c r="W80" s="352" t="s">
        <v>117</v>
      </c>
      <c r="X80" s="352" t="str">
        <f t="shared" si="11"/>
        <v>Davy Klaassen (m)</v>
      </c>
      <c r="Y80" s="112" t="s">
        <v>99</v>
      </c>
    </row>
    <row r="81" spans="2:50">
      <c r="B81" s="428" t="s">
        <v>1</v>
      </c>
      <c r="C81" s="122" t="s">
        <v>2</v>
      </c>
      <c r="D81" s="476" t="s">
        <v>3</v>
      </c>
      <c r="E81" s="431"/>
      <c r="F81" s="477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V81" s="352" t="s">
        <v>134</v>
      </c>
      <c r="W81" s="352" t="s">
        <v>120</v>
      </c>
      <c r="X81" s="352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130">
        <v>41832</v>
      </c>
      <c r="D82" s="414" t="str">
        <f>IF(J77="","Verliezer 61",IF(J77=1,F77,D77))</f>
        <v>Verliezer 61</v>
      </c>
      <c r="E82" s="355" t="s">
        <v>9</v>
      </c>
      <c r="F82" s="415" t="str">
        <f>IF(J78="","Verliezer 62",IF(J78=1,F78,D78))</f>
        <v>Verliezer 62</v>
      </c>
      <c r="G82" s="455"/>
      <c r="H82" s="355" t="s">
        <v>9</v>
      </c>
      <c r="I82" s="456"/>
      <c r="J82" s="457"/>
      <c r="K82" s="353"/>
      <c r="L82" s="353"/>
      <c r="M82" s="353"/>
      <c r="V82" s="352" t="s">
        <v>134</v>
      </c>
      <c r="W82" s="352" t="s">
        <v>125</v>
      </c>
      <c r="X82" s="352" t="str">
        <f t="shared" si="11"/>
        <v>Georginio Wijnaldum (m)</v>
      </c>
      <c r="Y82" s="109">
        <f>AF82</f>
        <v>1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1</v>
      </c>
      <c r="AG82" s="108">
        <f>IF(AC82="",0,(IF(G82=AC82,1,0)))</f>
        <v>1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353"/>
      <c r="C83" s="129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V83" s="352" t="s">
        <v>134</v>
      </c>
      <c r="W83" s="352" t="s">
        <v>136</v>
      </c>
      <c r="X83" s="352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79"/>
      <c r="K84" s="353"/>
      <c r="L84" s="353"/>
      <c r="M84" s="353"/>
      <c r="V84" s="352" t="s">
        <v>134</v>
      </c>
      <c r="W84" s="352" t="s">
        <v>137</v>
      </c>
      <c r="X84" s="352" t="str">
        <f t="shared" si="11"/>
        <v>Wesley Sneijder (m)</v>
      </c>
      <c r="Y84" s="112" t="s">
        <v>99</v>
      </c>
    </row>
    <row r="85" spans="2:50">
      <c r="B85" s="428" t="s">
        <v>1</v>
      </c>
      <c r="C85" s="122" t="s">
        <v>2</v>
      </c>
      <c r="D85" s="476" t="s">
        <v>3</v>
      </c>
      <c r="E85" s="431"/>
      <c r="F85" s="477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V85" s="352" t="s">
        <v>134</v>
      </c>
      <c r="W85" s="352" t="s">
        <v>138</v>
      </c>
      <c r="X85" s="352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130">
        <v>41833</v>
      </c>
      <c r="D86" s="414" t="str">
        <f>IF(J77="","Winnaar 61",IF(J77=1,D77,F77))</f>
        <v>Winnaar 61</v>
      </c>
      <c r="E86" s="355" t="s">
        <v>9</v>
      </c>
      <c r="F86" s="415" t="str">
        <f>IF(J78="","Winnaar 62",IF(J78=1,D78,F78))</f>
        <v>Winnaar 62</v>
      </c>
      <c r="G86" s="455"/>
      <c r="H86" s="355" t="s">
        <v>9</v>
      </c>
      <c r="I86" s="456"/>
      <c r="J86" s="457"/>
      <c r="K86" s="353"/>
      <c r="L86" s="353"/>
      <c r="M86" s="353"/>
      <c r="V86" s="352" t="s">
        <v>134</v>
      </c>
      <c r="W86" s="352" t="s">
        <v>139</v>
      </c>
      <c r="X86" s="352" t="str">
        <f t="shared" si="11"/>
        <v>Nigel de Jong (m)</v>
      </c>
      <c r="Y86" s="109">
        <f>AF86</f>
        <v>10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10</v>
      </c>
      <c r="AG86" s="108">
        <f>IF(AC86="",0,(IF(G86=AC86,1,0)))</f>
        <v>1</v>
      </c>
      <c r="AH86" s="108">
        <f>IF(AD86="",0,(IF(I86=AD86,1,0)))</f>
        <v>1</v>
      </c>
      <c r="AI86" s="108">
        <f>IF(AND(AG86=1,AH86=1),10,0)</f>
        <v>10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5</v>
      </c>
    </row>
    <row r="87" spans="2:50">
      <c r="B87" s="353"/>
      <c r="C87" s="129"/>
      <c r="D87" s="392"/>
      <c r="E87" s="353"/>
      <c r="F87" s="392"/>
      <c r="G87" s="353"/>
      <c r="H87" s="353"/>
      <c r="I87" s="353"/>
      <c r="J87" s="353"/>
      <c r="K87" s="353"/>
      <c r="L87" s="353"/>
      <c r="M87" s="353"/>
      <c r="V87" s="352" t="s">
        <v>135</v>
      </c>
      <c r="W87" s="352" t="s">
        <v>205</v>
      </c>
      <c r="X87" s="352" t="str">
        <f t="shared" si="11"/>
        <v>Ricky van Wolfswinkel (a)</v>
      </c>
      <c r="AP87" s="136" t="s">
        <v>102</v>
      </c>
    </row>
    <row r="88" spans="2:50">
      <c r="B88" s="353"/>
      <c r="C88" s="129"/>
      <c r="D88" s="392"/>
      <c r="E88" s="353"/>
      <c r="F88" s="392"/>
      <c r="G88" s="353"/>
      <c r="H88" s="353"/>
      <c r="I88" s="353"/>
      <c r="J88" s="353"/>
      <c r="K88" s="353"/>
      <c r="L88" s="353"/>
      <c r="M88" s="353"/>
      <c r="V88" s="352" t="s">
        <v>135</v>
      </c>
      <c r="W88" s="352" t="s">
        <v>204</v>
      </c>
      <c r="X88" s="352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458"/>
    </row>
    <row r="89" spans="2:50" ht="20.25">
      <c r="C89" s="874" t="s">
        <v>101</v>
      </c>
      <c r="D89" s="871"/>
      <c r="E89" s="873" t="str">
        <f>IF(J86=1,D86,IF(J86=2,F86,"Wie zal het worden?"))</f>
        <v>Wie zal het worden?</v>
      </c>
      <c r="F89" s="873"/>
      <c r="G89" s="873"/>
      <c r="H89" s="873"/>
      <c r="I89" s="873"/>
      <c r="J89" s="873"/>
      <c r="K89" s="353"/>
      <c r="L89" s="353"/>
      <c r="M89" s="353"/>
      <c r="V89" s="352" t="s">
        <v>135</v>
      </c>
      <c r="W89" s="352" t="s">
        <v>201</v>
      </c>
      <c r="X89" s="352" t="str">
        <f t="shared" si="11"/>
        <v>Jermain Lens (a)</v>
      </c>
      <c r="AP89" s="109">
        <f>AU89</f>
        <v>0</v>
      </c>
      <c r="AQ89" s="131">
        <v>1</v>
      </c>
      <c r="AR89" s="904" t="str">
        <f>Uitslag!E89</f>
        <v>Duitsland</v>
      </c>
      <c r="AS89" s="905"/>
      <c r="AT89" s="906"/>
      <c r="AU89" s="352">
        <f>SUM(AV89:AX89)</f>
        <v>0</v>
      </c>
      <c r="AV89" s="352">
        <f>IF(AR89=0,0,IF(E89=AR89,50,0))</f>
        <v>0</v>
      </c>
      <c r="AW89" s="352">
        <f>IF(E89=0,0,IF(OR(E89=AR90),15,0))</f>
        <v>0</v>
      </c>
      <c r="AX89" s="352">
        <f>IF(E89=0,0,IF(OR(E89=AR91,E89=AR92),5,0))</f>
        <v>0</v>
      </c>
    </row>
    <row r="90" spans="2:50">
      <c r="C90" s="870">
        <v>2</v>
      </c>
      <c r="D90" s="871"/>
      <c r="E90" s="872" t="str">
        <f>IF(J86=2,D86,IF(J86=1,F86,"Wie wordt 2de?"))</f>
        <v>Wie wordt 2de?</v>
      </c>
      <c r="F90" s="872"/>
      <c r="G90" s="872"/>
      <c r="H90" s="872"/>
      <c r="I90" s="872"/>
      <c r="J90" s="872"/>
      <c r="V90" s="352" t="s">
        <v>135</v>
      </c>
      <c r="W90" s="352" t="s">
        <v>200</v>
      </c>
      <c r="X90" s="352" t="str">
        <f t="shared" si="11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 s="352">
        <f>SUM(AV90:AX90)</f>
        <v>0</v>
      </c>
      <c r="AV90" s="352">
        <f>IF(AR90=0,0,IF(AR90=E90,25,0))</f>
        <v>0</v>
      </c>
      <c r="AW90" s="352">
        <f>IF(E90=0,0,IF(OR(E90=AR89,),15,0))</f>
        <v>0</v>
      </c>
      <c r="AX90" s="352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Wie wordt 3de?</v>
      </c>
      <c r="F91" s="872"/>
      <c r="G91" s="872"/>
      <c r="H91" s="872"/>
      <c r="I91" s="872"/>
      <c r="J91" s="872"/>
      <c r="V91" s="352" t="s">
        <v>135</v>
      </c>
      <c r="W91" s="352" t="s">
        <v>128</v>
      </c>
      <c r="X91" s="352" t="str">
        <f t="shared" si="11"/>
        <v>Jürgen Locadia (a)</v>
      </c>
      <c r="AP91" s="109">
        <f>AU91</f>
        <v>0</v>
      </c>
      <c r="AQ91" s="131">
        <v>3</v>
      </c>
      <c r="AR91" s="904" t="str">
        <f>Uitslag!E91</f>
        <v>Nederland</v>
      </c>
      <c r="AS91" s="905"/>
      <c r="AT91" s="906"/>
      <c r="AU91" s="352">
        <f>SUM(AV91:AX91)</f>
        <v>0</v>
      </c>
      <c r="AV91" s="352">
        <f>IF(AR91=0,0,IF(AR91=E91,15,0))</f>
        <v>0</v>
      </c>
      <c r="AW91" s="352">
        <f>IF(E91=0,0,IF(OR(E91=AR92),10,0))</f>
        <v>0</v>
      </c>
      <c r="AX91" s="352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Wie wordt 4de?</v>
      </c>
      <c r="F92" s="872"/>
      <c r="G92" s="872"/>
      <c r="H92" s="872"/>
      <c r="I92" s="872"/>
      <c r="J92" s="872"/>
      <c r="V92" s="352" t="s">
        <v>135</v>
      </c>
      <c r="W92" s="352" t="s">
        <v>127</v>
      </c>
      <c r="X92" s="35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 s="352">
        <f>SUM(AV92:AX92)</f>
        <v>0</v>
      </c>
      <c r="AV92" s="352">
        <f>IF(AR92=0,0,IF(AR92=E92,15,0))</f>
        <v>0</v>
      </c>
      <c r="AW92" s="352">
        <f>IF(E92=0,0,IF(OR(E92=AR91,),10,0))</f>
        <v>0</v>
      </c>
      <c r="AX92" s="352">
        <f>IF(E92=0,0,IF(OR(E92=AR89,E92=AR90),5,0))</f>
        <v>0</v>
      </c>
    </row>
    <row r="93" spans="2:50" ht="15.75" thickBot="1">
      <c r="V93" s="352" t="s">
        <v>135</v>
      </c>
      <c r="W93" s="352" t="s">
        <v>123</v>
      </c>
      <c r="X93" s="352" t="str">
        <f t="shared" si="11"/>
        <v>Quincy Promes (a)</v>
      </c>
      <c r="AS93" s="132"/>
      <c r="AU93" s="133">
        <f>SUM(AU89:AU92)</f>
        <v>0</v>
      </c>
    </row>
    <row r="94" spans="2:50" ht="15.75" thickTop="1">
      <c r="V94" s="352" t="s">
        <v>135</v>
      </c>
      <c r="W94" s="352" t="s">
        <v>122</v>
      </c>
      <c r="X94" s="352" t="str">
        <f t="shared" si="11"/>
        <v>Luc Castaignos (a)</v>
      </c>
    </row>
    <row r="95" spans="2:50">
      <c r="V95" s="352" t="s">
        <v>135</v>
      </c>
      <c r="W95" s="352" t="s">
        <v>113</v>
      </c>
      <c r="X95" s="352" t="str">
        <f t="shared" si="11"/>
        <v>Jean-Paul Boëtius (a)</v>
      </c>
    </row>
    <row r="96" spans="2:50">
      <c r="V96" s="352" t="s">
        <v>135</v>
      </c>
      <c r="W96" s="352" t="s">
        <v>129</v>
      </c>
      <c r="X96" s="352" t="str">
        <f t="shared" si="11"/>
        <v>Luciano Narsingh (a)</v>
      </c>
    </row>
    <row r="97" spans="22:24">
      <c r="V97" s="352" t="s">
        <v>135</v>
      </c>
      <c r="W97" s="352" t="s">
        <v>130</v>
      </c>
      <c r="X97" s="352" t="str">
        <f t="shared" si="11"/>
        <v>Robin van Persie (a)</v>
      </c>
    </row>
    <row r="98" spans="22:24">
      <c r="V98" s="352" t="s">
        <v>135</v>
      </c>
      <c r="W98" s="352" t="s">
        <v>131</v>
      </c>
      <c r="X98" s="352" t="str">
        <f t="shared" si="11"/>
        <v>Arjen Robben (a)</v>
      </c>
    </row>
  </sheetData>
  <mergeCells count="36">
    <mergeCell ref="C91:D91"/>
    <mergeCell ref="E91:J91"/>
    <mergeCell ref="AR91:AT91"/>
    <mergeCell ref="C92:D92"/>
    <mergeCell ref="E92:J92"/>
    <mergeCell ref="AR92:AT92"/>
    <mergeCell ref="C89:D89"/>
    <mergeCell ref="E89:J89"/>
    <mergeCell ref="AR89:AT89"/>
    <mergeCell ref="C90:D90"/>
    <mergeCell ref="E90:J90"/>
    <mergeCell ref="AR90:AT90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</mergeCells>
  <conditionalFormatting sqref="AO9:AO12 AO15:AO18 AO21:AO24 AO27:AO30 AO33:AO36 AO39:AO42 AO45:AO48 AO51:AO54">
    <cfRule type="cellIs" dxfId="2" priority="3" operator="equal">
      <formula>10</formula>
    </cfRule>
  </conditionalFormatting>
  <conditionalFormatting sqref="P58:T58">
    <cfRule type="duplicateValues" dxfId="1" priority="2"/>
  </conditionalFormatting>
  <conditionalFormatting sqref="P58:T68">
    <cfRule type="duplicateValues" dxfId="0" priority="1"/>
  </conditionalFormatting>
  <dataValidations count="10">
    <dataValidation type="list" allowBlank="1" showInputMessage="1" showErrorMessage="1" sqref="T51:T54">
      <formula1>$W$51:$W$54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P58:P68">
      <formula1>$X$58:$X$98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B1:BB98"/>
  <sheetViews>
    <sheetView topLeftCell="A46" zoomScale="70" zoomScaleNormal="70" workbookViewId="0">
      <selection activeCell="P58" sqref="P58:T68"/>
    </sheetView>
  </sheetViews>
  <sheetFormatPr defaultRowHeight="15" outlineLevelCol="2"/>
  <cols>
    <col min="1" max="1" width="3.42578125" customWidth="1"/>
    <col min="2" max="2" width="3.5703125" bestFit="1" customWidth="1"/>
    <col min="3" max="3" width="8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204" t="s">
        <v>145</v>
      </c>
      <c r="D3" s="145" t="s">
        <v>232</v>
      </c>
      <c r="E3" s="145"/>
      <c r="F3" s="145"/>
      <c r="N3" t="str">
        <f>D3</f>
        <v>Daan V.</v>
      </c>
      <c r="O3" s="144">
        <f>SUM(P3:S3)</f>
        <v>300</v>
      </c>
      <c r="P3" s="109">
        <f>SUM(Y8:Y86)</f>
        <v>180</v>
      </c>
      <c r="Q3" s="109">
        <f>SUM(AM4:AM55)</f>
        <v>80</v>
      </c>
      <c r="R3" s="109">
        <f>SUM(AP89:AP92)</f>
        <v>10</v>
      </c>
      <c r="S3" s="109">
        <f>SUM(BB58:BB69)</f>
        <v>30</v>
      </c>
      <c r="T3" s="109">
        <f>COUNTIF(AF8:AF86,10)</f>
        <v>6</v>
      </c>
      <c r="U3" s="109" t="str">
        <f>E89</f>
        <v>Nederland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1"/>
      <c r="L6" s="1"/>
      <c r="O6" s="40"/>
      <c r="P6" s="41"/>
      <c r="Q6" s="41"/>
      <c r="R6" s="41"/>
      <c r="S6" s="41"/>
      <c r="T6" s="41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66" t="s">
        <v>1</v>
      </c>
      <c r="C7" s="121" t="s">
        <v>2</v>
      </c>
      <c r="D7" s="196" t="s">
        <v>3</v>
      </c>
      <c r="E7" s="69"/>
      <c r="F7" s="197" t="s">
        <v>4</v>
      </c>
      <c r="G7" s="880" t="s">
        <v>5</v>
      </c>
      <c r="H7" s="881"/>
      <c r="I7" s="882"/>
      <c r="J7" s="71" t="s">
        <v>6</v>
      </c>
      <c r="K7" s="4" t="s">
        <v>7</v>
      </c>
      <c r="L7" s="4" t="s">
        <v>7</v>
      </c>
      <c r="O7" s="1"/>
      <c r="P7" s="41"/>
      <c r="Q7" s="41"/>
      <c r="R7" s="41"/>
      <c r="S7" s="41"/>
      <c r="T7" s="41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5">
        <v>1</v>
      </c>
      <c r="C8" s="205">
        <v>41802</v>
      </c>
      <c r="D8" s="7" t="s">
        <v>8</v>
      </c>
      <c r="E8" s="8" t="s">
        <v>9</v>
      </c>
      <c r="F8" s="9" t="s">
        <v>10</v>
      </c>
      <c r="G8" s="84">
        <v>2</v>
      </c>
      <c r="H8" s="8" t="s">
        <v>9</v>
      </c>
      <c r="I8" s="192">
        <v>0</v>
      </c>
      <c r="J8" s="10">
        <f>IF(I8="","",IF(G8&gt;I8,1,IF(G8&lt;I8,2,3)))</f>
        <v>1</v>
      </c>
      <c r="K8" s="11">
        <f>IF(I8="","",IF($G8&gt;$I8,3,IF($G8=$I8,1,0)))</f>
        <v>3</v>
      </c>
      <c r="L8" s="11">
        <f>IF(I8="","",IF($G8&lt;$I8,3,IF($G8=$I8,1,0)))</f>
        <v>0</v>
      </c>
      <c r="O8" s="72" t="s">
        <v>41</v>
      </c>
      <c r="P8" s="73" t="s">
        <v>42</v>
      </c>
      <c r="Q8" s="73" t="s">
        <v>43</v>
      </c>
      <c r="R8" s="74" t="s">
        <v>44</v>
      </c>
      <c r="S8" s="75" t="s">
        <v>45</v>
      </c>
      <c r="T8" s="76" t="s">
        <v>46</v>
      </c>
      <c r="U8" s="40"/>
      <c r="V8" s="40"/>
      <c r="W8" s="40"/>
      <c r="Y8" s="109">
        <f>AF8</f>
        <v>5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5</v>
      </c>
      <c r="AG8" s="108">
        <f t="shared" ref="AG8:AG55" si="0">IF(AC8="",0,(IF(G8=AC8,1,0)))</f>
        <v>0</v>
      </c>
      <c r="AH8" s="108">
        <f t="shared" ref="AH8:AH55" si="1">IF(AD8="",0,(IF(I8=AD8,1,0)))</f>
        <v>0</v>
      </c>
      <c r="AI8" s="108">
        <f>IF(AND(AG8=1,AH8=1),10,0)</f>
        <v>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12">
        <v>2</v>
      </c>
      <c r="C9" s="206">
        <v>41803</v>
      </c>
      <c r="D9" s="14" t="s">
        <v>11</v>
      </c>
      <c r="E9" s="15" t="s">
        <v>9</v>
      </c>
      <c r="F9" s="16" t="s">
        <v>12</v>
      </c>
      <c r="G9" s="85">
        <v>1</v>
      </c>
      <c r="H9" s="15" t="s">
        <v>9</v>
      </c>
      <c r="I9" s="90">
        <v>1</v>
      </c>
      <c r="J9" s="17">
        <f t="shared" ref="J9:J55" si="5">IF(I9="","",IF(G9&gt;I9,1,IF(G9&lt;I9,2,3)))</f>
        <v>3</v>
      </c>
      <c r="K9" s="11">
        <f t="shared" ref="K9:K55" si="6">IF(I9="","",IF($G9&gt;$I9,3,IF($G9=$I9,1,0)))</f>
        <v>1</v>
      </c>
      <c r="L9" s="11">
        <f t="shared" ref="L9:L55" si="7">IF(I9="","",IF($G9&lt;$I9,3,IF($G9=$I9,1,0)))</f>
        <v>1</v>
      </c>
      <c r="O9" s="44" t="s">
        <v>8</v>
      </c>
      <c r="P9" s="45">
        <f>SUMIF($D$8:$D$55,$O9,$G$8:$G$55)+SUMIF($F$8:$F$55,$O9,$I$8:$I$55)</f>
        <v>6</v>
      </c>
      <c r="Q9" s="45">
        <f>SUMIF($D$8:$D$55,$O9,$I$8:$I$55)+SUMIF($F$8:$F$55,$O9,$G$8:$G$55)</f>
        <v>1</v>
      </c>
      <c r="R9" s="46">
        <f>P9-Q9</f>
        <v>5</v>
      </c>
      <c r="S9" s="47">
        <f>SUMIF($D$8:$D$55,$O9,$K$8:$K$55)+SUMIF($F$8:$F$55,$O9,$L$8:$L$55)</f>
        <v>9</v>
      </c>
      <c r="T9" s="94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1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1</v>
      </c>
      <c r="AG9" s="108">
        <f t="shared" si="0"/>
        <v>1</v>
      </c>
      <c r="AH9" s="108">
        <f t="shared" si="1"/>
        <v>0</v>
      </c>
      <c r="AI9" s="108">
        <f t="shared" ref="AI9:AI55" si="10">IF(AND(AG9=1,AH9=1),10,0)</f>
        <v>0</v>
      </c>
      <c r="AJ9" s="108">
        <f t="shared" si="2"/>
        <v>0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18">
        <v>3</v>
      </c>
      <c r="C10" s="207">
        <v>41803</v>
      </c>
      <c r="D10" s="20" t="s">
        <v>13</v>
      </c>
      <c r="E10" s="21" t="s">
        <v>9</v>
      </c>
      <c r="F10" s="22" t="s">
        <v>14</v>
      </c>
      <c r="G10" s="86">
        <v>2</v>
      </c>
      <c r="H10" s="21" t="s">
        <v>9</v>
      </c>
      <c r="I10" s="91">
        <v>1</v>
      </c>
      <c r="J10" s="23">
        <f t="shared" si="5"/>
        <v>1</v>
      </c>
      <c r="K10" s="11">
        <f t="shared" si="6"/>
        <v>3</v>
      </c>
      <c r="L10" s="11">
        <f t="shared" si="7"/>
        <v>0</v>
      </c>
      <c r="O10" s="48" t="s">
        <v>10</v>
      </c>
      <c r="P10" s="49">
        <f>SUMIF($D$8:$D$55,$O10,$G$8:$G$55)+SUMIF($F$8:$F$55,$O10,$I$8:$I$55)</f>
        <v>1</v>
      </c>
      <c r="Q10" s="49">
        <f>SUMIF($D$8:$D$55,$O10,$I$8:$I$55)+SUMIF($F$8:$F$55,$O10,$G$8:$G$55)</f>
        <v>5</v>
      </c>
      <c r="R10" s="49">
        <f>P10-Q10</f>
        <v>-4</v>
      </c>
      <c r="S10" s="50">
        <f>SUMIF($D$8:$D$55,$O10,$K$8:$K$55)+SUMIF($F$8:$F$55,$O10,$L$8:$L$55)</f>
        <v>1</v>
      </c>
      <c r="T10" s="95" t="s">
        <v>50</v>
      </c>
      <c r="U10" s="40"/>
      <c r="V10" s="40" t="str">
        <f>O10</f>
        <v>Kroatië</v>
      </c>
      <c r="W10" s="40" t="s">
        <v>49</v>
      </c>
      <c r="Y10" s="109">
        <f t="shared" si="8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0</v>
      </c>
      <c r="AG10" s="108">
        <f t="shared" si="0"/>
        <v>0</v>
      </c>
      <c r="AH10" s="108">
        <f t="shared" si="1"/>
        <v>0</v>
      </c>
      <c r="AI10" s="108">
        <f t="shared" si="10"/>
        <v>0</v>
      </c>
      <c r="AJ10" s="108">
        <f t="shared" si="2"/>
        <v>0</v>
      </c>
      <c r="AK10" s="108">
        <f t="shared" si="3"/>
        <v>0</v>
      </c>
      <c r="AL10" s="108">
        <f t="shared" si="4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24">
        <v>4</v>
      </c>
      <c r="C11" s="208">
        <v>41803</v>
      </c>
      <c r="D11" s="26" t="s">
        <v>15</v>
      </c>
      <c r="E11" s="27" t="s">
        <v>9</v>
      </c>
      <c r="F11" s="28" t="s">
        <v>16</v>
      </c>
      <c r="G11" s="87">
        <v>1</v>
      </c>
      <c r="H11" s="27" t="s">
        <v>9</v>
      </c>
      <c r="I11" s="92">
        <v>2</v>
      </c>
      <c r="J11" s="29">
        <f t="shared" si="5"/>
        <v>2</v>
      </c>
      <c r="K11" s="11">
        <f t="shared" si="6"/>
        <v>0</v>
      </c>
      <c r="L11" s="11">
        <f t="shared" si="7"/>
        <v>3</v>
      </c>
      <c r="O11" s="48" t="s">
        <v>11</v>
      </c>
      <c r="P11" s="49">
        <f>SUMIF($D$8:$D$55,$O11,$G$8:$G$55)+SUMIF($F$8:$F$55,$O11,$I$8:$I$55)</f>
        <v>2</v>
      </c>
      <c r="Q11" s="49">
        <f>SUMIF($D$8:$D$55,$O11,$I$8:$I$55)+SUMIF($F$8:$F$55,$O11,$G$8:$G$55)</f>
        <v>4</v>
      </c>
      <c r="R11" s="49">
        <f>P11-Q11</f>
        <v>-2</v>
      </c>
      <c r="S11" s="50">
        <f>SUMIF($D$8:$D$55,$O11,$K$8:$K$55)+SUMIF($F$8:$F$55,$O11,$L$8:$L$55)</f>
        <v>2</v>
      </c>
      <c r="T11" s="95" t="s">
        <v>47</v>
      </c>
      <c r="U11" s="40"/>
      <c r="V11" s="40" t="str">
        <f>O11</f>
        <v>Mexico</v>
      </c>
      <c r="W11" s="40" t="s">
        <v>47</v>
      </c>
      <c r="Y11" s="109">
        <f t="shared" si="8"/>
        <v>0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0</v>
      </c>
      <c r="AG11" s="108">
        <f t="shared" si="0"/>
        <v>0</v>
      </c>
      <c r="AH11" s="108">
        <f t="shared" si="1"/>
        <v>0</v>
      </c>
      <c r="AI11" s="108">
        <f t="shared" si="10"/>
        <v>0</v>
      </c>
      <c r="AJ11" s="108">
        <f t="shared" si="2"/>
        <v>0</v>
      </c>
      <c r="AK11" s="108">
        <f t="shared" si="3"/>
        <v>0</v>
      </c>
      <c r="AL11" s="108">
        <f t="shared" si="4"/>
        <v>0</v>
      </c>
      <c r="AM11" s="120">
        <f>AO11</f>
        <v>0</v>
      </c>
      <c r="AN11" s="117" t="s">
        <v>11</v>
      </c>
      <c r="AO11" s="115">
        <f>IF(Uitslag!T11="",0,IF(T11=Uitslag!T11,10,0))</f>
        <v>0</v>
      </c>
    </row>
    <row r="12" spans="2:54" ht="15.75" thickBot="1">
      <c r="B12" s="12">
        <v>5</v>
      </c>
      <c r="C12" s="206">
        <v>41804</v>
      </c>
      <c r="D12" s="14" t="s">
        <v>17</v>
      </c>
      <c r="E12" s="15" t="s">
        <v>9</v>
      </c>
      <c r="F12" s="16" t="s">
        <v>18</v>
      </c>
      <c r="G12" s="85">
        <v>0</v>
      </c>
      <c r="H12" s="15" t="s">
        <v>9</v>
      </c>
      <c r="I12" s="90">
        <v>1</v>
      </c>
      <c r="J12" s="17">
        <f t="shared" si="5"/>
        <v>2</v>
      </c>
      <c r="K12" s="11">
        <f t="shared" si="6"/>
        <v>0</v>
      </c>
      <c r="L12" s="11">
        <f t="shared" si="7"/>
        <v>3</v>
      </c>
      <c r="O12" s="51" t="s">
        <v>12</v>
      </c>
      <c r="P12" s="52">
        <f>SUMIF($D$8:$D$55,$O12,$G$8:$G$55)+SUMIF($F$8:$F$55,$O12,$I$8:$I$55)</f>
        <v>4</v>
      </c>
      <c r="Q12" s="52">
        <f>SUMIF($D$8:$D$55,$O12,$I$8:$I$55)+SUMIF($F$8:$F$55,$O12,$G$8:$G$55)</f>
        <v>3</v>
      </c>
      <c r="R12" s="52">
        <f>P12-Q12</f>
        <v>1</v>
      </c>
      <c r="S12" s="53">
        <f>SUMIF($D$8:$D$55,$O12,$K$8:$K$55)+SUMIF($F$8:$F$55,$O12,$L$8:$L$55)</f>
        <v>4</v>
      </c>
      <c r="T12" s="96" t="s">
        <v>49</v>
      </c>
      <c r="U12" s="40"/>
      <c r="V12" s="40" t="str">
        <f>O12</f>
        <v>Kameroen</v>
      </c>
      <c r="W12" s="40" t="s">
        <v>50</v>
      </c>
      <c r="Y12" s="109">
        <f t="shared" si="8"/>
        <v>0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0</v>
      </c>
      <c r="AG12" s="108">
        <f t="shared" si="0"/>
        <v>0</v>
      </c>
      <c r="AH12" s="108">
        <f t="shared" si="1"/>
        <v>0</v>
      </c>
      <c r="AI12" s="108">
        <f t="shared" si="10"/>
        <v>0</v>
      </c>
      <c r="AJ12" s="108">
        <f t="shared" si="2"/>
        <v>0</v>
      </c>
      <c r="AK12" s="108">
        <f t="shared" si="3"/>
        <v>0</v>
      </c>
      <c r="AL12" s="108">
        <f t="shared" si="4"/>
        <v>0</v>
      </c>
      <c r="AM12" s="120">
        <f>AO12</f>
        <v>0</v>
      </c>
      <c r="AN12" s="118" t="s">
        <v>12</v>
      </c>
      <c r="AO12" s="115">
        <f>IF(Uitslag!T12="",0,IF(T12=Uitslag!T12,10,0))</f>
        <v>0</v>
      </c>
    </row>
    <row r="13" spans="2:54" ht="15.75" thickBot="1">
      <c r="B13" s="18">
        <v>6</v>
      </c>
      <c r="C13" s="207">
        <v>41804</v>
      </c>
      <c r="D13" s="20" t="s">
        <v>19</v>
      </c>
      <c r="E13" s="21" t="s">
        <v>9</v>
      </c>
      <c r="F13" s="30" t="s">
        <v>20</v>
      </c>
      <c r="G13" s="86">
        <v>2</v>
      </c>
      <c r="H13" s="21" t="s">
        <v>9</v>
      </c>
      <c r="I13" s="91">
        <v>0</v>
      </c>
      <c r="J13" s="23">
        <f t="shared" si="5"/>
        <v>1</v>
      </c>
      <c r="K13" s="11">
        <f t="shared" si="6"/>
        <v>3</v>
      </c>
      <c r="L13" s="11">
        <f t="shared" si="7"/>
        <v>0</v>
      </c>
      <c r="O13" s="40"/>
      <c r="P13" s="41"/>
      <c r="Q13" s="41"/>
      <c r="R13" s="41"/>
      <c r="S13" s="41"/>
      <c r="T13" s="41"/>
      <c r="U13" s="40"/>
      <c r="V13" s="40"/>
      <c r="W13" s="40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0"/>
        <v>0</v>
      </c>
      <c r="AH13" s="108">
        <f t="shared" si="1"/>
        <v>0</v>
      </c>
      <c r="AI13" s="108">
        <f t="shared" si="10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40"/>
      <c r="AO13" s="41"/>
    </row>
    <row r="14" spans="2:54" ht="15.75" thickBot="1">
      <c r="B14" s="18">
        <v>7</v>
      </c>
      <c r="C14" s="207">
        <v>41804</v>
      </c>
      <c r="D14" s="20" t="s">
        <v>21</v>
      </c>
      <c r="E14" s="21" t="s">
        <v>9</v>
      </c>
      <c r="F14" s="30" t="s">
        <v>22</v>
      </c>
      <c r="G14" s="86">
        <v>0</v>
      </c>
      <c r="H14" s="21" t="s">
        <v>9</v>
      </c>
      <c r="I14" s="91">
        <v>2</v>
      </c>
      <c r="J14" s="23">
        <f t="shared" si="5"/>
        <v>2</v>
      </c>
      <c r="K14" s="11">
        <f t="shared" si="6"/>
        <v>0</v>
      </c>
      <c r="L14" s="11">
        <f t="shared" si="7"/>
        <v>3</v>
      </c>
      <c r="O14" s="72" t="s">
        <v>51</v>
      </c>
      <c r="P14" s="73" t="s">
        <v>42</v>
      </c>
      <c r="Q14" s="73" t="s">
        <v>43</v>
      </c>
      <c r="R14" s="74" t="s">
        <v>44</v>
      </c>
      <c r="S14" s="75" t="s">
        <v>45</v>
      </c>
      <c r="T14" s="76" t="s">
        <v>46</v>
      </c>
      <c r="U14" s="40"/>
      <c r="V14" s="40"/>
      <c r="W14" s="40"/>
      <c r="Y14" s="109">
        <f t="shared" si="8"/>
        <v>6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6</v>
      </c>
      <c r="AG14" s="108">
        <f t="shared" si="0"/>
        <v>0</v>
      </c>
      <c r="AH14" s="108">
        <f t="shared" si="1"/>
        <v>1</v>
      </c>
      <c r="AI14" s="108">
        <f t="shared" si="10"/>
        <v>0</v>
      </c>
      <c r="AJ14" s="108">
        <f t="shared" si="2"/>
        <v>0</v>
      </c>
      <c r="AK14" s="108">
        <f t="shared" si="3"/>
        <v>5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24">
        <v>8</v>
      </c>
      <c r="C15" s="208">
        <v>41804</v>
      </c>
      <c r="D15" s="26" t="s">
        <v>23</v>
      </c>
      <c r="E15" s="27" t="s">
        <v>9</v>
      </c>
      <c r="F15" s="28" t="s">
        <v>24</v>
      </c>
      <c r="G15" s="87">
        <v>1</v>
      </c>
      <c r="H15" s="27" t="s">
        <v>9</v>
      </c>
      <c r="I15" s="92">
        <v>1</v>
      </c>
      <c r="J15" s="29">
        <f t="shared" si="5"/>
        <v>3</v>
      </c>
      <c r="K15" s="11">
        <f t="shared" si="6"/>
        <v>1</v>
      </c>
      <c r="L15" s="11">
        <f t="shared" si="7"/>
        <v>1</v>
      </c>
      <c r="O15" s="44" t="s">
        <v>13</v>
      </c>
      <c r="P15" s="45">
        <f>SUMIF($D$8:$D$55,$O15,$G$8:$G$55)+SUMIF($F$8:$F$55,$O15,$I$8:$I$55)</f>
        <v>5</v>
      </c>
      <c r="Q15" s="45">
        <f>SUMIF($D$8:$D$55,$O15,$I$8:$I$55)+SUMIF($F$8:$F$55,$O15,$G$8:$G$55)</f>
        <v>2</v>
      </c>
      <c r="R15" s="46">
        <f>P15-Q15</f>
        <v>3</v>
      </c>
      <c r="S15" s="47">
        <f>SUMIF($D$8:$D$55,$O15,$K$8:$K$55)+SUMIF($F$8:$F$55,$O15,$L$8:$L$55)</f>
        <v>7</v>
      </c>
      <c r="T15" s="94" t="s">
        <v>52</v>
      </c>
      <c r="U15" s="40"/>
      <c r="V15" s="40" t="str">
        <f>O15</f>
        <v>Spanje</v>
      </c>
      <c r="W15" s="40" t="s">
        <v>52</v>
      </c>
      <c r="Y15" s="109">
        <f t="shared" si="8"/>
        <v>1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1</v>
      </c>
      <c r="AG15" s="108">
        <f t="shared" si="0"/>
        <v>0</v>
      </c>
      <c r="AH15" s="108">
        <f t="shared" si="1"/>
        <v>1</v>
      </c>
      <c r="AI15" s="108">
        <f t="shared" si="10"/>
        <v>0</v>
      </c>
      <c r="AJ15" s="108">
        <f t="shared" si="2"/>
        <v>0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12">
        <v>9</v>
      </c>
      <c r="C16" s="206">
        <v>41805</v>
      </c>
      <c r="D16" s="14" t="s">
        <v>25</v>
      </c>
      <c r="E16" s="15" t="s">
        <v>9</v>
      </c>
      <c r="F16" s="16" t="s">
        <v>26</v>
      </c>
      <c r="G16" s="85">
        <v>0</v>
      </c>
      <c r="H16" s="15" t="s">
        <v>9</v>
      </c>
      <c r="I16" s="90">
        <v>2</v>
      </c>
      <c r="J16" s="17">
        <f t="shared" si="5"/>
        <v>2</v>
      </c>
      <c r="K16" s="11">
        <f t="shared" si="6"/>
        <v>0</v>
      </c>
      <c r="L16" s="11">
        <f t="shared" si="7"/>
        <v>3</v>
      </c>
      <c r="O16" s="54" t="s">
        <v>14</v>
      </c>
      <c r="P16" s="49">
        <f>SUMIF($D$8:$D$55,$O16,$G$8:$G$55)+SUMIF($F$8:$F$55,$O16,$I$8:$I$55)</f>
        <v>5</v>
      </c>
      <c r="Q16" s="49">
        <f>SUMIF($D$8:$D$55,$O16,$I$8:$I$55)+SUMIF($F$8:$F$55,$O16,$G$8:$G$55)</f>
        <v>2</v>
      </c>
      <c r="R16" s="49">
        <f>P16-Q16</f>
        <v>3</v>
      </c>
      <c r="S16" s="50">
        <f>SUMIF($D$8:$D$55,$O16,$K$8:$K$55)+SUMIF($F$8:$F$55,$O16,$L$8:$L$55)</f>
        <v>6</v>
      </c>
      <c r="T16" s="95" t="s">
        <v>53</v>
      </c>
      <c r="U16" s="40"/>
      <c r="V16" s="40" t="str">
        <f>O16</f>
        <v>Nederland</v>
      </c>
      <c r="W16" s="40" t="s">
        <v>53</v>
      </c>
      <c r="Y16" s="109">
        <f t="shared" si="8"/>
        <v>0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0</v>
      </c>
      <c r="AG16" s="108">
        <f t="shared" si="0"/>
        <v>0</v>
      </c>
      <c r="AH16" s="108">
        <f t="shared" si="1"/>
        <v>0</v>
      </c>
      <c r="AI16" s="108">
        <f t="shared" si="10"/>
        <v>0</v>
      </c>
      <c r="AJ16" s="108">
        <f t="shared" si="2"/>
        <v>0</v>
      </c>
      <c r="AK16" s="108">
        <f t="shared" si="3"/>
        <v>0</v>
      </c>
      <c r="AL16" s="108">
        <f t="shared" si="4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18">
        <v>10</v>
      </c>
      <c r="C17" s="207">
        <v>41805</v>
      </c>
      <c r="D17" s="20" t="s">
        <v>27</v>
      </c>
      <c r="E17" s="21" t="s">
        <v>9</v>
      </c>
      <c r="F17" s="30" t="s">
        <v>28</v>
      </c>
      <c r="G17" s="86">
        <v>2</v>
      </c>
      <c r="H17" s="21" t="s">
        <v>9</v>
      </c>
      <c r="I17" s="91">
        <v>1</v>
      </c>
      <c r="J17" s="23">
        <f t="shared" si="5"/>
        <v>1</v>
      </c>
      <c r="K17" s="11">
        <f t="shared" si="6"/>
        <v>3</v>
      </c>
      <c r="L17" s="11">
        <f t="shared" si="7"/>
        <v>0</v>
      </c>
      <c r="O17" s="48" t="s">
        <v>15</v>
      </c>
      <c r="P17" s="49">
        <f>SUMIF($D$8:$D$55,$O17,$G$8:$G$55)+SUMIF($F$8:$F$55,$O17,$I$8:$I$55)</f>
        <v>2</v>
      </c>
      <c r="Q17" s="49">
        <f>SUMIF($D$8:$D$55,$O17,$I$8:$I$55)+SUMIF($F$8:$F$55,$O17,$G$8:$G$55)</f>
        <v>5</v>
      </c>
      <c r="R17" s="49">
        <f>P17-Q17</f>
        <v>-3</v>
      </c>
      <c r="S17" s="50">
        <f>SUMIF($D$8:$D$55,$O17,$K$8:$K$55)+SUMIF($F$8:$F$55,$O17,$L$8:$L$55)</f>
        <v>1</v>
      </c>
      <c r="T17" s="95" t="s">
        <v>55</v>
      </c>
      <c r="U17" s="40"/>
      <c r="V17" s="40" t="str">
        <f>O17</f>
        <v>Chili</v>
      </c>
      <c r="W17" s="40" t="s">
        <v>54</v>
      </c>
      <c r="Y17" s="109">
        <f t="shared" si="8"/>
        <v>5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5</v>
      </c>
      <c r="AG17" s="108">
        <f t="shared" si="0"/>
        <v>0</v>
      </c>
      <c r="AH17" s="108">
        <f t="shared" si="1"/>
        <v>0</v>
      </c>
      <c r="AI17" s="108">
        <f t="shared" si="10"/>
        <v>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24">
        <v>11</v>
      </c>
      <c r="C18" s="208">
        <v>41805</v>
      </c>
      <c r="D18" s="26" t="s">
        <v>29</v>
      </c>
      <c r="E18" s="27" t="s">
        <v>9</v>
      </c>
      <c r="F18" s="28" t="s">
        <v>30</v>
      </c>
      <c r="G18" s="87">
        <v>2</v>
      </c>
      <c r="H18" s="27" t="s">
        <v>9</v>
      </c>
      <c r="I18" s="92">
        <v>0</v>
      </c>
      <c r="J18" s="29">
        <f t="shared" si="5"/>
        <v>1</v>
      </c>
      <c r="K18" s="11">
        <f t="shared" si="6"/>
        <v>3</v>
      </c>
      <c r="L18" s="11">
        <f t="shared" si="7"/>
        <v>0</v>
      </c>
      <c r="O18" s="51" t="s">
        <v>16</v>
      </c>
      <c r="P18" s="52">
        <f>SUMIF($D$8:$D$55,$O18,$G$8:$G$55)+SUMIF($F$8:$F$55,$O18,$I$8:$I$55)</f>
        <v>2</v>
      </c>
      <c r="Q18" s="52">
        <f>SUMIF($D$8:$D$55,$O18,$I$8:$I$55)+SUMIF($F$8:$F$55,$O18,$G$8:$G$55)</f>
        <v>5</v>
      </c>
      <c r="R18" s="52">
        <f>P18-Q18</f>
        <v>-3</v>
      </c>
      <c r="S18" s="53">
        <f>SUMIF($D$8:$D$55,$O18,$K$8:$K$55)+SUMIF($F$8:$F$55,$O18,$L$8:$L$55)</f>
        <v>3</v>
      </c>
      <c r="T18" s="96" t="s">
        <v>54</v>
      </c>
      <c r="U18" s="40"/>
      <c r="V18" s="40" t="str">
        <f>O18</f>
        <v>Australië</v>
      </c>
      <c r="W18" s="40" t="s">
        <v>55</v>
      </c>
      <c r="Y18" s="109">
        <f t="shared" si="8"/>
        <v>6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6</v>
      </c>
      <c r="AG18" s="108">
        <f t="shared" si="0"/>
        <v>1</v>
      </c>
      <c r="AH18" s="108">
        <f t="shared" si="1"/>
        <v>0</v>
      </c>
      <c r="AI18" s="108">
        <f t="shared" si="10"/>
        <v>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0</v>
      </c>
      <c r="AN18" s="118" t="s">
        <v>16</v>
      </c>
      <c r="AO18" s="115">
        <f>IF(Uitslag!T18="",0,IF(T18=Uitslag!T18,10,0))</f>
        <v>0</v>
      </c>
    </row>
    <row r="19" spans="2:41" ht="15.75" thickBot="1">
      <c r="B19" s="12">
        <v>12</v>
      </c>
      <c r="C19" s="206">
        <v>41806</v>
      </c>
      <c r="D19" s="14" t="s">
        <v>31</v>
      </c>
      <c r="E19" s="15" t="s">
        <v>9</v>
      </c>
      <c r="F19" s="16" t="s">
        <v>32</v>
      </c>
      <c r="G19" s="85">
        <v>2</v>
      </c>
      <c r="H19" s="15" t="s">
        <v>9</v>
      </c>
      <c r="I19" s="90">
        <v>0</v>
      </c>
      <c r="J19" s="17">
        <f t="shared" si="5"/>
        <v>1</v>
      </c>
      <c r="K19" s="11">
        <f t="shared" si="6"/>
        <v>3</v>
      </c>
      <c r="L19" s="11">
        <f t="shared" si="7"/>
        <v>0</v>
      </c>
      <c r="O19" s="40"/>
      <c r="P19" s="41"/>
      <c r="Q19" s="41"/>
      <c r="R19" s="41"/>
      <c r="S19" s="41"/>
      <c r="T19" s="41"/>
      <c r="U19" s="40"/>
      <c r="V19" s="40"/>
      <c r="W19" s="40"/>
      <c r="Y19" s="109">
        <f t="shared" si="8"/>
        <v>6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6</v>
      </c>
      <c r="AG19" s="108">
        <f t="shared" si="0"/>
        <v>0</v>
      </c>
      <c r="AH19" s="108">
        <f t="shared" si="1"/>
        <v>1</v>
      </c>
      <c r="AI19" s="108">
        <f t="shared" si="10"/>
        <v>0</v>
      </c>
      <c r="AJ19" s="108">
        <f t="shared" si="2"/>
        <v>5</v>
      </c>
      <c r="AK19" s="108">
        <f t="shared" si="3"/>
        <v>0</v>
      </c>
      <c r="AL19" s="108">
        <f t="shared" si="4"/>
        <v>0</v>
      </c>
      <c r="AN19" s="40"/>
      <c r="AO19" s="41"/>
    </row>
    <row r="20" spans="2:41" ht="15.75" thickBot="1">
      <c r="B20" s="18">
        <v>13</v>
      </c>
      <c r="C20" s="207">
        <v>41806</v>
      </c>
      <c r="D20" s="20" t="s">
        <v>33</v>
      </c>
      <c r="E20" s="21" t="s">
        <v>9</v>
      </c>
      <c r="F20" s="30" t="s">
        <v>34</v>
      </c>
      <c r="G20" s="86">
        <v>0</v>
      </c>
      <c r="H20" s="21" t="s">
        <v>9</v>
      </c>
      <c r="I20" s="91">
        <v>0</v>
      </c>
      <c r="J20" s="23">
        <f t="shared" si="5"/>
        <v>3</v>
      </c>
      <c r="K20" s="11">
        <f t="shared" si="6"/>
        <v>1</v>
      </c>
      <c r="L20" s="11">
        <f t="shared" si="7"/>
        <v>1</v>
      </c>
      <c r="O20" s="72" t="s">
        <v>56</v>
      </c>
      <c r="P20" s="73" t="s">
        <v>42</v>
      </c>
      <c r="Q20" s="73" t="s">
        <v>43</v>
      </c>
      <c r="R20" s="74" t="s">
        <v>44</v>
      </c>
      <c r="S20" s="75" t="s">
        <v>45</v>
      </c>
      <c r="T20" s="76" t="s">
        <v>46</v>
      </c>
      <c r="U20" s="40"/>
      <c r="V20" s="40"/>
      <c r="W20" s="40"/>
      <c r="Y20" s="109">
        <f t="shared" si="8"/>
        <v>10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10</v>
      </c>
      <c r="AG20" s="108">
        <f t="shared" si="0"/>
        <v>1</v>
      </c>
      <c r="AH20" s="108">
        <f t="shared" si="1"/>
        <v>1</v>
      </c>
      <c r="AI20" s="108">
        <f t="shared" si="10"/>
        <v>10</v>
      </c>
      <c r="AJ20" s="108">
        <f t="shared" si="2"/>
        <v>0</v>
      </c>
      <c r="AK20" s="108">
        <f t="shared" si="3"/>
        <v>0</v>
      </c>
      <c r="AL20" s="108">
        <f t="shared" si="4"/>
        <v>5</v>
      </c>
      <c r="AN20" s="42" t="s">
        <v>56</v>
      </c>
      <c r="AO20" s="43" t="s">
        <v>46</v>
      </c>
    </row>
    <row r="21" spans="2:41" ht="15.75" thickBot="1">
      <c r="B21" s="24">
        <v>14</v>
      </c>
      <c r="C21" s="208">
        <v>41806</v>
      </c>
      <c r="D21" s="26" t="s">
        <v>35</v>
      </c>
      <c r="E21" s="27" t="s">
        <v>9</v>
      </c>
      <c r="F21" s="28" t="s">
        <v>36</v>
      </c>
      <c r="G21" s="87">
        <v>1</v>
      </c>
      <c r="H21" s="27" t="s">
        <v>9</v>
      </c>
      <c r="I21" s="92">
        <v>1</v>
      </c>
      <c r="J21" s="29">
        <f t="shared" si="5"/>
        <v>3</v>
      </c>
      <c r="K21" s="11">
        <f t="shared" si="6"/>
        <v>1</v>
      </c>
      <c r="L21" s="11">
        <f t="shared" si="7"/>
        <v>1</v>
      </c>
      <c r="O21" s="44" t="s">
        <v>17</v>
      </c>
      <c r="P21" s="45">
        <f>SUMIF($D$8:$D$55,$O21,$G$8:$G$55)+SUMIF($F$8:$F$55,$O21,$I$8:$I$55)</f>
        <v>3</v>
      </c>
      <c r="Q21" s="45">
        <f>SUMIF($D$8:$D$55,$O21,$I$8:$I$55)+SUMIF($F$8:$F$55,$O21,$G$8:$G$55)</f>
        <v>2</v>
      </c>
      <c r="R21" s="46">
        <f>P21-Q21</f>
        <v>1</v>
      </c>
      <c r="S21" s="47">
        <f>SUMIF($D$8:$D$55,$O21,$K$8:$K$55)+SUMIF($F$8:$F$55,$O21,$L$8:$L$55)</f>
        <v>6</v>
      </c>
      <c r="T21" s="94" t="s">
        <v>57</v>
      </c>
      <c r="U21" s="40"/>
      <c r="V21" s="40" t="str">
        <f>O21</f>
        <v>Colombia</v>
      </c>
      <c r="W21" s="40" t="s">
        <v>57</v>
      </c>
      <c r="Y21" s="109">
        <f t="shared" si="8"/>
        <v>1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1</v>
      </c>
      <c r="AG21" s="108">
        <f t="shared" si="0"/>
        <v>1</v>
      </c>
      <c r="AH21" s="108">
        <f t="shared" si="1"/>
        <v>0</v>
      </c>
      <c r="AI21" s="108">
        <f t="shared" si="10"/>
        <v>0</v>
      </c>
      <c r="AJ21" s="108">
        <f t="shared" si="2"/>
        <v>0</v>
      </c>
      <c r="AK21" s="108">
        <f t="shared" si="3"/>
        <v>0</v>
      </c>
      <c r="AL21" s="108">
        <f t="shared" si="4"/>
        <v>0</v>
      </c>
      <c r="AM21" s="120">
        <f>AO21</f>
        <v>10</v>
      </c>
      <c r="AN21" s="116" t="s">
        <v>17</v>
      </c>
      <c r="AO21" s="115">
        <f>IF(Uitslag!T21="",0,IF(T21=Uitslag!T21,10,0))</f>
        <v>10</v>
      </c>
    </row>
    <row r="22" spans="2:41" ht="15.75" thickBot="1">
      <c r="B22" s="12">
        <v>15</v>
      </c>
      <c r="C22" s="206">
        <v>41807</v>
      </c>
      <c r="D22" s="14" t="s">
        <v>37</v>
      </c>
      <c r="E22" s="15" t="s">
        <v>9</v>
      </c>
      <c r="F22" s="16" t="s">
        <v>38</v>
      </c>
      <c r="G22" s="85">
        <v>2</v>
      </c>
      <c r="H22" s="15" t="s">
        <v>9</v>
      </c>
      <c r="I22" s="90">
        <v>1</v>
      </c>
      <c r="J22" s="17">
        <f t="shared" si="5"/>
        <v>1</v>
      </c>
      <c r="K22" s="11">
        <f t="shared" si="6"/>
        <v>3</v>
      </c>
      <c r="L22" s="11">
        <f t="shared" si="7"/>
        <v>0</v>
      </c>
      <c r="O22" s="48" t="s">
        <v>18</v>
      </c>
      <c r="P22" s="49">
        <f>SUMIF($D$8:$D$55,$O22,$G$8:$G$55)+SUMIF($F$8:$F$55,$O22,$I$8:$I$55)</f>
        <v>2</v>
      </c>
      <c r="Q22" s="49">
        <f>SUMIF($D$8:$D$55,$O22,$I$8:$I$55)+SUMIF($F$8:$F$55,$O22,$G$8:$G$55)</f>
        <v>1</v>
      </c>
      <c r="R22" s="49">
        <f>P22-Q22</f>
        <v>1</v>
      </c>
      <c r="S22" s="50">
        <f>SUMIF($D$8:$D$55,$O22,$K$8:$K$55)+SUMIF($F$8:$F$55,$O22,$L$8:$L$55)</f>
        <v>5</v>
      </c>
      <c r="T22" s="95" t="s">
        <v>58</v>
      </c>
      <c r="U22" s="40"/>
      <c r="V22" s="40" t="str">
        <f>O22</f>
        <v>Griekenland</v>
      </c>
      <c r="W22" s="40" t="s">
        <v>58</v>
      </c>
      <c r="Y22" s="109">
        <f t="shared" si="8"/>
        <v>10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10</v>
      </c>
      <c r="AG22" s="108">
        <f t="shared" si="0"/>
        <v>1</v>
      </c>
      <c r="AH22" s="108">
        <f t="shared" si="1"/>
        <v>1</v>
      </c>
      <c r="AI22" s="108">
        <f t="shared" si="10"/>
        <v>10</v>
      </c>
      <c r="AJ22" s="108">
        <f t="shared" si="2"/>
        <v>5</v>
      </c>
      <c r="AK22" s="108">
        <f t="shared" si="3"/>
        <v>0</v>
      </c>
      <c r="AL22" s="108">
        <f t="shared" si="4"/>
        <v>0</v>
      </c>
      <c r="AM22" s="120">
        <f>AO22</f>
        <v>10</v>
      </c>
      <c r="AN22" s="117" t="s">
        <v>18</v>
      </c>
      <c r="AO22" s="115">
        <f>IF(Uitslag!T22="",0,IF(T22=Uitslag!T22,10,0))</f>
        <v>10</v>
      </c>
    </row>
    <row r="23" spans="2:41" ht="15.75" thickBot="1">
      <c r="B23" s="18">
        <v>16</v>
      </c>
      <c r="C23" s="207">
        <v>41807</v>
      </c>
      <c r="D23" s="20" t="s">
        <v>8</v>
      </c>
      <c r="E23" s="21" t="s">
        <v>9</v>
      </c>
      <c r="F23" s="30" t="s">
        <v>11</v>
      </c>
      <c r="G23" s="86">
        <v>2</v>
      </c>
      <c r="H23" s="21" t="s">
        <v>9</v>
      </c>
      <c r="I23" s="91">
        <v>0</v>
      </c>
      <c r="J23" s="23">
        <f t="shared" si="5"/>
        <v>1</v>
      </c>
      <c r="K23" s="11">
        <f t="shared" si="6"/>
        <v>3</v>
      </c>
      <c r="L23" s="11">
        <f t="shared" si="7"/>
        <v>0</v>
      </c>
      <c r="O23" s="48" t="s">
        <v>23</v>
      </c>
      <c r="P23" s="49">
        <f>SUMIF($D$8:$D$55,$O23,$G$8:$G$55)+SUMIF($F$8:$F$55,$O23,$I$8:$I$55)</f>
        <v>2</v>
      </c>
      <c r="Q23" s="49">
        <f>SUMIF($D$8:$D$55,$O23,$I$8:$I$55)+SUMIF($F$8:$F$55,$O23,$G$8:$G$55)</f>
        <v>3</v>
      </c>
      <c r="R23" s="49">
        <f>P23-Q23</f>
        <v>-1</v>
      </c>
      <c r="S23" s="50">
        <f>SUMIF($D$8:$D$55,$O23,$K$8:$K$55)+SUMIF($F$8:$F$55,$O23,$L$8:$L$55)</f>
        <v>2</v>
      </c>
      <c r="T23" s="95" t="s">
        <v>60</v>
      </c>
      <c r="U23" s="40"/>
      <c r="V23" s="40" t="str">
        <f>O23</f>
        <v>Ivoorkust</v>
      </c>
      <c r="W23" s="40" t="s">
        <v>59</v>
      </c>
      <c r="Y23" s="109">
        <f t="shared" si="8"/>
        <v>1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1</v>
      </c>
      <c r="AG23" s="108">
        <f t="shared" si="0"/>
        <v>0</v>
      </c>
      <c r="AH23" s="108">
        <f t="shared" si="1"/>
        <v>1</v>
      </c>
      <c r="AI23" s="108">
        <f t="shared" si="10"/>
        <v>0</v>
      </c>
      <c r="AJ23" s="108">
        <f t="shared" si="2"/>
        <v>0</v>
      </c>
      <c r="AK23" s="108">
        <f t="shared" si="3"/>
        <v>0</v>
      </c>
      <c r="AL23" s="108">
        <f t="shared" si="4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24">
        <v>17</v>
      </c>
      <c r="C24" s="208">
        <v>41807</v>
      </c>
      <c r="D24" s="26" t="s">
        <v>39</v>
      </c>
      <c r="E24" s="27" t="s">
        <v>9</v>
      </c>
      <c r="F24" s="28" t="s">
        <v>40</v>
      </c>
      <c r="G24" s="87">
        <v>2</v>
      </c>
      <c r="H24" s="27" t="s">
        <v>9</v>
      </c>
      <c r="I24" s="92">
        <v>1</v>
      </c>
      <c r="J24" s="29">
        <f t="shared" si="5"/>
        <v>1</v>
      </c>
      <c r="K24" s="11">
        <f t="shared" si="6"/>
        <v>3</v>
      </c>
      <c r="L24" s="11">
        <f t="shared" si="7"/>
        <v>0</v>
      </c>
      <c r="O24" s="51" t="s">
        <v>24</v>
      </c>
      <c r="P24" s="52">
        <f>SUMIF($D$8:$D$55,$O24,$G$8:$G$55)+SUMIF($F$8:$F$55,$O24,$I$8:$I$55)</f>
        <v>2</v>
      </c>
      <c r="Q24" s="52">
        <f>SUMIF($D$8:$D$55,$O24,$I$8:$I$55)+SUMIF($F$8:$F$55,$O24,$G$8:$G$55)</f>
        <v>3</v>
      </c>
      <c r="R24" s="52">
        <f>P24-Q24</f>
        <v>-1</v>
      </c>
      <c r="S24" s="53">
        <f>SUMIF($D$8:$D$55,$O24,$K$8:$K$55)+SUMIF($F$8:$F$55,$O24,$L$8:$L$55)</f>
        <v>2</v>
      </c>
      <c r="T24" s="96" t="s">
        <v>59</v>
      </c>
      <c r="U24" s="40"/>
      <c r="V24" s="40" t="str">
        <f>O24</f>
        <v>Japan</v>
      </c>
      <c r="W24" s="40" t="s">
        <v>60</v>
      </c>
      <c r="Y24" s="109">
        <f t="shared" si="8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</v>
      </c>
      <c r="AG24" s="108">
        <f t="shared" si="0"/>
        <v>0</v>
      </c>
      <c r="AH24" s="108">
        <f t="shared" si="1"/>
        <v>1</v>
      </c>
      <c r="AI24" s="108">
        <f t="shared" si="10"/>
        <v>0</v>
      </c>
      <c r="AJ24" s="108">
        <f t="shared" si="2"/>
        <v>0</v>
      </c>
      <c r="AK24" s="108">
        <f t="shared" si="3"/>
        <v>0</v>
      </c>
      <c r="AL24" s="108">
        <f t="shared" si="4"/>
        <v>0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12">
        <v>18</v>
      </c>
      <c r="C25" s="206">
        <v>41808</v>
      </c>
      <c r="D25" s="14" t="s">
        <v>16</v>
      </c>
      <c r="E25" s="15" t="s">
        <v>9</v>
      </c>
      <c r="F25" s="31" t="s">
        <v>14</v>
      </c>
      <c r="G25" s="85">
        <v>0</v>
      </c>
      <c r="H25" s="15" t="s">
        <v>9</v>
      </c>
      <c r="I25" s="90">
        <v>2</v>
      </c>
      <c r="J25" s="17">
        <f t="shared" si="5"/>
        <v>2</v>
      </c>
      <c r="K25" s="11">
        <f t="shared" si="6"/>
        <v>0</v>
      </c>
      <c r="L25" s="11">
        <f t="shared" si="7"/>
        <v>3</v>
      </c>
      <c r="O25" s="40"/>
      <c r="P25" s="41"/>
      <c r="Q25" s="41"/>
      <c r="R25" s="41"/>
      <c r="S25" s="41"/>
      <c r="T25" s="41"/>
      <c r="U25" s="40"/>
      <c r="V25" s="40"/>
      <c r="W25" s="40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0"/>
        <v>0</v>
      </c>
      <c r="AH25" s="108">
        <f t="shared" si="1"/>
        <v>0</v>
      </c>
      <c r="AI25" s="108">
        <f t="shared" si="10"/>
        <v>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40"/>
      <c r="AO25" s="41"/>
    </row>
    <row r="26" spans="2:41" ht="15.75" thickBot="1">
      <c r="B26" s="18">
        <v>19</v>
      </c>
      <c r="C26" s="207">
        <v>41808</v>
      </c>
      <c r="D26" s="20" t="s">
        <v>13</v>
      </c>
      <c r="E26" s="21" t="s">
        <v>9</v>
      </c>
      <c r="F26" s="30" t="s">
        <v>15</v>
      </c>
      <c r="G26" s="86">
        <v>1</v>
      </c>
      <c r="H26" s="21" t="s">
        <v>9</v>
      </c>
      <c r="I26" s="91">
        <v>1</v>
      </c>
      <c r="J26" s="23">
        <f t="shared" si="5"/>
        <v>3</v>
      </c>
      <c r="K26" s="11">
        <f t="shared" si="6"/>
        <v>1</v>
      </c>
      <c r="L26" s="11">
        <f t="shared" si="7"/>
        <v>1</v>
      </c>
      <c r="O26" s="72" t="s">
        <v>61</v>
      </c>
      <c r="P26" s="73" t="s">
        <v>42</v>
      </c>
      <c r="Q26" s="73" t="s">
        <v>43</v>
      </c>
      <c r="R26" s="74" t="s">
        <v>44</v>
      </c>
      <c r="S26" s="75" t="s">
        <v>45</v>
      </c>
      <c r="T26" s="76" t="s">
        <v>46</v>
      </c>
      <c r="U26" s="40"/>
      <c r="V26" s="40"/>
      <c r="W26" s="40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0"/>
        <v>0</v>
      </c>
      <c r="AH26" s="108">
        <f t="shared" si="1"/>
        <v>0</v>
      </c>
      <c r="AI26" s="108">
        <f t="shared" si="10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24">
        <v>20</v>
      </c>
      <c r="C27" s="208">
        <v>41808</v>
      </c>
      <c r="D27" s="26" t="s">
        <v>12</v>
      </c>
      <c r="E27" s="27" t="s">
        <v>9</v>
      </c>
      <c r="F27" s="28" t="s">
        <v>10</v>
      </c>
      <c r="G27" s="87">
        <v>2</v>
      </c>
      <c r="H27" s="27" t="s">
        <v>9</v>
      </c>
      <c r="I27" s="92">
        <v>0</v>
      </c>
      <c r="J27" s="29">
        <f t="shared" si="5"/>
        <v>1</v>
      </c>
      <c r="K27" s="11">
        <f t="shared" si="6"/>
        <v>3</v>
      </c>
      <c r="L27" s="11">
        <f t="shared" si="7"/>
        <v>0</v>
      </c>
      <c r="O27" s="44" t="s">
        <v>19</v>
      </c>
      <c r="P27" s="45">
        <f>SUMIF($D$8:$D$55,$O27,$G$8:$G$55)+SUMIF($F$8:$F$55,$O27,$I$8:$I$55)</f>
        <v>4</v>
      </c>
      <c r="Q27" s="45">
        <f>SUMIF($D$8:$D$55,$O27,$I$8:$I$55)+SUMIF($F$8:$F$55,$O27,$G$8:$G$55)</f>
        <v>3</v>
      </c>
      <c r="R27" s="46">
        <f>P27-Q27</f>
        <v>1</v>
      </c>
      <c r="S27" s="47">
        <f>SUMIF($D$8:$D$55,$O27,$K$8:$K$55)+SUMIF($F$8:$F$55,$O27,$L$8:$L$55)</f>
        <v>4</v>
      </c>
      <c r="T27" s="94" t="s">
        <v>64</v>
      </c>
      <c r="U27" s="40"/>
      <c r="V27" s="40" t="str">
        <f>O27</f>
        <v>Uruguay</v>
      </c>
      <c r="W27" s="40" t="s">
        <v>62</v>
      </c>
      <c r="Y27" s="109">
        <f t="shared" si="8"/>
        <v>0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0</v>
      </c>
      <c r="AG27" s="108">
        <f t="shared" si="0"/>
        <v>0</v>
      </c>
      <c r="AH27" s="108">
        <f t="shared" si="1"/>
        <v>0</v>
      </c>
      <c r="AI27" s="108">
        <f t="shared" si="10"/>
        <v>0</v>
      </c>
      <c r="AJ27" s="108">
        <f t="shared" si="2"/>
        <v>0</v>
      </c>
      <c r="AK27" s="108">
        <f t="shared" si="3"/>
        <v>0</v>
      </c>
      <c r="AL27" s="108">
        <f t="shared" si="4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12">
        <v>21</v>
      </c>
      <c r="C28" s="206">
        <v>41809</v>
      </c>
      <c r="D28" s="14" t="s">
        <v>17</v>
      </c>
      <c r="E28" s="15" t="s">
        <v>9</v>
      </c>
      <c r="F28" s="16" t="s">
        <v>23</v>
      </c>
      <c r="G28" s="85">
        <v>1</v>
      </c>
      <c r="H28" s="15" t="s">
        <v>9</v>
      </c>
      <c r="I28" s="90">
        <v>0</v>
      </c>
      <c r="J28" s="17">
        <f t="shared" si="5"/>
        <v>1</v>
      </c>
      <c r="K28" s="11">
        <f t="shared" si="6"/>
        <v>3</v>
      </c>
      <c r="L28" s="11">
        <f t="shared" si="7"/>
        <v>0</v>
      </c>
      <c r="O28" s="48" t="s">
        <v>20</v>
      </c>
      <c r="P28" s="49">
        <f>SUMIF($D$8:$D$55,$O28,$G$8:$G$55)+SUMIF($F$8:$F$55,$O28,$I$8:$I$55)</f>
        <v>0</v>
      </c>
      <c r="Q28" s="49">
        <f>SUMIF($D$8:$D$55,$O28,$I$8:$I$55)+SUMIF($F$8:$F$55,$O28,$G$8:$G$55)</f>
        <v>6</v>
      </c>
      <c r="R28" s="49">
        <f>P28-Q28</f>
        <v>-6</v>
      </c>
      <c r="S28" s="50">
        <f>SUMIF($D$8:$D$55,$O28,$K$8:$K$55)+SUMIF($F$8:$F$55,$O28,$L$8:$L$55)</f>
        <v>0</v>
      </c>
      <c r="T28" s="95" t="s">
        <v>65</v>
      </c>
      <c r="U28" s="40"/>
      <c r="V28" s="40" t="str">
        <f>O28</f>
        <v>Costa Rica</v>
      </c>
      <c r="W28" s="40" t="s">
        <v>63</v>
      </c>
      <c r="Y28" s="109">
        <f t="shared" si="8"/>
        <v>5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5</v>
      </c>
      <c r="AG28" s="108">
        <f t="shared" si="0"/>
        <v>0</v>
      </c>
      <c r="AH28" s="108">
        <f t="shared" si="1"/>
        <v>0</v>
      </c>
      <c r="AI28" s="108">
        <f t="shared" si="10"/>
        <v>0</v>
      </c>
      <c r="AJ28" s="108">
        <f t="shared" si="2"/>
        <v>5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18">
        <v>22</v>
      </c>
      <c r="C29" s="207">
        <v>41809</v>
      </c>
      <c r="D29" s="20" t="s">
        <v>19</v>
      </c>
      <c r="E29" s="21" t="s">
        <v>9</v>
      </c>
      <c r="F29" s="30" t="s">
        <v>21</v>
      </c>
      <c r="G29" s="86">
        <v>1</v>
      </c>
      <c r="H29" s="21" t="s">
        <v>9</v>
      </c>
      <c r="I29" s="91">
        <v>2</v>
      </c>
      <c r="J29" s="23">
        <f t="shared" si="5"/>
        <v>2</v>
      </c>
      <c r="K29" s="11">
        <f t="shared" si="6"/>
        <v>0</v>
      </c>
      <c r="L29" s="11">
        <f t="shared" si="7"/>
        <v>3</v>
      </c>
      <c r="O29" s="48" t="s">
        <v>21</v>
      </c>
      <c r="P29" s="49">
        <f>SUMIF($D$8:$D$55,$O29,$G$8:$G$55)+SUMIF($F$8:$F$55,$O29,$I$8:$I$55)</f>
        <v>4</v>
      </c>
      <c r="Q29" s="49">
        <f>SUMIF($D$8:$D$55,$O29,$I$8:$I$55)+SUMIF($F$8:$F$55,$O29,$G$8:$G$55)</f>
        <v>3</v>
      </c>
      <c r="R29" s="49">
        <f>P29-Q29</f>
        <v>1</v>
      </c>
      <c r="S29" s="50">
        <f>SUMIF($D$8:$D$55,$O29,$K$8:$K$55)+SUMIF($F$8:$F$55,$O29,$L$8:$L$55)</f>
        <v>6</v>
      </c>
      <c r="T29" s="95" t="s">
        <v>63</v>
      </c>
      <c r="U29" s="40"/>
      <c r="V29" s="40" t="str">
        <f>O29</f>
        <v>Engeland</v>
      </c>
      <c r="W29" s="40" t="s">
        <v>64</v>
      </c>
      <c r="Y29" s="109">
        <f t="shared" si="8"/>
        <v>0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0</v>
      </c>
      <c r="AG29" s="108">
        <f t="shared" si="0"/>
        <v>0</v>
      </c>
      <c r="AH29" s="108">
        <f t="shared" si="1"/>
        <v>0</v>
      </c>
      <c r="AI29" s="108">
        <f t="shared" si="10"/>
        <v>0</v>
      </c>
      <c r="AJ29" s="108">
        <f t="shared" si="2"/>
        <v>0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24">
        <v>23</v>
      </c>
      <c r="C30" s="208">
        <v>41809</v>
      </c>
      <c r="D30" s="26" t="s">
        <v>24</v>
      </c>
      <c r="E30" s="27" t="s">
        <v>9</v>
      </c>
      <c r="F30" s="28" t="s">
        <v>18</v>
      </c>
      <c r="G30" s="87">
        <v>0</v>
      </c>
      <c r="H30" s="27" t="s">
        <v>9</v>
      </c>
      <c r="I30" s="92">
        <v>0</v>
      </c>
      <c r="J30" s="29">
        <f t="shared" si="5"/>
        <v>3</v>
      </c>
      <c r="K30" s="11">
        <f t="shared" si="6"/>
        <v>1</v>
      </c>
      <c r="L30" s="11">
        <f t="shared" si="7"/>
        <v>1</v>
      </c>
      <c r="O30" s="51" t="s">
        <v>22</v>
      </c>
      <c r="P30" s="52">
        <f>SUMIF($D$8:$D$55,$O30,$G$8:$G$55)+SUMIF($F$8:$F$55,$O30,$I$8:$I$55)</f>
        <v>5</v>
      </c>
      <c r="Q30" s="52">
        <f>SUMIF($D$8:$D$55,$O30,$I$8:$I$55)+SUMIF($F$8:$F$55,$O30,$G$8:$G$55)</f>
        <v>1</v>
      </c>
      <c r="R30" s="52">
        <f>P30-Q30</f>
        <v>4</v>
      </c>
      <c r="S30" s="53">
        <f>SUMIF($D$8:$D$55,$O30,$K$8:$K$55)+SUMIF($F$8:$F$55,$O30,$L$8:$L$55)</f>
        <v>7</v>
      </c>
      <c r="T30" s="96" t="s">
        <v>62</v>
      </c>
      <c r="U30" s="40"/>
      <c r="V30" s="40" t="str">
        <f>O30</f>
        <v>Italië</v>
      </c>
      <c r="W30" s="40" t="s">
        <v>65</v>
      </c>
      <c r="Y30" s="109">
        <f t="shared" si="8"/>
        <v>10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10</v>
      </c>
      <c r="AG30" s="108">
        <f t="shared" si="0"/>
        <v>1</v>
      </c>
      <c r="AH30" s="108">
        <f t="shared" si="1"/>
        <v>1</v>
      </c>
      <c r="AI30" s="108">
        <f t="shared" si="10"/>
        <v>10</v>
      </c>
      <c r="AJ30" s="108">
        <f t="shared" si="2"/>
        <v>0</v>
      </c>
      <c r="AK30" s="108">
        <f t="shared" si="3"/>
        <v>0</v>
      </c>
      <c r="AL30" s="108">
        <f t="shared" si="4"/>
        <v>5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12">
        <v>24</v>
      </c>
      <c r="C31" s="206">
        <v>41810</v>
      </c>
      <c r="D31" s="14" t="s">
        <v>22</v>
      </c>
      <c r="E31" s="15" t="s">
        <v>9</v>
      </c>
      <c r="F31" s="16" t="s">
        <v>20</v>
      </c>
      <c r="G31" s="85">
        <v>2</v>
      </c>
      <c r="H31" s="15" t="s">
        <v>9</v>
      </c>
      <c r="I31" s="90">
        <v>0</v>
      </c>
      <c r="J31" s="17">
        <f t="shared" si="5"/>
        <v>1</v>
      </c>
      <c r="K31" s="11">
        <f t="shared" si="6"/>
        <v>3</v>
      </c>
      <c r="L31" s="11">
        <f t="shared" si="7"/>
        <v>0</v>
      </c>
      <c r="O31" s="40"/>
      <c r="P31" s="41"/>
      <c r="Q31" s="41"/>
      <c r="R31" s="41"/>
      <c r="S31" s="41"/>
      <c r="T31" s="41"/>
      <c r="U31" s="40"/>
      <c r="V31" s="40"/>
      <c r="W31" s="40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0"/>
        <v>0</v>
      </c>
      <c r="AH31" s="108">
        <f t="shared" si="1"/>
        <v>0</v>
      </c>
      <c r="AI31" s="108">
        <f t="shared" si="10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40"/>
      <c r="AO31" s="41"/>
    </row>
    <row r="32" spans="2:41" ht="15.75" thickBot="1">
      <c r="B32" s="18">
        <v>25</v>
      </c>
      <c r="C32" s="207">
        <v>41810</v>
      </c>
      <c r="D32" s="20" t="s">
        <v>25</v>
      </c>
      <c r="E32" s="21" t="s">
        <v>9</v>
      </c>
      <c r="F32" s="30" t="s">
        <v>27</v>
      </c>
      <c r="G32" s="86">
        <v>0</v>
      </c>
      <c r="H32" s="21" t="s">
        <v>9</v>
      </c>
      <c r="I32" s="91">
        <v>2</v>
      </c>
      <c r="J32" s="23">
        <f t="shared" si="5"/>
        <v>2</v>
      </c>
      <c r="K32" s="11">
        <f t="shared" si="6"/>
        <v>0</v>
      </c>
      <c r="L32" s="11">
        <f t="shared" si="7"/>
        <v>3</v>
      </c>
      <c r="O32" s="72" t="s">
        <v>66</v>
      </c>
      <c r="P32" s="73" t="s">
        <v>42</v>
      </c>
      <c r="Q32" s="73" t="s">
        <v>43</v>
      </c>
      <c r="R32" s="74" t="s">
        <v>44</v>
      </c>
      <c r="S32" s="75" t="s">
        <v>45</v>
      </c>
      <c r="T32" s="76" t="s">
        <v>46</v>
      </c>
      <c r="U32" s="40"/>
      <c r="V32" s="40"/>
      <c r="W32" s="40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0"/>
        <v>0</v>
      </c>
      <c r="AH32" s="108">
        <f t="shared" si="1"/>
        <v>0</v>
      </c>
      <c r="AI32" s="108">
        <f t="shared" si="10"/>
        <v>0</v>
      </c>
      <c r="AJ32" s="108">
        <f t="shared" si="2"/>
        <v>0</v>
      </c>
      <c r="AK32" s="108">
        <f t="shared" si="3"/>
        <v>5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24">
        <v>26</v>
      </c>
      <c r="C33" s="208">
        <v>41810</v>
      </c>
      <c r="D33" s="26" t="s">
        <v>28</v>
      </c>
      <c r="E33" s="27" t="s">
        <v>9</v>
      </c>
      <c r="F33" s="28" t="s">
        <v>26</v>
      </c>
      <c r="G33" s="87">
        <v>1</v>
      </c>
      <c r="H33" s="27" t="s">
        <v>9</v>
      </c>
      <c r="I33" s="92">
        <v>1</v>
      </c>
      <c r="J33" s="29">
        <f t="shared" si="5"/>
        <v>3</v>
      </c>
      <c r="K33" s="11">
        <f t="shared" si="6"/>
        <v>1</v>
      </c>
      <c r="L33" s="11">
        <f t="shared" si="7"/>
        <v>1</v>
      </c>
      <c r="O33" s="44" t="s">
        <v>25</v>
      </c>
      <c r="P33" s="45">
        <f>SUMIF($D$8:$D$55,$O33,$G$8:$G$55)+SUMIF($F$8:$F$55,$O33,$I$8:$I$55)</f>
        <v>1</v>
      </c>
      <c r="Q33" s="45">
        <f>SUMIF($D$8:$D$55,$O33,$I$8:$I$55)+SUMIF($F$8:$F$55,$O33,$G$8:$G$55)</f>
        <v>5</v>
      </c>
      <c r="R33" s="46">
        <f>P33-Q33</f>
        <v>-4</v>
      </c>
      <c r="S33" s="47">
        <f>SUMIF($D$8:$D$55,$O33,$K$8:$K$55)+SUMIF($F$8:$F$55,$O33,$L$8:$L$55)</f>
        <v>1</v>
      </c>
      <c r="T33" s="94" t="s">
        <v>70</v>
      </c>
      <c r="U33" s="40"/>
      <c r="V33" s="40" t="str">
        <f>O33</f>
        <v>Zwitserland</v>
      </c>
      <c r="W33" s="40" t="s">
        <v>67</v>
      </c>
      <c r="Y33" s="109">
        <f t="shared" si="8"/>
        <v>1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1</v>
      </c>
      <c r="AG33" s="108">
        <f t="shared" si="0"/>
        <v>1</v>
      </c>
      <c r="AH33" s="108">
        <f t="shared" si="1"/>
        <v>0</v>
      </c>
      <c r="AI33" s="108">
        <f t="shared" si="10"/>
        <v>0</v>
      </c>
      <c r="AJ33" s="108">
        <f t="shared" si="2"/>
        <v>0</v>
      </c>
      <c r="AK33" s="108">
        <f t="shared" si="3"/>
        <v>0</v>
      </c>
      <c r="AL33" s="108">
        <f t="shared" si="4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12">
        <v>27</v>
      </c>
      <c r="C34" s="206">
        <v>41811</v>
      </c>
      <c r="D34" s="14" t="s">
        <v>29</v>
      </c>
      <c r="E34" s="15" t="s">
        <v>9</v>
      </c>
      <c r="F34" s="16" t="s">
        <v>33</v>
      </c>
      <c r="G34" s="85">
        <v>2</v>
      </c>
      <c r="H34" s="15" t="s">
        <v>9</v>
      </c>
      <c r="I34" s="90">
        <v>0</v>
      </c>
      <c r="J34" s="17">
        <f t="shared" si="5"/>
        <v>1</v>
      </c>
      <c r="K34" s="11">
        <f t="shared" si="6"/>
        <v>3</v>
      </c>
      <c r="L34" s="11">
        <f t="shared" si="7"/>
        <v>0</v>
      </c>
      <c r="O34" s="48" t="s">
        <v>26</v>
      </c>
      <c r="P34" s="49">
        <f>SUMIF($D$8:$D$55,$O34,$G$8:$G$55)+SUMIF($F$8:$F$55,$O34,$I$8:$I$55)</f>
        <v>4</v>
      </c>
      <c r="Q34" s="49">
        <f>SUMIF($D$8:$D$55,$O34,$I$8:$I$55)+SUMIF($F$8:$F$55,$O34,$G$8:$G$55)</f>
        <v>3</v>
      </c>
      <c r="R34" s="49">
        <f>P34-Q34</f>
        <v>1</v>
      </c>
      <c r="S34" s="50">
        <f>SUMIF($D$8:$D$55,$O34,$K$8:$K$55)+SUMIF($F$8:$F$55,$O34,$L$8:$L$55)</f>
        <v>4</v>
      </c>
      <c r="T34" s="95" t="s">
        <v>68</v>
      </c>
      <c r="U34" s="40"/>
      <c r="V34" s="40" t="str">
        <f>O34</f>
        <v>Ecuador</v>
      </c>
      <c r="W34" s="40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0"/>
        <v>0</v>
      </c>
      <c r="AH34" s="108">
        <f t="shared" si="1"/>
        <v>1</v>
      </c>
      <c r="AI34" s="108">
        <f t="shared" si="10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18">
        <v>28</v>
      </c>
      <c r="C35" s="207">
        <v>41811</v>
      </c>
      <c r="D35" s="20" t="s">
        <v>31</v>
      </c>
      <c r="E35" s="21" t="s">
        <v>9</v>
      </c>
      <c r="F35" s="30" t="s">
        <v>35</v>
      </c>
      <c r="G35" s="86">
        <v>2</v>
      </c>
      <c r="H35" s="21" t="s">
        <v>9</v>
      </c>
      <c r="I35" s="91">
        <v>0</v>
      </c>
      <c r="J35" s="23">
        <f t="shared" si="5"/>
        <v>1</v>
      </c>
      <c r="K35" s="11">
        <f t="shared" si="6"/>
        <v>3</v>
      </c>
      <c r="L35" s="11">
        <f t="shared" si="7"/>
        <v>0</v>
      </c>
      <c r="O35" s="48" t="s">
        <v>27</v>
      </c>
      <c r="P35" s="49">
        <f>SUMIF($D$8:$D$55,$O35,$G$8:$G$55)+SUMIF($F$8:$F$55,$O35,$I$8:$I$55)</f>
        <v>6</v>
      </c>
      <c r="Q35" s="49">
        <f>SUMIF($D$8:$D$55,$O35,$I$8:$I$55)+SUMIF($F$8:$F$55,$O35,$G$8:$G$55)</f>
        <v>2</v>
      </c>
      <c r="R35" s="49">
        <f>P35-Q35</f>
        <v>4</v>
      </c>
      <c r="S35" s="50">
        <f>SUMIF($D$8:$D$55,$O35,$K$8:$K$55)+SUMIF($F$8:$F$55,$O35,$L$8:$L$55)</f>
        <v>9</v>
      </c>
      <c r="T35" s="95" t="s">
        <v>67</v>
      </c>
      <c r="U35" s="40"/>
      <c r="V35" s="40" t="str">
        <f>O35</f>
        <v>Frankrijk</v>
      </c>
      <c r="W35" s="40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0"/>
        <v>1</v>
      </c>
      <c r="AH35" s="108">
        <f t="shared" si="1"/>
        <v>0</v>
      </c>
      <c r="AI35" s="108">
        <f t="shared" si="10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24">
        <v>29</v>
      </c>
      <c r="C36" s="208">
        <v>41811</v>
      </c>
      <c r="D36" s="26" t="s">
        <v>34</v>
      </c>
      <c r="E36" s="27" t="s">
        <v>9</v>
      </c>
      <c r="F36" s="28" t="s">
        <v>30</v>
      </c>
      <c r="G36" s="87">
        <v>0</v>
      </c>
      <c r="H36" s="27" t="s">
        <v>9</v>
      </c>
      <c r="I36" s="92">
        <v>1</v>
      </c>
      <c r="J36" s="29">
        <f t="shared" si="5"/>
        <v>2</v>
      </c>
      <c r="K36" s="11">
        <f t="shared" si="6"/>
        <v>0</v>
      </c>
      <c r="L36" s="11">
        <f t="shared" si="7"/>
        <v>3</v>
      </c>
      <c r="O36" s="51" t="s">
        <v>28</v>
      </c>
      <c r="P36" s="52">
        <f>SUMIF($D$8:$D$55,$O36,$G$8:$G$55)+SUMIF($F$8:$F$55,$O36,$I$8:$I$55)</f>
        <v>3</v>
      </c>
      <c r="Q36" s="52">
        <f>SUMIF($D$8:$D$55,$O36,$I$8:$I$55)+SUMIF($F$8:$F$55,$O36,$G$8:$G$55)</f>
        <v>4</v>
      </c>
      <c r="R36" s="52">
        <f>P36-Q36</f>
        <v>-1</v>
      </c>
      <c r="S36" s="53">
        <f>SUMIF($D$8:$D$55,$O36,$K$8:$K$55)+SUMIF($F$8:$F$55,$O36,$L$8:$L$55)</f>
        <v>2</v>
      </c>
      <c r="T36" s="96" t="s">
        <v>69</v>
      </c>
      <c r="U36" s="40"/>
      <c r="V36" s="40" t="str">
        <f>O36</f>
        <v>Honduras</v>
      </c>
      <c r="W36" s="40" t="s">
        <v>70</v>
      </c>
      <c r="Y36" s="109">
        <f t="shared" si="8"/>
        <v>0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0</v>
      </c>
      <c r="AG36" s="108">
        <f t="shared" si="0"/>
        <v>0</v>
      </c>
      <c r="AH36" s="108">
        <f t="shared" si="1"/>
        <v>0</v>
      </c>
      <c r="AI36" s="108">
        <f t="shared" si="10"/>
        <v>0</v>
      </c>
      <c r="AJ36" s="108">
        <f t="shared" si="2"/>
        <v>0</v>
      </c>
      <c r="AK36" s="108">
        <f t="shared" si="3"/>
        <v>0</v>
      </c>
      <c r="AL36" s="108">
        <f t="shared" si="4"/>
        <v>0</v>
      </c>
      <c r="AM36" s="120">
        <f>AO36</f>
        <v>0</v>
      </c>
      <c r="AN36" s="118" t="s">
        <v>28</v>
      </c>
      <c r="AO36" s="115">
        <f>IF(Uitslag!T36="",0,IF(T36=Uitslag!T36,10,0))</f>
        <v>0</v>
      </c>
    </row>
    <row r="37" spans="2:41" ht="15.75" thickBot="1">
      <c r="B37" s="12">
        <v>30</v>
      </c>
      <c r="C37" s="206">
        <v>41812</v>
      </c>
      <c r="D37" s="14" t="s">
        <v>37</v>
      </c>
      <c r="E37" s="15" t="s">
        <v>9</v>
      </c>
      <c r="F37" s="16" t="s">
        <v>39</v>
      </c>
      <c r="G37" s="85">
        <v>2</v>
      </c>
      <c r="H37" s="15" t="s">
        <v>9</v>
      </c>
      <c r="I37" s="90">
        <v>2</v>
      </c>
      <c r="J37" s="17">
        <f t="shared" si="5"/>
        <v>3</v>
      </c>
      <c r="K37" s="11">
        <f t="shared" si="6"/>
        <v>1</v>
      </c>
      <c r="L37" s="11">
        <f t="shared" si="7"/>
        <v>1</v>
      </c>
      <c r="O37" s="40"/>
      <c r="P37" s="41"/>
      <c r="Q37" s="41"/>
      <c r="R37" s="41"/>
      <c r="S37" s="41"/>
      <c r="T37" s="41"/>
      <c r="U37" s="40"/>
      <c r="V37" s="40"/>
      <c r="W37" s="40"/>
      <c r="Y37" s="109">
        <f t="shared" si="8"/>
        <v>0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0</v>
      </c>
      <c r="AG37" s="108">
        <f t="shared" si="0"/>
        <v>0</v>
      </c>
      <c r="AH37" s="108">
        <f t="shared" si="1"/>
        <v>0</v>
      </c>
      <c r="AI37" s="108">
        <f t="shared" si="10"/>
        <v>0</v>
      </c>
      <c r="AJ37" s="108">
        <f t="shared" si="2"/>
        <v>0</v>
      </c>
      <c r="AK37" s="108">
        <f t="shared" si="3"/>
        <v>0</v>
      </c>
      <c r="AL37" s="108">
        <f t="shared" si="4"/>
        <v>0</v>
      </c>
      <c r="AN37" s="40"/>
      <c r="AO37" s="41"/>
    </row>
    <row r="38" spans="2:41" ht="15.75" thickBot="1">
      <c r="B38" s="18">
        <v>31</v>
      </c>
      <c r="C38" s="207">
        <v>41812</v>
      </c>
      <c r="D38" s="20" t="s">
        <v>40</v>
      </c>
      <c r="E38" s="21" t="s">
        <v>9</v>
      </c>
      <c r="F38" s="30" t="s">
        <v>38</v>
      </c>
      <c r="G38" s="86">
        <v>1</v>
      </c>
      <c r="H38" s="21" t="s">
        <v>9</v>
      </c>
      <c r="I38" s="91">
        <v>0</v>
      </c>
      <c r="J38" s="23">
        <f t="shared" si="5"/>
        <v>1</v>
      </c>
      <c r="K38" s="11">
        <f t="shared" si="6"/>
        <v>3</v>
      </c>
      <c r="L38" s="11">
        <f t="shared" si="7"/>
        <v>0</v>
      </c>
      <c r="O38" s="72" t="s">
        <v>71</v>
      </c>
      <c r="P38" s="73" t="s">
        <v>42</v>
      </c>
      <c r="Q38" s="73" t="s">
        <v>43</v>
      </c>
      <c r="R38" s="74" t="s">
        <v>44</v>
      </c>
      <c r="S38" s="75" t="s">
        <v>45</v>
      </c>
      <c r="T38" s="76" t="s">
        <v>46</v>
      </c>
      <c r="U38" s="40"/>
      <c r="V38" s="40"/>
      <c r="W38" s="40"/>
      <c r="Y38" s="109">
        <f t="shared" si="8"/>
        <v>0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0</v>
      </c>
      <c r="AG38" s="108">
        <f t="shared" si="0"/>
        <v>0</v>
      </c>
      <c r="AH38" s="108">
        <f t="shared" si="1"/>
        <v>0</v>
      </c>
      <c r="AI38" s="108">
        <f t="shared" si="10"/>
        <v>0</v>
      </c>
      <c r="AJ38" s="108">
        <f t="shared" si="2"/>
        <v>0</v>
      </c>
      <c r="AK38" s="108">
        <f t="shared" si="3"/>
        <v>0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24">
        <v>32</v>
      </c>
      <c r="C39" s="208">
        <v>41812</v>
      </c>
      <c r="D39" s="26" t="s">
        <v>36</v>
      </c>
      <c r="E39" s="27" t="s">
        <v>9</v>
      </c>
      <c r="F39" s="28" t="s">
        <v>32</v>
      </c>
      <c r="G39" s="87">
        <v>0</v>
      </c>
      <c r="H39" s="27" t="s">
        <v>9</v>
      </c>
      <c r="I39" s="92">
        <v>2</v>
      </c>
      <c r="J39" s="29">
        <f t="shared" si="5"/>
        <v>2</v>
      </c>
      <c r="K39" s="11">
        <f t="shared" si="6"/>
        <v>0</v>
      </c>
      <c r="L39" s="11">
        <f t="shared" si="7"/>
        <v>3</v>
      </c>
      <c r="O39" s="44" t="s">
        <v>29</v>
      </c>
      <c r="P39" s="45">
        <f>SUMIF($D$8:$D$55,$O39,$G$8:$G$55)+SUMIF($F$8:$F$55,$O39,$I$8:$I$55)</f>
        <v>6</v>
      </c>
      <c r="Q39" s="45">
        <f>SUMIF($D$8:$D$55,$O39,$I$8:$I$55)+SUMIF($F$8:$F$55,$O39,$G$8:$G$55)</f>
        <v>0</v>
      </c>
      <c r="R39" s="46">
        <f>P39-Q39</f>
        <v>6</v>
      </c>
      <c r="S39" s="47">
        <f>SUMIF($D$8:$D$55,$O39,$K$8:$K$55)+SUMIF($F$8:$F$55,$O39,$L$8:$L$55)</f>
        <v>9</v>
      </c>
      <c r="T39" s="94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1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1</v>
      </c>
      <c r="AG39" s="108">
        <f t="shared" si="0"/>
        <v>0</v>
      </c>
      <c r="AH39" s="108">
        <f t="shared" si="1"/>
        <v>1</v>
      </c>
      <c r="AI39" s="108">
        <f t="shared" si="10"/>
        <v>0</v>
      </c>
      <c r="AJ39" s="108">
        <f t="shared" si="2"/>
        <v>0</v>
      </c>
      <c r="AK39" s="108">
        <f t="shared" si="3"/>
        <v>0</v>
      </c>
      <c r="AL39" s="108">
        <f t="shared" si="4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12">
        <v>33</v>
      </c>
      <c r="C40" s="206">
        <v>41813</v>
      </c>
      <c r="D40" s="14" t="s">
        <v>16</v>
      </c>
      <c r="E40" s="15" t="s">
        <v>9</v>
      </c>
      <c r="F40" s="16" t="s">
        <v>13</v>
      </c>
      <c r="G40" s="85">
        <v>0</v>
      </c>
      <c r="H40" s="15" t="s">
        <v>9</v>
      </c>
      <c r="I40" s="90">
        <v>2</v>
      </c>
      <c r="J40" s="17">
        <f t="shared" si="5"/>
        <v>2</v>
      </c>
      <c r="K40" s="11">
        <f t="shared" si="6"/>
        <v>0</v>
      </c>
      <c r="L40" s="11">
        <f t="shared" si="7"/>
        <v>3</v>
      </c>
      <c r="O40" s="48" t="s">
        <v>30</v>
      </c>
      <c r="P40" s="49">
        <f>SUMIF($D$8:$D$55,$O40,$G$8:$G$55)+SUMIF($F$8:$F$55,$O40,$I$8:$I$55)</f>
        <v>1</v>
      </c>
      <c r="Q40" s="49">
        <f>SUMIF($D$8:$D$55,$O40,$I$8:$I$55)+SUMIF($F$8:$F$55,$O40,$G$8:$G$55)</f>
        <v>2</v>
      </c>
      <c r="R40" s="49">
        <f>P40-Q40</f>
        <v>-1</v>
      </c>
      <c r="S40" s="50">
        <f>SUMIF($D$8:$D$55,$O40,$K$8:$K$55)+SUMIF($F$8:$F$55,$O40,$L$8:$L$55)</f>
        <v>4</v>
      </c>
      <c r="T40" s="95" t="s">
        <v>73</v>
      </c>
      <c r="U40" s="40"/>
      <c r="V40" s="40" t="str">
        <f>O40</f>
        <v>Bosnië H.</v>
      </c>
      <c r="W40" s="40" t="s">
        <v>73</v>
      </c>
      <c r="Y40" s="109">
        <f t="shared" si="8"/>
        <v>6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6</v>
      </c>
      <c r="AG40" s="108">
        <f t="shared" si="0"/>
        <v>1</v>
      </c>
      <c r="AH40" s="108">
        <f t="shared" si="1"/>
        <v>0</v>
      </c>
      <c r="AI40" s="108">
        <f t="shared" si="10"/>
        <v>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0</v>
      </c>
      <c r="AN40" s="117" t="s">
        <v>30</v>
      </c>
      <c r="AO40" s="115">
        <f>IF(Uitslag!T40="",0,IF(T40=Uitslag!T40,10,0))</f>
        <v>0</v>
      </c>
    </row>
    <row r="41" spans="2:41" ht="15.75" thickBot="1">
      <c r="B41" s="18">
        <v>34</v>
      </c>
      <c r="C41" s="207">
        <v>41813</v>
      </c>
      <c r="D41" s="32" t="s">
        <v>14</v>
      </c>
      <c r="E41" s="21" t="s">
        <v>9</v>
      </c>
      <c r="F41" s="30" t="s">
        <v>15</v>
      </c>
      <c r="G41" s="86">
        <v>2</v>
      </c>
      <c r="H41" s="21" t="s">
        <v>9</v>
      </c>
      <c r="I41" s="91">
        <v>0</v>
      </c>
      <c r="J41" s="23">
        <f t="shared" si="5"/>
        <v>1</v>
      </c>
      <c r="K41" s="11">
        <f t="shared" si="6"/>
        <v>3</v>
      </c>
      <c r="L41" s="11">
        <f t="shared" si="7"/>
        <v>0</v>
      </c>
      <c r="O41" s="48" t="s">
        <v>33</v>
      </c>
      <c r="P41" s="49">
        <f>SUMIF($D$8:$D$55,$O41,$G$8:$G$55)+SUMIF($F$8:$F$55,$O41,$I$8:$I$55)</f>
        <v>0</v>
      </c>
      <c r="Q41" s="49">
        <f>SUMIF($D$8:$D$55,$O41,$I$8:$I$55)+SUMIF($F$8:$F$55,$O41,$G$8:$G$55)</f>
        <v>2</v>
      </c>
      <c r="R41" s="49">
        <f>P41-Q41</f>
        <v>-2</v>
      </c>
      <c r="S41" s="50">
        <f>SUMIF($D$8:$D$55,$O41,$K$8:$K$55)+SUMIF($F$8:$F$55,$O41,$L$8:$L$55)</f>
        <v>2</v>
      </c>
      <c r="T41" s="95" t="s">
        <v>74</v>
      </c>
      <c r="U41" s="40"/>
      <c r="V41" s="40" t="str">
        <f>O41</f>
        <v>Iran</v>
      </c>
      <c r="W41" s="40" t="s">
        <v>74</v>
      </c>
      <c r="Y41" s="109">
        <f t="shared" si="8"/>
        <v>10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10</v>
      </c>
      <c r="AG41" s="108">
        <f t="shared" si="0"/>
        <v>1</v>
      </c>
      <c r="AH41" s="108">
        <f t="shared" si="1"/>
        <v>1</v>
      </c>
      <c r="AI41" s="108">
        <f t="shared" si="10"/>
        <v>10</v>
      </c>
      <c r="AJ41" s="108">
        <f t="shared" si="2"/>
        <v>5</v>
      </c>
      <c r="AK41" s="108">
        <f t="shared" si="3"/>
        <v>0</v>
      </c>
      <c r="AL41" s="108">
        <f t="shared" si="4"/>
        <v>0</v>
      </c>
      <c r="AM41" s="120">
        <f>AO41</f>
        <v>0</v>
      </c>
      <c r="AN41" s="117" t="s">
        <v>33</v>
      </c>
      <c r="AO41" s="115">
        <f>IF(Uitslag!T41="",0,IF(T41=Uitslag!T41,10,0))</f>
        <v>0</v>
      </c>
    </row>
    <row r="42" spans="2:41" ht="15.75" thickBot="1">
      <c r="B42" s="18">
        <v>35</v>
      </c>
      <c r="C42" s="207">
        <v>41813</v>
      </c>
      <c r="D42" s="20" t="s">
        <v>12</v>
      </c>
      <c r="E42" s="21" t="s">
        <v>9</v>
      </c>
      <c r="F42" s="30" t="s">
        <v>8</v>
      </c>
      <c r="G42" s="86">
        <v>1</v>
      </c>
      <c r="H42" s="21" t="s">
        <v>9</v>
      </c>
      <c r="I42" s="91">
        <v>2</v>
      </c>
      <c r="J42" s="23">
        <f t="shared" si="5"/>
        <v>2</v>
      </c>
      <c r="K42" s="11">
        <f t="shared" si="6"/>
        <v>0</v>
      </c>
      <c r="L42" s="11">
        <f t="shared" si="7"/>
        <v>3</v>
      </c>
      <c r="O42" s="51" t="s">
        <v>34</v>
      </c>
      <c r="P42" s="52">
        <f>SUMIF($D$8:$D$55,$O42,$G$8:$G$55)+SUMIF($F$8:$F$55,$O42,$I$8:$I$55)</f>
        <v>0</v>
      </c>
      <c r="Q42" s="52">
        <f>SUMIF($D$8:$D$55,$O42,$I$8:$I$55)+SUMIF($F$8:$F$55,$O42,$G$8:$G$55)</f>
        <v>3</v>
      </c>
      <c r="R42" s="52">
        <f>P42-Q42</f>
        <v>-3</v>
      </c>
      <c r="S42" s="53">
        <f>SUMIF($D$8:$D$55,$O42,$K$8:$K$55)+SUMIF($F$8:$F$55,$O42,$L$8:$L$55)</f>
        <v>1</v>
      </c>
      <c r="T42" s="96" t="s">
        <v>75</v>
      </c>
      <c r="U42" s="40"/>
      <c r="V42" s="40" t="str">
        <f>O42</f>
        <v>Nigeria</v>
      </c>
      <c r="W42" s="40" t="s">
        <v>75</v>
      </c>
      <c r="Y42" s="109">
        <f t="shared" si="8"/>
        <v>6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6</v>
      </c>
      <c r="AG42" s="108">
        <f t="shared" si="0"/>
        <v>1</v>
      </c>
      <c r="AH42" s="108">
        <f t="shared" si="1"/>
        <v>0</v>
      </c>
      <c r="AI42" s="108">
        <f t="shared" si="10"/>
        <v>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0</v>
      </c>
      <c r="AN42" s="118" t="s">
        <v>34</v>
      </c>
      <c r="AO42" s="115">
        <f>IF(Uitslag!T42="",0,IF(T42=Uitslag!T42,10,0))</f>
        <v>0</v>
      </c>
    </row>
    <row r="43" spans="2:41" ht="15.75" thickBot="1">
      <c r="B43" s="24">
        <v>36</v>
      </c>
      <c r="C43" s="208">
        <v>41813</v>
      </c>
      <c r="D43" s="26" t="s">
        <v>10</v>
      </c>
      <c r="E43" s="27" t="s">
        <v>9</v>
      </c>
      <c r="F43" s="28" t="s">
        <v>11</v>
      </c>
      <c r="G43" s="87">
        <v>1</v>
      </c>
      <c r="H43" s="27" t="s">
        <v>9</v>
      </c>
      <c r="I43" s="92">
        <v>1</v>
      </c>
      <c r="J43" s="29">
        <f t="shared" si="5"/>
        <v>3</v>
      </c>
      <c r="K43" s="11">
        <f t="shared" si="6"/>
        <v>1</v>
      </c>
      <c r="L43" s="11">
        <f t="shared" si="7"/>
        <v>1</v>
      </c>
      <c r="O43" s="40"/>
      <c r="P43" s="41"/>
      <c r="Q43" s="41"/>
      <c r="R43" s="41"/>
      <c r="S43" s="41"/>
      <c r="T43" s="41"/>
      <c r="U43" s="40"/>
      <c r="V43" s="40"/>
      <c r="W43" s="40"/>
      <c r="Y43" s="109">
        <f t="shared" si="8"/>
        <v>1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1</v>
      </c>
      <c r="AG43" s="108">
        <f t="shared" si="0"/>
        <v>1</v>
      </c>
      <c r="AH43" s="108">
        <f t="shared" si="1"/>
        <v>0</v>
      </c>
      <c r="AI43" s="108">
        <f t="shared" si="10"/>
        <v>0</v>
      </c>
      <c r="AJ43" s="108">
        <f t="shared" si="2"/>
        <v>0</v>
      </c>
      <c r="AK43" s="108">
        <f t="shared" si="3"/>
        <v>0</v>
      </c>
      <c r="AL43" s="108">
        <f t="shared" si="4"/>
        <v>0</v>
      </c>
      <c r="AN43" s="40"/>
      <c r="AO43" s="41"/>
    </row>
    <row r="44" spans="2:41" ht="15.75" thickBot="1">
      <c r="B44" s="12">
        <v>37</v>
      </c>
      <c r="C44" s="206">
        <v>41814</v>
      </c>
      <c r="D44" s="14" t="s">
        <v>22</v>
      </c>
      <c r="E44" s="15" t="s">
        <v>9</v>
      </c>
      <c r="F44" s="16" t="s">
        <v>19</v>
      </c>
      <c r="G44" s="85">
        <v>1</v>
      </c>
      <c r="H44" s="15" t="s">
        <v>9</v>
      </c>
      <c r="I44" s="90">
        <v>1</v>
      </c>
      <c r="J44" s="17">
        <f t="shared" si="5"/>
        <v>3</v>
      </c>
      <c r="K44" s="11">
        <f t="shared" si="6"/>
        <v>1</v>
      </c>
      <c r="L44" s="11">
        <f t="shared" si="7"/>
        <v>1</v>
      </c>
      <c r="O44" s="72" t="s">
        <v>76</v>
      </c>
      <c r="P44" s="73" t="s">
        <v>42</v>
      </c>
      <c r="Q44" s="73" t="s">
        <v>43</v>
      </c>
      <c r="R44" s="74" t="s">
        <v>44</v>
      </c>
      <c r="S44" s="75" t="s">
        <v>45</v>
      </c>
      <c r="T44" s="76" t="s">
        <v>46</v>
      </c>
      <c r="U44" s="40"/>
      <c r="V44" s="40"/>
      <c r="W44" s="40"/>
      <c r="Y44" s="109">
        <f t="shared" si="8"/>
        <v>1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1</v>
      </c>
      <c r="AG44" s="108">
        <f t="shared" si="0"/>
        <v>0</v>
      </c>
      <c r="AH44" s="108">
        <f t="shared" si="1"/>
        <v>1</v>
      </c>
      <c r="AI44" s="108">
        <f t="shared" si="10"/>
        <v>0</v>
      </c>
      <c r="AJ44" s="108">
        <f t="shared" si="2"/>
        <v>0</v>
      </c>
      <c r="AK44" s="108">
        <f t="shared" si="3"/>
        <v>0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18">
        <v>38</v>
      </c>
      <c r="C45" s="207">
        <v>41814</v>
      </c>
      <c r="D45" s="20" t="s">
        <v>20</v>
      </c>
      <c r="E45" s="21" t="s">
        <v>9</v>
      </c>
      <c r="F45" s="30" t="s">
        <v>21</v>
      </c>
      <c r="G45" s="86">
        <v>0</v>
      </c>
      <c r="H45" s="21" t="s">
        <v>9</v>
      </c>
      <c r="I45" s="91">
        <v>2</v>
      </c>
      <c r="J45" s="23">
        <f t="shared" si="5"/>
        <v>2</v>
      </c>
      <c r="K45" s="11">
        <f t="shared" si="6"/>
        <v>0</v>
      </c>
      <c r="L45" s="11">
        <f t="shared" si="7"/>
        <v>3</v>
      </c>
      <c r="O45" s="44" t="s">
        <v>31</v>
      </c>
      <c r="P45" s="45">
        <f>SUMIF($D$8:$D$55,$O45,$G$8:$G$55)+SUMIF($F$8:$F$55,$O45,$I$8:$I$55)</f>
        <v>6</v>
      </c>
      <c r="Q45" s="45">
        <f>SUMIF($D$8:$D$55,$O45,$I$8:$I$55)+SUMIF($F$8:$F$55,$O45,$G$8:$G$55)</f>
        <v>0</v>
      </c>
      <c r="R45" s="46">
        <f>P45-Q45</f>
        <v>6</v>
      </c>
      <c r="S45" s="47">
        <f>SUMIF($D$8:$D$55,$O45,$K$8:$K$55)+SUMIF($F$8:$F$55,$O45,$L$8:$L$55)</f>
        <v>9</v>
      </c>
      <c r="T45" s="94" t="s">
        <v>77</v>
      </c>
      <c r="U45" s="40"/>
      <c r="V45" s="40" t="str">
        <f>O45</f>
        <v>Duitsland</v>
      </c>
      <c r="W45" s="40" t="s">
        <v>77</v>
      </c>
      <c r="Y45" s="109">
        <f t="shared" si="8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1</v>
      </c>
      <c r="AG45" s="108">
        <f t="shared" si="0"/>
        <v>1</v>
      </c>
      <c r="AH45" s="108">
        <f t="shared" si="1"/>
        <v>0</v>
      </c>
      <c r="AI45" s="108">
        <f t="shared" si="10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18">
        <v>39</v>
      </c>
      <c r="C46" s="207">
        <v>41814</v>
      </c>
      <c r="D46" s="20" t="s">
        <v>24</v>
      </c>
      <c r="E46" s="21" t="s">
        <v>9</v>
      </c>
      <c r="F46" s="30" t="s">
        <v>17</v>
      </c>
      <c r="G46" s="86">
        <v>1</v>
      </c>
      <c r="H46" s="21" t="s">
        <v>9</v>
      </c>
      <c r="I46" s="91">
        <v>2</v>
      </c>
      <c r="J46" s="23">
        <f t="shared" si="5"/>
        <v>2</v>
      </c>
      <c r="K46" s="11">
        <f t="shared" si="6"/>
        <v>0</v>
      </c>
      <c r="L46" s="11">
        <f t="shared" si="7"/>
        <v>3</v>
      </c>
      <c r="O46" s="48" t="s">
        <v>32</v>
      </c>
      <c r="P46" s="49">
        <f>SUMIF($D$8:$D$55,$O46,$G$8:$G$55)+SUMIF($F$8:$F$55,$O46,$I$8:$I$55)</f>
        <v>4</v>
      </c>
      <c r="Q46" s="49">
        <f>SUMIF($D$8:$D$55,$O46,$I$8:$I$55)+SUMIF($F$8:$F$55,$O46,$G$8:$G$55)</f>
        <v>2</v>
      </c>
      <c r="R46" s="49">
        <f>P46-Q46</f>
        <v>2</v>
      </c>
      <c r="S46" s="50">
        <f>SUMIF($D$8:$D$55,$O46,$K$8:$K$55)+SUMIF($F$8:$F$55,$O46,$L$8:$L$55)</f>
        <v>6</v>
      </c>
      <c r="T46" s="95" t="s">
        <v>78</v>
      </c>
      <c r="U46" s="40"/>
      <c r="V46" s="40" t="str">
        <f>O46</f>
        <v>Portugal</v>
      </c>
      <c r="W46" s="40" t="s">
        <v>78</v>
      </c>
      <c r="Y46" s="109">
        <f t="shared" si="8"/>
        <v>6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6</v>
      </c>
      <c r="AG46" s="108">
        <f t="shared" si="0"/>
        <v>1</v>
      </c>
      <c r="AH46" s="108">
        <f t="shared" si="1"/>
        <v>0</v>
      </c>
      <c r="AI46" s="108">
        <f t="shared" si="10"/>
        <v>0</v>
      </c>
      <c r="AJ46" s="108">
        <f t="shared" si="2"/>
        <v>0</v>
      </c>
      <c r="AK46" s="108">
        <f t="shared" si="3"/>
        <v>5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24">
        <v>40</v>
      </c>
      <c r="C47" s="208">
        <v>41814</v>
      </c>
      <c r="D47" s="26" t="s">
        <v>18</v>
      </c>
      <c r="E47" s="27" t="s">
        <v>9</v>
      </c>
      <c r="F47" s="28" t="s">
        <v>23</v>
      </c>
      <c r="G47" s="87">
        <v>1</v>
      </c>
      <c r="H47" s="27" t="s">
        <v>9</v>
      </c>
      <c r="I47" s="92">
        <v>1</v>
      </c>
      <c r="J47" s="29">
        <f t="shared" si="5"/>
        <v>3</v>
      </c>
      <c r="K47" s="11">
        <f t="shared" si="6"/>
        <v>1</v>
      </c>
      <c r="L47" s="11">
        <f t="shared" si="7"/>
        <v>1</v>
      </c>
      <c r="O47" s="48" t="s">
        <v>35</v>
      </c>
      <c r="P47" s="49">
        <f>SUMIF($D$8:$D$55,$O47,$G$8:$G$55)+SUMIF($F$8:$F$55,$O47,$I$8:$I$55)</f>
        <v>1</v>
      </c>
      <c r="Q47" s="49">
        <f>SUMIF($D$8:$D$55,$O47,$I$8:$I$55)+SUMIF($F$8:$F$55,$O47,$G$8:$G$55)</f>
        <v>5</v>
      </c>
      <c r="R47" s="49">
        <f>P47-Q47</f>
        <v>-4</v>
      </c>
      <c r="S47" s="50">
        <f>SUMIF($D$8:$D$55,$O47,$K$8:$K$55)+SUMIF($F$8:$F$55,$O47,$L$8:$L$55)</f>
        <v>1</v>
      </c>
      <c r="T47" s="95" t="s">
        <v>80</v>
      </c>
      <c r="U47" s="40"/>
      <c r="V47" s="40" t="str">
        <f>O47</f>
        <v>Ghana</v>
      </c>
      <c r="W47" s="40" t="s">
        <v>79</v>
      </c>
      <c r="Y47" s="109">
        <f t="shared" si="8"/>
        <v>1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1</v>
      </c>
      <c r="AG47" s="108">
        <f t="shared" si="0"/>
        <v>0</v>
      </c>
      <c r="AH47" s="108">
        <f t="shared" si="1"/>
        <v>1</v>
      </c>
      <c r="AI47" s="108">
        <f t="shared" si="10"/>
        <v>0</v>
      </c>
      <c r="AJ47" s="108">
        <f t="shared" si="2"/>
        <v>0</v>
      </c>
      <c r="AK47" s="108">
        <f t="shared" si="3"/>
        <v>0</v>
      </c>
      <c r="AL47" s="108">
        <f t="shared" si="4"/>
        <v>0</v>
      </c>
      <c r="AM47" s="120">
        <f>AO47</f>
        <v>10</v>
      </c>
      <c r="AN47" s="117" t="s">
        <v>35</v>
      </c>
      <c r="AO47" s="115">
        <f>IF(Uitslag!T47="",0,IF(T47=Uitslag!T47,10,0))</f>
        <v>10</v>
      </c>
    </row>
    <row r="48" spans="2:41" ht="15.75" thickBot="1">
      <c r="B48" s="12">
        <v>41</v>
      </c>
      <c r="C48" s="206">
        <v>41815</v>
      </c>
      <c r="D48" s="14" t="s">
        <v>34</v>
      </c>
      <c r="E48" s="15" t="s">
        <v>9</v>
      </c>
      <c r="F48" s="16" t="s">
        <v>29</v>
      </c>
      <c r="G48" s="85">
        <v>0</v>
      </c>
      <c r="H48" s="15" t="s">
        <v>9</v>
      </c>
      <c r="I48" s="90">
        <v>2</v>
      </c>
      <c r="J48" s="17">
        <f t="shared" si="5"/>
        <v>2</v>
      </c>
      <c r="K48" s="11">
        <f t="shared" si="6"/>
        <v>0</v>
      </c>
      <c r="L48" s="11">
        <f t="shared" si="7"/>
        <v>3</v>
      </c>
      <c r="O48" s="51" t="s">
        <v>36</v>
      </c>
      <c r="P48" s="52">
        <f>SUMIF($D$8:$D$55,$O48,$G$8:$G$55)+SUMIF($F$8:$F$55,$O48,$I$8:$I$55)</f>
        <v>1</v>
      </c>
      <c r="Q48" s="52">
        <f>SUMIF($D$8:$D$55,$O48,$I$8:$I$55)+SUMIF($F$8:$F$55,$O48,$G$8:$G$55)</f>
        <v>5</v>
      </c>
      <c r="R48" s="52">
        <f>P48-Q48</f>
        <v>-4</v>
      </c>
      <c r="S48" s="53">
        <f>SUMIF($D$8:$D$55,$O48,$K$8:$K$55)+SUMIF($F$8:$F$55,$O48,$L$8:$L$55)</f>
        <v>1</v>
      </c>
      <c r="T48" s="96" t="s">
        <v>79</v>
      </c>
      <c r="U48" s="40"/>
      <c r="V48" s="40" t="str">
        <f>O48</f>
        <v>Verenigde Staten</v>
      </c>
      <c r="W48" s="40" t="s">
        <v>80</v>
      </c>
      <c r="Y48" s="109">
        <f t="shared" si="8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5</v>
      </c>
      <c r="AG48" s="108">
        <f t="shared" si="0"/>
        <v>0</v>
      </c>
      <c r="AH48" s="108">
        <f t="shared" si="1"/>
        <v>0</v>
      </c>
      <c r="AI48" s="108">
        <f t="shared" si="10"/>
        <v>0</v>
      </c>
      <c r="AJ48" s="108">
        <f t="shared" si="2"/>
        <v>0</v>
      </c>
      <c r="AK48" s="108">
        <f t="shared" si="3"/>
        <v>5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18">
        <v>42</v>
      </c>
      <c r="C49" s="207">
        <v>41815</v>
      </c>
      <c r="D49" s="20" t="s">
        <v>30</v>
      </c>
      <c r="E49" s="21" t="s">
        <v>9</v>
      </c>
      <c r="F49" s="30" t="s">
        <v>33</v>
      </c>
      <c r="G49" s="86">
        <v>0</v>
      </c>
      <c r="H49" s="21" t="s">
        <v>9</v>
      </c>
      <c r="I49" s="91">
        <v>0</v>
      </c>
      <c r="J49" s="23">
        <f t="shared" si="5"/>
        <v>3</v>
      </c>
      <c r="K49" s="11">
        <f t="shared" si="6"/>
        <v>1</v>
      </c>
      <c r="L49" s="11">
        <f t="shared" si="7"/>
        <v>1</v>
      </c>
      <c r="O49" s="40"/>
      <c r="P49" s="41"/>
      <c r="Q49" s="41"/>
      <c r="R49" s="41"/>
      <c r="S49" s="41"/>
      <c r="T49" s="41"/>
      <c r="U49" s="40"/>
      <c r="V49" s="40"/>
      <c r="W49" s="40"/>
      <c r="Y49" s="109">
        <f t="shared" si="8"/>
        <v>0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0</v>
      </c>
      <c r="AG49" s="108">
        <f t="shared" si="0"/>
        <v>0</v>
      </c>
      <c r="AH49" s="108">
        <f t="shared" si="1"/>
        <v>0</v>
      </c>
      <c r="AI49" s="108">
        <f t="shared" si="10"/>
        <v>0</v>
      </c>
      <c r="AJ49" s="108">
        <f t="shared" si="2"/>
        <v>0</v>
      </c>
      <c r="AK49" s="108">
        <f t="shared" si="3"/>
        <v>0</v>
      </c>
      <c r="AL49" s="108">
        <f t="shared" si="4"/>
        <v>0</v>
      </c>
      <c r="AN49" s="40"/>
      <c r="AO49" s="41"/>
    </row>
    <row r="50" spans="2:54" ht="15.75" thickBot="1">
      <c r="B50" s="18">
        <v>43</v>
      </c>
      <c r="C50" s="207">
        <v>41815</v>
      </c>
      <c r="D50" s="20" t="s">
        <v>28</v>
      </c>
      <c r="E50" s="21" t="s">
        <v>9</v>
      </c>
      <c r="F50" s="30" t="s">
        <v>25</v>
      </c>
      <c r="G50" s="86">
        <v>1</v>
      </c>
      <c r="H50" s="21" t="s">
        <v>9</v>
      </c>
      <c r="I50" s="91">
        <v>1</v>
      </c>
      <c r="J50" s="23">
        <f t="shared" si="5"/>
        <v>3</v>
      </c>
      <c r="K50" s="11">
        <f t="shared" si="6"/>
        <v>1</v>
      </c>
      <c r="L50" s="11">
        <f t="shared" si="7"/>
        <v>1</v>
      </c>
      <c r="O50" s="72" t="s">
        <v>81</v>
      </c>
      <c r="P50" s="73" t="s">
        <v>42</v>
      </c>
      <c r="Q50" s="73" t="s">
        <v>43</v>
      </c>
      <c r="R50" s="74" t="s">
        <v>44</v>
      </c>
      <c r="S50" s="75" t="s">
        <v>45</v>
      </c>
      <c r="T50" s="76" t="s">
        <v>46</v>
      </c>
      <c r="U50" s="40"/>
      <c r="V50" s="40"/>
      <c r="W50" s="40"/>
      <c r="Y50" s="109">
        <f t="shared" si="8"/>
        <v>0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0</v>
      </c>
      <c r="AG50" s="108">
        <f t="shared" si="0"/>
        <v>0</v>
      </c>
      <c r="AH50" s="108">
        <f t="shared" si="1"/>
        <v>0</v>
      </c>
      <c r="AI50" s="108">
        <f t="shared" si="10"/>
        <v>0</v>
      </c>
      <c r="AJ50" s="108">
        <f t="shared" si="2"/>
        <v>0</v>
      </c>
      <c r="AK50" s="108">
        <f t="shared" si="3"/>
        <v>0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24">
        <v>44</v>
      </c>
      <c r="C51" s="208">
        <v>41815</v>
      </c>
      <c r="D51" s="26" t="s">
        <v>26</v>
      </c>
      <c r="E51" s="27" t="s">
        <v>9</v>
      </c>
      <c r="F51" s="28" t="s">
        <v>27</v>
      </c>
      <c r="G51" s="87">
        <v>1</v>
      </c>
      <c r="H51" s="27" t="s">
        <v>9</v>
      </c>
      <c r="I51" s="92">
        <v>2</v>
      </c>
      <c r="J51" s="29">
        <f t="shared" si="5"/>
        <v>2</v>
      </c>
      <c r="K51" s="11">
        <f t="shared" si="6"/>
        <v>0</v>
      </c>
      <c r="L51" s="11">
        <f>IF(I51="","",IF($G51&lt;$I51,3,IF($G51=$I51,1,0)))</f>
        <v>3</v>
      </c>
      <c r="O51" s="44" t="s">
        <v>37</v>
      </c>
      <c r="P51" s="45">
        <f>SUMIF($D$8:$D$55,$O51,$G$8:$G$55)+SUMIF($F$8:$F$55,$O51,$I$8:$I$55)</f>
        <v>6</v>
      </c>
      <c r="Q51" s="45">
        <f>SUMIF($D$8:$D$55,$O51,$I$8:$I$55)+SUMIF($F$8:$F$55,$O51,$G$8:$G$55)</f>
        <v>4</v>
      </c>
      <c r="R51" s="46">
        <f>P51-Q51</f>
        <v>2</v>
      </c>
      <c r="S51" s="47">
        <f>SUMIF($D$8:$D$55,$O51,$K$8:$K$55)+SUMIF($F$8:$F$55,$O51,$L$8:$L$55)</f>
        <v>7</v>
      </c>
      <c r="T51" s="94" t="s">
        <v>82</v>
      </c>
      <c r="U51" s="40"/>
      <c r="V51" s="40" t="str">
        <f>O51</f>
        <v>België</v>
      </c>
      <c r="W51" s="40" t="s">
        <v>82</v>
      </c>
      <c r="Y51" s="109">
        <f t="shared" si="8"/>
        <v>0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0</v>
      </c>
      <c r="AG51" s="108">
        <f t="shared" si="0"/>
        <v>0</v>
      </c>
      <c r="AH51" s="108">
        <f t="shared" si="1"/>
        <v>0</v>
      </c>
      <c r="AI51" s="108">
        <f t="shared" si="10"/>
        <v>0</v>
      </c>
      <c r="AJ51" s="108">
        <f t="shared" si="2"/>
        <v>0</v>
      </c>
      <c r="AK51" s="108">
        <f t="shared" si="3"/>
        <v>0</v>
      </c>
      <c r="AL51" s="108">
        <f t="shared" si="4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18">
        <v>45</v>
      </c>
      <c r="C52" s="207">
        <v>41816</v>
      </c>
      <c r="D52" s="20" t="s">
        <v>36</v>
      </c>
      <c r="E52" s="21" t="s">
        <v>9</v>
      </c>
      <c r="F52" s="30" t="s">
        <v>31</v>
      </c>
      <c r="G52" s="86">
        <v>0</v>
      </c>
      <c r="H52" s="21" t="s">
        <v>9</v>
      </c>
      <c r="I52" s="91">
        <v>2</v>
      </c>
      <c r="J52" s="17">
        <f t="shared" si="5"/>
        <v>2</v>
      </c>
      <c r="K52" s="11">
        <f t="shared" si="6"/>
        <v>0</v>
      </c>
      <c r="L52" s="11">
        <f t="shared" si="7"/>
        <v>3</v>
      </c>
      <c r="O52" s="48" t="s">
        <v>38</v>
      </c>
      <c r="P52" s="49">
        <f>SUMIF($D$8:$D$55,$O52,$G$8:$G$55)+SUMIF($F$8:$F$55,$O52,$I$8:$I$55)</f>
        <v>2</v>
      </c>
      <c r="Q52" s="49">
        <f>SUMIF($D$8:$D$55,$O52,$I$8:$I$55)+SUMIF($F$8:$F$55,$O52,$G$8:$G$55)</f>
        <v>5</v>
      </c>
      <c r="R52" s="49">
        <f>P52-Q52</f>
        <v>-3</v>
      </c>
      <c r="S52" s="50">
        <f>SUMIF($D$8:$D$55,$O52,$K$8:$K$55)+SUMIF($F$8:$F$55,$O52,$L$8:$L$55)</f>
        <v>0</v>
      </c>
      <c r="T52" s="95" t="s">
        <v>85</v>
      </c>
      <c r="U52" s="40"/>
      <c r="V52" s="40" t="str">
        <f>O52</f>
        <v>Algerije</v>
      </c>
      <c r="W52" s="40" t="s">
        <v>83</v>
      </c>
      <c r="Y52" s="109">
        <f t="shared" si="8"/>
        <v>6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6</v>
      </c>
      <c r="AG52" s="108">
        <f t="shared" si="0"/>
        <v>1</v>
      </c>
      <c r="AH52" s="108">
        <f t="shared" si="1"/>
        <v>0</v>
      </c>
      <c r="AI52" s="108">
        <f t="shared" si="10"/>
        <v>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18">
        <v>46</v>
      </c>
      <c r="C53" s="207">
        <v>41816</v>
      </c>
      <c r="D53" s="20" t="s">
        <v>32</v>
      </c>
      <c r="E53" s="21" t="s">
        <v>9</v>
      </c>
      <c r="F53" s="30" t="s">
        <v>35</v>
      </c>
      <c r="G53" s="86">
        <v>2</v>
      </c>
      <c r="H53" s="21" t="s">
        <v>9</v>
      </c>
      <c r="I53" s="91">
        <v>0</v>
      </c>
      <c r="J53" s="23">
        <f t="shared" si="5"/>
        <v>1</v>
      </c>
      <c r="K53" s="11">
        <f t="shared" si="6"/>
        <v>3</v>
      </c>
      <c r="L53" s="11">
        <f t="shared" si="7"/>
        <v>0</v>
      </c>
      <c r="O53" s="48" t="s">
        <v>39</v>
      </c>
      <c r="P53" s="49">
        <f>SUMIF($D$8:$D$55,$O53,$G$8:$G$55)+SUMIF($F$8:$F$55,$O53,$I$8:$I$55)</f>
        <v>6</v>
      </c>
      <c r="Q53" s="49">
        <f>SUMIF($D$8:$D$55,$O53,$I$8:$I$55)+SUMIF($F$8:$F$55,$O53,$G$8:$G$55)</f>
        <v>4</v>
      </c>
      <c r="R53" s="49">
        <f>P53-Q53</f>
        <v>2</v>
      </c>
      <c r="S53" s="50">
        <f>SUMIF($D$8:$D$55,$O53,$K$8:$K$55)+SUMIF($F$8:$F$55,$O53,$L$8:$L$55)</f>
        <v>7</v>
      </c>
      <c r="T53" s="95" t="s">
        <v>83</v>
      </c>
      <c r="U53" s="40"/>
      <c r="V53" s="40" t="str">
        <f>O53</f>
        <v>Rusland</v>
      </c>
      <c r="W53" s="40" t="s">
        <v>84</v>
      </c>
      <c r="Y53" s="109">
        <f t="shared" si="8"/>
        <v>6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6</v>
      </c>
      <c r="AG53" s="108">
        <f t="shared" si="0"/>
        <v>1</v>
      </c>
      <c r="AH53" s="108">
        <f t="shared" si="1"/>
        <v>0</v>
      </c>
      <c r="AI53" s="108">
        <f t="shared" si="10"/>
        <v>0</v>
      </c>
      <c r="AJ53" s="108">
        <f t="shared" si="2"/>
        <v>5</v>
      </c>
      <c r="AK53" s="108">
        <f t="shared" si="3"/>
        <v>0</v>
      </c>
      <c r="AL53" s="108">
        <f t="shared" si="4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18">
        <v>47</v>
      </c>
      <c r="C54" s="207">
        <v>41816</v>
      </c>
      <c r="D54" s="20" t="s">
        <v>40</v>
      </c>
      <c r="E54" s="21" t="s">
        <v>9</v>
      </c>
      <c r="F54" s="30" t="s">
        <v>37</v>
      </c>
      <c r="G54" s="86">
        <v>1</v>
      </c>
      <c r="H54" s="21" t="s">
        <v>9</v>
      </c>
      <c r="I54" s="91">
        <v>2</v>
      </c>
      <c r="J54" s="23">
        <f t="shared" si="5"/>
        <v>2</v>
      </c>
      <c r="K54" s="11">
        <f t="shared" si="6"/>
        <v>0</v>
      </c>
      <c r="L54" s="11">
        <f t="shared" si="7"/>
        <v>3</v>
      </c>
      <c r="O54" s="51" t="s">
        <v>40</v>
      </c>
      <c r="P54" s="52">
        <f>SUMIF($D$8:$D$55,$O54,$G$8:$G$55)+SUMIF($F$8:$F$55,$O54,$I$8:$I$55)</f>
        <v>3</v>
      </c>
      <c r="Q54" s="52">
        <f>SUMIF($D$8:$D$55,$O54,$I$8:$I$55)+SUMIF($F$8:$F$55,$O54,$G$8:$G$55)</f>
        <v>4</v>
      </c>
      <c r="R54" s="52">
        <f>P54-Q54</f>
        <v>-1</v>
      </c>
      <c r="S54" s="53">
        <f>SUMIF($D$8:$D$55,$O54,$K$8:$K$55)+SUMIF($F$8:$F$55,$O54,$L$8:$L$55)</f>
        <v>3</v>
      </c>
      <c r="T54" s="96" t="s">
        <v>84</v>
      </c>
      <c r="U54" s="40"/>
      <c r="V54" s="40" t="str">
        <f>O54</f>
        <v>Zuid Korea</v>
      </c>
      <c r="W54" s="40" t="s">
        <v>85</v>
      </c>
      <c r="Y54" s="109">
        <f t="shared" si="8"/>
        <v>5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5</v>
      </c>
      <c r="AG54" s="108">
        <f t="shared" si="0"/>
        <v>0</v>
      </c>
      <c r="AH54" s="108">
        <f t="shared" si="1"/>
        <v>0</v>
      </c>
      <c r="AI54" s="108">
        <f t="shared" si="10"/>
        <v>0</v>
      </c>
      <c r="AJ54" s="108">
        <f t="shared" si="2"/>
        <v>0</v>
      </c>
      <c r="AK54" s="108">
        <f t="shared" si="3"/>
        <v>5</v>
      </c>
      <c r="AL54" s="108">
        <f t="shared" si="4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3">
        <v>48</v>
      </c>
      <c r="C55" s="209">
        <v>41816</v>
      </c>
      <c r="D55" s="35" t="s">
        <v>38</v>
      </c>
      <c r="E55" s="36" t="s">
        <v>9</v>
      </c>
      <c r="F55" s="37" t="s">
        <v>39</v>
      </c>
      <c r="G55" s="88">
        <v>1</v>
      </c>
      <c r="H55" s="36" t="s">
        <v>9</v>
      </c>
      <c r="I55" s="93">
        <v>2</v>
      </c>
      <c r="J55" s="38">
        <f t="shared" si="5"/>
        <v>2</v>
      </c>
      <c r="K55" s="11">
        <f t="shared" si="6"/>
        <v>0</v>
      </c>
      <c r="L55" s="11">
        <f t="shared" si="7"/>
        <v>3</v>
      </c>
      <c r="O55" s="40"/>
      <c r="P55" s="41"/>
      <c r="Q55" s="41"/>
      <c r="R55" s="41"/>
      <c r="S55" s="41"/>
      <c r="T55" s="41"/>
      <c r="U55" s="40"/>
      <c r="V55" s="40"/>
      <c r="W55" s="40"/>
      <c r="Y55" s="109">
        <f t="shared" si="8"/>
        <v>1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</v>
      </c>
      <c r="AG55" s="108">
        <f t="shared" si="0"/>
        <v>1</v>
      </c>
      <c r="AH55" s="108">
        <f t="shared" si="1"/>
        <v>0</v>
      </c>
      <c r="AI55" s="108">
        <f t="shared" si="10"/>
        <v>0</v>
      </c>
      <c r="AJ55" s="108">
        <f t="shared" si="2"/>
        <v>0</v>
      </c>
      <c r="AK55" s="108">
        <f t="shared" si="3"/>
        <v>0</v>
      </c>
      <c r="AL55" s="108">
        <f t="shared" si="4"/>
        <v>0</v>
      </c>
    </row>
    <row r="56" spans="2:54" ht="15.75" thickBot="1">
      <c r="B56" s="1"/>
      <c r="C56" s="210"/>
      <c r="D56" s="40"/>
      <c r="E56" s="1"/>
      <c r="F56" s="40"/>
      <c r="G56" s="1"/>
      <c r="H56" s="1"/>
      <c r="I56" s="1"/>
      <c r="J56" s="1"/>
      <c r="K56" s="1"/>
      <c r="L56" s="1"/>
      <c r="M56" s="1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195"/>
      <c r="K57" s="1"/>
      <c r="L57" s="1"/>
      <c r="M57" s="1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78" t="s">
        <v>1</v>
      </c>
      <c r="C58" s="122" t="s">
        <v>2</v>
      </c>
      <c r="D58" s="187" t="s">
        <v>3</v>
      </c>
      <c r="E58" s="81"/>
      <c r="F58" s="194" t="s">
        <v>4</v>
      </c>
      <c r="G58" s="867" t="s">
        <v>5</v>
      </c>
      <c r="H58" s="868"/>
      <c r="I58" s="869"/>
      <c r="J58" s="83" t="s">
        <v>6</v>
      </c>
      <c r="K58" s="1"/>
      <c r="L58" s="1"/>
      <c r="M58" s="1"/>
      <c r="O58" s="135">
        <v>1</v>
      </c>
      <c r="P58" s="877" t="s">
        <v>215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12">
        <v>49</v>
      </c>
      <c r="C59" s="211">
        <v>41818</v>
      </c>
      <c r="D59" s="153" t="str">
        <f>IF(ISERROR(Z59),K59,Z59)</f>
        <v>Brazilië</v>
      </c>
      <c r="E59" s="15" t="s">
        <v>9</v>
      </c>
      <c r="F59" s="56" t="str">
        <f>IF(ISERROR(AA59),L59,AA59)</f>
        <v>Nederland</v>
      </c>
      <c r="G59" s="85">
        <v>1</v>
      </c>
      <c r="H59" s="15" t="s">
        <v>9</v>
      </c>
      <c r="I59" s="97">
        <v>2</v>
      </c>
      <c r="J59" s="98">
        <v>2</v>
      </c>
      <c r="K59" s="57" t="s">
        <v>48</v>
      </c>
      <c r="L59" s="57" t="s">
        <v>53</v>
      </c>
      <c r="M59" s="57">
        <v>1</v>
      </c>
      <c r="O59" s="135">
        <v>2</v>
      </c>
      <c r="P59" s="877" t="s">
        <v>216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3">AF59</f>
        <v>1</v>
      </c>
      <c r="Z59" t="str">
        <f t="shared" ref="Z59:AA65" si="14">IF(K59=""," ",VLOOKUP(K59,$T$9:$V$54,3,FALSE))</f>
        <v>Brazilië</v>
      </c>
      <c r="AA59" t="str">
        <f t="shared" si="14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1</v>
      </c>
      <c r="AG59" s="108">
        <f t="shared" ref="AG59:AG66" si="16">IF(AC59="",0,(IF(G59=AC59,1,0)))</f>
        <v>1</v>
      </c>
      <c r="AH59" s="108">
        <f t="shared" ref="AH59:AH66" si="17">IF(AD59="",0,(IF(I59=AD59,1,0)))</f>
        <v>0</v>
      </c>
      <c r="AI59" s="108">
        <f t="shared" ref="AI59:AI66" si="18">IF(AND(AG59=1,AH59=1),10,0)</f>
        <v>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24">
        <v>50</v>
      </c>
      <c r="C60" s="212">
        <v>41818</v>
      </c>
      <c r="D60" s="154" t="str">
        <f t="shared" ref="D60:D66" si="23">IF(ISERROR(Z60),K60,Z60)</f>
        <v>Colombia</v>
      </c>
      <c r="E60" s="27" t="s">
        <v>9</v>
      </c>
      <c r="F60" s="59" t="str">
        <f t="shared" ref="F60:F66" si="24">IF(ISERROR(AA60),L60,AA60)</f>
        <v>Engeland</v>
      </c>
      <c r="G60" s="87">
        <v>0</v>
      </c>
      <c r="H60" s="27" t="s">
        <v>9</v>
      </c>
      <c r="I60" s="99">
        <v>2</v>
      </c>
      <c r="J60" s="100">
        <v>2</v>
      </c>
      <c r="K60" s="57" t="s">
        <v>57</v>
      </c>
      <c r="L60" s="57" t="s">
        <v>63</v>
      </c>
      <c r="M60" s="57">
        <v>2</v>
      </c>
      <c r="O60" s="135">
        <v>3</v>
      </c>
      <c r="P60" s="877" t="s">
        <v>223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3"/>
        <v>0</v>
      </c>
      <c r="Z60" t="str">
        <f t="shared" si="14"/>
        <v>Colombia</v>
      </c>
      <c r="AA60" t="str">
        <f t="shared" si="14"/>
        <v>Engeland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0</v>
      </c>
      <c r="AG60" s="108">
        <f t="shared" si="16"/>
        <v>0</v>
      </c>
      <c r="AH60" s="108">
        <f t="shared" si="17"/>
        <v>0</v>
      </c>
      <c r="AI60" s="108">
        <f t="shared" si="18"/>
        <v>0</v>
      </c>
      <c r="AJ60" s="108">
        <f t="shared" si="19"/>
        <v>0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0</v>
      </c>
      <c r="BB60" s="139">
        <f t="shared" si="22"/>
        <v>0</v>
      </c>
    </row>
    <row r="61" spans="2:54">
      <c r="B61" s="12">
        <v>51</v>
      </c>
      <c r="C61" s="211">
        <v>41819</v>
      </c>
      <c r="D61" s="188" t="str">
        <f t="shared" si="23"/>
        <v>Spanje</v>
      </c>
      <c r="E61" s="15" t="s">
        <v>9</v>
      </c>
      <c r="F61" s="56" t="str">
        <f t="shared" si="24"/>
        <v>Kameroen</v>
      </c>
      <c r="G61" s="85">
        <v>2</v>
      </c>
      <c r="H61" s="15" t="s">
        <v>9</v>
      </c>
      <c r="I61" s="97">
        <v>1</v>
      </c>
      <c r="J61" s="98">
        <v>1</v>
      </c>
      <c r="K61" s="57" t="s">
        <v>52</v>
      </c>
      <c r="L61" s="57" t="s">
        <v>49</v>
      </c>
      <c r="M61" s="57"/>
      <c r="O61" s="135">
        <v>4</v>
      </c>
      <c r="P61" s="877" t="s">
        <v>214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3"/>
        <v>10</v>
      </c>
      <c r="Z61" t="str">
        <f t="shared" si="14"/>
        <v>Spanje</v>
      </c>
      <c r="AA61" t="str">
        <f t="shared" si="14"/>
        <v>Kameroen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10</v>
      </c>
      <c r="AG61" s="108">
        <f t="shared" si="16"/>
        <v>1</v>
      </c>
      <c r="AH61" s="108">
        <f t="shared" si="17"/>
        <v>1</v>
      </c>
      <c r="AI61" s="108">
        <f t="shared" si="18"/>
        <v>10</v>
      </c>
      <c r="AJ61" s="108">
        <f t="shared" si="19"/>
        <v>5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3</v>
      </c>
      <c r="BB61" s="139">
        <f t="shared" si="22"/>
        <v>3</v>
      </c>
    </row>
    <row r="62" spans="2:54">
      <c r="B62" s="24">
        <v>52</v>
      </c>
      <c r="C62" s="212">
        <v>41819</v>
      </c>
      <c r="D62" s="188" t="str">
        <f t="shared" si="23"/>
        <v>Italië</v>
      </c>
      <c r="E62" s="27" t="s">
        <v>9</v>
      </c>
      <c r="F62" s="59" t="str">
        <f t="shared" si="24"/>
        <v>Griekenland</v>
      </c>
      <c r="G62" s="87">
        <v>1</v>
      </c>
      <c r="H62" s="27" t="s">
        <v>9</v>
      </c>
      <c r="I62" s="99">
        <v>0</v>
      </c>
      <c r="J62" s="100">
        <v>1</v>
      </c>
      <c r="K62" s="57" t="s">
        <v>62</v>
      </c>
      <c r="L62" s="57" t="s">
        <v>58</v>
      </c>
      <c r="M62" s="57"/>
      <c r="O62" s="135">
        <v>5</v>
      </c>
      <c r="P62" s="877" t="s">
        <v>212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3"/>
        <v>1</v>
      </c>
      <c r="Z62" t="str">
        <f t="shared" si="14"/>
        <v>Italië</v>
      </c>
      <c r="AA62" t="str">
        <f t="shared" si="14"/>
        <v>Griekenland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1</v>
      </c>
      <c r="AG62" s="108">
        <f t="shared" si="16"/>
        <v>1</v>
      </c>
      <c r="AH62" s="108">
        <f t="shared" si="17"/>
        <v>0</v>
      </c>
      <c r="AI62" s="108">
        <f t="shared" si="18"/>
        <v>0</v>
      </c>
      <c r="AJ62" s="108">
        <f t="shared" si="19"/>
        <v>0</v>
      </c>
      <c r="AK62" s="108">
        <f t="shared" si="20"/>
        <v>0</v>
      </c>
      <c r="AL62" s="108">
        <f t="shared" si="21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2"/>
        <v>3</v>
      </c>
    </row>
    <row r="63" spans="2:54">
      <c r="B63" s="12">
        <v>53</v>
      </c>
      <c r="C63" s="211">
        <v>41820</v>
      </c>
      <c r="D63" s="153" t="str">
        <f t="shared" si="23"/>
        <v>Frankrijk</v>
      </c>
      <c r="E63" s="15" t="s">
        <v>9</v>
      </c>
      <c r="F63" s="56" t="str">
        <f t="shared" si="24"/>
        <v>Bosnië H.</v>
      </c>
      <c r="G63" s="85">
        <v>1</v>
      </c>
      <c r="H63" s="15" t="s">
        <v>9</v>
      </c>
      <c r="I63" s="97">
        <v>0</v>
      </c>
      <c r="J63" s="98">
        <v>1</v>
      </c>
      <c r="K63" s="57" t="s">
        <v>67</v>
      </c>
      <c r="L63" s="57" t="s">
        <v>73</v>
      </c>
      <c r="M63" s="57"/>
      <c r="O63" s="135">
        <v>6</v>
      </c>
      <c r="P63" s="877" t="s">
        <v>209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3"/>
        <v>6</v>
      </c>
      <c r="Z63" t="str">
        <f t="shared" si="14"/>
        <v>Frankrijk</v>
      </c>
      <c r="AA63" t="str">
        <f t="shared" si="14"/>
        <v>Bosnië H.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6</v>
      </c>
      <c r="AG63" s="108">
        <f t="shared" si="16"/>
        <v>0</v>
      </c>
      <c r="AH63" s="108">
        <f t="shared" si="17"/>
        <v>1</v>
      </c>
      <c r="AI63" s="108">
        <f t="shared" si="18"/>
        <v>0</v>
      </c>
      <c r="AJ63" s="108">
        <f t="shared" si="19"/>
        <v>5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3</v>
      </c>
      <c r="BB63" s="139">
        <f t="shared" si="22"/>
        <v>3</v>
      </c>
    </row>
    <row r="64" spans="2:54">
      <c r="B64" s="24">
        <v>54</v>
      </c>
      <c r="C64" s="212">
        <v>41820</v>
      </c>
      <c r="D64" s="154" t="str">
        <f t="shared" si="23"/>
        <v>Duitsland</v>
      </c>
      <c r="E64" s="27" t="s">
        <v>9</v>
      </c>
      <c r="F64" s="59" t="str">
        <f t="shared" si="24"/>
        <v>Rusland</v>
      </c>
      <c r="G64" s="87">
        <v>2</v>
      </c>
      <c r="H64" s="27" t="s">
        <v>9</v>
      </c>
      <c r="I64" s="99">
        <v>0</v>
      </c>
      <c r="J64" s="100">
        <v>1</v>
      </c>
      <c r="K64" s="57" t="s">
        <v>77</v>
      </c>
      <c r="L64" s="57" t="s">
        <v>83</v>
      </c>
      <c r="M64" s="57"/>
      <c r="O64" s="135">
        <v>7</v>
      </c>
      <c r="P64" s="877" t="s">
        <v>220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3"/>
        <v>1</v>
      </c>
      <c r="Z64" t="str">
        <f t="shared" si="14"/>
        <v>Duitsland</v>
      </c>
      <c r="AA64" t="str">
        <f t="shared" si="14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1</v>
      </c>
      <c r="AG64" s="108">
        <f t="shared" si="16"/>
        <v>0</v>
      </c>
      <c r="AH64" s="108">
        <f t="shared" si="17"/>
        <v>1</v>
      </c>
      <c r="AI64" s="108">
        <f t="shared" si="18"/>
        <v>0</v>
      </c>
      <c r="AJ64" s="108">
        <f t="shared" si="19"/>
        <v>0</v>
      </c>
      <c r="AK64" s="108">
        <f t="shared" si="20"/>
        <v>0</v>
      </c>
      <c r="AL64" s="108">
        <f t="shared" si="21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2"/>
        <v>3</v>
      </c>
    </row>
    <row r="65" spans="2:54">
      <c r="B65" s="18">
        <v>55</v>
      </c>
      <c r="C65" s="213">
        <v>41821</v>
      </c>
      <c r="D65" s="153" t="str">
        <f t="shared" si="23"/>
        <v>Argentinië</v>
      </c>
      <c r="E65" s="21" t="s">
        <v>9</v>
      </c>
      <c r="F65" s="60" t="str">
        <f t="shared" si="24"/>
        <v>Ecuador</v>
      </c>
      <c r="G65" s="86">
        <v>2</v>
      </c>
      <c r="H65" s="21" t="s">
        <v>9</v>
      </c>
      <c r="I65" s="101">
        <v>0</v>
      </c>
      <c r="J65" s="102">
        <v>1</v>
      </c>
      <c r="K65" s="57" t="s">
        <v>72</v>
      </c>
      <c r="L65" s="57" t="s">
        <v>68</v>
      </c>
      <c r="M65" s="57"/>
      <c r="O65" s="135">
        <v>8</v>
      </c>
      <c r="P65" s="877" t="s">
        <v>213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3"/>
        <v>1</v>
      </c>
      <c r="Z65" t="str">
        <f t="shared" si="14"/>
        <v>Argentinië</v>
      </c>
      <c r="AA65" t="str">
        <f t="shared" si="14"/>
        <v>Ecuador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1</v>
      </c>
      <c r="AG65" s="108">
        <f t="shared" si="16"/>
        <v>0</v>
      </c>
      <c r="AH65" s="108">
        <f t="shared" si="17"/>
        <v>1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2"/>
        <v>3</v>
      </c>
    </row>
    <row r="66" spans="2:54" ht="15.75" thickBot="1">
      <c r="B66" s="33">
        <v>56</v>
      </c>
      <c r="C66" s="214">
        <v>41821</v>
      </c>
      <c r="D66" s="155" t="str">
        <f t="shared" si="23"/>
        <v>België</v>
      </c>
      <c r="E66" s="36" t="s">
        <v>9</v>
      </c>
      <c r="F66" s="62" t="str">
        <f t="shared" si="24"/>
        <v>Portugal</v>
      </c>
      <c r="G66" s="88">
        <v>0</v>
      </c>
      <c r="H66" s="36" t="s">
        <v>9</v>
      </c>
      <c r="I66" s="103">
        <v>2</v>
      </c>
      <c r="J66" s="104">
        <v>2</v>
      </c>
      <c r="K66" s="57" t="s">
        <v>82</v>
      </c>
      <c r="L66" s="57" t="s">
        <v>78</v>
      </c>
      <c r="M66" s="57"/>
      <c r="O66" s="135">
        <v>9</v>
      </c>
      <c r="P66" s="877" t="s">
        <v>224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3"/>
        <v>1</v>
      </c>
      <c r="Z66" t="str">
        <f>IF(K66=""," ",VLOOKUP(K66,$T$9:$V$54,3,FALSE))</f>
        <v>België</v>
      </c>
      <c r="AA66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1</v>
      </c>
      <c r="AG66" s="108">
        <f t="shared" si="16"/>
        <v>1</v>
      </c>
      <c r="AH66" s="108">
        <f t="shared" si="17"/>
        <v>0</v>
      </c>
      <c r="AI66" s="108">
        <f t="shared" si="18"/>
        <v>0</v>
      </c>
      <c r="AJ66" s="108">
        <f t="shared" si="19"/>
        <v>0</v>
      </c>
      <c r="AK66" s="108">
        <f t="shared" si="20"/>
        <v>0</v>
      </c>
      <c r="AL66" s="108">
        <f t="shared" si="21"/>
        <v>0</v>
      </c>
      <c r="AZ66" s="138" t="str">
        <f>Uitslag!P66</f>
        <v>Jonathan de Guzman (m)</v>
      </c>
      <c r="BA66" s="140">
        <f t="shared" si="12"/>
        <v>3</v>
      </c>
      <c r="BB66" s="139">
        <f t="shared" si="22"/>
        <v>3</v>
      </c>
    </row>
    <row r="67" spans="2:54" ht="15.75" thickBot="1">
      <c r="B67" s="1"/>
      <c r="C67" s="210"/>
      <c r="D67" s="40"/>
      <c r="E67" s="1"/>
      <c r="F67" s="40"/>
      <c r="G67" s="1"/>
      <c r="H67" s="1"/>
      <c r="I67" s="1"/>
      <c r="J67" s="1"/>
      <c r="K67" s="1"/>
      <c r="L67" s="1"/>
      <c r="M67" s="1"/>
      <c r="O67" s="135">
        <v>10</v>
      </c>
      <c r="P67" s="877" t="s">
        <v>225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2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195"/>
      <c r="K68" s="1"/>
      <c r="L68" s="1"/>
      <c r="M68" s="1"/>
      <c r="O68" s="135">
        <v>11</v>
      </c>
      <c r="P68" s="877" t="s">
        <v>211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2"/>
        <v>3</v>
      </c>
    </row>
    <row r="69" spans="2:54">
      <c r="B69" s="78" t="s">
        <v>1</v>
      </c>
      <c r="C69" s="122" t="s">
        <v>2</v>
      </c>
      <c r="D69" s="193" t="s">
        <v>3</v>
      </c>
      <c r="E69" s="81"/>
      <c r="F69" s="194" t="s">
        <v>4</v>
      </c>
      <c r="G69" s="867" t="s">
        <v>5</v>
      </c>
      <c r="H69" s="868"/>
      <c r="I69" s="869"/>
      <c r="J69" s="83" t="s">
        <v>6</v>
      </c>
      <c r="K69" s="1"/>
      <c r="L69" s="1"/>
      <c r="M69" s="1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30</v>
      </c>
      <c r="BB69" s="139" t="str">
        <f>IF(AND(BA69&lt;&gt;"",BA69=33),15,"nvt")</f>
        <v>nvt</v>
      </c>
    </row>
    <row r="70" spans="2:54">
      <c r="B70" s="12">
        <v>57</v>
      </c>
      <c r="C70" s="206">
        <v>41824</v>
      </c>
      <c r="D70" s="55" t="str">
        <f>IF(J63="","Winnaar 53",IF(J63=1,D63,F63))</f>
        <v>Frankrijk</v>
      </c>
      <c r="E70" s="15" t="s">
        <v>9</v>
      </c>
      <c r="F70" s="56" t="str">
        <f>IF(J64="","Winnaar 54",IF(J64=1,D64,F64))</f>
        <v>Duitsland</v>
      </c>
      <c r="G70" s="85">
        <v>2</v>
      </c>
      <c r="H70" s="15" t="s">
        <v>9</v>
      </c>
      <c r="I70" s="97">
        <v>2</v>
      </c>
      <c r="J70" s="98">
        <v>2</v>
      </c>
      <c r="K70" s="1"/>
      <c r="L70" s="1"/>
      <c r="M70" s="1"/>
      <c r="V70" t="s">
        <v>133</v>
      </c>
      <c r="W70" t="s">
        <v>126</v>
      </c>
      <c r="X70" t="str">
        <f t="shared" si="11"/>
        <v>Karim Rekik (v)</v>
      </c>
      <c r="Y70" s="109">
        <f>AF70</f>
        <v>0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0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0</v>
      </c>
      <c r="AL70" s="108">
        <f>IF(AND(G70=I70,AC70=AD70),5,0)</f>
        <v>0</v>
      </c>
    </row>
    <row r="71" spans="2:54">
      <c r="B71" s="24">
        <v>58</v>
      </c>
      <c r="C71" s="208">
        <v>41824</v>
      </c>
      <c r="D71" s="58" t="str">
        <f>IF(J59="","Winnaar 49",IF(J59=1,D59,F59))</f>
        <v>Nederland</v>
      </c>
      <c r="E71" s="27" t="s">
        <v>9</v>
      </c>
      <c r="F71" s="59" t="str">
        <f>IF(J60="","Winnaar 50",IF(J60=1,D60,F60))</f>
        <v>Engeland</v>
      </c>
      <c r="G71" s="87">
        <v>2</v>
      </c>
      <c r="H71" s="27" t="s">
        <v>9</v>
      </c>
      <c r="I71" s="99">
        <v>1</v>
      </c>
      <c r="J71" s="100">
        <v>1</v>
      </c>
      <c r="K71" s="1"/>
      <c r="L71" s="1"/>
      <c r="M71" s="1"/>
      <c r="V71" t="s">
        <v>133</v>
      </c>
      <c r="W71" t="s">
        <v>194</v>
      </c>
      <c r="X71" t="str">
        <f t="shared" si="11"/>
        <v>Ron Vlaar (v)</v>
      </c>
      <c r="Y71" s="109">
        <f>AF71</f>
        <v>10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10</v>
      </c>
      <c r="AG71" s="108">
        <f>IF(AC71="",0,(IF(G71=AC71,1,0)))</f>
        <v>1</v>
      </c>
      <c r="AH71" s="108">
        <f>IF(AD71="",0,(IF(I71=AD71,1,0)))</f>
        <v>1</v>
      </c>
      <c r="AI71" s="108">
        <f>IF(AND(AG71=1,AH71=1),10,0)</f>
        <v>10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12">
        <v>59</v>
      </c>
      <c r="C72" s="206">
        <v>41825</v>
      </c>
      <c r="D72" s="55" t="str">
        <f>IF(J65="","Winnaar 55",IF(J65=1,D65,F65))</f>
        <v>Argentinië</v>
      </c>
      <c r="E72" s="15" t="s">
        <v>9</v>
      </c>
      <c r="F72" s="56" t="str">
        <f>IF(J66="","Winnaar 56",IF(J66=1,D66,F66))</f>
        <v>Portugal</v>
      </c>
      <c r="G72" s="85">
        <v>1</v>
      </c>
      <c r="H72" s="15" t="s">
        <v>9</v>
      </c>
      <c r="I72" s="97">
        <v>2</v>
      </c>
      <c r="J72" s="98">
        <v>2</v>
      </c>
      <c r="K72" s="1"/>
      <c r="L72" s="1"/>
      <c r="M72" s="1"/>
      <c r="V72" t="s">
        <v>133</v>
      </c>
      <c r="W72" t="s">
        <v>195</v>
      </c>
      <c r="X72" t="str">
        <f t="shared" si="11"/>
        <v>John Heitinga (v)</v>
      </c>
      <c r="Y72" s="109">
        <f>AF72</f>
        <v>1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1</v>
      </c>
      <c r="AG72" s="108">
        <f>IF(AC72="",0,(IF(G72=AC72,1,0)))</f>
        <v>1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0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3">
        <v>60</v>
      </c>
      <c r="C73" s="209">
        <v>41825</v>
      </c>
      <c r="D73" s="61" t="str">
        <f>IF(J61="","Winnaar 51",IF(J61=1,D61,F61))</f>
        <v>Spanje</v>
      </c>
      <c r="E73" s="36" t="s">
        <v>9</v>
      </c>
      <c r="F73" s="62" t="str">
        <f>IF(J62="","Winnaar 52",IF(J62=1,D62,F62))</f>
        <v>Italië</v>
      </c>
      <c r="G73" s="88">
        <v>1</v>
      </c>
      <c r="H73" s="36" t="s">
        <v>9</v>
      </c>
      <c r="I73" s="103">
        <v>1</v>
      </c>
      <c r="J73" s="104">
        <v>1</v>
      </c>
      <c r="K73" s="1"/>
      <c r="L73" s="1"/>
      <c r="M73" s="1"/>
      <c r="V73" t="s">
        <v>133</v>
      </c>
      <c r="W73" t="s">
        <v>196</v>
      </c>
      <c r="X73" t="str">
        <f t="shared" si="11"/>
        <v>Urby Emanuelson (v)</v>
      </c>
      <c r="Y73" s="109">
        <f>AF73</f>
        <v>5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5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5</v>
      </c>
    </row>
    <row r="74" spans="2:54" ht="15.75" thickBot="1">
      <c r="B74" s="1"/>
      <c r="C74" s="210"/>
      <c r="D74" s="40"/>
      <c r="E74" s="1"/>
      <c r="F74" s="40"/>
      <c r="G74" s="1"/>
      <c r="H74" s="1"/>
      <c r="I74" s="1"/>
      <c r="J74" s="1"/>
      <c r="K74" s="1"/>
      <c r="L74" s="1"/>
      <c r="M74" s="1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195"/>
      <c r="K75" s="1"/>
      <c r="L75" s="1"/>
      <c r="M75" s="1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78" t="s">
        <v>1</v>
      </c>
      <c r="C76" s="122" t="s">
        <v>2</v>
      </c>
      <c r="D76" s="193" t="s">
        <v>3</v>
      </c>
      <c r="E76" s="81"/>
      <c r="F76" s="194" t="s">
        <v>4</v>
      </c>
      <c r="G76" s="867" t="s">
        <v>5</v>
      </c>
      <c r="H76" s="868"/>
      <c r="I76" s="869"/>
      <c r="J76" s="83" t="s">
        <v>6</v>
      </c>
      <c r="K76" s="1"/>
      <c r="L76" s="1"/>
      <c r="M76" s="1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12">
        <v>61</v>
      </c>
      <c r="C77" s="206">
        <v>41828</v>
      </c>
      <c r="D77" s="55" t="str">
        <f>IF(J70="","Winnaar 57",IF(J70=1,D70,F70))</f>
        <v>Duitsland</v>
      </c>
      <c r="E77" s="15" t="s">
        <v>9</v>
      </c>
      <c r="F77" s="56" t="str">
        <f>IF(J71="","Winnaar 58",IF(J71=1,D71,F71))</f>
        <v>Nederland</v>
      </c>
      <c r="G77" s="85">
        <v>2</v>
      </c>
      <c r="H77" s="15" t="s">
        <v>9</v>
      </c>
      <c r="I77" s="97">
        <v>2</v>
      </c>
      <c r="J77" s="98">
        <v>2</v>
      </c>
      <c r="K77" s="1"/>
      <c r="L77" s="1"/>
      <c r="M77" s="1"/>
      <c r="V77" t="s">
        <v>134</v>
      </c>
      <c r="W77" t="s">
        <v>203</v>
      </c>
      <c r="X77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3">
        <v>62</v>
      </c>
      <c r="C78" s="209">
        <v>41829</v>
      </c>
      <c r="D78" s="61" t="str">
        <f>IF(J72="","Winnaar 59",IF(J72=1,D72,F72))</f>
        <v>Portugal</v>
      </c>
      <c r="E78" s="36" t="s">
        <v>9</v>
      </c>
      <c r="F78" s="62" t="str">
        <f>IF(J73="","Winnaar 60",IF(J73=1,D73,F73))</f>
        <v>Spanje</v>
      </c>
      <c r="G78" s="88">
        <v>1</v>
      </c>
      <c r="H78" s="36" t="s">
        <v>9</v>
      </c>
      <c r="I78" s="103">
        <v>2</v>
      </c>
      <c r="J78" s="104">
        <v>2</v>
      </c>
      <c r="K78" s="1"/>
      <c r="L78" s="1"/>
      <c r="M78" s="1"/>
      <c r="V78" t="s">
        <v>134</v>
      </c>
      <c r="W78" t="s">
        <v>199</v>
      </c>
      <c r="X78" t="str">
        <f t="shared" si="11"/>
        <v>Leroy Fer (m)</v>
      </c>
      <c r="Y78" s="109">
        <f>AF78</f>
        <v>0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0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1"/>
      <c r="C79" s="210"/>
      <c r="D79" s="40"/>
      <c r="E79" s="1"/>
      <c r="F79" s="40"/>
      <c r="G79" s="1"/>
      <c r="H79" s="1"/>
      <c r="I79" s="1"/>
      <c r="J79" s="1"/>
      <c r="K79" s="1"/>
      <c r="L79" s="1"/>
      <c r="M79" s="1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195"/>
      <c r="K80" s="1"/>
      <c r="L80" s="1"/>
      <c r="M80" s="1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78" t="s">
        <v>1</v>
      </c>
      <c r="C81" s="122" t="s">
        <v>2</v>
      </c>
      <c r="D81" s="193" t="s">
        <v>3</v>
      </c>
      <c r="E81" s="81"/>
      <c r="F81" s="194" t="s">
        <v>4</v>
      </c>
      <c r="G81" s="867" t="s">
        <v>5</v>
      </c>
      <c r="H81" s="868"/>
      <c r="I81" s="869"/>
      <c r="J81" s="83" t="s">
        <v>6</v>
      </c>
      <c r="K81" s="1"/>
      <c r="L81" s="1"/>
      <c r="M81" s="1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2">
        <v>63</v>
      </c>
      <c r="C82" s="215">
        <v>41832</v>
      </c>
      <c r="D82" s="64" t="str">
        <f>IF(J77="","Verliezer 61",IF(J77=1,F77,D77))</f>
        <v>Duitsland</v>
      </c>
      <c r="E82" s="3" t="s">
        <v>9</v>
      </c>
      <c r="F82" s="65" t="str">
        <f>IF(J78="","Verliezer 62",IF(J78=1,F78,D78))</f>
        <v>Portugal</v>
      </c>
      <c r="G82" s="105">
        <v>2</v>
      </c>
      <c r="H82" s="3" t="s">
        <v>9</v>
      </c>
      <c r="I82" s="106">
        <v>1</v>
      </c>
      <c r="J82" s="107">
        <v>1</v>
      </c>
      <c r="K82" s="1"/>
      <c r="L82" s="1"/>
      <c r="M82" s="1"/>
      <c r="V82" t="s">
        <v>134</v>
      </c>
      <c r="W82" t="s">
        <v>125</v>
      </c>
      <c r="X8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1"/>
      <c r="C83" s="210"/>
      <c r="D83" s="40"/>
      <c r="E83" s="1"/>
      <c r="F83" s="40"/>
      <c r="G83" s="1"/>
      <c r="H83" s="1"/>
      <c r="I83" s="1"/>
      <c r="J83" s="1"/>
      <c r="K83" s="1"/>
      <c r="L83" s="1"/>
      <c r="M83" s="1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195"/>
      <c r="K84" s="1"/>
      <c r="L84" s="1"/>
      <c r="M84" s="1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78" t="s">
        <v>1</v>
      </c>
      <c r="C85" s="122" t="s">
        <v>2</v>
      </c>
      <c r="D85" s="193" t="s">
        <v>3</v>
      </c>
      <c r="E85" s="81"/>
      <c r="F85" s="194" t="s">
        <v>4</v>
      </c>
      <c r="G85" s="867" t="s">
        <v>5</v>
      </c>
      <c r="H85" s="868"/>
      <c r="I85" s="869"/>
      <c r="J85" s="83" t="s">
        <v>6</v>
      </c>
      <c r="K85" s="1"/>
      <c r="L85" s="1"/>
      <c r="M85" s="1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2">
        <v>64</v>
      </c>
      <c r="C86" s="215">
        <v>41833</v>
      </c>
      <c r="D86" s="64" t="str">
        <f>IF(J77="","Winnaar 61",IF(J77=1,D77,F77))</f>
        <v>Nederland</v>
      </c>
      <c r="E86" s="3" t="s">
        <v>9</v>
      </c>
      <c r="F86" s="65" t="str">
        <f>IF(J78="","Winnaar 62",IF(J78=1,D78,F78))</f>
        <v>Spanje</v>
      </c>
      <c r="G86" s="105">
        <v>14</v>
      </c>
      <c r="H86" s="3" t="s">
        <v>9</v>
      </c>
      <c r="I86" s="106">
        <v>0</v>
      </c>
      <c r="J86" s="107">
        <v>1</v>
      </c>
      <c r="K86" s="1"/>
      <c r="L86" s="1"/>
      <c r="M86" s="1"/>
      <c r="V86" t="s">
        <v>134</v>
      </c>
      <c r="W86" t="s">
        <v>139</v>
      </c>
      <c r="X86" t="str">
        <f t="shared" si="11"/>
        <v>Nigel de Jong (m)</v>
      </c>
      <c r="Y86" s="109">
        <f>AF86</f>
        <v>1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1</v>
      </c>
      <c r="AG86" s="108">
        <f>IF(AC86="",0,(IF(G86=AC86,1,0)))</f>
        <v>0</v>
      </c>
      <c r="AH86" s="108">
        <f>IF(AD86="",0,(IF(I86=AD86,1,0)))</f>
        <v>1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Nederland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5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5</v>
      </c>
      <c r="AV89">
        <f>IF(AR89=0,0,IF(E89=AR89,50,0))</f>
        <v>0</v>
      </c>
      <c r="AW89">
        <f>IF(E89=0,0,IF(OR(E89=AR90),15,0))</f>
        <v>0</v>
      </c>
      <c r="AX89">
        <f>IF(E89=0,0,IF(OR(E89=AR91,E89=AR92),5,0))</f>
        <v>5</v>
      </c>
    </row>
    <row r="90" spans="2:50">
      <c r="C90" s="870">
        <v>2</v>
      </c>
      <c r="D90" s="871"/>
      <c r="E90" s="872" t="str">
        <f>IF(J86=2,D86,IF(J86=1,F86,"Wie wordt 2de?"))</f>
        <v>Spanje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0</v>
      </c>
      <c r="AV90">
        <f>IF(AR90=0,0,IF(AR90=E90,25,0))</f>
        <v>0</v>
      </c>
      <c r="AW90">
        <f>IF(E90=0,0,IF(OR(E90=AR89,),15,0))</f>
        <v>0</v>
      </c>
      <c r="AX90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Duitsland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5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5</v>
      </c>
      <c r="AV91">
        <f>IF(AR91=0,0,IF(AR91=E91,15,0))</f>
        <v>0</v>
      </c>
      <c r="AW91">
        <f>IF(E91=0,0,IF(OR(E91=AR92),10,0))</f>
        <v>0</v>
      </c>
      <c r="AX91">
        <f>IF(E91=0,0,IF(OR(E91=AR89,E91=AR90),5,0))</f>
        <v>5</v>
      </c>
    </row>
    <row r="92" spans="2:50">
      <c r="C92" s="870">
        <v>4</v>
      </c>
      <c r="D92" s="871"/>
      <c r="E92" s="872" t="str">
        <f>IF(J82=2,D82,IF(J82=1,F82,"Wie wordt 4de?"))</f>
        <v>Portugal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0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0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10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phoneticPr fontId="24" type="noConversion"/>
  <conditionalFormatting sqref="AO9:AO12 AO15:AO18 AO21:AO24 AO27:AO30 AO33:AO36 AO39:AO42 AO45:AO48 AO51:AO54">
    <cfRule type="cellIs" dxfId="270" priority="4" operator="equal">
      <formula>10</formula>
    </cfRule>
  </conditionalFormatting>
  <conditionalFormatting sqref="P58:P68">
    <cfRule type="duplicateValues" dxfId="269" priority="3"/>
  </conditionalFormatting>
  <conditionalFormatting sqref="P58:T58">
    <cfRule type="duplicateValues" dxfId="268" priority="2"/>
  </conditionalFormatting>
  <conditionalFormatting sqref="P58:T68">
    <cfRule type="duplicateValues" dxfId="267" priority="1"/>
  </conditionalFormatting>
  <dataValidations count="10">
    <dataValidation type="list" allowBlank="1" showInputMessage="1" showErrorMessage="1" sqref="T51:T54">
      <formula1>$W$51:$W$54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P58:P68">
      <formula1>$X$58:$X$98</formula1>
    </dataValidation>
  </dataValidations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B1:BB98"/>
  <sheetViews>
    <sheetView topLeftCell="A49" zoomScale="70" zoomScaleNormal="70" workbookViewId="0">
      <selection activeCell="P58" sqref="P58:T68"/>
    </sheetView>
  </sheetViews>
  <sheetFormatPr defaultRowHeight="15" outlineLevelCol="2"/>
  <cols>
    <col min="1" max="1" width="3.42578125" customWidth="1"/>
    <col min="2" max="2" width="3.5703125" bestFit="1" customWidth="1"/>
    <col min="3" max="3" width="8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204" t="s">
        <v>145</v>
      </c>
      <c r="D3" s="145" t="s">
        <v>233</v>
      </c>
      <c r="E3" s="145"/>
      <c r="F3" s="145"/>
      <c r="N3" t="str">
        <f>D3</f>
        <v>Miranda v/d V</v>
      </c>
      <c r="O3" s="144">
        <f>SUM(P3:S3)</f>
        <v>333</v>
      </c>
      <c r="P3" s="109">
        <f>SUM(Y8:Y86)</f>
        <v>173</v>
      </c>
      <c r="Q3" s="109">
        <f>SUM(AM4:AM55)</f>
        <v>110</v>
      </c>
      <c r="R3" s="109">
        <f>SUM(AP89:AP92)</f>
        <v>20</v>
      </c>
      <c r="S3" s="109">
        <f>SUM(BB58:BB69)</f>
        <v>30</v>
      </c>
      <c r="T3" s="109">
        <f>COUNTIF(AF8:AF86,10)</f>
        <v>2</v>
      </c>
      <c r="U3" s="109" t="str">
        <f>E89</f>
        <v>Engeland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1"/>
      <c r="L6" s="1"/>
      <c r="O6" s="40"/>
      <c r="P6" s="41"/>
      <c r="Q6" s="41"/>
      <c r="R6" s="41"/>
      <c r="S6" s="41"/>
      <c r="T6" s="41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66" t="s">
        <v>1</v>
      </c>
      <c r="C7" s="121" t="s">
        <v>2</v>
      </c>
      <c r="D7" s="196" t="s">
        <v>3</v>
      </c>
      <c r="E7" s="69"/>
      <c r="F7" s="197" t="s">
        <v>4</v>
      </c>
      <c r="G7" s="880" t="s">
        <v>5</v>
      </c>
      <c r="H7" s="881"/>
      <c r="I7" s="882"/>
      <c r="J7" s="71" t="s">
        <v>6</v>
      </c>
      <c r="K7" s="4" t="s">
        <v>7</v>
      </c>
      <c r="L7" s="4" t="s">
        <v>7</v>
      </c>
      <c r="O7" s="1"/>
      <c r="P7" s="41"/>
      <c r="Q7" s="41"/>
      <c r="R7" s="41"/>
      <c r="S7" s="41"/>
      <c r="T7" s="41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5">
        <v>1</v>
      </c>
      <c r="C8" s="205">
        <v>41802</v>
      </c>
      <c r="D8" s="7" t="s">
        <v>8</v>
      </c>
      <c r="E8" s="8" t="s">
        <v>9</v>
      </c>
      <c r="F8" s="9" t="s">
        <v>10</v>
      </c>
      <c r="G8" s="84">
        <v>2</v>
      </c>
      <c r="H8" s="8" t="s">
        <v>9</v>
      </c>
      <c r="I8" s="192">
        <v>0</v>
      </c>
      <c r="J8" s="10">
        <f>IF(I8="","",IF(G8&gt;I8,1,IF(G8&lt;I8,2,3)))</f>
        <v>1</v>
      </c>
      <c r="K8" s="11">
        <f>IF(I8="","",IF($G8&gt;$I8,3,IF($G8=$I8,1,0)))</f>
        <v>3</v>
      </c>
      <c r="L8" s="11">
        <f>IF(I8="","",IF($G8&lt;$I8,3,IF($G8=$I8,1,0)))</f>
        <v>0</v>
      </c>
      <c r="O8" s="72" t="s">
        <v>41</v>
      </c>
      <c r="P8" s="73" t="s">
        <v>42</v>
      </c>
      <c r="Q8" s="73" t="s">
        <v>43</v>
      </c>
      <c r="R8" s="74" t="s">
        <v>44</v>
      </c>
      <c r="S8" s="75" t="s">
        <v>45</v>
      </c>
      <c r="T8" s="76" t="s">
        <v>46</v>
      </c>
      <c r="U8" s="40"/>
      <c r="V8" s="40"/>
      <c r="W8" s="40"/>
      <c r="Y8" s="109">
        <f>AF8</f>
        <v>5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5</v>
      </c>
      <c r="AG8" s="108">
        <f t="shared" ref="AG8:AG55" si="0">IF(AC8="",0,(IF(G8=AC8,1,0)))</f>
        <v>0</v>
      </c>
      <c r="AH8" s="108">
        <f t="shared" ref="AH8:AH55" si="1">IF(AD8="",0,(IF(I8=AD8,1,0)))</f>
        <v>0</v>
      </c>
      <c r="AI8" s="108">
        <f>IF(AND(AG8=1,AH8=1),10,0)</f>
        <v>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12">
        <v>2</v>
      </c>
      <c r="C9" s="206">
        <v>41803</v>
      </c>
      <c r="D9" s="14" t="s">
        <v>11</v>
      </c>
      <c r="E9" s="15" t="s">
        <v>9</v>
      </c>
      <c r="F9" s="16" t="s">
        <v>12</v>
      </c>
      <c r="G9" s="85">
        <v>1</v>
      </c>
      <c r="H9" s="15" t="s">
        <v>9</v>
      </c>
      <c r="I9" s="90">
        <v>2</v>
      </c>
      <c r="J9" s="17">
        <f t="shared" ref="J9:J55" si="5">IF(I9="","",IF(G9&gt;I9,1,IF(G9&lt;I9,2,3)))</f>
        <v>2</v>
      </c>
      <c r="K9" s="11">
        <f t="shared" ref="K9:K55" si="6">IF(I9="","",IF($G9&gt;$I9,3,IF($G9=$I9,1,0)))</f>
        <v>0</v>
      </c>
      <c r="L9" s="11">
        <f t="shared" ref="L9:L55" si="7">IF(I9="","",IF($G9&lt;$I9,3,IF($G9=$I9,1,0)))</f>
        <v>3</v>
      </c>
      <c r="O9" s="44" t="s">
        <v>8</v>
      </c>
      <c r="P9" s="45">
        <f>SUMIF($D$8:$D$55,$O9,$G$8:$G$55)+SUMIF($F$8:$F$55,$O9,$I$8:$I$55)</f>
        <v>6</v>
      </c>
      <c r="Q9" s="45">
        <f>SUMIF($D$8:$D$55,$O9,$I$8:$I$55)+SUMIF($F$8:$F$55,$O9,$G$8:$G$55)</f>
        <v>2</v>
      </c>
      <c r="R9" s="46">
        <f>P9-Q9</f>
        <v>4</v>
      </c>
      <c r="S9" s="47">
        <f>SUMIF($D$8:$D$55,$O9,$K$8:$K$55)+SUMIF($F$8:$F$55,$O9,$L$8:$L$55)</f>
        <v>7</v>
      </c>
      <c r="T9" s="94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1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1</v>
      </c>
      <c r="AG9" s="108">
        <f t="shared" si="0"/>
        <v>1</v>
      </c>
      <c r="AH9" s="108">
        <f t="shared" si="1"/>
        <v>0</v>
      </c>
      <c r="AI9" s="108">
        <f t="shared" ref="AI9:AI55" si="10">IF(AND(AG9=1,AH9=1),10,0)</f>
        <v>0</v>
      </c>
      <c r="AJ9" s="108">
        <f t="shared" si="2"/>
        <v>0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18">
        <v>3</v>
      </c>
      <c r="C10" s="207">
        <v>41803</v>
      </c>
      <c r="D10" s="20" t="s">
        <v>13</v>
      </c>
      <c r="E10" s="21" t="s">
        <v>9</v>
      </c>
      <c r="F10" s="22" t="s">
        <v>14</v>
      </c>
      <c r="G10" s="86">
        <v>0</v>
      </c>
      <c r="H10" s="21" t="s">
        <v>9</v>
      </c>
      <c r="I10" s="91">
        <v>1</v>
      </c>
      <c r="J10" s="23">
        <f t="shared" si="5"/>
        <v>2</v>
      </c>
      <c r="K10" s="11">
        <f t="shared" si="6"/>
        <v>0</v>
      </c>
      <c r="L10" s="11">
        <f t="shared" si="7"/>
        <v>3</v>
      </c>
      <c r="O10" s="48" t="s">
        <v>10</v>
      </c>
      <c r="P10" s="49">
        <f>SUMIF($D$8:$D$55,$O10,$G$8:$G$55)+SUMIF($F$8:$F$55,$O10,$I$8:$I$55)</f>
        <v>3</v>
      </c>
      <c r="Q10" s="49">
        <f>SUMIF($D$8:$D$55,$O10,$I$8:$I$55)+SUMIF($F$8:$F$55,$O10,$G$8:$G$55)</f>
        <v>4</v>
      </c>
      <c r="R10" s="49">
        <f>P10-Q10</f>
        <v>-1</v>
      </c>
      <c r="S10" s="50">
        <f>SUMIF($D$8:$D$55,$O10,$K$8:$K$55)+SUMIF($F$8:$F$55,$O10,$L$8:$L$55)</f>
        <v>4</v>
      </c>
      <c r="T10" s="95" t="s">
        <v>47</v>
      </c>
      <c r="U10" s="40"/>
      <c r="V10" s="40" t="str">
        <f>O10</f>
        <v>Kroatië</v>
      </c>
      <c r="W10" s="40" t="s">
        <v>49</v>
      </c>
      <c r="Y10" s="109">
        <f t="shared" si="8"/>
        <v>5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5</v>
      </c>
      <c r="AG10" s="108">
        <f t="shared" si="0"/>
        <v>0</v>
      </c>
      <c r="AH10" s="108">
        <f t="shared" si="1"/>
        <v>0</v>
      </c>
      <c r="AI10" s="108">
        <f t="shared" si="10"/>
        <v>0</v>
      </c>
      <c r="AJ10" s="108">
        <f t="shared" si="2"/>
        <v>0</v>
      </c>
      <c r="AK10" s="108">
        <f t="shared" si="3"/>
        <v>5</v>
      </c>
      <c r="AL10" s="108">
        <f t="shared" si="4"/>
        <v>0</v>
      </c>
      <c r="AM10" s="120">
        <f>AO10</f>
        <v>10</v>
      </c>
      <c r="AN10" s="117" t="s">
        <v>10</v>
      </c>
      <c r="AO10" s="115">
        <f>IF(Uitslag!T10="",0,IF(T10=Uitslag!T10,10,0))</f>
        <v>10</v>
      </c>
    </row>
    <row r="11" spans="2:54" ht="15.75" thickBot="1">
      <c r="B11" s="24">
        <v>4</v>
      </c>
      <c r="C11" s="208">
        <v>41803</v>
      </c>
      <c r="D11" s="26" t="s">
        <v>15</v>
      </c>
      <c r="E11" s="27" t="s">
        <v>9</v>
      </c>
      <c r="F11" s="28" t="s">
        <v>16</v>
      </c>
      <c r="G11" s="87">
        <v>2</v>
      </c>
      <c r="H11" s="27" t="s">
        <v>9</v>
      </c>
      <c r="I11" s="92">
        <v>2</v>
      </c>
      <c r="J11" s="29">
        <f t="shared" si="5"/>
        <v>3</v>
      </c>
      <c r="K11" s="11">
        <f t="shared" si="6"/>
        <v>1</v>
      </c>
      <c r="L11" s="11">
        <f t="shared" si="7"/>
        <v>1</v>
      </c>
      <c r="O11" s="48" t="s">
        <v>11</v>
      </c>
      <c r="P11" s="49">
        <f>SUMIF($D$8:$D$55,$O11,$G$8:$G$55)+SUMIF($F$8:$F$55,$O11,$I$8:$I$55)</f>
        <v>3</v>
      </c>
      <c r="Q11" s="49">
        <f>SUMIF($D$8:$D$55,$O11,$I$8:$I$55)+SUMIF($F$8:$F$55,$O11,$G$8:$G$55)</f>
        <v>5</v>
      </c>
      <c r="R11" s="49">
        <f>P11-Q11</f>
        <v>-2</v>
      </c>
      <c r="S11" s="50">
        <f>SUMIF($D$8:$D$55,$O11,$K$8:$K$55)+SUMIF($F$8:$F$55,$O11,$L$8:$L$55)</f>
        <v>1</v>
      </c>
      <c r="T11" s="95" t="s">
        <v>50</v>
      </c>
      <c r="U11" s="40"/>
      <c r="V11" s="40" t="str">
        <f>O11</f>
        <v>Mexico</v>
      </c>
      <c r="W11" s="40" t="s">
        <v>47</v>
      </c>
      <c r="Y11" s="109">
        <f t="shared" si="8"/>
        <v>0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0</v>
      </c>
      <c r="AG11" s="108">
        <f t="shared" si="0"/>
        <v>0</v>
      </c>
      <c r="AH11" s="108">
        <f t="shared" si="1"/>
        <v>0</v>
      </c>
      <c r="AI11" s="108">
        <f t="shared" si="10"/>
        <v>0</v>
      </c>
      <c r="AJ11" s="108">
        <f t="shared" si="2"/>
        <v>0</v>
      </c>
      <c r="AK11" s="108">
        <f t="shared" si="3"/>
        <v>0</v>
      </c>
      <c r="AL11" s="108">
        <f t="shared" si="4"/>
        <v>0</v>
      </c>
      <c r="AM11" s="120">
        <f>AO11</f>
        <v>0</v>
      </c>
      <c r="AN11" s="117" t="s">
        <v>11</v>
      </c>
      <c r="AO11" s="115">
        <f>IF(Uitslag!T11="",0,IF(T11=Uitslag!T11,10,0))</f>
        <v>0</v>
      </c>
    </row>
    <row r="12" spans="2:54" ht="15.75" thickBot="1">
      <c r="B12" s="12">
        <v>5</v>
      </c>
      <c r="C12" s="206">
        <v>41804</v>
      </c>
      <c r="D12" s="14" t="s">
        <v>17</v>
      </c>
      <c r="E12" s="15" t="s">
        <v>9</v>
      </c>
      <c r="F12" s="16" t="s">
        <v>18</v>
      </c>
      <c r="G12" s="85">
        <v>0</v>
      </c>
      <c r="H12" s="15" t="s">
        <v>9</v>
      </c>
      <c r="I12" s="90">
        <v>0</v>
      </c>
      <c r="J12" s="17">
        <f t="shared" si="5"/>
        <v>3</v>
      </c>
      <c r="K12" s="11">
        <f t="shared" si="6"/>
        <v>1</v>
      </c>
      <c r="L12" s="11">
        <f t="shared" si="7"/>
        <v>1</v>
      </c>
      <c r="O12" s="51" t="s">
        <v>12</v>
      </c>
      <c r="P12" s="52">
        <f>SUMIF($D$8:$D$55,$O12,$G$8:$G$55)+SUMIF($F$8:$F$55,$O12,$I$8:$I$55)</f>
        <v>4</v>
      </c>
      <c r="Q12" s="52">
        <f>SUMIF($D$8:$D$55,$O12,$I$8:$I$55)+SUMIF($F$8:$F$55,$O12,$G$8:$G$55)</f>
        <v>5</v>
      </c>
      <c r="R12" s="52">
        <f>P12-Q12</f>
        <v>-1</v>
      </c>
      <c r="S12" s="53">
        <f>SUMIF($D$8:$D$55,$O12,$K$8:$K$55)+SUMIF($F$8:$F$55,$O12,$L$8:$L$55)</f>
        <v>4</v>
      </c>
      <c r="T12" s="96" t="s">
        <v>49</v>
      </c>
      <c r="U12" s="40"/>
      <c r="V12" s="40" t="str">
        <f>O12</f>
        <v>Kameroen</v>
      </c>
      <c r="W12" s="40" t="s">
        <v>50</v>
      </c>
      <c r="Y12" s="109">
        <f t="shared" si="8"/>
        <v>1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1</v>
      </c>
      <c r="AG12" s="108">
        <f t="shared" si="0"/>
        <v>0</v>
      </c>
      <c r="AH12" s="108">
        <f t="shared" si="1"/>
        <v>1</v>
      </c>
      <c r="AI12" s="108">
        <f t="shared" si="10"/>
        <v>0</v>
      </c>
      <c r="AJ12" s="108">
        <f t="shared" si="2"/>
        <v>0</v>
      </c>
      <c r="AK12" s="108">
        <f t="shared" si="3"/>
        <v>0</v>
      </c>
      <c r="AL12" s="108">
        <f t="shared" si="4"/>
        <v>0</v>
      </c>
      <c r="AM12" s="120">
        <f>AO12</f>
        <v>0</v>
      </c>
      <c r="AN12" s="118" t="s">
        <v>12</v>
      </c>
      <c r="AO12" s="115">
        <f>IF(Uitslag!T12="",0,IF(T12=Uitslag!T12,10,0))</f>
        <v>0</v>
      </c>
    </row>
    <row r="13" spans="2:54" ht="15.75" thickBot="1">
      <c r="B13" s="18">
        <v>6</v>
      </c>
      <c r="C13" s="207">
        <v>41804</v>
      </c>
      <c r="D13" s="20" t="s">
        <v>19</v>
      </c>
      <c r="E13" s="21" t="s">
        <v>9</v>
      </c>
      <c r="F13" s="30" t="s">
        <v>20</v>
      </c>
      <c r="G13" s="86">
        <v>2</v>
      </c>
      <c r="H13" s="21" t="s">
        <v>9</v>
      </c>
      <c r="I13" s="91">
        <v>1</v>
      </c>
      <c r="J13" s="23">
        <f t="shared" si="5"/>
        <v>1</v>
      </c>
      <c r="K13" s="11">
        <f t="shared" si="6"/>
        <v>3</v>
      </c>
      <c r="L13" s="11">
        <f t="shared" si="7"/>
        <v>0</v>
      </c>
      <c r="O13" s="40"/>
      <c r="P13" s="41"/>
      <c r="Q13" s="41"/>
      <c r="R13" s="41"/>
      <c r="S13" s="41"/>
      <c r="T13" s="41"/>
      <c r="U13" s="40"/>
      <c r="V13" s="40"/>
      <c r="W13" s="40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0"/>
        <v>0</v>
      </c>
      <c r="AH13" s="108">
        <f t="shared" si="1"/>
        <v>0</v>
      </c>
      <c r="AI13" s="108">
        <f t="shared" si="10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40"/>
      <c r="AO13" s="41"/>
    </row>
    <row r="14" spans="2:54" ht="15.75" thickBot="1">
      <c r="B14" s="18">
        <v>7</v>
      </c>
      <c r="C14" s="207">
        <v>41804</v>
      </c>
      <c r="D14" s="20" t="s">
        <v>21</v>
      </c>
      <c r="E14" s="21" t="s">
        <v>9</v>
      </c>
      <c r="F14" s="30" t="s">
        <v>22</v>
      </c>
      <c r="G14" s="86">
        <v>1</v>
      </c>
      <c r="H14" s="21" t="s">
        <v>9</v>
      </c>
      <c r="I14" s="91">
        <v>1</v>
      </c>
      <c r="J14" s="23">
        <f t="shared" si="5"/>
        <v>3</v>
      </c>
      <c r="K14" s="11">
        <f t="shared" si="6"/>
        <v>1</v>
      </c>
      <c r="L14" s="11">
        <f t="shared" si="7"/>
        <v>1</v>
      </c>
      <c r="O14" s="72" t="s">
        <v>51</v>
      </c>
      <c r="P14" s="73" t="s">
        <v>42</v>
      </c>
      <c r="Q14" s="73" t="s">
        <v>43</v>
      </c>
      <c r="R14" s="74" t="s">
        <v>44</v>
      </c>
      <c r="S14" s="75" t="s">
        <v>45</v>
      </c>
      <c r="T14" s="76" t="s">
        <v>46</v>
      </c>
      <c r="U14" s="40"/>
      <c r="V14" s="40"/>
      <c r="W14" s="40"/>
      <c r="Y14" s="109">
        <f t="shared" si="8"/>
        <v>1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</v>
      </c>
      <c r="AG14" s="108">
        <f t="shared" si="0"/>
        <v>1</v>
      </c>
      <c r="AH14" s="108">
        <f t="shared" si="1"/>
        <v>0</v>
      </c>
      <c r="AI14" s="108">
        <f t="shared" si="10"/>
        <v>0</v>
      </c>
      <c r="AJ14" s="108">
        <f t="shared" si="2"/>
        <v>0</v>
      </c>
      <c r="AK14" s="108">
        <f t="shared" si="3"/>
        <v>0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24">
        <v>8</v>
      </c>
      <c r="C15" s="208">
        <v>41804</v>
      </c>
      <c r="D15" s="26" t="s">
        <v>23</v>
      </c>
      <c r="E15" s="27" t="s">
        <v>9</v>
      </c>
      <c r="F15" s="28" t="s">
        <v>24</v>
      </c>
      <c r="G15" s="87">
        <v>2</v>
      </c>
      <c r="H15" s="27" t="s">
        <v>9</v>
      </c>
      <c r="I15" s="92">
        <v>0</v>
      </c>
      <c r="J15" s="29">
        <f t="shared" si="5"/>
        <v>1</v>
      </c>
      <c r="K15" s="11">
        <f t="shared" si="6"/>
        <v>3</v>
      </c>
      <c r="L15" s="11">
        <f t="shared" si="7"/>
        <v>0</v>
      </c>
      <c r="O15" s="44" t="s">
        <v>13</v>
      </c>
      <c r="P15" s="45">
        <f>SUMIF($D$8:$D$55,$O15,$G$8:$G$55)+SUMIF($F$8:$F$55,$O15,$I$8:$I$55)</f>
        <v>2</v>
      </c>
      <c r="Q15" s="45">
        <f>SUMIF($D$8:$D$55,$O15,$I$8:$I$55)+SUMIF($F$8:$F$55,$O15,$G$8:$G$55)</f>
        <v>1</v>
      </c>
      <c r="R15" s="46">
        <f>P15-Q15</f>
        <v>1</v>
      </c>
      <c r="S15" s="47">
        <f>SUMIF($D$8:$D$55,$O15,$K$8:$K$55)+SUMIF($F$8:$F$55,$O15,$L$8:$L$55)</f>
        <v>6</v>
      </c>
      <c r="T15" s="94" t="s">
        <v>53</v>
      </c>
      <c r="U15" s="40"/>
      <c r="V15" s="40" t="str">
        <f>O15</f>
        <v>Spanje</v>
      </c>
      <c r="W15" s="40" t="s">
        <v>52</v>
      </c>
      <c r="Y15" s="109">
        <f t="shared" si="8"/>
        <v>6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6</v>
      </c>
      <c r="AG15" s="108">
        <f t="shared" si="0"/>
        <v>1</v>
      </c>
      <c r="AH15" s="108">
        <f t="shared" si="1"/>
        <v>0</v>
      </c>
      <c r="AI15" s="108">
        <f t="shared" si="10"/>
        <v>0</v>
      </c>
      <c r="AJ15" s="108">
        <f t="shared" si="2"/>
        <v>5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12">
        <v>9</v>
      </c>
      <c r="C16" s="206">
        <v>41805</v>
      </c>
      <c r="D16" s="14" t="s">
        <v>25</v>
      </c>
      <c r="E16" s="15" t="s">
        <v>9</v>
      </c>
      <c r="F16" s="16" t="s">
        <v>26</v>
      </c>
      <c r="G16" s="85">
        <v>1</v>
      </c>
      <c r="H16" s="15" t="s">
        <v>9</v>
      </c>
      <c r="I16" s="90">
        <v>2</v>
      </c>
      <c r="J16" s="17">
        <f t="shared" si="5"/>
        <v>2</v>
      </c>
      <c r="K16" s="11">
        <f t="shared" si="6"/>
        <v>0</v>
      </c>
      <c r="L16" s="11">
        <f t="shared" si="7"/>
        <v>3</v>
      </c>
      <c r="O16" s="54" t="s">
        <v>14</v>
      </c>
      <c r="P16" s="49">
        <f>SUMIF($D$8:$D$55,$O16,$G$8:$G$55)+SUMIF($F$8:$F$55,$O16,$I$8:$I$55)</f>
        <v>5</v>
      </c>
      <c r="Q16" s="49">
        <f>SUMIF($D$8:$D$55,$O16,$I$8:$I$55)+SUMIF($F$8:$F$55,$O16,$G$8:$G$55)</f>
        <v>1</v>
      </c>
      <c r="R16" s="49">
        <f>P16-Q16</f>
        <v>4</v>
      </c>
      <c r="S16" s="50">
        <f>SUMIF($D$8:$D$55,$O16,$K$8:$K$55)+SUMIF($F$8:$F$55,$O16,$L$8:$L$55)</f>
        <v>9</v>
      </c>
      <c r="T16" s="95" t="s">
        <v>52</v>
      </c>
      <c r="U16" s="40"/>
      <c r="V16" s="40" t="str">
        <f>O16</f>
        <v>Nederland</v>
      </c>
      <c r="W16" s="40" t="s">
        <v>53</v>
      </c>
      <c r="Y16" s="109">
        <f t="shared" si="8"/>
        <v>0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0</v>
      </c>
      <c r="AG16" s="108">
        <f t="shared" si="0"/>
        <v>0</v>
      </c>
      <c r="AH16" s="108">
        <f t="shared" si="1"/>
        <v>0</v>
      </c>
      <c r="AI16" s="108">
        <f t="shared" si="10"/>
        <v>0</v>
      </c>
      <c r="AJ16" s="108">
        <f t="shared" si="2"/>
        <v>0</v>
      </c>
      <c r="AK16" s="108">
        <f t="shared" si="3"/>
        <v>0</v>
      </c>
      <c r="AL16" s="108">
        <f t="shared" si="4"/>
        <v>0</v>
      </c>
      <c r="AM16" s="120">
        <f>AO16</f>
        <v>10</v>
      </c>
      <c r="AN16" s="119" t="s">
        <v>14</v>
      </c>
      <c r="AO16" s="115">
        <f>IF(Uitslag!T16="",0,IF(T16=Uitslag!T16,10,0))</f>
        <v>10</v>
      </c>
    </row>
    <row r="17" spans="2:41" ht="15.75" thickBot="1">
      <c r="B17" s="18">
        <v>10</v>
      </c>
      <c r="C17" s="207">
        <v>41805</v>
      </c>
      <c r="D17" s="20" t="s">
        <v>27</v>
      </c>
      <c r="E17" s="21" t="s">
        <v>9</v>
      </c>
      <c r="F17" s="30" t="s">
        <v>28</v>
      </c>
      <c r="G17" s="86">
        <v>3</v>
      </c>
      <c r="H17" s="21" t="s">
        <v>9</v>
      </c>
      <c r="I17" s="91">
        <v>0</v>
      </c>
      <c r="J17" s="23">
        <f t="shared" si="5"/>
        <v>1</v>
      </c>
      <c r="K17" s="11">
        <f t="shared" si="6"/>
        <v>3</v>
      </c>
      <c r="L17" s="11">
        <f t="shared" si="7"/>
        <v>0</v>
      </c>
      <c r="O17" s="48" t="s">
        <v>15</v>
      </c>
      <c r="P17" s="49">
        <f>SUMIF($D$8:$D$55,$O17,$G$8:$G$55)+SUMIF($F$8:$F$55,$O17,$I$8:$I$55)</f>
        <v>3</v>
      </c>
      <c r="Q17" s="49">
        <f>SUMIF($D$8:$D$55,$O17,$I$8:$I$55)+SUMIF($F$8:$F$55,$O17,$G$8:$G$55)</f>
        <v>5</v>
      </c>
      <c r="R17" s="49">
        <f>P17-Q17</f>
        <v>-2</v>
      </c>
      <c r="S17" s="50">
        <f>SUMIF($D$8:$D$55,$O17,$K$8:$K$55)+SUMIF($F$8:$F$55,$O17,$L$8:$L$55)</f>
        <v>1</v>
      </c>
      <c r="T17" s="95" t="s">
        <v>54</v>
      </c>
      <c r="U17" s="40"/>
      <c r="V17" s="40" t="str">
        <f>O17</f>
        <v>Chili</v>
      </c>
      <c r="W17" s="40" t="s">
        <v>54</v>
      </c>
      <c r="Y17" s="109">
        <f t="shared" si="8"/>
        <v>10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10</v>
      </c>
      <c r="AG17" s="108">
        <f t="shared" si="0"/>
        <v>1</v>
      </c>
      <c r="AH17" s="108">
        <f t="shared" si="1"/>
        <v>1</v>
      </c>
      <c r="AI17" s="108">
        <f t="shared" si="10"/>
        <v>10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24">
        <v>11</v>
      </c>
      <c r="C18" s="208">
        <v>41805</v>
      </c>
      <c r="D18" s="26" t="s">
        <v>29</v>
      </c>
      <c r="E18" s="27" t="s">
        <v>9</v>
      </c>
      <c r="F18" s="28" t="s">
        <v>30</v>
      </c>
      <c r="G18" s="87">
        <v>4</v>
      </c>
      <c r="H18" s="27" t="s">
        <v>9</v>
      </c>
      <c r="I18" s="92">
        <v>2</v>
      </c>
      <c r="J18" s="29">
        <f t="shared" si="5"/>
        <v>1</v>
      </c>
      <c r="K18" s="11">
        <f t="shared" si="6"/>
        <v>3</v>
      </c>
      <c r="L18" s="11">
        <f t="shared" si="7"/>
        <v>0</v>
      </c>
      <c r="O18" s="51" t="s">
        <v>16</v>
      </c>
      <c r="P18" s="52">
        <f>SUMIF($D$8:$D$55,$O18,$G$8:$G$55)+SUMIF($F$8:$F$55,$O18,$I$8:$I$55)</f>
        <v>2</v>
      </c>
      <c r="Q18" s="52">
        <f>SUMIF($D$8:$D$55,$O18,$I$8:$I$55)+SUMIF($F$8:$F$55,$O18,$G$8:$G$55)</f>
        <v>5</v>
      </c>
      <c r="R18" s="52">
        <f>P18-Q18</f>
        <v>-3</v>
      </c>
      <c r="S18" s="53">
        <f>SUMIF($D$8:$D$55,$O18,$K$8:$K$55)+SUMIF($F$8:$F$55,$O18,$L$8:$L$55)</f>
        <v>1</v>
      </c>
      <c r="T18" s="96" t="s">
        <v>55</v>
      </c>
      <c r="U18" s="40"/>
      <c r="V18" s="40" t="str">
        <f>O18</f>
        <v>Australië</v>
      </c>
      <c r="W18" s="40" t="s">
        <v>55</v>
      </c>
      <c r="Y18" s="109">
        <f t="shared" si="8"/>
        <v>5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5</v>
      </c>
      <c r="AG18" s="108">
        <f t="shared" si="0"/>
        <v>0</v>
      </c>
      <c r="AH18" s="108">
        <f t="shared" si="1"/>
        <v>0</v>
      </c>
      <c r="AI18" s="108">
        <f t="shared" si="10"/>
        <v>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12">
        <v>12</v>
      </c>
      <c r="C19" s="206">
        <v>41806</v>
      </c>
      <c r="D19" s="14" t="s">
        <v>31</v>
      </c>
      <c r="E19" s="15" t="s">
        <v>9</v>
      </c>
      <c r="F19" s="16" t="s">
        <v>32</v>
      </c>
      <c r="G19" s="85">
        <v>2</v>
      </c>
      <c r="H19" s="15" t="s">
        <v>9</v>
      </c>
      <c r="I19" s="90">
        <v>2</v>
      </c>
      <c r="J19" s="17">
        <f t="shared" si="5"/>
        <v>3</v>
      </c>
      <c r="K19" s="11">
        <f t="shared" si="6"/>
        <v>1</v>
      </c>
      <c r="L19" s="11">
        <f t="shared" si="7"/>
        <v>1</v>
      </c>
      <c r="O19" s="40"/>
      <c r="P19" s="41"/>
      <c r="Q19" s="41"/>
      <c r="R19" s="41"/>
      <c r="S19" s="41"/>
      <c r="T19" s="41"/>
      <c r="U19" s="40"/>
      <c r="V19" s="40"/>
      <c r="W19" s="40"/>
      <c r="Y19" s="109">
        <f t="shared" si="8"/>
        <v>0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0</v>
      </c>
      <c r="AG19" s="108">
        <f t="shared" si="0"/>
        <v>0</v>
      </c>
      <c r="AH19" s="108">
        <f t="shared" si="1"/>
        <v>0</v>
      </c>
      <c r="AI19" s="108">
        <f t="shared" si="10"/>
        <v>0</v>
      </c>
      <c r="AJ19" s="108">
        <f t="shared" si="2"/>
        <v>0</v>
      </c>
      <c r="AK19" s="108">
        <f t="shared" si="3"/>
        <v>0</v>
      </c>
      <c r="AL19" s="108">
        <f t="shared" si="4"/>
        <v>0</v>
      </c>
      <c r="AN19" s="40"/>
      <c r="AO19" s="41"/>
    </row>
    <row r="20" spans="2:41" ht="15.75" thickBot="1">
      <c r="B20" s="18">
        <v>13</v>
      </c>
      <c r="C20" s="207">
        <v>41806</v>
      </c>
      <c r="D20" s="20" t="s">
        <v>33</v>
      </c>
      <c r="E20" s="21" t="s">
        <v>9</v>
      </c>
      <c r="F20" s="30" t="s">
        <v>34</v>
      </c>
      <c r="G20" s="86">
        <v>0</v>
      </c>
      <c r="H20" s="21" t="s">
        <v>9</v>
      </c>
      <c r="I20" s="91">
        <v>3</v>
      </c>
      <c r="J20" s="23">
        <f t="shared" si="5"/>
        <v>2</v>
      </c>
      <c r="K20" s="11">
        <f t="shared" si="6"/>
        <v>0</v>
      </c>
      <c r="L20" s="11">
        <f t="shared" si="7"/>
        <v>3</v>
      </c>
      <c r="O20" s="72" t="s">
        <v>56</v>
      </c>
      <c r="P20" s="73" t="s">
        <v>42</v>
      </c>
      <c r="Q20" s="73" t="s">
        <v>43</v>
      </c>
      <c r="R20" s="74" t="s">
        <v>44</v>
      </c>
      <c r="S20" s="75" t="s">
        <v>45</v>
      </c>
      <c r="T20" s="76" t="s">
        <v>46</v>
      </c>
      <c r="U20" s="40"/>
      <c r="V20" s="40"/>
      <c r="W20" s="40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0"/>
        <v>1</v>
      </c>
      <c r="AH20" s="108">
        <f t="shared" si="1"/>
        <v>0</v>
      </c>
      <c r="AI20" s="108">
        <f t="shared" si="10"/>
        <v>0</v>
      </c>
      <c r="AJ20" s="108">
        <f t="shared" si="2"/>
        <v>0</v>
      </c>
      <c r="AK20" s="108">
        <f t="shared" si="3"/>
        <v>0</v>
      </c>
      <c r="AL20" s="108">
        <f t="shared" si="4"/>
        <v>0</v>
      </c>
      <c r="AN20" s="42" t="s">
        <v>56</v>
      </c>
      <c r="AO20" s="43" t="s">
        <v>46</v>
      </c>
    </row>
    <row r="21" spans="2:41" ht="15.75" thickBot="1">
      <c r="B21" s="24">
        <v>14</v>
      </c>
      <c r="C21" s="208">
        <v>41806</v>
      </c>
      <c r="D21" s="26" t="s">
        <v>35</v>
      </c>
      <c r="E21" s="27" t="s">
        <v>9</v>
      </c>
      <c r="F21" s="28" t="s">
        <v>36</v>
      </c>
      <c r="G21" s="87">
        <v>1</v>
      </c>
      <c r="H21" s="27" t="s">
        <v>9</v>
      </c>
      <c r="I21" s="92">
        <v>3</v>
      </c>
      <c r="J21" s="29">
        <f t="shared" si="5"/>
        <v>2</v>
      </c>
      <c r="K21" s="11">
        <f t="shared" si="6"/>
        <v>0</v>
      </c>
      <c r="L21" s="11">
        <f t="shared" si="7"/>
        <v>3</v>
      </c>
      <c r="O21" s="44" t="s">
        <v>17</v>
      </c>
      <c r="P21" s="45">
        <f>SUMIF($D$8:$D$55,$O21,$G$8:$G$55)+SUMIF($F$8:$F$55,$O21,$I$8:$I$55)</f>
        <v>1</v>
      </c>
      <c r="Q21" s="45">
        <f>SUMIF($D$8:$D$55,$O21,$I$8:$I$55)+SUMIF($F$8:$F$55,$O21,$G$8:$G$55)</f>
        <v>2</v>
      </c>
      <c r="R21" s="46">
        <f>P21-Q21</f>
        <v>-1</v>
      </c>
      <c r="S21" s="47">
        <f>SUMIF($D$8:$D$55,$O21,$K$8:$K$55)+SUMIF($F$8:$F$55,$O21,$L$8:$L$55)</f>
        <v>2</v>
      </c>
      <c r="T21" s="94" t="s">
        <v>59</v>
      </c>
      <c r="U21" s="40"/>
      <c r="V21" s="40" t="str">
        <f>O21</f>
        <v>Colombia</v>
      </c>
      <c r="W21" s="40" t="s">
        <v>57</v>
      </c>
      <c r="Y21" s="109">
        <f t="shared" si="8"/>
        <v>6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6</v>
      </c>
      <c r="AG21" s="108">
        <f t="shared" si="0"/>
        <v>1</v>
      </c>
      <c r="AH21" s="108">
        <f t="shared" si="1"/>
        <v>0</v>
      </c>
      <c r="AI21" s="108">
        <f t="shared" si="10"/>
        <v>0</v>
      </c>
      <c r="AJ21" s="108">
        <f t="shared" si="2"/>
        <v>0</v>
      </c>
      <c r="AK21" s="108">
        <f t="shared" si="3"/>
        <v>5</v>
      </c>
      <c r="AL21" s="108">
        <f t="shared" si="4"/>
        <v>0</v>
      </c>
      <c r="AM21" s="120">
        <f>AO21</f>
        <v>0</v>
      </c>
      <c r="AN21" s="116" t="s">
        <v>17</v>
      </c>
      <c r="AO21" s="115">
        <f>IF(Uitslag!T21="",0,IF(T21=Uitslag!T21,10,0))</f>
        <v>0</v>
      </c>
    </row>
    <row r="22" spans="2:41" ht="15.75" thickBot="1">
      <c r="B22" s="12">
        <v>15</v>
      </c>
      <c r="C22" s="206">
        <v>41807</v>
      </c>
      <c r="D22" s="14" t="s">
        <v>37</v>
      </c>
      <c r="E22" s="15" t="s">
        <v>9</v>
      </c>
      <c r="F22" s="16" t="s">
        <v>38</v>
      </c>
      <c r="G22" s="85">
        <v>2</v>
      </c>
      <c r="H22" s="15" t="s">
        <v>9</v>
      </c>
      <c r="I22" s="90">
        <v>0</v>
      </c>
      <c r="J22" s="17">
        <f t="shared" si="5"/>
        <v>1</v>
      </c>
      <c r="K22" s="11">
        <f t="shared" si="6"/>
        <v>3</v>
      </c>
      <c r="L22" s="11">
        <f t="shared" si="7"/>
        <v>0</v>
      </c>
      <c r="O22" s="48" t="s">
        <v>18</v>
      </c>
      <c r="P22" s="49">
        <f>SUMIF($D$8:$D$55,$O22,$G$8:$G$55)+SUMIF($F$8:$F$55,$O22,$I$8:$I$55)</f>
        <v>2</v>
      </c>
      <c r="Q22" s="49">
        <f>SUMIF($D$8:$D$55,$O22,$I$8:$I$55)+SUMIF($F$8:$F$55,$O22,$G$8:$G$55)</f>
        <v>5</v>
      </c>
      <c r="R22" s="49">
        <f>P22-Q22</f>
        <v>-3</v>
      </c>
      <c r="S22" s="50">
        <f>SUMIF($D$8:$D$55,$O22,$K$8:$K$55)+SUMIF($F$8:$F$55,$O22,$L$8:$L$55)</f>
        <v>1</v>
      </c>
      <c r="T22" s="95" t="s">
        <v>60</v>
      </c>
      <c r="U22" s="40"/>
      <c r="V22" s="40" t="str">
        <f>O22</f>
        <v>Griekenland</v>
      </c>
      <c r="W22" s="40" t="s">
        <v>58</v>
      </c>
      <c r="Y22" s="109">
        <f t="shared" si="8"/>
        <v>6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6</v>
      </c>
      <c r="AG22" s="108">
        <f t="shared" si="0"/>
        <v>1</v>
      </c>
      <c r="AH22" s="108">
        <f t="shared" si="1"/>
        <v>0</v>
      </c>
      <c r="AI22" s="108">
        <f t="shared" si="10"/>
        <v>0</v>
      </c>
      <c r="AJ22" s="108">
        <f t="shared" si="2"/>
        <v>5</v>
      </c>
      <c r="AK22" s="108">
        <f t="shared" si="3"/>
        <v>0</v>
      </c>
      <c r="AL22" s="108">
        <f t="shared" si="4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18">
        <v>16</v>
      </c>
      <c r="C23" s="207">
        <v>41807</v>
      </c>
      <c r="D23" s="20" t="s">
        <v>8</v>
      </c>
      <c r="E23" s="21" t="s">
        <v>9</v>
      </c>
      <c r="F23" s="30" t="s">
        <v>11</v>
      </c>
      <c r="G23" s="86">
        <v>1</v>
      </c>
      <c r="H23" s="21" t="s">
        <v>9</v>
      </c>
      <c r="I23" s="91">
        <v>1</v>
      </c>
      <c r="J23" s="23">
        <f t="shared" si="5"/>
        <v>3</v>
      </c>
      <c r="K23" s="11">
        <f t="shared" si="6"/>
        <v>1</v>
      </c>
      <c r="L23" s="11">
        <f t="shared" si="7"/>
        <v>1</v>
      </c>
      <c r="O23" s="48" t="s">
        <v>23</v>
      </c>
      <c r="P23" s="49">
        <f>SUMIF($D$8:$D$55,$O23,$G$8:$G$55)+SUMIF($F$8:$F$55,$O23,$I$8:$I$55)</f>
        <v>7</v>
      </c>
      <c r="Q23" s="49">
        <f>SUMIF($D$8:$D$55,$O23,$I$8:$I$55)+SUMIF($F$8:$F$55,$O23,$G$8:$G$55)</f>
        <v>2</v>
      </c>
      <c r="R23" s="49">
        <f>P23-Q23</f>
        <v>5</v>
      </c>
      <c r="S23" s="50">
        <f>SUMIF($D$8:$D$55,$O23,$K$8:$K$55)+SUMIF($F$8:$F$55,$O23,$L$8:$L$55)</f>
        <v>9</v>
      </c>
      <c r="T23" s="95" t="s">
        <v>57</v>
      </c>
      <c r="U23" s="40"/>
      <c r="V23" s="40" t="str">
        <f>O23</f>
        <v>Ivoorkust</v>
      </c>
      <c r="W23" s="40" t="s">
        <v>59</v>
      </c>
      <c r="Y23" s="109">
        <f t="shared" si="8"/>
        <v>5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5</v>
      </c>
      <c r="AG23" s="108">
        <f t="shared" si="0"/>
        <v>0</v>
      </c>
      <c r="AH23" s="108">
        <f t="shared" si="1"/>
        <v>0</v>
      </c>
      <c r="AI23" s="108">
        <f t="shared" si="10"/>
        <v>0</v>
      </c>
      <c r="AJ23" s="108">
        <f t="shared" si="2"/>
        <v>0</v>
      </c>
      <c r="AK23" s="108">
        <f t="shared" si="3"/>
        <v>0</v>
      </c>
      <c r="AL23" s="108">
        <f t="shared" si="4"/>
        <v>5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24">
        <v>17</v>
      </c>
      <c r="C24" s="208">
        <v>41807</v>
      </c>
      <c r="D24" s="26" t="s">
        <v>39</v>
      </c>
      <c r="E24" s="27" t="s">
        <v>9</v>
      </c>
      <c r="F24" s="28" t="s">
        <v>40</v>
      </c>
      <c r="G24" s="87">
        <v>0</v>
      </c>
      <c r="H24" s="27" t="s">
        <v>9</v>
      </c>
      <c r="I24" s="92">
        <v>0</v>
      </c>
      <c r="J24" s="29">
        <f t="shared" si="5"/>
        <v>3</v>
      </c>
      <c r="K24" s="11">
        <f t="shared" si="6"/>
        <v>1</v>
      </c>
      <c r="L24" s="11">
        <f t="shared" si="7"/>
        <v>1</v>
      </c>
      <c r="O24" s="51" t="s">
        <v>24</v>
      </c>
      <c r="P24" s="52">
        <f>SUMIF($D$8:$D$55,$O24,$G$8:$G$55)+SUMIF($F$8:$F$55,$O24,$I$8:$I$55)</f>
        <v>2</v>
      </c>
      <c r="Q24" s="52">
        <f>SUMIF($D$8:$D$55,$O24,$I$8:$I$55)+SUMIF($F$8:$F$55,$O24,$G$8:$G$55)</f>
        <v>3</v>
      </c>
      <c r="R24" s="52">
        <f>P24-Q24</f>
        <v>-1</v>
      </c>
      <c r="S24" s="53">
        <f>SUMIF($D$8:$D$55,$O24,$K$8:$K$55)+SUMIF($F$8:$F$55,$O24,$L$8:$L$55)</f>
        <v>4</v>
      </c>
      <c r="T24" s="96" t="s">
        <v>58</v>
      </c>
      <c r="U24" s="40"/>
      <c r="V24" s="40" t="str">
        <f>O24</f>
        <v>Japan</v>
      </c>
      <c r="W24" s="40" t="s">
        <v>60</v>
      </c>
      <c r="Y24" s="109">
        <f t="shared" si="8"/>
        <v>5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5</v>
      </c>
      <c r="AG24" s="108">
        <f t="shared" si="0"/>
        <v>0</v>
      </c>
      <c r="AH24" s="108">
        <f t="shared" si="1"/>
        <v>0</v>
      </c>
      <c r="AI24" s="108">
        <f t="shared" si="10"/>
        <v>0</v>
      </c>
      <c r="AJ24" s="108">
        <f t="shared" si="2"/>
        <v>0</v>
      </c>
      <c r="AK24" s="108">
        <f t="shared" si="3"/>
        <v>0</v>
      </c>
      <c r="AL24" s="108">
        <f t="shared" si="4"/>
        <v>5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12">
        <v>18</v>
      </c>
      <c r="C25" s="206">
        <v>41808</v>
      </c>
      <c r="D25" s="14" t="s">
        <v>16</v>
      </c>
      <c r="E25" s="15" t="s">
        <v>9</v>
      </c>
      <c r="F25" s="31" t="s">
        <v>14</v>
      </c>
      <c r="G25" s="85">
        <v>0</v>
      </c>
      <c r="H25" s="15" t="s">
        <v>9</v>
      </c>
      <c r="I25" s="90">
        <v>2</v>
      </c>
      <c r="J25" s="17">
        <f t="shared" si="5"/>
        <v>2</v>
      </c>
      <c r="K25" s="11">
        <f t="shared" si="6"/>
        <v>0</v>
      </c>
      <c r="L25" s="11">
        <f t="shared" si="7"/>
        <v>3</v>
      </c>
      <c r="O25" s="40"/>
      <c r="P25" s="41"/>
      <c r="Q25" s="41"/>
      <c r="R25" s="41"/>
      <c r="S25" s="41"/>
      <c r="T25" s="41"/>
      <c r="U25" s="40"/>
      <c r="V25" s="40"/>
      <c r="W25" s="40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0"/>
        <v>0</v>
      </c>
      <c r="AH25" s="108">
        <f t="shared" si="1"/>
        <v>0</v>
      </c>
      <c r="AI25" s="108">
        <f t="shared" si="10"/>
        <v>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40"/>
      <c r="AO25" s="41"/>
    </row>
    <row r="26" spans="2:41" ht="15.75" thickBot="1">
      <c r="B26" s="18">
        <v>19</v>
      </c>
      <c r="C26" s="207">
        <v>41808</v>
      </c>
      <c r="D26" s="20" t="s">
        <v>13</v>
      </c>
      <c r="E26" s="21" t="s">
        <v>9</v>
      </c>
      <c r="F26" s="30" t="s">
        <v>15</v>
      </c>
      <c r="G26" s="86">
        <v>1</v>
      </c>
      <c r="H26" s="21" t="s">
        <v>9</v>
      </c>
      <c r="I26" s="91">
        <v>0</v>
      </c>
      <c r="J26" s="23">
        <f t="shared" si="5"/>
        <v>1</v>
      </c>
      <c r="K26" s="11">
        <f t="shared" si="6"/>
        <v>3</v>
      </c>
      <c r="L26" s="11">
        <f t="shared" si="7"/>
        <v>0</v>
      </c>
      <c r="O26" s="72" t="s">
        <v>61</v>
      </c>
      <c r="P26" s="73" t="s">
        <v>42</v>
      </c>
      <c r="Q26" s="73" t="s">
        <v>43</v>
      </c>
      <c r="R26" s="74" t="s">
        <v>44</v>
      </c>
      <c r="S26" s="75" t="s">
        <v>45</v>
      </c>
      <c r="T26" s="76" t="s">
        <v>46</v>
      </c>
      <c r="U26" s="40"/>
      <c r="V26" s="40"/>
      <c r="W26" s="40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0"/>
        <v>0</v>
      </c>
      <c r="AH26" s="108">
        <f t="shared" si="1"/>
        <v>0</v>
      </c>
      <c r="AI26" s="108">
        <f t="shared" si="10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24">
        <v>20</v>
      </c>
      <c r="C27" s="208">
        <v>41808</v>
      </c>
      <c r="D27" s="26" t="s">
        <v>12</v>
      </c>
      <c r="E27" s="27" t="s">
        <v>9</v>
      </c>
      <c r="F27" s="28" t="s">
        <v>10</v>
      </c>
      <c r="G27" s="87">
        <v>1</v>
      </c>
      <c r="H27" s="27" t="s">
        <v>9</v>
      </c>
      <c r="I27" s="92">
        <v>1</v>
      </c>
      <c r="J27" s="29">
        <f t="shared" si="5"/>
        <v>3</v>
      </c>
      <c r="K27" s="11">
        <f t="shared" si="6"/>
        <v>1</v>
      </c>
      <c r="L27" s="11">
        <f t="shared" si="7"/>
        <v>1</v>
      </c>
      <c r="O27" s="44" t="s">
        <v>19</v>
      </c>
      <c r="P27" s="45">
        <f>SUMIF($D$8:$D$55,$O27,$G$8:$G$55)+SUMIF($F$8:$F$55,$O27,$I$8:$I$55)</f>
        <v>2</v>
      </c>
      <c r="Q27" s="45">
        <f>SUMIF($D$8:$D$55,$O27,$I$8:$I$55)+SUMIF($F$8:$F$55,$O27,$G$8:$G$55)</f>
        <v>4</v>
      </c>
      <c r="R27" s="46">
        <f>P27-Q27</f>
        <v>-2</v>
      </c>
      <c r="S27" s="47">
        <f>SUMIF($D$8:$D$55,$O27,$K$8:$K$55)+SUMIF($F$8:$F$55,$O27,$L$8:$L$55)</f>
        <v>3</v>
      </c>
      <c r="T27" s="94" t="s">
        <v>64</v>
      </c>
      <c r="U27" s="40"/>
      <c r="V27" s="40" t="str">
        <f>O27</f>
        <v>Uruguay</v>
      </c>
      <c r="W27" s="40" t="s">
        <v>62</v>
      </c>
      <c r="Y27" s="109">
        <f t="shared" si="8"/>
        <v>0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0</v>
      </c>
      <c r="AG27" s="108">
        <f t="shared" si="0"/>
        <v>0</v>
      </c>
      <c r="AH27" s="108">
        <f t="shared" si="1"/>
        <v>0</v>
      </c>
      <c r="AI27" s="108">
        <f t="shared" si="10"/>
        <v>0</v>
      </c>
      <c r="AJ27" s="108">
        <f t="shared" si="2"/>
        <v>0</v>
      </c>
      <c r="AK27" s="108">
        <f t="shared" si="3"/>
        <v>0</v>
      </c>
      <c r="AL27" s="108">
        <f t="shared" si="4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12">
        <v>21</v>
      </c>
      <c r="C28" s="206">
        <v>41809</v>
      </c>
      <c r="D28" s="14" t="s">
        <v>17</v>
      </c>
      <c r="E28" s="15" t="s">
        <v>9</v>
      </c>
      <c r="F28" s="16" t="s">
        <v>23</v>
      </c>
      <c r="G28" s="85">
        <v>1</v>
      </c>
      <c r="H28" s="15" t="s">
        <v>9</v>
      </c>
      <c r="I28" s="90">
        <v>2</v>
      </c>
      <c r="J28" s="17">
        <f t="shared" si="5"/>
        <v>2</v>
      </c>
      <c r="K28" s="11">
        <f t="shared" si="6"/>
        <v>0</v>
      </c>
      <c r="L28" s="11">
        <f t="shared" si="7"/>
        <v>3</v>
      </c>
      <c r="O28" s="48" t="s">
        <v>20</v>
      </c>
      <c r="P28" s="49">
        <f>SUMIF($D$8:$D$55,$O28,$G$8:$G$55)+SUMIF($F$8:$F$55,$O28,$I$8:$I$55)</f>
        <v>3</v>
      </c>
      <c r="Q28" s="49">
        <f>SUMIF($D$8:$D$55,$O28,$I$8:$I$55)+SUMIF($F$8:$F$55,$O28,$G$8:$G$55)</f>
        <v>8</v>
      </c>
      <c r="R28" s="49">
        <f>P28-Q28</f>
        <v>-5</v>
      </c>
      <c r="S28" s="50">
        <f>SUMIF($D$8:$D$55,$O28,$K$8:$K$55)+SUMIF($F$8:$F$55,$O28,$L$8:$L$55)</f>
        <v>0</v>
      </c>
      <c r="T28" s="95" t="s">
        <v>65</v>
      </c>
      <c r="U28" s="40"/>
      <c r="V28" s="40" t="str">
        <f>O28</f>
        <v>Costa Rica</v>
      </c>
      <c r="W28" s="40" t="s">
        <v>63</v>
      </c>
      <c r="Y28" s="109">
        <f t="shared" si="8"/>
        <v>0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0</v>
      </c>
      <c r="AG28" s="108">
        <f t="shared" si="0"/>
        <v>0</v>
      </c>
      <c r="AH28" s="108">
        <f t="shared" si="1"/>
        <v>0</v>
      </c>
      <c r="AI28" s="108">
        <f t="shared" si="10"/>
        <v>0</v>
      </c>
      <c r="AJ28" s="108">
        <f t="shared" si="2"/>
        <v>0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18">
        <v>22</v>
      </c>
      <c r="C29" s="207">
        <v>41809</v>
      </c>
      <c r="D29" s="20" t="s">
        <v>19</v>
      </c>
      <c r="E29" s="21" t="s">
        <v>9</v>
      </c>
      <c r="F29" s="30" t="s">
        <v>21</v>
      </c>
      <c r="G29" s="86">
        <v>0</v>
      </c>
      <c r="H29" s="21" t="s">
        <v>9</v>
      </c>
      <c r="I29" s="91">
        <v>2</v>
      </c>
      <c r="J29" s="23">
        <f t="shared" si="5"/>
        <v>2</v>
      </c>
      <c r="K29" s="11">
        <f t="shared" si="6"/>
        <v>0</v>
      </c>
      <c r="L29" s="11">
        <f t="shared" si="7"/>
        <v>3</v>
      </c>
      <c r="O29" s="48" t="s">
        <v>21</v>
      </c>
      <c r="P29" s="49">
        <f>SUMIF($D$8:$D$55,$O29,$G$8:$G$55)+SUMIF($F$8:$F$55,$O29,$I$8:$I$55)</f>
        <v>6</v>
      </c>
      <c r="Q29" s="49">
        <f>SUMIF($D$8:$D$55,$O29,$I$8:$I$55)+SUMIF($F$8:$F$55,$O29,$G$8:$G$55)</f>
        <v>2</v>
      </c>
      <c r="R29" s="49">
        <f>P29-Q29</f>
        <v>4</v>
      </c>
      <c r="S29" s="50">
        <f>SUMIF($D$8:$D$55,$O29,$K$8:$K$55)+SUMIF($F$8:$F$55,$O29,$L$8:$L$55)</f>
        <v>7</v>
      </c>
      <c r="T29" s="95" t="s">
        <v>62</v>
      </c>
      <c r="U29" s="40"/>
      <c r="V29" s="40" t="str">
        <f>O29</f>
        <v>Engeland</v>
      </c>
      <c r="W29" s="40" t="s">
        <v>64</v>
      </c>
      <c r="Y29" s="109">
        <f t="shared" si="8"/>
        <v>0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0</v>
      </c>
      <c r="AG29" s="108">
        <f t="shared" si="0"/>
        <v>0</v>
      </c>
      <c r="AH29" s="108">
        <f t="shared" si="1"/>
        <v>0</v>
      </c>
      <c r="AI29" s="108">
        <f t="shared" si="10"/>
        <v>0</v>
      </c>
      <c r="AJ29" s="108">
        <f t="shared" si="2"/>
        <v>0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24">
        <v>23</v>
      </c>
      <c r="C30" s="208">
        <v>41809</v>
      </c>
      <c r="D30" s="26" t="s">
        <v>24</v>
      </c>
      <c r="E30" s="27" t="s">
        <v>9</v>
      </c>
      <c r="F30" s="28" t="s">
        <v>18</v>
      </c>
      <c r="G30" s="87">
        <v>2</v>
      </c>
      <c r="H30" s="27" t="s">
        <v>9</v>
      </c>
      <c r="I30" s="92">
        <v>1</v>
      </c>
      <c r="J30" s="29">
        <f t="shared" si="5"/>
        <v>1</v>
      </c>
      <c r="K30" s="11">
        <f t="shared" si="6"/>
        <v>3</v>
      </c>
      <c r="L30" s="11">
        <f t="shared" si="7"/>
        <v>0</v>
      </c>
      <c r="O30" s="51" t="s">
        <v>22</v>
      </c>
      <c r="P30" s="52">
        <f>SUMIF($D$8:$D$55,$O30,$G$8:$G$55)+SUMIF($F$8:$F$55,$O30,$I$8:$I$55)</f>
        <v>5</v>
      </c>
      <c r="Q30" s="52">
        <f>SUMIF($D$8:$D$55,$O30,$I$8:$I$55)+SUMIF($F$8:$F$55,$O30,$G$8:$G$55)</f>
        <v>2</v>
      </c>
      <c r="R30" s="52">
        <f>P30-Q30</f>
        <v>3</v>
      </c>
      <c r="S30" s="53">
        <f>SUMIF($D$8:$D$55,$O30,$K$8:$K$55)+SUMIF($F$8:$F$55,$O30,$L$8:$L$55)</f>
        <v>7</v>
      </c>
      <c r="T30" s="96" t="s">
        <v>63</v>
      </c>
      <c r="U30" s="40"/>
      <c r="V30" s="40" t="str">
        <f>O30</f>
        <v>Italië</v>
      </c>
      <c r="W30" s="40" t="s">
        <v>65</v>
      </c>
      <c r="Y30" s="109">
        <f t="shared" si="8"/>
        <v>0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0</v>
      </c>
      <c r="AG30" s="108">
        <f t="shared" si="0"/>
        <v>0</v>
      </c>
      <c r="AH30" s="108">
        <f t="shared" si="1"/>
        <v>0</v>
      </c>
      <c r="AI30" s="108">
        <f t="shared" si="10"/>
        <v>0</v>
      </c>
      <c r="AJ30" s="108">
        <f t="shared" si="2"/>
        <v>0</v>
      </c>
      <c r="AK30" s="108">
        <f t="shared" si="3"/>
        <v>0</v>
      </c>
      <c r="AL30" s="108">
        <f t="shared" si="4"/>
        <v>0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12">
        <v>24</v>
      </c>
      <c r="C31" s="206">
        <v>41810</v>
      </c>
      <c r="D31" s="14" t="s">
        <v>22</v>
      </c>
      <c r="E31" s="15" t="s">
        <v>9</v>
      </c>
      <c r="F31" s="16" t="s">
        <v>20</v>
      </c>
      <c r="G31" s="85">
        <v>3</v>
      </c>
      <c r="H31" s="15" t="s">
        <v>9</v>
      </c>
      <c r="I31" s="90">
        <v>1</v>
      </c>
      <c r="J31" s="17">
        <f t="shared" si="5"/>
        <v>1</v>
      </c>
      <c r="K31" s="11">
        <f t="shared" si="6"/>
        <v>3</v>
      </c>
      <c r="L31" s="11">
        <f t="shared" si="7"/>
        <v>0</v>
      </c>
      <c r="O31" s="40"/>
      <c r="P31" s="41"/>
      <c r="Q31" s="41"/>
      <c r="R31" s="41"/>
      <c r="S31" s="41"/>
      <c r="T31" s="41"/>
      <c r="U31" s="40"/>
      <c r="V31" s="40"/>
      <c r="W31" s="40"/>
      <c r="Y31" s="109">
        <f t="shared" si="8"/>
        <v>1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1</v>
      </c>
      <c r="AG31" s="108">
        <f t="shared" si="0"/>
        <v>0</v>
      </c>
      <c r="AH31" s="108">
        <f t="shared" si="1"/>
        <v>1</v>
      </c>
      <c r="AI31" s="108">
        <f t="shared" si="10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40"/>
      <c r="AO31" s="41"/>
    </row>
    <row r="32" spans="2:41" ht="15.75" thickBot="1">
      <c r="B32" s="18">
        <v>25</v>
      </c>
      <c r="C32" s="207">
        <v>41810</v>
      </c>
      <c r="D32" s="20" t="s">
        <v>25</v>
      </c>
      <c r="E32" s="21" t="s">
        <v>9</v>
      </c>
      <c r="F32" s="30" t="s">
        <v>27</v>
      </c>
      <c r="G32" s="86">
        <v>1</v>
      </c>
      <c r="H32" s="21" t="s">
        <v>9</v>
      </c>
      <c r="I32" s="91">
        <v>3</v>
      </c>
      <c r="J32" s="23">
        <f t="shared" si="5"/>
        <v>2</v>
      </c>
      <c r="K32" s="11">
        <f t="shared" si="6"/>
        <v>0</v>
      </c>
      <c r="L32" s="11">
        <f t="shared" si="7"/>
        <v>3</v>
      </c>
      <c r="O32" s="72" t="s">
        <v>66</v>
      </c>
      <c r="P32" s="73" t="s">
        <v>42</v>
      </c>
      <c r="Q32" s="73" t="s">
        <v>43</v>
      </c>
      <c r="R32" s="74" t="s">
        <v>44</v>
      </c>
      <c r="S32" s="75" t="s">
        <v>45</v>
      </c>
      <c r="T32" s="76" t="s">
        <v>46</v>
      </c>
      <c r="U32" s="40"/>
      <c r="V32" s="40"/>
      <c r="W32" s="40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0"/>
        <v>0</v>
      </c>
      <c r="AH32" s="108">
        <f t="shared" si="1"/>
        <v>0</v>
      </c>
      <c r="AI32" s="108">
        <f t="shared" si="10"/>
        <v>0</v>
      </c>
      <c r="AJ32" s="108">
        <f t="shared" si="2"/>
        <v>0</v>
      </c>
      <c r="AK32" s="108">
        <f t="shared" si="3"/>
        <v>5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24">
        <v>26</v>
      </c>
      <c r="C33" s="208">
        <v>41810</v>
      </c>
      <c r="D33" s="26" t="s">
        <v>28</v>
      </c>
      <c r="E33" s="27" t="s">
        <v>9</v>
      </c>
      <c r="F33" s="28" t="s">
        <v>26</v>
      </c>
      <c r="G33" s="87">
        <v>0</v>
      </c>
      <c r="H33" s="27" t="s">
        <v>9</v>
      </c>
      <c r="I33" s="92">
        <v>3</v>
      </c>
      <c r="J33" s="29">
        <f t="shared" si="5"/>
        <v>2</v>
      </c>
      <c r="K33" s="11">
        <f t="shared" si="6"/>
        <v>0</v>
      </c>
      <c r="L33" s="11">
        <f t="shared" si="7"/>
        <v>3</v>
      </c>
      <c r="O33" s="44" t="s">
        <v>25</v>
      </c>
      <c r="P33" s="45">
        <f>SUMIF($D$8:$D$55,$O33,$G$8:$G$55)+SUMIF($F$8:$F$55,$O33,$I$8:$I$55)</f>
        <v>4</v>
      </c>
      <c r="Q33" s="45">
        <f>SUMIF($D$8:$D$55,$O33,$I$8:$I$55)+SUMIF($F$8:$F$55,$O33,$G$8:$G$55)</f>
        <v>6</v>
      </c>
      <c r="R33" s="46">
        <f>P33-Q33</f>
        <v>-2</v>
      </c>
      <c r="S33" s="47">
        <f>SUMIF($D$8:$D$55,$O33,$K$8:$K$55)+SUMIF($F$8:$F$55,$O33,$L$8:$L$55)</f>
        <v>3</v>
      </c>
      <c r="T33" s="94" t="s">
        <v>69</v>
      </c>
      <c r="U33" s="40"/>
      <c r="V33" s="40" t="str">
        <f>O33</f>
        <v>Zwitserland</v>
      </c>
      <c r="W33" s="40" t="s">
        <v>67</v>
      </c>
      <c r="Y33" s="109">
        <f t="shared" si="8"/>
        <v>5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5</v>
      </c>
      <c r="AG33" s="108">
        <f t="shared" si="0"/>
        <v>0</v>
      </c>
      <c r="AH33" s="108">
        <f t="shared" si="1"/>
        <v>0</v>
      </c>
      <c r="AI33" s="108">
        <f t="shared" si="10"/>
        <v>0</v>
      </c>
      <c r="AJ33" s="108">
        <f t="shared" si="2"/>
        <v>0</v>
      </c>
      <c r="AK33" s="108">
        <f t="shared" si="3"/>
        <v>5</v>
      </c>
      <c r="AL33" s="108">
        <f t="shared" si="4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12">
        <v>27</v>
      </c>
      <c r="C34" s="206">
        <v>41811</v>
      </c>
      <c r="D34" s="14" t="s">
        <v>29</v>
      </c>
      <c r="E34" s="15" t="s">
        <v>9</v>
      </c>
      <c r="F34" s="16" t="s">
        <v>33</v>
      </c>
      <c r="G34" s="85">
        <v>4</v>
      </c>
      <c r="H34" s="15" t="s">
        <v>9</v>
      </c>
      <c r="I34" s="90">
        <v>1</v>
      </c>
      <c r="J34" s="17">
        <f t="shared" si="5"/>
        <v>1</v>
      </c>
      <c r="K34" s="11">
        <f t="shared" si="6"/>
        <v>3</v>
      </c>
      <c r="L34" s="11">
        <f t="shared" si="7"/>
        <v>0</v>
      </c>
      <c r="O34" s="48" t="s">
        <v>26</v>
      </c>
      <c r="P34" s="49">
        <f>SUMIF($D$8:$D$55,$O34,$G$8:$G$55)+SUMIF($F$8:$F$55,$O34,$I$8:$I$55)</f>
        <v>7</v>
      </c>
      <c r="Q34" s="49">
        <f>SUMIF($D$8:$D$55,$O34,$I$8:$I$55)+SUMIF($F$8:$F$55,$O34,$G$8:$G$55)</f>
        <v>2</v>
      </c>
      <c r="R34" s="49">
        <f>P34-Q34</f>
        <v>5</v>
      </c>
      <c r="S34" s="50">
        <f>SUMIF($D$8:$D$55,$O34,$K$8:$K$55)+SUMIF($F$8:$F$55,$O34,$L$8:$L$55)</f>
        <v>9</v>
      </c>
      <c r="T34" s="95" t="s">
        <v>67</v>
      </c>
      <c r="U34" s="40"/>
      <c r="V34" s="40" t="str">
        <f>O34</f>
        <v>Ecuador</v>
      </c>
      <c r="W34" s="40" t="s">
        <v>68</v>
      </c>
      <c r="Y34" s="109">
        <f t="shared" si="8"/>
        <v>5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5</v>
      </c>
      <c r="AG34" s="108">
        <f t="shared" si="0"/>
        <v>0</v>
      </c>
      <c r="AH34" s="108">
        <f t="shared" si="1"/>
        <v>0</v>
      </c>
      <c r="AI34" s="108">
        <f t="shared" si="10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18">
        <v>28</v>
      </c>
      <c r="C35" s="207">
        <v>41811</v>
      </c>
      <c r="D35" s="20" t="s">
        <v>31</v>
      </c>
      <c r="E35" s="21" t="s">
        <v>9</v>
      </c>
      <c r="F35" s="30" t="s">
        <v>35</v>
      </c>
      <c r="G35" s="86">
        <v>2</v>
      </c>
      <c r="H35" s="21" t="s">
        <v>9</v>
      </c>
      <c r="I35" s="91">
        <v>0</v>
      </c>
      <c r="J35" s="23">
        <f t="shared" si="5"/>
        <v>1</v>
      </c>
      <c r="K35" s="11">
        <f t="shared" si="6"/>
        <v>3</v>
      </c>
      <c r="L35" s="11">
        <f t="shared" si="7"/>
        <v>0</v>
      </c>
      <c r="O35" s="48" t="s">
        <v>27</v>
      </c>
      <c r="P35" s="49">
        <f>SUMIF($D$8:$D$55,$O35,$G$8:$G$55)+SUMIF($F$8:$F$55,$O35,$I$8:$I$55)</f>
        <v>7</v>
      </c>
      <c r="Q35" s="49">
        <f>SUMIF($D$8:$D$55,$O35,$I$8:$I$55)+SUMIF($F$8:$F$55,$O35,$G$8:$G$55)</f>
        <v>3</v>
      </c>
      <c r="R35" s="49">
        <f>P35-Q35</f>
        <v>4</v>
      </c>
      <c r="S35" s="50">
        <f>SUMIF($D$8:$D$55,$O35,$K$8:$K$55)+SUMIF($F$8:$F$55,$O35,$L$8:$L$55)</f>
        <v>6</v>
      </c>
      <c r="T35" s="95" t="s">
        <v>68</v>
      </c>
      <c r="U35" s="40"/>
      <c r="V35" s="40" t="str">
        <f>O35</f>
        <v>Frankrijk</v>
      </c>
      <c r="W35" s="40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0"/>
        <v>1</v>
      </c>
      <c r="AH35" s="108">
        <f t="shared" si="1"/>
        <v>0</v>
      </c>
      <c r="AI35" s="108">
        <f t="shared" si="10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0</v>
      </c>
      <c r="AN35" s="117" t="s">
        <v>27</v>
      </c>
      <c r="AO35" s="115">
        <f>IF(Uitslag!T35="",0,IF(T35=Uitslag!T35,10,0))</f>
        <v>0</v>
      </c>
    </row>
    <row r="36" spans="2:41" ht="15.75" thickBot="1">
      <c r="B36" s="24">
        <v>29</v>
      </c>
      <c r="C36" s="208">
        <v>41811</v>
      </c>
      <c r="D36" s="26" t="s">
        <v>34</v>
      </c>
      <c r="E36" s="27" t="s">
        <v>9</v>
      </c>
      <c r="F36" s="28" t="s">
        <v>30</v>
      </c>
      <c r="G36" s="87">
        <v>1</v>
      </c>
      <c r="H36" s="27" t="s">
        <v>9</v>
      </c>
      <c r="I36" s="92">
        <v>1</v>
      </c>
      <c r="J36" s="29">
        <f t="shared" si="5"/>
        <v>3</v>
      </c>
      <c r="K36" s="11">
        <f t="shared" si="6"/>
        <v>1</v>
      </c>
      <c r="L36" s="11">
        <f t="shared" si="7"/>
        <v>1</v>
      </c>
      <c r="O36" s="51" t="s">
        <v>28</v>
      </c>
      <c r="P36" s="52">
        <f>SUMIF($D$8:$D$55,$O36,$G$8:$G$55)+SUMIF($F$8:$F$55,$O36,$I$8:$I$55)</f>
        <v>1</v>
      </c>
      <c r="Q36" s="52">
        <f>SUMIF($D$8:$D$55,$O36,$I$8:$I$55)+SUMIF($F$8:$F$55,$O36,$G$8:$G$55)</f>
        <v>8</v>
      </c>
      <c r="R36" s="52">
        <f>P36-Q36</f>
        <v>-7</v>
      </c>
      <c r="S36" s="53">
        <f>SUMIF($D$8:$D$55,$O36,$K$8:$K$55)+SUMIF($F$8:$F$55,$O36,$L$8:$L$55)</f>
        <v>0</v>
      </c>
      <c r="T36" s="96" t="s">
        <v>70</v>
      </c>
      <c r="U36" s="40"/>
      <c r="V36" s="40" t="str">
        <f>O36</f>
        <v>Honduras</v>
      </c>
      <c r="W36" s="40" t="s">
        <v>70</v>
      </c>
      <c r="Y36" s="109">
        <f t="shared" si="8"/>
        <v>1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1</v>
      </c>
      <c r="AG36" s="108">
        <f t="shared" si="0"/>
        <v>1</v>
      </c>
      <c r="AH36" s="108">
        <f t="shared" si="1"/>
        <v>0</v>
      </c>
      <c r="AI36" s="108">
        <f t="shared" si="10"/>
        <v>0</v>
      </c>
      <c r="AJ36" s="108">
        <f t="shared" si="2"/>
        <v>0</v>
      </c>
      <c r="AK36" s="108">
        <f t="shared" si="3"/>
        <v>0</v>
      </c>
      <c r="AL36" s="108">
        <f t="shared" si="4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12">
        <v>30</v>
      </c>
      <c r="C37" s="206">
        <v>41812</v>
      </c>
      <c r="D37" s="14" t="s">
        <v>37</v>
      </c>
      <c r="E37" s="15" t="s">
        <v>9</v>
      </c>
      <c r="F37" s="16" t="s">
        <v>39</v>
      </c>
      <c r="G37" s="85">
        <v>1</v>
      </c>
      <c r="H37" s="15" t="s">
        <v>9</v>
      </c>
      <c r="I37" s="90">
        <v>1</v>
      </c>
      <c r="J37" s="17">
        <f t="shared" si="5"/>
        <v>3</v>
      </c>
      <c r="K37" s="11">
        <f t="shared" si="6"/>
        <v>1</v>
      </c>
      <c r="L37" s="11">
        <f t="shared" si="7"/>
        <v>1</v>
      </c>
      <c r="O37" s="40"/>
      <c r="P37" s="41"/>
      <c r="Q37" s="41"/>
      <c r="R37" s="41"/>
      <c r="S37" s="41"/>
      <c r="T37" s="41"/>
      <c r="U37" s="40"/>
      <c r="V37" s="40"/>
      <c r="W37" s="40"/>
      <c r="Y37" s="109">
        <f t="shared" si="8"/>
        <v>1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1</v>
      </c>
      <c r="AG37" s="108">
        <f t="shared" si="0"/>
        <v>1</v>
      </c>
      <c r="AH37" s="108">
        <f t="shared" si="1"/>
        <v>0</v>
      </c>
      <c r="AI37" s="108">
        <f t="shared" si="10"/>
        <v>0</v>
      </c>
      <c r="AJ37" s="108">
        <f t="shared" si="2"/>
        <v>0</v>
      </c>
      <c r="AK37" s="108">
        <f t="shared" si="3"/>
        <v>0</v>
      </c>
      <c r="AL37" s="108">
        <f t="shared" si="4"/>
        <v>0</v>
      </c>
      <c r="AN37" s="40"/>
      <c r="AO37" s="41"/>
    </row>
    <row r="38" spans="2:41" ht="15.75" thickBot="1">
      <c r="B38" s="18">
        <v>31</v>
      </c>
      <c r="C38" s="207">
        <v>41812</v>
      </c>
      <c r="D38" s="20" t="s">
        <v>40</v>
      </c>
      <c r="E38" s="21" t="s">
        <v>9</v>
      </c>
      <c r="F38" s="30" t="s">
        <v>38</v>
      </c>
      <c r="G38" s="86">
        <v>2</v>
      </c>
      <c r="H38" s="21" t="s">
        <v>9</v>
      </c>
      <c r="I38" s="91">
        <v>1</v>
      </c>
      <c r="J38" s="23">
        <f t="shared" si="5"/>
        <v>1</v>
      </c>
      <c r="K38" s="11">
        <f t="shared" si="6"/>
        <v>3</v>
      </c>
      <c r="L38" s="11">
        <f t="shared" si="7"/>
        <v>0</v>
      </c>
      <c r="O38" s="72" t="s">
        <v>71</v>
      </c>
      <c r="P38" s="73" t="s">
        <v>42</v>
      </c>
      <c r="Q38" s="73" t="s">
        <v>43</v>
      </c>
      <c r="R38" s="74" t="s">
        <v>44</v>
      </c>
      <c r="S38" s="75" t="s">
        <v>45</v>
      </c>
      <c r="T38" s="76" t="s">
        <v>46</v>
      </c>
      <c r="U38" s="40"/>
      <c r="V38" s="40"/>
      <c r="W38" s="40"/>
      <c r="Y38" s="109">
        <f t="shared" si="8"/>
        <v>1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1</v>
      </c>
      <c r="AG38" s="108">
        <f t="shared" si="0"/>
        <v>1</v>
      </c>
      <c r="AH38" s="108">
        <f t="shared" si="1"/>
        <v>0</v>
      </c>
      <c r="AI38" s="108">
        <f t="shared" si="10"/>
        <v>0</v>
      </c>
      <c r="AJ38" s="108">
        <f t="shared" si="2"/>
        <v>0</v>
      </c>
      <c r="AK38" s="108">
        <f t="shared" si="3"/>
        <v>0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24">
        <v>32</v>
      </c>
      <c r="C39" s="208">
        <v>41812</v>
      </c>
      <c r="D39" s="26" t="s">
        <v>36</v>
      </c>
      <c r="E39" s="27" t="s">
        <v>9</v>
      </c>
      <c r="F39" s="28" t="s">
        <v>32</v>
      </c>
      <c r="G39" s="87">
        <v>1</v>
      </c>
      <c r="H39" s="27" t="s">
        <v>9</v>
      </c>
      <c r="I39" s="92">
        <v>1</v>
      </c>
      <c r="J39" s="29">
        <f t="shared" si="5"/>
        <v>3</v>
      </c>
      <c r="K39" s="11">
        <f t="shared" si="6"/>
        <v>1</v>
      </c>
      <c r="L39" s="11">
        <f t="shared" si="7"/>
        <v>1</v>
      </c>
      <c r="O39" s="44" t="s">
        <v>29</v>
      </c>
      <c r="P39" s="45">
        <f>SUMIF($D$8:$D$55,$O39,$G$8:$G$55)+SUMIF($F$8:$F$55,$O39,$I$8:$I$55)</f>
        <v>10</v>
      </c>
      <c r="Q39" s="45">
        <f>SUMIF($D$8:$D$55,$O39,$I$8:$I$55)+SUMIF($F$8:$F$55,$O39,$G$8:$G$55)</f>
        <v>4</v>
      </c>
      <c r="R39" s="46">
        <f>P39-Q39</f>
        <v>6</v>
      </c>
      <c r="S39" s="47">
        <f>SUMIF($D$8:$D$55,$O39,$K$8:$K$55)+SUMIF($F$8:$F$55,$O39,$L$8:$L$55)</f>
        <v>9</v>
      </c>
      <c r="T39" s="94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5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5</v>
      </c>
      <c r="AG39" s="108">
        <f t="shared" si="0"/>
        <v>0</v>
      </c>
      <c r="AH39" s="108">
        <f t="shared" si="1"/>
        <v>0</v>
      </c>
      <c r="AI39" s="108">
        <f t="shared" si="10"/>
        <v>0</v>
      </c>
      <c r="AJ39" s="108">
        <f t="shared" si="2"/>
        <v>0</v>
      </c>
      <c r="AK39" s="108">
        <f t="shared" si="3"/>
        <v>0</v>
      </c>
      <c r="AL39" s="108">
        <f t="shared" si="4"/>
        <v>5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12">
        <v>33</v>
      </c>
      <c r="C40" s="206">
        <v>41813</v>
      </c>
      <c r="D40" s="14" t="s">
        <v>16</v>
      </c>
      <c r="E40" s="15" t="s">
        <v>9</v>
      </c>
      <c r="F40" s="16" t="s">
        <v>13</v>
      </c>
      <c r="G40" s="85">
        <v>0</v>
      </c>
      <c r="H40" s="15" t="s">
        <v>9</v>
      </c>
      <c r="I40" s="90">
        <v>1</v>
      </c>
      <c r="J40" s="17">
        <f t="shared" si="5"/>
        <v>2</v>
      </c>
      <c r="K40" s="11">
        <f t="shared" si="6"/>
        <v>0</v>
      </c>
      <c r="L40" s="11">
        <f t="shared" si="7"/>
        <v>3</v>
      </c>
      <c r="O40" s="48" t="s">
        <v>30</v>
      </c>
      <c r="P40" s="49">
        <f>SUMIF($D$8:$D$55,$O40,$G$8:$G$55)+SUMIF($F$8:$F$55,$O40,$I$8:$I$55)</f>
        <v>5</v>
      </c>
      <c r="Q40" s="49">
        <f>SUMIF($D$8:$D$55,$O40,$I$8:$I$55)+SUMIF($F$8:$F$55,$O40,$G$8:$G$55)</f>
        <v>5</v>
      </c>
      <c r="R40" s="49">
        <f>P40-Q40</f>
        <v>0</v>
      </c>
      <c r="S40" s="50">
        <f>SUMIF($D$8:$D$55,$O40,$K$8:$K$55)+SUMIF($F$8:$F$55,$O40,$L$8:$L$55)</f>
        <v>4</v>
      </c>
      <c r="T40" s="95" t="s">
        <v>73</v>
      </c>
      <c r="U40" s="40"/>
      <c r="V40" s="40" t="str">
        <f>O40</f>
        <v>Bosnië H.</v>
      </c>
      <c r="W40" s="40" t="s">
        <v>73</v>
      </c>
      <c r="Y40" s="109">
        <f t="shared" si="8"/>
        <v>6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6</v>
      </c>
      <c r="AG40" s="108">
        <f t="shared" si="0"/>
        <v>1</v>
      </c>
      <c r="AH40" s="108">
        <f t="shared" si="1"/>
        <v>0</v>
      </c>
      <c r="AI40" s="108">
        <f t="shared" si="10"/>
        <v>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0</v>
      </c>
      <c r="AN40" s="117" t="s">
        <v>30</v>
      </c>
      <c r="AO40" s="115">
        <f>IF(Uitslag!T40="",0,IF(T40=Uitslag!T40,10,0))</f>
        <v>0</v>
      </c>
    </row>
    <row r="41" spans="2:41" ht="15.75" thickBot="1">
      <c r="B41" s="18">
        <v>34</v>
      </c>
      <c r="C41" s="207">
        <v>41813</v>
      </c>
      <c r="D41" s="32" t="s">
        <v>14</v>
      </c>
      <c r="E41" s="21" t="s">
        <v>9</v>
      </c>
      <c r="F41" s="30" t="s">
        <v>15</v>
      </c>
      <c r="G41" s="86">
        <v>2</v>
      </c>
      <c r="H41" s="21" t="s">
        <v>9</v>
      </c>
      <c r="I41" s="91">
        <v>1</v>
      </c>
      <c r="J41" s="23">
        <f t="shared" si="5"/>
        <v>1</v>
      </c>
      <c r="K41" s="11">
        <f t="shared" si="6"/>
        <v>3</v>
      </c>
      <c r="L41" s="11">
        <f t="shared" si="7"/>
        <v>0</v>
      </c>
      <c r="O41" s="48" t="s">
        <v>33</v>
      </c>
      <c r="P41" s="49">
        <f>SUMIF($D$8:$D$55,$O41,$G$8:$G$55)+SUMIF($F$8:$F$55,$O41,$I$8:$I$55)</f>
        <v>1</v>
      </c>
      <c r="Q41" s="49">
        <f>SUMIF($D$8:$D$55,$O41,$I$8:$I$55)+SUMIF($F$8:$F$55,$O41,$G$8:$G$55)</f>
        <v>9</v>
      </c>
      <c r="R41" s="49">
        <f>P41-Q41</f>
        <v>-8</v>
      </c>
      <c r="S41" s="50">
        <f>SUMIF($D$8:$D$55,$O41,$K$8:$K$55)+SUMIF($F$8:$F$55,$O41,$L$8:$L$55)</f>
        <v>0</v>
      </c>
      <c r="T41" s="95" t="s">
        <v>75</v>
      </c>
      <c r="U41" s="40"/>
      <c r="V41" s="40" t="str">
        <f>O41</f>
        <v>Iran</v>
      </c>
      <c r="W41" s="40" t="s">
        <v>74</v>
      </c>
      <c r="Y41" s="109">
        <f t="shared" si="8"/>
        <v>6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6</v>
      </c>
      <c r="AG41" s="108">
        <f t="shared" si="0"/>
        <v>1</v>
      </c>
      <c r="AH41" s="108">
        <f t="shared" si="1"/>
        <v>0</v>
      </c>
      <c r="AI41" s="108">
        <f t="shared" si="10"/>
        <v>0</v>
      </c>
      <c r="AJ41" s="108">
        <f t="shared" si="2"/>
        <v>5</v>
      </c>
      <c r="AK41" s="108">
        <f t="shared" si="3"/>
        <v>0</v>
      </c>
      <c r="AL41" s="108">
        <f t="shared" si="4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18">
        <v>35</v>
      </c>
      <c r="C42" s="207">
        <v>41813</v>
      </c>
      <c r="D42" s="20" t="s">
        <v>12</v>
      </c>
      <c r="E42" s="21" t="s">
        <v>9</v>
      </c>
      <c r="F42" s="30" t="s">
        <v>8</v>
      </c>
      <c r="G42" s="86">
        <v>1</v>
      </c>
      <c r="H42" s="21" t="s">
        <v>9</v>
      </c>
      <c r="I42" s="91">
        <v>3</v>
      </c>
      <c r="J42" s="23">
        <f t="shared" si="5"/>
        <v>2</v>
      </c>
      <c r="K42" s="11">
        <f t="shared" si="6"/>
        <v>0</v>
      </c>
      <c r="L42" s="11">
        <f t="shared" si="7"/>
        <v>3</v>
      </c>
      <c r="O42" s="51" t="s">
        <v>34</v>
      </c>
      <c r="P42" s="52">
        <f>SUMIF($D$8:$D$55,$O42,$G$8:$G$55)+SUMIF($F$8:$F$55,$O42,$I$8:$I$55)</f>
        <v>5</v>
      </c>
      <c r="Q42" s="52">
        <f>SUMIF($D$8:$D$55,$O42,$I$8:$I$55)+SUMIF($F$8:$F$55,$O42,$G$8:$G$55)</f>
        <v>3</v>
      </c>
      <c r="R42" s="52">
        <f>P42-Q42</f>
        <v>2</v>
      </c>
      <c r="S42" s="53">
        <f>SUMIF($D$8:$D$55,$O42,$K$8:$K$55)+SUMIF($F$8:$F$55,$O42,$L$8:$L$55)</f>
        <v>4</v>
      </c>
      <c r="T42" s="96" t="s">
        <v>74</v>
      </c>
      <c r="U42" s="40"/>
      <c r="V42" s="40" t="str">
        <f>O42</f>
        <v>Nigeria</v>
      </c>
      <c r="W42" s="40" t="s">
        <v>75</v>
      </c>
      <c r="Y42" s="109">
        <f t="shared" si="8"/>
        <v>6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6</v>
      </c>
      <c r="AG42" s="108">
        <f t="shared" si="0"/>
        <v>1</v>
      </c>
      <c r="AH42" s="108">
        <f t="shared" si="1"/>
        <v>0</v>
      </c>
      <c r="AI42" s="108">
        <f t="shared" si="10"/>
        <v>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0</v>
      </c>
      <c r="AN42" s="118" t="s">
        <v>34</v>
      </c>
      <c r="AO42" s="115">
        <f>IF(Uitslag!T42="",0,IF(T42=Uitslag!T42,10,0))</f>
        <v>0</v>
      </c>
    </row>
    <row r="43" spans="2:41" ht="15.75" thickBot="1">
      <c r="B43" s="24">
        <v>36</v>
      </c>
      <c r="C43" s="208">
        <v>41813</v>
      </c>
      <c r="D43" s="26" t="s">
        <v>10</v>
      </c>
      <c r="E43" s="27" t="s">
        <v>9</v>
      </c>
      <c r="F43" s="28" t="s">
        <v>11</v>
      </c>
      <c r="G43" s="87">
        <v>2</v>
      </c>
      <c r="H43" s="27" t="s">
        <v>9</v>
      </c>
      <c r="I43" s="92">
        <v>1</v>
      </c>
      <c r="J43" s="29">
        <f t="shared" si="5"/>
        <v>1</v>
      </c>
      <c r="K43" s="11">
        <f t="shared" si="6"/>
        <v>3</v>
      </c>
      <c r="L43" s="11">
        <f t="shared" si="7"/>
        <v>0</v>
      </c>
      <c r="O43" s="40"/>
      <c r="P43" s="41"/>
      <c r="Q43" s="41"/>
      <c r="R43" s="41"/>
      <c r="S43" s="41"/>
      <c r="T43" s="41"/>
      <c r="U43" s="40"/>
      <c r="V43" s="40"/>
      <c r="W43" s="40"/>
      <c r="Y43" s="109">
        <f t="shared" si="8"/>
        <v>0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0</v>
      </c>
      <c r="AG43" s="108">
        <f t="shared" si="0"/>
        <v>0</v>
      </c>
      <c r="AH43" s="108">
        <f t="shared" si="1"/>
        <v>0</v>
      </c>
      <c r="AI43" s="108">
        <f t="shared" si="10"/>
        <v>0</v>
      </c>
      <c r="AJ43" s="108">
        <f t="shared" si="2"/>
        <v>0</v>
      </c>
      <c r="AK43" s="108">
        <f t="shared" si="3"/>
        <v>0</v>
      </c>
      <c r="AL43" s="108">
        <f t="shared" si="4"/>
        <v>0</v>
      </c>
      <c r="AN43" s="40"/>
      <c r="AO43" s="41"/>
    </row>
    <row r="44" spans="2:41" ht="15.75" thickBot="1">
      <c r="B44" s="12">
        <v>37</v>
      </c>
      <c r="C44" s="206">
        <v>41814</v>
      </c>
      <c r="D44" s="14" t="s">
        <v>22</v>
      </c>
      <c r="E44" s="15" t="s">
        <v>9</v>
      </c>
      <c r="F44" s="16" t="s">
        <v>19</v>
      </c>
      <c r="G44" s="85">
        <v>1</v>
      </c>
      <c r="H44" s="15" t="s">
        <v>9</v>
      </c>
      <c r="I44" s="90">
        <v>0</v>
      </c>
      <c r="J44" s="17">
        <f t="shared" si="5"/>
        <v>1</v>
      </c>
      <c r="K44" s="11">
        <f t="shared" si="6"/>
        <v>3</v>
      </c>
      <c r="L44" s="11">
        <f t="shared" si="7"/>
        <v>0</v>
      </c>
      <c r="O44" s="72" t="s">
        <v>76</v>
      </c>
      <c r="P44" s="73" t="s">
        <v>42</v>
      </c>
      <c r="Q44" s="73" t="s">
        <v>43</v>
      </c>
      <c r="R44" s="74" t="s">
        <v>44</v>
      </c>
      <c r="S44" s="75" t="s">
        <v>45</v>
      </c>
      <c r="T44" s="76" t="s">
        <v>46</v>
      </c>
      <c r="U44" s="40"/>
      <c r="V44" s="40"/>
      <c r="W44" s="40"/>
      <c r="Y44" s="109">
        <f t="shared" si="8"/>
        <v>0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0</v>
      </c>
      <c r="AG44" s="108">
        <f t="shared" si="0"/>
        <v>0</v>
      </c>
      <c r="AH44" s="108">
        <f t="shared" si="1"/>
        <v>0</v>
      </c>
      <c r="AI44" s="108">
        <f t="shared" si="10"/>
        <v>0</v>
      </c>
      <c r="AJ44" s="108">
        <f t="shared" si="2"/>
        <v>0</v>
      </c>
      <c r="AK44" s="108">
        <f t="shared" si="3"/>
        <v>0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18">
        <v>38</v>
      </c>
      <c r="C45" s="207">
        <v>41814</v>
      </c>
      <c r="D45" s="20" t="s">
        <v>20</v>
      </c>
      <c r="E45" s="21" t="s">
        <v>9</v>
      </c>
      <c r="F45" s="30" t="s">
        <v>21</v>
      </c>
      <c r="G45" s="86">
        <v>1</v>
      </c>
      <c r="H45" s="21" t="s">
        <v>9</v>
      </c>
      <c r="I45" s="91">
        <v>3</v>
      </c>
      <c r="J45" s="23">
        <f t="shared" si="5"/>
        <v>2</v>
      </c>
      <c r="K45" s="11">
        <f t="shared" si="6"/>
        <v>0</v>
      </c>
      <c r="L45" s="11">
        <f t="shared" si="7"/>
        <v>3</v>
      </c>
      <c r="O45" s="44" t="s">
        <v>31</v>
      </c>
      <c r="P45" s="45">
        <f>SUMIF($D$8:$D$55,$O45,$G$8:$G$55)+SUMIF($F$8:$F$55,$O45,$I$8:$I$55)</f>
        <v>7</v>
      </c>
      <c r="Q45" s="45">
        <f>SUMIF($D$8:$D$55,$O45,$I$8:$I$55)+SUMIF($F$8:$F$55,$O45,$G$8:$G$55)</f>
        <v>3</v>
      </c>
      <c r="R45" s="46">
        <f>P45-Q45</f>
        <v>4</v>
      </c>
      <c r="S45" s="47">
        <f>SUMIF($D$8:$D$55,$O45,$K$8:$K$55)+SUMIF($F$8:$F$55,$O45,$L$8:$L$55)</f>
        <v>7</v>
      </c>
      <c r="T45" s="94" t="s">
        <v>77</v>
      </c>
      <c r="U45" s="40"/>
      <c r="V45" s="40" t="str">
        <f>O45</f>
        <v>Duitsland</v>
      </c>
      <c r="W45" s="40" t="s">
        <v>77</v>
      </c>
      <c r="Y45" s="109">
        <f t="shared" si="8"/>
        <v>0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0</v>
      </c>
      <c r="AG45" s="108">
        <f t="shared" si="0"/>
        <v>0</v>
      </c>
      <c r="AH45" s="108">
        <f t="shared" si="1"/>
        <v>0</v>
      </c>
      <c r="AI45" s="108">
        <f t="shared" si="10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18">
        <v>39</v>
      </c>
      <c r="C46" s="207">
        <v>41814</v>
      </c>
      <c r="D46" s="20" t="s">
        <v>24</v>
      </c>
      <c r="E46" s="21" t="s">
        <v>9</v>
      </c>
      <c r="F46" s="30" t="s">
        <v>17</v>
      </c>
      <c r="G46" s="86">
        <v>0</v>
      </c>
      <c r="H46" s="21" t="s">
        <v>9</v>
      </c>
      <c r="I46" s="91">
        <v>0</v>
      </c>
      <c r="J46" s="23">
        <f t="shared" si="5"/>
        <v>3</v>
      </c>
      <c r="K46" s="11">
        <f t="shared" si="6"/>
        <v>1</v>
      </c>
      <c r="L46" s="11">
        <f t="shared" si="7"/>
        <v>1</v>
      </c>
      <c r="O46" s="48" t="s">
        <v>32</v>
      </c>
      <c r="P46" s="49">
        <f>SUMIF($D$8:$D$55,$O46,$G$8:$G$55)+SUMIF($F$8:$F$55,$O46,$I$8:$I$55)</f>
        <v>5</v>
      </c>
      <c r="Q46" s="49">
        <f>SUMIF($D$8:$D$55,$O46,$I$8:$I$55)+SUMIF($F$8:$F$55,$O46,$G$8:$G$55)</f>
        <v>4</v>
      </c>
      <c r="R46" s="49">
        <f>P46-Q46</f>
        <v>1</v>
      </c>
      <c r="S46" s="50">
        <f>SUMIF($D$8:$D$55,$O46,$K$8:$K$55)+SUMIF($F$8:$F$55,$O46,$L$8:$L$55)</f>
        <v>5</v>
      </c>
      <c r="T46" s="95" t="s">
        <v>78</v>
      </c>
      <c r="U46" s="40"/>
      <c r="V46" s="40" t="str">
        <f>O46</f>
        <v>Portugal</v>
      </c>
      <c r="W46" s="40" t="s">
        <v>78</v>
      </c>
      <c r="Y46" s="109">
        <f t="shared" si="8"/>
        <v>0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0</v>
      </c>
      <c r="AG46" s="108">
        <f t="shared" si="0"/>
        <v>0</v>
      </c>
      <c r="AH46" s="108">
        <f t="shared" si="1"/>
        <v>0</v>
      </c>
      <c r="AI46" s="108">
        <f t="shared" si="10"/>
        <v>0</v>
      </c>
      <c r="AJ46" s="108">
        <f t="shared" si="2"/>
        <v>0</v>
      </c>
      <c r="AK46" s="108">
        <f t="shared" si="3"/>
        <v>0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24">
        <v>40</v>
      </c>
      <c r="C47" s="208">
        <v>41814</v>
      </c>
      <c r="D47" s="26" t="s">
        <v>18</v>
      </c>
      <c r="E47" s="27" t="s">
        <v>9</v>
      </c>
      <c r="F47" s="28" t="s">
        <v>23</v>
      </c>
      <c r="G47" s="87">
        <v>1</v>
      </c>
      <c r="H47" s="27" t="s">
        <v>9</v>
      </c>
      <c r="I47" s="92">
        <v>3</v>
      </c>
      <c r="J47" s="29">
        <f t="shared" si="5"/>
        <v>2</v>
      </c>
      <c r="K47" s="11">
        <f t="shared" si="6"/>
        <v>0</v>
      </c>
      <c r="L47" s="11">
        <f t="shared" si="7"/>
        <v>3</v>
      </c>
      <c r="O47" s="48" t="s">
        <v>35</v>
      </c>
      <c r="P47" s="49">
        <f>SUMIF($D$8:$D$55,$O47,$G$8:$G$55)+SUMIF($F$8:$F$55,$O47,$I$8:$I$55)</f>
        <v>2</v>
      </c>
      <c r="Q47" s="49">
        <f>SUMIF($D$8:$D$55,$O47,$I$8:$I$55)+SUMIF($F$8:$F$55,$O47,$G$8:$G$55)</f>
        <v>7</v>
      </c>
      <c r="R47" s="49">
        <f>P47-Q47</f>
        <v>-5</v>
      </c>
      <c r="S47" s="50">
        <f>SUMIF($D$8:$D$55,$O47,$K$8:$K$55)+SUMIF($F$8:$F$55,$O47,$L$8:$L$55)</f>
        <v>0</v>
      </c>
      <c r="T47" s="95" t="s">
        <v>80</v>
      </c>
      <c r="U47" s="40"/>
      <c r="V47" s="40" t="str">
        <f>O47</f>
        <v>Ghana</v>
      </c>
      <c r="W47" s="40" t="s">
        <v>79</v>
      </c>
      <c r="Y47" s="109">
        <f t="shared" si="8"/>
        <v>0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0</v>
      </c>
      <c r="AG47" s="108">
        <f t="shared" si="0"/>
        <v>0</v>
      </c>
      <c r="AH47" s="108">
        <f t="shared" si="1"/>
        <v>0</v>
      </c>
      <c r="AI47" s="108">
        <f t="shared" si="10"/>
        <v>0</v>
      </c>
      <c r="AJ47" s="108">
        <f t="shared" si="2"/>
        <v>0</v>
      </c>
      <c r="AK47" s="108">
        <f t="shared" si="3"/>
        <v>0</v>
      </c>
      <c r="AL47" s="108">
        <f t="shared" si="4"/>
        <v>0</v>
      </c>
      <c r="AM47" s="120">
        <f>AO47</f>
        <v>10</v>
      </c>
      <c r="AN47" s="117" t="s">
        <v>35</v>
      </c>
      <c r="AO47" s="115">
        <f>IF(Uitslag!T47="",0,IF(T47=Uitslag!T47,10,0))</f>
        <v>10</v>
      </c>
    </row>
    <row r="48" spans="2:41" ht="15.75" thickBot="1">
      <c r="B48" s="12">
        <v>41</v>
      </c>
      <c r="C48" s="206">
        <v>41815</v>
      </c>
      <c r="D48" s="14" t="s">
        <v>34</v>
      </c>
      <c r="E48" s="15" t="s">
        <v>9</v>
      </c>
      <c r="F48" s="16" t="s">
        <v>29</v>
      </c>
      <c r="G48" s="85">
        <v>1</v>
      </c>
      <c r="H48" s="15" t="s">
        <v>9</v>
      </c>
      <c r="I48" s="90">
        <v>2</v>
      </c>
      <c r="J48" s="17">
        <f t="shared" si="5"/>
        <v>2</v>
      </c>
      <c r="K48" s="11">
        <f t="shared" si="6"/>
        <v>0</v>
      </c>
      <c r="L48" s="11">
        <f t="shared" si="7"/>
        <v>3</v>
      </c>
      <c r="O48" s="51" t="s">
        <v>36</v>
      </c>
      <c r="P48" s="52">
        <f>SUMIF($D$8:$D$55,$O48,$G$8:$G$55)+SUMIF($F$8:$F$55,$O48,$I$8:$I$55)</f>
        <v>5</v>
      </c>
      <c r="Q48" s="52">
        <f>SUMIF($D$8:$D$55,$O48,$I$8:$I$55)+SUMIF($F$8:$F$55,$O48,$G$8:$G$55)</f>
        <v>5</v>
      </c>
      <c r="R48" s="52">
        <f>P48-Q48</f>
        <v>0</v>
      </c>
      <c r="S48" s="53">
        <f>SUMIF($D$8:$D$55,$O48,$K$8:$K$55)+SUMIF($F$8:$F$55,$O48,$L$8:$L$55)</f>
        <v>4</v>
      </c>
      <c r="T48" s="96" t="s">
        <v>79</v>
      </c>
      <c r="U48" s="40"/>
      <c r="V48" s="40" t="str">
        <f>O48</f>
        <v>Verenigde Staten</v>
      </c>
      <c r="W48" s="40" t="s">
        <v>80</v>
      </c>
      <c r="Y48" s="109">
        <f t="shared" si="8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5</v>
      </c>
      <c r="AG48" s="108">
        <f t="shared" si="0"/>
        <v>0</v>
      </c>
      <c r="AH48" s="108">
        <f t="shared" si="1"/>
        <v>0</v>
      </c>
      <c r="AI48" s="108">
        <f t="shared" si="10"/>
        <v>0</v>
      </c>
      <c r="AJ48" s="108">
        <f t="shared" si="2"/>
        <v>0</v>
      </c>
      <c r="AK48" s="108">
        <f t="shared" si="3"/>
        <v>5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18">
        <v>42</v>
      </c>
      <c r="C49" s="207">
        <v>41815</v>
      </c>
      <c r="D49" s="20" t="s">
        <v>30</v>
      </c>
      <c r="E49" s="21" t="s">
        <v>9</v>
      </c>
      <c r="F49" s="30" t="s">
        <v>33</v>
      </c>
      <c r="G49" s="86">
        <v>2</v>
      </c>
      <c r="H49" s="21" t="s">
        <v>9</v>
      </c>
      <c r="I49" s="91">
        <v>0</v>
      </c>
      <c r="J49" s="23">
        <f t="shared" si="5"/>
        <v>1</v>
      </c>
      <c r="K49" s="11">
        <f t="shared" si="6"/>
        <v>3</v>
      </c>
      <c r="L49" s="11">
        <f t="shared" si="7"/>
        <v>0</v>
      </c>
      <c r="O49" s="40"/>
      <c r="P49" s="41"/>
      <c r="Q49" s="41"/>
      <c r="R49" s="41"/>
      <c r="S49" s="41"/>
      <c r="T49" s="41"/>
      <c r="U49" s="40"/>
      <c r="V49" s="40"/>
      <c r="W49" s="40"/>
      <c r="Y49" s="109">
        <f t="shared" si="8"/>
        <v>5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5</v>
      </c>
      <c r="AG49" s="108">
        <f t="shared" si="0"/>
        <v>0</v>
      </c>
      <c r="AH49" s="108">
        <f t="shared" si="1"/>
        <v>0</v>
      </c>
      <c r="AI49" s="108">
        <f t="shared" si="10"/>
        <v>0</v>
      </c>
      <c r="AJ49" s="108">
        <f t="shared" si="2"/>
        <v>5</v>
      </c>
      <c r="AK49" s="108">
        <f t="shared" si="3"/>
        <v>0</v>
      </c>
      <c r="AL49" s="108">
        <f t="shared" si="4"/>
        <v>0</v>
      </c>
      <c r="AN49" s="40"/>
      <c r="AO49" s="41"/>
    </row>
    <row r="50" spans="2:54" ht="15.75" thickBot="1">
      <c r="B50" s="18">
        <v>43</v>
      </c>
      <c r="C50" s="207">
        <v>41815</v>
      </c>
      <c r="D50" s="20" t="s">
        <v>28</v>
      </c>
      <c r="E50" s="21" t="s">
        <v>9</v>
      </c>
      <c r="F50" s="30" t="s">
        <v>25</v>
      </c>
      <c r="G50" s="86">
        <v>1</v>
      </c>
      <c r="H50" s="21" t="s">
        <v>9</v>
      </c>
      <c r="I50" s="91">
        <v>2</v>
      </c>
      <c r="J50" s="23">
        <f t="shared" si="5"/>
        <v>2</v>
      </c>
      <c r="K50" s="11">
        <f t="shared" si="6"/>
        <v>0</v>
      </c>
      <c r="L50" s="11">
        <f t="shared" si="7"/>
        <v>3</v>
      </c>
      <c r="O50" s="72" t="s">
        <v>81</v>
      </c>
      <c r="P50" s="73" t="s">
        <v>42</v>
      </c>
      <c r="Q50" s="73" t="s">
        <v>43</v>
      </c>
      <c r="R50" s="74" t="s">
        <v>44</v>
      </c>
      <c r="S50" s="75" t="s">
        <v>45</v>
      </c>
      <c r="T50" s="76" t="s">
        <v>46</v>
      </c>
      <c r="U50" s="40"/>
      <c r="V50" s="40"/>
      <c r="W50" s="40"/>
      <c r="Y50" s="109">
        <f t="shared" si="8"/>
        <v>5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5</v>
      </c>
      <c r="AG50" s="108">
        <f t="shared" si="0"/>
        <v>0</v>
      </c>
      <c r="AH50" s="108">
        <f t="shared" si="1"/>
        <v>0</v>
      </c>
      <c r="AI50" s="108">
        <f t="shared" si="10"/>
        <v>0</v>
      </c>
      <c r="AJ50" s="108">
        <f t="shared" si="2"/>
        <v>0</v>
      </c>
      <c r="AK50" s="108">
        <f t="shared" si="3"/>
        <v>5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24">
        <v>44</v>
      </c>
      <c r="C51" s="208">
        <v>41815</v>
      </c>
      <c r="D51" s="26" t="s">
        <v>26</v>
      </c>
      <c r="E51" s="27" t="s">
        <v>9</v>
      </c>
      <c r="F51" s="28" t="s">
        <v>27</v>
      </c>
      <c r="G51" s="87">
        <v>2</v>
      </c>
      <c r="H51" s="27" t="s">
        <v>9</v>
      </c>
      <c r="I51" s="92">
        <v>1</v>
      </c>
      <c r="J51" s="29">
        <f t="shared" si="5"/>
        <v>1</v>
      </c>
      <c r="K51" s="11">
        <f t="shared" si="6"/>
        <v>3</v>
      </c>
      <c r="L51" s="11">
        <f>IF(I51="","",IF($G51&lt;$I51,3,IF($G51=$I51,1,0)))</f>
        <v>0</v>
      </c>
      <c r="O51" s="44" t="s">
        <v>37</v>
      </c>
      <c r="P51" s="45">
        <f>SUMIF($D$8:$D$55,$O51,$G$8:$G$55)+SUMIF($F$8:$F$55,$O51,$I$8:$I$55)</f>
        <v>4</v>
      </c>
      <c r="Q51" s="45">
        <f>SUMIF($D$8:$D$55,$O51,$I$8:$I$55)+SUMIF($F$8:$F$55,$O51,$G$8:$G$55)</f>
        <v>2</v>
      </c>
      <c r="R51" s="46">
        <f>P51-Q51</f>
        <v>2</v>
      </c>
      <c r="S51" s="47">
        <f>SUMIF($D$8:$D$55,$O51,$K$8:$K$55)+SUMIF($F$8:$F$55,$O51,$L$8:$L$55)</f>
        <v>5</v>
      </c>
      <c r="T51" s="94" t="s">
        <v>82</v>
      </c>
      <c r="U51" s="40"/>
      <c r="V51" s="40" t="str">
        <f>O51</f>
        <v>België</v>
      </c>
      <c r="W51" s="40" t="s">
        <v>82</v>
      </c>
      <c r="Y51" s="109">
        <f t="shared" si="8"/>
        <v>0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0</v>
      </c>
      <c r="AG51" s="108">
        <f t="shared" si="0"/>
        <v>0</v>
      </c>
      <c r="AH51" s="108">
        <f t="shared" si="1"/>
        <v>0</v>
      </c>
      <c r="AI51" s="108">
        <f t="shared" si="10"/>
        <v>0</v>
      </c>
      <c r="AJ51" s="108">
        <f t="shared" si="2"/>
        <v>0</v>
      </c>
      <c r="AK51" s="108">
        <f t="shared" si="3"/>
        <v>0</v>
      </c>
      <c r="AL51" s="108">
        <f t="shared" si="4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18">
        <v>45</v>
      </c>
      <c r="C52" s="207">
        <v>41816</v>
      </c>
      <c r="D52" s="20" t="s">
        <v>36</v>
      </c>
      <c r="E52" s="21" t="s">
        <v>9</v>
      </c>
      <c r="F52" s="30" t="s">
        <v>31</v>
      </c>
      <c r="G52" s="86">
        <v>1</v>
      </c>
      <c r="H52" s="21" t="s">
        <v>9</v>
      </c>
      <c r="I52" s="91">
        <v>3</v>
      </c>
      <c r="J52" s="17">
        <f t="shared" si="5"/>
        <v>2</v>
      </c>
      <c r="K52" s="11">
        <f t="shared" si="6"/>
        <v>0</v>
      </c>
      <c r="L52" s="11">
        <f t="shared" si="7"/>
        <v>3</v>
      </c>
      <c r="O52" s="48" t="s">
        <v>38</v>
      </c>
      <c r="P52" s="49">
        <f>SUMIF($D$8:$D$55,$O52,$G$8:$G$55)+SUMIF($F$8:$F$55,$O52,$I$8:$I$55)</f>
        <v>2</v>
      </c>
      <c r="Q52" s="49">
        <f>SUMIF($D$8:$D$55,$O52,$I$8:$I$55)+SUMIF($F$8:$F$55,$O52,$G$8:$G$55)</f>
        <v>6</v>
      </c>
      <c r="R52" s="49">
        <f>P52-Q52</f>
        <v>-4</v>
      </c>
      <c r="S52" s="50">
        <f>SUMIF($D$8:$D$55,$O52,$K$8:$K$55)+SUMIF($F$8:$F$55,$O52,$L$8:$L$55)</f>
        <v>0</v>
      </c>
      <c r="T52" s="95" t="s">
        <v>85</v>
      </c>
      <c r="U52" s="40"/>
      <c r="V52" s="40" t="str">
        <f>O52</f>
        <v>Algerije</v>
      </c>
      <c r="W52" s="40" t="s">
        <v>83</v>
      </c>
      <c r="Y52" s="109">
        <f t="shared" si="8"/>
        <v>5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5</v>
      </c>
      <c r="AG52" s="108">
        <f t="shared" si="0"/>
        <v>0</v>
      </c>
      <c r="AH52" s="108">
        <f t="shared" si="1"/>
        <v>0</v>
      </c>
      <c r="AI52" s="108">
        <f t="shared" si="10"/>
        <v>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18">
        <v>46</v>
      </c>
      <c r="C53" s="207">
        <v>41816</v>
      </c>
      <c r="D53" s="20" t="s">
        <v>32</v>
      </c>
      <c r="E53" s="21" t="s">
        <v>9</v>
      </c>
      <c r="F53" s="30" t="s">
        <v>35</v>
      </c>
      <c r="G53" s="86">
        <v>2</v>
      </c>
      <c r="H53" s="21" t="s">
        <v>9</v>
      </c>
      <c r="I53" s="91">
        <v>1</v>
      </c>
      <c r="J53" s="23">
        <f t="shared" si="5"/>
        <v>1</v>
      </c>
      <c r="K53" s="11">
        <f t="shared" si="6"/>
        <v>3</v>
      </c>
      <c r="L53" s="11">
        <f t="shared" si="7"/>
        <v>0</v>
      </c>
      <c r="O53" s="48" t="s">
        <v>39</v>
      </c>
      <c r="P53" s="49">
        <f>SUMIF($D$8:$D$55,$O53,$G$8:$G$55)+SUMIF($F$8:$F$55,$O53,$I$8:$I$55)</f>
        <v>3</v>
      </c>
      <c r="Q53" s="49">
        <f>SUMIF($D$8:$D$55,$O53,$I$8:$I$55)+SUMIF($F$8:$F$55,$O53,$G$8:$G$55)</f>
        <v>2</v>
      </c>
      <c r="R53" s="49">
        <f>P53-Q53</f>
        <v>1</v>
      </c>
      <c r="S53" s="50">
        <f>SUMIF($D$8:$D$55,$O53,$K$8:$K$55)+SUMIF($F$8:$F$55,$O53,$L$8:$L$55)</f>
        <v>5</v>
      </c>
      <c r="T53" s="95" t="s">
        <v>84</v>
      </c>
      <c r="U53" s="40"/>
      <c r="V53" s="40" t="str">
        <f>O53</f>
        <v>Rusland</v>
      </c>
      <c r="W53" s="40" t="s">
        <v>84</v>
      </c>
      <c r="Y53" s="109">
        <f t="shared" si="8"/>
        <v>10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10</v>
      </c>
      <c r="AG53" s="108">
        <f t="shared" si="0"/>
        <v>1</v>
      </c>
      <c r="AH53" s="108">
        <f t="shared" si="1"/>
        <v>1</v>
      </c>
      <c r="AI53" s="108">
        <f t="shared" si="10"/>
        <v>10</v>
      </c>
      <c r="AJ53" s="108">
        <f t="shared" si="2"/>
        <v>5</v>
      </c>
      <c r="AK53" s="108">
        <f t="shared" si="3"/>
        <v>0</v>
      </c>
      <c r="AL53" s="108">
        <f t="shared" si="4"/>
        <v>0</v>
      </c>
      <c r="AM53" s="120">
        <f>AO53</f>
        <v>10</v>
      </c>
      <c r="AN53" s="117" t="s">
        <v>39</v>
      </c>
      <c r="AO53" s="115">
        <f>IF(Uitslag!T53="",0,IF(T53=Uitslag!T53,10,0))</f>
        <v>10</v>
      </c>
    </row>
    <row r="54" spans="2:54" ht="15.75" thickBot="1">
      <c r="B54" s="18">
        <v>47</v>
      </c>
      <c r="C54" s="207">
        <v>41816</v>
      </c>
      <c r="D54" s="20" t="s">
        <v>40</v>
      </c>
      <c r="E54" s="21" t="s">
        <v>9</v>
      </c>
      <c r="F54" s="30" t="s">
        <v>37</v>
      </c>
      <c r="G54" s="86">
        <v>1</v>
      </c>
      <c r="H54" s="21" t="s">
        <v>9</v>
      </c>
      <c r="I54" s="91">
        <v>1</v>
      </c>
      <c r="J54" s="23">
        <f t="shared" si="5"/>
        <v>3</v>
      </c>
      <c r="K54" s="11">
        <f t="shared" si="6"/>
        <v>1</v>
      </c>
      <c r="L54" s="11">
        <f t="shared" si="7"/>
        <v>1</v>
      </c>
      <c r="O54" s="51" t="s">
        <v>40</v>
      </c>
      <c r="P54" s="52">
        <f>SUMIF($D$8:$D$55,$O54,$G$8:$G$55)+SUMIF($F$8:$F$55,$O54,$I$8:$I$55)</f>
        <v>3</v>
      </c>
      <c r="Q54" s="52">
        <f>SUMIF($D$8:$D$55,$O54,$I$8:$I$55)+SUMIF($F$8:$F$55,$O54,$G$8:$G$55)</f>
        <v>2</v>
      </c>
      <c r="R54" s="52">
        <f>P54-Q54</f>
        <v>1</v>
      </c>
      <c r="S54" s="53">
        <f>SUMIF($D$8:$D$55,$O54,$K$8:$K$55)+SUMIF($F$8:$F$55,$O54,$L$8:$L$55)</f>
        <v>5</v>
      </c>
      <c r="T54" s="96" t="s">
        <v>83</v>
      </c>
      <c r="U54" s="40"/>
      <c r="V54" s="40" t="str">
        <f>O54</f>
        <v>Zuid Korea</v>
      </c>
      <c r="W54" s="40" t="s">
        <v>85</v>
      </c>
      <c r="Y54" s="109">
        <f t="shared" si="8"/>
        <v>1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1</v>
      </c>
      <c r="AG54" s="108">
        <f t="shared" si="0"/>
        <v>0</v>
      </c>
      <c r="AH54" s="108">
        <f t="shared" si="1"/>
        <v>1</v>
      </c>
      <c r="AI54" s="108">
        <f t="shared" si="10"/>
        <v>0</v>
      </c>
      <c r="AJ54" s="108">
        <f t="shared" si="2"/>
        <v>0</v>
      </c>
      <c r="AK54" s="108">
        <f t="shared" si="3"/>
        <v>0</v>
      </c>
      <c r="AL54" s="108">
        <f t="shared" si="4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3">
        <v>48</v>
      </c>
      <c r="C55" s="209">
        <v>41816</v>
      </c>
      <c r="D55" s="35" t="s">
        <v>38</v>
      </c>
      <c r="E55" s="36" t="s">
        <v>9</v>
      </c>
      <c r="F55" s="37" t="s">
        <v>39</v>
      </c>
      <c r="G55" s="88">
        <v>1</v>
      </c>
      <c r="H55" s="36" t="s">
        <v>9</v>
      </c>
      <c r="I55" s="93">
        <v>2</v>
      </c>
      <c r="J55" s="38">
        <f t="shared" si="5"/>
        <v>2</v>
      </c>
      <c r="K55" s="11">
        <f t="shared" si="6"/>
        <v>0</v>
      </c>
      <c r="L55" s="11">
        <f t="shared" si="7"/>
        <v>3</v>
      </c>
      <c r="O55" s="40"/>
      <c r="P55" s="41"/>
      <c r="Q55" s="41"/>
      <c r="R55" s="41"/>
      <c r="S55" s="41"/>
      <c r="T55" s="41"/>
      <c r="U55" s="40"/>
      <c r="V55" s="40"/>
      <c r="W55" s="40"/>
      <c r="Y55" s="109">
        <f t="shared" si="8"/>
        <v>1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</v>
      </c>
      <c r="AG55" s="108">
        <f t="shared" si="0"/>
        <v>1</v>
      </c>
      <c r="AH55" s="108">
        <f t="shared" si="1"/>
        <v>0</v>
      </c>
      <c r="AI55" s="108">
        <f t="shared" si="10"/>
        <v>0</v>
      </c>
      <c r="AJ55" s="108">
        <f t="shared" si="2"/>
        <v>0</v>
      </c>
      <c r="AK55" s="108">
        <f t="shared" si="3"/>
        <v>0</v>
      </c>
      <c r="AL55" s="108">
        <f t="shared" si="4"/>
        <v>0</v>
      </c>
    </row>
    <row r="56" spans="2:54" ht="15.75" thickBot="1">
      <c r="B56" s="1"/>
      <c r="C56" s="210"/>
      <c r="D56" s="40"/>
      <c r="E56" s="1"/>
      <c r="F56" s="40"/>
      <c r="G56" s="1"/>
      <c r="H56" s="1"/>
      <c r="I56" s="1"/>
      <c r="J56" s="1"/>
      <c r="K56" s="1"/>
      <c r="L56" s="1"/>
      <c r="M56" s="1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195"/>
      <c r="K57" s="1"/>
      <c r="L57" s="1"/>
      <c r="M57" s="1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78" t="s">
        <v>1</v>
      </c>
      <c r="C58" s="122" t="s">
        <v>2</v>
      </c>
      <c r="D58" s="187" t="s">
        <v>3</v>
      </c>
      <c r="E58" s="81"/>
      <c r="F58" s="194" t="s">
        <v>4</v>
      </c>
      <c r="G58" s="867" t="s">
        <v>5</v>
      </c>
      <c r="H58" s="868"/>
      <c r="I58" s="869"/>
      <c r="J58" s="83" t="s">
        <v>6</v>
      </c>
      <c r="K58" s="1"/>
      <c r="L58" s="1"/>
      <c r="M58" s="1"/>
      <c r="O58" s="135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12">
        <v>49</v>
      </c>
      <c r="C59" s="211">
        <v>41818</v>
      </c>
      <c r="D59" s="153" t="str">
        <f>IF(ISERROR(Z59),K59,Z59)</f>
        <v>Brazilië</v>
      </c>
      <c r="E59" s="15" t="s">
        <v>9</v>
      </c>
      <c r="F59" s="56" t="str">
        <f>IF(ISERROR(AA59),L59,AA59)</f>
        <v>Spanje</v>
      </c>
      <c r="G59" s="85">
        <v>1</v>
      </c>
      <c r="H59" s="15" t="s">
        <v>9</v>
      </c>
      <c r="I59" s="97">
        <v>2</v>
      </c>
      <c r="J59" s="98">
        <v>2</v>
      </c>
      <c r="K59" s="57" t="s">
        <v>48</v>
      </c>
      <c r="L59" s="57" t="s">
        <v>53</v>
      </c>
      <c r="M59" s="57">
        <v>1</v>
      </c>
      <c r="O59" s="135">
        <v>2</v>
      </c>
      <c r="P59" s="877" t="s">
        <v>220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3">AF59</f>
        <v>1</v>
      </c>
      <c r="Z59" t="str">
        <f t="shared" ref="Z59:AA65" si="14">IF(K59=""," ",VLOOKUP(K59,$T$9:$V$54,3,FALSE))</f>
        <v>Brazilië</v>
      </c>
      <c r="AA59" t="str">
        <f t="shared" si="14"/>
        <v>Spanje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1</v>
      </c>
      <c r="AG59" s="108">
        <f t="shared" ref="AG59:AG66" si="16">IF(AC59="",0,(IF(G59=AC59,1,0)))</f>
        <v>1</v>
      </c>
      <c r="AH59" s="108">
        <f t="shared" ref="AH59:AH66" si="17">IF(AD59="",0,(IF(I59=AD59,1,0)))</f>
        <v>0</v>
      </c>
      <c r="AI59" s="108">
        <f t="shared" ref="AI59:AI66" si="18">IF(AND(AG59=1,AH59=1),10,0)</f>
        <v>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24">
        <v>50</v>
      </c>
      <c r="C60" s="212">
        <v>41818</v>
      </c>
      <c r="D60" s="154" t="str">
        <f t="shared" ref="D60:D66" si="23">IF(ISERROR(Z60),K60,Z60)</f>
        <v>Ivoorkust</v>
      </c>
      <c r="E60" s="27" t="s">
        <v>9</v>
      </c>
      <c r="F60" s="59" t="str">
        <f t="shared" ref="F60:F66" si="24">IF(ISERROR(AA60),L60,AA60)</f>
        <v>Italië</v>
      </c>
      <c r="G60" s="87">
        <v>0</v>
      </c>
      <c r="H60" s="27" t="s">
        <v>9</v>
      </c>
      <c r="I60" s="99">
        <v>1</v>
      </c>
      <c r="J60" s="100">
        <v>2</v>
      </c>
      <c r="K60" s="57" t="s">
        <v>57</v>
      </c>
      <c r="L60" s="57" t="s">
        <v>63</v>
      </c>
      <c r="M60" s="57">
        <v>2</v>
      </c>
      <c r="O60" s="135">
        <v>3</v>
      </c>
      <c r="P60" s="877" t="s">
        <v>209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3"/>
        <v>0</v>
      </c>
      <c r="Z60" t="str">
        <f t="shared" si="14"/>
        <v>Ivoorkust</v>
      </c>
      <c r="AA60" t="str">
        <f t="shared" si="14"/>
        <v>Italië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0</v>
      </c>
      <c r="AG60" s="108">
        <f t="shared" si="16"/>
        <v>0</v>
      </c>
      <c r="AH60" s="108">
        <f t="shared" si="17"/>
        <v>0</v>
      </c>
      <c r="AI60" s="108">
        <f t="shared" si="18"/>
        <v>0</v>
      </c>
      <c r="AJ60" s="108">
        <f t="shared" si="19"/>
        <v>0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2"/>
        <v>3</v>
      </c>
    </row>
    <row r="61" spans="2:54">
      <c r="B61" s="12">
        <v>51</v>
      </c>
      <c r="C61" s="211">
        <v>41819</v>
      </c>
      <c r="D61" s="188" t="str">
        <f t="shared" si="23"/>
        <v>Nederland</v>
      </c>
      <c r="E61" s="15" t="s">
        <v>9</v>
      </c>
      <c r="F61" s="56" t="str">
        <f t="shared" si="24"/>
        <v>Kameroen</v>
      </c>
      <c r="G61" s="85">
        <v>2</v>
      </c>
      <c r="H61" s="15" t="s">
        <v>9</v>
      </c>
      <c r="I61" s="97">
        <v>0</v>
      </c>
      <c r="J61" s="98">
        <v>1</v>
      </c>
      <c r="K61" s="57" t="s">
        <v>52</v>
      </c>
      <c r="L61" s="57" t="s">
        <v>49</v>
      </c>
      <c r="M61" s="57"/>
      <c r="O61" s="135">
        <v>4</v>
      </c>
      <c r="P61" s="877" t="s">
        <v>212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3"/>
        <v>6</v>
      </c>
      <c r="Z61" t="str">
        <f t="shared" si="14"/>
        <v>Nederland</v>
      </c>
      <c r="AA61" t="str">
        <f t="shared" si="14"/>
        <v>Kameroen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6</v>
      </c>
      <c r="AG61" s="108">
        <f t="shared" si="16"/>
        <v>1</v>
      </c>
      <c r="AH61" s="108">
        <f t="shared" si="17"/>
        <v>0</v>
      </c>
      <c r="AI61" s="108">
        <f t="shared" si="18"/>
        <v>0</v>
      </c>
      <c r="AJ61" s="108">
        <f t="shared" si="19"/>
        <v>5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3</v>
      </c>
      <c r="BB61" s="139">
        <f t="shared" si="22"/>
        <v>3</v>
      </c>
    </row>
    <row r="62" spans="2:54">
      <c r="B62" s="24">
        <v>52</v>
      </c>
      <c r="C62" s="212">
        <v>41819</v>
      </c>
      <c r="D62" s="188" t="str">
        <f t="shared" si="23"/>
        <v>Engeland</v>
      </c>
      <c r="E62" s="27" t="s">
        <v>9</v>
      </c>
      <c r="F62" s="59" t="str">
        <f t="shared" si="24"/>
        <v>Japan</v>
      </c>
      <c r="G62" s="87">
        <v>3</v>
      </c>
      <c r="H62" s="27" t="s">
        <v>9</v>
      </c>
      <c r="I62" s="99">
        <v>1</v>
      </c>
      <c r="J62" s="100">
        <v>1</v>
      </c>
      <c r="K62" s="57" t="s">
        <v>62</v>
      </c>
      <c r="L62" s="57" t="s">
        <v>58</v>
      </c>
      <c r="M62" s="57"/>
      <c r="O62" s="135">
        <v>5</v>
      </c>
      <c r="P62" s="877" t="s">
        <v>211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3"/>
        <v>1</v>
      </c>
      <c r="Z62" t="str">
        <f t="shared" si="14"/>
        <v>Engeland</v>
      </c>
      <c r="AA62" t="str">
        <f t="shared" si="14"/>
        <v>Japan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1</v>
      </c>
      <c r="AG62" s="108">
        <f t="shared" si="16"/>
        <v>0</v>
      </c>
      <c r="AH62" s="108">
        <f t="shared" si="17"/>
        <v>1</v>
      </c>
      <c r="AI62" s="108">
        <f t="shared" si="18"/>
        <v>0</v>
      </c>
      <c r="AJ62" s="108">
        <f t="shared" si="19"/>
        <v>0</v>
      </c>
      <c r="AK62" s="108">
        <f t="shared" si="20"/>
        <v>0</v>
      </c>
      <c r="AL62" s="108">
        <f t="shared" si="21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2"/>
        <v>3</v>
      </c>
    </row>
    <row r="63" spans="2:54">
      <c r="B63" s="12">
        <v>53</v>
      </c>
      <c r="C63" s="211">
        <v>41820</v>
      </c>
      <c r="D63" s="153" t="str">
        <f t="shared" si="23"/>
        <v>Ecuador</v>
      </c>
      <c r="E63" s="15" t="s">
        <v>9</v>
      </c>
      <c r="F63" s="56" t="str">
        <f t="shared" si="24"/>
        <v>Bosnië H.</v>
      </c>
      <c r="G63" s="85">
        <v>0</v>
      </c>
      <c r="H63" s="15" t="s">
        <v>9</v>
      </c>
      <c r="I63" s="97">
        <v>0</v>
      </c>
      <c r="J63" s="98">
        <v>2</v>
      </c>
      <c r="K63" s="57" t="s">
        <v>67</v>
      </c>
      <c r="L63" s="57" t="s">
        <v>73</v>
      </c>
      <c r="M63" s="57"/>
      <c r="O63" s="135">
        <v>6</v>
      </c>
      <c r="P63" s="877" t="s">
        <v>214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3"/>
        <v>1</v>
      </c>
      <c r="Z63" t="str">
        <f t="shared" si="14"/>
        <v>Ecuador</v>
      </c>
      <c r="AA63" t="str">
        <f t="shared" si="14"/>
        <v>Bosnië H.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1</v>
      </c>
      <c r="AG63" s="108">
        <f t="shared" si="16"/>
        <v>0</v>
      </c>
      <c r="AH63" s="108">
        <f t="shared" si="17"/>
        <v>1</v>
      </c>
      <c r="AI63" s="108">
        <f t="shared" si="18"/>
        <v>0</v>
      </c>
      <c r="AJ63" s="108">
        <f t="shared" si="19"/>
        <v>0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3</v>
      </c>
      <c r="BB63" s="139">
        <f t="shared" si="22"/>
        <v>3</v>
      </c>
    </row>
    <row r="64" spans="2:54">
      <c r="B64" s="24">
        <v>54</v>
      </c>
      <c r="C64" s="212">
        <v>41820</v>
      </c>
      <c r="D64" s="154" t="str">
        <f t="shared" si="23"/>
        <v>Duitsland</v>
      </c>
      <c r="E64" s="27" t="s">
        <v>9</v>
      </c>
      <c r="F64" s="59" t="str">
        <f t="shared" si="24"/>
        <v>Zuid Korea</v>
      </c>
      <c r="G64" s="87">
        <v>3</v>
      </c>
      <c r="H64" s="27" t="s">
        <v>9</v>
      </c>
      <c r="I64" s="99">
        <v>1</v>
      </c>
      <c r="J64" s="100">
        <v>1</v>
      </c>
      <c r="K64" s="57" t="s">
        <v>77</v>
      </c>
      <c r="L64" s="57" t="s">
        <v>83</v>
      </c>
      <c r="M64" s="57"/>
      <c r="O64" s="135">
        <v>7</v>
      </c>
      <c r="P64" s="877" t="s">
        <v>226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3"/>
        <v>0</v>
      </c>
      <c r="Z64" t="str">
        <f t="shared" si="14"/>
        <v>Duitsland</v>
      </c>
      <c r="AA64" t="str">
        <f t="shared" si="14"/>
        <v>Zuid Korea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0</v>
      </c>
      <c r="AG64" s="108">
        <f t="shared" si="16"/>
        <v>0</v>
      </c>
      <c r="AH64" s="108">
        <f t="shared" si="17"/>
        <v>0</v>
      </c>
      <c r="AI64" s="108">
        <f t="shared" si="18"/>
        <v>0</v>
      </c>
      <c r="AJ64" s="108">
        <f t="shared" si="19"/>
        <v>0</v>
      </c>
      <c r="AK64" s="108">
        <f t="shared" si="20"/>
        <v>0</v>
      </c>
      <c r="AL64" s="108">
        <f t="shared" si="21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2"/>
        <v>3</v>
      </c>
    </row>
    <row r="65" spans="2:54">
      <c r="B65" s="18">
        <v>55</v>
      </c>
      <c r="C65" s="213">
        <v>41821</v>
      </c>
      <c r="D65" s="153" t="str">
        <f t="shared" si="23"/>
        <v>Argentinië</v>
      </c>
      <c r="E65" s="21" t="s">
        <v>9</v>
      </c>
      <c r="F65" s="60" t="str">
        <f t="shared" si="24"/>
        <v>Frankrijk</v>
      </c>
      <c r="G65" s="86">
        <v>2</v>
      </c>
      <c r="H65" s="21" t="s">
        <v>9</v>
      </c>
      <c r="I65" s="101">
        <v>1</v>
      </c>
      <c r="J65" s="102">
        <v>1</v>
      </c>
      <c r="K65" s="57" t="s">
        <v>72</v>
      </c>
      <c r="L65" s="57" t="s">
        <v>68</v>
      </c>
      <c r="M65" s="57"/>
      <c r="O65" s="135">
        <v>8</v>
      </c>
      <c r="P65" s="877" t="s">
        <v>213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3"/>
        <v>0</v>
      </c>
      <c r="Z65" t="str">
        <f t="shared" si="14"/>
        <v>Argentinië</v>
      </c>
      <c r="AA65" t="str">
        <f t="shared" si="14"/>
        <v>Frankrijk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0</v>
      </c>
      <c r="AG65" s="108">
        <f t="shared" si="16"/>
        <v>0</v>
      </c>
      <c r="AH65" s="108">
        <f t="shared" si="17"/>
        <v>0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2"/>
        <v>3</v>
      </c>
    </row>
    <row r="66" spans="2:54" ht="15.75" thickBot="1">
      <c r="B66" s="33">
        <v>56</v>
      </c>
      <c r="C66" s="214">
        <v>41821</v>
      </c>
      <c r="D66" s="155" t="str">
        <f t="shared" si="23"/>
        <v>België</v>
      </c>
      <c r="E66" s="36" t="s">
        <v>9</v>
      </c>
      <c r="F66" s="62" t="str">
        <f t="shared" si="24"/>
        <v>Portugal</v>
      </c>
      <c r="G66" s="88">
        <v>0</v>
      </c>
      <c r="H66" s="36" t="s">
        <v>9</v>
      </c>
      <c r="I66" s="103">
        <v>2</v>
      </c>
      <c r="J66" s="104">
        <v>2</v>
      </c>
      <c r="K66" s="57" t="s">
        <v>82</v>
      </c>
      <c r="L66" s="57" t="s">
        <v>78</v>
      </c>
      <c r="M66" s="57"/>
      <c r="O66" s="135">
        <v>9</v>
      </c>
      <c r="P66" s="877" t="s">
        <v>230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3"/>
        <v>1</v>
      </c>
      <c r="Z66" t="str">
        <f>IF(K66=""," ",VLOOKUP(K66,$T$9:$V$54,3,FALSE))</f>
        <v>België</v>
      </c>
      <c r="AA66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1</v>
      </c>
      <c r="AG66" s="108">
        <f t="shared" si="16"/>
        <v>1</v>
      </c>
      <c r="AH66" s="108">
        <f t="shared" si="17"/>
        <v>0</v>
      </c>
      <c r="AI66" s="108">
        <f t="shared" si="18"/>
        <v>0</v>
      </c>
      <c r="AJ66" s="108">
        <f t="shared" si="19"/>
        <v>0</v>
      </c>
      <c r="AK66" s="108">
        <f t="shared" si="20"/>
        <v>0</v>
      </c>
      <c r="AL66" s="108">
        <f t="shared" si="21"/>
        <v>0</v>
      </c>
      <c r="AZ66" s="138" t="str">
        <f>Uitslag!P66</f>
        <v>Jonathan de Guzman (m)</v>
      </c>
      <c r="BA66" s="140">
        <f t="shared" si="12"/>
        <v>0</v>
      </c>
      <c r="BB66" s="139">
        <f t="shared" si="22"/>
        <v>0</v>
      </c>
    </row>
    <row r="67" spans="2:54" ht="15.75" thickBot="1">
      <c r="B67" s="1"/>
      <c r="C67" s="210"/>
      <c r="D67" s="40"/>
      <c r="E67" s="1"/>
      <c r="F67" s="40"/>
      <c r="G67" s="1"/>
      <c r="H67" s="1"/>
      <c r="I67" s="1"/>
      <c r="J67" s="1"/>
      <c r="K67" s="1"/>
      <c r="L67" s="1"/>
      <c r="M67" s="1"/>
      <c r="O67" s="135">
        <v>10</v>
      </c>
      <c r="P67" s="877" t="s">
        <v>216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2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195"/>
      <c r="K68" s="1"/>
      <c r="L68" s="1"/>
      <c r="M68" s="1"/>
      <c r="O68" s="135">
        <v>11</v>
      </c>
      <c r="P68" s="877" t="s">
        <v>215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2"/>
        <v>3</v>
      </c>
    </row>
    <row r="69" spans="2:54">
      <c r="B69" s="78" t="s">
        <v>1</v>
      </c>
      <c r="C69" s="122" t="s">
        <v>2</v>
      </c>
      <c r="D69" s="193" t="s">
        <v>3</v>
      </c>
      <c r="E69" s="81"/>
      <c r="F69" s="194" t="s">
        <v>4</v>
      </c>
      <c r="G69" s="867" t="s">
        <v>5</v>
      </c>
      <c r="H69" s="868"/>
      <c r="I69" s="869"/>
      <c r="J69" s="83" t="s">
        <v>6</v>
      </c>
      <c r="K69" s="1"/>
      <c r="L69" s="1"/>
      <c r="M69" s="1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30</v>
      </c>
      <c r="BB69" s="139" t="str">
        <f>IF(AND(BA69&lt;&gt;"",BA69=33),15,"nvt")</f>
        <v>nvt</v>
      </c>
    </row>
    <row r="70" spans="2:54">
      <c r="B70" s="12">
        <v>57</v>
      </c>
      <c r="C70" s="206">
        <v>41824</v>
      </c>
      <c r="D70" s="55" t="str">
        <f>IF(J63="","Winnaar 53",IF(J63=1,D63,F63))</f>
        <v>Bosnië H.</v>
      </c>
      <c r="E70" s="15" t="s">
        <v>9</v>
      </c>
      <c r="F70" s="56" t="str">
        <f>IF(J64="","Winnaar 54",IF(J64=1,D64,F64))</f>
        <v>Duitsland</v>
      </c>
      <c r="G70" s="85">
        <v>1</v>
      </c>
      <c r="H70" s="15" t="s">
        <v>9</v>
      </c>
      <c r="I70" s="97">
        <v>3</v>
      </c>
      <c r="J70" s="98">
        <v>2</v>
      </c>
      <c r="K70" s="1"/>
      <c r="L70" s="1"/>
      <c r="M70" s="1"/>
      <c r="V70" t="s">
        <v>133</v>
      </c>
      <c r="W70" t="s">
        <v>126</v>
      </c>
      <c r="X70" t="str">
        <f t="shared" si="11"/>
        <v>Karim Rekik (v)</v>
      </c>
      <c r="Y70" s="109">
        <f>AF70</f>
        <v>5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5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24">
        <v>58</v>
      </c>
      <c r="C71" s="208">
        <v>41824</v>
      </c>
      <c r="D71" s="58" t="str">
        <f>IF(J59="","Winnaar 49",IF(J59=1,D59,F59))</f>
        <v>Spanje</v>
      </c>
      <c r="E71" s="27" t="s">
        <v>9</v>
      </c>
      <c r="F71" s="59" t="str">
        <f>IF(J60="","Winnaar 50",IF(J60=1,D60,F60))</f>
        <v>Italië</v>
      </c>
      <c r="G71" s="87">
        <v>0</v>
      </c>
      <c r="H71" s="27" t="s">
        <v>9</v>
      </c>
      <c r="I71" s="99">
        <v>0</v>
      </c>
      <c r="J71" s="100">
        <v>2</v>
      </c>
      <c r="K71" s="1"/>
      <c r="L71" s="1"/>
      <c r="M71" s="1"/>
      <c r="V71" t="s">
        <v>133</v>
      </c>
      <c r="W71" t="s">
        <v>194</v>
      </c>
      <c r="X71" t="str">
        <f t="shared" si="11"/>
        <v>Ron Vlaar (v)</v>
      </c>
      <c r="Y71" s="109">
        <f>AF71</f>
        <v>0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0</v>
      </c>
      <c r="AG71" s="108">
        <f>IF(AC71="",0,(IF(G71=AC71,1,0)))</f>
        <v>0</v>
      </c>
      <c r="AH71" s="108">
        <f>IF(AD71="",0,(IF(I71=AD71,1,0)))</f>
        <v>0</v>
      </c>
      <c r="AI71" s="108">
        <f>IF(AND(AG71=1,AH71=1),10,0)</f>
        <v>0</v>
      </c>
      <c r="AJ71" s="108">
        <f>IF(AND(G71&gt;I71,AC71&gt;AD71),5,0)</f>
        <v>0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12">
        <v>59</v>
      </c>
      <c r="C72" s="206">
        <v>41825</v>
      </c>
      <c r="D72" s="55" t="str">
        <f>IF(J65="","Winnaar 55",IF(J65=1,D65,F65))</f>
        <v>Argentinië</v>
      </c>
      <c r="E72" s="15" t="s">
        <v>9</v>
      </c>
      <c r="F72" s="56" t="str">
        <f>IF(J66="","Winnaar 56",IF(J66=1,D66,F66))</f>
        <v>Portugal</v>
      </c>
      <c r="G72" s="85">
        <v>2</v>
      </c>
      <c r="H72" s="15" t="s">
        <v>9</v>
      </c>
      <c r="I72" s="97">
        <v>1</v>
      </c>
      <c r="J72" s="98">
        <v>1</v>
      </c>
      <c r="K72" s="1"/>
      <c r="L72" s="1"/>
      <c r="M72" s="1"/>
      <c r="V72" t="s">
        <v>133</v>
      </c>
      <c r="W72" t="s">
        <v>195</v>
      </c>
      <c r="X72" t="str">
        <f t="shared" si="11"/>
        <v>John Heitinga (v)</v>
      </c>
      <c r="Y72" s="109">
        <f>AF72</f>
        <v>5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5</v>
      </c>
      <c r="AG72" s="108">
        <f>IF(AC72="",0,(IF(G72=AC72,1,0)))</f>
        <v>0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5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3">
        <v>60</v>
      </c>
      <c r="C73" s="209">
        <v>41825</v>
      </c>
      <c r="D73" s="61" t="str">
        <f>IF(J61="","Winnaar 51",IF(J61=1,D61,F61))</f>
        <v>Nederland</v>
      </c>
      <c r="E73" s="36" t="s">
        <v>9</v>
      </c>
      <c r="F73" s="62" t="str">
        <f>IF(J62="","Winnaar 52",IF(J62=1,D62,F62))</f>
        <v>Engeland</v>
      </c>
      <c r="G73" s="88">
        <v>1</v>
      </c>
      <c r="H73" s="36" t="s">
        <v>9</v>
      </c>
      <c r="I73" s="103">
        <v>1</v>
      </c>
      <c r="J73" s="104">
        <v>2</v>
      </c>
      <c r="K73" s="1"/>
      <c r="L73" s="1"/>
      <c r="M73" s="1"/>
      <c r="V73" t="s">
        <v>133</v>
      </c>
      <c r="W73" t="s">
        <v>196</v>
      </c>
      <c r="X73" t="str">
        <f t="shared" si="11"/>
        <v>Urby Emanuelson (v)</v>
      </c>
      <c r="Y73" s="109">
        <f>AF73</f>
        <v>5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5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5</v>
      </c>
    </row>
    <row r="74" spans="2:54" ht="15.75" thickBot="1">
      <c r="B74" s="1"/>
      <c r="C74" s="210"/>
      <c r="D74" s="40"/>
      <c r="E74" s="1"/>
      <c r="F74" s="40"/>
      <c r="G74" s="1"/>
      <c r="H74" s="1"/>
      <c r="I74" s="1"/>
      <c r="J74" s="1"/>
      <c r="K74" s="1"/>
      <c r="L74" s="1"/>
      <c r="M74" s="1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195"/>
      <c r="K75" s="1"/>
      <c r="L75" s="1"/>
      <c r="M75" s="1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78" t="s">
        <v>1</v>
      </c>
      <c r="C76" s="122" t="s">
        <v>2</v>
      </c>
      <c r="D76" s="193" t="s">
        <v>3</v>
      </c>
      <c r="E76" s="81"/>
      <c r="F76" s="194" t="s">
        <v>4</v>
      </c>
      <c r="G76" s="867" t="s">
        <v>5</v>
      </c>
      <c r="H76" s="868"/>
      <c r="I76" s="869"/>
      <c r="J76" s="83" t="s">
        <v>6</v>
      </c>
      <c r="K76" s="1"/>
      <c r="L76" s="1"/>
      <c r="M76" s="1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12">
        <v>61</v>
      </c>
      <c r="C77" s="206">
        <v>41828</v>
      </c>
      <c r="D77" s="55" t="str">
        <f>IF(J70="","Winnaar 57",IF(J70=1,D70,F70))</f>
        <v>Duitsland</v>
      </c>
      <c r="E77" s="15" t="s">
        <v>9</v>
      </c>
      <c r="F77" s="56" t="str">
        <f>IF(J71="","Winnaar 58",IF(J71=1,D71,F71))</f>
        <v>Italië</v>
      </c>
      <c r="G77" s="85">
        <v>1</v>
      </c>
      <c r="H77" s="15" t="s">
        <v>9</v>
      </c>
      <c r="I77" s="97">
        <v>0</v>
      </c>
      <c r="J77" s="98">
        <v>1</v>
      </c>
      <c r="K77" s="1"/>
      <c r="L77" s="1"/>
      <c r="M77" s="1"/>
      <c r="V77" t="s">
        <v>134</v>
      </c>
      <c r="W77" t="s">
        <v>203</v>
      </c>
      <c r="X77" t="str">
        <f t="shared" si="11"/>
        <v>Marco van Ginkel (m)</v>
      </c>
      <c r="Y77" s="109">
        <f>AF77</f>
        <v>5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5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5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3">
        <v>62</v>
      </c>
      <c r="C78" s="209">
        <v>41829</v>
      </c>
      <c r="D78" s="61" t="str">
        <f>IF(J72="","Winnaar 59",IF(J72=1,D72,F72))</f>
        <v>Argentinië</v>
      </c>
      <c r="E78" s="36" t="s">
        <v>9</v>
      </c>
      <c r="F78" s="62" t="str">
        <f>IF(J73="","Winnaar 60",IF(J73=1,D73,F73))</f>
        <v>Engeland</v>
      </c>
      <c r="G78" s="88">
        <v>1</v>
      </c>
      <c r="H78" s="36" t="s">
        <v>9</v>
      </c>
      <c r="I78" s="103">
        <v>2</v>
      </c>
      <c r="J78" s="104">
        <v>2</v>
      </c>
      <c r="K78" s="1"/>
      <c r="L78" s="1"/>
      <c r="M78" s="1"/>
      <c r="V78" t="s">
        <v>134</v>
      </c>
      <c r="W78" t="s">
        <v>199</v>
      </c>
      <c r="X78" t="str">
        <f t="shared" si="11"/>
        <v>Leroy Fer (m)</v>
      </c>
      <c r="Y78" s="109">
        <f>AF78</f>
        <v>0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0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1"/>
      <c r="C79" s="210"/>
      <c r="D79" s="40"/>
      <c r="E79" s="1"/>
      <c r="F79" s="40"/>
      <c r="G79" s="1"/>
      <c r="H79" s="1"/>
      <c r="I79" s="1"/>
      <c r="J79" s="1"/>
      <c r="K79" s="1"/>
      <c r="L79" s="1"/>
      <c r="M79" s="1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195"/>
      <c r="K80" s="1"/>
      <c r="L80" s="1"/>
      <c r="M80" s="1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78" t="s">
        <v>1</v>
      </c>
      <c r="C81" s="122" t="s">
        <v>2</v>
      </c>
      <c r="D81" s="193" t="s">
        <v>3</v>
      </c>
      <c r="E81" s="81"/>
      <c r="F81" s="194" t="s">
        <v>4</v>
      </c>
      <c r="G81" s="867" t="s">
        <v>5</v>
      </c>
      <c r="H81" s="868"/>
      <c r="I81" s="869"/>
      <c r="J81" s="83" t="s">
        <v>6</v>
      </c>
      <c r="K81" s="1"/>
      <c r="L81" s="1"/>
      <c r="M81" s="1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2">
        <v>63</v>
      </c>
      <c r="C82" s="215">
        <v>41832</v>
      </c>
      <c r="D82" s="64" t="str">
        <f>IF(J77="","Verliezer 61",IF(J77=1,F77,D77))</f>
        <v>Italië</v>
      </c>
      <c r="E82" s="3" t="s">
        <v>9</v>
      </c>
      <c r="F82" s="65" t="str">
        <f>IF(J78="","Verliezer 62",IF(J78=1,F78,D78))</f>
        <v>Argentinië</v>
      </c>
      <c r="G82" s="105">
        <v>1</v>
      </c>
      <c r="H82" s="3" t="s">
        <v>9</v>
      </c>
      <c r="I82" s="106">
        <v>3</v>
      </c>
      <c r="J82" s="107">
        <v>2</v>
      </c>
      <c r="K82" s="1"/>
      <c r="L82" s="1"/>
      <c r="M82" s="1"/>
      <c r="V82" t="s">
        <v>134</v>
      </c>
      <c r="W82" t="s">
        <v>125</v>
      </c>
      <c r="X82" t="str">
        <f t="shared" si="11"/>
        <v>Georginio Wijnaldum (m)</v>
      </c>
      <c r="Y82" s="109">
        <f>AF82</f>
        <v>6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6</v>
      </c>
      <c r="AG82" s="108">
        <f>IF(AC82="",0,(IF(G82=AC82,1,0)))</f>
        <v>0</v>
      </c>
      <c r="AH82" s="108">
        <f>IF(AD82="",0,(IF(I82=AD82,1,0)))</f>
        <v>1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5</v>
      </c>
      <c r="AL82" s="108">
        <f>IF(AND(G82=I82,AC82=AD82),5,0)</f>
        <v>0</v>
      </c>
    </row>
    <row r="83" spans="2:50" ht="15.75" thickBot="1">
      <c r="B83" s="1"/>
      <c r="C83" s="210"/>
      <c r="D83" s="40"/>
      <c r="E83" s="1"/>
      <c r="F83" s="40"/>
      <c r="G83" s="1"/>
      <c r="H83" s="1"/>
      <c r="I83" s="1"/>
      <c r="J83" s="1"/>
      <c r="K83" s="1"/>
      <c r="L83" s="1"/>
      <c r="M83" s="1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195"/>
      <c r="K84" s="1"/>
      <c r="L84" s="1"/>
      <c r="M84" s="1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78" t="s">
        <v>1</v>
      </c>
      <c r="C85" s="122" t="s">
        <v>2</v>
      </c>
      <c r="D85" s="193" t="s">
        <v>3</v>
      </c>
      <c r="E85" s="81"/>
      <c r="F85" s="194" t="s">
        <v>4</v>
      </c>
      <c r="G85" s="867" t="s">
        <v>5</v>
      </c>
      <c r="H85" s="868"/>
      <c r="I85" s="869"/>
      <c r="J85" s="83" t="s">
        <v>6</v>
      </c>
      <c r="K85" s="1"/>
      <c r="L85" s="1"/>
      <c r="M85" s="1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2">
        <v>64</v>
      </c>
      <c r="C86" s="215">
        <v>41833</v>
      </c>
      <c r="D86" s="64" t="str">
        <f>IF(J77="","Winnaar 61",IF(J77=1,D77,F77))</f>
        <v>Duitsland</v>
      </c>
      <c r="E86" s="3" t="s">
        <v>9</v>
      </c>
      <c r="F86" s="65" t="str">
        <f>IF(J78="","Winnaar 62",IF(J78=1,D78,F78))</f>
        <v>Engeland</v>
      </c>
      <c r="G86" s="105">
        <v>1</v>
      </c>
      <c r="H86" s="3" t="s">
        <v>9</v>
      </c>
      <c r="I86" s="106">
        <v>2</v>
      </c>
      <c r="J86" s="107">
        <v>2</v>
      </c>
      <c r="K86" s="1"/>
      <c r="L86" s="1"/>
      <c r="M86" s="1"/>
      <c r="V86" t="s">
        <v>134</v>
      </c>
      <c r="W86" t="s">
        <v>139</v>
      </c>
      <c r="X86" t="str">
        <f t="shared" si="11"/>
        <v>Nigel de Jong (m)</v>
      </c>
      <c r="Y86" s="109">
        <f>AF86</f>
        <v>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0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Engeland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0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0</v>
      </c>
      <c r="AV89">
        <f>IF(AR89=0,0,IF(E89=AR89,50,0))</f>
        <v>0</v>
      </c>
      <c r="AW89">
        <f>IF(E89=0,0,IF(OR(E89=AR90),15,0))</f>
        <v>0</v>
      </c>
      <c r="AX89">
        <f>IF(E89=0,0,IF(OR(E89=AR91,E89=AR92),5,0))</f>
        <v>0</v>
      </c>
    </row>
    <row r="90" spans="2:50">
      <c r="C90" s="870">
        <v>2</v>
      </c>
      <c r="D90" s="871"/>
      <c r="E90" s="872" t="str">
        <f>IF(J86=2,D86,IF(J86=1,F86,"Wie wordt 2de?"))</f>
        <v>Duitsland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15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15</v>
      </c>
      <c r="AV90">
        <f>IF(AR90=0,0,IF(AR90=E90,25,0))</f>
        <v>0</v>
      </c>
      <c r="AW90">
        <f>IF(E90=0,0,IF(OR(E90=AR89,),15,0))</f>
        <v>15</v>
      </c>
      <c r="AX90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Argentinië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5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5</v>
      </c>
      <c r="AV91">
        <f>IF(AR91=0,0,IF(AR91=E91,15,0))</f>
        <v>0</v>
      </c>
      <c r="AW91">
        <f>IF(E91=0,0,IF(OR(E91=AR92),10,0))</f>
        <v>0</v>
      </c>
      <c r="AX91">
        <f>IF(E91=0,0,IF(OR(E91=AR89,E91=AR90),5,0))</f>
        <v>5</v>
      </c>
    </row>
    <row r="92" spans="2:50">
      <c r="C92" s="870">
        <v>4</v>
      </c>
      <c r="D92" s="871"/>
      <c r="E92" s="872" t="str">
        <f>IF(J82=2,D82,IF(J82=1,F82,"Wie wordt 4de?"))</f>
        <v>Italië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0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0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20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phoneticPr fontId="24" type="noConversion"/>
  <conditionalFormatting sqref="AO9:AO12 AO15:AO18 AO21:AO24 AO27:AO30 AO33:AO36 AO39:AO42 AO45:AO48 AO51:AO54">
    <cfRule type="cellIs" dxfId="266" priority="3" operator="equal">
      <formula>10</formula>
    </cfRule>
  </conditionalFormatting>
  <conditionalFormatting sqref="P58:T58">
    <cfRule type="duplicateValues" dxfId="265" priority="2"/>
  </conditionalFormatting>
  <conditionalFormatting sqref="P58:T68">
    <cfRule type="duplicateValues" dxfId="264" priority="1"/>
  </conditionalFormatting>
  <dataValidations count="10">
    <dataValidation type="list" allowBlank="1" showInputMessage="1" showErrorMessage="1" sqref="T51:T54">
      <formula1>$W$51:$W$54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P58:P68">
      <formula1>$X$58:$X$98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B1:BB98"/>
  <sheetViews>
    <sheetView topLeftCell="A52" zoomScale="70" zoomScaleNormal="70" workbookViewId="0">
      <selection activeCell="AM51" sqref="AM51"/>
    </sheetView>
  </sheetViews>
  <sheetFormatPr defaultRowHeight="15" outlineLevelCol="2"/>
  <cols>
    <col min="1" max="1" width="3.42578125" customWidth="1"/>
    <col min="2" max="2" width="3.5703125" bestFit="1" customWidth="1"/>
    <col min="3" max="3" width="8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204" t="s">
        <v>145</v>
      </c>
      <c r="D3" s="182" t="s">
        <v>236</v>
      </c>
      <c r="E3" s="145"/>
      <c r="F3" s="145"/>
      <c r="N3" t="str">
        <f>D3</f>
        <v>Gabriella Sabatini (JMK)</v>
      </c>
      <c r="O3" s="144">
        <f>SUM(P3:S3)</f>
        <v>496</v>
      </c>
      <c r="P3" s="109">
        <f>SUM(Y8:Y86)</f>
        <v>249</v>
      </c>
      <c r="Q3" s="109">
        <f>SUM(AM4:AM55)</f>
        <v>200</v>
      </c>
      <c r="R3" s="109">
        <f>SUM(AP89:AP92)</f>
        <v>20</v>
      </c>
      <c r="S3" s="109">
        <f>SUM(BB58:BB69)</f>
        <v>27</v>
      </c>
      <c r="T3" s="109">
        <f>COUNTIF(AF8:AF86,10)</f>
        <v>10</v>
      </c>
      <c r="U3" s="109" t="str">
        <f>E89</f>
        <v>Argentinië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1"/>
      <c r="L6" s="1"/>
      <c r="O6" s="40"/>
      <c r="P6" s="41"/>
      <c r="Q6" s="41"/>
      <c r="R6" s="41"/>
      <c r="S6" s="41"/>
      <c r="T6" s="41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66" t="s">
        <v>1</v>
      </c>
      <c r="C7" s="121" t="s">
        <v>2</v>
      </c>
      <c r="D7" s="196" t="s">
        <v>3</v>
      </c>
      <c r="E7" s="69"/>
      <c r="F7" s="197" t="s">
        <v>4</v>
      </c>
      <c r="G7" s="880" t="s">
        <v>5</v>
      </c>
      <c r="H7" s="881"/>
      <c r="I7" s="882"/>
      <c r="J7" s="71" t="s">
        <v>6</v>
      </c>
      <c r="K7" s="4" t="s">
        <v>7</v>
      </c>
      <c r="L7" s="4" t="s">
        <v>7</v>
      </c>
      <c r="O7" s="1"/>
      <c r="P7" s="41"/>
      <c r="Q7" s="41"/>
      <c r="R7" s="41"/>
      <c r="S7" s="41"/>
      <c r="T7" s="41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5">
        <v>1</v>
      </c>
      <c r="C8" s="205">
        <v>41802</v>
      </c>
      <c r="D8" s="7" t="s">
        <v>8</v>
      </c>
      <c r="E8" s="8" t="s">
        <v>9</v>
      </c>
      <c r="F8" s="9" t="s">
        <v>10</v>
      </c>
      <c r="G8" s="84">
        <v>1</v>
      </c>
      <c r="H8" s="8" t="s">
        <v>9</v>
      </c>
      <c r="I8" s="192">
        <v>0</v>
      </c>
      <c r="J8" s="10">
        <f>IF(I8="","",IF(G8&gt;I8,1,IF(G8&lt;I8,2,3)))</f>
        <v>1</v>
      </c>
      <c r="K8" s="11">
        <f>IF(I8="","",IF($G8&gt;$I8,3,IF($G8=$I8,1,0)))</f>
        <v>3</v>
      </c>
      <c r="L8" s="11">
        <f>IF(I8="","",IF($G8&lt;$I8,3,IF($G8=$I8,1,0)))</f>
        <v>0</v>
      </c>
      <c r="O8" s="72" t="s">
        <v>41</v>
      </c>
      <c r="P8" s="73" t="s">
        <v>42</v>
      </c>
      <c r="Q8" s="73" t="s">
        <v>43</v>
      </c>
      <c r="R8" s="74" t="s">
        <v>44</v>
      </c>
      <c r="S8" s="75" t="s">
        <v>45</v>
      </c>
      <c r="T8" s="76" t="s">
        <v>46</v>
      </c>
      <c r="U8" s="40"/>
      <c r="V8" s="40"/>
      <c r="W8" s="40"/>
      <c r="Y8" s="109">
        <f>AF8</f>
        <v>5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5</v>
      </c>
      <c r="AG8" s="108">
        <f t="shared" ref="AG8:AG55" si="0">IF(AC8="",0,(IF(G8=AC8,1,0)))</f>
        <v>0</v>
      </c>
      <c r="AH8" s="108">
        <f t="shared" ref="AH8:AH55" si="1">IF(AD8="",0,(IF(I8=AD8,1,0)))</f>
        <v>0</v>
      </c>
      <c r="AI8" s="108">
        <f>IF(AND(AG8=1,AH8=1),10,0)</f>
        <v>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12">
        <v>2</v>
      </c>
      <c r="C9" s="206">
        <v>41803</v>
      </c>
      <c r="D9" s="14" t="s">
        <v>11</v>
      </c>
      <c r="E9" s="15" t="s">
        <v>9</v>
      </c>
      <c r="F9" s="16" t="s">
        <v>12</v>
      </c>
      <c r="G9" s="85">
        <v>1</v>
      </c>
      <c r="H9" s="15" t="s">
        <v>9</v>
      </c>
      <c r="I9" s="90">
        <v>1</v>
      </c>
      <c r="J9" s="17">
        <f t="shared" ref="J9:J55" si="5">IF(I9="","",IF(G9&gt;I9,1,IF(G9&lt;I9,2,3)))</f>
        <v>3</v>
      </c>
      <c r="K9" s="11">
        <f t="shared" ref="K9:K55" si="6">IF(I9="","",IF($G9&gt;$I9,3,IF($G9=$I9,1,0)))</f>
        <v>1</v>
      </c>
      <c r="L9" s="11">
        <f t="shared" ref="L9:L55" si="7">IF(I9="","",IF($G9&lt;$I9,3,IF($G9=$I9,1,0)))</f>
        <v>1</v>
      </c>
      <c r="O9" s="44" t="s">
        <v>8</v>
      </c>
      <c r="P9" s="45">
        <f>SUMIF($D$8:$D$55,$O9,$G$8:$G$55)+SUMIF($F$8:$F$55,$O9,$I$8:$I$55)</f>
        <v>4</v>
      </c>
      <c r="Q9" s="45">
        <f>SUMIF($D$8:$D$55,$O9,$I$8:$I$55)+SUMIF($F$8:$F$55,$O9,$G$8:$G$55)</f>
        <v>1</v>
      </c>
      <c r="R9" s="46">
        <f>P9-Q9</f>
        <v>3</v>
      </c>
      <c r="S9" s="47">
        <f>SUMIF($D$8:$D$55,$O9,$K$8:$K$55)+SUMIF($F$8:$F$55,$O9,$L$8:$L$55)</f>
        <v>9</v>
      </c>
      <c r="T9" s="94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1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1</v>
      </c>
      <c r="AG9" s="108">
        <f t="shared" si="0"/>
        <v>1</v>
      </c>
      <c r="AH9" s="108">
        <f t="shared" si="1"/>
        <v>0</v>
      </c>
      <c r="AI9" s="108">
        <f t="shared" ref="AI9:AI55" si="10">IF(AND(AG9=1,AH9=1),10,0)</f>
        <v>0</v>
      </c>
      <c r="AJ9" s="108">
        <f t="shared" si="2"/>
        <v>0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18">
        <v>3</v>
      </c>
      <c r="C10" s="207">
        <v>41803</v>
      </c>
      <c r="D10" s="20" t="s">
        <v>13</v>
      </c>
      <c r="E10" s="21" t="s">
        <v>9</v>
      </c>
      <c r="F10" s="22" t="s">
        <v>14</v>
      </c>
      <c r="G10" s="86">
        <v>2</v>
      </c>
      <c r="H10" s="21" t="s">
        <v>9</v>
      </c>
      <c r="I10" s="91">
        <v>1</v>
      </c>
      <c r="J10" s="23">
        <f t="shared" si="5"/>
        <v>1</v>
      </c>
      <c r="K10" s="11">
        <f t="shared" si="6"/>
        <v>3</v>
      </c>
      <c r="L10" s="11">
        <f t="shared" si="7"/>
        <v>0</v>
      </c>
      <c r="O10" s="48" t="s">
        <v>10</v>
      </c>
      <c r="P10" s="49">
        <f>SUMIF($D$8:$D$55,$O10,$G$8:$G$55)+SUMIF($F$8:$F$55,$O10,$I$8:$I$55)</f>
        <v>3</v>
      </c>
      <c r="Q10" s="49">
        <f>SUMIF($D$8:$D$55,$O10,$I$8:$I$55)+SUMIF($F$8:$F$55,$O10,$G$8:$G$55)</f>
        <v>3</v>
      </c>
      <c r="R10" s="49">
        <f>P10-Q10</f>
        <v>0</v>
      </c>
      <c r="S10" s="50">
        <f>SUMIF($D$8:$D$55,$O10,$K$8:$K$55)+SUMIF($F$8:$F$55,$O10,$L$8:$L$55)</f>
        <v>4</v>
      </c>
      <c r="T10" s="95" t="s">
        <v>47</v>
      </c>
      <c r="U10" s="40"/>
      <c r="V10" s="40" t="str">
        <f>O10</f>
        <v>Kroatië</v>
      </c>
      <c r="W10" s="40" t="s">
        <v>49</v>
      </c>
      <c r="Y10" s="109">
        <f t="shared" si="8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0</v>
      </c>
      <c r="AG10" s="108">
        <f t="shared" si="0"/>
        <v>0</v>
      </c>
      <c r="AH10" s="108">
        <f t="shared" si="1"/>
        <v>0</v>
      </c>
      <c r="AI10" s="108">
        <f t="shared" si="10"/>
        <v>0</v>
      </c>
      <c r="AJ10" s="108">
        <f t="shared" si="2"/>
        <v>0</v>
      </c>
      <c r="AK10" s="108">
        <f t="shared" si="3"/>
        <v>0</v>
      </c>
      <c r="AL10" s="108">
        <f t="shared" si="4"/>
        <v>0</v>
      </c>
      <c r="AM10" s="120">
        <f>AO10</f>
        <v>10</v>
      </c>
      <c r="AN10" s="117" t="s">
        <v>10</v>
      </c>
      <c r="AO10" s="115">
        <f>IF(Uitslag!T10="",0,IF(T10=Uitslag!T10,10,0))</f>
        <v>10</v>
      </c>
    </row>
    <row r="11" spans="2:54" ht="15.75" thickBot="1">
      <c r="B11" s="24">
        <v>4</v>
      </c>
      <c r="C11" s="208">
        <v>41803</v>
      </c>
      <c r="D11" s="26" t="s">
        <v>15</v>
      </c>
      <c r="E11" s="27" t="s">
        <v>9</v>
      </c>
      <c r="F11" s="28" t="s">
        <v>16</v>
      </c>
      <c r="G11" s="87">
        <v>1</v>
      </c>
      <c r="H11" s="27" t="s">
        <v>9</v>
      </c>
      <c r="I11" s="92">
        <v>0</v>
      </c>
      <c r="J11" s="29">
        <f t="shared" si="5"/>
        <v>1</v>
      </c>
      <c r="K11" s="11">
        <f t="shared" si="6"/>
        <v>3</v>
      </c>
      <c r="L11" s="11">
        <f t="shared" si="7"/>
        <v>0</v>
      </c>
      <c r="O11" s="48" t="s">
        <v>11</v>
      </c>
      <c r="P11" s="49">
        <f>SUMIF($D$8:$D$55,$O11,$G$8:$G$55)+SUMIF($F$8:$F$55,$O11,$I$8:$I$55)</f>
        <v>3</v>
      </c>
      <c r="Q11" s="49">
        <f>SUMIF($D$8:$D$55,$O11,$I$8:$I$55)+SUMIF($F$8:$F$55,$O11,$G$8:$G$55)</f>
        <v>4</v>
      </c>
      <c r="R11" s="49">
        <f>P11-Q11</f>
        <v>-1</v>
      </c>
      <c r="S11" s="50">
        <f>SUMIF($D$8:$D$55,$O11,$K$8:$K$55)+SUMIF($F$8:$F$55,$O11,$L$8:$L$55)</f>
        <v>2</v>
      </c>
      <c r="T11" s="95" t="s">
        <v>49</v>
      </c>
      <c r="U11" s="40"/>
      <c r="V11" s="40" t="str">
        <f>O11</f>
        <v>Mexico</v>
      </c>
      <c r="W11" s="40" t="s">
        <v>47</v>
      </c>
      <c r="Y11" s="109">
        <f t="shared" si="8"/>
        <v>5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5</v>
      </c>
      <c r="AG11" s="108">
        <f t="shared" si="0"/>
        <v>0</v>
      </c>
      <c r="AH11" s="108">
        <f t="shared" si="1"/>
        <v>0</v>
      </c>
      <c r="AI11" s="108">
        <f t="shared" si="10"/>
        <v>0</v>
      </c>
      <c r="AJ11" s="108">
        <f t="shared" si="2"/>
        <v>5</v>
      </c>
      <c r="AK11" s="108">
        <f t="shared" si="3"/>
        <v>0</v>
      </c>
      <c r="AL11" s="108">
        <f t="shared" si="4"/>
        <v>0</v>
      </c>
      <c r="AM11" s="120">
        <f>AO11</f>
        <v>10</v>
      </c>
      <c r="AN11" s="117" t="s">
        <v>11</v>
      </c>
      <c r="AO11" s="115">
        <f>IF(Uitslag!T11="",0,IF(T11=Uitslag!T11,10,0))</f>
        <v>10</v>
      </c>
    </row>
    <row r="12" spans="2:54" ht="15.75" thickBot="1">
      <c r="B12" s="12">
        <v>5</v>
      </c>
      <c r="C12" s="206">
        <v>41804</v>
      </c>
      <c r="D12" s="14" t="s">
        <v>17</v>
      </c>
      <c r="E12" s="15" t="s">
        <v>9</v>
      </c>
      <c r="F12" s="16" t="s">
        <v>18</v>
      </c>
      <c r="G12" s="85">
        <v>1</v>
      </c>
      <c r="H12" s="15" t="s">
        <v>9</v>
      </c>
      <c r="I12" s="90">
        <v>0</v>
      </c>
      <c r="J12" s="17">
        <f t="shared" si="5"/>
        <v>1</v>
      </c>
      <c r="K12" s="11">
        <f t="shared" si="6"/>
        <v>3</v>
      </c>
      <c r="L12" s="11">
        <f t="shared" si="7"/>
        <v>0</v>
      </c>
      <c r="O12" s="51" t="s">
        <v>12</v>
      </c>
      <c r="P12" s="52">
        <f>SUMIF($D$8:$D$55,$O12,$G$8:$G$55)+SUMIF($F$8:$F$55,$O12,$I$8:$I$55)</f>
        <v>2</v>
      </c>
      <c r="Q12" s="52">
        <f>SUMIF($D$8:$D$55,$O12,$I$8:$I$55)+SUMIF($F$8:$F$55,$O12,$G$8:$G$55)</f>
        <v>4</v>
      </c>
      <c r="R12" s="52">
        <f>P12-Q12</f>
        <v>-2</v>
      </c>
      <c r="S12" s="53">
        <f>SUMIF($D$8:$D$55,$O12,$K$8:$K$55)+SUMIF($F$8:$F$55,$O12,$L$8:$L$55)</f>
        <v>1</v>
      </c>
      <c r="T12" s="96" t="s">
        <v>50</v>
      </c>
      <c r="U12" s="40"/>
      <c r="V12" s="40" t="str">
        <f>O12</f>
        <v>Kameroen</v>
      </c>
      <c r="W12" s="40" t="s">
        <v>50</v>
      </c>
      <c r="Y12" s="109">
        <f t="shared" si="8"/>
        <v>6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6</v>
      </c>
      <c r="AG12" s="108">
        <f t="shared" si="0"/>
        <v>0</v>
      </c>
      <c r="AH12" s="108">
        <f t="shared" si="1"/>
        <v>1</v>
      </c>
      <c r="AI12" s="108">
        <f t="shared" si="10"/>
        <v>0</v>
      </c>
      <c r="AJ12" s="108">
        <f t="shared" si="2"/>
        <v>5</v>
      </c>
      <c r="AK12" s="108">
        <f t="shared" si="3"/>
        <v>0</v>
      </c>
      <c r="AL12" s="108">
        <f t="shared" si="4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18">
        <v>6</v>
      </c>
      <c r="C13" s="207">
        <v>41804</v>
      </c>
      <c r="D13" s="20" t="s">
        <v>19</v>
      </c>
      <c r="E13" s="21" t="s">
        <v>9</v>
      </c>
      <c r="F13" s="30" t="s">
        <v>20</v>
      </c>
      <c r="G13" s="86">
        <v>1</v>
      </c>
      <c r="H13" s="21" t="s">
        <v>9</v>
      </c>
      <c r="I13" s="91">
        <v>0</v>
      </c>
      <c r="J13" s="23">
        <f t="shared" si="5"/>
        <v>1</v>
      </c>
      <c r="K13" s="11">
        <f t="shared" si="6"/>
        <v>3</v>
      </c>
      <c r="L13" s="11">
        <f t="shared" si="7"/>
        <v>0</v>
      </c>
      <c r="O13" s="40"/>
      <c r="P13" s="41"/>
      <c r="Q13" s="41"/>
      <c r="R13" s="41"/>
      <c r="S13" s="41"/>
      <c r="T13" s="41"/>
      <c r="U13" s="40"/>
      <c r="V13" s="40"/>
      <c r="W13" s="40"/>
      <c r="Y13" s="109">
        <f t="shared" si="8"/>
        <v>1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1</v>
      </c>
      <c r="AG13" s="108">
        <f t="shared" si="0"/>
        <v>1</v>
      </c>
      <c r="AH13" s="108">
        <f t="shared" si="1"/>
        <v>0</v>
      </c>
      <c r="AI13" s="108">
        <f t="shared" si="10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40"/>
      <c r="AO13" s="41"/>
    </row>
    <row r="14" spans="2:54" ht="15.75" thickBot="1">
      <c r="B14" s="18">
        <v>7</v>
      </c>
      <c r="C14" s="207">
        <v>41804</v>
      </c>
      <c r="D14" s="20" t="s">
        <v>21</v>
      </c>
      <c r="E14" s="21" t="s">
        <v>9</v>
      </c>
      <c r="F14" s="30" t="s">
        <v>22</v>
      </c>
      <c r="G14" s="86">
        <v>1</v>
      </c>
      <c r="H14" s="21" t="s">
        <v>9</v>
      </c>
      <c r="I14" s="91">
        <v>0</v>
      </c>
      <c r="J14" s="23">
        <f t="shared" si="5"/>
        <v>1</v>
      </c>
      <c r="K14" s="11">
        <f t="shared" si="6"/>
        <v>3</v>
      </c>
      <c r="L14" s="11">
        <f t="shared" si="7"/>
        <v>0</v>
      </c>
      <c r="O14" s="72" t="s">
        <v>51</v>
      </c>
      <c r="P14" s="73" t="s">
        <v>42</v>
      </c>
      <c r="Q14" s="73" t="s">
        <v>43</v>
      </c>
      <c r="R14" s="74" t="s">
        <v>44</v>
      </c>
      <c r="S14" s="75" t="s">
        <v>45</v>
      </c>
      <c r="T14" s="76" t="s">
        <v>46</v>
      </c>
      <c r="U14" s="40"/>
      <c r="V14" s="40"/>
      <c r="W14" s="40"/>
      <c r="Y14" s="109">
        <f t="shared" si="8"/>
        <v>1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</v>
      </c>
      <c r="AG14" s="108">
        <f t="shared" si="0"/>
        <v>1</v>
      </c>
      <c r="AH14" s="108">
        <f t="shared" si="1"/>
        <v>0</v>
      </c>
      <c r="AI14" s="108">
        <f t="shared" si="10"/>
        <v>0</v>
      </c>
      <c r="AJ14" s="108">
        <f t="shared" si="2"/>
        <v>0</v>
      </c>
      <c r="AK14" s="108">
        <f t="shared" si="3"/>
        <v>0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24">
        <v>8</v>
      </c>
      <c r="C15" s="208">
        <v>41804</v>
      </c>
      <c r="D15" s="26" t="s">
        <v>23</v>
      </c>
      <c r="E15" s="27" t="s">
        <v>9</v>
      </c>
      <c r="F15" s="28" t="s">
        <v>24</v>
      </c>
      <c r="G15" s="87">
        <v>2</v>
      </c>
      <c r="H15" s="27" t="s">
        <v>9</v>
      </c>
      <c r="I15" s="92">
        <v>1</v>
      </c>
      <c r="J15" s="29">
        <f t="shared" si="5"/>
        <v>1</v>
      </c>
      <c r="K15" s="11">
        <f t="shared" si="6"/>
        <v>3</v>
      </c>
      <c r="L15" s="11">
        <f t="shared" si="7"/>
        <v>0</v>
      </c>
      <c r="O15" s="44" t="s">
        <v>13</v>
      </c>
      <c r="P15" s="45">
        <f>SUMIF($D$8:$D$55,$O15,$G$8:$G$55)+SUMIF($F$8:$F$55,$O15,$I$8:$I$55)</f>
        <v>4</v>
      </c>
      <c r="Q15" s="45">
        <f>SUMIF($D$8:$D$55,$O15,$I$8:$I$55)+SUMIF($F$8:$F$55,$O15,$G$8:$G$55)</f>
        <v>1</v>
      </c>
      <c r="R15" s="46">
        <f>P15-Q15</f>
        <v>3</v>
      </c>
      <c r="S15" s="47">
        <f>SUMIF($D$8:$D$55,$O15,$K$8:$K$55)+SUMIF($F$8:$F$55,$O15,$L$8:$L$55)</f>
        <v>9</v>
      </c>
      <c r="T15" s="94" t="s">
        <v>52</v>
      </c>
      <c r="U15" s="40"/>
      <c r="V15" s="40" t="str">
        <f>O15</f>
        <v>Spanje</v>
      </c>
      <c r="W15" s="40" t="s">
        <v>52</v>
      </c>
      <c r="Y15" s="109">
        <f t="shared" si="8"/>
        <v>10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10</v>
      </c>
      <c r="AG15" s="108">
        <f t="shared" si="0"/>
        <v>1</v>
      </c>
      <c r="AH15" s="108">
        <f t="shared" si="1"/>
        <v>1</v>
      </c>
      <c r="AI15" s="108">
        <f t="shared" si="10"/>
        <v>10</v>
      </c>
      <c r="AJ15" s="108">
        <f t="shared" si="2"/>
        <v>5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12">
        <v>9</v>
      </c>
      <c r="C16" s="206">
        <v>41805</v>
      </c>
      <c r="D16" s="14" t="s">
        <v>25</v>
      </c>
      <c r="E16" s="15" t="s">
        <v>9</v>
      </c>
      <c r="F16" s="16" t="s">
        <v>26</v>
      </c>
      <c r="G16" s="85">
        <v>1</v>
      </c>
      <c r="H16" s="15" t="s">
        <v>9</v>
      </c>
      <c r="I16" s="90">
        <v>1</v>
      </c>
      <c r="J16" s="17">
        <f t="shared" si="5"/>
        <v>3</v>
      </c>
      <c r="K16" s="11">
        <f t="shared" si="6"/>
        <v>1</v>
      </c>
      <c r="L16" s="11">
        <f t="shared" si="7"/>
        <v>1</v>
      </c>
      <c r="O16" s="54" t="s">
        <v>14</v>
      </c>
      <c r="P16" s="49">
        <f>SUMIF($D$8:$D$55,$O16,$G$8:$G$55)+SUMIF($F$8:$F$55,$O16,$I$8:$I$55)</f>
        <v>3</v>
      </c>
      <c r="Q16" s="49">
        <f>SUMIF($D$8:$D$55,$O16,$I$8:$I$55)+SUMIF($F$8:$F$55,$O16,$G$8:$G$55)</f>
        <v>3</v>
      </c>
      <c r="R16" s="49">
        <f>P16-Q16</f>
        <v>0</v>
      </c>
      <c r="S16" s="50">
        <f>SUMIF($D$8:$D$55,$O16,$K$8:$K$55)+SUMIF($F$8:$F$55,$O16,$L$8:$L$55)</f>
        <v>4</v>
      </c>
      <c r="T16" s="95" t="s">
        <v>54</v>
      </c>
      <c r="U16" s="40"/>
      <c r="V16" s="40" t="str">
        <f>O16</f>
        <v>Nederland</v>
      </c>
      <c r="W16" s="40" t="s">
        <v>53</v>
      </c>
      <c r="Y16" s="109">
        <f t="shared" si="8"/>
        <v>1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1</v>
      </c>
      <c r="AG16" s="108">
        <f t="shared" si="0"/>
        <v>0</v>
      </c>
      <c r="AH16" s="108">
        <f t="shared" si="1"/>
        <v>1</v>
      </c>
      <c r="AI16" s="108">
        <f t="shared" si="10"/>
        <v>0</v>
      </c>
      <c r="AJ16" s="108">
        <f t="shared" si="2"/>
        <v>0</v>
      </c>
      <c r="AK16" s="108">
        <f t="shared" si="3"/>
        <v>0</v>
      </c>
      <c r="AL16" s="108">
        <f t="shared" si="4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18">
        <v>10</v>
      </c>
      <c r="C17" s="207">
        <v>41805</v>
      </c>
      <c r="D17" s="20" t="s">
        <v>27</v>
      </c>
      <c r="E17" s="21" t="s">
        <v>9</v>
      </c>
      <c r="F17" s="30" t="s">
        <v>28</v>
      </c>
      <c r="G17" s="86">
        <v>2</v>
      </c>
      <c r="H17" s="21" t="s">
        <v>9</v>
      </c>
      <c r="I17" s="91">
        <v>0</v>
      </c>
      <c r="J17" s="23">
        <f t="shared" si="5"/>
        <v>1</v>
      </c>
      <c r="K17" s="11">
        <f t="shared" si="6"/>
        <v>3</v>
      </c>
      <c r="L17" s="11">
        <f t="shared" si="7"/>
        <v>0</v>
      </c>
      <c r="O17" s="48" t="s">
        <v>15</v>
      </c>
      <c r="P17" s="49">
        <f>SUMIF($D$8:$D$55,$O17,$G$8:$G$55)+SUMIF($F$8:$F$55,$O17,$I$8:$I$55)</f>
        <v>2</v>
      </c>
      <c r="Q17" s="49">
        <f>SUMIF($D$8:$D$55,$O17,$I$8:$I$55)+SUMIF($F$8:$F$55,$O17,$G$8:$G$55)</f>
        <v>2</v>
      </c>
      <c r="R17" s="49">
        <f>P17-Q17</f>
        <v>0</v>
      </c>
      <c r="S17" s="50">
        <f>SUMIF($D$8:$D$55,$O17,$K$8:$K$55)+SUMIF($F$8:$F$55,$O17,$L$8:$L$55)</f>
        <v>4</v>
      </c>
      <c r="T17" s="95" t="s">
        <v>53</v>
      </c>
      <c r="U17" s="40"/>
      <c r="V17" s="40" t="str">
        <f>O17</f>
        <v>Chili</v>
      </c>
      <c r="W17" s="40" t="s">
        <v>54</v>
      </c>
      <c r="Y17" s="109">
        <f t="shared" si="8"/>
        <v>6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6</v>
      </c>
      <c r="AG17" s="108">
        <f t="shared" si="0"/>
        <v>0</v>
      </c>
      <c r="AH17" s="108">
        <f t="shared" si="1"/>
        <v>1</v>
      </c>
      <c r="AI17" s="108">
        <f t="shared" si="10"/>
        <v>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10</v>
      </c>
      <c r="AN17" s="117" t="s">
        <v>15</v>
      </c>
      <c r="AO17" s="115">
        <f>IF(Uitslag!T17="",0,IF(T17=Uitslag!T17,10,0))</f>
        <v>10</v>
      </c>
    </row>
    <row r="18" spans="2:41" ht="15.75" thickBot="1">
      <c r="B18" s="24">
        <v>11</v>
      </c>
      <c r="C18" s="208">
        <v>41805</v>
      </c>
      <c r="D18" s="26" t="s">
        <v>29</v>
      </c>
      <c r="E18" s="27" t="s">
        <v>9</v>
      </c>
      <c r="F18" s="28" t="s">
        <v>30</v>
      </c>
      <c r="G18" s="87">
        <v>1</v>
      </c>
      <c r="H18" s="27" t="s">
        <v>9</v>
      </c>
      <c r="I18" s="92">
        <v>0</v>
      </c>
      <c r="J18" s="29">
        <f t="shared" si="5"/>
        <v>1</v>
      </c>
      <c r="K18" s="11">
        <f t="shared" si="6"/>
        <v>3</v>
      </c>
      <c r="L18" s="11">
        <f t="shared" si="7"/>
        <v>0</v>
      </c>
      <c r="O18" s="51" t="s">
        <v>16</v>
      </c>
      <c r="P18" s="52">
        <f>SUMIF($D$8:$D$55,$O18,$G$8:$G$55)+SUMIF($F$8:$F$55,$O18,$I$8:$I$55)</f>
        <v>0</v>
      </c>
      <c r="Q18" s="52">
        <f>SUMIF($D$8:$D$55,$O18,$I$8:$I$55)+SUMIF($F$8:$F$55,$O18,$G$8:$G$55)</f>
        <v>3</v>
      </c>
      <c r="R18" s="52">
        <f>P18-Q18</f>
        <v>-3</v>
      </c>
      <c r="S18" s="53">
        <f>SUMIF($D$8:$D$55,$O18,$K$8:$K$55)+SUMIF($F$8:$F$55,$O18,$L$8:$L$55)</f>
        <v>0</v>
      </c>
      <c r="T18" s="96" t="s">
        <v>55</v>
      </c>
      <c r="U18" s="40"/>
      <c r="V18" s="40" t="str">
        <f>O18</f>
        <v>Australië</v>
      </c>
      <c r="W18" s="40" t="s">
        <v>55</v>
      </c>
      <c r="Y18" s="109">
        <f t="shared" si="8"/>
        <v>5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5</v>
      </c>
      <c r="AG18" s="108">
        <f t="shared" si="0"/>
        <v>0</v>
      </c>
      <c r="AH18" s="108">
        <f t="shared" si="1"/>
        <v>0</v>
      </c>
      <c r="AI18" s="108">
        <f t="shared" si="10"/>
        <v>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12">
        <v>12</v>
      </c>
      <c r="C19" s="206">
        <v>41806</v>
      </c>
      <c r="D19" s="14" t="s">
        <v>31</v>
      </c>
      <c r="E19" s="15" t="s">
        <v>9</v>
      </c>
      <c r="F19" s="16" t="s">
        <v>32</v>
      </c>
      <c r="G19" s="85">
        <v>0</v>
      </c>
      <c r="H19" s="15" t="s">
        <v>9</v>
      </c>
      <c r="I19" s="90">
        <v>0</v>
      </c>
      <c r="J19" s="17">
        <f t="shared" si="5"/>
        <v>3</v>
      </c>
      <c r="K19" s="11">
        <f t="shared" si="6"/>
        <v>1</v>
      </c>
      <c r="L19" s="11">
        <f t="shared" si="7"/>
        <v>1</v>
      </c>
      <c r="O19" s="40"/>
      <c r="P19" s="41"/>
      <c r="Q19" s="41"/>
      <c r="R19" s="41"/>
      <c r="S19" s="41"/>
      <c r="T19" s="41"/>
      <c r="U19" s="40"/>
      <c r="V19" s="40"/>
      <c r="W19" s="40"/>
      <c r="Y19" s="109">
        <f t="shared" si="8"/>
        <v>1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1</v>
      </c>
      <c r="AG19" s="108">
        <f t="shared" si="0"/>
        <v>0</v>
      </c>
      <c r="AH19" s="108">
        <f t="shared" si="1"/>
        <v>1</v>
      </c>
      <c r="AI19" s="108">
        <f t="shared" si="10"/>
        <v>0</v>
      </c>
      <c r="AJ19" s="108">
        <f t="shared" si="2"/>
        <v>0</v>
      </c>
      <c r="AK19" s="108">
        <f t="shared" si="3"/>
        <v>0</v>
      </c>
      <c r="AL19" s="108">
        <f t="shared" si="4"/>
        <v>0</v>
      </c>
      <c r="AN19" s="40"/>
      <c r="AO19" s="41"/>
    </row>
    <row r="20" spans="2:41" ht="15.75" thickBot="1">
      <c r="B20" s="18">
        <v>13</v>
      </c>
      <c r="C20" s="207">
        <v>41806</v>
      </c>
      <c r="D20" s="20" t="s">
        <v>33</v>
      </c>
      <c r="E20" s="21" t="s">
        <v>9</v>
      </c>
      <c r="F20" s="30" t="s">
        <v>34</v>
      </c>
      <c r="G20" s="86">
        <v>0</v>
      </c>
      <c r="H20" s="21" t="s">
        <v>9</v>
      </c>
      <c r="I20" s="91">
        <v>2</v>
      </c>
      <c r="J20" s="23">
        <f t="shared" si="5"/>
        <v>2</v>
      </c>
      <c r="K20" s="11">
        <f t="shared" si="6"/>
        <v>0</v>
      </c>
      <c r="L20" s="11">
        <f t="shared" si="7"/>
        <v>3</v>
      </c>
      <c r="O20" s="72" t="s">
        <v>56</v>
      </c>
      <c r="P20" s="73" t="s">
        <v>42</v>
      </c>
      <c r="Q20" s="73" t="s">
        <v>43</v>
      </c>
      <c r="R20" s="74" t="s">
        <v>44</v>
      </c>
      <c r="S20" s="75" t="s">
        <v>45</v>
      </c>
      <c r="T20" s="76" t="s">
        <v>46</v>
      </c>
      <c r="U20" s="40"/>
      <c r="V20" s="40"/>
      <c r="W20" s="40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0"/>
        <v>1</v>
      </c>
      <c r="AH20" s="108">
        <f t="shared" si="1"/>
        <v>0</v>
      </c>
      <c r="AI20" s="108">
        <f t="shared" si="10"/>
        <v>0</v>
      </c>
      <c r="AJ20" s="108">
        <f t="shared" si="2"/>
        <v>0</v>
      </c>
      <c r="AK20" s="108">
        <f t="shared" si="3"/>
        <v>0</v>
      </c>
      <c r="AL20" s="108">
        <f t="shared" si="4"/>
        <v>0</v>
      </c>
      <c r="AN20" s="42" t="s">
        <v>56</v>
      </c>
      <c r="AO20" s="43" t="s">
        <v>46</v>
      </c>
    </row>
    <row r="21" spans="2:41" ht="15.75" thickBot="1">
      <c r="B21" s="24">
        <v>14</v>
      </c>
      <c r="C21" s="208">
        <v>41806</v>
      </c>
      <c r="D21" s="26" t="s">
        <v>35</v>
      </c>
      <c r="E21" s="27" t="s">
        <v>9</v>
      </c>
      <c r="F21" s="28" t="s">
        <v>36</v>
      </c>
      <c r="G21" s="87">
        <v>1</v>
      </c>
      <c r="H21" s="27" t="s">
        <v>9</v>
      </c>
      <c r="I21" s="92">
        <v>1</v>
      </c>
      <c r="J21" s="29">
        <f t="shared" si="5"/>
        <v>3</v>
      </c>
      <c r="K21" s="11">
        <f t="shared" si="6"/>
        <v>1</v>
      </c>
      <c r="L21" s="11">
        <f t="shared" si="7"/>
        <v>1</v>
      </c>
      <c r="O21" s="44" t="s">
        <v>17</v>
      </c>
      <c r="P21" s="45">
        <f>SUMIF($D$8:$D$55,$O21,$G$8:$G$55)+SUMIF($F$8:$F$55,$O21,$I$8:$I$55)</f>
        <v>3</v>
      </c>
      <c r="Q21" s="45">
        <f>SUMIF($D$8:$D$55,$O21,$I$8:$I$55)+SUMIF($F$8:$F$55,$O21,$G$8:$G$55)</f>
        <v>1</v>
      </c>
      <c r="R21" s="46">
        <f>P21-Q21</f>
        <v>2</v>
      </c>
      <c r="S21" s="47">
        <f>SUMIF($D$8:$D$55,$O21,$K$8:$K$55)+SUMIF($F$8:$F$55,$O21,$L$8:$L$55)</f>
        <v>7</v>
      </c>
      <c r="T21" s="94" t="s">
        <v>57</v>
      </c>
      <c r="U21" s="40"/>
      <c r="V21" s="40" t="str">
        <f>O21</f>
        <v>Colombia</v>
      </c>
      <c r="W21" s="40" t="s">
        <v>57</v>
      </c>
      <c r="Y21" s="109">
        <f t="shared" si="8"/>
        <v>1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1</v>
      </c>
      <c r="AG21" s="108">
        <f t="shared" si="0"/>
        <v>1</v>
      </c>
      <c r="AH21" s="108">
        <f t="shared" si="1"/>
        <v>0</v>
      </c>
      <c r="AI21" s="108">
        <f t="shared" si="10"/>
        <v>0</v>
      </c>
      <c r="AJ21" s="108">
        <f t="shared" si="2"/>
        <v>0</v>
      </c>
      <c r="AK21" s="108">
        <f t="shared" si="3"/>
        <v>0</v>
      </c>
      <c r="AL21" s="108">
        <f t="shared" si="4"/>
        <v>0</v>
      </c>
      <c r="AM21" s="120">
        <f>AO21</f>
        <v>10</v>
      </c>
      <c r="AN21" s="116" t="s">
        <v>17</v>
      </c>
      <c r="AO21" s="115">
        <f>IF(Uitslag!T21="",0,IF(T21=Uitslag!T21,10,0))</f>
        <v>10</v>
      </c>
    </row>
    <row r="22" spans="2:41" ht="15.75" thickBot="1">
      <c r="B22" s="12">
        <v>15</v>
      </c>
      <c r="C22" s="206">
        <v>41807</v>
      </c>
      <c r="D22" s="14" t="s">
        <v>37</v>
      </c>
      <c r="E22" s="15" t="s">
        <v>9</v>
      </c>
      <c r="F22" s="16" t="s">
        <v>38</v>
      </c>
      <c r="G22" s="85">
        <v>2</v>
      </c>
      <c r="H22" s="15" t="s">
        <v>9</v>
      </c>
      <c r="I22" s="90">
        <v>1</v>
      </c>
      <c r="J22" s="17">
        <f t="shared" si="5"/>
        <v>1</v>
      </c>
      <c r="K22" s="11">
        <f t="shared" si="6"/>
        <v>3</v>
      </c>
      <c r="L22" s="11">
        <f t="shared" si="7"/>
        <v>0</v>
      </c>
      <c r="O22" s="48" t="s">
        <v>18</v>
      </c>
      <c r="P22" s="49">
        <f>SUMIF($D$8:$D$55,$O22,$G$8:$G$55)+SUMIF($F$8:$F$55,$O22,$I$8:$I$55)</f>
        <v>0</v>
      </c>
      <c r="Q22" s="49">
        <f>SUMIF($D$8:$D$55,$O22,$I$8:$I$55)+SUMIF($F$8:$F$55,$O22,$G$8:$G$55)</f>
        <v>2</v>
      </c>
      <c r="R22" s="49">
        <f>P22-Q22</f>
        <v>-2</v>
      </c>
      <c r="S22" s="50">
        <f>SUMIF($D$8:$D$55,$O22,$K$8:$K$55)+SUMIF($F$8:$F$55,$O22,$L$8:$L$55)</f>
        <v>1</v>
      </c>
      <c r="T22" s="95" t="s">
        <v>60</v>
      </c>
      <c r="U22" s="40"/>
      <c r="V22" s="40" t="str">
        <f>O22</f>
        <v>Griekenland</v>
      </c>
      <c r="W22" s="40" t="s">
        <v>58</v>
      </c>
      <c r="Y22" s="109">
        <f t="shared" si="8"/>
        <v>10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10</v>
      </c>
      <c r="AG22" s="108">
        <f t="shared" si="0"/>
        <v>1</v>
      </c>
      <c r="AH22" s="108">
        <f t="shared" si="1"/>
        <v>1</v>
      </c>
      <c r="AI22" s="108">
        <f t="shared" si="10"/>
        <v>10</v>
      </c>
      <c r="AJ22" s="108">
        <f t="shared" si="2"/>
        <v>5</v>
      </c>
      <c r="AK22" s="108">
        <f t="shared" si="3"/>
        <v>0</v>
      </c>
      <c r="AL22" s="108">
        <f t="shared" si="4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18">
        <v>16</v>
      </c>
      <c r="C23" s="207">
        <v>41807</v>
      </c>
      <c r="D23" s="20" t="s">
        <v>8</v>
      </c>
      <c r="E23" s="21" t="s">
        <v>9</v>
      </c>
      <c r="F23" s="30" t="s">
        <v>11</v>
      </c>
      <c r="G23" s="86">
        <v>2</v>
      </c>
      <c r="H23" s="21" t="s">
        <v>9</v>
      </c>
      <c r="I23" s="91">
        <v>1</v>
      </c>
      <c r="J23" s="23">
        <f t="shared" si="5"/>
        <v>1</v>
      </c>
      <c r="K23" s="11">
        <f t="shared" si="6"/>
        <v>3</v>
      </c>
      <c r="L23" s="11">
        <f t="shared" si="7"/>
        <v>0</v>
      </c>
      <c r="O23" s="48" t="s">
        <v>23</v>
      </c>
      <c r="P23" s="49">
        <f>SUMIF($D$8:$D$55,$O23,$G$8:$G$55)+SUMIF($F$8:$F$55,$O23,$I$8:$I$55)</f>
        <v>4</v>
      </c>
      <c r="Q23" s="49">
        <f>SUMIF($D$8:$D$55,$O23,$I$8:$I$55)+SUMIF($F$8:$F$55,$O23,$G$8:$G$55)</f>
        <v>2</v>
      </c>
      <c r="R23" s="49">
        <f>P23-Q23</f>
        <v>2</v>
      </c>
      <c r="S23" s="50">
        <f>SUMIF($D$8:$D$55,$O23,$K$8:$K$55)+SUMIF($F$8:$F$55,$O23,$L$8:$L$55)</f>
        <v>7</v>
      </c>
      <c r="T23" s="95" t="s">
        <v>58</v>
      </c>
      <c r="U23" s="40"/>
      <c r="V23" s="40" t="str">
        <f>O23</f>
        <v>Ivoorkust</v>
      </c>
      <c r="W23" s="40" t="s">
        <v>59</v>
      </c>
      <c r="Y23" s="109">
        <f t="shared" si="8"/>
        <v>0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0</v>
      </c>
      <c r="AG23" s="108">
        <f t="shared" si="0"/>
        <v>0</v>
      </c>
      <c r="AH23" s="108">
        <f t="shared" si="1"/>
        <v>0</v>
      </c>
      <c r="AI23" s="108">
        <f t="shared" si="10"/>
        <v>0</v>
      </c>
      <c r="AJ23" s="108">
        <f t="shared" si="2"/>
        <v>0</v>
      </c>
      <c r="AK23" s="108">
        <f t="shared" si="3"/>
        <v>0</v>
      </c>
      <c r="AL23" s="108">
        <f t="shared" si="4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24">
        <v>17</v>
      </c>
      <c r="C24" s="208">
        <v>41807</v>
      </c>
      <c r="D24" s="26" t="s">
        <v>39</v>
      </c>
      <c r="E24" s="27" t="s">
        <v>9</v>
      </c>
      <c r="F24" s="28" t="s">
        <v>40</v>
      </c>
      <c r="G24" s="87">
        <v>1</v>
      </c>
      <c r="H24" s="27" t="s">
        <v>9</v>
      </c>
      <c r="I24" s="92">
        <v>0</v>
      </c>
      <c r="J24" s="29">
        <f t="shared" si="5"/>
        <v>1</v>
      </c>
      <c r="K24" s="11">
        <f t="shared" si="6"/>
        <v>3</v>
      </c>
      <c r="L24" s="11">
        <f t="shared" si="7"/>
        <v>0</v>
      </c>
      <c r="O24" s="51" t="s">
        <v>24</v>
      </c>
      <c r="P24" s="52">
        <f>SUMIF($D$8:$D$55,$O24,$G$8:$G$55)+SUMIF($F$8:$F$55,$O24,$I$8:$I$55)</f>
        <v>1</v>
      </c>
      <c r="Q24" s="52">
        <f>SUMIF($D$8:$D$55,$O24,$I$8:$I$55)+SUMIF($F$8:$F$55,$O24,$G$8:$G$55)</f>
        <v>3</v>
      </c>
      <c r="R24" s="52">
        <f>P24-Q24</f>
        <v>-2</v>
      </c>
      <c r="S24" s="53">
        <f>SUMIF($D$8:$D$55,$O24,$K$8:$K$55)+SUMIF($F$8:$F$55,$O24,$L$8:$L$55)</f>
        <v>1</v>
      </c>
      <c r="T24" s="96" t="s">
        <v>59</v>
      </c>
      <c r="U24" s="40"/>
      <c r="V24" s="40" t="str">
        <f>O24</f>
        <v>Japan</v>
      </c>
      <c r="W24" s="40" t="s">
        <v>60</v>
      </c>
      <c r="Y24" s="109">
        <f t="shared" si="8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</v>
      </c>
      <c r="AG24" s="108">
        <f t="shared" si="0"/>
        <v>1</v>
      </c>
      <c r="AH24" s="108">
        <f t="shared" si="1"/>
        <v>0</v>
      </c>
      <c r="AI24" s="108">
        <f t="shared" si="10"/>
        <v>0</v>
      </c>
      <c r="AJ24" s="108">
        <f t="shared" si="2"/>
        <v>0</v>
      </c>
      <c r="AK24" s="108">
        <f t="shared" si="3"/>
        <v>0</v>
      </c>
      <c r="AL24" s="108">
        <f t="shared" si="4"/>
        <v>0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12">
        <v>18</v>
      </c>
      <c r="C25" s="206">
        <v>41808</v>
      </c>
      <c r="D25" s="14" t="s">
        <v>16</v>
      </c>
      <c r="E25" s="15" t="s">
        <v>9</v>
      </c>
      <c r="F25" s="31" t="s">
        <v>14</v>
      </c>
      <c r="G25" s="85">
        <v>0</v>
      </c>
      <c r="H25" s="15" t="s">
        <v>9</v>
      </c>
      <c r="I25" s="90">
        <v>1</v>
      </c>
      <c r="J25" s="17">
        <f t="shared" si="5"/>
        <v>2</v>
      </c>
      <c r="K25" s="11">
        <f t="shared" si="6"/>
        <v>0</v>
      </c>
      <c r="L25" s="11">
        <f t="shared" si="7"/>
        <v>3</v>
      </c>
      <c r="O25" s="40"/>
      <c r="P25" s="41"/>
      <c r="Q25" s="41"/>
      <c r="R25" s="41"/>
      <c r="S25" s="41"/>
      <c r="T25" s="41"/>
      <c r="U25" s="40"/>
      <c r="V25" s="40"/>
      <c r="W25" s="40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0"/>
        <v>0</v>
      </c>
      <c r="AH25" s="108">
        <f t="shared" si="1"/>
        <v>0</v>
      </c>
      <c r="AI25" s="108">
        <f t="shared" si="10"/>
        <v>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40"/>
      <c r="AO25" s="41"/>
    </row>
    <row r="26" spans="2:41" ht="15.75" thickBot="1">
      <c r="B26" s="18">
        <v>19</v>
      </c>
      <c r="C26" s="207">
        <v>41808</v>
      </c>
      <c r="D26" s="20" t="s">
        <v>13</v>
      </c>
      <c r="E26" s="21" t="s">
        <v>9</v>
      </c>
      <c r="F26" s="30" t="s">
        <v>15</v>
      </c>
      <c r="G26" s="86">
        <v>1</v>
      </c>
      <c r="H26" s="21" t="s">
        <v>9</v>
      </c>
      <c r="I26" s="91">
        <v>0</v>
      </c>
      <c r="J26" s="23">
        <f t="shared" si="5"/>
        <v>1</v>
      </c>
      <c r="K26" s="11">
        <f t="shared" si="6"/>
        <v>3</v>
      </c>
      <c r="L26" s="11">
        <f t="shared" si="7"/>
        <v>0</v>
      </c>
      <c r="O26" s="72" t="s">
        <v>61</v>
      </c>
      <c r="P26" s="73" t="s">
        <v>42</v>
      </c>
      <c r="Q26" s="73" t="s">
        <v>43</v>
      </c>
      <c r="R26" s="74" t="s">
        <v>44</v>
      </c>
      <c r="S26" s="75" t="s">
        <v>45</v>
      </c>
      <c r="T26" s="76" t="s">
        <v>46</v>
      </c>
      <c r="U26" s="40"/>
      <c r="V26" s="40"/>
      <c r="W26" s="40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0"/>
        <v>0</v>
      </c>
      <c r="AH26" s="108">
        <f t="shared" si="1"/>
        <v>0</v>
      </c>
      <c r="AI26" s="108">
        <f t="shared" si="10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24">
        <v>20</v>
      </c>
      <c r="C27" s="208">
        <v>41808</v>
      </c>
      <c r="D27" s="26" t="s">
        <v>12</v>
      </c>
      <c r="E27" s="27" t="s">
        <v>9</v>
      </c>
      <c r="F27" s="28" t="s">
        <v>10</v>
      </c>
      <c r="G27" s="87">
        <v>1</v>
      </c>
      <c r="H27" s="27" t="s">
        <v>9</v>
      </c>
      <c r="I27" s="92">
        <v>2</v>
      </c>
      <c r="J27" s="29">
        <f t="shared" si="5"/>
        <v>2</v>
      </c>
      <c r="K27" s="11">
        <f t="shared" si="6"/>
        <v>0</v>
      </c>
      <c r="L27" s="11">
        <f t="shared" si="7"/>
        <v>3</v>
      </c>
      <c r="O27" s="44" t="s">
        <v>19</v>
      </c>
      <c r="P27" s="45">
        <f>SUMIF($D$8:$D$55,$O27,$G$8:$G$55)+SUMIF($F$8:$F$55,$O27,$I$8:$I$55)</f>
        <v>3</v>
      </c>
      <c r="Q27" s="45">
        <f>SUMIF($D$8:$D$55,$O27,$I$8:$I$55)+SUMIF($F$8:$F$55,$O27,$G$8:$G$55)</f>
        <v>1</v>
      </c>
      <c r="R27" s="46">
        <f>P27-Q27</f>
        <v>2</v>
      </c>
      <c r="S27" s="47">
        <f>SUMIF($D$8:$D$55,$O27,$K$8:$K$55)+SUMIF($F$8:$F$55,$O27,$L$8:$L$55)</f>
        <v>7</v>
      </c>
      <c r="T27" s="94" t="s">
        <v>62</v>
      </c>
      <c r="U27" s="40"/>
      <c r="V27" s="40" t="str">
        <f>O27</f>
        <v>Uruguay</v>
      </c>
      <c r="W27" s="40" t="s">
        <v>62</v>
      </c>
      <c r="Y27" s="109">
        <f t="shared" si="8"/>
        <v>5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5</v>
      </c>
      <c r="AG27" s="108">
        <f t="shared" si="0"/>
        <v>0</v>
      </c>
      <c r="AH27" s="108">
        <f t="shared" si="1"/>
        <v>0</v>
      </c>
      <c r="AI27" s="108">
        <f t="shared" si="10"/>
        <v>0</v>
      </c>
      <c r="AJ27" s="108">
        <f t="shared" si="2"/>
        <v>0</v>
      </c>
      <c r="AK27" s="108">
        <f t="shared" si="3"/>
        <v>5</v>
      </c>
      <c r="AL27" s="108">
        <f t="shared" si="4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12">
        <v>21</v>
      </c>
      <c r="C28" s="206">
        <v>41809</v>
      </c>
      <c r="D28" s="14" t="s">
        <v>17</v>
      </c>
      <c r="E28" s="15" t="s">
        <v>9</v>
      </c>
      <c r="F28" s="16" t="s">
        <v>23</v>
      </c>
      <c r="G28" s="85">
        <v>1</v>
      </c>
      <c r="H28" s="15" t="s">
        <v>9</v>
      </c>
      <c r="I28" s="90">
        <v>1</v>
      </c>
      <c r="J28" s="17">
        <f t="shared" si="5"/>
        <v>3</v>
      </c>
      <c r="K28" s="11">
        <f t="shared" si="6"/>
        <v>1</v>
      </c>
      <c r="L28" s="11">
        <f t="shared" si="7"/>
        <v>1</v>
      </c>
      <c r="O28" s="48" t="s">
        <v>20</v>
      </c>
      <c r="P28" s="49">
        <f>SUMIF($D$8:$D$55,$O28,$G$8:$G$55)+SUMIF($F$8:$F$55,$O28,$I$8:$I$55)</f>
        <v>0</v>
      </c>
      <c r="Q28" s="49">
        <f>SUMIF($D$8:$D$55,$O28,$I$8:$I$55)+SUMIF($F$8:$F$55,$O28,$G$8:$G$55)</f>
        <v>3</v>
      </c>
      <c r="R28" s="49">
        <f>P28-Q28</f>
        <v>-3</v>
      </c>
      <c r="S28" s="50">
        <f>SUMIF($D$8:$D$55,$O28,$K$8:$K$55)+SUMIF($F$8:$F$55,$O28,$L$8:$L$55)</f>
        <v>0</v>
      </c>
      <c r="T28" s="95" t="s">
        <v>65</v>
      </c>
      <c r="U28" s="40"/>
      <c r="V28" s="40" t="str">
        <f>O28</f>
        <v>Costa Rica</v>
      </c>
      <c r="W28" s="40" t="s">
        <v>63</v>
      </c>
      <c r="Y28" s="109">
        <f t="shared" si="8"/>
        <v>1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1</v>
      </c>
      <c r="AG28" s="108">
        <f t="shared" si="0"/>
        <v>0</v>
      </c>
      <c r="AH28" s="108">
        <f t="shared" si="1"/>
        <v>1</v>
      </c>
      <c r="AI28" s="108">
        <f t="shared" si="10"/>
        <v>0</v>
      </c>
      <c r="AJ28" s="108">
        <f t="shared" si="2"/>
        <v>0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18">
        <v>22</v>
      </c>
      <c r="C29" s="207">
        <v>41809</v>
      </c>
      <c r="D29" s="20" t="s">
        <v>19</v>
      </c>
      <c r="E29" s="21" t="s">
        <v>9</v>
      </c>
      <c r="F29" s="30" t="s">
        <v>21</v>
      </c>
      <c r="G29" s="86">
        <v>1</v>
      </c>
      <c r="H29" s="21" t="s">
        <v>9</v>
      </c>
      <c r="I29" s="91">
        <v>1</v>
      </c>
      <c r="J29" s="23">
        <f t="shared" si="5"/>
        <v>3</v>
      </c>
      <c r="K29" s="11">
        <f t="shared" si="6"/>
        <v>1</v>
      </c>
      <c r="L29" s="11">
        <f t="shared" si="7"/>
        <v>1</v>
      </c>
      <c r="O29" s="48" t="s">
        <v>21</v>
      </c>
      <c r="P29" s="49">
        <f>SUMIF($D$8:$D$55,$O29,$G$8:$G$55)+SUMIF($F$8:$F$55,$O29,$I$8:$I$55)</f>
        <v>3</v>
      </c>
      <c r="Q29" s="49">
        <f>SUMIF($D$8:$D$55,$O29,$I$8:$I$55)+SUMIF($F$8:$F$55,$O29,$G$8:$G$55)</f>
        <v>1</v>
      </c>
      <c r="R29" s="49">
        <f>P29-Q29</f>
        <v>2</v>
      </c>
      <c r="S29" s="50">
        <f>SUMIF($D$8:$D$55,$O29,$K$8:$K$55)+SUMIF($F$8:$F$55,$O29,$L$8:$L$55)</f>
        <v>7</v>
      </c>
      <c r="T29" s="95" t="s">
        <v>63</v>
      </c>
      <c r="U29" s="40"/>
      <c r="V29" s="40" t="str">
        <f>O29</f>
        <v>Engeland</v>
      </c>
      <c r="W29" s="40" t="s">
        <v>64</v>
      </c>
      <c r="Y29" s="109">
        <f t="shared" si="8"/>
        <v>1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1</v>
      </c>
      <c r="AG29" s="108">
        <f t="shared" si="0"/>
        <v>0</v>
      </c>
      <c r="AH29" s="108">
        <f t="shared" si="1"/>
        <v>1</v>
      </c>
      <c r="AI29" s="108">
        <f t="shared" si="10"/>
        <v>0</v>
      </c>
      <c r="AJ29" s="108">
        <f t="shared" si="2"/>
        <v>0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24">
        <v>23</v>
      </c>
      <c r="C30" s="208">
        <v>41809</v>
      </c>
      <c r="D30" s="26" t="s">
        <v>24</v>
      </c>
      <c r="E30" s="27" t="s">
        <v>9</v>
      </c>
      <c r="F30" s="28" t="s">
        <v>18</v>
      </c>
      <c r="G30" s="87">
        <v>0</v>
      </c>
      <c r="H30" s="27" t="s">
        <v>9</v>
      </c>
      <c r="I30" s="92">
        <v>0</v>
      </c>
      <c r="J30" s="29">
        <f t="shared" si="5"/>
        <v>3</v>
      </c>
      <c r="K30" s="11">
        <f t="shared" si="6"/>
        <v>1</v>
      </c>
      <c r="L30" s="11">
        <f t="shared" si="7"/>
        <v>1</v>
      </c>
      <c r="O30" s="51" t="s">
        <v>22</v>
      </c>
      <c r="P30" s="52">
        <f>SUMIF($D$8:$D$55,$O30,$G$8:$G$55)+SUMIF($F$8:$F$55,$O30,$I$8:$I$55)</f>
        <v>1</v>
      </c>
      <c r="Q30" s="52">
        <f>SUMIF($D$8:$D$55,$O30,$I$8:$I$55)+SUMIF($F$8:$F$55,$O30,$G$8:$G$55)</f>
        <v>2</v>
      </c>
      <c r="R30" s="52">
        <f>P30-Q30</f>
        <v>-1</v>
      </c>
      <c r="S30" s="53">
        <f>SUMIF($D$8:$D$55,$O30,$K$8:$K$55)+SUMIF($F$8:$F$55,$O30,$L$8:$L$55)</f>
        <v>3</v>
      </c>
      <c r="T30" s="96" t="s">
        <v>64</v>
      </c>
      <c r="U30" s="40"/>
      <c r="V30" s="40" t="str">
        <f>O30</f>
        <v>Italië</v>
      </c>
      <c r="W30" s="40" t="s">
        <v>65</v>
      </c>
      <c r="Y30" s="109">
        <f t="shared" si="8"/>
        <v>10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10</v>
      </c>
      <c r="AG30" s="108">
        <f t="shared" si="0"/>
        <v>1</v>
      </c>
      <c r="AH30" s="108">
        <f t="shared" si="1"/>
        <v>1</v>
      </c>
      <c r="AI30" s="108">
        <f t="shared" si="10"/>
        <v>10</v>
      </c>
      <c r="AJ30" s="108">
        <f t="shared" si="2"/>
        <v>0</v>
      </c>
      <c r="AK30" s="108">
        <f t="shared" si="3"/>
        <v>0</v>
      </c>
      <c r="AL30" s="108">
        <f t="shared" si="4"/>
        <v>5</v>
      </c>
      <c r="AM30" s="120">
        <f>AO30</f>
        <v>10</v>
      </c>
      <c r="AN30" s="118" t="s">
        <v>22</v>
      </c>
      <c r="AO30" s="115">
        <f>IF(Uitslag!T30="",0,IF(T30=Uitslag!T30,10,0))</f>
        <v>10</v>
      </c>
    </row>
    <row r="31" spans="2:41" ht="15.75" thickBot="1">
      <c r="B31" s="12">
        <v>24</v>
      </c>
      <c r="C31" s="206">
        <v>41810</v>
      </c>
      <c r="D31" s="14" t="s">
        <v>22</v>
      </c>
      <c r="E31" s="15" t="s">
        <v>9</v>
      </c>
      <c r="F31" s="16" t="s">
        <v>20</v>
      </c>
      <c r="G31" s="85">
        <v>1</v>
      </c>
      <c r="H31" s="15" t="s">
        <v>9</v>
      </c>
      <c r="I31" s="90">
        <v>0</v>
      </c>
      <c r="J31" s="17">
        <f t="shared" si="5"/>
        <v>1</v>
      </c>
      <c r="K31" s="11">
        <f t="shared" si="6"/>
        <v>3</v>
      </c>
      <c r="L31" s="11">
        <f t="shared" si="7"/>
        <v>0</v>
      </c>
      <c r="O31" s="40"/>
      <c r="P31" s="41"/>
      <c r="Q31" s="41"/>
      <c r="R31" s="41"/>
      <c r="S31" s="41"/>
      <c r="T31" s="41"/>
      <c r="U31" s="40"/>
      <c r="V31" s="40"/>
      <c r="W31" s="40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0"/>
        <v>0</v>
      </c>
      <c r="AH31" s="108">
        <f t="shared" si="1"/>
        <v>0</v>
      </c>
      <c r="AI31" s="108">
        <f t="shared" si="10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40"/>
      <c r="AO31" s="41"/>
    </row>
    <row r="32" spans="2:41" ht="15.75" thickBot="1">
      <c r="B32" s="18">
        <v>25</v>
      </c>
      <c r="C32" s="207">
        <v>41810</v>
      </c>
      <c r="D32" s="20" t="s">
        <v>25</v>
      </c>
      <c r="E32" s="21" t="s">
        <v>9</v>
      </c>
      <c r="F32" s="30" t="s">
        <v>27</v>
      </c>
      <c r="G32" s="86">
        <v>0</v>
      </c>
      <c r="H32" s="21" t="s">
        <v>9</v>
      </c>
      <c r="I32" s="91">
        <v>1</v>
      </c>
      <c r="J32" s="23">
        <f t="shared" si="5"/>
        <v>2</v>
      </c>
      <c r="K32" s="11">
        <f t="shared" si="6"/>
        <v>0</v>
      </c>
      <c r="L32" s="11">
        <f t="shared" si="7"/>
        <v>3</v>
      </c>
      <c r="O32" s="72" t="s">
        <v>66</v>
      </c>
      <c r="P32" s="73" t="s">
        <v>42</v>
      </c>
      <c r="Q32" s="73" t="s">
        <v>43</v>
      </c>
      <c r="R32" s="74" t="s">
        <v>44</v>
      </c>
      <c r="S32" s="75" t="s">
        <v>45</v>
      </c>
      <c r="T32" s="76" t="s">
        <v>46</v>
      </c>
      <c r="U32" s="40"/>
      <c r="V32" s="40"/>
      <c r="W32" s="40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0"/>
        <v>0</v>
      </c>
      <c r="AH32" s="108">
        <f t="shared" si="1"/>
        <v>0</v>
      </c>
      <c r="AI32" s="108">
        <f t="shared" si="10"/>
        <v>0</v>
      </c>
      <c r="AJ32" s="108">
        <f t="shared" si="2"/>
        <v>0</v>
      </c>
      <c r="AK32" s="108">
        <f t="shared" si="3"/>
        <v>5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24">
        <v>26</v>
      </c>
      <c r="C33" s="208">
        <v>41810</v>
      </c>
      <c r="D33" s="26" t="s">
        <v>28</v>
      </c>
      <c r="E33" s="27" t="s">
        <v>9</v>
      </c>
      <c r="F33" s="28" t="s">
        <v>26</v>
      </c>
      <c r="G33" s="87">
        <v>0</v>
      </c>
      <c r="H33" s="27" t="s">
        <v>9</v>
      </c>
      <c r="I33" s="92">
        <v>1</v>
      </c>
      <c r="J33" s="29">
        <f t="shared" si="5"/>
        <v>2</v>
      </c>
      <c r="K33" s="11">
        <f t="shared" si="6"/>
        <v>0</v>
      </c>
      <c r="L33" s="11">
        <f t="shared" si="7"/>
        <v>3</v>
      </c>
      <c r="O33" s="44" t="s">
        <v>25</v>
      </c>
      <c r="P33" s="45">
        <f>SUMIF($D$8:$D$55,$O33,$G$8:$G$55)+SUMIF($F$8:$F$55,$O33,$I$8:$I$55)</f>
        <v>2</v>
      </c>
      <c r="Q33" s="45">
        <f>SUMIF($D$8:$D$55,$O33,$I$8:$I$55)+SUMIF($F$8:$F$55,$O33,$G$8:$G$55)</f>
        <v>2</v>
      </c>
      <c r="R33" s="46">
        <f>P33-Q33</f>
        <v>0</v>
      </c>
      <c r="S33" s="47">
        <f>SUMIF($D$8:$D$55,$O33,$K$8:$K$55)+SUMIF($F$8:$F$55,$O33,$L$8:$L$55)</f>
        <v>4</v>
      </c>
      <c r="T33" s="94" t="s">
        <v>69</v>
      </c>
      <c r="U33" s="40"/>
      <c r="V33" s="40" t="str">
        <f>O33</f>
        <v>Zwitserland</v>
      </c>
      <c r="W33" s="40" t="s">
        <v>67</v>
      </c>
      <c r="Y33" s="109">
        <f t="shared" si="8"/>
        <v>5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5</v>
      </c>
      <c r="AG33" s="108">
        <f t="shared" si="0"/>
        <v>0</v>
      </c>
      <c r="AH33" s="108">
        <f t="shared" si="1"/>
        <v>0</v>
      </c>
      <c r="AI33" s="108">
        <f t="shared" si="10"/>
        <v>0</v>
      </c>
      <c r="AJ33" s="108">
        <f t="shared" si="2"/>
        <v>0</v>
      </c>
      <c r="AK33" s="108">
        <f t="shared" si="3"/>
        <v>5</v>
      </c>
      <c r="AL33" s="108">
        <f t="shared" si="4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12">
        <v>27</v>
      </c>
      <c r="C34" s="206">
        <v>41811</v>
      </c>
      <c r="D34" s="14" t="s">
        <v>29</v>
      </c>
      <c r="E34" s="15" t="s">
        <v>9</v>
      </c>
      <c r="F34" s="16" t="s">
        <v>33</v>
      </c>
      <c r="G34" s="85">
        <v>2</v>
      </c>
      <c r="H34" s="15" t="s">
        <v>9</v>
      </c>
      <c r="I34" s="90">
        <v>0</v>
      </c>
      <c r="J34" s="17">
        <f t="shared" si="5"/>
        <v>1</v>
      </c>
      <c r="K34" s="11">
        <f t="shared" si="6"/>
        <v>3</v>
      </c>
      <c r="L34" s="11">
        <f t="shared" si="7"/>
        <v>0</v>
      </c>
      <c r="O34" s="48" t="s">
        <v>26</v>
      </c>
      <c r="P34" s="49">
        <f>SUMIF($D$8:$D$55,$O34,$G$8:$G$55)+SUMIF($F$8:$F$55,$O34,$I$8:$I$55)</f>
        <v>3</v>
      </c>
      <c r="Q34" s="49">
        <f>SUMIF($D$8:$D$55,$O34,$I$8:$I$55)+SUMIF($F$8:$F$55,$O34,$G$8:$G$55)</f>
        <v>2</v>
      </c>
      <c r="R34" s="49">
        <f>P34-Q34</f>
        <v>1</v>
      </c>
      <c r="S34" s="50">
        <f>SUMIF($D$8:$D$55,$O34,$K$8:$K$55)+SUMIF($F$8:$F$55,$O34,$L$8:$L$55)</f>
        <v>5</v>
      </c>
      <c r="T34" s="95" t="s">
        <v>68</v>
      </c>
      <c r="U34" s="40"/>
      <c r="V34" s="40" t="str">
        <f>O34</f>
        <v>Ecuador</v>
      </c>
      <c r="W34" s="40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0"/>
        <v>0</v>
      </c>
      <c r="AH34" s="108">
        <f t="shared" si="1"/>
        <v>1</v>
      </c>
      <c r="AI34" s="108">
        <f t="shared" si="10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18">
        <v>28</v>
      </c>
      <c r="C35" s="207">
        <v>41811</v>
      </c>
      <c r="D35" s="20" t="s">
        <v>31</v>
      </c>
      <c r="E35" s="21" t="s">
        <v>9</v>
      </c>
      <c r="F35" s="30" t="s">
        <v>35</v>
      </c>
      <c r="G35" s="86">
        <v>1</v>
      </c>
      <c r="H35" s="21" t="s">
        <v>9</v>
      </c>
      <c r="I35" s="91">
        <v>0</v>
      </c>
      <c r="J35" s="23">
        <f t="shared" si="5"/>
        <v>1</v>
      </c>
      <c r="K35" s="11">
        <f t="shared" si="6"/>
        <v>3</v>
      </c>
      <c r="L35" s="11">
        <f t="shared" si="7"/>
        <v>0</v>
      </c>
      <c r="O35" s="48" t="s">
        <v>27</v>
      </c>
      <c r="P35" s="49">
        <f>SUMIF($D$8:$D$55,$O35,$G$8:$G$55)+SUMIF($F$8:$F$55,$O35,$I$8:$I$55)</f>
        <v>4</v>
      </c>
      <c r="Q35" s="49">
        <f>SUMIF($D$8:$D$55,$O35,$I$8:$I$55)+SUMIF($F$8:$F$55,$O35,$G$8:$G$55)</f>
        <v>1</v>
      </c>
      <c r="R35" s="49">
        <f>P35-Q35</f>
        <v>3</v>
      </c>
      <c r="S35" s="50">
        <f>SUMIF($D$8:$D$55,$O35,$K$8:$K$55)+SUMIF($F$8:$F$55,$O35,$L$8:$L$55)</f>
        <v>7</v>
      </c>
      <c r="T35" s="95" t="s">
        <v>67</v>
      </c>
      <c r="U35" s="40"/>
      <c r="V35" s="40" t="str">
        <f>O35</f>
        <v>Frankrijk</v>
      </c>
      <c r="W35" s="40" t="s">
        <v>69</v>
      </c>
      <c r="Y35" s="109">
        <f t="shared" si="8"/>
        <v>0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0</v>
      </c>
      <c r="AG35" s="108">
        <f t="shared" si="0"/>
        <v>0</v>
      </c>
      <c r="AH35" s="108">
        <f t="shared" si="1"/>
        <v>0</v>
      </c>
      <c r="AI35" s="108">
        <f t="shared" si="10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24">
        <v>29</v>
      </c>
      <c r="C36" s="208">
        <v>41811</v>
      </c>
      <c r="D36" s="26" t="s">
        <v>34</v>
      </c>
      <c r="E36" s="27" t="s">
        <v>9</v>
      </c>
      <c r="F36" s="28" t="s">
        <v>30</v>
      </c>
      <c r="G36" s="87">
        <v>1</v>
      </c>
      <c r="H36" s="27" t="s">
        <v>9</v>
      </c>
      <c r="I36" s="92">
        <v>0</v>
      </c>
      <c r="J36" s="29">
        <f t="shared" si="5"/>
        <v>1</v>
      </c>
      <c r="K36" s="11">
        <f t="shared" si="6"/>
        <v>3</v>
      </c>
      <c r="L36" s="11">
        <f t="shared" si="7"/>
        <v>0</v>
      </c>
      <c r="O36" s="51" t="s">
        <v>28</v>
      </c>
      <c r="P36" s="52">
        <f>SUMIF($D$8:$D$55,$O36,$G$8:$G$55)+SUMIF($F$8:$F$55,$O36,$I$8:$I$55)</f>
        <v>0</v>
      </c>
      <c r="Q36" s="52">
        <f>SUMIF($D$8:$D$55,$O36,$I$8:$I$55)+SUMIF($F$8:$F$55,$O36,$G$8:$G$55)</f>
        <v>4</v>
      </c>
      <c r="R36" s="52">
        <f>P36-Q36</f>
        <v>-4</v>
      </c>
      <c r="S36" s="53">
        <f>SUMIF($D$8:$D$55,$O36,$K$8:$K$55)+SUMIF($F$8:$F$55,$O36,$L$8:$L$55)</f>
        <v>0</v>
      </c>
      <c r="T36" s="96" t="s">
        <v>70</v>
      </c>
      <c r="U36" s="40"/>
      <c r="V36" s="40" t="str">
        <f>O36</f>
        <v>Honduras</v>
      </c>
      <c r="W36" s="40" t="s">
        <v>70</v>
      </c>
      <c r="Y36" s="109">
        <f t="shared" si="8"/>
        <v>10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10</v>
      </c>
      <c r="AG36" s="108">
        <f t="shared" si="0"/>
        <v>1</v>
      </c>
      <c r="AH36" s="108">
        <f t="shared" si="1"/>
        <v>1</v>
      </c>
      <c r="AI36" s="108">
        <f t="shared" si="10"/>
        <v>10</v>
      </c>
      <c r="AJ36" s="108">
        <f t="shared" si="2"/>
        <v>5</v>
      </c>
      <c r="AK36" s="108">
        <f t="shared" si="3"/>
        <v>0</v>
      </c>
      <c r="AL36" s="108">
        <f t="shared" si="4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12">
        <v>30</v>
      </c>
      <c r="C37" s="206">
        <v>41812</v>
      </c>
      <c r="D37" s="14" t="s">
        <v>37</v>
      </c>
      <c r="E37" s="15" t="s">
        <v>9</v>
      </c>
      <c r="F37" s="16" t="s">
        <v>39</v>
      </c>
      <c r="G37" s="85">
        <v>1</v>
      </c>
      <c r="H37" s="15" t="s">
        <v>9</v>
      </c>
      <c r="I37" s="90">
        <v>0</v>
      </c>
      <c r="J37" s="17">
        <f t="shared" si="5"/>
        <v>1</v>
      </c>
      <c r="K37" s="11">
        <f t="shared" si="6"/>
        <v>3</v>
      </c>
      <c r="L37" s="11">
        <f t="shared" si="7"/>
        <v>0</v>
      </c>
      <c r="O37" s="40"/>
      <c r="P37" s="41"/>
      <c r="Q37" s="41"/>
      <c r="R37" s="41"/>
      <c r="S37" s="41"/>
      <c r="T37" s="41"/>
      <c r="U37" s="40"/>
      <c r="V37" s="40"/>
      <c r="W37" s="40"/>
      <c r="Y37" s="109">
        <f t="shared" si="8"/>
        <v>10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10</v>
      </c>
      <c r="AG37" s="108">
        <f t="shared" si="0"/>
        <v>1</v>
      </c>
      <c r="AH37" s="108">
        <f t="shared" si="1"/>
        <v>1</v>
      </c>
      <c r="AI37" s="108">
        <f t="shared" si="10"/>
        <v>10</v>
      </c>
      <c r="AJ37" s="108">
        <f t="shared" si="2"/>
        <v>5</v>
      </c>
      <c r="AK37" s="108">
        <f t="shared" si="3"/>
        <v>0</v>
      </c>
      <c r="AL37" s="108">
        <f t="shared" si="4"/>
        <v>0</v>
      </c>
      <c r="AN37" s="40"/>
      <c r="AO37" s="41"/>
    </row>
    <row r="38" spans="2:41" ht="15.75" thickBot="1">
      <c r="B38" s="18">
        <v>31</v>
      </c>
      <c r="C38" s="207">
        <v>41812</v>
      </c>
      <c r="D38" s="20" t="s">
        <v>40</v>
      </c>
      <c r="E38" s="21" t="s">
        <v>9</v>
      </c>
      <c r="F38" s="30" t="s">
        <v>38</v>
      </c>
      <c r="G38" s="86">
        <v>1</v>
      </c>
      <c r="H38" s="21" t="s">
        <v>9</v>
      </c>
      <c r="I38" s="91">
        <v>2</v>
      </c>
      <c r="J38" s="23">
        <f t="shared" si="5"/>
        <v>2</v>
      </c>
      <c r="K38" s="11">
        <f t="shared" si="6"/>
        <v>0</v>
      </c>
      <c r="L38" s="11">
        <f t="shared" si="7"/>
        <v>3</v>
      </c>
      <c r="O38" s="72" t="s">
        <v>71</v>
      </c>
      <c r="P38" s="73" t="s">
        <v>42</v>
      </c>
      <c r="Q38" s="73" t="s">
        <v>43</v>
      </c>
      <c r="R38" s="74" t="s">
        <v>44</v>
      </c>
      <c r="S38" s="75" t="s">
        <v>45</v>
      </c>
      <c r="T38" s="76" t="s">
        <v>46</v>
      </c>
      <c r="U38" s="40"/>
      <c r="V38" s="40"/>
      <c r="W38" s="40"/>
      <c r="Y38" s="109">
        <f t="shared" si="8"/>
        <v>5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5</v>
      </c>
      <c r="AG38" s="108">
        <f t="shared" si="0"/>
        <v>0</v>
      </c>
      <c r="AH38" s="108">
        <f t="shared" si="1"/>
        <v>0</v>
      </c>
      <c r="AI38" s="108">
        <f t="shared" si="10"/>
        <v>0</v>
      </c>
      <c r="AJ38" s="108">
        <f t="shared" si="2"/>
        <v>0</v>
      </c>
      <c r="AK38" s="108">
        <f t="shared" si="3"/>
        <v>5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24">
        <v>32</v>
      </c>
      <c r="C39" s="208">
        <v>41812</v>
      </c>
      <c r="D39" s="26" t="s">
        <v>36</v>
      </c>
      <c r="E39" s="27" t="s">
        <v>9</v>
      </c>
      <c r="F39" s="28" t="s">
        <v>32</v>
      </c>
      <c r="G39" s="87">
        <v>0</v>
      </c>
      <c r="H39" s="27" t="s">
        <v>9</v>
      </c>
      <c r="I39" s="92">
        <v>0</v>
      </c>
      <c r="J39" s="29">
        <f t="shared" si="5"/>
        <v>3</v>
      </c>
      <c r="K39" s="11">
        <f t="shared" si="6"/>
        <v>1</v>
      </c>
      <c r="L39" s="11">
        <f t="shared" si="7"/>
        <v>1</v>
      </c>
      <c r="O39" s="44" t="s">
        <v>29</v>
      </c>
      <c r="P39" s="45">
        <f>SUMIF($D$8:$D$55,$O39,$G$8:$G$55)+SUMIF($F$8:$F$55,$O39,$I$8:$I$55)</f>
        <v>4</v>
      </c>
      <c r="Q39" s="45">
        <f>SUMIF($D$8:$D$55,$O39,$I$8:$I$55)+SUMIF($F$8:$F$55,$O39,$G$8:$G$55)</f>
        <v>0</v>
      </c>
      <c r="R39" s="46">
        <f>P39-Q39</f>
        <v>4</v>
      </c>
      <c r="S39" s="47">
        <f>SUMIF($D$8:$D$55,$O39,$K$8:$K$55)+SUMIF($F$8:$F$55,$O39,$L$8:$L$55)</f>
        <v>9</v>
      </c>
      <c r="T39" s="94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5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5</v>
      </c>
      <c r="AG39" s="108">
        <f t="shared" si="0"/>
        <v>0</v>
      </c>
      <c r="AH39" s="108">
        <f t="shared" si="1"/>
        <v>0</v>
      </c>
      <c r="AI39" s="108">
        <f t="shared" si="10"/>
        <v>0</v>
      </c>
      <c r="AJ39" s="108">
        <f t="shared" si="2"/>
        <v>0</v>
      </c>
      <c r="AK39" s="108">
        <f t="shared" si="3"/>
        <v>0</v>
      </c>
      <c r="AL39" s="108">
        <f t="shared" si="4"/>
        <v>5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12">
        <v>33</v>
      </c>
      <c r="C40" s="206">
        <v>41813</v>
      </c>
      <c r="D40" s="14" t="s">
        <v>16</v>
      </c>
      <c r="E40" s="15" t="s">
        <v>9</v>
      </c>
      <c r="F40" s="16" t="s">
        <v>13</v>
      </c>
      <c r="G40" s="85">
        <v>0</v>
      </c>
      <c r="H40" s="15" t="s">
        <v>9</v>
      </c>
      <c r="I40" s="90">
        <v>1</v>
      </c>
      <c r="J40" s="17">
        <f t="shared" si="5"/>
        <v>2</v>
      </c>
      <c r="K40" s="11">
        <f t="shared" si="6"/>
        <v>0</v>
      </c>
      <c r="L40" s="11">
        <f t="shared" si="7"/>
        <v>3</v>
      </c>
      <c r="O40" s="48" t="s">
        <v>30</v>
      </c>
      <c r="P40" s="49">
        <f>SUMIF($D$8:$D$55,$O40,$G$8:$G$55)+SUMIF($F$8:$F$55,$O40,$I$8:$I$55)</f>
        <v>1</v>
      </c>
      <c r="Q40" s="49">
        <f>SUMIF($D$8:$D$55,$O40,$I$8:$I$55)+SUMIF($F$8:$F$55,$O40,$G$8:$G$55)</f>
        <v>2</v>
      </c>
      <c r="R40" s="49">
        <f>P40-Q40</f>
        <v>-1</v>
      </c>
      <c r="S40" s="50">
        <f>SUMIF($D$8:$D$55,$O40,$K$8:$K$55)+SUMIF($F$8:$F$55,$O40,$L$8:$L$55)</f>
        <v>3</v>
      </c>
      <c r="T40" s="95" t="s">
        <v>74</v>
      </c>
      <c r="U40" s="40"/>
      <c r="V40" s="40" t="str">
        <f>O40</f>
        <v>Bosnië H.</v>
      </c>
      <c r="W40" s="40" t="s">
        <v>73</v>
      </c>
      <c r="Y40" s="109">
        <f t="shared" si="8"/>
        <v>6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6</v>
      </c>
      <c r="AG40" s="108">
        <f t="shared" si="0"/>
        <v>1</v>
      </c>
      <c r="AH40" s="108">
        <f t="shared" si="1"/>
        <v>0</v>
      </c>
      <c r="AI40" s="108">
        <f t="shared" si="10"/>
        <v>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18">
        <v>34</v>
      </c>
      <c r="C41" s="207">
        <v>41813</v>
      </c>
      <c r="D41" s="32" t="s">
        <v>14</v>
      </c>
      <c r="E41" s="21" t="s">
        <v>9</v>
      </c>
      <c r="F41" s="30" t="s">
        <v>15</v>
      </c>
      <c r="G41" s="86">
        <v>1</v>
      </c>
      <c r="H41" s="21" t="s">
        <v>9</v>
      </c>
      <c r="I41" s="91">
        <v>1</v>
      </c>
      <c r="J41" s="23">
        <f t="shared" si="5"/>
        <v>3</v>
      </c>
      <c r="K41" s="11">
        <f t="shared" si="6"/>
        <v>1</v>
      </c>
      <c r="L41" s="11">
        <f t="shared" si="7"/>
        <v>1</v>
      </c>
      <c r="O41" s="48" t="s">
        <v>33</v>
      </c>
      <c r="P41" s="49">
        <f>SUMIF($D$8:$D$55,$O41,$G$8:$G$55)+SUMIF($F$8:$F$55,$O41,$I$8:$I$55)</f>
        <v>0</v>
      </c>
      <c r="Q41" s="49">
        <f>SUMIF($D$8:$D$55,$O41,$I$8:$I$55)+SUMIF($F$8:$F$55,$O41,$G$8:$G$55)</f>
        <v>5</v>
      </c>
      <c r="R41" s="49">
        <f>P41-Q41</f>
        <v>-5</v>
      </c>
      <c r="S41" s="50">
        <f>SUMIF($D$8:$D$55,$O41,$K$8:$K$55)+SUMIF($F$8:$F$55,$O41,$L$8:$L$55)</f>
        <v>0</v>
      </c>
      <c r="T41" s="95" t="s">
        <v>75</v>
      </c>
      <c r="U41" s="40"/>
      <c r="V41" s="40" t="str">
        <f>O41</f>
        <v>Iran</v>
      </c>
      <c r="W41" s="40" t="s">
        <v>74</v>
      </c>
      <c r="Y41" s="109">
        <f t="shared" si="8"/>
        <v>0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0</v>
      </c>
      <c r="AG41" s="108">
        <f t="shared" si="0"/>
        <v>0</v>
      </c>
      <c r="AH41" s="108">
        <f t="shared" si="1"/>
        <v>0</v>
      </c>
      <c r="AI41" s="108">
        <f t="shared" si="10"/>
        <v>0</v>
      </c>
      <c r="AJ41" s="108">
        <f t="shared" si="2"/>
        <v>0</v>
      </c>
      <c r="AK41" s="108">
        <f t="shared" si="3"/>
        <v>0</v>
      </c>
      <c r="AL41" s="108">
        <f t="shared" si="4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18">
        <v>35</v>
      </c>
      <c r="C42" s="207">
        <v>41813</v>
      </c>
      <c r="D42" s="20" t="s">
        <v>12</v>
      </c>
      <c r="E42" s="21" t="s">
        <v>9</v>
      </c>
      <c r="F42" s="30" t="s">
        <v>8</v>
      </c>
      <c r="G42" s="86">
        <v>0</v>
      </c>
      <c r="H42" s="21" t="s">
        <v>9</v>
      </c>
      <c r="I42" s="91">
        <v>1</v>
      </c>
      <c r="J42" s="23">
        <f t="shared" si="5"/>
        <v>2</v>
      </c>
      <c r="K42" s="11">
        <f t="shared" si="6"/>
        <v>0</v>
      </c>
      <c r="L42" s="11">
        <f t="shared" si="7"/>
        <v>3</v>
      </c>
      <c r="O42" s="51" t="s">
        <v>34</v>
      </c>
      <c r="P42" s="52">
        <f>SUMIF($D$8:$D$55,$O42,$G$8:$G$55)+SUMIF($F$8:$F$55,$O42,$I$8:$I$55)</f>
        <v>3</v>
      </c>
      <c r="Q42" s="52">
        <f>SUMIF($D$8:$D$55,$O42,$I$8:$I$55)+SUMIF($F$8:$F$55,$O42,$G$8:$G$55)</f>
        <v>1</v>
      </c>
      <c r="R42" s="52">
        <f>P42-Q42</f>
        <v>2</v>
      </c>
      <c r="S42" s="53">
        <f>SUMIF($D$8:$D$55,$O42,$K$8:$K$55)+SUMIF($F$8:$F$55,$O42,$L$8:$L$55)</f>
        <v>6</v>
      </c>
      <c r="T42" s="96" t="s">
        <v>73</v>
      </c>
      <c r="U42" s="40"/>
      <c r="V42" s="40" t="str">
        <f>O42</f>
        <v>Nigeria</v>
      </c>
      <c r="W42" s="40" t="s">
        <v>75</v>
      </c>
      <c r="Y42" s="109">
        <f t="shared" si="8"/>
        <v>5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5</v>
      </c>
      <c r="AG42" s="108">
        <f t="shared" si="0"/>
        <v>0</v>
      </c>
      <c r="AH42" s="108">
        <f t="shared" si="1"/>
        <v>0</v>
      </c>
      <c r="AI42" s="108">
        <f t="shared" si="10"/>
        <v>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24">
        <v>36</v>
      </c>
      <c r="C43" s="208">
        <v>41813</v>
      </c>
      <c r="D43" s="26" t="s">
        <v>10</v>
      </c>
      <c r="E43" s="27" t="s">
        <v>9</v>
      </c>
      <c r="F43" s="28" t="s">
        <v>11</v>
      </c>
      <c r="G43" s="87">
        <v>1</v>
      </c>
      <c r="H43" s="27" t="s">
        <v>9</v>
      </c>
      <c r="I43" s="92">
        <v>1</v>
      </c>
      <c r="J43" s="29">
        <f t="shared" si="5"/>
        <v>3</v>
      </c>
      <c r="K43" s="11">
        <f t="shared" si="6"/>
        <v>1</v>
      </c>
      <c r="L43" s="11">
        <f t="shared" si="7"/>
        <v>1</v>
      </c>
      <c r="O43" s="40"/>
      <c r="P43" s="41"/>
      <c r="Q43" s="41"/>
      <c r="R43" s="41"/>
      <c r="S43" s="41"/>
      <c r="T43" s="41"/>
      <c r="U43" s="40"/>
      <c r="V43" s="40"/>
      <c r="W43" s="40"/>
      <c r="Y43" s="109">
        <f t="shared" si="8"/>
        <v>1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1</v>
      </c>
      <c r="AG43" s="108">
        <f t="shared" si="0"/>
        <v>1</v>
      </c>
      <c r="AH43" s="108">
        <f t="shared" si="1"/>
        <v>0</v>
      </c>
      <c r="AI43" s="108">
        <f t="shared" si="10"/>
        <v>0</v>
      </c>
      <c r="AJ43" s="108">
        <f t="shared" si="2"/>
        <v>0</v>
      </c>
      <c r="AK43" s="108">
        <f t="shared" si="3"/>
        <v>0</v>
      </c>
      <c r="AL43" s="108">
        <f t="shared" si="4"/>
        <v>0</v>
      </c>
      <c r="AN43" s="40"/>
      <c r="AO43" s="41"/>
    </row>
    <row r="44" spans="2:41" ht="15.75" thickBot="1">
      <c r="B44" s="12">
        <v>37</v>
      </c>
      <c r="C44" s="206">
        <v>41814</v>
      </c>
      <c r="D44" s="14" t="s">
        <v>22</v>
      </c>
      <c r="E44" s="15" t="s">
        <v>9</v>
      </c>
      <c r="F44" s="16" t="s">
        <v>19</v>
      </c>
      <c r="G44" s="85">
        <v>0</v>
      </c>
      <c r="H44" s="15" t="s">
        <v>9</v>
      </c>
      <c r="I44" s="90">
        <v>1</v>
      </c>
      <c r="J44" s="17">
        <f t="shared" si="5"/>
        <v>2</v>
      </c>
      <c r="K44" s="11">
        <f t="shared" si="6"/>
        <v>0</v>
      </c>
      <c r="L44" s="11">
        <f t="shared" si="7"/>
        <v>3</v>
      </c>
      <c r="O44" s="72" t="s">
        <v>76</v>
      </c>
      <c r="P44" s="73" t="s">
        <v>42</v>
      </c>
      <c r="Q44" s="73" t="s">
        <v>43</v>
      </c>
      <c r="R44" s="74" t="s">
        <v>44</v>
      </c>
      <c r="S44" s="75" t="s">
        <v>45</v>
      </c>
      <c r="T44" s="76" t="s">
        <v>46</v>
      </c>
      <c r="U44" s="40"/>
      <c r="V44" s="40"/>
      <c r="W44" s="40"/>
      <c r="Y44" s="109">
        <f t="shared" si="8"/>
        <v>10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10</v>
      </c>
      <c r="AG44" s="108">
        <f t="shared" si="0"/>
        <v>1</v>
      </c>
      <c r="AH44" s="108">
        <f t="shared" si="1"/>
        <v>1</v>
      </c>
      <c r="AI44" s="108">
        <f t="shared" si="10"/>
        <v>10</v>
      </c>
      <c r="AJ44" s="108">
        <f t="shared" si="2"/>
        <v>0</v>
      </c>
      <c r="AK44" s="108">
        <f t="shared" si="3"/>
        <v>5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18">
        <v>38</v>
      </c>
      <c r="C45" s="207">
        <v>41814</v>
      </c>
      <c r="D45" s="20" t="s">
        <v>20</v>
      </c>
      <c r="E45" s="21" t="s">
        <v>9</v>
      </c>
      <c r="F45" s="30" t="s">
        <v>21</v>
      </c>
      <c r="G45" s="86">
        <v>0</v>
      </c>
      <c r="H45" s="21" t="s">
        <v>9</v>
      </c>
      <c r="I45" s="91">
        <v>1</v>
      </c>
      <c r="J45" s="23">
        <f t="shared" si="5"/>
        <v>2</v>
      </c>
      <c r="K45" s="11">
        <f t="shared" si="6"/>
        <v>0</v>
      </c>
      <c r="L45" s="11">
        <f t="shared" si="7"/>
        <v>3</v>
      </c>
      <c r="O45" s="44" t="s">
        <v>31</v>
      </c>
      <c r="P45" s="45">
        <f>SUMIF($D$8:$D$55,$O45,$G$8:$G$55)+SUMIF($F$8:$F$55,$O45,$I$8:$I$55)</f>
        <v>2</v>
      </c>
      <c r="Q45" s="45">
        <f>SUMIF($D$8:$D$55,$O45,$I$8:$I$55)+SUMIF($F$8:$F$55,$O45,$G$8:$G$55)</f>
        <v>0</v>
      </c>
      <c r="R45" s="46">
        <f>P45-Q45</f>
        <v>2</v>
      </c>
      <c r="S45" s="47">
        <f>SUMIF($D$8:$D$55,$O45,$K$8:$K$55)+SUMIF($F$8:$F$55,$O45,$L$8:$L$55)</f>
        <v>7</v>
      </c>
      <c r="T45" s="94" t="s">
        <v>77</v>
      </c>
      <c r="U45" s="40"/>
      <c r="V45" s="40" t="str">
        <f>O45</f>
        <v>Duitsland</v>
      </c>
      <c r="W45" s="40" t="s">
        <v>77</v>
      </c>
      <c r="Y45" s="109">
        <f t="shared" si="8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1</v>
      </c>
      <c r="AG45" s="108">
        <f t="shared" si="0"/>
        <v>1</v>
      </c>
      <c r="AH45" s="108">
        <f t="shared" si="1"/>
        <v>0</v>
      </c>
      <c r="AI45" s="108">
        <f t="shared" si="10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18">
        <v>39</v>
      </c>
      <c r="C46" s="207">
        <v>41814</v>
      </c>
      <c r="D46" s="20" t="s">
        <v>24</v>
      </c>
      <c r="E46" s="21" t="s">
        <v>9</v>
      </c>
      <c r="F46" s="30" t="s">
        <v>17</v>
      </c>
      <c r="G46" s="86">
        <v>0</v>
      </c>
      <c r="H46" s="21" t="s">
        <v>9</v>
      </c>
      <c r="I46" s="91">
        <v>1</v>
      </c>
      <c r="J46" s="23">
        <f t="shared" si="5"/>
        <v>2</v>
      </c>
      <c r="K46" s="11">
        <f t="shared" si="6"/>
        <v>0</v>
      </c>
      <c r="L46" s="11">
        <f t="shared" si="7"/>
        <v>3</v>
      </c>
      <c r="O46" s="48" t="s">
        <v>32</v>
      </c>
      <c r="P46" s="49">
        <f>SUMIF($D$8:$D$55,$O46,$G$8:$G$55)+SUMIF($F$8:$F$55,$O46,$I$8:$I$55)</f>
        <v>1</v>
      </c>
      <c r="Q46" s="49">
        <f>SUMIF($D$8:$D$55,$O46,$I$8:$I$55)+SUMIF($F$8:$F$55,$O46,$G$8:$G$55)</f>
        <v>1</v>
      </c>
      <c r="R46" s="49">
        <f>P46-Q46</f>
        <v>0</v>
      </c>
      <c r="S46" s="50">
        <f>SUMIF($D$8:$D$55,$O46,$K$8:$K$55)+SUMIF($F$8:$F$55,$O46,$L$8:$L$55)</f>
        <v>3</v>
      </c>
      <c r="T46" s="95" t="s">
        <v>78</v>
      </c>
      <c r="U46" s="40"/>
      <c r="V46" s="40" t="str">
        <f>O46</f>
        <v>Portugal</v>
      </c>
      <c r="W46" s="40" t="s">
        <v>78</v>
      </c>
      <c r="Y46" s="109">
        <f t="shared" si="8"/>
        <v>5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5</v>
      </c>
      <c r="AG46" s="108">
        <f t="shared" si="0"/>
        <v>0</v>
      </c>
      <c r="AH46" s="108">
        <f t="shared" si="1"/>
        <v>0</v>
      </c>
      <c r="AI46" s="108">
        <f t="shared" si="10"/>
        <v>0</v>
      </c>
      <c r="AJ46" s="108">
        <f t="shared" si="2"/>
        <v>0</v>
      </c>
      <c r="AK46" s="108">
        <f t="shared" si="3"/>
        <v>5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24">
        <v>40</v>
      </c>
      <c r="C47" s="208">
        <v>41814</v>
      </c>
      <c r="D47" s="26" t="s">
        <v>18</v>
      </c>
      <c r="E47" s="27" t="s">
        <v>9</v>
      </c>
      <c r="F47" s="28" t="s">
        <v>23</v>
      </c>
      <c r="G47" s="87">
        <v>0</v>
      </c>
      <c r="H47" s="27" t="s">
        <v>9</v>
      </c>
      <c r="I47" s="92">
        <v>1</v>
      </c>
      <c r="J47" s="29">
        <f t="shared" si="5"/>
        <v>2</v>
      </c>
      <c r="K47" s="11">
        <f t="shared" si="6"/>
        <v>0</v>
      </c>
      <c r="L47" s="11">
        <f t="shared" si="7"/>
        <v>3</v>
      </c>
      <c r="O47" s="48" t="s">
        <v>35</v>
      </c>
      <c r="P47" s="49">
        <f>SUMIF($D$8:$D$55,$O47,$G$8:$G$55)+SUMIF($F$8:$F$55,$O47,$I$8:$I$55)</f>
        <v>2</v>
      </c>
      <c r="Q47" s="49">
        <f>SUMIF($D$8:$D$55,$O47,$I$8:$I$55)+SUMIF($F$8:$F$55,$O47,$G$8:$G$55)</f>
        <v>3</v>
      </c>
      <c r="R47" s="49">
        <f>P47-Q47</f>
        <v>-1</v>
      </c>
      <c r="S47" s="50">
        <f>SUMIF($D$8:$D$55,$O47,$K$8:$K$55)+SUMIF($F$8:$F$55,$O47,$L$8:$L$55)</f>
        <v>2</v>
      </c>
      <c r="T47" s="95" t="s">
        <v>80</v>
      </c>
      <c r="U47" s="40"/>
      <c r="V47" s="40" t="str">
        <f>O47</f>
        <v>Ghana</v>
      </c>
      <c r="W47" s="40" t="s">
        <v>79</v>
      </c>
      <c r="Y47" s="109">
        <f t="shared" si="8"/>
        <v>1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1</v>
      </c>
      <c r="AG47" s="108">
        <f t="shared" si="0"/>
        <v>0</v>
      </c>
      <c r="AH47" s="108">
        <f t="shared" si="1"/>
        <v>1</v>
      </c>
      <c r="AI47" s="108">
        <f t="shared" si="10"/>
        <v>0</v>
      </c>
      <c r="AJ47" s="108">
        <f t="shared" si="2"/>
        <v>0</v>
      </c>
      <c r="AK47" s="108">
        <f t="shared" si="3"/>
        <v>0</v>
      </c>
      <c r="AL47" s="108">
        <f t="shared" si="4"/>
        <v>0</v>
      </c>
      <c r="AM47" s="120">
        <f>AO47</f>
        <v>10</v>
      </c>
      <c r="AN47" s="117" t="s">
        <v>35</v>
      </c>
      <c r="AO47" s="115">
        <f>IF(Uitslag!T47="",0,IF(T47=Uitslag!T47,10,0))</f>
        <v>10</v>
      </c>
    </row>
    <row r="48" spans="2:41" ht="15.75" thickBot="1">
      <c r="B48" s="12">
        <v>41</v>
      </c>
      <c r="C48" s="206">
        <v>41815</v>
      </c>
      <c r="D48" s="14" t="s">
        <v>34</v>
      </c>
      <c r="E48" s="15" t="s">
        <v>9</v>
      </c>
      <c r="F48" s="16" t="s">
        <v>29</v>
      </c>
      <c r="G48" s="85">
        <v>0</v>
      </c>
      <c r="H48" s="15" t="s">
        <v>9</v>
      </c>
      <c r="I48" s="90">
        <v>1</v>
      </c>
      <c r="J48" s="17">
        <f t="shared" si="5"/>
        <v>2</v>
      </c>
      <c r="K48" s="11">
        <f t="shared" si="6"/>
        <v>0</v>
      </c>
      <c r="L48" s="11">
        <f t="shared" si="7"/>
        <v>3</v>
      </c>
      <c r="O48" s="51" t="s">
        <v>36</v>
      </c>
      <c r="P48" s="52">
        <f>SUMIF($D$8:$D$55,$O48,$G$8:$G$55)+SUMIF($F$8:$F$55,$O48,$I$8:$I$55)</f>
        <v>1</v>
      </c>
      <c r="Q48" s="52">
        <f>SUMIF($D$8:$D$55,$O48,$I$8:$I$55)+SUMIF($F$8:$F$55,$O48,$G$8:$G$55)</f>
        <v>2</v>
      </c>
      <c r="R48" s="52">
        <f>P48-Q48</f>
        <v>-1</v>
      </c>
      <c r="S48" s="53">
        <f>SUMIF($D$8:$D$55,$O48,$K$8:$K$55)+SUMIF($F$8:$F$55,$O48,$L$8:$L$55)</f>
        <v>2</v>
      </c>
      <c r="T48" s="96" t="s">
        <v>79</v>
      </c>
      <c r="U48" s="40"/>
      <c r="V48" s="40" t="str">
        <f>O48</f>
        <v>Verenigde Staten</v>
      </c>
      <c r="W48" s="40" t="s">
        <v>80</v>
      </c>
      <c r="Y48" s="109">
        <f t="shared" si="8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5</v>
      </c>
      <c r="AG48" s="108">
        <f t="shared" si="0"/>
        <v>0</v>
      </c>
      <c r="AH48" s="108">
        <f t="shared" si="1"/>
        <v>0</v>
      </c>
      <c r="AI48" s="108">
        <f t="shared" si="10"/>
        <v>0</v>
      </c>
      <c r="AJ48" s="108">
        <f t="shared" si="2"/>
        <v>0</v>
      </c>
      <c r="AK48" s="108">
        <f t="shared" si="3"/>
        <v>5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18">
        <v>42</v>
      </c>
      <c r="C49" s="207">
        <v>41815</v>
      </c>
      <c r="D49" s="20" t="s">
        <v>30</v>
      </c>
      <c r="E49" s="21" t="s">
        <v>9</v>
      </c>
      <c r="F49" s="30" t="s">
        <v>33</v>
      </c>
      <c r="G49" s="86">
        <v>1</v>
      </c>
      <c r="H49" s="21" t="s">
        <v>9</v>
      </c>
      <c r="I49" s="91">
        <v>0</v>
      </c>
      <c r="J49" s="23">
        <f t="shared" si="5"/>
        <v>1</v>
      </c>
      <c r="K49" s="11">
        <f t="shared" si="6"/>
        <v>3</v>
      </c>
      <c r="L49" s="11">
        <f t="shared" si="7"/>
        <v>0</v>
      </c>
      <c r="O49" s="40"/>
      <c r="P49" s="41"/>
      <c r="Q49" s="41"/>
      <c r="R49" s="41"/>
      <c r="S49" s="41"/>
      <c r="T49" s="41"/>
      <c r="U49" s="40"/>
      <c r="V49" s="40"/>
      <c r="W49" s="40"/>
      <c r="Y49" s="109">
        <f t="shared" si="8"/>
        <v>5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5</v>
      </c>
      <c r="AG49" s="108">
        <f t="shared" si="0"/>
        <v>0</v>
      </c>
      <c r="AH49" s="108">
        <f t="shared" si="1"/>
        <v>0</v>
      </c>
      <c r="AI49" s="108">
        <f t="shared" si="10"/>
        <v>0</v>
      </c>
      <c r="AJ49" s="108">
        <f t="shared" si="2"/>
        <v>5</v>
      </c>
      <c r="AK49" s="108">
        <f t="shared" si="3"/>
        <v>0</v>
      </c>
      <c r="AL49" s="108">
        <f t="shared" si="4"/>
        <v>0</v>
      </c>
      <c r="AN49" s="40"/>
      <c r="AO49" s="41"/>
    </row>
    <row r="50" spans="2:54" ht="15.75" thickBot="1">
      <c r="B50" s="18">
        <v>43</v>
      </c>
      <c r="C50" s="207">
        <v>41815</v>
      </c>
      <c r="D50" s="20" t="s">
        <v>28</v>
      </c>
      <c r="E50" s="21" t="s">
        <v>9</v>
      </c>
      <c r="F50" s="30" t="s">
        <v>25</v>
      </c>
      <c r="G50" s="86">
        <v>0</v>
      </c>
      <c r="H50" s="21" t="s">
        <v>9</v>
      </c>
      <c r="I50" s="91">
        <v>1</v>
      </c>
      <c r="J50" s="23">
        <f t="shared" si="5"/>
        <v>2</v>
      </c>
      <c r="K50" s="11">
        <f t="shared" si="6"/>
        <v>0</v>
      </c>
      <c r="L50" s="11">
        <f t="shared" si="7"/>
        <v>3</v>
      </c>
      <c r="O50" s="72" t="s">
        <v>81</v>
      </c>
      <c r="P50" s="73" t="s">
        <v>42</v>
      </c>
      <c r="Q50" s="73" t="s">
        <v>43</v>
      </c>
      <c r="R50" s="74" t="s">
        <v>44</v>
      </c>
      <c r="S50" s="75" t="s">
        <v>45</v>
      </c>
      <c r="T50" s="76" t="s">
        <v>46</v>
      </c>
      <c r="U50" s="40"/>
      <c r="V50" s="40"/>
      <c r="W50" s="40"/>
      <c r="Y50" s="109">
        <f t="shared" si="8"/>
        <v>6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6</v>
      </c>
      <c r="AG50" s="108">
        <f t="shared" si="0"/>
        <v>1</v>
      </c>
      <c r="AH50" s="108">
        <f t="shared" si="1"/>
        <v>0</v>
      </c>
      <c r="AI50" s="108">
        <f t="shared" si="10"/>
        <v>0</v>
      </c>
      <c r="AJ50" s="108">
        <f t="shared" si="2"/>
        <v>0</v>
      </c>
      <c r="AK50" s="108">
        <f t="shared" si="3"/>
        <v>5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24">
        <v>44</v>
      </c>
      <c r="C51" s="208">
        <v>41815</v>
      </c>
      <c r="D51" s="26" t="s">
        <v>26</v>
      </c>
      <c r="E51" s="27" t="s">
        <v>9</v>
      </c>
      <c r="F51" s="28" t="s">
        <v>27</v>
      </c>
      <c r="G51" s="87">
        <v>1</v>
      </c>
      <c r="H51" s="27" t="s">
        <v>9</v>
      </c>
      <c r="I51" s="92">
        <v>1</v>
      </c>
      <c r="J51" s="29">
        <f t="shared" si="5"/>
        <v>3</v>
      </c>
      <c r="K51" s="11">
        <f t="shared" si="6"/>
        <v>1</v>
      </c>
      <c r="L51" s="11">
        <f>IF(I51="","",IF($G51&lt;$I51,3,IF($G51=$I51,1,0)))</f>
        <v>1</v>
      </c>
      <c r="O51" s="44" t="s">
        <v>37</v>
      </c>
      <c r="P51" s="45">
        <f>SUMIF($D$8:$D$55,$O51,$G$8:$G$55)+SUMIF($F$8:$F$55,$O51,$I$8:$I$55)</f>
        <v>4</v>
      </c>
      <c r="Q51" s="45">
        <f>SUMIF($D$8:$D$55,$O51,$I$8:$I$55)+SUMIF($F$8:$F$55,$O51,$G$8:$G$55)</f>
        <v>1</v>
      </c>
      <c r="R51" s="46">
        <f>P51-Q51</f>
        <v>3</v>
      </c>
      <c r="S51" s="47">
        <f>SUMIF($D$8:$D$55,$O51,$K$8:$K$55)+SUMIF($F$8:$F$55,$O51,$L$8:$L$55)</f>
        <v>9</v>
      </c>
      <c r="T51" s="94" t="s">
        <v>82</v>
      </c>
      <c r="U51" s="40"/>
      <c r="V51" s="40" t="str">
        <f>O51</f>
        <v>België</v>
      </c>
      <c r="W51" s="40" t="s">
        <v>82</v>
      </c>
      <c r="Y51" s="109">
        <f t="shared" si="8"/>
        <v>5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5</v>
      </c>
      <c r="AG51" s="108">
        <f t="shared" si="0"/>
        <v>0</v>
      </c>
      <c r="AH51" s="108">
        <f t="shared" si="1"/>
        <v>0</v>
      </c>
      <c r="AI51" s="108">
        <f t="shared" si="10"/>
        <v>0</v>
      </c>
      <c r="AJ51" s="108">
        <f t="shared" si="2"/>
        <v>0</v>
      </c>
      <c r="AK51" s="108">
        <f t="shared" si="3"/>
        <v>0</v>
      </c>
      <c r="AL51" s="108">
        <f t="shared" si="4"/>
        <v>5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18">
        <v>45</v>
      </c>
      <c r="C52" s="207">
        <v>41816</v>
      </c>
      <c r="D52" s="20" t="s">
        <v>36</v>
      </c>
      <c r="E52" s="21" t="s">
        <v>9</v>
      </c>
      <c r="F52" s="30" t="s">
        <v>31</v>
      </c>
      <c r="G52" s="86">
        <v>0</v>
      </c>
      <c r="H52" s="21" t="s">
        <v>9</v>
      </c>
      <c r="I52" s="91">
        <v>1</v>
      </c>
      <c r="J52" s="17">
        <f t="shared" si="5"/>
        <v>2</v>
      </c>
      <c r="K52" s="11">
        <f t="shared" si="6"/>
        <v>0</v>
      </c>
      <c r="L52" s="11">
        <f t="shared" si="7"/>
        <v>3</v>
      </c>
      <c r="O52" s="48" t="s">
        <v>38</v>
      </c>
      <c r="P52" s="49">
        <f>SUMIF($D$8:$D$55,$O52,$G$8:$G$55)+SUMIF($F$8:$F$55,$O52,$I$8:$I$55)</f>
        <v>4</v>
      </c>
      <c r="Q52" s="49">
        <f>SUMIF($D$8:$D$55,$O52,$I$8:$I$55)+SUMIF($F$8:$F$55,$O52,$G$8:$G$55)</f>
        <v>4</v>
      </c>
      <c r="R52" s="49">
        <f>P52-Q52</f>
        <v>0</v>
      </c>
      <c r="S52" s="50">
        <f>SUMIF($D$8:$D$55,$O52,$K$8:$K$55)+SUMIF($F$8:$F$55,$O52,$L$8:$L$55)</f>
        <v>4</v>
      </c>
      <c r="T52" s="95" t="s">
        <v>83</v>
      </c>
      <c r="U52" s="40"/>
      <c r="V52" s="40" t="str">
        <f>O52</f>
        <v>Algerije</v>
      </c>
      <c r="W52" s="40" t="s">
        <v>83</v>
      </c>
      <c r="Y52" s="109">
        <f t="shared" si="8"/>
        <v>10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10</v>
      </c>
      <c r="AG52" s="108">
        <f t="shared" si="0"/>
        <v>1</v>
      </c>
      <c r="AH52" s="108">
        <f t="shared" si="1"/>
        <v>1</v>
      </c>
      <c r="AI52" s="108">
        <f t="shared" si="10"/>
        <v>10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10</v>
      </c>
      <c r="AN52" s="117" t="s">
        <v>38</v>
      </c>
      <c r="AO52" s="115">
        <f>IF(Uitslag!T52="",0,IF(T52=Uitslag!T52,10,0))</f>
        <v>10</v>
      </c>
    </row>
    <row r="53" spans="2:54" ht="15.75" thickBot="1">
      <c r="B53" s="18">
        <v>46</v>
      </c>
      <c r="C53" s="207">
        <v>41816</v>
      </c>
      <c r="D53" s="20" t="s">
        <v>32</v>
      </c>
      <c r="E53" s="21" t="s">
        <v>9</v>
      </c>
      <c r="F53" s="30" t="s">
        <v>35</v>
      </c>
      <c r="G53" s="86">
        <v>1</v>
      </c>
      <c r="H53" s="21" t="s">
        <v>9</v>
      </c>
      <c r="I53" s="91">
        <v>1</v>
      </c>
      <c r="J53" s="23">
        <f t="shared" si="5"/>
        <v>3</v>
      </c>
      <c r="K53" s="11">
        <f t="shared" si="6"/>
        <v>1</v>
      </c>
      <c r="L53" s="11">
        <f t="shared" si="7"/>
        <v>1</v>
      </c>
      <c r="O53" s="48" t="s">
        <v>39</v>
      </c>
      <c r="P53" s="49">
        <f>SUMIF($D$8:$D$55,$O53,$G$8:$G$55)+SUMIF($F$8:$F$55,$O53,$I$8:$I$55)</f>
        <v>2</v>
      </c>
      <c r="Q53" s="49">
        <f>SUMIF($D$8:$D$55,$O53,$I$8:$I$55)+SUMIF($F$8:$F$55,$O53,$G$8:$G$55)</f>
        <v>2</v>
      </c>
      <c r="R53" s="49">
        <f>P53-Q53</f>
        <v>0</v>
      </c>
      <c r="S53" s="50">
        <f>SUMIF($D$8:$D$55,$O53,$K$8:$K$55)+SUMIF($F$8:$F$55,$O53,$L$8:$L$55)</f>
        <v>4</v>
      </c>
      <c r="T53" s="95" t="s">
        <v>84</v>
      </c>
      <c r="U53" s="40"/>
      <c r="V53" s="40" t="str">
        <f>O53</f>
        <v>Rusland</v>
      </c>
      <c r="W53" s="40" t="s">
        <v>84</v>
      </c>
      <c r="Y53" s="109">
        <f t="shared" si="8"/>
        <v>1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1</v>
      </c>
      <c r="AG53" s="108">
        <f t="shared" si="0"/>
        <v>0</v>
      </c>
      <c r="AH53" s="108">
        <f t="shared" si="1"/>
        <v>1</v>
      </c>
      <c r="AI53" s="108">
        <f t="shared" si="10"/>
        <v>0</v>
      </c>
      <c r="AJ53" s="108">
        <f t="shared" si="2"/>
        <v>0</v>
      </c>
      <c r="AK53" s="108">
        <f t="shared" si="3"/>
        <v>0</v>
      </c>
      <c r="AL53" s="108">
        <f t="shared" si="4"/>
        <v>0</v>
      </c>
      <c r="AM53" s="120">
        <f>AO53</f>
        <v>10</v>
      </c>
      <c r="AN53" s="117" t="s">
        <v>39</v>
      </c>
      <c r="AO53" s="115">
        <f>IF(Uitslag!T53="",0,IF(T53=Uitslag!T53,10,0))</f>
        <v>10</v>
      </c>
    </row>
    <row r="54" spans="2:54" ht="15.75" thickBot="1">
      <c r="B54" s="18">
        <v>47</v>
      </c>
      <c r="C54" s="207">
        <v>41816</v>
      </c>
      <c r="D54" s="20" t="s">
        <v>40</v>
      </c>
      <c r="E54" s="21" t="s">
        <v>9</v>
      </c>
      <c r="F54" s="30" t="s">
        <v>37</v>
      </c>
      <c r="G54" s="86">
        <v>0</v>
      </c>
      <c r="H54" s="21" t="s">
        <v>9</v>
      </c>
      <c r="I54" s="91">
        <v>1</v>
      </c>
      <c r="J54" s="23">
        <f t="shared" si="5"/>
        <v>2</v>
      </c>
      <c r="K54" s="11">
        <f t="shared" si="6"/>
        <v>0</v>
      </c>
      <c r="L54" s="11">
        <f t="shared" si="7"/>
        <v>3</v>
      </c>
      <c r="O54" s="51" t="s">
        <v>40</v>
      </c>
      <c r="P54" s="52">
        <f>SUMIF($D$8:$D$55,$O54,$G$8:$G$55)+SUMIF($F$8:$F$55,$O54,$I$8:$I$55)</f>
        <v>1</v>
      </c>
      <c r="Q54" s="52">
        <f>SUMIF($D$8:$D$55,$O54,$I$8:$I$55)+SUMIF($F$8:$F$55,$O54,$G$8:$G$55)</f>
        <v>4</v>
      </c>
      <c r="R54" s="52">
        <f>P54-Q54</f>
        <v>-3</v>
      </c>
      <c r="S54" s="53">
        <f>SUMIF($D$8:$D$55,$O54,$K$8:$K$55)+SUMIF($F$8:$F$55,$O54,$L$8:$L$55)</f>
        <v>0</v>
      </c>
      <c r="T54" s="96" t="s">
        <v>85</v>
      </c>
      <c r="U54" s="40"/>
      <c r="V54" s="40" t="str">
        <f>O54</f>
        <v>Zuid Korea</v>
      </c>
      <c r="W54" s="40" t="s">
        <v>85</v>
      </c>
      <c r="Y54" s="109">
        <f t="shared" si="8"/>
        <v>10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10</v>
      </c>
      <c r="AG54" s="108">
        <f t="shared" si="0"/>
        <v>1</v>
      </c>
      <c r="AH54" s="108">
        <f t="shared" si="1"/>
        <v>1</v>
      </c>
      <c r="AI54" s="108">
        <f t="shared" si="10"/>
        <v>10</v>
      </c>
      <c r="AJ54" s="108">
        <f t="shared" si="2"/>
        <v>0</v>
      </c>
      <c r="AK54" s="108">
        <f t="shared" si="3"/>
        <v>5</v>
      </c>
      <c r="AL54" s="108">
        <f t="shared" si="4"/>
        <v>0</v>
      </c>
      <c r="AM54" s="120">
        <f>AO54</f>
        <v>10</v>
      </c>
      <c r="AN54" s="118" t="s">
        <v>40</v>
      </c>
      <c r="AO54" s="115">
        <f>IF(Uitslag!T54="",0,IF(T54=Uitslag!T54,10,0))</f>
        <v>10</v>
      </c>
    </row>
    <row r="55" spans="2:54" ht="15.75" thickBot="1">
      <c r="B55" s="33">
        <v>48</v>
      </c>
      <c r="C55" s="209">
        <v>41816</v>
      </c>
      <c r="D55" s="35" t="s">
        <v>38</v>
      </c>
      <c r="E55" s="36" t="s">
        <v>9</v>
      </c>
      <c r="F55" s="37" t="s">
        <v>39</v>
      </c>
      <c r="G55" s="88">
        <v>1</v>
      </c>
      <c r="H55" s="36" t="s">
        <v>9</v>
      </c>
      <c r="I55" s="93">
        <v>1</v>
      </c>
      <c r="J55" s="38">
        <f t="shared" si="5"/>
        <v>3</v>
      </c>
      <c r="K55" s="11">
        <f t="shared" si="6"/>
        <v>1</v>
      </c>
      <c r="L55" s="11">
        <f t="shared" si="7"/>
        <v>1</v>
      </c>
      <c r="O55" s="40"/>
      <c r="P55" s="41"/>
      <c r="Q55" s="41"/>
      <c r="R55" s="41"/>
      <c r="S55" s="41"/>
      <c r="T55" s="41"/>
      <c r="U55" s="40"/>
      <c r="V55" s="40"/>
      <c r="W55" s="40"/>
      <c r="Y55" s="109">
        <f t="shared" si="8"/>
        <v>10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10</v>
      </c>
      <c r="AG55" s="108">
        <f t="shared" si="0"/>
        <v>1</v>
      </c>
      <c r="AH55" s="108">
        <f t="shared" si="1"/>
        <v>1</v>
      </c>
      <c r="AI55" s="108">
        <f t="shared" si="10"/>
        <v>10</v>
      </c>
      <c r="AJ55" s="108">
        <f t="shared" si="2"/>
        <v>0</v>
      </c>
      <c r="AK55" s="108">
        <f t="shared" si="3"/>
        <v>0</v>
      </c>
      <c r="AL55" s="108">
        <f t="shared" si="4"/>
        <v>5</v>
      </c>
    </row>
    <row r="56" spans="2:54" ht="15.75" thickBot="1">
      <c r="B56" s="1"/>
      <c r="C56" s="210"/>
      <c r="D56" s="40"/>
      <c r="E56" s="1"/>
      <c r="F56" s="40"/>
      <c r="G56" s="1"/>
      <c r="H56" s="1"/>
      <c r="I56" s="1"/>
      <c r="J56" s="1"/>
      <c r="K56" s="1"/>
      <c r="L56" s="1"/>
      <c r="M56" s="1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195"/>
      <c r="K57" s="1"/>
      <c r="L57" s="1"/>
      <c r="M57" s="1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78" t="s">
        <v>1</v>
      </c>
      <c r="C58" s="122" t="s">
        <v>2</v>
      </c>
      <c r="D58" s="187" t="s">
        <v>3</v>
      </c>
      <c r="E58" s="81"/>
      <c r="F58" s="194" t="s">
        <v>4</v>
      </c>
      <c r="G58" s="867" t="s">
        <v>5</v>
      </c>
      <c r="H58" s="868"/>
      <c r="I58" s="869"/>
      <c r="J58" s="83" t="s">
        <v>6</v>
      </c>
      <c r="K58" s="1"/>
      <c r="L58" s="1"/>
      <c r="M58" s="1"/>
      <c r="O58" s="135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12">
        <v>49</v>
      </c>
      <c r="C59" s="211">
        <v>41818</v>
      </c>
      <c r="D59" s="153" t="str">
        <f>IF(ISERROR(Z59),K59,Z59)</f>
        <v>Brazilië</v>
      </c>
      <c r="E59" s="15" t="s">
        <v>9</v>
      </c>
      <c r="F59" s="56" t="str">
        <f>IF(ISERROR(AA59),L59,AA59)</f>
        <v>Chili</v>
      </c>
      <c r="G59" s="85">
        <v>2</v>
      </c>
      <c r="H59" s="15" t="s">
        <v>9</v>
      </c>
      <c r="I59" s="97">
        <v>1</v>
      </c>
      <c r="J59" s="98">
        <v>1</v>
      </c>
      <c r="K59" s="57" t="s">
        <v>48</v>
      </c>
      <c r="L59" s="57" t="s">
        <v>53</v>
      </c>
      <c r="M59" s="57">
        <v>1</v>
      </c>
      <c r="O59" s="135">
        <v>2</v>
      </c>
      <c r="P59" s="877" t="s">
        <v>212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3">AF59</f>
        <v>1</v>
      </c>
      <c r="Z59" t="str">
        <f t="shared" ref="Z59:AA65" si="14">IF(K59=""," ",VLOOKUP(K59,$T$9:$V$54,3,FALSE))</f>
        <v>Brazilië</v>
      </c>
      <c r="AA59" t="str">
        <f t="shared" si="14"/>
        <v>Chili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1</v>
      </c>
      <c r="AG59" s="108">
        <f t="shared" ref="AG59:AG66" si="16">IF(AC59="",0,(IF(G59=AC59,1,0)))</f>
        <v>0</v>
      </c>
      <c r="AH59" s="108">
        <f t="shared" ref="AH59:AH66" si="17">IF(AD59="",0,(IF(I59=AD59,1,0)))</f>
        <v>1</v>
      </c>
      <c r="AI59" s="108">
        <f t="shared" ref="AI59:AI66" si="18">IF(AND(AG59=1,AH59=1),10,0)</f>
        <v>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24">
        <v>50</v>
      </c>
      <c r="C60" s="212">
        <v>41818</v>
      </c>
      <c r="D60" s="154" t="str">
        <f t="shared" ref="D60:D66" si="23">IF(ISERROR(Z60),K60,Z60)</f>
        <v>Colombia</v>
      </c>
      <c r="E60" s="27" t="s">
        <v>9</v>
      </c>
      <c r="F60" s="59" t="str">
        <f t="shared" ref="F60:F66" si="24">IF(ISERROR(AA60),L60,AA60)</f>
        <v>Engeland</v>
      </c>
      <c r="G60" s="87">
        <v>0</v>
      </c>
      <c r="H60" s="27" t="s">
        <v>9</v>
      </c>
      <c r="I60" s="99">
        <v>1</v>
      </c>
      <c r="J60" s="100">
        <v>1</v>
      </c>
      <c r="K60" s="57" t="s">
        <v>57</v>
      </c>
      <c r="L60" s="57" t="s">
        <v>63</v>
      </c>
      <c r="M60" s="57">
        <v>2</v>
      </c>
      <c r="O60" s="135">
        <v>3</v>
      </c>
      <c r="P60" s="877" t="s">
        <v>234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3"/>
        <v>0</v>
      </c>
      <c r="Z60" t="str">
        <f t="shared" si="14"/>
        <v>Colombia</v>
      </c>
      <c r="AA60" t="str">
        <f t="shared" si="14"/>
        <v>Engeland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0</v>
      </c>
      <c r="AG60" s="108">
        <f t="shared" si="16"/>
        <v>0</v>
      </c>
      <c r="AH60" s="108">
        <f t="shared" si="17"/>
        <v>0</v>
      </c>
      <c r="AI60" s="108">
        <f t="shared" si="18"/>
        <v>0</v>
      </c>
      <c r="AJ60" s="108">
        <f t="shared" si="19"/>
        <v>0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0</v>
      </c>
      <c r="BB60" s="139">
        <f t="shared" si="22"/>
        <v>0</v>
      </c>
    </row>
    <row r="61" spans="2:54">
      <c r="B61" s="12">
        <v>51</v>
      </c>
      <c r="C61" s="211">
        <v>41819</v>
      </c>
      <c r="D61" s="188" t="str">
        <f t="shared" si="23"/>
        <v>Spanje</v>
      </c>
      <c r="E61" s="15" t="s">
        <v>9</v>
      </c>
      <c r="F61" s="56" t="str">
        <f t="shared" si="24"/>
        <v>Mexico</v>
      </c>
      <c r="G61" s="85">
        <v>1</v>
      </c>
      <c r="H61" s="15" t="s">
        <v>9</v>
      </c>
      <c r="I61" s="97">
        <v>0</v>
      </c>
      <c r="J61" s="98">
        <v>1</v>
      </c>
      <c r="K61" s="57" t="s">
        <v>52</v>
      </c>
      <c r="L61" s="57" t="s">
        <v>49</v>
      </c>
      <c r="M61" s="57"/>
      <c r="O61" s="135">
        <v>4</v>
      </c>
      <c r="P61" s="877" t="s">
        <v>225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3"/>
        <v>5</v>
      </c>
      <c r="Z61" t="str">
        <f t="shared" si="14"/>
        <v>Spanje</v>
      </c>
      <c r="AA61" t="str">
        <f t="shared" si="14"/>
        <v>Mexico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5</v>
      </c>
      <c r="AG61" s="108">
        <f t="shared" si="16"/>
        <v>0</v>
      </c>
      <c r="AH61" s="108">
        <f t="shared" si="17"/>
        <v>0</v>
      </c>
      <c r="AI61" s="108">
        <f t="shared" si="18"/>
        <v>0</v>
      </c>
      <c r="AJ61" s="108">
        <f t="shared" si="19"/>
        <v>5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3</v>
      </c>
      <c r="BB61" s="139">
        <f t="shared" si="22"/>
        <v>3</v>
      </c>
    </row>
    <row r="62" spans="2:54">
      <c r="B62" s="24">
        <v>52</v>
      </c>
      <c r="C62" s="212">
        <v>41819</v>
      </c>
      <c r="D62" s="188" t="str">
        <f t="shared" si="23"/>
        <v>Uruguay</v>
      </c>
      <c r="E62" s="27" t="s">
        <v>9</v>
      </c>
      <c r="F62" s="59" t="str">
        <f t="shared" si="24"/>
        <v>Ivoorkust</v>
      </c>
      <c r="G62" s="87">
        <v>1</v>
      </c>
      <c r="H62" s="27" t="s">
        <v>9</v>
      </c>
      <c r="I62" s="99">
        <v>0</v>
      </c>
      <c r="J62" s="100">
        <v>1</v>
      </c>
      <c r="K62" s="57" t="s">
        <v>62</v>
      </c>
      <c r="L62" s="57" t="s">
        <v>58</v>
      </c>
      <c r="M62" s="57"/>
      <c r="O62" s="135">
        <v>5</v>
      </c>
      <c r="P62" s="877" t="s">
        <v>209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3"/>
        <v>1</v>
      </c>
      <c r="Z62" t="str">
        <f t="shared" si="14"/>
        <v>Uruguay</v>
      </c>
      <c r="AA62" t="str">
        <f t="shared" si="14"/>
        <v>Ivoorkust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1</v>
      </c>
      <c r="AG62" s="108">
        <f t="shared" si="16"/>
        <v>1</v>
      </c>
      <c r="AH62" s="108">
        <f t="shared" si="17"/>
        <v>0</v>
      </c>
      <c r="AI62" s="108">
        <f t="shared" si="18"/>
        <v>0</v>
      </c>
      <c r="AJ62" s="108">
        <f t="shared" si="19"/>
        <v>0</v>
      </c>
      <c r="AK62" s="108">
        <f t="shared" si="20"/>
        <v>0</v>
      </c>
      <c r="AL62" s="108">
        <f t="shared" si="21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2"/>
        <v>3</v>
      </c>
    </row>
    <row r="63" spans="2:54">
      <c r="B63" s="12">
        <v>53</v>
      </c>
      <c r="C63" s="211">
        <v>41820</v>
      </c>
      <c r="D63" s="153" t="str">
        <f t="shared" si="23"/>
        <v>Frankrijk</v>
      </c>
      <c r="E63" s="15" t="s">
        <v>9</v>
      </c>
      <c r="F63" s="56" t="str">
        <f t="shared" si="24"/>
        <v>Nigeria</v>
      </c>
      <c r="G63" s="85">
        <v>1</v>
      </c>
      <c r="H63" s="15" t="s">
        <v>9</v>
      </c>
      <c r="I63" s="97">
        <v>0</v>
      </c>
      <c r="J63" s="98">
        <v>1</v>
      </c>
      <c r="K63" s="57" t="s">
        <v>67</v>
      </c>
      <c r="L63" s="57" t="s">
        <v>73</v>
      </c>
      <c r="M63" s="57"/>
      <c r="O63" s="135">
        <v>6</v>
      </c>
      <c r="P63" s="877" t="s">
        <v>226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3"/>
        <v>6</v>
      </c>
      <c r="Z63" t="str">
        <f t="shared" si="14"/>
        <v>Frankrijk</v>
      </c>
      <c r="AA63" t="str">
        <f t="shared" si="14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6</v>
      </c>
      <c r="AG63" s="108">
        <f t="shared" si="16"/>
        <v>0</v>
      </c>
      <c r="AH63" s="108">
        <f t="shared" si="17"/>
        <v>1</v>
      </c>
      <c r="AI63" s="108">
        <f t="shared" si="18"/>
        <v>0</v>
      </c>
      <c r="AJ63" s="108">
        <f t="shared" si="19"/>
        <v>5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3</v>
      </c>
      <c r="BB63" s="139">
        <f t="shared" si="22"/>
        <v>3</v>
      </c>
    </row>
    <row r="64" spans="2:54">
      <c r="B64" s="24">
        <v>54</v>
      </c>
      <c r="C64" s="212">
        <v>41820</v>
      </c>
      <c r="D64" s="154" t="str">
        <f t="shared" si="23"/>
        <v>Duitsland</v>
      </c>
      <c r="E64" s="27" t="s">
        <v>9</v>
      </c>
      <c r="F64" s="59" t="str">
        <f t="shared" si="24"/>
        <v>Algerije</v>
      </c>
      <c r="G64" s="87">
        <v>1</v>
      </c>
      <c r="H64" s="27" t="s">
        <v>9</v>
      </c>
      <c r="I64" s="99">
        <v>0</v>
      </c>
      <c r="J64" s="100">
        <v>1</v>
      </c>
      <c r="K64" s="57" t="s">
        <v>77</v>
      </c>
      <c r="L64" s="57" t="s">
        <v>83</v>
      </c>
      <c r="M64" s="57"/>
      <c r="O64" s="135">
        <v>7</v>
      </c>
      <c r="P64" s="877" t="s">
        <v>213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3"/>
        <v>1</v>
      </c>
      <c r="Z64" t="str">
        <f t="shared" si="14"/>
        <v>Duitsland</v>
      </c>
      <c r="AA64" t="str">
        <f t="shared" si="14"/>
        <v>Algerije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1</v>
      </c>
      <c r="AG64" s="108">
        <f t="shared" si="16"/>
        <v>0</v>
      </c>
      <c r="AH64" s="108">
        <f t="shared" si="17"/>
        <v>1</v>
      </c>
      <c r="AI64" s="108">
        <f t="shared" si="18"/>
        <v>0</v>
      </c>
      <c r="AJ64" s="108">
        <f t="shared" si="19"/>
        <v>0</v>
      </c>
      <c r="AK64" s="108">
        <f t="shared" si="20"/>
        <v>0</v>
      </c>
      <c r="AL64" s="108">
        <f t="shared" si="21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2"/>
        <v>3</v>
      </c>
    </row>
    <row r="65" spans="2:54">
      <c r="B65" s="18">
        <v>55</v>
      </c>
      <c r="C65" s="213">
        <v>41821</v>
      </c>
      <c r="D65" s="153" t="str">
        <f t="shared" si="23"/>
        <v>Argentinië</v>
      </c>
      <c r="E65" s="21" t="s">
        <v>9</v>
      </c>
      <c r="F65" s="60" t="str">
        <f t="shared" si="24"/>
        <v>Ecuador</v>
      </c>
      <c r="G65" s="86">
        <v>1</v>
      </c>
      <c r="H65" s="21" t="s">
        <v>9</v>
      </c>
      <c r="I65" s="101">
        <v>0</v>
      </c>
      <c r="J65" s="102">
        <v>1</v>
      </c>
      <c r="K65" s="57" t="s">
        <v>72</v>
      </c>
      <c r="L65" s="57" t="s">
        <v>68</v>
      </c>
      <c r="M65" s="57"/>
      <c r="O65" s="135">
        <v>8</v>
      </c>
      <c r="P65" s="877" t="s">
        <v>214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3"/>
        <v>1</v>
      </c>
      <c r="Z65" t="str">
        <f t="shared" si="14"/>
        <v>Argentinië</v>
      </c>
      <c r="AA65" t="str">
        <f t="shared" si="14"/>
        <v>Ecuador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1</v>
      </c>
      <c r="AG65" s="108">
        <f t="shared" si="16"/>
        <v>0</v>
      </c>
      <c r="AH65" s="108">
        <f t="shared" si="17"/>
        <v>1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2"/>
        <v>3</v>
      </c>
    </row>
    <row r="66" spans="2:54" ht="15.75" thickBot="1">
      <c r="B66" s="33">
        <v>56</v>
      </c>
      <c r="C66" s="214">
        <v>41821</v>
      </c>
      <c r="D66" s="155" t="str">
        <f t="shared" si="23"/>
        <v>België</v>
      </c>
      <c r="E66" s="36" t="s">
        <v>9</v>
      </c>
      <c r="F66" s="62" t="str">
        <f t="shared" si="24"/>
        <v>Portugal</v>
      </c>
      <c r="G66" s="88">
        <v>1</v>
      </c>
      <c r="H66" s="36" t="s">
        <v>9</v>
      </c>
      <c r="I66" s="103">
        <v>0</v>
      </c>
      <c r="J66" s="104">
        <v>2</v>
      </c>
      <c r="K66" s="57" t="s">
        <v>82</v>
      </c>
      <c r="L66" s="57" t="s">
        <v>78</v>
      </c>
      <c r="M66" s="57"/>
      <c r="O66" s="135">
        <v>9</v>
      </c>
      <c r="P66" s="877" t="s">
        <v>235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3"/>
        <v>1</v>
      </c>
      <c r="Z66" t="str">
        <f>IF(K66=""," ",VLOOKUP(K66,$T$9:$V$54,3,FALSE))</f>
        <v>België</v>
      </c>
      <c r="AA66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1</v>
      </c>
      <c r="AG66" s="108">
        <f t="shared" si="16"/>
        <v>0</v>
      </c>
      <c r="AH66" s="108">
        <f t="shared" si="17"/>
        <v>1</v>
      </c>
      <c r="AI66" s="108">
        <f t="shared" si="18"/>
        <v>0</v>
      </c>
      <c r="AJ66" s="108">
        <f t="shared" si="19"/>
        <v>0</v>
      </c>
      <c r="AK66" s="108">
        <f t="shared" si="20"/>
        <v>0</v>
      </c>
      <c r="AL66" s="108">
        <f t="shared" si="21"/>
        <v>0</v>
      </c>
      <c r="AZ66" s="138" t="str">
        <f>Uitslag!P66</f>
        <v>Jonathan de Guzman (m)</v>
      </c>
      <c r="BA66" s="140">
        <f t="shared" si="12"/>
        <v>0</v>
      </c>
      <c r="BB66" s="139">
        <f t="shared" si="22"/>
        <v>0</v>
      </c>
    </row>
    <row r="67" spans="2:54" ht="15.75" thickBot="1">
      <c r="B67" s="1"/>
      <c r="C67" s="210"/>
      <c r="D67" s="40"/>
      <c r="E67" s="1"/>
      <c r="F67" s="40"/>
      <c r="G67" s="1"/>
      <c r="H67" s="1"/>
      <c r="I67" s="1"/>
      <c r="J67" s="1"/>
      <c r="K67" s="1"/>
      <c r="L67" s="1"/>
      <c r="M67" s="1"/>
      <c r="O67" s="135">
        <v>10</v>
      </c>
      <c r="P67" s="877" t="s">
        <v>216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2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195"/>
      <c r="K68" s="1"/>
      <c r="L68" s="1"/>
      <c r="M68" s="1"/>
      <c r="O68" s="135">
        <v>11</v>
      </c>
      <c r="P68" s="877" t="s">
        <v>215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2"/>
        <v>3</v>
      </c>
    </row>
    <row r="69" spans="2:54">
      <c r="B69" s="78" t="s">
        <v>1</v>
      </c>
      <c r="C69" s="122" t="s">
        <v>2</v>
      </c>
      <c r="D69" s="193" t="s">
        <v>3</v>
      </c>
      <c r="E69" s="81"/>
      <c r="F69" s="194" t="s">
        <v>4</v>
      </c>
      <c r="G69" s="867" t="s">
        <v>5</v>
      </c>
      <c r="H69" s="868"/>
      <c r="I69" s="869"/>
      <c r="J69" s="83" t="s">
        <v>6</v>
      </c>
      <c r="K69" s="1"/>
      <c r="L69" s="1"/>
      <c r="M69" s="1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27</v>
      </c>
      <c r="BB69" s="139" t="str">
        <f>IF(AND(BA69&lt;&gt;"",BA69=33),15,"nvt")</f>
        <v>nvt</v>
      </c>
    </row>
    <row r="70" spans="2:54">
      <c r="B70" s="12">
        <v>57</v>
      </c>
      <c r="C70" s="206">
        <v>41824</v>
      </c>
      <c r="D70" s="55" t="str">
        <f>IF(J63="","Winnaar 53",IF(J63=1,D63,F63))</f>
        <v>Frankrijk</v>
      </c>
      <c r="E70" s="15" t="s">
        <v>9</v>
      </c>
      <c r="F70" s="56" t="str">
        <f>IF(J64="","Winnaar 54",IF(J64=1,D64,F64))</f>
        <v>Duitsland</v>
      </c>
      <c r="G70" s="85">
        <v>1</v>
      </c>
      <c r="H70" s="15" t="s">
        <v>9</v>
      </c>
      <c r="I70" s="97">
        <v>2</v>
      </c>
      <c r="J70" s="98">
        <v>1</v>
      </c>
      <c r="K70" s="1"/>
      <c r="L70" s="1"/>
      <c r="M70" s="1"/>
      <c r="V70" t="s">
        <v>133</v>
      </c>
      <c r="W70" t="s">
        <v>126</v>
      </c>
      <c r="X70" t="str">
        <f t="shared" si="11"/>
        <v>Karim Rekik (v)</v>
      </c>
      <c r="Y70" s="109">
        <f>AF70</f>
        <v>5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5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24">
        <v>58</v>
      </c>
      <c r="C71" s="208">
        <v>41824</v>
      </c>
      <c r="D71" s="58" t="str">
        <f>IF(J59="","Winnaar 49",IF(J59=1,D59,F59))</f>
        <v>Brazilië</v>
      </c>
      <c r="E71" s="27" t="s">
        <v>9</v>
      </c>
      <c r="F71" s="59" t="str">
        <f>IF(J60="","Winnaar 50",IF(J60=1,D60,F60))</f>
        <v>Colombia</v>
      </c>
      <c r="G71" s="87">
        <v>1</v>
      </c>
      <c r="H71" s="27" t="s">
        <v>9</v>
      </c>
      <c r="I71" s="99">
        <v>0</v>
      </c>
      <c r="J71" s="100">
        <v>1</v>
      </c>
      <c r="K71" s="1"/>
      <c r="L71" s="1"/>
      <c r="M71" s="1"/>
      <c r="V71" t="s">
        <v>133</v>
      </c>
      <c r="W71" t="s">
        <v>194</v>
      </c>
      <c r="X71" t="str">
        <f t="shared" si="11"/>
        <v>Ron Vlaar (v)</v>
      </c>
      <c r="Y71" s="109">
        <f>AF71</f>
        <v>5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5</v>
      </c>
      <c r="AG71" s="108">
        <f>IF(AC71="",0,(IF(G71=AC71,1,0)))</f>
        <v>0</v>
      </c>
      <c r="AH71" s="108">
        <f>IF(AD71="",0,(IF(I71=AD71,1,0)))</f>
        <v>0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12">
        <v>59</v>
      </c>
      <c r="C72" s="206">
        <v>41825</v>
      </c>
      <c r="D72" s="55" t="str">
        <f>IF(J65="","Winnaar 55",IF(J65=1,D65,F65))</f>
        <v>Argentinië</v>
      </c>
      <c r="E72" s="15" t="s">
        <v>9</v>
      </c>
      <c r="F72" s="56" t="str">
        <f>IF(J66="","Winnaar 56",IF(J66=1,D66,F66))</f>
        <v>Portugal</v>
      </c>
      <c r="G72" s="85">
        <v>1</v>
      </c>
      <c r="H72" s="15" t="s">
        <v>9</v>
      </c>
      <c r="I72" s="97">
        <v>0</v>
      </c>
      <c r="J72" s="98">
        <v>1</v>
      </c>
      <c r="K72" s="1"/>
      <c r="L72" s="1"/>
      <c r="M72" s="1"/>
      <c r="V72" t="s">
        <v>133</v>
      </c>
      <c r="W72" t="s">
        <v>195</v>
      </c>
      <c r="X72" t="str">
        <f t="shared" si="11"/>
        <v>John Heitinga (v)</v>
      </c>
      <c r="Y72" s="109">
        <f>AF72</f>
        <v>10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10</v>
      </c>
      <c r="AG72" s="108">
        <f>IF(AC72="",0,(IF(G72=AC72,1,0)))</f>
        <v>1</v>
      </c>
      <c r="AH72" s="108">
        <f>IF(AD72="",0,(IF(I72=AD72,1,0)))</f>
        <v>1</v>
      </c>
      <c r="AI72" s="108">
        <f>IF(AND(AG72=1,AH72=1),10,0)</f>
        <v>10</v>
      </c>
      <c r="AJ72" s="108">
        <f>IF(AND(G72&gt;I72,AC72&gt;AD72),5,0)</f>
        <v>5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3">
        <v>60</v>
      </c>
      <c r="C73" s="209">
        <v>41825</v>
      </c>
      <c r="D73" s="61" t="str">
        <f>IF(J61="","Winnaar 51",IF(J61=1,D61,F61))</f>
        <v>Spanje</v>
      </c>
      <c r="E73" s="36" t="s">
        <v>9</v>
      </c>
      <c r="F73" s="62" t="str">
        <f>IF(J62="","Winnaar 52",IF(J62=1,D62,F62))</f>
        <v>Uruguay</v>
      </c>
      <c r="G73" s="88">
        <v>1</v>
      </c>
      <c r="H73" s="36" t="s">
        <v>9</v>
      </c>
      <c r="I73" s="103">
        <v>0</v>
      </c>
      <c r="J73" s="104">
        <v>1</v>
      </c>
      <c r="K73" s="1"/>
      <c r="L73" s="1"/>
      <c r="M73" s="1"/>
      <c r="V73" t="s">
        <v>133</v>
      </c>
      <c r="W73" t="s">
        <v>196</v>
      </c>
      <c r="X73" t="str">
        <f t="shared" si="11"/>
        <v>Urby Emanuelson (v)</v>
      </c>
      <c r="Y73" s="109">
        <f>AF73</f>
        <v>1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1</v>
      </c>
      <c r="AG73" s="108">
        <f>IF(AC73="",0,(IF(G73=AC73,1,0)))</f>
        <v>0</v>
      </c>
      <c r="AH73" s="108">
        <f>IF(AD73="",0,(IF(I73=AD73,1,0)))</f>
        <v>1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1"/>
      <c r="C74" s="210"/>
      <c r="D74" s="40"/>
      <c r="E74" s="1"/>
      <c r="F74" s="40"/>
      <c r="G74" s="1"/>
      <c r="H74" s="1"/>
      <c r="I74" s="1"/>
      <c r="J74" s="1"/>
      <c r="K74" s="1"/>
      <c r="L74" s="1"/>
      <c r="M74" s="1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195"/>
      <c r="K75" s="1"/>
      <c r="L75" s="1"/>
      <c r="M75" s="1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78" t="s">
        <v>1</v>
      </c>
      <c r="C76" s="122" t="s">
        <v>2</v>
      </c>
      <c r="D76" s="193" t="s">
        <v>3</v>
      </c>
      <c r="E76" s="81"/>
      <c r="F76" s="194" t="s">
        <v>4</v>
      </c>
      <c r="G76" s="867" t="s">
        <v>5</v>
      </c>
      <c r="H76" s="868"/>
      <c r="I76" s="869"/>
      <c r="J76" s="83" t="s">
        <v>6</v>
      </c>
      <c r="K76" s="1"/>
      <c r="L76" s="1"/>
      <c r="M76" s="1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12">
        <v>61</v>
      </c>
      <c r="C77" s="206">
        <v>41828</v>
      </c>
      <c r="D77" s="55" t="str">
        <f>IF(J70="","Winnaar 57",IF(J70=1,D70,F70))</f>
        <v>Frankrijk</v>
      </c>
      <c r="E77" s="15" t="s">
        <v>9</v>
      </c>
      <c r="F77" s="56" t="str">
        <f>IF(J71="","Winnaar 58",IF(J71=1,D71,F71))</f>
        <v>Brazilië</v>
      </c>
      <c r="G77" s="85">
        <v>0</v>
      </c>
      <c r="H77" s="15" t="s">
        <v>9</v>
      </c>
      <c r="I77" s="97">
        <v>1</v>
      </c>
      <c r="J77" s="98">
        <v>2</v>
      </c>
      <c r="K77" s="1"/>
      <c r="L77" s="1"/>
      <c r="M77" s="1"/>
      <c r="V77" t="s">
        <v>134</v>
      </c>
      <c r="W77" t="s">
        <v>203</v>
      </c>
      <c r="X77" t="str">
        <f t="shared" si="11"/>
        <v>Marco van Ginkel (m)</v>
      </c>
      <c r="Y77" s="109">
        <f>AF77</f>
        <v>1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1</v>
      </c>
      <c r="AG77" s="108">
        <f>IF(AC77="",0,(IF(G77=AC77,1,0)))</f>
        <v>0</v>
      </c>
      <c r="AH77" s="108">
        <f>IF(AD77="",0,(IF(I77=AD77,1,0)))</f>
        <v>1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3">
        <v>62</v>
      </c>
      <c r="C78" s="209">
        <v>41829</v>
      </c>
      <c r="D78" s="61" t="str">
        <f>IF(J72="","Winnaar 59",IF(J72=1,D72,F72))</f>
        <v>Argentinië</v>
      </c>
      <c r="E78" s="36" t="s">
        <v>9</v>
      </c>
      <c r="F78" s="62" t="str">
        <f>IF(J73="","Winnaar 60",IF(J73=1,D73,F73))</f>
        <v>Spanje</v>
      </c>
      <c r="G78" s="88">
        <v>1</v>
      </c>
      <c r="H78" s="36" t="s">
        <v>9</v>
      </c>
      <c r="I78" s="103">
        <v>0</v>
      </c>
      <c r="J78" s="104">
        <v>1</v>
      </c>
      <c r="K78" s="1"/>
      <c r="L78" s="1"/>
      <c r="M78" s="1"/>
      <c r="V78" t="s">
        <v>134</v>
      </c>
      <c r="W78" t="s">
        <v>199</v>
      </c>
      <c r="X78" t="str">
        <f t="shared" si="11"/>
        <v>Leroy Fer (m)</v>
      </c>
      <c r="Y78" s="109">
        <f>AF78</f>
        <v>1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1</v>
      </c>
      <c r="AG78" s="108">
        <f>IF(AC78="",0,(IF(G78=AC78,1,0)))</f>
        <v>0</v>
      </c>
      <c r="AH78" s="108">
        <f>IF(AD78="",0,(IF(I78=AD78,1,0)))</f>
        <v>1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1"/>
      <c r="C79" s="210"/>
      <c r="D79" s="40"/>
      <c r="E79" s="1"/>
      <c r="F79" s="40"/>
      <c r="G79" s="1"/>
      <c r="H79" s="1"/>
      <c r="I79" s="1"/>
      <c r="J79" s="1"/>
      <c r="K79" s="1"/>
      <c r="L79" s="1"/>
      <c r="M79" s="1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195"/>
      <c r="K80" s="1"/>
      <c r="L80" s="1"/>
      <c r="M80" s="1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78" t="s">
        <v>1</v>
      </c>
      <c r="C81" s="122" t="s">
        <v>2</v>
      </c>
      <c r="D81" s="193" t="s">
        <v>3</v>
      </c>
      <c r="E81" s="81"/>
      <c r="F81" s="194" t="s">
        <v>4</v>
      </c>
      <c r="G81" s="867" t="s">
        <v>5</v>
      </c>
      <c r="H81" s="868"/>
      <c r="I81" s="869"/>
      <c r="J81" s="83" t="s">
        <v>6</v>
      </c>
      <c r="K81" s="1"/>
      <c r="L81" s="1"/>
      <c r="M81" s="1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2">
        <v>63</v>
      </c>
      <c r="C82" s="215">
        <v>41832</v>
      </c>
      <c r="D82" s="64" t="str">
        <f>IF(J77="","Verliezer 61",IF(J77=1,F77,D77))</f>
        <v>Frankrijk</v>
      </c>
      <c r="E82" s="3" t="s">
        <v>9</v>
      </c>
      <c r="F82" s="65" t="str">
        <f>IF(J78="","Verliezer 62",IF(J78=1,F78,D78))</f>
        <v>Spanje</v>
      </c>
      <c r="G82" s="105">
        <v>0</v>
      </c>
      <c r="H82" s="3" t="s">
        <v>9</v>
      </c>
      <c r="I82" s="106">
        <v>1</v>
      </c>
      <c r="J82" s="107">
        <v>2</v>
      </c>
      <c r="K82" s="1"/>
      <c r="L82" s="1"/>
      <c r="M82" s="1"/>
      <c r="V82" t="s">
        <v>134</v>
      </c>
      <c r="W82" t="s">
        <v>125</v>
      </c>
      <c r="X82" t="str">
        <f t="shared" si="11"/>
        <v>Georginio Wijnaldum (m)</v>
      </c>
      <c r="Y82" s="109">
        <f>AF82</f>
        <v>6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6</v>
      </c>
      <c r="AG82" s="108">
        <f>IF(AC82="",0,(IF(G82=AC82,1,0)))</f>
        <v>1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5</v>
      </c>
      <c r="AL82" s="108">
        <f>IF(AND(G82=I82,AC82=AD82),5,0)</f>
        <v>0</v>
      </c>
    </row>
    <row r="83" spans="2:50" ht="15.75" thickBot="1">
      <c r="B83" s="1"/>
      <c r="C83" s="210"/>
      <c r="D83" s="40"/>
      <c r="E83" s="1"/>
      <c r="F83" s="40"/>
      <c r="G83" s="1"/>
      <c r="H83" s="1"/>
      <c r="I83" s="1"/>
      <c r="J83" s="1"/>
      <c r="K83" s="1"/>
      <c r="L83" s="1"/>
      <c r="M83" s="1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195"/>
      <c r="K84" s="1"/>
      <c r="L84" s="1"/>
      <c r="M84" s="1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78" t="s">
        <v>1</v>
      </c>
      <c r="C85" s="122" t="s">
        <v>2</v>
      </c>
      <c r="D85" s="193" t="s">
        <v>3</v>
      </c>
      <c r="E85" s="81"/>
      <c r="F85" s="194" t="s">
        <v>4</v>
      </c>
      <c r="G85" s="867" t="s">
        <v>5</v>
      </c>
      <c r="H85" s="868"/>
      <c r="I85" s="869"/>
      <c r="J85" s="83" t="s">
        <v>6</v>
      </c>
      <c r="K85" s="1"/>
      <c r="L85" s="1"/>
      <c r="M85" s="1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2">
        <v>64</v>
      </c>
      <c r="C86" s="215">
        <v>41833</v>
      </c>
      <c r="D86" s="64" t="str">
        <f>IF(J77="","Winnaar 61",IF(J77=1,D77,F77))</f>
        <v>Brazilië</v>
      </c>
      <c r="E86" s="3" t="s">
        <v>9</v>
      </c>
      <c r="F86" s="65" t="str">
        <f>IF(J78="","Winnaar 62",IF(J78=1,D78,F78))</f>
        <v>Argentinië</v>
      </c>
      <c r="G86" s="105">
        <v>1</v>
      </c>
      <c r="H86" s="3" t="s">
        <v>9</v>
      </c>
      <c r="I86" s="106">
        <v>2</v>
      </c>
      <c r="J86" s="107">
        <v>2</v>
      </c>
      <c r="K86" s="1"/>
      <c r="L86" s="1"/>
      <c r="M86" s="1"/>
      <c r="V86" t="s">
        <v>134</v>
      </c>
      <c r="W86" t="s">
        <v>139</v>
      </c>
      <c r="X86" t="str">
        <f t="shared" si="11"/>
        <v>Nigel de Jong (m)</v>
      </c>
      <c r="Y86" s="109">
        <f>AF86</f>
        <v>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0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Argentinië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15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15</v>
      </c>
      <c r="AV89">
        <f>IF(AR89=0,0,IF(E89=AR89,50,0))</f>
        <v>0</v>
      </c>
      <c r="AW89">
        <f>IF(E89=0,0,IF(OR(E89=AR90),15,0))</f>
        <v>15</v>
      </c>
      <c r="AX89">
        <f>IF(E89=0,0,IF(OR(E89=AR91,E89=AR92),5,0))</f>
        <v>0</v>
      </c>
    </row>
    <row r="90" spans="2:50">
      <c r="C90" s="870">
        <v>2</v>
      </c>
      <c r="D90" s="871"/>
      <c r="E90" s="872" t="str">
        <f>IF(J86=2,D86,IF(J86=1,F86,"Wie wordt 2de?"))</f>
        <v>Brazilië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5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5</v>
      </c>
      <c r="AV90">
        <f>IF(AR90=0,0,IF(AR90=E90,25,0))</f>
        <v>0</v>
      </c>
      <c r="AW90">
        <f>IF(E90=0,0,IF(OR(E90=AR89,),15,0))</f>
        <v>0</v>
      </c>
      <c r="AX90">
        <f>IF(E90=0,0,IF(OR(E90=AR91,E90=AR92),5,0))</f>
        <v>5</v>
      </c>
    </row>
    <row r="91" spans="2:50">
      <c r="C91" s="870">
        <v>3</v>
      </c>
      <c r="D91" s="871"/>
      <c r="E91" s="872" t="str">
        <f>IF(J82=1,D82,IF(J82=2,F82,"Wie wordt 3de?"))</f>
        <v>Spanje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0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0</v>
      </c>
      <c r="AV91">
        <f>IF(AR91=0,0,IF(AR91=E91,15,0))</f>
        <v>0</v>
      </c>
      <c r="AW91">
        <f>IF(E91=0,0,IF(OR(E91=AR92),10,0))</f>
        <v>0</v>
      </c>
      <c r="AX91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Frankrijk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0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0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20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phoneticPr fontId="24" type="noConversion"/>
  <conditionalFormatting sqref="AO9:AO12 AO15:AO18 AO21:AO24 AO27:AO30 AO33:AO36 AO39:AO42 AO45:AO48 AO51:AO54">
    <cfRule type="cellIs" dxfId="263" priority="3" operator="equal">
      <formula>10</formula>
    </cfRule>
  </conditionalFormatting>
  <conditionalFormatting sqref="P58:T58">
    <cfRule type="duplicateValues" dxfId="262" priority="2"/>
  </conditionalFormatting>
  <conditionalFormatting sqref="P58:T68">
    <cfRule type="duplicateValues" dxfId="261" priority="1"/>
  </conditionalFormatting>
  <dataValidations count="10">
    <dataValidation type="list" allowBlank="1" showInputMessage="1" showErrorMessage="1" sqref="T51:T54">
      <formula1>$W$51:$W$54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P58:P68">
      <formula1>$X$58:$X$98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B1:BB98"/>
  <sheetViews>
    <sheetView topLeftCell="A46" zoomScale="70" zoomScaleNormal="70" workbookViewId="0">
      <selection activeCell="P58" sqref="P58:T68"/>
    </sheetView>
  </sheetViews>
  <sheetFormatPr defaultRowHeight="15" outlineLevelCol="2"/>
  <cols>
    <col min="1" max="1" width="3.42578125" customWidth="1"/>
    <col min="2" max="2" width="3.5703125" bestFit="1" customWidth="1"/>
    <col min="3" max="3" width="11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145" t="s">
        <v>237</v>
      </c>
      <c r="E3" s="145"/>
      <c r="F3" s="145"/>
      <c r="N3" t="str">
        <f>D3</f>
        <v>Marco V.</v>
      </c>
      <c r="O3" s="144">
        <f>SUM(P3:S3)</f>
        <v>371</v>
      </c>
      <c r="P3" s="109">
        <f>SUM(Y8:Y86)</f>
        <v>173</v>
      </c>
      <c r="Q3" s="109">
        <f>SUM(AM4:AM55)</f>
        <v>130</v>
      </c>
      <c r="R3" s="109">
        <f>SUM(AP89:AP92)</f>
        <v>20</v>
      </c>
      <c r="S3" s="109">
        <f>SUM(BB58:BB69)</f>
        <v>48</v>
      </c>
      <c r="T3" s="109">
        <f>COUNTIF(AF8:AF86,10)</f>
        <v>4</v>
      </c>
      <c r="U3" s="109" t="str">
        <f>E89</f>
        <v>Brazilië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1"/>
      <c r="L6" s="1"/>
      <c r="O6" s="40"/>
      <c r="P6" s="41"/>
      <c r="Q6" s="41"/>
      <c r="R6" s="41"/>
      <c r="S6" s="41"/>
      <c r="T6" s="41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66" t="s">
        <v>1</v>
      </c>
      <c r="C7" s="67" t="s">
        <v>2</v>
      </c>
      <c r="D7" s="196" t="s">
        <v>3</v>
      </c>
      <c r="E7" s="69"/>
      <c r="F7" s="197" t="s">
        <v>4</v>
      </c>
      <c r="G7" s="880" t="s">
        <v>5</v>
      </c>
      <c r="H7" s="881"/>
      <c r="I7" s="882"/>
      <c r="J7" s="71" t="s">
        <v>6</v>
      </c>
      <c r="K7" s="4" t="s">
        <v>7</v>
      </c>
      <c r="L7" s="4" t="s">
        <v>7</v>
      </c>
      <c r="O7" s="1"/>
      <c r="P7" s="41"/>
      <c r="Q7" s="41"/>
      <c r="R7" s="41"/>
      <c r="S7" s="41"/>
      <c r="T7" s="41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5">
        <v>1</v>
      </c>
      <c r="C8" s="6">
        <v>41802</v>
      </c>
      <c r="D8" s="7" t="s">
        <v>8</v>
      </c>
      <c r="E8" s="8" t="s">
        <v>9</v>
      </c>
      <c r="F8" s="9" t="s">
        <v>10</v>
      </c>
      <c r="G8" s="84">
        <v>3</v>
      </c>
      <c r="H8" s="8" t="s">
        <v>9</v>
      </c>
      <c r="I8" s="192">
        <v>1</v>
      </c>
      <c r="J8" s="10">
        <f t="shared" ref="J8:J55" si="0">IF(I8="","",IF(G8&gt;I8,1,IF(G8&lt;I8,2,3)))</f>
        <v>1</v>
      </c>
      <c r="K8" s="11">
        <f t="shared" ref="K8:K55" si="1">IF(I8="","",IF($G8&gt;$I8,3,IF($G8=$I8,1,0)))</f>
        <v>3</v>
      </c>
      <c r="L8" s="11">
        <f t="shared" ref="L8:L55" si="2">IF(I8="","",IF($G8&lt;$I8,3,IF($G8=$I8,1,0)))</f>
        <v>0</v>
      </c>
      <c r="O8" s="72" t="s">
        <v>41</v>
      </c>
      <c r="P8" s="73" t="s">
        <v>42</v>
      </c>
      <c r="Q8" s="73" t="s">
        <v>43</v>
      </c>
      <c r="R8" s="74" t="s">
        <v>44</v>
      </c>
      <c r="S8" s="75" t="s">
        <v>45</v>
      </c>
      <c r="T8" s="76" t="s">
        <v>46</v>
      </c>
      <c r="U8" s="40"/>
      <c r="V8" s="40"/>
      <c r="W8" s="40"/>
      <c r="Y8" s="109">
        <f>AF8</f>
        <v>10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10</v>
      </c>
      <c r="AG8" s="108">
        <f t="shared" ref="AG8:AG55" si="3">IF(AC8="",0,(IF(G8=AC8,1,0)))</f>
        <v>1</v>
      </c>
      <c r="AH8" s="108">
        <f t="shared" ref="AH8:AH55" si="4">IF(AD8="",0,(IF(I8=AD8,1,0)))</f>
        <v>1</v>
      </c>
      <c r="AI8" s="108">
        <f>IF(AND(AG8=1,AH8=1),10,0)</f>
        <v>10</v>
      </c>
      <c r="AJ8" s="108">
        <f t="shared" ref="AJ8:AJ55" si="5">IF(AND(G8&gt;I8,AC8&gt;AD8),5,0)</f>
        <v>5</v>
      </c>
      <c r="AK8" s="108">
        <f t="shared" ref="AK8:AK55" si="6">IF(AND(G8&lt;I8,AC8&lt;AD8),5,0)</f>
        <v>0</v>
      </c>
      <c r="AL8" s="108">
        <f t="shared" ref="AL8:AL55" si="7">IF(AND(G8=I8,AC8=AD8),5,0)</f>
        <v>0</v>
      </c>
      <c r="AN8" s="42" t="s">
        <v>41</v>
      </c>
      <c r="AO8" s="43" t="s">
        <v>46</v>
      </c>
    </row>
    <row r="9" spans="2:54" ht="15.75" thickBot="1">
      <c r="B9" s="12">
        <v>2</v>
      </c>
      <c r="C9" s="13">
        <v>41803</v>
      </c>
      <c r="D9" s="14" t="s">
        <v>11</v>
      </c>
      <c r="E9" s="15" t="s">
        <v>9</v>
      </c>
      <c r="F9" s="16" t="s">
        <v>12</v>
      </c>
      <c r="G9" s="85">
        <v>1</v>
      </c>
      <c r="H9" s="15" t="s">
        <v>9</v>
      </c>
      <c r="I9" s="90">
        <v>1</v>
      </c>
      <c r="J9" s="17">
        <f t="shared" si="0"/>
        <v>3</v>
      </c>
      <c r="K9" s="11">
        <f t="shared" si="1"/>
        <v>1</v>
      </c>
      <c r="L9" s="11">
        <f t="shared" si="2"/>
        <v>1</v>
      </c>
      <c r="O9" s="44" t="s">
        <v>8</v>
      </c>
      <c r="P9" s="45">
        <f>SUMIF($D$8:$D$55,$O9,$G$8:$G$55)+SUMIF($F$8:$F$55,$O9,$I$8:$I$55)</f>
        <v>8</v>
      </c>
      <c r="Q9" s="45">
        <f>SUMIF($D$8:$D$55,$O9,$I$8:$I$55)+SUMIF($F$8:$F$55,$O9,$G$8:$G$55)</f>
        <v>4</v>
      </c>
      <c r="R9" s="46">
        <f>P9-Q9</f>
        <v>4</v>
      </c>
      <c r="S9" s="47">
        <f>SUMIF($D$8:$D$55,$O9,$K$8:$K$55)+SUMIF($F$8:$F$55,$O9,$L$8:$L$55)</f>
        <v>7</v>
      </c>
      <c r="T9" s="94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1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1</v>
      </c>
      <c r="AG9" s="108">
        <f t="shared" si="3"/>
        <v>1</v>
      </c>
      <c r="AH9" s="108">
        <f t="shared" si="4"/>
        <v>0</v>
      </c>
      <c r="AI9" s="108">
        <f t="shared" ref="AI9:AI55" si="10">IF(AND(AG9=1,AH9=1),10,0)</f>
        <v>0</v>
      </c>
      <c r="AJ9" s="108">
        <f t="shared" si="5"/>
        <v>0</v>
      </c>
      <c r="AK9" s="108">
        <f t="shared" si="6"/>
        <v>0</v>
      </c>
      <c r="AL9" s="108">
        <f t="shared" si="7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18">
        <v>3</v>
      </c>
      <c r="C10" s="19">
        <v>41803</v>
      </c>
      <c r="D10" s="20" t="s">
        <v>13</v>
      </c>
      <c r="E10" s="21" t="s">
        <v>9</v>
      </c>
      <c r="F10" s="22" t="s">
        <v>14</v>
      </c>
      <c r="G10" s="86">
        <v>2</v>
      </c>
      <c r="H10" s="21" t="s">
        <v>9</v>
      </c>
      <c r="I10" s="91">
        <v>1</v>
      </c>
      <c r="J10" s="23">
        <f t="shared" si="0"/>
        <v>1</v>
      </c>
      <c r="K10" s="11">
        <f t="shared" si="1"/>
        <v>3</v>
      </c>
      <c r="L10" s="11">
        <f t="shared" si="2"/>
        <v>0</v>
      </c>
      <c r="O10" s="48" t="s">
        <v>10</v>
      </c>
      <c r="P10" s="49">
        <f>SUMIF($D$8:$D$55,$O10,$G$8:$G$55)+SUMIF($F$8:$F$55,$O10,$I$8:$I$55)</f>
        <v>5</v>
      </c>
      <c r="Q10" s="49">
        <f>SUMIF($D$8:$D$55,$O10,$I$8:$I$55)+SUMIF($F$8:$F$55,$O10,$G$8:$G$55)</f>
        <v>4</v>
      </c>
      <c r="R10" s="49">
        <f>P10-Q10</f>
        <v>1</v>
      </c>
      <c r="S10" s="50">
        <f>SUMIF($D$8:$D$55,$O10,$K$8:$K$55)+SUMIF($F$8:$F$55,$O10,$L$8:$L$55)</f>
        <v>6</v>
      </c>
      <c r="T10" s="95" t="s">
        <v>49</v>
      </c>
      <c r="U10" s="40"/>
      <c r="V10" s="40" t="str">
        <f>O10</f>
        <v>Kroatië</v>
      </c>
      <c r="W10" s="40" t="s">
        <v>49</v>
      </c>
      <c r="Y10" s="109">
        <f t="shared" si="8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0</v>
      </c>
      <c r="AG10" s="108">
        <f t="shared" si="3"/>
        <v>0</v>
      </c>
      <c r="AH10" s="108">
        <f t="shared" si="4"/>
        <v>0</v>
      </c>
      <c r="AI10" s="108">
        <f t="shared" si="10"/>
        <v>0</v>
      </c>
      <c r="AJ10" s="108">
        <f t="shared" si="5"/>
        <v>0</v>
      </c>
      <c r="AK10" s="108">
        <f t="shared" si="6"/>
        <v>0</v>
      </c>
      <c r="AL10" s="108">
        <f t="shared" si="7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24">
        <v>4</v>
      </c>
      <c r="C11" s="25">
        <v>41803</v>
      </c>
      <c r="D11" s="26" t="s">
        <v>15</v>
      </c>
      <c r="E11" s="27" t="s">
        <v>9</v>
      </c>
      <c r="F11" s="28" t="s">
        <v>16</v>
      </c>
      <c r="G11" s="87">
        <v>2</v>
      </c>
      <c r="H11" s="27" t="s">
        <v>9</v>
      </c>
      <c r="I11" s="92">
        <v>1</v>
      </c>
      <c r="J11" s="29">
        <f t="shared" si="0"/>
        <v>1</v>
      </c>
      <c r="K11" s="11">
        <f t="shared" si="1"/>
        <v>3</v>
      </c>
      <c r="L11" s="11">
        <f t="shared" si="2"/>
        <v>0</v>
      </c>
      <c r="O11" s="48" t="s">
        <v>11</v>
      </c>
      <c r="P11" s="49">
        <f>SUMIF($D$8:$D$55,$O11,$G$8:$G$55)+SUMIF($F$8:$F$55,$O11,$I$8:$I$55)</f>
        <v>4</v>
      </c>
      <c r="Q11" s="49">
        <f>SUMIF($D$8:$D$55,$O11,$I$8:$I$55)+SUMIF($F$8:$F$55,$O11,$G$8:$G$55)</f>
        <v>7</v>
      </c>
      <c r="R11" s="49">
        <f>P11-Q11</f>
        <v>-3</v>
      </c>
      <c r="S11" s="50">
        <f>SUMIF($D$8:$D$55,$O11,$K$8:$K$55)+SUMIF($F$8:$F$55,$O11,$L$8:$L$55)</f>
        <v>1</v>
      </c>
      <c r="T11" s="95" t="s">
        <v>47</v>
      </c>
      <c r="U11" s="40"/>
      <c r="V11" s="40" t="str">
        <f>O11</f>
        <v>Mexico</v>
      </c>
      <c r="W11" s="40" t="s">
        <v>47</v>
      </c>
      <c r="Y11" s="109">
        <f t="shared" si="8"/>
        <v>6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6</v>
      </c>
      <c r="AG11" s="108">
        <f t="shared" si="3"/>
        <v>0</v>
      </c>
      <c r="AH11" s="108">
        <f t="shared" si="4"/>
        <v>1</v>
      </c>
      <c r="AI11" s="108">
        <f t="shared" si="10"/>
        <v>0</v>
      </c>
      <c r="AJ11" s="108">
        <f t="shared" si="5"/>
        <v>5</v>
      </c>
      <c r="AK11" s="108">
        <f t="shared" si="6"/>
        <v>0</v>
      </c>
      <c r="AL11" s="108">
        <f t="shared" si="7"/>
        <v>0</v>
      </c>
      <c r="AM11" s="120">
        <f>AO11</f>
        <v>0</v>
      </c>
      <c r="AN11" s="117" t="s">
        <v>11</v>
      </c>
      <c r="AO11" s="115">
        <f>IF(Uitslag!T11="",0,IF(T11=Uitslag!T11,10,0))</f>
        <v>0</v>
      </c>
    </row>
    <row r="12" spans="2:54" ht="15.75" thickBot="1">
      <c r="B12" s="12">
        <v>5</v>
      </c>
      <c r="C12" s="13">
        <v>41804</v>
      </c>
      <c r="D12" s="14" t="s">
        <v>17</v>
      </c>
      <c r="E12" s="15" t="s">
        <v>9</v>
      </c>
      <c r="F12" s="16" t="s">
        <v>18</v>
      </c>
      <c r="G12" s="85">
        <v>1</v>
      </c>
      <c r="H12" s="15" t="s">
        <v>9</v>
      </c>
      <c r="I12" s="90">
        <v>1</v>
      </c>
      <c r="J12" s="17">
        <f t="shared" si="0"/>
        <v>3</v>
      </c>
      <c r="K12" s="11">
        <f t="shared" si="1"/>
        <v>1</v>
      </c>
      <c r="L12" s="11">
        <f t="shared" si="2"/>
        <v>1</v>
      </c>
      <c r="O12" s="51" t="s">
        <v>12</v>
      </c>
      <c r="P12" s="52">
        <f>SUMIF($D$8:$D$55,$O12,$G$8:$G$55)+SUMIF($F$8:$F$55,$O12,$I$8:$I$55)</f>
        <v>2</v>
      </c>
      <c r="Q12" s="52">
        <f>SUMIF($D$8:$D$55,$O12,$I$8:$I$55)+SUMIF($F$8:$F$55,$O12,$G$8:$G$55)</f>
        <v>4</v>
      </c>
      <c r="R12" s="52">
        <f>P12-Q12</f>
        <v>-2</v>
      </c>
      <c r="S12" s="53">
        <f>SUMIF($D$8:$D$55,$O12,$K$8:$K$55)+SUMIF($F$8:$F$55,$O12,$L$8:$L$55)</f>
        <v>2</v>
      </c>
      <c r="T12" s="96" t="s">
        <v>50</v>
      </c>
      <c r="U12" s="40"/>
      <c r="V12" s="40" t="str">
        <f>O12</f>
        <v>Kameroen</v>
      </c>
      <c r="W12" s="40" t="s">
        <v>50</v>
      </c>
      <c r="Y12" s="109">
        <f t="shared" si="8"/>
        <v>0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0</v>
      </c>
      <c r="AG12" s="108">
        <f t="shared" si="3"/>
        <v>0</v>
      </c>
      <c r="AH12" s="108">
        <f t="shared" si="4"/>
        <v>0</v>
      </c>
      <c r="AI12" s="108">
        <f t="shared" si="10"/>
        <v>0</v>
      </c>
      <c r="AJ12" s="108">
        <f t="shared" si="5"/>
        <v>0</v>
      </c>
      <c r="AK12" s="108">
        <f t="shared" si="6"/>
        <v>0</v>
      </c>
      <c r="AL12" s="108">
        <f t="shared" si="7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18">
        <v>6</v>
      </c>
      <c r="C13" s="19">
        <v>41804</v>
      </c>
      <c r="D13" s="20" t="s">
        <v>19</v>
      </c>
      <c r="E13" s="21" t="s">
        <v>9</v>
      </c>
      <c r="F13" s="30" t="s">
        <v>20</v>
      </c>
      <c r="G13" s="86">
        <v>2</v>
      </c>
      <c r="H13" s="21" t="s">
        <v>9</v>
      </c>
      <c r="I13" s="91">
        <v>1</v>
      </c>
      <c r="J13" s="23">
        <f t="shared" si="0"/>
        <v>1</v>
      </c>
      <c r="K13" s="11">
        <f t="shared" si="1"/>
        <v>3</v>
      </c>
      <c r="L13" s="11">
        <f t="shared" si="2"/>
        <v>0</v>
      </c>
      <c r="O13" s="40"/>
      <c r="P13" s="41"/>
      <c r="Q13" s="41"/>
      <c r="R13" s="41"/>
      <c r="S13" s="41"/>
      <c r="T13" s="41"/>
      <c r="U13" s="40"/>
      <c r="V13" s="40"/>
      <c r="W13" s="40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3"/>
        <v>0</v>
      </c>
      <c r="AH13" s="108">
        <f t="shared" si="4"/>
        <v>0</v>
      </c>
      <c r="AI13" s="108">
        <f t="shared" si="10"/>
        <v>0</v>
      </c>
      <c r="AJ13" s="108">
        <f t="shared" si="5"/>
        <v>0</v>
      </c>
      <c r="AK13" s="108">
        <f t="shared" si="6"/>
        <v>0</v>
      </c>
      <c r="AL13" s="108">
        <f t="shared" si="7"/>
        <v>0</v>
      </c>
      <c r="AN13" s="40"/>
      <c r="AO13" s="41"/>
    </row>
    <row r="14" spans="2:54" ht="15.75" thickBot="1">
      <c r="B14" s="18">
        <v>7</v>
      </c>
      <c r="C14" s="19">
        <v>41804</v>
      </c>
      <c r="D14" s="20" t="s">
        <v>21</v>
      </c>
      <c r="E14" s="21" t="s">
        <v>9</v>
      </c>
      <c r="F14" s="30" t="s">
        <v>22</v>
      </c>
      <c r="G14" s="86">
        <v>1</v>
      </c>
      <c r="H14" s="21" t="s">
        <v>9</v>
      </c>
      <c r="I14" s="91">
        <v>1</v>
      </c>
      <c r="J14" s="23">
        <f t="shared" si="0"/>
        <v>3</v>
      </c>
      <c r="K14" s="11">
        <f t="shared" si="1"/>
        <v>1</v>
      </c>
      <c r="L14" s="11">
        <f t="shared" si="2"/>
        <v>1</v>
      </c>
      <c r="O14" s="72" t="s">
        <v>51</v>
      </c>
      <c r="P14" s="73" t="s">
        <v>42</v>
      </c>
      <c r="Q14" s="73" t="s">
        <v>43</v>
      </c>
      <c r="R14" s="74" t="s">
        <v>44</v>
      </c>
      <c r="S14" s="75" t="s">
        <v>45</v>
      </c>
      <c r="T14" s="76" t="s">
        <v>46</v>
      </c>
      <c r="U14" s="40"/>
      <c r="V14" s="40"/>
      <c r="W14" s="40"/>
      <c r="Y14" s="109">
        <f t="shared" si="8"/>
        <v>1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</v>
      </c>
      <c r="AG14" s="108">
        <f t="shared" si="3"/>
        <v>1</v>
      </c>
      <c r="AH14" s="108">
        <f t="shared" si="4"/>
        <v>0</v>
      </c>
      <c r="AI14" s="108">
        <f t="shared" si="10"/>
        <v>0</v>
      </c>
      <c r="AJ14" s="108">
        <f t="shared" si="5"/>
        <v>0</v>
      </c>
      <c r="AK14" s="108">
        <f t="shared" si="6"/>
        <v>0</v>
      </c>
      <c r="AL14" s="108">
        <f t="shared" si="7"/>
        <v>0</v>
      </c>
      <c r="AN14" s="42" t="s">
        <v>51</v>
      </c>
      <c r="AO14" s="43" t="s">
        <v>46</v>
      </c>
    </row>
    <row r="15" spans="2:54" ht="15.75" thickBot="1">
      <c r="B15" s="24">
        <v>8</v>
      </c>
      <c r="C15" s="25">
        <v>41804</v>
      </c>
      <c r="D15" s="26" t="s">
        <v>23</v>
      </c>
      <c r="E15" s="27" t="s">
        <v>9</v>
      </c>
      <c r="F15" s="28" t="s">
        <v>24</v>
      </c>
      <c r="G15" s="87">
        <v>1</v>
      </c>
      <c r="H15" s="27" t="s">
        <v>9</v>
      </c>
      <c r="I15" s="92">
        <v>0</v>
      </c>
      <c r="J15" s="29">
        <f t="shared" si="0"/>
        <v>1</v>
      </c>
      <c r="K15" s="11">
        <f t="shared" si="1"/>
        <v>3</v>
      </c>
      <c r="L15" s="11">
        <f t="shared" si="2"/>
        <v>0</v>
      </c>
      <c r="O15" s="44" t="s">
        <v>13</v>
      </c>
      <c r="P15" s="45">
        <f>SUMIF($D$8:$D$55,$O15,$G$8:$G$55)+SUMIF($F$8:$F$55,$O15,$I$8:$I$55)</f>
        <v>5</v>
      </c>
      <c r="Q15" s="45">
        <f>SUMIF($D$8:$D$55,$O15,$I$8:$I$55)+SUMIF($F$8:$F$55,$O15,$G$8:$G$55)</f>
        <v>5</v>
      </c>
      <c r="R15" s="46">
        <f>P15-Q15</f>
        <v>0</v>
      </c>
      <c r="S15" s="47">
        <f>SUMIF($D$8:$D$55,$O15,$K$8:$K$55)+SUMIF($F$8:$F$55,$O15,$L$8:$L$55)</f>
        <v>4</v>
      </c>
      <c r="T15" s="94" t="s">
        <v>53</v>
      </c>
      <c r="U15" s="40"/>
      <c r="V15" s="40" t="str">
        <f>O15</f>
        <v>Spanje</v>
      </c>
      <c r="W15" s="40" t="s">
        <v>52</v>
      </c>
      <c r="Y15" s="109">
        <f t="shared" si="8"/>
        <v>5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5</v>
      </c>
      <c r="AG15" s="108">
        <f t="shared" si="3"/>
        <v>0</v>
      </c>
      <c r="AH15" s="108">
        <f t="shared" si="4"/>
        <v>0</v>
      </c>
      <c r="AI15" s="108">
        <f t="shared" si="10"/>
        <v>0</v>
      </c>
      <c r="AJ15" s="108">
        <f t="shared" si="5"/>
        <v>5</v>
      </c>
      <c r="AK15" s="108">
        <f t="shared" si="6"/>
        <v>0</v>
      </c>
      <c r="AL15" s="108">
        <f t="shared" si="7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12">
        <v>9</v>
      </c>
      <c r="C16" s="13">
        <v>41805</v>
      </c>
      <c r="D16" s="14" t="s">
        <v>25</v>
      </c>
      <c r="E16" s="15" t="s">
        <v>9</v>
      </c>
      <c r="F16" s="16" t="s">
        <v>26</v>
      </c>
      <c r="G16" s="85">
        <v>0</v>
      </c>
      <c r="H16" s="15" t="s">
        <v>9</v>
      </c>
      <c r="I16" s="90">
        <v>2</v>
      </c>
      <c r="J16" s="17">
        <f t="shared" si="0"/>
        <v>2</v>
      </c>
      <c r="K16" s="11">
        <f t="shared" si="1"/>
        <v>0</v>
      </c>
      <c r="L16" s="11">
        <f t="shared" si="2"/>
        <v>3</v>
      </c>
      <c r="O16" s="54" t="s">
        <v>14</v>
      </c>
      <c r="P16" s="49">
        <f>SUMIF($D$8:$D$55,$O16,$G$8:$G$55)+SUMIF($F$8:$F$55,$O16,$I$8:$I$55)</f>
        <v>4</v>
      </c>
      <c r="Q16" s="49">
        <f>SUMIF($D$8:$D$55,$O16,$I$8:$I$55)+SUMIF($F$8:$F$55,$O16,$G$8:$G$55)</f>
        <v>6</v>
      </c>
      <c r="R16" s="49">
        <f>P16-Q16</f>
        <v>-2</v>
      </c>
      <c r="S16" s="50">
        <f>SUMIF($D$8:$D$55,$O16,$K$8:$K$55)+SUMIF($F$8:$F$55,$O16,$L$8:$L$55)</f>
        <v>3</v>
      </c>
      <c r="T16" s="95" t="s">
        <v>54</v>
      </c>
      <c r="U16" s="40"/>
      <c r="V16" s="40" t="str">
        <f>O16</f>
        <v>Nederland</v>
      </c>
      <c r="W16" s="40" t="s">
        <v>53</v>
      </c>
      <c r="Y16" s="109">
        <f t="shared" si="8"/>
        <v>0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0</v>
      </c>
      <c r="AG16" s="108">
        <f t="shared" si="3"/>
        <v>0</v>
      </c>
      <c r="AH16" s="108">
        <f t="shared" si="4"/>
        <v>0</v>
      </c>
      <c r="AI16" s="108">
        <f t="shared" si="10"/>
        <v>0</v>
      </c>
      <c r="AJ16" s="108">
        <f t="shared" si="5"/>
        <v>0</v>
      </c>
      <c r="AK16" s="108">
        <f t="shared" si="6"/>
        <v>0</v>
      </c>
      <c r="AL16" s="108">
        <f t="shared" si="7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18">
        <v>10</v>
      </c>
      <c r="C17" s="19">
        <v>41805</v>
      </c>
      <c r="D17" s="20" t="s">
        <v>27</v>
      </c>
      <c r="E17" s="21" t="s">
        <v>9</v>
      </c>
      <c r="F17" s="30" t="s">
        <v>28</v>
      </c>
      <c r="G17" s="86">
        <v>2</v>
      </c>
      <c r="H17" s="21" t="s">
        <v>9</v>
      </c>
      <c r="I17" s="91">
        <v>1</v>
      </c>
      <c r="J17" s="23">
        <f t="shared" si="0"/>
        <v>1</v>
      </c>
      <c r="K17" s="11">
        <f t="shared" si="1"/>
        <v>3</v>
      </c>
      <c r="L17" s="11">
        <f t="shared" si="2"/>
        <v>0</v>
      </c>
      <c r="O17" s="48" t="s">
        <v>15</v>
      </c>
      <c r="P17" s="49">
        <f>SUMIF($D$8:$D$55,$O17,$G$8:$G$55)+SUMIF($F$8:$F$55,$O17,$I$8:$I$55)</f>
        <v>8</v>
      </c>
      <c r="Q17" s="49">
        <f>SUMIF($D$8:$D$55,$O17,$I$8:$I$55)+SUMIF($F$8:$F$55,$O17,$G$8:$G$55)</f>
        <v>4</v>
      </c>
      <c r="R17" s="49">
        <f>P17-Q17</f>
        <v>4</v>
      </c>
      <c r="S17" s="50">
        <f>SUMIF($D$8:$D$55,$O17,$K$8:$K$55)+SUMIF($F$8:$F$55,$O17,$L$8:$L$55)</f>
        <v>9</v>
      </c>
      <c r="T17" s="95" t="s">
        <v>52</v>
      </c>
      <c r="U17" s="40"/>
      <c r="V17" s="40" t="str">
        <f>O17</f>
        <v>Chili</v>
      </c>
      <c r="W17" s="40" t="s">
        <v>54</v>
      </c>
      <c r="Y17" s="109">
        <f t="shared" si="8"/>
        <v>5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5</v>
      </c>
      <c r="AG17" s="108">
        <f t="shared" si="3"/>
        <v>0</v>
      </c>
      <c r="AH17" s="108">
        <f t="shared" si="4"/>
        <v>0</v>
      </c>
      <c r="AI17" s="108">
        <f t="shared" si="10"/>
        <v>0</v>
      </c>
      <c r="AJ17" s="108">
        <f t="shared" si="5"/>
        <v>5</v>
      </c>
      <c r="AK17" s="108">
        <f t="shared" si="6"/>
        <v>0</v>
      </c>
      <c r="AL17" s="108">
        <f t="shared" si="7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24">
        <v>11</v>
      </c>
      <c r="C18" s="25">
        <v>41805</v>
      </c>
      <c r="D18" s="26" t="s">
        <v>29</v>
      </c>
      <c r="E18" s="27" t="s">
        <v>9</v>
      </c>
      <c r="F18" s="28" t="s">
        <v>30</v>
      </c>
      <c r="G18" s="87">
        <v>4</v>
      </c>
      <c r="H18" s="27" t="s">
        <v>9</v>
      </c>
      <c r="I18" s="92">
        <v>1</v>
      </c>
      <c r="J18" s="29">
        <f t="shared" si="0"/>
        <v>1</v>
      </c>
      <c r="K18" s="11">
        <f t="shared" si="1"/>
        <v>3</v>
      </c>
      <c r="L18" s="11">
        <f t="shared" si="2"/>
        <v>0</v>
      </c>
      <c r="O18" s="51" t="s">
        <v>16</v>
      </c>
      <c r="P18" s="52">
        <f>SUMIF($D$8:$D$55,$O18,$G$8:$G$55)+SUMIF($F$8:$F$55,$O18,$I$8:$I$55)</f>
        <v>3</v>
      </c>
      <c r="Q18" s="52">
        <f>SUMIF($D$8:$D$55,$O18,$I$8:$I$55)+SUMIF($F$8:$F$55,$O18,$G$8:$G$55)</f>
        <v>5</v>
      </c>
      <c r="R18" s="52">
        <f>P18-Q18</f>
        <v>-2</v>
      </c>
      <c r="S18" s="53">
        <f>SUMIF($D$8:$D$55,$O18,$K$8:$K$55)+SUMIF($F$8:$F$55,$O18,$L$8:$L$55)</f>
        <v>1</v>
      </c>
      <c r="T18" s="96" t="s">
        <v>55</v>
      </c>
      <c r="U18" s="40"/>
      <c r="V18" s="40" t="str">
        <f>O18</f>
        <v>Australië</v>
      </c>
      <c r="W18" s="40" t="s">
        <v>55</v>
      </c>
      <c r="Y18" s="109">
        <f t="shared" si="8"/>
        <v>6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6</v>
      </c>
      <c r="AG18" s="108">
        <f t="shared" si="3"/>
        <v>0</v>
      </c>
      <c r="AH18" s="108">
        <f t="shared" si="4"/>
        <v>1</v>
      </c>
      <c r="AI18" s="108">
        <f t="shared" si="10"/>
        <v>0</v>
      </c>
      <c r="AJ18" s="108">
        <f t="shared" si="5"/>
        <v>5</v>
      </c>
      <c r="AK18" s="108">
        <f t="shared" si="6"/>
        <v>0</v>
      </c>
      <c r="AL18" s="108">
        <f t="shared" si="7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12">
        <v>12</v>
      </c>
      <c r="C19" s="13">
        <v>41806</v>
      </c>
      <c r="D19" s="14" t="s">
        <v>31</v>
      </c>
      <c r="E19" s="15" t="s">
        <v>9</v>
      </c>
      <c r="F19" s="16" t="s">
        <v>32</v>
      </c>
      <c r="G19" s="85">
        <v>2</v>
      </c>
      <c r="H19" s="15" t="s">
        <v>9</v>
      </c>
      <c r="I19" s="90">
        <v>3</v>
      </c>
      <c r="J19" s="17">
        <f t="shared" si="0"/>
        <v>2</v>
      </c>
      <c r="K19" s="11">
        <f t="shared" si="1"/>
        <v>0</v>
      </c>
      <c r="L19" s="11">
        <f t="shared" si="2"/>
        <v>3</v>
      </c>
      <c r="O19" s="40"/>
      <c r="P19" s="41"/>
      <c r="Q19" s="41"/>
      <c r="R19" s="41"/>
      <c r="S19" s="41"/>
      <c r="T19" s="41"/>
      <c r="U19" s="40"/>
      <c r="V19" s="40"/>
      <c r="W19" s="40"/>
      <c r="Y19" s="109">
        <f t="shared" si="8"/>
        <v>0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0</v>
      </c>
      <c r="AG19" s="108">
        <f t="shared" si="3"/>
        <v>0</v>
      </c>
      <c r="AH19" s="108">
        <f t="shared" si="4"/>
        <v>0</v>
      </c>
      <c r="AI19" s="108">
        <f t="shared" si="10"/>
        <v>0</v>
      </c>
      <c r="AJ19" s="108">
        <f t="shared" si="5"/>
        <v>0</v>
      </c>
      <c r="AK19" s="108">
        <f t="shared" si="6"/>
        <v>0</v>
      </c>
      <c r="AL19" s="108">
        <f t="shared" si="7"/>
        <v>0</v>
      </c>
      <c r="AN19" s="40"/>
      <c r="AO19" s="41"/>
    </row>
    <row r="20" spans="2:41" ht="15.75" thickBot="1">
      <c r="B20" s="18">
        <v>13</v>
      </c>
      <c r="C20" s="19">
        <v>41806</v>
      </c>
      <c r="D20" s="20" t="s">
        <v>33</v>
      </c>
      <c r="E20" s="21" t="s">
        <v>9</v>
      </c>
      <c r="F20" s="30" t="s">
        <v>34</v>
      </c>
      <c r="G20" s="86">
        <v>0</v>
      </c>
      <c r="H20" s="21" t="s">
        <v>9</v>
      </c>
      <c r="I20" s="91">
        <v>2</v>
      </c>
      <c r="J20" s="23">
        <f t="shared" si="0"/>
        <v>2</v>
      </c>
      <c r="K20" s="11">
        <f t="shared" si="1"/>
        <v>0</v>
      </c>
      <c r="L20" s="11">
        <f t="shared" si="2"/>
        <v>3</v>
      </c>
      <c r="O20" s="72" t="s">
        <v>56</v>
      </c>
      <c r="P20" s="73" t="s">
        <v>42</v>
      </c>
      <c r="Q20" s="73" t="s">
        <v>43</v>
      </c>
      <c r="R20" s="74" t="s">
        <v>44</v>
      </c>
      <c r="S20" s="75" t="s">
        <v>45</v>
      </c>
      <c r="T20" s="76" t="s">
        <v>46</v>
      </c>
      <c r="U20" s="40"/>
      <c r="V20" s="40"/>
      <c r="W20" s="40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3"/>
        <v>1</v>
      </c>
      <c r="AH20" s="108">
        <f t="shared" si="4"/>
        <v>0</v>
      </c>
      <c r="AI20" s="108">
        <f t="shared" si="10"/>
        <v>0</v>
      </c>
      <c r="AJ20" s="108">
        <f t="shared" si="5"/>
        <v>0</v>
      </c>
      <c r="AK20" s="108">
        <f t="shared" si="6"/>
        <v>0</v>
      </c>
      <c r="AL20" s="108">
        <f t="shared" si="7"/>
        <v>0</v>
      </c>
      <c r="AN20" s="42" t="s">
        <v>56</v>
      </c>
      <c r="AO20" s="43" t="s">
        <v>46</v>
      </c>
    </row>
    <row r="21" spans="2:41" ht="15.75" thickBot="1">
      <c r="B21" s="24">
        <v>14</v>
      </c>
      <c r="C21" s="25">
        <v>41806</v>
      </c>
      <c r="D21" s="26" t="s">
        <v>35</v>
      </c>
      <c r="E21" s="27" t="s">
        <v>9</v>
      </c>
      <c r="F21" s="28" t="s">
        <v>36</v>
      </c>
      <c r="G21" s="87">
        <v>1</v>
      </c>
      <c r="H21" s="27" t="s">
        <v>9</v>
      </c>
      <c r="I21" s="92">
        <v>2</v>
      </c>
      <c r="J21" s="29">
        <f t="shared" si="0"/>
        <v>2</v>
      </c>
      <c r="K21" s="11">
        <f t="shared" si="1"/>
        <v>0</v>
      </c>
      <c r="L21" s="11">
        <f t="shared" si="2"/>
        <v>3</v>
      </c>
      <c r="O21" s="44" t="s">
        <v>17</v>
      </c>
      <c r="P21" s="45">
        <f>SUMIF($D$8:$D$55,$O21,$G$8:$G$55)+SUMIF($F$8:$F$55,$O21,$I$8:$I$55)</f>
        <v>3</v>
      </c>
      <c r="Q21" s="45">
        <f>SUMIF($D$8:$D$55,$O21,$I$8:$I$55)+SUMIF($F$8:$F$55,$O21,$G$8:$G$55)</f>
        <v>4</v>
      </c>
      <c r="R21" s="46">
        <f>P21-Q21</f>
        <v>-1</v>
      </c>
      <c r="S21" s="47">
        <f>SUMIF($D$8:$D$55,$O21,$K$8:$K$55)+SUMIF($F$8:$F$55,$O21,$L$8:$L$55)</f>
        <v>2</v>
      </c>
      <c r="T21" s="94" t="s">
        <v>59</v>
      </c>
      <c r="U21" s="40"/>
      <c r="V21" s="40" t="str">
        <f>O21</f>
        <v>Colombia</v>
      </c>
      <c r="W21" s="40" t="s">
        <v>57</v>
      </c>
      <c r="Y21" s="109">
        <f t="shared" si="8"/>
        <v>10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10</v>
      </c>
      <c r="AG21" s="108">
        <f t="shared" si="3"/>
        <v>1</v>
      </c>
      <c r="AH21" s="108">
        <f t="shared" si="4"/>
        <v>1</v>
      </c>
      <c r="AI21" s="108">
        <f t="shared" si="10"/>
        <v>10</v>
      </c>
      <c r="AJ21" s="108">
        <f t="shared" si="5"/>
        <v>0</v>
      </c>
      <c r="AK21" s="108">
        <f t="shared" si="6"/>
        <v>5</v>
      </c>
      <c r="AL21" s="108">
        <f t="shared" si="7"/>
        <v>0</v>
      </c>
      <c r="AM21" s="120">
        <f>AO21</f>
        <v>0</v>
      </c>
      <c r="AN21" s="116" t="s">
        <v>17</v>
      </c>
      <c r="AO21" s="115">
        <f>IF(Uitslag!T21="",0,IF(T21=Uitslag!T21,10,0))</f>
        <v>0</v>
      </c>
    </row>
    <row r="22" spans="2:41" ht="15.75" thickBot="1">
      <c r="B22" s="12">
        <v>15</v>
      </c>
      <c r="C22" s="13">
        <v>41807</v>
      </c>
      <c r="D22" s="14" t="s">
        <v>37</v>
      </c>
      <c r="E22" s="15" t="s">
        <v>9</v>
      </c>
      <c r="F22" s="16" t="s">
        <v>38</v>
      </c>
      <c r="G22" s="85">
        <v>3</v>
      </c>
      <c r="H22" s="15" t="s">
        <v>9</v>
      </c>
      <c r="I22" s="90">
        <v>1</v>
      </c>
      <c r="J22" s="17">
        <f t="shared" si="0"/>
        <v>1</v>
      </c>
      <c r="K22" s="11">
        <f t="shared" si="1"/>
        <v>3</v>
      </c>
      <c r="L22" s="11">
        <f t="shared" si="2"/>
        <v>0</v>
      </c>
      <c r="O22" s="48" t="s">
        <v>18</v>
      </c>
      <c r="P22" s="49">
        <f>SUMIF($D$8:$D$55,$O22,$G$8:$G$55)+SUMIF($F$8:$F$55,$O22,$I$8:$I$55)</f>
        <v>3</v>
      </c>
      <c r="Q22" s="49">
        <f>SUMIF($D$8:$D$55,$O22,$I$8:$I$55)+SUMIF($F$8:$F$55,$O22,$G$8:$G$55)</f>
        <v>2</v>
      </c>
      <c r="R22" s="49">
        <f>P22-Q22</f>
        <v>1</v>
      </c>
      <c r="S22" s="50">
        <f>SUMIF($D$8:$D$55,$O22,$K$8:$K$55)+SUMIF($F$8:$F$55,$O22,$L$8:$L$55)</f>
        <v>5</v>
      </c>
      <c r="T22" s="95" t="s">
        <v>58</v>
      </c>
      <c r="U22" s="40"/>
      <c r="V22" s="40" t="str">
        <f>O22</f>
        <v>Griekenland</v>
      </c>
      <c r="W22" s="40" t="s">
        <v>58</v>
      </c>
      <c r="Y22" s="109">
        <f t="shared" si="8"/>
        <v>6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6</v>
      </c>
      <c r="AG22" s="108">
        <f t="shared" si="3"/>
        <v>0</v>
      </c>
      <c r="AH22" s="108">
        <f t="shared" si="4"/>
        <v>1</v>
      </c>
      <c r="AI22" s="108">
        <f t="shared" si="10"/>
        <v>0</v>
      </c>
      <c r="AJ22" s="108">
        <f t="shared" si="5"/>
        <v>5</v>
      </c>
      <c r="AK22" s="108">
        <f t="shared" si="6"/>
        <v>0</v>
      </c>
      <c r="AL22" s="108">
        <f t="shared" si="7"/>
        <v>0</v>
      </c>
      <c r="AM22" s="120">
        <f>AO22</f>
        <v>10</v>
      </c>
      <c r="AN22" s="117" t="s">
        <v>18</v>
      </c>
      <c r="AO22" s="115">
        <f>IF(Uitslag!T22="",0,IF(T22=Uitslag!T22,10,0))</f>
        <v>10</v>
      </c>
    </row>
    <row r="23" spans="2:41" ht="15.75" thickBot="1">
      <c r="B23" s="18">
        <v>16</v>
      </c>
      <c r="C23" s="19">
        <v>41807</v>
      </c>
      <c r="D23" s="20" t="s">
        <v>8</v>
      </c>
      <c r="E23" s="21" t="s">
        <v>9</v>
      </c>
      <c r="F23" s="30" t="s">
        <v>11</v>
      </c>
      <c r="G23" s="86">
        <v>4</v>
      </c>
      <c r="H23" s="21" t="s">
        <v>9</v>
      </c>
      <c r="I23" s="91">
        <v>2</v>
      </c>
      <c r="J23" s="23">
        <f t="shared" si="0"/>
        <v>1</v>
      </c>
      <c r="K23" s="11">
        <f t="shared" si="1"/>
        <v>3</v>
      </c>
      <c r="L23" s="11">
        <f t="shared" si="2"/>
        <v>0</v>
      </c>
      <c r="O23" s="48" t="s">
        <v>23</v>
      </c>
      <c r="P23" s="49">
        <f>SUMIF($D$8:$D$55,$O23,$G$8:$G$55)+SUMIF($F$8:$F$55,$O23,$I$8:$I$55)</f>
        <v>3</v>
      </c>
      <c r="Q23" s="49">
        <f>SUMIF($D$8:$D$55,$O23,$I$8:$I$55)+SUMIF($F$8:$F$55,$O23,$G$8:$G$55)</f>
        <v>2</v>
      </c>
      <c r="R23" s="49">
        <f>P23-Q23</f>
        <v>1</v>
      </c>
      <c r="S23" s="50">
        <f>SUMIF($D$8:$D$55,$O23,$K$8:$K$55)+SUMIF($F$8:$F$55,$O23,$L$8:$L$55)</f>
        <v>6</v>
      </c>
      <c r="T23" s="95" t="s">
        <v>57</v>
      </c>
      <c r="U23" s="40"/>
      <c r="V23" s="40" t="str">
        <f>O23</f>
        <v>Ivoorkust</v>
      </c>
      <c r="W23" s="40" t="s">
        <v>59</v>
      </c>
      <c r="Y23" s="109">
        <f t="shared" si="8"/>
        <v>0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0</v>
      </c>
      <c r="AG23" s="108">
        <f t="shared" si="3"/>
        <v>0</v>
      </c>
      <c r="AH23" s="108">
        <f t="shared" si="4"/>
        <v>0</v>
      </c>
      <c r="AI23" s="108">
        <f t="shared" si="10"/>
        <v>0</v>
      </c>
      <c r="AJ23" s="108">
        <f t="shared" si="5"/>
        <v>0</v>
      </c>
      <c r="AK23" s="108">
        <f t="shared" si="6"/>
        <v>0</v>
      </c>
      <c r="AL23" s="108">
        <f t="shared" si="7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24">
        <v>17</v>
      </c>
      <c r="C24" s="25">
        <v>41807</v>
      </c>
      <c r="D24" s="26" t="s">
        <v>39</v>
      </c>
      <c r="E24" s="27" t="s">
        <v>9</v>
      </c>
      <c r="F24" s="28" t="s">
        <v>40</v>
      </c>
      <c r="G24" s="87">
        <v>1</v>
      </c>
      <c r="H24" s="27" t="s">
        <v>9</v>
      </c>
      <c r="I24" s="92">
        <v>2</v>
      </c>
      <c r="J24" s="29">
        <f t="shared" si="0"/>
        <v>2</v>
      </c>
      <c r="K24" s="11">
        <f t="shared" si="1"/>
        <v>0</v>
      </c>
      <c r="L24" s="11">
        <f t="shared" si="2"/>
        <v>3</v>
      </c>
      <c r="O24" s="51" t="s">
        <v>24</v>
      </c>
      <c r="P24" s="52">
        <f>SUMIF($D$8:$D$55,$O24,$G$8:$G$55)+SUMIF($F$8:$F$55,$O24,$I$8:$I$55)</f>
        <v>2</v>
      </c>
      <c r="Q24" s="52">
        <f>SUMIF($D$8:$D$55,$O24,$I$8:$I$55)+SUMIF($F$8:$F$55,$O24,$G$8:$G$55)</f>
        <v>3</v>
      </c>
      <c r="R24" s="52">
        <f>P24-Q24</f>
        <v>-1</v>
      </c>
      <c r="S24" s="53">
        <f>SUMIF($D$8:$D$55,$O24,$K$8:$K$55)+SUMIF($F$8:$F$55,$O24,$L$8:$L$55)</f>
        <v>2</v>
      </c>
      <c r="T24" s="96" t="s">
        <v>60</v>
      </c>
      <c r="U24" s="40"/>
      <c r="V24" s="40" t="str">
        <f>O24</f>
        <v>Japan</v>
      </c>
      <c r="W24" s="40" t="s">
        <v>60</v>
      </c>
      <c r="Y24" s="109">
        <f t="shared" si="8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</v>
      </c>
      <c r="AG24" s="108">
        <f t="shared" si="3"/>
        <v>1</v>
      </c>
      <c r="AH24" s="108">
        <f t="shared" si="4"/>
        <v>0</v>
      </c>
      <c r="AI24" s="108">
        <f t="shared" si="10"/>
        <v>0</v>
      </c>
      <c r="AJ24" s="108">
        <f t="shared" si="5"/>
        <v>0</v>
      </c>
      <c r="AK24" s="108">
        <f t="shared" si="6"/>
        <v>0</v>
      </c>
      <c r="AL24" s="108">
        <f t="shared" si="7"/>
        <v>0</v>
      </c>
      <c r="AM24" s="120">
        <f>AO24</f>
        <v>10</v>
      </c>
      <c r="AN24" s="118" t="s">
        <v>24</v>
      </c>
      <c r="AO24" s="115">
        <f>IF(Uitslag!T24="",0,IF(T24=Uitslag!T24,10,0))</f>
        <v>10</v>
      </c>
    </row>
    <row r="25" spans="2:41" ht="15.75" thickBot="1">
      <c r="B25" s="12">
        <v>18</v>
      </c>
      <c r="C25" s="13">
        <v>41808</v>
      </c>
      <c r="D25" s="14" t="s">
        <v>16</v>
      </c>
      <c r="E25" s="15" t="s">
        <v>9</v>
      </c>
      <c r="F25" s="31" t="s">
        <v>14</v>
      </c>
      <c r="G25" s="85">
        <v>1</v>
      </c>
      <c r="H25" s="15" t="s">
        <v>9</v>
      </c>
      <c r="I25" s="90">
        <v>2</v>
      </c>
      <c r="J25" s="17">
        <f t="shared" si="0"/>
        <v>2</v>
      </c>
      <c r="K25" s="11">
        <f t="shared" si="1"/>
        <v>0</v>
      </c>
      <c r="L25" s="11">
        <f t="shared" si="2"/>
        <v>3</v>
      </c>
      <c r="O25" s="40"/>
      <c r="P25" s="41"/>
      <c r="Q25" s="41"/>
      <c r="R25" s="41"/>
      <c r="S25" s="41"/>
      <c r="T25" s="41"/>
      <c r="U25" s="40"/>
      <c r="V25" s="40"/>
      <c r="W25" s="40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3"/>
        <v>0</v>
      </c>
      <c r="AH25" s="108">
        <f t="shared" si="4"/>
        <v>0</v>
      </c>
      <c r="AI25" s="108">
        <f t="shared" si="10"/>
        <v>0</v>
      </c>
      <c r="AJ25" s="108">
        <f t="shared" si="5"/>
        <v>0</v>
      </c>
      <c r="AK25" s="108">
        <f t="shared" si="6"/>
        <v>5</v>
      </c>
      <c r="AL25" s="108">
        <f t="shared" si="7"/>
        <v>0</v>
      </c>
      <c r="AN25" s="40"/>
      <c r="AO25" s="41"/>
    </row>
    <row r="26" spans="2:41" ht="15.75" thickBot="1">
      <c r="B26" s="18">
        <v>19</v>
      </c>
      <c r="C26" s="19">
        <v>41808</v>
      </c>
      <c r="D26" s="20" t="s">
        <v>13</v>
      </c>
      <c r="E26" s="21" t="s">
        <v>9</v>
      </c>
      <c r="F26" s="30" t="s">
        <v>15</v>
      </c>
      <c r="G26" s="86">
        <v>2</v>
      </c>
      <c r="H26" s="21" t="s">
        <v>9</v>
      </c>
      <c r="I26" s="91">
        <v>3</v>
      </c>
      <c r="J26" s="23">
        <f t="shared" si="0"/>
        <v>2</v>
      </c>
      <c r="K26" s="11">
        <f t="shared" si="1"/>
        <v>0</v>
      </c>
      <c r="L26" s="11">
        <f t="shared" si="2"/>
        <v>3</v>
      </c>
      <c r="O26" s="72" t="s">
        <v>61</v>
      </c>
      <c r="P26" s="73" t="s">
        <v>42</v>
      </c>
      <c r="Q26" s="73" t="s">
        <v>43</v>
      </c>
      <c r="R26" s="74" t="s">
        <v>44</v>
      </c>
      <c r="S26" s="75" t="s">
        <v>45</v>
      </c>
      <c r="T26" s="76" t="s">
        <v>46</v>
      </c>
      <c r="U26" s="40"/>
      <c r="V26" s="40"/>
      <c r="W26" s="40"/>
      <c r="Y26" s="109">
        <f t="shared" si="8"/>
        <v>5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5</v>
      </c>
      <c r="AG26" s="108">
        <f t="shared" si="3"/>
        <v>0</v>
      </c>
      <c r="AH26" s="108">
        <f t="shared" si="4"/>
        <v>0</v>
      </c>
      <c r="AI26" s="108">
        <f t="shared" si="10"/>
        <v>0</v>
      </c>
      <c r="AJ26" s="108">
        <f t="shared" si="5"/>
        <v>0</v>
      </c>
      <c r="AK26" s="108">
        <f t="shared" si="6"/>
        <v>5</v>
      </c>
      <c r="AL26" s="108">
        <f t="shared" si="7"/>
        <v>0</v>
      </c>
      <c r="AN26" s="42" t="s">
        <v>61</v>
      </c>
      <c r="AO26" s="43" t="s">
        <v>46</v>
      </c>
    </row>
    <row r="27" spans="2:41" ht="15.75" thickBot="1">
      <c r="B27" s="24">
        <v>20</v>
      </c>
      <c r="C27" s="25">
        <v>41808</v>
      </c>
      <c r="D27" s="26" t="s">
        <v>12</v>
      </c>
      <c r="E27" s="27" t="s">
        <v>9</v>
      </c>
      <c r="F27" s="28" t="s">
        <v>10</v>
      </c>
      <c r="G27" s="87">
        <v>0</v>
      </c>
      <c r="H27" s="27" t="s">
        <v>9</v>
      </c>
      <c r="I27" s="92">
        <v>2</v>
      </c>
      <c r="J27" s="29">
        <f t="shared" si="0"/>
        <v>2</v>
      </c>
      <c r="K27" s="11">
        <f t="shared" si="1"/>
        <v>0</v>
      </c>
      <c r="L27" s="11">
        <f t="shared" si="2"/>
        <v>3</v>
      </c>
      <c r="O27" s="44" t="s">
        <v>19</v>
      </c>
      <c r="P27" s="45">
        <f>SUMIF($D$8:$D$55,$O27,$G$8:$G$55)+SUMIF($F$8:$F$55,$O27,$I$8:$I$55)</f>
        <v>4</v>
      </c>
      <c r="Q27" s="45">
        <f>SUMIF($D$8:$D$55,$O27,$I$8:$I$55)+SUMIF($F$8:$F$55,$O27,$G$8:$G$55)</f>
        <v>4</v>
      </c>
      <c r="R27" s="46">
        <f>P27-Q27</f>
        <v>0</v>
      </c>
      <c r="S27" s="47">
        <f>SUMIF($D$8:$D$55,$O27,$K$8:$K$55)+SUMIF($F$8:$F$55,$O27,$L$8:$L$55)</f>
        <v>4</v>
      </c>
      <c r="T27" s="94" t="s">
        <v>63</v>
      </c>
      <c r="U27" s="40"/>
      <c r="V27" s="40" t="str">
        <f>O27</f>
        <v>Uruguay</v>
      </c>
      <c r="W27" s="40" t="s">
        <v>62</v>
      </c>
      <c r="Y27" s="109">
        <f t="shared" si="8"/>
        <v>6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6</v>
      </c>
      <c r="AG27" s="108">
        <f t="shared" si="3"/>
        <v>1</v>
      </c>
      <c r="AH27" s="108">
        <f t="shared" si="4"/>
        <v>0</v>
      </c>
      <c r="AI27" s="108">
        <f t="shared" si="10"/>
        <v>0</v>
      </c>
      <c r="AJ27" s="108">
        <f t="shared" si="5"/>
        <v>0</v>
      </c>
      <c r="AK27" s="108">
        <f t="shared" si="6"/>
        <v>5</v>
      </c>
      <c r="AL27" s="108">
        <f t="shared" si="7"/>
        <v>0</v>
      </c>
      <c r="AM27" s="120">
        <f>AO27</f>
        <v>10</v>
      </c>
      <c r="AN27" s="116" t="s">
        <v>19</v>
      </c>
      <c r="AO27" s="115">
        <f>IF(Uitslag!T27="",0,IF(T27=Uitslag!T27,10,0))</f>
        <v>10</v>
      </c>
    </row>
    <row r="28" spans="2:41" ht="15.75" thickBot="1">
      <c r="B28" s="12">
        <v>21</v>
      </c>
      <c r="C28" s="13">
        <v>41809</v>
      </c>
      <c r="D28" s="14" t="s">
        <v>17</v>
      </c>
      <c r="E28" s="15" t="s">
        <v>9</v>
      </c>
      <c r="F28" s="16" t="s">
        <v>23</v>
      </c>
      <c r="G28" s="85">
        <v>1</v>
      </c>
      <c r="H28" s="15" t="s">
        <v>9</v>
      </c>
      <c r="I28" s="90">
        <v>2</v>
      </c>
      <c r="J28" s="17">
        <f t="shared" si="0"/>
        <v>2</v>
      </c>
      <c r="K28" s="11">
        <f t="shared" si="1"/>
        <v>0</v>
      </c>
      <c r="L28" s="11">
        <f t="shared" si="2"/>
        <v>3</v>
      </c>
      <c r="O28" s="48" t="s">
        <v>20</v>
      </c>
      <c r="P28" s="49">
        <f>SUMIF($D$8:$D$55,$O28,$G$8:$G$55)+SUMIF($F$8:$F$55,$O28,$I$8:$I$55)</f>
        <v>3</v>
      </c>
      <c r="Q28" s="49">
        <f>SUMIF($D$8:$D$55,$O28,$I$8:$I$55)+SUMIF($F$8:$F$55,$O28,$G$8:$G$55)</f>
        <v>4</v>
      </c>
      <c r="R28" s="49">
        <f>P28-Q28</f>
        <v>-1</v>
      </c>
      <c r="S28" s="50">
        <f>SUMIF($D$8:$D$55,$O28,$K$8:$K$55)+SUMIF($F$8:$F$55,$O28,$L$8:$L$55)</f>
        <v>2</v>
      </c>
      <c r="T28" s="95" t="s">
        <v>65</v>
      </c>
      <c r="U28" s="40"/>
      <c r="V28" s="40" t="str">
        <f>O28</f>
        <v>Costa Rica</v>
      </c>
      <c r="W28" s="40" t="s">
        <v>63</v>
      </c>
      <c r="Y28" s="109">
        <f t="shared" si="8"/>
        <v>0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0</v>
      </c>
      <c r="AG28" s="108">
        <f t="shared" si="3"/>
        <v>0</v>
      </c>
      <c r="AH28" s="108">
        <f t="shared" si="4"/>
        <v>0</v>
      </c>
      <c r="AI28" s="108">
        <f t="shared" si="10"/>
        <v>0</v>
      </c>
      <c r="AJ28" s="108">
        <f t="shared" si="5"/>
        <v>0</v>
      </c>
      <c r="AK28" s="108">
        <f t="shared" si="6"/>
        <v>0</v>
      </c>
      <c r="AL28" s="108">
        <f t="shared" si="7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18">
        <v>22</v>
      </c>
      <c r="C29" s="19">
        <v>41809</v>
      </c>
      <c r="D29" s="20" t="s">
        <v>19</v>
      </c>
      <c r="E29" s="21" t="s">
        <v>9</v>
      </c>
      <c r="F29" s="30" t="s">
        <v>21</v>
      </c>
      <c r="G29" s="86">
        <v>2</v>
      </c>
      <c r="H29" s="21" t="s">
        <v>9</v>
      </c>
      <c r="I29" s="91">
        <v>2</v>
      </c>
      <c r="J29" s="23">
        <f t="shared" si="0"/>
        <v>3</v>
      </c>
      <c r="K29" s="11">
        <f t="shared" si="1"/>
        <v>1</v>
      </c>
      <c r="L29" s="11">
        <f t="shared" si="2"/>
        <v>1</v>
      </c>
      <c r="O29" s="48" t="s">
        <v>21</v>
      </c>
      <c r="P29" s="49">
        <f>SUMIF($D$8:$D$55,$O29,$G$8:$G$55)+SUMIF($F$8:$F$55,$O29,$I$8:$I$55)</f>
        <v>5</v>
      </c>
      <c r="Q29" s="49">
        <f>SUMIF($D$8:$D$55,$O29,$I$8:$I$55)+SUMIF($F$8:$F$55,$O29,$G$8:$G$55)</f>
        <v>5</v>
      </c>
      <c r="R29" s="49">
        <f>P29-Q29</f>
        <v>0</v>
      </c>
      <c r="S29" s="50">
        <f>SUMIF($D$8:$D$55,$O29,$K$8:$K$55)+SUMIF($F$8:$F$55,$O29,$L$8:$L$55)</f>
        <v>3</v>
      </c>
      <c r="T29" s="95" t="s">
        <v>64</v>
      </c>
      <c r="U29" s="40"/>
      <c r="V29" s="40" t="str">
        <f>O29</f>
        <v>Engeland</v>
      </c>
      <c r="W29" s="40" t="s">
        <v>64</v>
      </c>
      <c r="Y29" s="109">
        <f t="shared" si="8"/>
        <v>1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1</v>
      </c>
      <c r="AG29" s="108">
        <f t="shared" si="3"/>
        <v>1</v>
      </c>
      <c r="AH29" s="108">
        <f t="shared" si="4"/>
        <v>0</v>
      </c>
      <c r="AI29" s="108">
        <f t="shared" si="10"/>
        <v>0</v>
      </c>
      <c r="AJ29" s="108">
        <f t="shared" si="5"/>
        <v>0</v>
      </c>
      <c r="AK29" s="108">
        <f t="shared" si="6"/>
        <v>0</v>
      </c>
      <c r="AL29" s="108">
        <f t="shared" si="7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24">
        <v>23</v>
      </c>
      <c r="C30" s="25">
        <v>41809</v>
      </c>
      <c r="D30" s="26" t="s">
        <v>24</v>
      </c>
      <c r="E30" s="27" t="s">
        <v>9</v>
      </c>
      <c r="F30" s="28" t="s">
        <v>18</v>
      </c>
      <c r="G30" s="87">
        <v>1</v>
      </c>
      <c r="H30" s="27" t="s">
        <v>9</v>
      </c>
      <c r="I30" s="92">
        <v>1</v>
      </c>
      <c r="J30" s="29">
        <f t="shared" si="0"/>
        <v>3</v>
      </c>
      <c r="K30" s="11">
        <f t="shared" si="1"/>
        <v>1</v>
      </c>
      <c r="L30" s="11">
        <f t="shared" si="2"/>
        <v>1</v>
      </c>
      <c r="O30" s="51" t="s">
        <v>22</v>
      </c>
      <c r="P30" s="52">
        <f>SUMIF($D$8:$D$55,$O30,$G$8:$G$55)+SUMIF($F$8:$F$55,$O30,$I$8:$I$55)</f>
        <v>2</v>
      </c>
      <c r="Q30" s="52">
        <f>SUMIF($D$8:$D$55,$O30,$I$8:$I$55)+SUMIF($F$8:$F$55,$O30,$G$8:$G$55)</f>
        <v>1</v>
      </c>
      <c r="R30" s="52">
        <f>P30-Q30</f>
        <v>1</v>
      </c>
      <c r="S30" s="53">
        <f>SUMIF($D$8:$D$55,$O30,$K$8:$K$55)+SUMIF($F$8:$F$55,$O30,$L$8:$L$55)</f>
        <v>5</v>
      </c>
      <c r="T30" s="96" t="s">
        <v>62</v>
      </c>
      <c r="U30" s="40"/>
      <c r="V30" s="40" t="str">
        <f>O30</f>
        <v>Italië</v>
      </c>
      <c r="W30" s="40" t="s">
        <v>65</v>
      </c>
      <c r="Y30" s="109">
        <f t="shared" si="8"/>
        <v>5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5</v>
      </c>
      <c r="AG30" s="108">
        <f t="shared" si="3"/>
        <v>0</v>
      </c>
      <c r="AH30" s="108">
        <f t="shared" si="4"/>
        <v>0</v>
      </c>
      <c r="AI30" s="108">
        <f t="shared" si="10"/>
        <v>0</v>
      </c>
      <c r="AJ30" s="108">
        <f t="shared" si="5"/>
        <v>0</v>
      </c>
      <c r="AK30" s="108">
        <f t="shared" si="6"/>
        <v>0</v>
      </c>
      <c r="AL30" s="108">
        <f t="shared" si="7"/>
        <v>5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12">
        <v>24</v>
      </c>
      <c r="C31" s="13">
        <v>41810</v>
      </c>
      <c r="D31" s="14" t="s">
        <v>22</v>
      </c>
      <c r="E31" s="15" t="s">
        <v>9</v>
      </c>
      <c r="F31" s="16" t="s">
        <v>20</v>
      </c>
      <c r="G31" s="85">
        <v>0</v>
      </c>
      <c r="H31" s="15" t="s">
        <v>9</v>
      </c>
      <c r="I31" s="90">
        <v>0</v>
      </c>
      <c r="J31" s="17">
        <f t="shared" si="0"/>
        <v>3</v>
      </c>
      <c r="K31" s="11">
        <f t="shared" si="1"/>
        <v>1</v>
      </c>
      <c r="L31" s="11">
        <f t="shared" si="2"/>
        <v>1</v>
      </c>
      <c r="O31" s="40"/>
      <c r="P31" s="41"/>
      <c r="Q31" s="41"/>
      <c r="R31" s="41"/>
      <c r="S31" s="41"/>
      <c r="T31" s="41"/>
      <c r="U31" s="40"/>
      <c r="V31" s="40"/>
      <c r="W31" s="40"/>
      <c r="Y31" s="109">
        <f t="shared" si="8"/>
        <v>1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1</v>
      </c>
      <c r="AG31" s="108">
        <f t="shared" si="3"/>
        <v>1</v>
      </c>
      <c r="AH31" s="108">
        <f t="shared" si="4"/>
        <v>0</v>
      </c>
      <c r="AI31" s="108">
        <f t="shared" si="10"/>
        <v>0</v>
      </c>
      <c r="AJ31" s="108">
        <f t="shared" si="5"/>
        <v>0</v>
      </c>
      <c r="AK31" s="108">
        <f t="shared" si="6"/>
        <v>0</v>
      </c>
      <c r="AL31" s="108">
        <f t="shared" si="7"/>
        <v>0</v>
      </c>
      <c r="AN31" s="40"/>
      <c r="AO31" s="41"/>
    </row>
    <row r="32" spans="2:41" ht="15.75" thickBot="1">
      <c r="B32" s="18">
        <v>25</v>
      </c>
      <c r="C32" s="19">
        <v>41810</v>
      </c>
      <c r="D32" s="20" t="s">
        <v>25</v>
      </c>
      <c r="E32" s="21" t="s">
        <v>9</v>
      </c>
      <c r="F32" s="30" t="s">
        <v>27</v>
      </c>
      <c r="G32" s="86">
        <v>0</v>
      </c>
      <c r="H32" s="21" t="s">
        <v>9</v>
      </c>
      <c r="I32" s="91">
        <v>0</v>
      </c>
      <c r="J32" s="23">
        <f t="shared" si="0"/>
        <v>3</v>
      </c>
      <c r="K32" s="11">
        <f t="shared" si="1"/>
        <v>1</v>
      </c>
      <c r="L32" s="11">
        <f t="shared" si="2"/>
        <v>1</v>
      </c>
      <c r="O32" s="72" t="s">
        <v>66</v>
      </c>
      <c r="P32" s="73" t="s">
        <v>42</v>
      </c>
      <c r="Q32" s="73" t="s">
        <v>43</v>
      </c>
      <c r="R32" s="74" t="s">
        <v>44</v>
      </c>
      <c r="S32" s="75" t="s">
        <v>45</v>
      </c>
      <c r="T32" s="76" t="s">
        <v>46</v>
      </c>
      <c r="U32" s="40"/>
      <c r="V32" s="40"/>
      <c r="W32" s="40"/>
      <c r="Y32" s="109">
        <f t="shared" si="8"/>
        <v>0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0</v>
      </c>
      <c r="AG32" s="108">
        <f t="shared" si="3"/>
        <v>0</v>
      </c>
      <c r="AH32" s="108">
        <f t="shared" si="4"/>
        <v>0</v>
      </c>
      <c r="AI32" s="108">
        <f t="shared" si="10"/>
        <v>0</v>
      </c>
      <c r="AJ32" s="108">
        <f t="shared" si="5"/>
        <v>0</v>
      </c>
      <c r="AK32" s="108">
        <f t="shared" si="6"/>
        <v>0</v>
      </c>
      <c r="AL32" s="108">
        <f t="shared" si="7"/>
        <v>0</v>
      </c>
      <c r="AN32" s="42" t="s">
        <v>66</v>
      </c>
      <c r="AO32" s="43" t="s">
        <v>46</v>
      </c>
    </row>
    <row r="33" spans="2:41" ht="15.75" thickBot="1">
      <c r="B33" s="24">
        <v>26</v>
      </c>
      <c r="C33" s="25">
        <v>41810</v>
      </c>
      <c r="D33" s="26" t="s">
        <v>28</v>
      </c>
      <c r="E33" s="27" t="s">
        <v>9</v>
      </c>
      <c r="F33" s="28" t="s">
        <v>26</v>
      </c>
      <c r="G33" s="87">
        <v>1</v>
      </c>
      <c r="H33" s="27" t="s">
        <v>9</v>
      </c>
      <c r="I33" s="92">
        <v>1</v>
      </c>
      <c r="J33" s="29">
        <f t="shared" si="0"/>
        <v>3</v>
      </c>
      <c r="K33" s="11">
        <f t="shared" si="1"/>
        <v>1</v>
      </c>
      <c r="L33" s="11">
        <f t="shared" si="2"/>
        <v>1</v>
      </c>
      <c r="O33" s="44" t="s">
        <v>25</v>
      </c>
      <c r="P33" s="45">
        <f>SUMIF($D$8:$D$55,$O33,$G$8:$G$55)+SUMIF($F$8:$F$55,$O33,$I$8:$I$55)</f>
        <v>2</v>
      </c>
      <c r="Q33" s="45">
        <f>SUMIF($D$8:$D$55,$O33,$I$8:$I$55)+SUMIF($F$8:$F$55,$O33,$G$8:$G$55)</f>
        <v>2</v>
      </c>
      <c r="R33" s="46">
        <f>P33-Q33</f>
        <v>0</v>
      </c>
      <c r="S33" s="47">
        <f>SUMIF($D$8:$D$55,$O33,$K$8:$K$55)+SUMIF($F$8:$F$55,$O33,$L$8:$L$55)</f>
        <v>4</v>
      </c>
      <c r="T33" s="94" t="s">
        <v>69</v>
      </c>
      <c r="U33" s="40"/>
      <c r="V33" s="40" t="str">
        <f>O33</f>
        <v>Zwitserland</v>
      </c>
      <c r="W33" s="40" t="s">
        <v>67</v>
      </c>
      <c r="Y33" s="109">
        <f t="shared" si="8"/>
        <v>1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1</v>
      </c>
      <c r="AG33" s="108">
        <f t="shared" si="3"/>
        <v>1</v>
      </c>
      <c r="AH33" s="108">
        <f t="shared" si="4"/>
        <v>0</v>
      </c>
      <c r="AI33" s="108">
        <f t="shared" si="10"/>
        <v>0</v>
      </c>
      <c r="AJ33" s="108">
        <f t="shared" si="5"/>
        <v>0</v>
      </c>
      <c r="AK33" s="108">
        <f t="shared" si="6"/>
        <v>0</v>
      </c>
      <c r="AL33" s="108">
        <f t="shared" si="7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12">
        <v>27</v>
      </c>
      <c r="C34" s="13">
        <v>41811</v>
      </c>
      <c r="D34" s="14" t="s">
        <v>29</v>
      </c>
      <c r="E34" s="15" t="s">
        <v>9</v>
      </c>
      <c r="F34" s="16" t="s">
        <v>33</v>
      </c>
      <c r="G34" s="85">
        <v>2</v>
      </c>
      <c r="H34" s="15" t="s">
        <v>9</v>
      </c>
      <c r="I34" s="90">
        <v>1</v>
      </c>
      <c r="J34" s="17">
        <f t="shared" si="0"/>
        <v>1</v>
      </c>
      <c r="K34" s="11">
        <f t="shared" si="1"/>
        <v>3</v>
      </c>
      <c r="L34" s="11">
        <f t="shared" si="2"/>
        <v>0</v>
      </c>
      <c r="O34" s="48" t="s">
        <v>26</v>
      </c>
      <c r="P34" s="49">
        <f>SUMIF($D$8:$D$55,$O34,$G$8:$G$55)+SUMIF($F$8:$F$55,$O34,$I$8:$I$55)</f>
        <v>5</v>
      </c>
      <c r="Q34" s="49">
        <f>SUMIF($D$8:$D$55,$O34,$I$8:$I$55)+SUMIF($F$8:$F$55,$O34,$G$8:$G$55)</f>
        <v>4</v>
      </c>
      <c r="R34" s="49">
        <f>P34-Q34</f>
        <v>1</v>
      </c>
      <c r="S34" s="50">
        <f>SUMIF($D$8:$D$55,$O34,$K$8:$K$55)+SUMIF($F$8:$F$55,$O34,$L$8:$L$55)</f>
        <v>4</v>
      </c>
      <c r="T34" s="95" t="s">
        <v>68</v>
      </c>
      <c r="U34" s="40"/>
      <c r="V34" s="40" t="str">
        <f>O34</f>
        <v>Ecuador</v>
      </c>
      <c r="W34" s="40" t="s">
        <v>68</v>
      </c>
      <c r="Y34" s="109">
        <f t="shared" si="8"/>
        <v>5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5</v>
      </c>
      <c r="AG34" s="108">
        <f t="shared" si="3"/>
        <v>0</v>
      </c>
      <c r="AH34" s="108">
        <f t="shared" si="4"/>
        <v>0</v>
      </c>
      <c r="AI34" s="108">
        <f t="shared" si="10"/>
        <v>0</v>
      </c>
      <c r="AJ34" s="108">
        <f t="shared" si="5"/>
        <v>5</v>
      </c>
      <c r="AK34" s="108">
        <f t="shared" si="6"/>
        <v>0</v>
      </c>
      <c r="AL34" s="108">
        <f t="shared" si="7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18">
        <v>28</v>
      </c>
      <c r="C35" s="19">
        <v>41811</v>
      </c>
      <c r="D35" s="20" t="s">
        <v>31</v>
      </c>
      <c r="E35" s="21" t="s">
        <v>9</v>
      </c>
      <c r="F35" s="30" t="s">
        <v>35</v>
      </c>
      <c r="G35" s="86">
        <v>3</v>
      </c>
      <c r="H35" s="21" t="s">
        <v>9</v>
      </c>
      <c r="I35" s="91">
        <v>2</v>
      </c>
      <c r="J35" s="23">
        <f t="shared" si="0"/>
        <v>1</v>
      </c>
      <c r="K35" s="11">
        <f t="shared" si="1"/>
        <v>3</v>
      </c>
      <c r="L35" s="11">
        <f t="shared" si="2"/>
        <v>0</v>
      </c>
      <c r="O35" s="48" t="s">
        <v>27</v>
      </c>
      <c r="P35" s="49">
        <f>SUMIF($D$8:$D$55,$O35,$G$8:$G$55)+SUMIF($F$8:$F$55,$O35,$I$8:$I$55)</f>
        <v>5</v>
      </c>
      <c r="Q35" s="49">
        <f>SUMIF($D$8:$D$55,$O35,$I$8:$I$55)+SUMIF($F$8:$F$55,$O35,$G$8:$G$55)</f>
        <v>3</v>
      </c>
      <c r="R35" s="49">
        <f>P35-Q35</f>
        <v>2</v>
      </c>
      <c r="S35" s="50">
        <f>SUMIF($D$8:$D$55,$O35,$K$8:$K$55)+SUMIF($F$8:$F$55,$O35,$L$8:$L$55)</f>
        <v>7</v>
      </c>
      <c r="T35" s="95" t="s">
        <v>67</v>
      </c>
      <c r="U35" s="40"/>
      <c r="V35" s="40" t="str">
        <f>O35</f>
        <v>Frankrijk</v>
      </c>
      <c r="W35" s="40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3"/>
        <v>0</v>
      </c>
      <c r="AH35" s="108">
        <f t="shared" si="4"/>
        <v>1</v>
      </c>
      <c r="AI35" s="108">
        <f t="shared" si="10"/>
        <v>0</v>
      </c>
      <c r="AJ35" s="108">
        <f t="shared" si="5"/>
        <v>0</v>
      </c>
      <c r="AK35" s="108">
        <f t="shared" si="6"/>
        <v>0</v>
      </c>
      <c r="AL35" s="108">
        <f t="shared" si="7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24">
        <v>29</v>
      </c>
      <c r="C36" s="25">
        <v>41811</v>
      </c>
      <c r="D36" s="26" t="s">
        <v>34</v>
      </c>
      <c r="E36" s="27" t="s">
        <v>9</v>
      </c>
      <c r="F36" s="28" t="s">
        <v>30</v>
      </c>
      <c r="G36" s="87">
        <v>0</v>
      </c>
      <c r="H36" s="27" t="s">
        <v>9</v>
      </c>
      <c r="I36" s="92">
        <v>2</v>
      </c>
      <c r="J36" s="29">
        <f t="shared" si="0"/>
        <v>2</v>
      </c>
      <c r="K36" s="11">
        <f t="shared" si="1"/>
        <v>0</v>
      </c>
      <c r="L36" s="11">
        <f t="shared" si="2"/>
        <v>3</v>
      </c>
      <c r="O36" s="51" t="s">
        <v>28</v>
      </c>
      <c r="P36" s="52">
        <f>SUMIF($D$8:$D$55,$O36,$G$8:$G$55)+SUMIF($F$8:$F$55,$O36,$I$8:$I$55)</f>
        <v>2</v>
      </c>
      <c r="Q36" s="52">
        <f>SUMIF($D$8:$D$55,$O36,$I$8:$I$55)+SUMIF($F$8:$F$55,$O36,$G$8:$G$55)</f>
        <v>5</v>
      </c>
      <c r="R36" s="52">
        <f>P36-Q36</f>
        <v>-3</v>
      </c>
      <c r="S36" s="53">
        <f>SUMIF($D$8:$D$55,$O36,$K$8:$K$55)+SUMIF($F$8:$F$55,$O36,$L$8:$L$55)</f>
        <v>1</v>
      </c>
      <c r="T36" s="96" t="s">
        <v>70</v>
      </c>
      <c r="U36" s="40"/>
      <c r="V36" s="40" t="str">
        <f>O36</f>
        <v>Honduras</v>
      </c>
      <c r="W36" s="40" t="s">
        <v>70</v>
      </c>
      <c r="Y36" s="109">
        <f t="shared" si="8"/>
        <v>0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0</v>
      </c>
      <c r="AG36" s="108">
        <f t="shared" si="3"/>
        <v>0</v>
      </c>
      <c r="AH36" s="108">
        <f t="shared" si="4"/>
        <v>0</v>
      </c>
      <c r="AI36" s="108">
        <f t="shared" si="10"/>
        <v>0</v>
      </c>
      <c r="AJ36" s="108">
        <f t="shared" si="5"/>
        <v>0</v>
      </c>
      <c r="AK36" s="108">
        <f t="shared" si="6"/>
        <v>0</v>
      </c>
      <c r="AL36" s="108">
        <f t="shared" si="7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12">
        <v>30</v>
      </c>
      <c r="C37" s="13">
        <v>41812</v>
      </c>
      <c r="D37" s="14" t="s">
        <v>37</v>
      </c>
      <c r="E37" s="15" t="s">
        <v>9</v>
      </c>
      <c r="F37" s="16" t="s">
        <v>39</v>
      </c>
      <c r="G37" s="85">
        <v>1</v>
      </c>
      <c r="H37" s="15" t="s">
        <v>9</v>
      </c>
      <c r="I37" s="90">
        <v>1</v>
      </c>
      <c r="J37" s="17">
        <f t="shared" si="0"/>
        <v>3</v>
      </c>
      <c r="K37" s="11">
        <f t="shared" si="1"/>
        <v>1</v>
      </c>
      <c r="L37" s="11">
        <f t="shared" si="2"/>
        <v>1</v>
      </c>
      <c r="O37" s="40"/>
      <c r="P37" s="41"/>
      <c r="Q37" s="41"/>
      <c r="R37" s="41"/>
      <c r="S37" s="41"/>
      <c r="T37" s="41"/>
      <c r="U37" s="40"/>
      <c r="V37" s="40"/>
      <c r="W37" s="40"/>
      <c r="Y37" s="109">
        <f t="shared" si="8"/>
        <v>1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1</v>
      </c>
      <c r="AG37" s="108">
        <f t="shared" si="3"/>
        <v>1</v>
      </c>
      <c r="AH37" s="108">
        <f t="shared" si="4"/>
        <v>0</v>
      </c>
      <c r="AI37" s="108">
        <f t="shared" si="10"/>
        <v>0</v>
      </c>
      <c r="AJ37" s="108">
        <f t="shared" si="5"/>
        <v>0</v>
      </c>
      <c r="AK37" s="108">
        <f t="shared" si="6"/>
        <v>0</v>
      </c>
      <c r="AL37" s="108">
        <f t="shared" si="7"/>
        <v>0</v>
      </c>
      <c r="AN37" s="40"/>
      <c r="AO37" s="41"/>
    </row>
    <row r="38" spans="2:41" ht="15.75" thickBot="1">
      <c r="B38" s="18">
        <v>31</v>
      </c>
      <c r="C38" s="19">
        <v>41812</v>
      </c>
      <c r="D38" s="20" t="s">
        <v>40</v>
      </c>
      <c r="E38" s="21" t="s">
        <v>9</v>
      </c>
      <c r="F38" s="30" t="s">
        <v>38</v>
      </c>
      <c r="G38" s="86">
        <v>1</v>
      </c>
      <c r="H38" s="21" t="s">
        <v>9</v>
      </c>
      <c r="I38" s="91">
        <v>1</v>
      </c>
      <c r="J38" s="23">
        <f t="shared" si="0"/>
        <v>3</v>
      </c>
      <c r="K38" s="11">
        <f t="shared" si="1"/>
        <v>1</v>
      </c>
      <c r="L38" s="11">
        <f t="shared" si="2"/>
        <v>1</v>
      </c>
      <c r="O38" s="72" t="s">
        <v>71</v>
      </c>
      <c r="P38" s="73" t="s">
        <v>42</v>
      </c>
      <c r="Q38" s="73" t="s">
        <v>43</v>
      </c>
      <c r="R38" s="74" t="s">
        <v>44</v>
      </c>
      <c r="S38" s="75" t="s">
        <v>45</v>
      </c>
      <c r="T38" s="76" t="s">
        <v>46</v>
      </c>
      <c r="U38" s="40"/>
      <c r="V38" s="40"/>
      <c r="W38" s="40"/>
      <c r="Y38" s="109">
        <f t="shared" si="8"/>
        <v>0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0</v>
      </c>
      <c r="AG38" s="108">
        <f t="shared" si="3"/>
        <v>0</v>
      </c>
      <c r="AH38" s="108">
        <f t="shared" si="4"/>
        <v>0</v>
      </c>
      <c r="AI38" s="108">
        <f t="shared" si="10"/>
        <v>0</v>
      </c>
      <c r="AJ38" s="108">
        <f t="shared" si="5"/>
        <v>0</v>
      </c>
      <c r="AK38" s="108">
        <f t="shared" si="6"/>
        <v>0</v>
      </c>
      <c r="AL38" s="108">
        <f t="shared" si="7"/>
        <v>0</v>
      </c>
      <c r="AN38" s="42" t="s">
        <v>71</v>
      </c>
      <c r="AO38" s="43" t="s">
        <v>46</v>
      </c>
    </row>
    <row r="39" spans="2:41" ht="15.75" thickBot="1">
      <c r="B39" s="24">
        <v>32</v>
      </c>
      <c r="C39" s="25">
        <v>41812</v>
      </c>
      <c r="D39" s="26" t="s">
        <v>36</v>
      </c>
      <c r="E39" s="27" t="s">
        <v>9</v>
      </c>
      <c r="F39" s="28" t="s">
        <v>32</v>
      </c>
      <c r="G39" s="87">
        <v>1</v>
      </c>
      <c r="H39" s="27" t="s">
        <v>9</v>
      </c>
      <c r="I39" s="92">
        <v>3</v>
      </c>
      <c r="J39" s="29">
        <f t="shared" si="0"/>
        <v>2</v>
      </c>
      <c r="K39" s="11">
        <f t="shared" si="1"/>
        <v>0</v>
      </c>
      <c r="L39" s="11">
        <f t="shared" si="2"/>
        <v>3</v>
      </c>
      <c r="O39" s="44" t="s">
        <v>29</v>
      </c>
      <c r="P39" s="45">
        <f>SUMIF($D$8:$D$55,$O39,$G$8:$G$55)+SUMIF($F$8:$F$55,$O39,$I$8:$I$55)</f>
        <v>7</v>
      </c>
      <c r="Q39" s="45">
        <f>SUMIF($D$8:$D$55,$O39,$I$8:$I$55)+SUMIF($F$8:$F$55,$O39,$G$8:$G$55)</f>
        <v>3</v>
      </c>
      <c r="R39" s="46">
        <f>P39-Q39</f>
        <v>4</v>
      </c>
      <c r="S39" s="47">
        <f>SUMIF($D$8:$D$55,$O39,$K$8:$K$55)+SUMIF($F$8:$F$55,$O39,$L$8:$L$55)</f>
        <v>7</v>
      </c>
      <c r="T39" s="94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0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0</v>
      </c>
      <c r="AG39" s="108">
        <f t="shared" si="3"/>
        <v>0</v>
      </c>
      <c r="AH39" s="108">
        <f t="shared" si="4"/>
        <v>0</v>
      </c>
      <c r="AI39" s="108">
        <f t="shared" si="10"/>
        <v>0</v>
      </c>
      <c r="AJ39" s="108">
        <f t="shared" si="5"/>
        <v>0</v>
      </c>
      <c r="AK39" s="108">
        <f t="shared" si="6"/>
        <v>0</v>
      </c>
      <c r="AL39" s="108">
        <f t="shared" si="7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12">
        <v>33</v>
      </c>
      <c r="C40" s="13">
        <v>41813</v>
      </c>
      <c r="D40" s="14" t="s">
        <v>16</v>
      </c>
      <c r="E40" s="15" t="s">
        <v>9</v>
      </c>
      <c r="F40" s="16" t="s">
        <v>13</v>
      </c>
      <c r="G40" s="85">
        <v>1</v>
      </c>
      <c r="H40" s="15" t="s">
        <v>9</v>
      </c>
      <c r="I40" s="90">
        <v>1</v>
      </c>
      <c r="J40" s="17">
        <f t="shared" si="0"/>
        <v>3</v>
      </c>
      <c r="K40" s="11">
        <f t="shared" si="1"/>
        <v>1</v>
      </c>
      <c r="L40" s="11">
        <f t="shared" si="2"/>
        <v>1</v>
      </c>
      <c r="O40" s="48" t="s">
        <v>30</v>
      </c>
      <c r="P40" s="49">
        <f>SUMIF($D$8:$D$55,$O40,$G$8:$G$55)+SUMIF($F$8:$F$55,$O40,$I$8:$I$55)</f>
        <v>5</v>
      </c>
      <c r="Q40" s="49">
        <f>SUMIF($D$8:$D$55,$O40,$I$8:$I$55)+SUMIF($F$8:$F$55,$O40,$G$8:$G$55)</f>
        <v>4</v>
      </c>
      <c r="R40" s="49">
        <f>P40-Q40</f>
        <v>1</v>
      </c>
      <c r="S40" s="50">
        <f>SUMIF($D$8:$D$55,$O40,$K$8:$K$55)+SUMIF($F$8:$F$55,$O40,$L$8:$L$55)</f>
        <v>6</v>
      </c>
      <c r="T40" s="95" t="s">
        <v>73</v>
      </c>
      <c r="U40" s="40"/>
      <c r="V40" s="40" t="str">
        <f>O40</f>
        <v>Bosnië H.</v>
      </c>
      <c r="W40" s="40" t="s">
        <v>73</v>
      </c>
      <c r="Y40" s="109">
        <f t="shared" si="8"/>
        <v>0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0</v>
      </c>
      <c r="AG40" s="108">
        <f t="shared" si="3"/>
        <v>0</v>
      </c>
      <c r="AH40" s="108">
        <f t="shared" si="4"/>
        <v>0</v>
      </c>
      <c r="AI40" s="108">
        <f t="shared" si="10"/>
        <v>0</v>
      </c>
      <c r="AJ40" s="108">
        <f t="shared" si="5"/>
        <v>0</v>
      </c>
      <c r="AK40" s="108">
        <f t="shared" si="6"/>
        <v>0</v>
      </c>
      <c r="AL40" s="108">
        <f t="shared" si="7"/>
        <v>0</v>
      </c>
      <c r="AM40" s="120">
        <f>AO40</f>
        <v>0</v>
      </c>
      <c r="AN40" s="117" t="s">
        <v>30</v>
      </c>
      <c r="AO40" s="115">
        <f>IF(Uitslag!T40="",0,IF(T40=Uitslag!T40,10,0))</f>
        <v>0</v>
      </c>
    </row>
    <row r="41" spans="2:41" ht="15.75" thickBot="1">
      <c r="B41" s="18">
        <v>34</v>
      </c>
      <c r="C41" s="19">
        <v>41813</v>
      </c>
      <c r="D41" s="32" t="s">
        <v>14</v>
      </c>
      <c r="E41" s="21" t="s">
        <v>9</v>
      </c>
      <c r="F41" s="30" t="s">
        <v>15</v>
      </c>
      <c r="G41" s="86">
        <v>1</v>
      </c>
      <c r="H41" s="21" t="s">
        <v>9</v>
      </c>
      <c r="I41" s="91">
        <v>3</v>
      </c>
      <c r="J41" s="23">
        <f t="shared" si="0"/>
        <v>2</v>
      </c>
      <c r="K41" s="11">
        <f t="shared" si="1"/>
        <v>0</v>
      </c>
      <c r="L41" s="11">
        <f t="shared" si="2"/>
        <v>3</v>
      </c>
      <c r="O41" s="48" t="s">
        <v>33</v>
      </c>
      <c r="P41" s="49">
        <f>SUMIF($D$8:$D$55,$O41,$G$8:$G$55)+SUMIF($F$8:$F$55,$O41,$I$8:$I$55)</f>
        <v>1</v>
      </c>
      <c r="Q41" s="49">
        <f>SUMIF($D$8:$D$55,$O41,$I$8:$I$55)+SUMIF($F$8:$F$55,$O41,$G$8:$G$55)</f>
        <v>6</v>
      </c>
      <c r="R41" s="49">
        <f>P41-Q41</f>
        <v>-5</v>
      </c>
      <c r="S41" s="50">
        <f>SUMIF($D$8:$D$55,$O41,$K$8:$K$55)+SUMIF($F$8:$F$55,$O41,$L$8:$L$55)</f>
        <v>0</v>
      </c>
      <c r="T41" s="95" t="s">
        <v>75</v>
      </c>
      <c r="U41" s="40"/>
      <c r="V41" s="40" t="str">
        <f>O41</f>
        <v>Iran</v>
      </c>
      <c r="W41" s="40" t="s">
        <v>74</v>
      </c>
      <c r="Y41" s="109">
        <f t="shared" si="8"/>
        <v>0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0</v>
      </c>
      <c r="AG41" s="108">
        <f t="shared" si="3"/>
        <v>0</v>
      </c>
      <c r="AH41" s="108">
        <f t="shared" si="4"/>
        <v>0</v>
      </c>
      <c r="AI41" s="108">
        <f t="shared" si="10"/>
        <v>0</v>
      </c>
      <c r="AJ41" s="108">
        <f t="shared" si="5"/>
        <v>0</v>
      </c>
      <c r="AK41" s="108">
        <f t="shared" si="6"/>
        <v>0</v>
      </c>
      <c r="AL41" s="108">
        <f t="shared" si="7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18">
        <v>35</v>
      </c>
      <c r="C42" s="19">
        <v>41813</v>
      </c>
      <c r="D42" s="20" t="s">
        <v>12</v>
      </c>
      <c r="E42" s="21" t="s">
        <v>9</v>
      </c>
      <c r="F42" s="30" t="s">
        <v>8</v>
      </c>
      <c r="G42" s="86">
        <v>1</v>
      </c>
      <c r="H42" s="21" t="s">
        <v>9</v>
      </c>
      <c r="I42" s="91">
        <v>1</v>
      </c>
      <c r="J42" s="23">
        <f t="shared" si="0"/>
        <v>3</v>
      </c>
      <c r="K42" s="11">
        <f t="shared" si="1"/>
        <v>1</v>
      </c>
      <c r="L42" s="11">
        <f t="shared" si="2"/>
        <v>1</v>
      </c>
      <c r="O42" s="51" t="s">
        <v>34</v>
      </c>
      <c r="P42" s="52">
        <f>SUMIF($D$8:$D$55,$O42,$G$8:$G$55)+SUMIF($F$8:$F$55,$O42,$I$8:$I$55)</f>
        <v>3</v>
      </c>
      <c r="Q42" s="52">
        <f>SUMIF($D$8:$D$55,$O42,$I$8:$I$55)+SUMIF($F$8:$F$55,$O42,$G$8:$G$55)</f>
        <v>3</v>
      </c>
      <c r="R42" s="52">
        <f>P42-Q42</f>
        <v>0</v>
      </c>
      <c r="S42" s="53">
        <f>SUMIF($D$8:$D$55,$O42,$K$8:$K$55)+SUMIF($F$8:$F$55,$O42,$L$8:$L$55)</f>
        <v>4</v>
      </c>
      <c r="T42" s="96" t="s">
        <v>74</v>
      </c>
      <c r="U42" s="40"/>
      <c r="V42" s="40" t="str">
        <f>O42</f>
        <v>Nigeria</v>
      </c>
      <c r="W42" s="40" t="s">
        <v>75</v>
      </c>
      <c r="Y42" s="109">
        <f t="shared" si="8"/>
        <v>1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1</v>
      </c>
      <c r="AG42" s="108">
        <f t="shared" si="3"/>
        <v>1</v>
      </c>
      <c r="AH42" s="108">
        <f t="shared" si="4"/>
        <v>0</v>
      </c>
      <c r="AI42" s="108">
        <f t="shared" si="10"/>
        <v>0</v>
      </c>
      <c r="AJ42" s="108">
        <f t="shared" si="5"/>
        <v>0</v>
      </c>
      <c r="AK42" s="108">
        <f t="shared" si="6"/>
        <v>0</v>
      </c>
      <c r="AL42" s="108">
        <f t="shared" si="7"/>
        <v>0</v>
      </c>
      <c r="AM42" s="120">
        <f>AO42</f>
        <v>0</v>
      </c>
      <c r="AN42" s="118" t="s">
        <v>34</v>
      </c>
      <c r="AO42" s="115">
        <f>IF(Uitslag!T42="",0,IF(T42=Uitslag!T42,10,0))</f>
        <v>0</v>
      </c>
    </row>
    <row r="43" spans="2:41" ht="15.75" thickBot="1">
      <c r="B43" s="24">
        <v>36</v>
      </c>
      <c r="C43" s="25">
        <v>41813</v>
      </c>
      <c r="D43" s="26" t="s">
        <v>10</v>
      </c>
      <c r="E43" s="27" t="s">
        <v>9</v>
      </c>
      <c r="F43" s="28" t="s">
        <v>11</v>
      </c>
      <c r="G43" s="87">
        <v>2</v>
      </c>
      <c r="H43" s="27" t="s">
        <v>9</v>
      </c>
      <c r="I43" s="92">
        <v>1</v>
      </c>
      <c r="J43" s="29">
        <f t="shared" si="0"/>
        <v>1</v>
      </c>
      <c r="K43" s="11">
        <f t="shared" si="1"/>
        <v>3</v>
      </c>
      <c r="L43" s="11">
        <f t="shared" si="2"/>
        <v>0</v>
      </c>
      <c r="O43" s="40"/>
      <c r="P43" s="41"/>
      <c r="Q43" s="41"/>
      <c r="R43" s="41"/>
      <c r="S43" s="41"/>
      <c r="T43" s="41"/>
      <c r="U43" s="40"/>
      <c r="V43" s="40"/>
      <c r="W43" s="40"/>
      <c r="Y43" s="109">
        <f t="shared" si="8"/>
        <v>0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0</v>
      </c>
      <c r="AG43" s="108">
        <f t="shared" si="3"/>
        <v>0</v>
      </c>
      <c r="AH43" s="108">
        <f t="shared" si="4"/>
        <v>0</v>
      </c>
      <c r="AI43" s="108">
        <f t="shared" si="10"/>
        <v>0</v>
      </c>
      <c r="AJ43" s="108">
        <f t="shared" si="5"/>
        <v>0</v>
      </c>
      <c r="AK43" s="108">
        <f t="shared" si="6"/>
        <v>0</v>
      </c>
      <c r="AL43" s="108">
        <f t="shared" si="7"/>
        <v>0</v>
      </c>
      <c r="AN43" s="40"/>
      <c r="AO43" s="41"/>
    </row>
    <row r="44" spans="2:41" ht="15.75" thickBot="1">
      <c r="B44" s="12">
        <v>37</v>
      </c>
      <c r="C44" s="13">
        <v>41814</v>
      </c>
      <c r="D44" s="14" t="s">
        <v>22</v>
      </c>
      <c r="E44" s="15" t="s">
        <v>9</v>
      </c>
      <c r="F44" s="16" t="s">
        <v>19</v>
      </c>
      <c r="G44" s="85">
        <v>1</v>
      </c>
      <c r="H44" s="15" t="s">
        <v>9</v>
      </c>
      <c r="I44" s="90">
        <v>0</v>
      </c>
      <c r="J44" s="17">
        <f t="shared" si="0"/>
        <v>1</v>
      </c>
      <c r="K44" s="11">
        <f t="shared" si="1"/>
        <v>3</v>
      </c>
      <c r="L44" s="11">
        <f t="shared" si="2"/>
        <v>0</v>
      </c>
      <c r="O44" s="72" t="s">
        <v>76</v>
      </c>
      <c r="P44" s="73" t="s">
        <v>42</v>
      </c>
      <c r="Q44" s="73" t="s">
        <v>43</v>
      </c>
      <c r="R44" s="74" t="s">
        <v>44</v>
      </c>
      <c r="S44" s="75" t="s">
        <v>45</v>
      </c>
      <c r="T44" s="76" t="s">
        <v>46</v>
      </c>
      <c r="U44" s="40"/>
      <c r="V44" s="40"/>
      <c r="W44" s="40"/>
      <c r="Y44" s="109">
        <f t="shared" si="8"/>
        <v>0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0</v>
      </c>
      <c r="AG44" s="108">
        <f t="shared" si="3"/>
        <v>0</v>
      </c>
      <c r="AH44" s="108">
        <f t="shared" si="4"/>
        <v>0</v>
      </c>
      <c r="AI44" s="108">
        <f t="shared" si="10"/>
        <v>0</v>
      </c>
      <c r="AJ44" s="108">
        <f t="shared" si="5"/>
        <v>0</v>
      </c>
      <c r="AK44" s="108">
        <f t="shared" si="6"/>
        <v>0</v>
      </c>
      <c r="AL44" s="108">
        <f t="shared" si="7"/>
        <v>0</v>
      </c>
      <c r="AN44" s="42" t="s">
        <v>76</v>
      </c>
      <c r="AO44" s="43" t="s">
        <v>46</v>
      </c>
    </row>
    <row r="45" spans="2:41" ht="15.75" thickBot="1">
      <c r="B45" s="18">
        <v>38</v>
      </c>
      <c r="C45" s="19">
        <v>41814</v>
      </c>
      <c r="D45" s="20" t="s">
        <v>20</v>
      </c>
      <c r="E45" s="21" t="s">
        <v>9</v>
      </c>
      <c r="F45" s="30" t="s">
        <v>21</v>
      </c>
      <c r="G45" s="86">
        <v>2</v>
      </c>
      <c r="H45" s="21" t="s">
        <v>9</v>
      </c>
      <c r="I45" s="91">
        <v>2</v>
      </c>
      <c r="J45" s="23">
        <f t="shared" si="0"/>
        <v>3</v>
      </c>
      <c r="K45" s="11">
        <f t="shared" si="1"/>
        <v>1</v>
      </c>
      <c r="L45" s="11">
        <f t="shared" si="2"/>
        <v>1</v>
      </c>
      <c r="O45" s="44" t="s">
        <v>31</v>
      </c>
      <c r="P45" s="45">
        <f>SUMIF($D$8:$D$55,$O45,$G$8:$G$55)+SUMIF($F$8:$F$55,$O45,$I$8:$I$55)</f>
        <v>8</v>
      </c>
      <c r="Q45" s="45">
        <f>SUMIF($D$8:$D$55,$O45,$I$8:$I$55)+SUMIF($F$8:$F$55,$O45,$G$8:$G$55)</f>
        <v>6</v>
      </c>
      <c r="R45" s="46">
        <f>P45-Q45</f>
        <v>2</v>
      </c>
      <c r="S45" s="47">
        <f>SUMIF($D$8:$D$55,$O45,$K$8:$K$55)+SUMIF($F$8:$F$55,$O45,$L$8:$L$55)</f>
        <v>6</v>
      </c>
      <c r="T45" s="94" t="s">
        <v>78</v>
      </c>
      <c r="U45" s="40"/>
      <c r="V45" s="40" t="str">
        <f>O45</f>
        <v>Duitsland</v>
      </c>
      <c r="W45" s="40" t="s">
        <v>77</v>
      </c>
      <c r="Y45" s="109">
        <f t="shared" si="8"/>
        <v>5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5</v>
      </c>
      <c r="AG45" s="108">
        <f t="shared" si="3"/>
        <v>0</v>
      </c>
      <c r="AH45" s="108">
        <f t="shared" si="4"/>
        <v>0</v>
      </c>
      <c r="AI45" s="108">
        <f t="shared" si="10"/>
        <v>0</v>
      </c>
      <c r="AJ45" s="108">
        <f t="shared" si="5"/>
        <v>0</v>
      </c>
      <c r="AK45" s="108">
        <f t="shared" si="6"/>
        <v>0</v>
      </c>
      <c r="AL45" s="108">
        <f t="shared" si="7"/>
        <v>5</v>
      </c>
      <c r="AM45" s="120">
        <f>AO45</f>
        <v>0</v>
      </c>
      <c r="AN45" s="116" t="s">
        <v>31</v>
      </c>
      <c r="AO45" s="115">
        <f>IF(Uitslag!T45="",0,IF(T45=Uitslag!T45,10,0))</f>
        <v>0</v>
      </c>
    </row>
    <row r="46" spans="2:41" ht="15.75" thickBot="1">
      <c r="B46" s="18">
        <v>39</v>
      </c>
      <c r="C46" s="19">
        <v>41814</v>
      </c>
      <c r="D46" s="20" t="s">
        <v>24</v>
      </c>
      <c r="E46" s="21" t="s">
        <v>9</v>
      </c>
      <c r="F46" s="30" t="s">
        <v>17</v>
      </c>
      <c r="G46" s="86">
        <v>1</v>
      </c>
      <c r="H46" s="21" t="s">
        <v>9</v>
      </c>
      <c r="I46" s="91">
        <v>1</v>
      </c>
      <c r="J46" s="23">
        <f t="shared" si="0"/>
        <v>3</v>
      </c>
      <c r="K46" s="11">
        <f t="shared" si="1"/>
        <v>1</v>
      </c>
      <c r="L46" s="11">
        <f t="shared" si="2"/>
        <v>1</v>
      </c>
      <c r="O46" s="48" t="s">
        <v>32</v>
      </c>
      <c r="P46" s="49">
        <f>SUMIF($D$8:$D$55,$O46,$G$8:$G$55)+SUMIF($F$8:$F$55,$O46,$I$8:$I$55)</f>
        <v>7</v>
      </c>
      <c r="Q46" s="49">
        <f>SUMIF($D$8:$D$55,$O46,$I$8:$I$55)+SUMIF($F$8:$F$55,$O46,$G$8:$G$55)</f>
        <v>4</v>
      </c>
      <c r="R46" s="49">
        <f>P46-Q46</f>
        <v>3</v>
      </c>
      <c r="S46" s="50">
        <f>SUMIF($D$8:$D$55,$O46,$K$8:$K$55)+SUMIF($F$8:$F$55,$O46,$L$8:$L$55)</f>
        <v>7</v>
      </c>
      <c r="T46" s="95" t="s">
        <v>77</v>
      </c>
      <c r="U46" s="40"/>
      <c r="V46" s="40" t="str">
        <f>O46</f>
        <v>Portugal</v>
      </c>
      <c r="W46" s="40" t="s">
        <v>78</v>
      </c>
      <c r="Y46" s="109">
        <f t="shared" si="8"/>
        <v>1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1</v>
      </c>
      <c r="AG46" s="108">
        <f t="shared" si="3"/>
        <v>1</v>
      </c>
      <c r="AH46" s="108">
        <f t="shared" si="4"/>
        <v>0</v>
      </c>
      <c r="AI46" s="108">
        <f t="shared" si="10"/>
        <v>0</v>
      </c>
      <c r="AJ46" s="108">
        <f t="shared" si="5"/>
        <v>0</v>
      </c>
      <c r="AK46" s="108">
        <f t="shared" si="6"/>
        <v>0</v>
      </c>
      <c r="AL46" s="108">
        <f t="shared" si="7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24">
        <v>40</v>
      </c>
      <c r="C47" s="25">
        <v>41814</v>
      </c>
      <c r="D47" s="26" t="s">
        <v>18</v>
      </c>
      <c r="E47" s="27" t="s">
        <v>9</v>
      </c>
      <c r="F47" s="28" t="s">
        <v>23</v>
      </c>
      <c r="G47" s="87">
        <v>1</v>
      </c>
      <c r="H47" s="27" t="s">
        <v>9</v>
      </c>
      <c r="I47" s="92">
        <v>0</v>
      </c>
      <c r="J47" s="29">
        <f t="shared" si="0"/>
        <v>1</v>
      </c>
      <c r="K47" s="11">
        <f t="shared" si="1"/>
        <v>3</v>
      </c>
      <c r="L47" s="11">
        <f t="shared" si="2"/>
        <v>0</v>
      </c>
      <c r="O47" s="48" t="s">
        <v>35</v>
      </c>
      <c r="P47" s="49">
        <f>SUMIF($D$8:$D$55,$O47,$G$8:$G$55)+SUMIF($F$8:$F$55,$O47,$I$8:$I$55)</f>
        <v>4</v>
      </c>
      <c r="Q47" s="49">
        <f>SUMIF($D$8:$D$55,$O47,$I$8:$I$55)+SUMIF($F$8:$F$55,$O47,$G$8:$G$55)</f>
        <v>6</v>
      </c>
      <c r="R47" s="49">
        <f>P47-Q47</f>
        <v>-2</v>
      </c>
      <c r="S47" s="50">
        <f>SUMIF($D$8:$D$55,$O47,$K$8:$K$55)+SUMIF($F$8:$F$55,$O47,$L$8:$L$55)</f>
        <v>1</v>
      </c>
      <c r="T47" s="95" t="s">
        <v>80</v>
      </c>
      <c r="U47" s="40"/>
      <c r="V47" s="40" t="str">
        <f>O47</f>
        <v>Ghana</v>
      </c>
      <c r="W47" s="40" t="s">
        <v>79</v>
      </c>
      <c r="Y47" s="109">
        <f t="shared" si="8"/>
        <v>5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5</v>
      </c>
      <c r="AG47" s="108">
        <f t="shared" si="3"/>
        <v>0</v>
      </c>
      <c r="AH47" s="108">
        <f t="shared" si="4"/>
        <v>0</v>
      </c>
      <c r="AI47" s="108">
        <f t="shared" si="10"/>
        <v>0</v>
      </c>
      <c r="AJ47" s="108">
        <f t="shared" si="5"/>
        <v>5</v>
      </c>
      <c r="AK47" s="108">
        <f t="shared" si="6"/>
        <v>0</v>
      </c>
      <c r="AL47" s="108">
        <f t="shared" si="7"/>
        <v>0</v>
      </c>
      <c r="AM47" s="120">
        <f>AO47</f>
        <v>10</v>
      </c>
      <c r="AN47" s="117" t="s">
        <v>35</v>
      </c>
      <c r="AO47" s="115">
        <f>IF(Uitslag!T47="",0,IF(T47=Uitslag!T47,10,0))</f>
        <v>10</v>
      </c>
    </row>
    <row r="48" spans="2:41" ht="15.75" thickBot="1">
      <c r="B48" s="12">
        <v>41</v>
      </c>
      <c r="C48" s="13">
        <v>41815</v>
      </c>
      <c r="D48" s="14" t="s">
        <v>34</v>
      </c>
      <c r="E48" s="15" t="s">
        <v>9</v>
      </c>
      <c r="F48" s="16" t="s">
        <v>29</v>
      </c>
      <c r="G48" s="85">
        <v>1</v>
      </c>
      <c r="H48" s="15" t="s">
        <v>9</v>
      </c>
      <c r="I48" s="90">
        <v>1</v>
      </c>
      <c r="J48" s="17">
        <f t="shared" si="0"/>
        <v>3</v>
      </c>
      <c r="K48" s="11">
        <f t="shared" si="1"/>
        <v>1</v>
      </c>
      <c r="L48" s="11">
        <f t="shared" si="2"/>
        <v>1</v>
      </c>
      <c r="O48" s="51" t="s">
        <v>36</v>
      </c>
      <c r="P48" s="52">
        <f>SUMIF($D$8:$D$55,$O48,$G$8:$G$55)+SUMIF($F$8:$F$55,$O48,$I$8:$I$55)</f>
        <v>4</v>
      </c>
      <c r="Q48" s="52">
        <f>SUMIF($D$8:$D$55,$O48,$I$8:$I$55)+SUMIF($F$8:$F$55,$O48,$G$8:$G$55)</f>
        <v>7</v>
      </c>
      <c r="R48" s="52">
        <f>P48-Q48</f>
        <v>-3</v>
      </c>
      <c r="S48" s="53">
        <f>SUMIF($D$8:$D$55,$O48,$K$8:$K$55)+SUMIF($F$8:$F$55,$O48,$L$8:$L$55)</f>
        <v>3</v>
      </c>
      <c r="T48" s="96" t="s">
        <v>79</v>
      </c>
      <c r="U48" s="40"/>
      <c r="V48" s="40" t="str">
        <f>O48</f>
        <v>Verenigde Staten</v>
      </c>
      <c r="W48" s="40" t="s">
        <v>80</v>
      </c>
      <c r="Y48" s="109">
        <f t="shared" si="8"/>
        <v>0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0</v>
      </c>
      <c r="AG48" s="108">
        <f t="shared" si="3"/>
        <v>0</v>
      </c>
      <c r="AH48" s="108">
        <f t="shared" si="4"/>
        <v>0</v>
      </c>
      <c r="AI48" s="108">
        <f t="shared" si="10"/>
        <v>0</v>
      </c>
      <c r="AJ48" s="108">
        <f t="shared" si="5"/>
        <v>0</v>
      </c>
      <c r="AK48" s="108">
        <f t="shared" si="6"/>
        <v>0</v>
      </c>
      <c r="AL48" s="108">
        <f t="shared" si="7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18">
        <v>42</v>
      </c>
      <c r="C49" s="19">
        <v>41815</v>
      </c>
      <c r="D49" s="20" t="s">
        <v>30</v>
      </c>
      <c r="E49" s="21" t="s">
        <v>9</v>
      </c>
      <c r="F49" s="30" t="s">
        <v>33</v>
      </c>
      <c r="G49" s="86">
        <v>2</v>
      </c>
      <c r="H49" s="21" t="s">
        <v>9</v>
      </c>
      <c r="I49" s="91">
        <v>0</v>
      </c>
      <c r="J49" s="23">
        <f t="shared" si="0"/>
        <v>1</v>
      </c>
      <c r="K49" s="11">
        <f t="shared" si="1"/>
        <v>3</v>
      </c>
      <c r="L49" s="11">
        <f t="shared" si="2"/>
        <v>0</v>
      </c>
      <c r="O49" s="40"/>
      <c r="P49" s="41"/>
      <c r="Q49" s="41"/>
      <c r="R49" s="41"/>
      <c r="S49" s="41"/>
      <c r="T49" s="41"/>
      <c r="U49" s="40"/>
      <c r="V49" s="40"/>
      <c r="W49" s="40"/>
      <c r="Y49" s="109">
        <f t="shared" si="8"/>
        <v>5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5</v>
      </c>
      <c r="AG49" s="108">
        <f t="shared" si="3"/>
        <v>0</v>
      </c>
      <c r="AH49" s="108">
        <f t="shared" si="4"/>
        <v>0</v>
      </c>
      <c r="AI49" s="108">
        <f t="shared" si="10"/>
        <v>0</v>
      </c>
      <c r="AJ49" s="108">
        <f t="shared" si="5"/>
        <v>5</v>
      </c>
      <c r="AK49" s="108">
        <f t="shared" si="6"/>
        <v>0</v>
      </c>
      <c r="AL49" s="108">
        <f t="shared" si="7"/>
        <v>0</v>
      </c>
      <c r="AN49" s="40"/>
      <c r="AO49" s="41"/>
    </row>
    <row r="50" spans="2:54" ht="15.75" thickBot="1">
      <c r="B50" s="18">
        <v>43</v>
      </c>
      <c r="C50" s="19">
        <v>41815</v>
      </c>
      <c r="D50" s="20" t="s">
        <v>28</v>
      </c>
      <c r="E50" s="21" t="s">
        <v>9</v>
      </c>
      <c r="F50" s="30" t="s">
        <v>25</v>
      </c>
      <c r="G50" s="86">
        <v>0</v>
      </c>
      <c r="H50" s="21" t="s">
        <v>9</v>
      </c>
      <c r="I50" s="91">
        <v>2</v>
      </c>
      <c r="J50" s="23">
        <f t="shared" si="0"/>
        <v>2</v>
      </c>
      <c r="K50" s="11">
        <f t="shared" si="1"/>
        <v>0</v>
      </c>
      <c r="L50" s="11">
        <f t="shared" si="2"/>
        <v>3</v>
      </c>
      <c r="O50" s="72" t="s">
        <v>81</v>
      </c>
      <c r="P50" s="73" t="s">
        <v>42</v>
      </c>
      <c r="Q50" s="73" t="s">
        <v>43</v>
      </c>
      <c r="R50" s="74" t="s">
        <v>44</v>
      </c>
      <c r="S50" s="75" t="s">
        <v>45</v>
      </c>
      <c r="T50" s="76" t="s">
        <v>46</v>
      </c>
      <c r="U50" s="40"/>
      <c r="V50" s="40"/>
      <c r="W50" s="40"/>
      <c r="Y50" s="109">
        <f t="shared" si="8"/>
        <v>6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6</v>
      </c>
      <c r="AG50" s="108">
        <f t="shared" si="3"/>
        <v>1</v>
      </c>
      <c r="AH50" s="108">
        <f t="shared" si="4"/>
        <v>0</v>
      </c>
      <c r="AI50" s="108">
        <f t="shared" si="10"/>
        <v>0</v>
      </c>
      <c r="AJ50" s="108">
        <f t="shared" si="5"/>
        <v>0</v>
      </c>
      <c r="AK50" s="108">
        <f t="shared" si="6"/>
        <v>5</v>
      </c>
      <c r="AL50" s="108">
        <f t="shared" si="7"/>
        <v>0</v>
      </c>
      <c r="AN50" s="42" t="s">
        <v>81</v>
      </c>
      <c r="AO50" s="43" t="s">
        <v>46</v>
      </c>
    </row>
    <row r="51" spans="2:54" ht="15.75" thickBot="1">
      <c r="B51" s="24">
        <v>44</v>
      </c>
      <c r="C51" s="25">
        <v>41815</v>
      </c>
      <c r="D51" s="26" t="s">
        <v>26</v>
      </c>
      <c r="E51" s="27" t="s">
        <v>9</v>
      </c>
      <c r="F51" s="28" t="s">
        <v>27</v>
      </c>
      <c r="G51" s="87">
        <v>2</v>
      </c>
      <c r="H51" s="27" t="s">
        <v>9</v>
      </c>
      <c r="I51" s="92">
        <v>3</v>
      </c>
      <c r="J51" s="29">
        <f t="shared" si="0"/>
        <v>2</v>
      </c>
      <c r="K51" s="11">
        <f t="shared" si="1"/>
        <v>0</v>
      </c>
      <c r="L51" s="11">
        <f t="shared" si="2"/>
        <v>3</v>
      </c>
      <c r="O51" s="44" t="s">
        <v>37</v>
      </c>
      <c r="P51" s="45">
        <f>SUMIF($D$8:$D$55,$O51,$G$8:$G$55)+SUMIF($F$8:$F$55,$O51,$I$8:$I$55)</f>
        <v>5</v>
      </c>
      <c r="Q51" s="45">
        <f>SUMIF($D$8:$D$55,$O51,$I$8:$I$55)+SUMIF($F$8:$F$55,$O51,$G$8:$G$55)</f>
        <v>3</v>
      </c>
      <c r="R51" s="46">
        <f>P51-Q51</f>
        <v>2</v>
      </c>
      <c r="S51" s="47">
        <f>SUMIF($D$8:$D$55,$O51,$K$8:$K$55)+SUMIF($F$8:$F$55,$O51,$L$8:$L$55)</f>
        <v>5</v>
      </c>
      <c r="T51" s="94" t="s">
        <v>82</v>
      </c>
      <c r="U51" s="40"/>
      <c r="V51" s="40" t="str">
        <f>O51</f>
        <v>België</v>
      </c>
      <c r="W51" s="40" t="s">
        <v>82</v>
      </c>
      <c r="Y51" s="109">
        <f t="shared" si="8"/>
        <v>0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0</v>
      </c>
      <c r="AG51" s="108">
        <f t="shared" si="3"/>
        <v>0</v>
      </c>
      <c r="AH51" s="108">
        <f t="shared" si="4"/>
        <v>0</v>
      </c>
      <c r="AI51" s="108">
        <f t="shared" si="10"/>
        <v>0</v>
      </c>
      <c r="AJ51" s="108">
        <f t="shared" si="5"/>
        <v>0</v>
      </c>
      <c r="AK51" s="108">
        <f t="shared" si="6"/>
        <v>0</v>
      </c>
      <c r="AL51" s="108">
        <f t="shared" si="7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18">
        <v>45</v>
      </c>
      <c r="C52" s="19">
        <v>41816</v>
      </c>
      <c r="D52" s="20" t="s">
        <v>36</v>
      </c>
      <c r="E52" s="21" t="s">
        <v>9</v>
      </c>
      <c r="F52" s="30" t="s">
        <v>31</v>
      </c>
      <c r="G52" s="86">
        <v>1</v>
      </c>
      <c r="H52" s="21" t="s">
        <v>9</v>
      </c>
      <c r="I52" s="91">
        <v>3</v>
      </c>
      <c r="J52" s="17">
        <f t="shared" si="0"/>
        <v>2</v>
      </c>
      <c r="K52" s="11">
        <f t="shared" si="1"/>
        <v>0</v>
      </c>
      <c r="L52" s="11">
        <f t="shared" si="2"/>
        <v>3</v>
      </c>
      <c r="O52" s="48" t="s">
        <v>38</v>
      </c>
      <c r="P52" s="49">
        <f>SUMIF($D$8:$D$55,$O52,$G$8:$G$55)+SUMIF($F$8:$F$55,$O52,$I$8:$I$55)</f>
        <v>2</v>
      </c>
      <c r="Q52" s="49">
        <f>SUMIF($D$8:$D$55,$O52,$I$8:$I$55)+SUMIF($F$8:$F$55,$O52,$G$8:$G$55)</f>
        <v>6</v>
      </c>
      <c r="R52" s="49">
        <f>P52-Q52</f>
        <v>-4</v>
      </c>
      <c r="S52" s="50">
        <f>SUMIF($D$8:$D$55,$O52,$K$8:$K$55)+SUMIF($F$8:$F$55,$O52,$L$8:$L$55)</f>
        <v>1</v>
      </c>
      <c r="T52" s="95" t="s">
        <v>85</v>
      </c>
      <c r="U52" s="40"/>
      <c r="V52" s="40" t="str">
        <f>O52</f>
        <v>Algerije</v>
      </c>
      <c r="W52" s="40" t="s">
        <v>83</v>
      </c>
      <c r="Y52" s="109">
        <f t="shared" si="8"/>
        <v>5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5</v>
      </c>
      <c r="AG52" s="108">
        <f t="shared" si="3"/>
        <v>0</v>
      </c>
      <c r="AH52" s="108">
        <f t="shared" si="4"/>
        <v>0</v>
      </c>
      <c r="AI52" s="108">
        <f t="shared" si="10"/>
        <v>0</v>
      </c>
      <c r="AJ52" s="108">
        <f t="shared" si="5"/>
        <v>0</v>
      </c>
      <c r="AK52" s="108">
        <f t="shared" si="6"/>
        <v>5</v>
      </c>
      <c r="AL52" s="108">
        <f t="shared" si="7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18">
        <v>46</v>
      </c>
      <c r="C53" s="19">
        <v>41816</v>
      </c>
      <c r="D53" s="20" t="s">
        <v>32</v>
      </c>
      <c r="E53" s="21" t="s">
        <v>9</v>
      </c>
      <c r="F53" s="30" t="s">
        <v>35</v>
      </c>
      <c r="G53" s="86">
        <v>1</v>
      </c>
      <c r="H53" s="21" t="s">
        <v>9</v>
      </c>
      <c r="I53" s="91">
        <v>1</v>
      </c>
      <c r="J53" s="23">
        <f t="shared" si="0"/>
        <v>3</v>
      </c>
      <c r="K53" s="11">
        <f t="shared" si="1"/>
        <v>1</v>
      </c>
      <c r="L53" s="11">
        <f t="shared" si="2"/>
        <v>1</v>
      </c>
      <c r="O53" s="48" t="s">
        <v>39</v>
      </c>
      <c r="P53" s="49">
        <f>SUMIF($D$8:$D$55,$O53,$G$8:$G$55)+SUMIF($F$8:$F$55,$O53,$I$8:$I$55)</f>
        <v>4</v>
      </c>
      <c r="Q53" s="49">
        <f>SUMIF($D$8:$D$55,$O53,$I$8:$I$55)+SUMIF($F$8:$F$55,$O53,$G$8:$G$55)</f>
        <v>3</v>
      </c>
      <c r="R53" s="49">
        <f>P53-Q53</f>
        <v>1</v>
      </c>
      <c r="S53" s="50">
        <f>SUMIF($D$8:$D$55,$O53,$K$8:$K$55)+SUMIF($F$8:$F$55,$O53,$L$8:$L$55)</f>
        <v>4</v>
      </c>
      <c r="T53" s="95" t="s">
        <v>84</v>
      </c>
      <c r="U53" s="40"/>
      <c r="V53" s="40" t="str">
        <f>O53</f>
        <v>Rusland</v>
      </c>
      <c r="W53" s="40" t="s">
        <v>84</v>
      </c>
      <c r="Y53" s="109">
        <f t="shared" si="8"/>
        <v>1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1</v>
      </c>
      <c r="AG53" s="108">
        <f t="shared" si="3"/>
        <v>0</v>
      </c>
      <c r="AH53" s="108">
        <f t="shared" si="4"/>
        <v>1</v>
      </c>
      <c r="AI53" s="108">
        <f t="shared" si="10"/>
        <v>0</v>
      </c>
      <c r="AJ53" s="108">
        <f t="shared" si="5"/>
        <v>0</v>
      </c>
      <c r="AK53" s="108">
        <f t="shared" si="6"/>
        <v>0</v>
      </c>
      <c r="AL53" s="108">
        <f t="shared" si="7"/>
        <v>0</v>
      </c>
      <c r="AM53" s="120">
        <f>AO53</f>
        <v>10</v>
      </c>
      <c r="AN53" s="117" t="s">
        <v>39</v>
      </c>
      <c r="AO53" s="115">
        <f>IF(Uitslag!T53="",0,IF(T53=Uitslag!T53,10,0))</f>
        <v>10</v>
      </c>
    </row>
    <row r="54" spans="2:54" ht="15.75" thickBot="1">
      <c r="B54" s="18">
        <v>47</v>
      </c>
      <c r="C54" s="19">
        <v>41816</v>
      </c>
      <c r="D54" s="20" t="s">
        <v>40</v>
      </c>
      <c r="E54" s="21" t="s">
        <v>9</v>
      </c>
      <c r="F54" s="30" t="s">
        <v>37</v>
      </c>
      <c r="G54" s="86">
        <v>1</v>
      </c>
      <c r="H54" s="21" t="s">
        <v>9</v>
      </c>
      <c r="I54" s="91">
        <v>1</v>
      </c>
      <c r="J54" s="23">
        <f t="shared" si="0"/>
        <v>3</v>
      </c>
      <c r="K54" s="11">
        <f t="shared" si="1"/>
        <v>1</v>
      </c>
      <c r="L54" s="11">
        <f t="shared" si="2"/>
        <v>1</v>
      </c>
      <c r="O54" s="51" t="s">
        <v>40</v>
      </c>
      <c r="P54" s="52">
        <f>SUMIF($D$8:$D$55,$O54,$G$8:$G$55)+SUMIF($F$8:$F$55,$O54,$I$8:$I$55)</f>
        <v>4</v>
      </c>
      <c r="Q54" s="52">
        <f>SUMIF($D$8:$D$55,$O54,$I$8:$I$55)+SUMIF($F$8:$F$55,$O54,$G$8:$G$55)</f>
        <v>3</v>
      </c>
      <c r="R54" s="52">
        <f>P54-Q54</f>
        <v>1</v>
      </c>
      <c r="S54" s="53">
        <f>SUMIF($D$8:$D$55,$O54,$K$8:$K$55)+SUMIF($F$8:$F$55,$O54,$L$8:$L$55)</f>
        <v>5</v>
      </c>
      <c r="T54" s="96" t="s">
        <v>83</v>
      </c>
      <c r="U54" s="40"/>
      <c r="V54" s="40" t="str">
        <f>O54</f>
        <v>Zuid Korea</v>
      </c>
      <c r="W54" s="40" t="s">
        <v>85</v>
      </c>
      <c r="Y54" s="109">
        <f t="shared" si="8"/>
        <v>1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1</v>
      </c>
      <c r="AG54" s="108">
        <f t="shared" si="3"/>
        <v>0</v>
      </c>
      <c r="AH54" s="108">
        <f t="shared" si="4"/>
        <v>1</v>
      </c>
      <c r="AI54" s="108">
        <f t="shared" si="10"/>
        <v>0</v>
      </c>
      <c r="AJ54" s="108">
        <f t="shared" si="5"/>
        <v>0</v>
      </c>
      <c r="AK54" s="108">
        <f t="shared" si="6"/>
        <v>0</v>
      </c>
      <c r="AL54" s="108">
        <f t="shared" si="7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3">
        <v>48</v>
      </c>
      <c r="C55" s="34">
        <v>41816</v>
      </c>
      <c r="D55" s="35" t="s">
        <v>38</v>
      </c>
      <c r="E55" s="36" t="s">
        <v>9</v>
      </c>
      <c r="F55" s="37" t="s">
        <v>39</v>
      </c>
      <c r="G55" s="88">
        <v>0</v>
      </c>
      <c r="H55" s="36" t="s">
        <v>9</v>
      </c>
      <c r="I55" s="93">
        <v>2</v>
      </c>
      <c r="J55" s="38">
        <f t="shared" si="0"/>
        <v>2</v>
      </c>
      <c r="K55" s="11">
        <f t="shared" si="1"/>
        <v>0</v>
      </c>
      <c r="L55" s="11">
        <f t="shared" si="2"/>
        <v>3</v>
      </c>
      <c r="O55" s="40"/>
      <c r="P55" s="41"/>
      <c r="Q55" s="41"/>
      <c r="R55" s="41"/>
      <c r="S55" s="41"/>
      <c r="T55" s="41"/>
      <c r="U55" s="40"/>
      <c r="V55" s="40"/>
      <c r="W55" s="40"/>
      <c r="Y55" s="109">
        <f t="shared" si="8"/>
        <v>0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0</v>
      </c>
      <c r="AG55" s="108">
        <f t="shared" si="3"/>
        <v>0</v>
      </c>
      <c r="AH55" s="108">
        <f t="shared" si="4"/>
        <v>0</v>
      </c>
      <c r="AI55" s="108">
        <f t="shared" si="10"/>
        <v>0</v>
      </c>
      <c r="AJ55" s="108">
        <f t="shared" si="5"/>
        <v>0</v>
      </c>
      <c r="AK55" s="108">
        <f t="shared" si="6"/>
        <v>0</v>
      </c>
      <c r="AL55" s="108">
        <f t="shared" si="7"/>
        <v>0</v>
      </c>
    </row>
    <row r="56" spans="2:54" ht="15.75" thickBot="1">
      <c r="B56" s="1"/>
      <c r="C56" s="39"/>
      <c r="D56" s="40"/>
      <c r="E56" s="1"/>
      <c r="F56" s="40"/>
      <c r="G56" s="1"/>
      <c r="H56" s="1"/>
      <c r="I56" s="1"/>
      <c r="J56" s="1"/>
      <c r="K56" s="1"/>
      <c r="L56" s="1"/>
      <c r="M56" s="1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195"/>
      <c r="K57" s="1"/>
      <c r="L57" s="1"/>
      <c r="M57" s="1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78" t="s">
        <v>1</v>
      </c>
      <c r="C58" s="79" t="s">
        <v>2</v>
      </c>
      <c r="D58" s="187" t="s">
        <v>3</v>
      </c>
      <c r="E58" s="81"/>
      <c r="F58" s="194" t="s">
        <v>4</v>
      </c>
      <c r="G58" s="867" t="s">
        <v>5</v>
      </c>
      <c r="H58" s="868"/>
      <c r="I58" s="869"/>
      <c r="J58" s="83" t="s">
        <v>6</v>
      </c>
      <c r="K58" s="1"/>
      <c r="L58" s="1"/>
      <c r="M58" s="1"/>
      <c r="O58" s="135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12">
        <v>49</v>
      </c>
      <c r="C59" s="189">
        <v>41818</v>
      </c>
      <c r="D59" s="153" t="str">
        <f t="shared" ref="D59:D66" si="13">IF(ISERROR(Z59),K59,Z59)</f>
        <v>Brazilië</v>
      </c>
      <c r="E59" s="15" t="s">
        <v>9</v>
      </c>
      <c r="F59" s="56" t="str">
        <f t="shared" ref="F59:F66" si="14">IF(ISERROR(AA59),L59,AA59)</f>
        <v>Spanje</v>
      </c>
      <c r="G59" s="85">
        <v>2</v>
      </c>
      <c r="H59" s="15" t="s">
        <v>9</v>
      </c>
      <c r="I59" s="97">
        <v>2</v>
      </c>
      <c r="J59" s="98">
        <v>1</v>
      </c>
      <c r="K59" s="57" t="s">
        <v>48</v>
      </c>
      <c r="L59" s="57" t="s">
        <v>53</v>
      </c>
      <c r="M59" s="57">
        <v>1</v>
      </c>
      <c r="O59" s="135">
        <v>2</v>
      </c>
      <c r="P59" s="877" t="s">
        <v>212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5">AF59</f>
        <v>5</v>
      </c>
      <c r="Z59" t="str">
        <f t="shared" ref="Z59:AA65" si="16">IF(K59=""," ",VLOOKUP(K59,$T$9:$V$54,3,FALSE))</f>
        <v>Brazilië</v>
      </c>
      <c r="AA59" t="str">
        <f t="shared" si="16"/>
        <v>Spanje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7">IF(OR(AC59="",AD59=""),0,(IF(SUM(AG59:AL59)&gt;10,10,SUM(AG59:AL59))))</f>
        <v>5</v>
      </c>
      <c r="AG59" s="108">
        <f t="shared" ref="AG59:AG66" si="18">IF(AC59="",0,(IF(G59=AC59,1,0)))</f>
        <v>0</v>
      </c>
      <c r="AH59" s="108">
        <f t="shared" ref="AH59:AH66" si="19">IF(AD59="",0,(IF(I59=AD59,1,0)))</f>
        <v>0</v>
      </c>
      <c r="AI59" s="108">
        <f t="shared" ref="AI59:AI66" si="20">IF(AND(AG59=1,AH59=1),10,0)</f>
        <v>0</v>
      </c>
      <c r="AJ59" s="108">
        <f t="shared" ref="AJ59:AJ66" si="21">IF(AND(G59&gt;I59,AC59&gt;AD59),5,0)</f>
        <v>0</v>
      </c>
      <c r="AK59" s="108">
        <f t="shared" ref="AK59:AK66" si="22">IF(AND(G59&lt;I59,AC59&lt;AD59),5,0)</f>
        <v>0</v>
      </c>
      <c r="AL59" s="108">
        <f t="shared" ref="AL59:AL66" si="23">IF(AND(G59=I59,AC59=AD59),5,0)</f>
        <v>5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4">BA59</f>
        <v>3</v>
      </c>
    </row>
    <row r="60" spans="2:54">
      <c r="B60" s="24">
        <v>50</v>
      </c>
      <c r="C60" s="190">
        <v>41818</v>
      </c>
      <c r="D60" s="154" t="str">
        <f t="shared" si="13"/>
        <v>Ivoorkust</v>
      </c>
      <c r="E60" s="27" t="s">
        <v>9</v>
      </c>
      <c r="F60" s="59" t="str">
        <f t="shared" si="14"/>
        <v>Uruguay</v>
      </c>
      <c r="G60" s="87">
        <v>1</v>
      </c>
      <c r="H60" s="27" t="s">
        <v>9</v>
      </c>
      <c r="I60" s="99">
        <v>1</v>
      </c>
      <c r="J60" s="100">
        <v>2</v>
      </c>
      <c r="K60" s="57" t="s">
        <v>57</v>
      </c>
      <c r="L60" s="57" t="s">
        <v>63</v>
      </c>
      <c r="M60" s="57">
        <v>2</v>
      </c>
      <c r="O60" s="135">
        <v>3</v>
      </c>
      <c r="P60" s="877" t="s">
        <v>220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5"/>
        <v>0</v>
      </c>
      <c r="Z60" t="str">
        <f t="shared" si="16"/>
        <v>Ivoorkust</v>
      </c>
      <c r="AA60" t="str">
        <f t="shared" si="16"/>
        <v>Uruguay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7"/>
        <v>0</v>
      </c>
      <c r="AG60" s="108">
        <f t="shared" si="18"/>
        <v>0</v>
      </c>
      <c r="AH60" s="108">
        <f t="shared" si="19"/>
        <v>0</v>
      </c>
      <c r="AI60" s="108">
        <f t="shared" si="20"/>
        <v>0</v>
      </c>
      <c r="AJ60" s="108">
        <f t="shared" si="21"/>
        <v>0</v>
      </c>
      <c r="AK60" s="108">
        <f t="shared" si="22"/>
        <v>0</v>
      </c>
      <c r="AL60" s="108">
        <f t="shared" si="23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4"/>
        <v>3</v>
      </c>
    </row>
    <row r="61" spans="2:54">
      <c r="B61" s="12">
        <v>51</v>
      </c>
      <c r="C61" s="189">
        <v>41819</v>
      </c>
      <c r="D61" s="188" t="str">
        <f t="shared" si="13"/>
        <v>Chili</v>
      </c>
      <c r="E61" s="15" t="s">
        <v>9</v>
      </c>
      <c r="F61" s="56" t="str">
        <f t="shared" si="14"/>
        <v>Kroatië</v>
      </c>
      <c r="G61" s="85">
        <v>2</v>
      </c>
      <c r="H61" s="15" t="s">
        <v>9</v>
      </c>
      <c r="I61" s="97">
        <v>1</v>
      </c>
      <c r="J61" s="98">
        <v>1</v>
      </c>
      <c r="K61" s="57" t="s">
        <v>52</v>
      </c>
      <c r="L61" s="57" t="s">
        <v>49</v>
      </c>
      <c r="M61" s="57"/>
      <c r="O61" s="135">
        <v>4</v>
      </c>
      <c r="P61" s="877" t="s">
        <v>211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5"/>
        <v>10</v>
      </c>
      <c r="Z61" t="str">
        <f t="shared" si="16"/>
        <v>Chili</v>
      </c>
      <c r="AA61" t="str">
        <f t="shared" si="16"/>
        <v>Kroatië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7"/>
        <v>10</v>
      </c>
      <c r="AG61" s="108">
        <f t="shared" si="18"/>
        <v>1</v>
      </c>
      <c r="AH61" s="108">
        <f t="shared" si="19"/>
        <v>1</v>
      </c>
      <c r="AI61" s="108">
        <f t="shared" si="20"/>
        <v>10</v>
      </c>
      <c r="AJ61" s="108">
        <f t="shared" si="21"/>
        <v>5</v>
      </c>
      <c r="AK61" s="108">
        <f t="shared" si="22"/>
        <v>0</v>
      </c>
      <c r="AL61" s="108">
        <f t="shared" si="23"/>
        <v>0</v>
      </c>
      <c r="AZ61" s="138" t="str">
        <f>Uitslag!P61</f>
        <v>Ron Vlaar (v)</v>
      </c>
      <c r="BA61" s="140">
        <f t="shared" si="12"/>
        <v>3</v>
      </c>
      <c r="BB61" s="139">
        <f t="shared" si="24"/>
        <v>3</v>
      </c>
    </row>
    <row r="62" spans="2:54">
      <c r="B62" s="24">
        <v>52</v>
      </c>
      <c r="C62" s="190">
        <v>41819</v>
      </c>
      <c r="D62" s="188" t="str">
        <f t="shared" si="13"/>
        <v>Italië</v>
      </c>
      <c r="E62" s="27" t="s">
        <v>9</v>
      </c>
      <c r="F62" s="59" t="str">
        <f t="shared" si="14"/>
        <v>Griekenland</v>
      </c>
      <c r="G62" s="87">
        <v>2</v>
      </c>
      <c r="H62" s="27" t="s">
        <v>9</v>
      </c>
      <c r="I62" s="99">
        <v>1</v>
      </c>
      <c r="J62" s="100">
        <v>1</v>
      </c>
      <c r="K62" s="57" t="s">
        <v>62</v>
      </c>
      <c r="L62" s="57" t="s">
        <v>58</v>
      </c>
      <c r="M62" s="57"/>
      <c r="O62" s="135">
        <v>5</v>
      </c>
      <c r="P62" s="877" t="s">
        <v>225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5"/>
        <v>1</v>
      </c>
      <c r="Z62" t="str">
        <f t="shared" si="16"/>
        <v>Italië</v>
      </c>
      <c r="AA62" t="str">
        <f t="shared" si="16"/>
        <v>Griekenland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7"/>
        <v>1</v>
      </c>
      <c r="AG62" s="108">
        <f t="shared" si="18"/>
        <v>0</v>
      </c>
      <c r="AH62" s="108">
        <f t="shared" si="19"/>
        <v>1</v>
      </c>
      <c r="AI62" s="108">
        <f t="shared" si="20"/>
        <v>0</v>
      </c>
      <c r="AJ62" s="108">
        <f t="shared" si="21"/>
        <v>0</v>
      </c>
      <c r="AK62" s="108">
        <f t="shared" si="22"/>
        <v>0</v>
      </c>
      <c r="AL62" s="108">
        <f t="shared" si="23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4"/>
        <v>3</v>
      </c>
    </row>
    <row r="63" spans="2:54">
      <c r="B63" s="12">
        <v>53</v>
      </c>
      <c r="C63" s="189">
        <v>41820</v>
      </c>
      <c r="D63" s="153" t="str">
        <f t="shared" si="13"/>
        <v>Frankrijk</v>
      </c>
      <c r="E63" s="15" t="s">
        <v>9</v>
      </c>
      <c r="F63" s="56" t="str">
        <f t="shared" si="14"/>
        <v>Bosnië H.</v>
      </c>
      <c r="G63" s="85">
        <v>0</v>
      </c>
      <c r="H63" s="15" t="s">
        <v>9</v>
      </c>
      <c r="I63" s="97">
        <v>0</v>
      </c>
      <c r="J63" s="98">
        <v>1</v>
      </c>
      <c r="K63" s="57" t="s">
        <v>67</v>
      </c>
      <c r="L63" s="57" t="s">
        <v>73</v>
      </c>
      <c r="M63" s="57"/>
      <c r="O63" s="135">
        <v>6</v>
      </c>
      <c r="P63" s="877" t="s">
        <v>209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5"/>
        <v>1</v>
      </c>
      <c r="Z63" t="str">
        <f t="shared" si="16"/>
        <v>Frankrijk</v>
      </c>
      <c r="AA63" t="str">
        <f t="shared" si="16"/>
        <v>Bosnië H.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7"/>
        <v>1</v>
      </c>
      <c r="AG63" s="108">
        <f t="shared" si="18"/>
        <v>0</v>
      </c>
      <c r="AH63" s="108">
        <f t="shared" si="19"/>
        <v>1</v>
      </c>
      <c r="AI63" s="108">
        <f t="shared" si="20"/>
        <v>0</v>
      </c>
      <c r="AJ63" s="108">
        <f t="shared" si="21"/>
        <v>0</v>
      </c>
      <c r="AK63" s="108">
        <f t="shared" si="22"/>
        <v>0</v>
      </c>
      <c r="AL63" s="108">
        <f t="shared" si="23"/>
        <v>0</v>
      </c>
      <c r="AZ63" s="138" t="str">
        <f>Uitslag!P63</f>
        <v>Daley Blind (v)</v>
      </c>
      <c r="BA63" s="140">
        <f t="shared" si="12"/>
        <v>3</v>
      </c>
      <c r="BB63" s="139">
        <f t="shared" si="24"/>
        <v>3</v>
      </c>
    </row>
    <row r="64" spans="2:54">
      <c r="B64" s="24">
        <v>54</v>
      </c>
      <c r="C64" s="190">
        <v>41820</v>
      </c>
      <c r="D64" s="154" t="str">
        <f t="shared" si="13"/>
        <v>Portugal</v>
      </c>
      <c r="E64" s="27" t="s">
        <v>9</v>
      </c>
      <c r="F64" s="59" t="str">
        <f t="shared" si="14"/>
        <v>Zuid Korea</v>
      </c>
      <c r="G64" s="87">
        <v>3</v>
      </c>
      <c r="H64" s="27" t="s">
        <v>9</v>
      </c>
      <c r="I64" s="99">
        <v>2</v>
      </c>
      <c r="J64" s="100">
        <v>1</v>
      </c>
      <c r="K64" s="57" t="s">
        <v>77</v>
      </c>
      <c r="L64" s="57" t="s">
        <v>83</v>
      </c>
      <c r="M64" s="57"/>
      <c r="O64" s="135">
        <v>7</v>
      </c>
      <c r="P64" s="877" t="s">
        <v>226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5"/>
        <v>0</v>
      </c>
      <c r="Z64" t="str">
        <f t="shared" si="16"/>
        <v>Portugal</v>
      </c>
      <c r="AA64" t="str">
        <f t="shared" si="16"/>
        <v>Zuid Korea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7"/>
        <v>0</v>
      </c>
      <c r="AG64" s="108">
        <f t="shared" si="18"/>
        <v>0</v>
      </c>
      <c r="AH64" s="108">
        <f t="shared" si="19"/>
        <v>0</v>
      </c>
      <c r="AI64" s="108">
        <f t="shared" si="20"/>
        <v>0</v>
      </c>
      <c r="AJ64" s="108">
        <f t="shared" si="21"/>
        <v>0</v>
      </c>
      <c r="AK64" s="108">
        <f t="shared" si="22"/>
        <v>0</v>
      </c>
      <c r="AL64" s="108">
        <f t="shared" si="23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4"/>
        <v>3</v>
      </c>
    </row>
    <row r="65" spans="2:54">
      <c r="B65" s="18">
        <v>55</v>
      </c>
      <c r="C65" s="191">
        <v>41821</v>
      </c>
      <c r="D65" s="153" t="str">
        <f t="shared" si="13"/>
        <v>Argentinië</v>
      </c>
      <c r="E65" s="21" t="s">
        <v>9</v>
      </c>
      <c r="F65" s="60" t="str">
        <f t="shared" si="14"/>
        <v>Ecuador</v>
      </c>
      <c r="G65" s="86">
        <v>2</v>
      </c>
      <c r="H65" s="21" t="s">
        <v>9</v>
      </c>
      <c r="I65" s="101">
        <v>2</v>
      </c>
      <c r="J65" s="102">
        <v>1</v>
      </c>
      <c r="K65" s="57" t="s">
        <v>72</v>
      </c>
      <c r="L65" s="57" t="s">
        <v>68</v>
      </c>
      <c r="M65" s="57"/>
      <c r="O65" s="135">
        <v>8</v>
      </c>
      <c r="P65" s="877" t="s">
        <v>214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5"/>
        <v>5</v>
      </c>
      <c r="Z65" t="str">
        <f t="shared" si="16"/>
        <v>Argentinië</v>
      </c>
      <c r="AA65" t="str">
        <f t="shared" si="16"/>
        <v>Ecuador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7"/>
        <v>5</v>
      </c>
      <c r="AG65" s="108">
        <f t="shared" si="18"/>
        <v>0</v>
      </c>
      <c r="AH65" s="108">
        <f t="shared" si="19"/>
        <v>0</v>
      </c>
      <c r="AI65" s="108">
        <f t="shared" si="20"/>
        <v>0</v>
      </c>
      <c r="AJ65" s="108">
        <f t="shared" si="21"/>
        <v>0</v>
      </c>
      <c r="AK65" s="108">
        <f t="shared" si="22"/>
        <v>0</v>
      </c>
      <c r="AL65" s="108">
        <f t="shared" si="23"/>
        <v>5</v>
      </c>
      <c r="AZ65" s="138" t="str">
        <f>Uitslag!P65</f>
        <v>Nigel de Jong (m)</v>
      </c>
      <c r="BA65" s="140">
        <f t="shared" si="12"/>
        <v>3</v>
      </c>
      <c r="BB65" s="139">
        <f t="shared" si="24"/>
        <v>3</v>
      </c>
    </row>
    <row r="66" spans="2:54" ht="15.75" thickBot="1">
      <c r="B66" s="33">
        <v>56</v>
      </c>
      <c r="C66" s="186">
        <v>41821</v>
      </c>
      <c r="D66" s="155" t="str">
        <f t="shared" si="13"/>
        <v>België</v>
      </c>
      <c r="E66" s="36" t="s">
        <v>9</v>
      </c>
      <c r="F66" s="62" t="str">
        <f t="shared" si="14"/>
        <v>Duitsland</v>
      </c>
      <c r="G66" s="88">
        <v>1</v>
      </c>
      <c r="H66" s="36" t="s">
        <v>9</v>
      </c>
      <c r="I66" s="103">
        <v>1</v>
      </c>
      <c r="J66" s="104">
        <v>2</v>
      </c>
      <c r="K66" s="57" t="s">
        <v>82</v>
      </c>
      <c r="L66" s="57" t="s">
        <v>78</v>
      </c>
      <c r="M66" s="57"/>
      <c r="O66" s="135">
        <v>9</v>
      </c>
      <c r="P66" s="877" t="s">
        <v>213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5"/>
        <v>5</v>
      </c>
      <c r="Z66" t="str">
        <f>IF(K66=""," ",VLOOKUP(K66,$T$9:$V$54,3,FALSE))</f>
        <v>België</v>
      </c>
      <c r="AA66" t="str">
        <f>IF(L66=""," ",VLOOKUP(L66,$T$9:$V$54,3,FALSE))</f>
        <v>Duitsland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7"/>
        <v>5</v>
      </c>
      <c r="AG66" s="108">
        <f t="shared" si="18"/>
        <v>0</v>
      </c>
      <c r="AH66" s="108">
        <f t="shared" si="19"/>
        <v>0</v>
      </c>
      <c r="AI66" s="108">
        <f t="shared" si="20"/>
        <v>0</v>
      </c>
      <c r="AJ66" s="108">
        <f t="shared" si="21"/>
        <v>0</v>
      </c>
      <c r="AK66" s="108">
        <f t="shared" si="22"/>
        <v>0</v>
      </c>
      <c r="AL66" s="108">
        <f t="shared" si="23"/>
        <v>5</v>
      </c>
      <c r="AZ66" s="138" t="str">
        <f>Uitslag!P66</f>
        <v>Jonathan de Guzman (m)</v>
      </c>
      <c r="BA66" s="140">
        <f t="shared" si="12"/>
        <v>3</v>
      </c>
      <c r="BB66" s="139">
        <f t="shared" si="24"/>
        <v>3</v>
      </c>
    </row>
    <row r="67" spans="2:54" ht="15.75" thickBot="1">
      <c r="B67" s="1"/>
      <c r="C67" s="39"/>
      <c r="D67" s="40"/>
      <c r="E67" s="1"/>
      <c r="F67" s="40"/>
      <c r="G67" s="1"/>
      <c r="H67" s="1"/>
      <c r="I67" s="1"/>
      <c r="J67" s="1"/>
      <c r="K67" s="1"/>
      <c r="L67" s="1"/>
      <c r="M67" s="1"/>
      <c r="O67" s="135">
        <v>10</v>
      </c>
      <c r="P67" s="877" t="s">
        <v>215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4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195"/>
      <c r="K68" s="1"/>
      <c r="L68" s="1"/>
      <c r="M68" s="1"/>
      <c r="O68" s="135">
        <v>11</v>
      </c>
      <c r="P68" s="877" t="s">
        <v>216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4"/>
        <v>3</v>
      </c>
    </row>
    <row r="69" spans="2:54">
      <c r="B69" s="78" t="s">
        <v>1</v>
      </c>
      <c r="C69" s="79" t="s">
        <v>2</v>
      </c>
      <c r="D69" s="193" t="s">
        <v>3</v>
      </c>
      <c r="E69" s="81"/>
      <c r="F69" s="194" t="s">
        <v>4</v>
      </c>
      <c r="G69" s="867" t="s">
        <v>5</v>
      </c>
      <c r="H69" s="868"/>
      <c r="I69" s="869"/>
      <c r="J69" s="83" t="s">
        <v>6</v>
      </c>
      <c r="K69" s="1"/>
      <c r="L69" s="1"/>
      <c r="M69" s="1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33</v>
      </c>
      <c r="BB69" s="139">
        <f>IF(AND(BA69&lt;&gt;"",BA69=33),15,"nvt")</f>
        <v>15</v>
      </c>
    </row>
    <row r="70" spans="2:54">
      <c r="B70" s="12">
        <v>57</v>
      </c>
      <c r="C70" s="13">
        <v>41824</v>
      </c>
      <c r="D70" s="55" t="str">
        <f>IF(J63="","Winnaar 53",IF(J63=1,D63,F63))</f>
        <v>Frankrijk</v>
      </c>
      <c r="E70" s="15" t="s">
        <v>9</v>
      </c>
      <c r="F70" s="56" t="str">
        <f>IF(J64="","Winnaar 54",IF(J64=1,D64,F64))</f>
        <v>Portugal</v>
      </c>
      <c r="G70" s="85">
        <v>1</v>
      </c>
      <c r="H70" s="15" t="s">
        <v>9</v>
      </c>
      <c r="I70" s="97">
        <v>2</v>
      </c>
      <c r="J70" s="98">
        <v>2</v>
      </c>
      <c r="K70" s="1"/>
      <c r="L70" s="1"/>
      <c r="M70" s="1"/>
      <c r="V70" t="s">
        <v>133</v>
      </c>
      <c r="W70" t="s">
        <v>126</v>
      </c>
      <c r="X70" t="str">
        <f t="shared" si="11"/>
        <v>Karim Rekik (v)</v>
      </c>
      <c r="Y70" s="109">
        <f>AF70</f>
        <v>5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5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24">
        <v>58</v>
      </c>
      <c r="C71" s="25">
        <v>41824</v>
      </c>
      <c r="D71" s="58" t="str">
        <f>IF(J59="","Winnaar 49",IF(J59=1,D59,F59))</f>
        <v>Brazilië</v>
      </c>
      <c r="E71" s="27" t="s">
        <v>9</v>
      </c>
      <c r="F71" s="59" t="str">
        <f>IF(J60="","Winnaar 50",IF(J60=1,D60,F60))</f>
        <v>Uruguay</v>
      </c>
      <c r="G71" s="87">
        <v>3</v>
      </c>
      <c r="H71" s="27" t="s">
        <v>9</v>
      </c>
      <c r="I71" s="99">
        <v>1</v>
      </c>
      <c r="J71" s="100">
        <v>1</v>
      </c>
      <c r="K71" s="1"/>
      <c r="L71" s="1"/>
      <c r="M71" s="1"/>
      <c r="V71" t="s">
        <v>133</v>
      </c>
      <c r="W71" t="s">
        <v>194</v>
      </c>
      <c r="X71" t="str">
        <f t="shared" si="11"/>
        <v>Ron Vlaar (v)</v>
      </c>
      <c r="Y71" s="109">
        <f>AF71</f>
        <v>6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6</v>
      </c>
      <c r="AG71" s="108">
        <f>IF(AC71="",0,(IF(G71=AC71,1,0)))</f>
        <v>0</v>
      </c>
      <c r="AH71" s="108">
        <f>IF(AD71="",0,(IF(I71=AD71,1,0)))</f>
        <v>1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12">
        <v>59</v>
      </c>
      <c r="C72" s="13">
        <v>41825</v>
      </c>
      <c r="D72" s="55" t="str">
        <f>IF(J65="","Winnaar 55",IF(J65=1,D65,F65))</f>
        <v>Argentinië</v>
      </c>
      <c r="E72" s="15" t="s">
        <v>9</v>
      </c>
      <c r="F72" s="56" t="str">
        <f>IF(J66="","Winnaar 56",IF(J66=1,D66,F66))</f>
        <v>Duitsland</v>
      </c>
      <c r="G72" s="85">
        <v>1</v>
      </c>
      <c r="H72" s="15" t="s">
        <v>9</v>
      </c>
      <c r="I72" s="97">
        <v>2</v>
      </c>
      <c r="J72" s="98">
        <v>2</v>
      </c>
      <c r="K72" s="1"/>
      <c r="L72" s="1"/>
      <c r="M72" s="1"/>
      <c r="V72" t="s">
        <v>133</v>
      </c>
      <c r="W72" t="s">
        <v>195</v>
      </c>
      <c r="X72" t="str">
        <f t="shared" si="11"/>
        <v>John Heitinga (v)</v>
      </c>
      <c r="Y72" s="109">
        <f>AF72</f>
        <v>1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1</v>
      </c>
      <c r="AG72" s="108">
        <f>IF(AC72="",0,(IF(G72=AC72,1,0)))</f>
        <v>1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0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3">
        <v>60</v>
      </c>
      <c r="C73" s="34">
        <v>41825</v>
      </c>
      <c r="D73" s="61" t="str">
        <f>IF(J61="","Winnaar 51",IF(J61=1,D61,F61))</f>
        <v>Chili</v>
      </c>
      <c r="E73" s="36" t="s">
        <v>9</v>
      </c>
      <c r="F73" s="62" t="str">
        <f>IF(J62="","Winnaar 52",IF(J62=1,D62,F62))</f>
        <v>Italië</v>
      </c>
      <c r="G73" s="88">
        <v>0</v>
      </c>
      <c r="H73" s="36" t="s">
        <v>9</v>
      </c>
      <c r="I73" s="103">
        <v>0</v>
      </c>
      <c r="J73" s="104">
        <v>1</v>
      </c>
      <c r="K73" s="1"/>
      <c r="L73" s="1"/>
      <c r="M73" s="1"/>
      <c r="V73" t="s">
        <v>133</v>
      </c>
      <c r="W73" t="s">
        <v>196</v>
      </c>
      <c r="X73" t="str">
        <f t="shared" si="11"/>
        <v>Urby Emanuelson (v)</v>
      </c>
      <c r="Y73" s="109">
        <f>AF73</f>
        <v>10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10</v>
      </c>
      <c r="AG73" s="108">
        <f>IF(AC73="",0,(IF(G73=AC73,1,0)))</f>
        <v>1</v>
      </c>
      <c r="AH73" s="108">
        <f>IF(AD73="",0,(IF(I73=AD73,1,0)))</f>
        <v>1</v>
      </c>
      <c r="AI73" s="108">
        <f>IF(AND(AG73=1,AH73=1),10,0)</f>
        <v>10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5</v>
      </c>
    </row>
    <row r="74" spans="2:54" ht="15.75" thickBot="1">
      <c r="B74" s="1"/>
      <c r="C74" s="39"/>
      <c r="D74" s="40"/>
      <c r="E74" s="1"/>
      <c r="F74" s="40"/>
      <c r="G74" s="1"/>
      <c r="H74" s="1"/>
      <c r="I74" s="1"/>
      <c r="J74" s="1"/>
      <c r="K74" s="1"/>
      <c r="L74" s="1"/>
      <c r="M74" s="1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195"/>
      <c r="K75" s="1"/>
      <c r="L75" s="1"/>
      <c r="M75" s="1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78" t="s">
        <v>1</v>
      </c>
      <c r="C76" s="79" t="s">
        <v>2</v>
      </c>
      <c r="D76" s="193" t="s">
        <v>3</v>
      </c>
      <c r="E76" s="81"/>
      <c r="F76" s="194" t="s">
        <v>4</v>
      </c>
      <c r="G76" s="867" t="s">
        <v>5</v>
      </c>
      <c r="H76" s="868"/>
      <c r="I76" s="869"/>
      <c r="J76" s="83" t="s">
        <v>6</v>
      </c>
      <c r="K76" s="1"/>
      <c r="L76" s="1"/>
      <c r="M76" s="1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12">
        <v>61</v>
      </c>
      <c r="C77" s="13">
        <v>41828</v>
      </c>
      <c r="D77" s="55" t="str">
        <f>IF(J70="","Winnaar 57",IF(J70=1,D70,F70))</f>
        <v>Portugal</v>
      </c>
      <c r="E77" s="15" t="s">
        <v>9</v>
      </c>
      <c r="F77" s="56" t="str">
        <f>IF(J71="","Winnaar 58",IF(J71=1,D71,F71))</f>
        <v>Brazilië</v>
      </c>
      <c r="G77" s="85">
        <v>2</v>
      </c>
      <c r="H77" s="15" t="s">
        <v>9</v>
      </c>
      <c r="I77" s="97">
        <v>2</v>
      </c>
      <c r="J77" s="98">
        <v>2</v>
      </c>
      <c r="K77" s="1"/>
      <c r="L77" s="1"/>
      <c r="M77" s="1"/>
      <c r="V77" t="s">
        <v>134</v>
      </c>
      <c r="W77" t="s">
        <v>203</v>
      </c>
      <c r="X77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3">
        <v>62</v>
      </c>
      <c r="C78" s="34">
        <v>41829</v>
      </c>
      <c r="D78" s="61" t="str">
        <f>IF(J72="","Winnaar 59",IF(J72=1,D72,F72))</f>
        <v>Duitsland</v>
      </c>
      <c r="E78" s="36" t="s">
        <v>9</v>
      </c>
      <c r="F78" s="62" t="str">
        <f>IF(J73="","Winnaar 60",IF(J73=1,D73,F73))</f>
        <v>Chili</v>
      </c>
      <c r="G78" s="88">
        <v>3</v>
      </c>
      <c r="H78" s="36" t="s">
        <v>9</v>
      </c>
      <c r="I78" s="103">
        <v>1</v>
      </c>
      <c r="J78" s="104">
        <v>1</v>
      </c>
      <c r="K78" s="1"/>
      <c r="L78" s="1"/>
      <c r="M78" s="1"/>
      <c r="V78" t="s">
        <v>134</v>
      </c>
      <c r="W78" t="s">
        <v>199</v>
      </c>
      <c r="X78" t="str">
        <f t="shared" si="11"/>
        <v>Leroy Fer (m)</v>
      </c>
      <c r="Y78" s="109">
        <f>AF78</f>
        <v>0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0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1"/>
      <c r="C79" s="39"/>
      <c r="D79" s="40"/>
      <c r="E79" s="1"/>
      <c r="F79" s="40"/>
      <c r="G79" s="1"/>
      <c r="H79" s="1"/>
      <c r="I79" s="1"/>
      <c r="J79" s="1"/>
      <c r="K79" s="1"/>
      <c r="L79" s="1"/>
      <c r="M79" s="1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195"/>
      <c r="K80" s="1"/>
      <c r="L80" s="1"/>
      <c r="M80" s="1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78" t="s">
        <v>1</v>
      </c>
      <c r="C81" s="79" t="s">
        <v>2</v>
      </c>
      <c r="D81" s="193" t="s">
        <v>3</v>
      </c>
      <c r="E81" s="81"/>
      <c r="F81" s="194" t="s">
        <v>4</v>
      </c>
      <c r="G81" s="867" t="s">
        <v>5</v>
      </c>
      <c r="H81" s="868"/>
      <c r="I81" s="869"/>
      <c r="J81" s="83" t="s">
        <v>6</v>
      </c>
      <c r="K81" s="1"/>
      <c r="L81" s="1"/>
      <c r="M81" s="1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2">
        <v>63</v>
      </c>
      <c r="C82" s="63">
        <v>41832</v>
      </c>
      <c r="D82" s="64" t="str">
        <f>IF(J77="","Verliezer 61",IF(J77=1,F77,D77))</f>
        <v>Portugal</v>
      </c>
      <c r="E82" s="3" t="s">
        <v>9</v>
      </c>
      <c r="F82" s="65" t="str">
        <f>IF(J78="","Verliezer 62",IF(J78=1,F78,D78))</f>
        <v>Chili</v>
      </c>
      <c r="G82" s="105">
        <v>0</v>
      </c>
      <c r="H82" s="3" t="s">
        <v>9</v>
      </c>
      <c r="I82" s="106">
        <v>1</v>
      </c>
      <c r="J82" s="107">
        <v>2</v>
      </c>
      <c r="K82" s="1"/>
      <c r="L82" s="1"/>
      <c r="M82" s="1"/>
      <c r="V82" t="s">
        <v>134</v>
      </c>
      <c r="W82" t="s">
        <v>125</v>
      </c>
      <c r="X82" t="str">
        <f t="shared" si="11"/>
        <v>Georginio Wijnaldum (m)</v>
      </c>
      <c r="Y82" s="109">
        <f>AF82</f>
        <v>6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6</v>
      </c>
      <c r="AG82" s="108">
        <f>IF(AC82="",0,(IF(G82=AC82,1,0)))</f>
        <v>1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5</v>
      </c>
      <c r="AL82" s="108">
        <f>IF(AND(G82=I82,AC82=AD82),5,0)</f>
        <v>0</v>
      </c>
    </row>
    <row r="83" spans="2:50" ht="15.75" thickBot="1">
      <c r="B83" s="1"/>
      <c r="C83" s="39"/>
      <c r="D83" s="40"/>
      <c r="E83" s="1"/>
      <c r="F83" s="40"/>
      <c r="G83" s="1"/>
      <c r="H83" s="1"/>
      <c r="I83" s="1"/>
      <c r="J83" s="1"/>
      <c r="K83" s="1"/>
      <c r="L83" s="1"/>
      <c r="M83" s="1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195"/>
      <c r="K84" s="1"/>
      <c r="L84" s="1"/>
      <c r="M84" s="1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78" t="s">
        <v>1</v>
      </c>
      <c r="C85" s="79" t="s">
        <v>2</v>
      </c>
      <c r="D85" s="193" t="s">
        <v>3</v>
      </c>
      <c r="E85" s="81"/>
      <c r="F85" s="194" t="s">
        <v>4</v>
      </c>
      <c r="G85" s="867" t="s">
        <v>5</v>
      </c>
      <c r="H85" s="868"/>
      <c r="I85" s="869"/>
      <c r="J85" s="83" t="s">
        <v>6</v>
      </c>
      <c r="K85" s="1"/>
      <c r="L85" s="1"/>
      <c r="M85" s="1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2">
        <v>64</v>
      </c>
      <c r="C86" s="63">
        <v>41833</v>
      </c>
      <c r="D86" s="64" t="str">
        <f>IF(J77="","Winnaar 61",IF(J77=1,D77,F77))</f>
        <v>Brazilië</v>
      </c>
      <c r="E86" s="3" t="s">
        <v>9</v>
      </c>
      <c r="F86" s="65" t="str">
        <f>IF(J78="","Winnaar 62",IF(J78=1,D78,F78))</f>
        <v>Duitsland</v>
      </c>
      <c r="G86" s="105">
        <v>2</v>
      </c>
      <c r="H86" s="3" t="s">
        <v>9</v>
      </c>
      <c r="I86" s="106">
        <v>2</v>
      </c>
      <c r="J86" s="107">
        <v>1</v>
      </c>
      <c r="K86" s="1"/>
      <c r="L86" s="1"/>
      <c r="M86" s="1"/>
      <c r="V86" t="s">
        <v>134</v>
      </c>
      <c r="W86" t="s">
        <v>139</v>
      </c>
      <c r="X86" t="str">
        <f t="shared" si="11"/>
        <v>Nigel de Jong (m)</v>
      </c>
      <c r="Y86" s="109">
        <f>AF86</f>
        <v>5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5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5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Brazilië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5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5</v>
      </c>
      <c r="AV89">
        <f>IF(AR89=0,0,IF(E89=AR89,50,0))</f>
        <v>0</v>
      </c>
      <c r="AW89">
        <f>IF(E89=0,0,IF(OR(E89=AR90),15,0))</f>
        <v>0</v>
      </c>
      <c r="AX89">
        <f>IF(E89=0,0,IF(OR(E89=AR91,E89=AR92),5,0))</f>
        <v>5</v>
      </c>
    </row>
    <row r="90" spans="2:50">
      <c r="C90" s="870">
        <v>2</v>
      </c>
      <c r="D90" s="871"/>
      <c r="E90" s="872" t="str">
        <f>IF(J86=2,D86,IF(J86=1,F86,"Wie wordt 2de?"))</f>
        <v>Duitsland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15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15</v>
      </c>
      <c r="AV90">
        <f>IF(AR90=0,0,IF(AR90=E90,25,0))</f>
        <v>0</v>
      </c>
      <c r="AW90">
        <f>IF(E90=0,0,IF(OR(E90=AR89,),15,0))</f>
        <v>15</v>
      </c>
      <c r="AX90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Chili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0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0</v>
      </c>
      <c r="AV91">
        <f>IF(AR91=0,0,IF(AR91=E91,15,0))</f>
        <v>0</v>
      </c>
      <c r="AW91">
        <f>IF(E91=0,0,IF(OR(E91=AR92),10,0))</f>
        <v>0</v>
      </c>
      <c r="AX91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Portugal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0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0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20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phoneticPr fontId="24" type="noConversion"/>
  <conditionalFormatting sqref="AO9:AO12 AO15:AO18 AO21:AO24 AO27:AO30 AO33:AO36 AO39:AO42 AO45:AO48 AO51:AO54">
    <cfRule type="cellIs" dxfId="260" priority="3" operator="equal">
      <formula>10</formula>
    </cfRule>
  </conditionalFormatting>
  <conditionalFormatting sqref="P58:T58">
    <cfRule type="duplicateValues" dxfId="259" priority="2"/>
  </conditionalFormatting>
  <conditionalFormatting sqref="P58:T68">
    <cfRule type="duplicateValues" dxfId="258" priority="1"/>
  </conditionalFormatting>
  <dataValidations count="10">
    <dataValidation type="list" allowBlank="1" showInputMessage="1" showErrorMessage="1" sqref="T51:T54">
      <formula1>$W$51:$W$54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P58:P68">
      <formula1>$X$58:$X$98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B1:BB98"/>
  <sheetViews>
    <sheetView topLeftCell="A49" zoomScale="70" zoomScaleNormal="70" workbookViewId="0">
      <selection activeCell="P58" sqref="P58:T68"/>
    </sheetView>
  </sheetViews>
  <sheetFormatPr defaultRowHeight="15" outlineLevelCol="2"/>
  <cols>
    <col min="1" max="1" width="3.42578125" customWidth="1"/>
    <col min="2" max="2" width="3.5703125" bestFit="1" customWidth="1"/>
    <col min="3" max="3" width="11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145" t="s">
        <v>238</v>
      </c>
      <c r="E3" s="145"/>
      <c r="F3" s="145"/>
      <c r="N3" t="str">
        <f>D3</f>
        <v>Christian van S.</v>
      </c>
      <c r="O3" s="144">
        <f>SUM(P3:S3)</f>
        <v>406</v>
      </c>
      <c r="P3" s="109">
        <f>SUM(Y8:Y86)</f>
        <v>211</v>
      </c>
      <c r="Q3" s="109">
        <f>SUM(AM4:AM55)</f>
        <v>130</v>
      </c>
      <c r="R3" s="109">
        <f>SUM(AP89:AP92)</f>
        <v>35</v>
      </c>
      <c r="S3" s="109">
        <f>SUM(BB58:BB69)</f>
        <v>30</v>
      </c>
      <c r="T3" s="109">
        <f>COUNTIF(AF8:AF86,10)</f>
        <v>3</v>
      </c>
      <c r="U3" s="109" t="str">
        <f>E89</f>
        <v>Brazilië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1"/>
      <c r="L6" s="1"/>
      <c r="O6" s="40"/>
      <c r="P6" s="41"/>
      <c r="Q6" s="41"/>
      <c r="R6" s="41"/>
      <c r="S6" s="41"/>
      <c r="T6" s="41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66" t="s">
        <v>1</v>
      </c>
      <c r="C7" s="67" t="s">
        <v>2</v>
      </c>
      <c r="D7" s="196" t="s">
        <v>3</v>
      </c>
      <c r="E7" s="69"/>
      <c r="F7" s="197" t="s">
        <v>4</v>
      </c>
      <c r="G7" s="880" t="s">
        <v>5</v>
      </c>
      <c r="H7" s="881"/>
      <c r="I7" s="882"/>
      <c r="J7" s="71" t="s">
        <v>6</v>
      </c>
      <c r="K7" s="4" t="s">
        <v>7</v>
      </c>
      <c r="L7" s="4" t="s">
        <v>7</v>
      </c>
      <c r="O7" s="1"/>
      <c r="P7" s="41"/>
      <c r="Q7" s="41"/>
      <c r="R7" s="41"/>
      <c r="S7" s="41"/>
      <c r="T7" s="41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5">
        <v>1</v>
      </c>
      <c r="C8" s="6">
        <v>41802</v>
      </c>
      <c r="D8" s="7" t="s">
        <v>8</v>
      </c>
      <c r="E8" s="8" t="s">
        <v>9</v>
      </c>
      <c r="F8" s="9" t="s">
        <v>10</v>
      </c>
      <c r="G8" s="84">
        <v>4</v>
      </c>
      <c r="H8" s="8" t="s">
        <v>9</v>
      </c>
      <c r="I8" s="192">
        <v>0</v>
      </c>
      <c r="J8" s="10">
        <f t="shared" ref="J8:J55" si="0">IF(I8="","",IF(G8&gt;I8,1,IF(G8&lt;I8,2,3)))</f>
        <v>1</v>
      </c>
      <c r="K8" s="11">
        <f t="shared" ref="K8:K55" si="1">IF(I8="","",IF($G8&gt;$I8,3,IF($G8=$I8,1,0)))</f>
        <v>3</v>
      </c>
      <c r="L8" s="11">
        <f t="shared" ref="L8:L55" si="2">IF(I8="","",IF($G8&lt;$I8,3,IF($G8=$I8,1,0)))</f>
        <v>0</v>
      </c>
      <c r="O8" s="72" t="s">
        <v>41</v>
      </c>
      <c r="P8" s="73" t="s">
        <v>42</v>
      </c>
      <c r="Q8" s="73" t="s">
        <v>43</v>
      </c>
      <c r="R8" s="74" t="s">
        <v>44</v>
      </c>
      <c r="S8" s="75" t="s">
        <v>45</v>
      </c>
      <c r="T8" s="76" t="s">
        <v>46</v>
      </c>
      <c r="U8" s="40"/>
      <c r="V8" s="40"/>
      <c r="W8" s="40"/>
      <c r="Y8" s="109">
        <f>AF8</f>
        <v>5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5</v>
      </c>
      <c r="AG8" s="108">
        <f t="shared" ref="AG8:AG55" si="3">IF(AC8="",0,(IF(G8=AC8,1,0)))</f>
        <v>0</v>
      </c>
      <c r="AH8" s="108">
        <f t="shared" ref="AH8:AH55" si="4">IF(AD8="",0,(IF(I8=AD8,1,0)))</f>
        <v>0</v>
      </c>
      <c r="AI8" s="108">
        <f>IF(AND(AG8=1,AH8=1),10,0)</f>
        <v>0</v>
      </c>
      <c r="AJ8" s="108">
        <f t="shared" ref="AJ8:AJ55" si="5">IF(AND(G8&gt;I8,AC8&gt;AD8),5,0)</f>
        <v>5</v>
      </c>
      <c r="AK8" s="108">
        <f t="shared" ref="AK8:AK55" si="6">IF(AND(G8&lt;I8,AC8&lt;AD8),5,0)</f>
        <v>0</v>
      </c>
      <c r="AL8" s="108">
        <f t="shared" ref="AL8:AL55" si="7">IF(AND(G8=I8,AC8=AD8),5,0)</f>
        <v>0</v>
      </c>
      <c r="AN8" s="42" t="s">
        <v>41</v>
      </c>
      <c r="AO8" s="43" t="s">
        <v>46</v>
      </c>
    </row>
    <row r="9" spans="2:54" ht="15.75" thickBot="1">
      <c r="B9" s="12">
        <v>2</v>
      </c>
      <c r="C9" s="13">
        <v>41803</v>
      </c>
      <c r="D9" s="14" t="s">
        <v>11</v>
      </c>
      <c r="E9" s="15" t="s">
        <v>9</v>
      </c>
      <c r="F9" s="16" t="s">
        <v>12</v>
      </c>
      <c r="G9" s="85">
        <v>2</v>
      </c>
      <c r="H9" s="15" t="s">
        <v>9</v>
      </c>
      <c r="I9" s="90">
        <v>0</v>
      </c>
      <c r="J9" s="17">
        <f t="shared" si="0"/>
        <v>1</v>
      </c>
      <c r="K9" s="11">
        <f t="shared" si="1"/>
        <v>3</v>
      </c>
      <c r="L9" s="11">
        <f t="shared" si="2"/>
        <v>0</v>
      </c>
      <c r="O9" s="44" t="s">
        <v>8</v>
      </c>
      <c r="P9" s="45">
        <f>SUMIF($D$8:$D$55,$O9,$G$8:$G$55)+SUMIF($F$8:$F$55,$O9,$I$8:$I$55)</f>
        <v>10</v>
      </c>
      <c r="Q9" s="45">
        <f>SUMIF($D$8:$D$55,$O9,$I$8:$I$55)+SUMIF($F$8:$F$55,$O9,$G$8:$G$55)</f>
        <v>1</v>
      </c>
      <c r="R9" s="46">
        <f>P9-Q9</f>
        <v>9</v>
      </c>
      <c r="S9" s="47">
        <f>SUMIF($D$8:$D$55,$O9,$K$8:$K$55)+SUMIF($F$8:$F$55,$O9,$L$8:$L$55)</f>
        <v>9</v>
      </c>
      <c r="T9" s="94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6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6</v>
      </c>
      <c r="AG9" s="108">
        <f t="shared" si="3"/>
        <v>0</v>
      </c>
      <c r="AH9" s="108">
        <f t="shared" si="4"/>
        <v>1</v>
      </c>
      <c r="AI9" s="108">
        <f t="shared" ref="AI9:AI55" si="10">IF(AND(AG9=1,AH9=1),10,0)</f>
        <v>0</v>
      </c>
      <c r="AJ9" s="108">
        <f t="shared" si="5"/>
        <v>5</v>
      </c>
      <c r="AK9" s="108">
        <f t="shared" si="6"/>
        <v>0</v>
      </c>
      <c r="AL9" s="108">
        <f t="shared" si="7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18">
        <v>3</v>
      </c>
      <c r="C10" s="19">
        <v>41803</v>
      </c>
      <c r="D10" s="20" t="s">
        <v>13</v>
      </c>
      <c r="E10" s="21" t="s">
        <v>9</v>
      </c>
      <c r="F10" s="22" t="s">
        <v>14</v>
      </c>
      <c r="G10" s="86">
        <v>2</v>
      </c>
      <c r="H10" s="21" t="s">
        <v>9</v>
      </c>
      <c r="I10" s="91">
        <v>2</v>
      </c>
      <c r="J10" s="23">
        <f t="shared" si="0"/>
        <v>3</v>
      </c>
      <c r="K10" s="11">
        <f t="shared" si="1"/>
        <v>1</v>
      </c>
      <c r="L10" s="11">
        <f t="shared" si="2"/>
        <v>1</v>
      </c>
      <c r="O10" s="48" t="s">
        <v>10</v>
      </c>
      <c r="P10" s="49">
        <f>SUMIF($D$8:$D$55,$O10,$G$8:$G$55)+SUMIF($F$8:$F$55,$O10,$I$8:$I$55)</f>
        <v>2</v>
      </c>
      <c r="Q10" s="49">
        <f>SUMIF($D$8:$D$55,$O10,$I$8:$I$55)+SUMIF($F$8:$F$55,$O10,$G$8:$G$55)</f>
        <v>8</v>
      </c>
      <c r="R10" s="49">
        <f>P10-Q10</f>
        <v>-6</v>
      </c>
      <c r="S10" s="50">
        <f>SUMIF($D$8:$D$55,$O10,$K$8:$K$55)+SUMIF($F$8:$F$55,$O10,$L$8:$L$55)</f>
        <v>0</v>
      </c>
      <c r="T10" s="95" t="s">
        <v>50</v>
      </c>
      <c r="U10" s="40"/>
      <c r="V10" s="40" t="str">
        <f>O10</f>
        <v>Kroatië</v>
      </c>
      <c r="W10" s="40" t="s">
        <v>49</v>
      </c>
      <c r="Y10" s="109">
        <f t="shared" si="8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0</v>
      </c>
      <c r="AG10" s="108">
        <f t="shared" si="3"/>
        <v>0</v>
      </c>
      <c r="AH10" s="108">
        <f t="shared" si="4"/>
        <v>0</v>
      </c>
      <c r="AI10" s="108">
        <f t="shared" si="10"/>
        <v>0</v>
      </c>
      <c r="AJ10" s="108">
        <f t="shared" si="5"/>
        <v>0</v>
      </c>
      <c r="AK10" s="108">
        <f t="shared" si="6"/>
        <v>0</v>
      </c>
      <c r="AL10" s="108">
        <f t="shared" si="7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24">
        <v>4</v>
      </c>
      <c r="C11" s="25">
        <v>41803</v>
      </c>
      <c r="D11" s="26" t="s">
        <v>15</v>
      </c>
      <c r="E11" s="27" t="s">
        <v>9</v>
      </c>
      <c r="F11" s="28" t="s">
        <v>16</v>
      </c>
      <c r="G11" s="87">
        <v>1</v>
      </c>
      <c r="H11" s="27" t="s">
        <v>9</v>
      </c>
      <c r="I11" s="92">
        <v>0</v>
      </c>
      <c r="J11" s="29">
        <f t="shared" si="0"/>
        <v>1</v>
      </c>
      <c r="K11" s="11">
        <f t="shared" si="1"/>
        <v>3</v>
      </c>
      <c r="L11" s="11">
        <f t="shared" si="2"/>
        <v>0</v>
      </c>
      <c r="O11" s="48" t="s">
        <v>11</v>
      </c>
      <c r="P11" s="49">
        <f>SUMIF($D$8:$D$55,$O11,$G$8:$G$55)+SUMIF($F$8:$F$55,$O11,$I$8:$I$55)</f>
        <v>4</v>
      </c>
      <c r="Q11" s="49">
        <f>SUMIF($D$8:$D$55,$O11,$I$8:$I$55)+SUMIF($F$8:$F$55,$O11,$G$8:$G$55)</f>
        <v>3</v>
      </c>
      <c r="R11" s="49">
        <f>P11-Q11</f>
        <v>1</v>
      </c>
      <c r="S11" s="50">
        <f>SUMIF($D$8:$D$55,$O11,$K$8:$K$55)+SUMIF($F$8:$F$55,$O11,$L$8:$L$55)</f>
        <v>6</v>
      </c>
      <c r="T11" s="95" t="s">
        <v>49</v>
      </c>
      <c r="U11" s="40"/>
      <c r="V11" s="40" t="str">
        <f>O11</f>
        <v>Mexico</v>
      </c>
      <c r="W11" s="40" t="s">
        <v>47</v>
      </c>
      <c r="Y11" s="109">
        <f t="shared" si="8"/>
        <v>5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5</v>
      </c>
      <c r="AG11" s="108">
        <f t="shared" si="3"/>
        <v>0</v>
      </c>
      <c r="AH11" s="108">
        <f t="shared" si="4"/>
        <v>0</v>
      </c>
      <c r="AI11" s="108">
        <f t="shared" si="10"/>
        <v>0</v>
      </c>
      <c r="AJ11" s="108">
        <f t="shared" si="5"/>
        <v>5</v>
      </c>
      <c r="AK11" s="108">
        <f t="shared" si="6"/>
        <v>0</v>
      </c>
      <c r="AL11" s="108">
        <f t="shared" si="7"/>
        <v>0</v>
      </c>
      <c r="AM11" s="120">
        <f>AO11</f>
        <v>10</v>
      </c>
      <c r="AN11" s="117" t="s">
        <v>11</v>
      </c>
      <c r="AO11" s="115">
        <f>IF(Uitslag!T11="",0,IF(T11=Uitslag!T11,10,0))</f>
        <v>10</v>
      </c>
    </row>
    <row r="12" spans="2:54" ht="15.75" thickBot="1">
      <c r="B12" s="12">
        <v>5</v>
      </c>
      <c r="C12" s="13">
        <v>41804</v>
      </c>
      <c r="D12" s="14" t="s">
        <v>17</v>
      </c>
      <c r="E12" s="15" t="s">
        <v>9</v>
      </c>
      <c r="F12" s="16" t="s">
        <v>18</v>
      </c>
      <c r="G12" s="85">
        <v>0</v>
      </c>
      <c r="H12" s="15" t="s">
        <v>9</v>
      </c>
      <c r="I12" s="90">
        <v>0</v>
      </c>
      <c r="J12" s="17">
        <f t="shared" si="0"/>
        <v>3</v>
      </c>
      <c r="K12" s="11">
        <f t="shared" si="1"/>
        <v>1</v>
      </c>
      <c r="L12" s="11">
        <f t="shared" si="2"/>
        <v>1</v>
      </c>
      <c r="O12" s="51" t="s">
        <v>12</v>
      </c>
      <c r="P12" s="52">
        <f>SUMIF($D$8:$D$55,$O12,$G$8:$G$55)+SUMIF($F$8:$F$55,$O12,$I$8:$I$55)</f>
        <v>3</v>
      </c>
      <c r="Q12" s="52">
        <f>SUMIF($D$8:$D$55,$O12,$I$8:$I$55)+SUMIF($F$8:$F$55,$O12,$G$8:$G$55)</f>
        <v>7</v>
      </c>
      <c r="R12" s="52">
        <f>P12-Q12</f>
        <v>-4</v>
      </c>
      <c r="S12" s="53">
        <f>SUMIF($D$8:$D$55,$O12,$K$8:$K$55)+SUMIF($F$8:$F$55,$O12,$L$8:$L$55)</f>
        <v>3</v>
      </c>
      <c r="T12" s="96" t="s">
        <v>47</v>
      </c>
      <c r="U12" s="40"/>
      <c r="V12" s="40" t="str">
        <f>O12</f>
        <v>Kameroen</v>
      </c>
      <c r="W12" s="40" t="s">
        <v>50</v>
      </c>
      <c r="Y12" s="109">
        <f t="shared" si="8"/>
        <v>1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1</v>
      </c>
      <c r="AG12" s="108">
        <f t="shared" si="3"/>
        <v>0</v>
      </c>
      <c r="AH12" s="108">
        <f t="shared" si="4"/>
        <v>1</v>
      </c>
      <c r="AI12" s="108">
        <f t="shared" si="10"/>
        <v>0</v>
      </c>
      <c r="AJ12" s="108">
        <f t="shared" si="5"/>
        <v>0</v>
      </c>
      <c r="AK12" s="108">
        <f t="shared" si="6"/>
        <v>0</v>
      </c>
      <c r="AL12" s="108">
        <f t="shared" si="7"/>
        <v>0</v>
      </c>
      <c r="AM12" s="120">
        <f>AO12</f>
        <v>0</v>
      </c>
      <c r="AN12" s="118" t="s">
        <v>12</v>
      </c>
      <c r="AO12" s="115">
        <f>IF(Uitslag!T12="",0,IF(T12=Uitslag!T12,10,0))</f>
        <v>0</v>
      </c>
    </row>
    <row r="13" spans="2:54" ht="15.75" thickBot="1">
      <c r="B13" s="18">
        <v>6</v>
      </c>
      <c r="C13" s="19">
        <v>41804</v>
      </c>
      <c r="D13" s="20" t="s">
        <v>19</v>
      </c>
      <c r="E13" s="21" t="s">
        <v>9</v>
      </c>
      <c r="F13" s="30" t="s">
        <v>20</v>
      </c>
      <c r="G13" s="86">
        <v>3</v>
      </c>
      <c r="H13" s="21" t="s">
        <v>9</v>
      </c>
      <c r="I13" s="91">
        <v>1</v>
      </c>
      <c r="J13" s="23">
        <f t="shared" si="0"/>
        <v>1</v>
      </c>
      <c r="K13" s="11">
        <f t="shared" si="1"/>
        <v>3</v>
      </c>
      <c r="L13" s="11">
        <f t="shared" si="2"/>
        <v>0</v>
      </c>
      <c r="O13" s="40"/>
      <c r="P13" s="41"/>
      <c r="Q13" s="41"/>
      <c r="R13" s="41"/>
      <c r="S13" s="41"/>
      <c r="T13" s="41"/>
      <c r="U13" s="40"/>
      <c r="V13" s="40"/>
      <c r="W13" s="40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3"/>
        <v>0</v>
      </c>
      <c r="AH13" s="108">
        <f t="shared" si="4"/>
        <v>0</v>
      </c>
      <c r="AI13" s="108">
        <f t="shared" si="10"/>
        <v>0</v>
      </c>
      <c r="AJ13" s="108">
        <f t="shared" si="5"/>
        <v>0</v>
      </c>
      <c r="AK13" s="108">
        <f t="shared" si="6"/>
        <v>0</v>
      </c>
      <c r="AL13" s="108">
        <f t="shared" si="7"/>
        <v>0</v>
      </c>
      <c r="AN13" s="40"/>
      <c r="AO13" s="41"/>
    </row>
    <row r="14" spans="2:54" ht="15.75" thickBot="1">
      <c r="B14" s="18">
        <v>7</v>
      </c>
      <c r="C14" s="19">
        <v>41804</v>
      </c>
      <c r="D14" s="20" t="s">
        <v>21</v>
      </c>
      <c r="E14" s="21" t="s">
        <v>9</v>
      </c>
      <c r="F14" s="30" t="s">
        <v>22</v>
      </c>
      <c r="G14" s="86">
        <v>1</v>
      </c>
      <c r="H14" s="21" t="s">
        <v>9</v>
      </c>
      <c r="I14" s="91">
        <v>1</v>
      </c>
      <c r="J14" s="23">
        <f t="shared" si="0"/>
        <v>3</v>
      </c>
      <c r="K14" s="11">
        <f t="shared" si="1"/>
        <v>1</v>
      </c>
      <c r="L14" s="11">
        <f t="shared" si="2"/>
        <v>1</v>
      </c>
      <c r="O14" s="72" t="s">
        <v>51</v>
      </c>
      <c r="P14" s="73" t="s">
        <v>42</v>
      </c>
      <c r="Q14" s="73" t="s">
        <v>43</v>
      </c>
      <c r="R14" s="74" t="s">
        <v>44</v>
      </c>
      <c r="S14" s="75" t="s">
        <v>45</v>
      </c>
      <c r="T14" s="76" t="s">
        <v>46</v>
      </c>
      <c r="U14" s="40"/>
      <c r="V14" s="40"/>
      <c r="W14" s="40"/>
      <c r="Y14" s="109">
        <f t="shared" si="8"/>
        <v>1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</v>
      </c>
      <c r="AG14" s="108">
        <f t="shared" si="3"/>
        <v>1</v>
      </c>
      <c r="AH14" s="108">
        <f t="shared" si="4"/>
        <v>0</v>
      </c>
      <c r="AI14" s="108">
        <f t="shared" si="10"/>
        <v>0</v>
      </c>
      <c r="AJ14" s="108">
        <f t="shared" si="5"/>
        <v>0</v>
      </c>
      <c r="AK14" s="108">
        <f t="shared" si="6"/>
        <v>0</v>
      </c>
      <c r="AL14" s="108">
        <f t="shared" si="7"/>
        <v>0</v>
      </c>
      <c r="AN14" s="42" t="s">
        <v>51</v>
      </c>
      <c r="AO14" s="43" t="s">
        <v>46</v>
      </c>
    </row>
    <row r="15" spans="2:54" ht="15.75" thickBot="1">
      <c r="B15" s="24">
        <v>8</v>
      </c>
      <c r="C15" s="25">
        <v>41804</v>
      </c>
      <c r="D15" s="26" t="s">
        <v>23</v>
      </c>
      <c r="E15" s="27" t="s">
        <v>9</v>
      </c>
      <c r="F15" s="28" t="s">
        <v>24</v>
      </c>
      <c r="G15" s="87">
        <v>3</v>
      </c>
      <c r="H15" s="27" t="s">
        <v>9</v>
      </c>
      <c r="I15" s="92">
        <v>1</v>
      </c>
      <c r="J15" s="29">
        <f t="shared" si="0"/>
        <v>1</v>
      </c>
      <c r="K15" s="11">
        <f t="shared" si="1"/>
        <v>3</v>
      </c>
      <c r="L15" s="11">
        <f t="shared" si="2"/>
        <v>0</v>
      </c>
      <c r="O15" s="44" t="s">
        <v>13</v>
      </c>
      <c r="P15" s="45">
        <f>SUMIF($D$8:$D$55,$O15,$G$8:$G$55)+SUMIF($F$8:$F$55,$O15,$I$8:$I$55)</f>
        <v>7</v>
      </c>
      <c r="Q15" s="45">
        <f>SUMIF($D$8:$D$55,$O15,$I$8:$I$55)+SUMIF($F$8:$F$55,$O15,$G$8:$G$55)</f>
        <v>4</v>
      </c>
      <c r="R15" s="46">
        <f>P15-Q15</f>
        <v>3</v>
      </c>
      <c r="S15" s="47">
        <f>SUMIF($D$8:$D$55,$O15,$K$8:$K$55)+SUMIF($F$8:$F$55,$O15,$L$8:$L$55)</f>
        <v>7</v>
      </c>
      <c r="T15" s="94" t="s">
        <v>53</v>
      </c>
      <c r="U15" s="40"/>
      <c r="V15" s="40" t="str">
        <f>O15</f>
        <v>Spanje</v>
      </c>
      <c r="W15" s="40" t="s">
        <v>52</v>
      </c>
      <c r="Y15" s="109">
        <f t="shared" si="8"/>
        <v>6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6</v>
      </c>
      <c r="AG15" s="108">
        <f t="shared" si="3"/>
        <v>0</v>
      </c>
      <c r="AH15" s="108">
        <f t="shared" si="4"/>
        <v>1</v>
      </c>
      <c r="AI15" s="108">
        <f t="shared" si="10"/>
        <v>0</v>
      </c>
      <c r="AJ15" s="108">
        <f t="shared" si="5"/>
        <v>5</v>
      </c>
      <c r="AK15" s="108">
        <f t="shared" si="6"/>
        <v>0</v>
      </c>
      <c r="AL15" s="108">
        <f t="shared" si="7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12">
        <v>9</v>
      </c>
      <c r="C16" s="13">
        <v>41805</v>
      </c>
      <c r="D16" s="14" t="s">
        <v>25</v>
      </c>
      <c r="E16" s="15" t="s">
        <v>9</v>
      </c>
      <c r="F16" s="16" t="s">
        <v>26</v>
      </c>
      <c r="G16" s="85">
        <v>2</v>
      </c>
      <c r="H16" s="15" t="s">
        <v>9</v>
      </c>
      <c r="I16" s="90">
        <v>2</v>
      </c>
      <c r="J16" s="17">
        <f t="shared" si="0"/>
        <v>3</v>
      </c>
      <c r="K16" s="11">
        <f t="shared" si="1"/>
        <v>1</v>
      </c>
      <c r="L16" s="11">
        <f t="shared" si="2"/>
        <v>1</v>
      </c>
      <c r="O16" s="54" t="s">
        <v>14</v>
      </c>
      <c r="P16" s="49">
        <f>SUMIF($D$8:$D$55,$O16,$G$8:$G$55)+SUMIF($F$8:$F$55,$O16,$I$8:$I$55)</f>
        <v>7</v>
      </c>
      <c r="Q16" s="49">
        <f>SUMIF($D$8:$D$55,$O16,$I$8:$I$55)+SUMIF($F$8:$F$55,$O16,$G$8:$G$55)</f>
        <v>4</v>
      </c>
      <c r="R16" s="49">
        <f>P16-Q16</f>
        <v>3</v>
      </c>
      <c r="S16" s="50">
        <f>SUMIF($D$8:$D$55,$O16,$K$8:$K$55)+SUMIF($F$8:$F$55,$O16,$L$8:$L$55)</f>
        <v>7</v>
      </c>
      <c r="T16" s="95" t="s">
        <v>52</v>
      </c>
      <c r="U16" s="40"/>
      <c r="V16" s="40" t="str">
        <f>O16</f>
        <v>Nederland</v>
      </c>
      <c r="W16" s="40" t="s">
        <v>53</v>
      </c>
      <c r="Y16" s="109">
        <f t="shared" si="8"/>
        <v>1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1</v>
      </c>
      <c r="AG16" s="108">
        <f t="shared" si="3"/>
        <v>1</v>
      </c>
      <c r="AH16" s="108">
        <f t="shared" si="4"/>
        <v>0</v>
      </c>
      <c r="AI16" s="108">
        <f t="shared" si="10"/>
        <v>0</v>
      </c>
      <c r="AJ16" s="108">
        <f t="shared" si="5"/>
        <v>0</v>
      </c>
      <c r="AK16" s="108">
        <f t="shared" si="6"/>
        <v>0</v>
      </c>
      <c r="AL16" s="108">
        <f t="shared" si="7"/>
        <v>0</v>
      </c>
      <c r="AM16" s="120">
        <f>AO16</f>
        <v>10</v>
      </c>
      <c r="AN16" s="119" t="s">
        <v>14</v>
      </c>
      <c r="AO16" s="115">
        <f>IF(Uitslag!T16="",0,IF(T16=Uitslag!T16,10,0))</f>
        <v>10</v>
      </c>
    </row>
    <row r="17" spans="2:41" ht="15.75" thickBot="1">
      <c r="B17" s="18">
        <v>10</v>
      </c>
      <c r="C17" s="19">
        <v>41805</v>
      </c>
      <c r="D17" s="20" t="s">
        <v>27</v>
      </c>
      <c r="E17" s="21" t="s">
        <v>9</v>
      </c>
      <c r="F17" s="30" t="s">
        <v>28</v>
      </c>
      <c r="G17" s="86">
        <v>2</v>
      </c>
      <c r="H17" s="21" t="s">
        <v>9</v>
      </c>
      <c r="I17" s="91">
        <v>0</v>
      </c>
      <c r="J17" s="23">
        <f t="shared" si="0"/>
        <v>1</v>
      </c>
      <c r="K17" s="11">
        <f t="shared" si="1"/>
        <v>3</v>
      </c>
      <c r="L17" s="11">
        <f t="shared" si="2"/>
        <v>0</v>
      </c>
      <c r="O17" s="48" t="s">
        <v>15</v>
      </c>
      <c r="P17" s="49">
        <f>SUMIF($D$8:$D$55,$O17,$G$8:$G$55)+SUMIF($F$8:$F$55,$O17,$I$8:$I$55)</f>
        <v>4</v>
      </c>
      <c r="Q17" s="49">
        <f>SUMIF($D$8:$D$55,$O17,$I$8:$I$55)+SUMIF($F$8:$F$55,$O17,$G$8:$G$55)</f>
        <v>5</v>
      </c>
      <c r="R17" s="49">
        <f>P17-Q17</f>
        <v>-1</v>
      </c>
      <c r="S17" s="50">
        <f>SUMIF($D$8:$D$55,$O17,$K$8:$K$55)+SUMIF($F$8:$F$55,$O17,$L$8:$L$55)</f>
        <v>3</v>
      </c>
      <c r="T17" s="95" t="s">
        <v>54</v>
      </c>
      <c r="U17" s="40"/>
      <c r="V17" s="40" t="str">
        <f>O17</f>
        <v>Chili</v>
      </c>
      <c r="W17" s="40" t="s">
        <v>54</v>
      </c>
      <c r="Y17" s="109">
        <f t="shared" si="8"/>
        <v>6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6</v>
      </c>
      <c r="AG17" s="108">
        <f t="shared" si="3"/>
        <v>0</v>
      </c>
      <c r="AH17" s="108">
        <f t="shared" si="4"/>
        <v>1</v>
      </c>
      <c r="AI17" s="108">
        <f t="shared" si="10"/>
        <v>0</v>
      </c>
      <c r="AJ17" s="108">
        <f t="shared" si="5"/>
        <v>5</v>
      </c>
      <c r="AK17" s="108">
        <f t="shared" si="6"/>
        <v>0</v>
      </c>
      <c r="AL17" s="108">
        <f t="shared" si="7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24">
        <v>11</v>
      </c>
      <c r="C18" s="25">
        <v>41805</v>
      </c>
      <c r="D18" s="26" t="s">
        <v>29</v>
      </c>
      <c r="E18" s="27" t="s">
        <v>9</v>
      </c>
      <c r="F18" s="28" t="s">
        <v>30</v>
      </c>
      <c r="G18" s="87">
        <v>3</v>
      </c>
      <c r="H18" s="27" t="s">
        <v>9</v>
      </c>
      <c r="I18" s="92">
        <v>1</v>
      </c>
      <c r="J18" s="29">
        <f t="shared" si="0"/>
        <v>1</v>
      </c>
      <c r="K18" s="11">
        <f t="shared" si="1"/>
        <v>3</v>
      </c>
      <c r="L18" s="11">
        <f t="shared" si="2"/>
        <v>0</v>
      </c>
      <c r="O18" s="51" t="s">
        <v>16</v>
      </c>
      <c r="P18" s="52">
        <f>SUMIF($D$8:$D$55,$O18,$G$8:$G$55)+SUMIF($F$8:$F$55,$O18,$I$8:$I$55)</f>
        <v>1</v>
      </c>
      <c r="Q18" s="52">
        <f>SUMIF($D$8:$D$55,$O18,$I$8:$I$55)+SUMIF($F$8:$F$55,$O18,$G$8:$G$55)</f>
        <v>6</v>
      </c>
      <c r="R18" s="52">
        <f>P18-Q18</f>
        <v>-5</v>
      </c>
      <c r="S18" s="53">
        <f>SUMIF($D$8:$D$55,$O18,$K$8:$K$55)+SUMIF($F$8:$F$55,$O18,$L$8:$L$55)</f>
        <v>0</v>
      </c>
      <c r="T18" s="96" t="s">
        <v>55</v>
      </c>
      <c r="U18" s="40"/>
      <c r="V18" s="40" t="str">
        <f>O18</f>
        <v>Australië</v>
      </c>
      <c r="W18" s="40" t="s">
        <v>55</v>
      </c>
      <c r="Y18" s="109">
        <f t="shared" si="8"/>
        <v>6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6</v>
      </c>
      <c r="AG18" s="108">
        <f t="shared" si="3"/>
        <v>0</v>
      </c>
      <c r="AH18" s="108">
        <f t="shared" si="4"/>
        <v>1</v>
      </c>
      <c r="AI18" s="108">
        <f t="shared" si="10"/>
        <v>0</v>
      </c>
      <c r="AJ18" s="108">
        <f t="shared" si="5"/>
        <v>5</v>
      </c>
      <c r="AK18" s="108">
        <f t="shared" si="6"/>
        <v>0</v>
      </c>
      <c r="AL18" s="108">
        <f t="shared" si="7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12">
        <v>12</v>
      </c>
      <c r="C19" s="13">
        <v>41806</v>
      </c>
      <c r="D19" s="14" t="s">
        <v>31</v>
      </c>
      <c r="E19" s="15" t="s">
        <v>9</v>
      </c>
      <c r="F19" s="16" t="s">
        <v>32</v>
      </c>
      <c r="G19" s="85">
        <v>2</v>
      </c>
      <c r="H19" s="15" t="s">
        <v>9</v>
      </c>
      <c r="I19" s="90">
        <v>2</v>
      </c>
      <c r="J19" s="17">
        <f t="shared" si="0"/>
        <v>3</v>
      </c>
      <c r="K19" s="11">
        <f t="shared" si="1"/>
        <v>1</v>
      </c>
      <c r="L19" s="11">
        <f t="shared" si="2"/>
        <v>1</v>
      </c>
      <c r="O19" s="40"/>
      <c r="P19" s="41"/>
      <c r="Q19" s="41"/>
      <c r="R19" s="41"/>
      <c r="S19" s="41"/>
      <c r="T19" s="41"/>
      <c r="U19" s="40"/>
      <c r="V19" s="40"/>
      <c r="W19" s="40"/>
      <c r="Y19" s="109">
        <f t="shared" si="8"/>
        <v>0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0</v>
      </c>
      <c r="AG19" s="108">
        <f t="shared" si="3"/>
        <v>0</v>
      </c>
      <c r="AH19" s="108">
        <f t="shared" si="4"/>
        <v>0</v>
      </c>
      <c r="AI19" s="108">
        <f t="shared" si="10"/>
        <v>0</v>
      </c>
      <c r="AJ19" s="108">
        <f t="shared" si="5"/>
        <v>0</v>
      </c>
      <c r="AK19" s="108">
        <f t="shared" si="6"/>
        <v>0</v>
      </c>
      <c r="AL19" s="108">
        <f t="shared" si="7"/>
        <v>0</v>
      </c>
      <c r="AN19" s="40"/>
      <c r="AO19" s="41"/>
    </row>
    <row r="20" spans="2:41" ht="15.75" thickBot="1">
      <c r="B20" s="18">
        <v>13</v>
      </c>
      <c r="C20" s="19">
        <v>41806</v>
      </c>
      <c r="D20" s="20" t="s">
        <v>33</v>
      </c>
      <c r="E20" s="21" t="s">
        <v>9</v>
      </c>
      <c r="F20" s="30" t="s">
        <v>34</v>
      </c>
      <c r="G20" s="86">
        <v>1</v>
      </c>
      <c r="H20" s="21" t="s">
        <v>9</v>
      </c>
      <c r="I20" s="91">
        <v>2</v>
      </c>
      <c r="J20" s="23">
        <f t="shared" si="0"/>
        <v>2</v>
      </c>
      <c r="K20" s="11">
        <f t="shared" si="1"/>
        <v>0</v>
      </c>
      <c r="L20" s="11">
        <f t="shared" si="2"/>
        <v>3</v>
      </c>
      <c r="O20" s="72" t="s">
        <v>56</v>
      </c>
      <c r="P20" s="73" t="s">
        <v>42</v>
      </c>
      <c r="Q20" s="73" t="s">
        <v>43</v>
      </c>
      <c r="R20" s="74" t="s">
        <v>44</v>
      </c>
      <c r="S20" s="75" t="s">
        <v>45</v>
      </c>
      <c r="T20" s="76" t="s">
        <v>46</v>
      </c>
      <c r="U20" s="40"/>
      <c r="V20" s="40"/>
      <c r="W20" s="40"/>
      <c r="Y20" s="109">
        <f t="shared" si="8"/>
        <v>0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0</v>
      </c>
      <c r="AG20" s="108">
        <f t="shared" si="3"/>
        <v>0</v>
      </c>
      <c r="AH20" s="108">
        <f t="shared" si="4"/>
        <v>0</v>
      </c>
      <c r="AI20" s="108">
        <f t="shared" si="10"/>
        <v>0</v>
      </c>
      <c r="AJ20" s="108">
        <f t="shared" si="5"/>
        <v>0</v>
      </c>
      <c r="AK20" s="108">
        <f t="shared" si="6"/>
        <v>0</v>
      </c>
      <c r="AL20" s="108">
        <f t="shared" si="7"/>
        <v>0</v>
      </c>
      <c r="AN20" s="42" t="s">
        <v>56</v>
      </c>
      <c r="AO20" s="43" t="s">
        <v>46</v>
      </c>
    </row>
    <row r="21" spans="2:41" ht="15.75" thickBot="1">
      <c r="B21" s="24">
        <v>14</v>
      </c>
      <c r="C21" s="25">
        <v>41806</v>
      </c>
      <c r="D21" s="26" t="s">
        <v>35</v>
      </c>
      <c r="E21" s="27" t="s">
        <v>9</v>
      </c>
      <c r="F21" s="28" t="s">
        <v>36</v>
      </c>
      <c r="G21" s="87">
        <v>1</v>
      </c>
      <c r="H21" s="27" t="s">
        <v>9</v>
      </c>
      <c r="I21" s="92">
        <v>1</v>
      </c>
      <c r="J21" s="29">
        <f t="shared" si="0"/>
        <v>3</v>
      </c>
      <c r="K21" s="11">
        <f t="shared" si="1"/>
        <v>1</v>
      </c>
      <c r="L21" s="11">
        <f t="shared" si="2"/>
        <v>1</v>
      </c>
      <c r="O21" s="44" t="s">
        <v>17</v>
      </c>
      <c r="P21" s="45">
        <f>SUMIF($D$8:$D$55,$O21,$G$8:$G$55)+SUMIF($F$8:$F$55,$O21,$I$8:$I$55)</f>
        <v>5</v>
      </c>
      <c r="Q21" s="45">
        <f>SUMIF($D$8:$D$55,$O21,$I$8:$I$55)+SUMIF($F$8:$F$55,$O21,$G$8:$G$55)</f>
        <v>0</v>
      </c>
      <c r="R21" s="46">
        <f>P21-Q21</f>
        <v>5</v>
      </c>
      <c r="S21" s="47">
        <f>SUMIF($D$8:$D$55,$O21,$K$8:$K$55)+SUMIF($F$8:$F$55,$O21,$L$8:$L$55)</f>
        <v>7</v>
      </c>
      <c r="T21" s="94" t="s">
        <v>57</v>
      </c>
      <c r="U21" s="40"/>
      <c r="V21" s="40" t="str">
        <f>O21</f>
        <v>Colombia</v>
      </c>
      <c r="W21" s="40" t="s">
        <v>57</v>
      </c>
      <c r="Y21" s="109">
        <f t="shared" si="8"/>
        <v>1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1</v>
      </c>
      <c r="AG21" s="108">
        <f t="shared" si="3"/>
        <v>1</v>
      </c>
      <c r="AH21" s="108">
        <f t="shared" si="4"/>
        <v>0</v>
      </c>
      <c r="AI21" s="108">
        <f t="shared" si="10"/>
        <v>0</v>
      </c>
      <c r="AJ21" s="108">
        <f t="shared" si="5"/>
        <v>0</v>
      </c>
      <c r="AK21" s="108">
        <f t="shared" si="6"/>
        <v>0</v>
      </c>
      <c r="AL21" s="108">
        <f t="shared" si="7"/>
        <v>0</v>
      </c>
      <c r="AM21" s="120">
        <f>AO21</f>
        <v>10</v>
      </c>
      <c r="AN21" s="116" t="s">
        <v>17</v>
      </c>
      <c r="AO21" s="115">
        <f>IF(Uitslag!T21="",0,IF(T21=Uitslag!T21,10,0))</f>
        <v>10</v>
      </c>
    </row>
    <row r="22" spans="2:41" ht="15.75" thickBot="1">
      <c r="B22" s="12">
        <v>15</v>
      </c>
      <c r="C22" s="13">
        <v>41807</v>
      </c>
      <c r="D22" s="14" t="s">
        <v>37</v>
      </c>
      <c r="E22" s="15" t="s">
        <v>9</v>
      </c>
      <c r="F22" s="16" t="s">
        <v>38</v>
      </c>
      <c r="G22" s="85">
        <v>3</v>
      </c>
      <c r="H22" s="15" t="s">
        <v>9</v>
      </c>
      <c r="I22" s="90">
        <v>0</v>
      </c>
      <c r="J22" s="17">
        <f t="shared" si="0"/>
        <v>1</v>
      </c>
      <c r="K22" s="11">
        <f t="shared" si="1"/>
        <v>3</v>
      </c>
      <c r="L22" s="11">
        <f t="shared" si="2"/>
        <v>0</v>
      </c>
      <c r="O22" s="48" t="s">
        <v>18</v>
      </c>
      <c r="P22" s="49">
        <f>SUMIF($D$8:$D$55,$O22,$G$8:$G$55)+SUMIF($F$8:$F$55,$O22,$I$8:$I$55)</f>
        <v>2</v>
      </c>
      <c r="Q22" s="49">
        <f>SUMIF($D$8:$D$55,$O22,$I$8:$I$55)+SUMIF($F$8:$F$55,$O22,$G$8:$G$55)</f>
        <v>2</v>
      </c>
      <c r="R22" s="49">
        <f>P22-Q22</f>
        <v>0</v>
      </c>
      <c r="S22" s="50">
        <f>SUMIF($D$8:$D$55,$O22,$K$8:$K$55)+SUMIF($F$8:$F$55,$O22,$L$8:$L$55)</f>
        <v>3</v>
      </c>
      <c r="T22" s="95" t="s">
        <v>59</v>
      </c>
      <c r="U22" s="40"/>
      <c r="V22" s="40" t="str">
        <f>O22</f>
        <v>Griekenland</v>
      </c>
      <c r="W22" s="40" t="s">
        <v>58</v>
      </c>
      <c r="Y22" s="109">
        <f t="shared" si="8"/>
        <v>5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5</v>
      </c>
      <c r="AG22" s="108">
        <f t="shared" si="3"/>
        <v>0</v>
      </c>
      <c r="AH22" s="108">
        <f t="shared" si="4"/>
        <v>0</v>
      </c>
      <c r="AI22" s="108">
        <f t="shared" si="10"/>
        <v>0</v>
      </c>
      <c r="AJ22" s="108">
        <f t="shared" si="5"/>
        <v>5</v>
      </c>
      <c r="AK22" s="108">
        <f t="shared" si="6"/>
        <v>0</v>
      </c>
      <c r="AL22" s="108">
        <f t="shared" si="7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18">
        <v>16</v>
      </c>
      <c r="C23" s="19">
        <v>41807</v>
      </c>
      <c r="D23" s="20" t="s">
        <v>8</v>
      </c>
      <c r="E23" s="21" t="s">
        <v>9</v>
      </c>
      <c r="F23" s="30" t="s">
        <v>11</v>
      </c>
      <c r="G23" s="86">
        <v>2</v>
      </c>
      <c r="H23" s="21" t="s">
        <v>9</v>
      </c>
      <c r="I23" s="91">
        <v>0</v>
      </c>
      <c r="J23" s="23">
        <f t="shared" si="0"/>
        <v>1</v>
      </c>
      <c r="K23" s="11">
        <f t="shared" si="1"/>
        <v>3</v>
      </c>
      <c r="L23" s="11">
        <f t="shared" si="2"/>
        <v>0</v>
      </c>
      <c r="O23" s="48" t="s">
        <v>23</v>
      </c>
      <c r="P23" s="49">
        <f>SUMIF($D$8:$D$55,$O23,$G$8:$G$55)+SUMIF($F$8:$F$55,$O23,$I$8:$I$55)</f>
        <v>4</v>
      </c>
      <c r="Q23" s="49">
        <f>SUMIF($D$8:$D$55,$O23,$I$8:$I$55)+SUMIF($F$8:$F$55,$O23,$G$8:$G$55)</f>
        <v>5</v>
      </c>
      <c r="R23" s="49">
        <f>P23-Q23</f>
        <v>-1</v>
      </c>
      <c r="S23" s="50">
        <f>SUMIF($D$8:$D$55,$O23,$K$8:$K$55)+SUMIF($F$8:$F$55,$O23,$L$8:$L$55)</f>
        <v>4</v>
      </c>
      <c r="T23" s="95" t="s">
        <v>58</v>
      </c>
      <c r="U23" s="40"/>
      <c r="V23" s="40" t="str">
        <f>O23</f>
        <v>Ivoorkust</v>
      </c>
      <c r="W23" s="40" t="s">
        <v>59</v>
      </c>
      <c r="Y23" s="109">
        <f t="shared" si="8"/>
        <v>1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1</v>
      </c>
      <c r="AG23" s="108">
        <f t="shared" si="3"/>
        <v>0</v>
      </c>
      <c r="AH23" s="108">
        <f t="shared" si="4"/>
        <v>1</v>
      </c>
      <c r="AI23" s="108">
        <f t="shared" si="10"/>
        <v>0</v>
      </c>
      <c r="AJ23" s="108">
        <f t="shared" si="5"/>
        <v>0</v>
      </c>
      <c r="AK23" s="108">
        <f t="shared" si="6"/>
        <v>0</v>
      </c>
      <c r="AL23" s="108">
        <f t="shared" si="7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24">
        <v>17</v>
      </c>
      <c r="C24" s="25">
        <v>41807</v>
      </c>
      <c r="D24" s="26" t="s">
        <v>39</v>
      </c>
      <c r="E24" s="27" t="s">
        <v>9</v>
      </c>
      <c r="F24" s="28" t="s">
        <v>40</v>
      </c>
      <c r="G24" s="87">
        <v>2</v>
      </c>
      <c r="H24" s="27" t="s">
        <v>9</v>
      </c>
      <c r="I24" s="92">
        <v>0</v>
      </c>
      <c r="J24" s="29">
        <f t="shared" si="0"/>
        <v>1</v>
      </c>
      <c r="K24" s="11">
        <f t="shared" si="1"/>
        <v>3</v>
      </c>
      <c r="L24" s="11">
        <f t="shared" si="2"/>
        <v>0</v>
      </c>
      <c r="O24" s="51" t="s">
        <v>24</v>
      </c>
      <c r="P24" s="52">
        <f>SUMIF($D$8:$D$55,$O24,$G$8:$G$55)+SUMIF($F$8:$F$55,$O24,$I$8:$I$55)</f>
        <v>2</v>
      </c>
      <c r="Q24" s="52">
        <f>SUMIF($D$8:$D$55,$O24,$I$8:$I$55)+SUMIF($F$8:$F$55,$O24,$G$8:$G$55)</f>
        <v>6</v>
      </c>
      <c r="R24" s="52">
        <f>P24-Q24</f>
        <v>-4</v>
      </c>
      <c r="S24" s="53">
        <f>SUMIF($D$8:$D$55,$O24,$K$8:$K$55)+SUMIF($F$8:$F$55,$O24,$L$8:$L$55)</f>
        <v>1</v>
      </c>
      <c r="T24" s="96" t="s">
        <v>60</v>
      </c>
      <c r="U24" s="40"/>
      <c r="V24" s="40" t="str">
        <f>O24</f>
        <v>Japan</v>
      </c>
      <c r="W24" s="40" t="s">
        <v>60</v>
      </c>
      <c r="Y24" s="109">
        <f t="shared" si="8"/>
        <v>0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0</v>
      </c>
      <c r="AG24" s="108">
        <f t="shared" si="3"/>
        <v>0</v>
      </c>
      <c r="AH24" s="108">
        <f t="shared" si="4"/>
        <v>0</v>
      </c>
      <c r="AI24" s="108">
        <f t="shared" si="10"/>
        <v>0</v>
      </c>
      <c r="AJ24" s="108">
        <f t="shared" si="5"/>
        <v>0</v>
      </c>
      <c r="AK24" s="108">
        <f t="shared" si="6"/>
        <v>0</v>
      </c>
      <c r="AL24" s="108">
        <f t="shared" si="7"/>
        <v>0</v>
      </c>
      <c r="AM24" s="120">
        <f>AO24</f>
        <v>10</v>
      </c>
      <c r="AN24" s="118" t="s">
        <v>24</v>
      </c>
      <c r="AO24" s="115">
        <f>IF(Uitslag!T24="",0,IF(T24=Uitslag!T24,10,0))</f>
        <v>10</v>
      </c>
    </row>
    <row r="25" spans="2:41" ht="15.75" thickBot="1">
      <c r="B25" s="12">
        <v>18</v>
      </c>
      <c r="C25" s="13">
        <v>41808</v>
      </c>
      <c r="D25" s="14" t="s">
        <v>16</v>
      </c>
      <c r="E25" s="15" t="s">
        <v>9</v>
      </c>
      <c r="F25" s="31" t="s">
        <v>14</v>
      </c>
      <c r="G25" s="85">
        <v>1</v>
      </c>
      <c r="H25" s="15" t="s">
        <v>9</v>
      </c>
      <c r="I25" s="90">
        <v>3</v>
      </c>
      <c r="J25" s="17">
        <f t="shared" si="0"/>
        <v>2</v>
      </c>
      <c r="K25" s="11">
        <f t="shared" si="1"/>
        <v>0</v>
      </c>
      <c r="L25" s="11">
        <f t="shared" si="2"/>
        <v>3</v>
      </c>
      <c r="O25" s="40"/>
      <c r="P25" s="41"/>
      <c r="Q25" s="41"/>
      <c r="R25" s="41"/>
      <c r="S25" s="41"/>
      <c r="T25" s="41"/>
      <c r="U25" s="40"/>
      <c r="V25" s="40"/>
      <c r="W25" s="40"/>
      <c r="Y25" s="109">
        <f t="shared" si="8"/>
        <v>6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6</v>
      </c>
      <c r="AG25" s="108">
        <f t="shared" si="3"/>
        <v>0</v>
      </c>
      <c r="AH25" s="108">
        <f t="shared" si="4"/>
        <v>1</v>
      </c>
      <c r="AI25" s="108">
        <f t="shared" si="10"/>
        <v>0</v>
      </c>
      <c r="AJ25" s="108">
        <f t="shared" si="5"/>
        <v>0</v>
      </c>
      <c r="AK25" s="108">
        <f t="shared" si="6"/>
        <v>5</v>
      </c>
      <c r="AL25" s="108">
        <f t="shared" si="7"/>
        <v>0</v>
      </c>
      <c r="AN25" s="40"/>
      <c r="AO25" s="41"/>
    </row>
    <row r="26" spans="2:41" ht="15.75" thickBot="1">
      <c r="B26" s="18">
        <v>19</v>
      </c>
      <c r="C26" s="19">
        <v>41808</v>
      </c>
      <c r="D26" s="20" t="s">
        <v>13</v>
      </c>
      <c r="E26" s="21" t="s">
        <v>9</v>
      </c>
      <c r="F26" s="30" t="s">
        <v>15</v>
      </c>
      <c r="G26" s="86">
        <v>3</v>
      </c>
      <c r="H26" s="21" t="s">
        <v>9</v>
      </c>
      <c r="I26" s="91">
        <v>2</v>
      </c>
      <c r="J26" s="23">
        <f t="shared" si="0"/>
        <v>1</v>
      </c>
      <c r="K26" s="11">
        <f t="shared" si="1"/>
        <v>3</v>
      </c>
      <c r="L26" s="11">
        <f t="shared" si="2"/>
        <v>0</v>
      </c>
      <c r="O26" s="72" t="s">
        <v>61</v>
      </c>
      <c r="P26" s="73" t="s">
        <v>42</v>
      </c>
      <c r="Q26" s="73" t="s">
        <v>43</v>
      </c>
      <c r="R26" s="74" t="s">
        <v>44</v>
      </c>
      <c r="S26" s="75" t="s">
        <v>45</v>
      </c>
      <c r="T26" s="76" t="s">
        <v>46</v>
      </c>
      <c r="U26" s="40"/>
      <c r="V26" s="40"/>
      <c r="W26" s="40"/>
      <c r="Y26" s="109">
        <f t="shared" si="8"/>
        <v>1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1</v>
      </c>
      <c r="AG26" s="108">
        <f t="shared" si="3"/>
        <v>0</v>
      </c>
      <c r="AH26" s="108">
        <f t="shared" si="4"/>
        <v>1</v>
      </c>
      <c r="AI26" s="108">
        <f t="shared" si="10"/>
        <v>0</v>
      </c>
      <c r="AJ26" s="108">
        <f t="shared" si="5"/>
        <v>0</v>
      </c>
      <c r="AK26" s="108">
        <f t="shared" si="6"/>
        <v>0</v>
      </c>
      <c r="AL26" s="108">
        <f t="shared" si="7"/>
        <v>0</v>
      </c>
      <c r="AN26" s="42" t="s">
        <v>61</v>
      </c>
      <c r="AO26" s="43" t="s">
        <v>46</v>
      </c>
    </row>
    <row r="27" spans="2:41" ht="15.75" thickBot="1">
      <c r="B27" s="24">
        <v>20</v>
      </c>
      <c r="C27" s="25">
        <v>41808</v>
      </c>
      <c r="D27" s="26" t="s">
        <v>12</v>
      </c>
      <c r="E27" s="27" t="s">
        <v>9</v>
      </c>
      <c r="F27" s="28" t="s">
        <v>10</v>
      </c>
      <c r="G27" s="87">
        <v>2</v>
      </c>
      <c r="H27" s="27" t="s">
        <v>9</v>
      </c>
      <c r="I27" s="92">
        <v>1</v>
      </c>
      <c r="J27" s="29">
        <f t="shared" si="0"/>
        <v>1</v>
      </c>
      <c r="K27" s="11">
        <f t="shared" si="1"/>
        <v>3</v>
      </c>
      <c r="L27" s="11">
        <f t="shared" si="2"/>
        <v>0</v>
      </c>
      <c r="O27" s="44" t="s">
        <v>19</v>
      </c>
      <c r="P27" s="45">
        <f>SUMIF($D$8:$D$55,$O27,$G$8:$G$55)+SUMIF($F$8:$F$55,$O27,$I$8:$I$55)</f>
        <v>9</v>
      </c>
      <c r="Q27" s="45">
        <f>SUMIF($D$8:$D$55,$O27,$I$8:$I$55)+SUMIF($F$8:$F$55,$O27,$G$8:$G$55)</f>
        <v>3</v>
      </c>
      <c r="R27" s="46">
        <f>P27-Q27</f>
        <v>6</v>
      </c>
      <c r="S27" s="47">
        <f>SUMIF($D$8:$D$55,$O27,$K$8:$K$55)+SUMIF($F$8:$F$55,$O27,$L$8:$L$55)</f>
        <v>9</v>
      </c>
      <c r="T27" s="94" t="s">
        <v>62</v>
      </c>
      <c r="U27" s="40"/>
      <c r="V27" s="40" t="str">
        <f>O27</f>
        <v>Uruguay</v>
      </c>
      <c r="W27" s="40" t="s">
        <v>62</v>
      </c>
      <c r="Y27" s="109">
        <f t="shared" si="8"/>
        <v>0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0</v>
      </c>
      <c r="AG27" s="108">
        <f t="shared" si="3"/>
        <v>0</v>
      </c>
      <c r="AH27" s="108">
        <f t="shared" si="4"/>
        <v>0</v>
      </c>
      <c r="AI27" s="108">
        <f t="shared" si="10"/>
        <v>0</v>
      </c>
      <c r="AJ27" s="108">
        <f t="shared" si="5"/>
        <v>0</v>
      </c>
      <c r="AK27" s="108">
        <f t="shared" si="6"/>
        <v>0</v>
      </c>
      <c r="AL27" s="108">
        <f t="shared" si="7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12">
        <v>21</v>
      </c>
      <c r="C28" s="13">
        <v>41809</v>
      </c>
      <c r="D28" s="14" t="s">
        <v>17</v>
      </c>
      <c r="E28" s="15" t="s">
        <v>9</v>
      </c>
      <c r="F28" s="16" t="s">
        <v>23</v>
      </c>
      <c r="G28" s="85">
        <v>3</v>
      </c>
      <c r="H28" s="15" t="s">
        <v>9</v>
      </c>
      <c r="I28" s="90">
        <v>0</v>
      </c>
      <c r="J28" s="17">
        <f t="shared" si="0"/>
        <v>1</v>
      </c>
      <c r="K28" s="11">
        <f t="shared" si="1"/>
        <v>3</v>
      </c>
      <c r="L28" s="11">
        <f t="shared" si="2"/>
        <v>0</v>
      </c>
      <c r="O28" s="48" t="s">
        <v>20</v>
      </c>
      <c r="P28" s="49">
        <f>SUMIF($D$8:$D$55,$O28,$G$8:$G$55)+SUMIF($F$8:$F$55,$O28,$I$8:$I$55)</f>
        <v>3</v>
      </c>
      <c r="Q28" s="49">
        <f>SUMIF($D$8:$D$55,$O28,$I$8:$I$55)+SUMIF($F$8:$F$55,$O28,$G$8:$G$55)</f>
        <v>6</v>
      </c>
      <c r="R28" s="49">
        <f>P28-Q28</f>
        <v>-3</v>
      </c>
      <c r="S28" s="50">
        <f>SUMIF($D$8:$D$55,$O28,$K$8:$K$55)+SUMIF($F$8:$F$55,$O28,$L$8:$L$55)</f>
        <v>1</v>
      </c>
      <c r="T28" s="95" t="s">
        <v>65</v>
      </c>
      <c r="U28" s="40"/>
      <c r="V28" s="40" t="str">
        <f>O28</f>
        <v>Costa Rica</v>
      </c>
      <c r="W28" s="40" t="s">
        <v>63</v>
      </c>
      <c r="Y28" s="109">
        <f t="shared" si="8"/>
        <v>5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5</v>
      </c>
      <c r="AG28" s="108">
        <f t="shared" si="3"/>
        <v>0</v>
      </c>
      <c r="AH28" s="108">
        <f t="shared" si="4"/>
        <v>0</v>
      </c>
      <c r="AI28" s="108">
        <f t="shared" si="10"/>
        <v>0</v>
      </c>
      <c r="AJ28" s="108">
        <f t="shared" si="5"/>
        <v>5</v>
      </c>
      <c r="AK28" s="108">
        <f t="shared" si="6"/>
        <v>0</v>
      </c>
      <c r="AL28" s="108">
        <f t="shared" si="7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18">
        <v>22</v>
      </c>
      <c r="C29" s="19">
        <v>41809</v>
      </c>
      <c r="D29" s="20" t="s">
        <v>19</v>
      </c>
      <c r="E29" s="21" t="s">
        <v>9</v>
      </c>
      <c r="F29" s="30" t="s">
        <v>21</v>
      </c>
      <c r="G29" s="86">
        <v>3</v>
      </c>
      <c r="H29" s="21" t="s">
        <v>9</v>
      </c>
      <c r="I29" s="91">
        <v>1</v>
      </c>
      <c r="J29" s="23">
        <f t="shared" si="0"/>
        <v>1</v>
      </c>
      <c r="K29" s="11">
        <f t="shared" si="1"/>
        <v>3</v>
      </c>
      <c r="L29" s="11">
        <f t="shared" si="2"/>
        <v>0</v>
      </c>
      <c r="O29" s="48" t="s">
        <v>21</v>
      </c>
      <c r="P29" s="49">
        <f>SUMIF($D$8:$D$55,$O29,$G$8:$G$55)+SUMIF($F$8:$F$55,$O29,$I$8:$I$55)</f>
        <v>4</v>
      </c>
      <c r="Q29" s="49">
        <f>SUMIF($D$8:$D$55,$O29,$I$8:$I$55)+SUMIF($F$8:$F$55,$O29,$G$8:$G$55)</f>
        <v>6</v>
      </c>
      <c r="R29" s="49">
        <f>P29-Q29</f>
        <v>-2</v>
      </c>
      <c r="S29" s="50">
        <f>SUMIF($D$8:$D$55,$O29,$K$8:$K$55)+SUMIF($F$8:$F$55,$O29,$L$8:$L$55)</f>
        <v>2</v>
      </c>
      <c r="T29" s="95" t="s">
        <v>63</v>
      </c>
      <c r="U29" s="40"/>
      <c r="V29" s="40" t="str">
        <f>O29</f>
        <v>Engeland</v>
      </c>
      <c r="W29" s="40" t="s">
        <v>64</v>
      </c>
      <c r="Y29" s="109">
        <f t="shared" si="8"/>
        <v>6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6</v>
      </c>
      <c r="AG29" s="108">
        <f t="shared" si="3"/>
        <v>0</v>
      </c>
      <c r="AH29" s="108">
        <f t="shared" si="4"/>
        <v>1</v>
      </c>
      <c r="AI29" s="108">
        <f t="shared" si="10"/>
        <v>0</v>
      </c>
      <c r="AJ29" s="108">
        <f t="shared" si="5"/>
        <v>5</v>
      </c>
      <c r="AK29" s="108">
        <f t="shared" si="6"/>
        <v>0</v>
      </c>
      <c r="AL29" s="108">
        <f t="shared" si="7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24">
        <v>23</v>
      </c>
      <c r="C30" s="25">
        <v>41809</v>
      </c>
      <c r="D30" s="26" t="s">
        <v>24</v>
      </c>
      <c r="E30" s="27" t="s">
        <v>9</v>
      </c>
      <c r="F30" s="28" t="s">
        <v>18</v>
      </c>
      <c r="G30" s="87">
        <v>1</v>
      </c>
      <c r="H30" s="27" t="s">
        <v>9</v>
      </c>
      <c r="I30" s="92">
        <v>1</v>
      </c>
      <c r="J30" s="29">
        <f t="shared" si="0"/>
        <v>3</v>
      </c>
      <c r="K30" s="11">
        <f t="shared" si="1"/>
        <v>1</v>
      </c>
      <c r="L30" s="11">
        <f t="shared" si="2"/>
        <v>1</v>
      </c>
      <c r="O30" s="51" t="s">
        <v>22</v>
      </c>
      <c r="P30" s="52">
        <f>SUMIF($D$8:$D$55,$O30,$G$8:$G$55)+SUMIF($F$8:$F$55,$O30,$I$8:$I$55)</f>
        <v>3</v>
      </c>
      <c r="Q30" s="52">
        <f>SUMIF($D$8:$D$55,$O30,$I$8:$I$55)+SUMIF($F$8:$F$55,$O30,$G$8:$G$55)</f>
        <v>4</v>
      </c>
      <c r="R30" s="52">
        <f>P30-Q30</f>
        <v>-1</v>
      </c>
      <c r="S30" s="53">
        <f>SUMIF($D$8:$D$55,$O30,$K$8:$K$55)+SUMIF($F$8:$F$55,$O30,$L$8:$L$55)</f>
        <v>4</v>
      </c>
      <c r="T30" s="96" t="s">
        <v>64</v>
      </c>
      <c r="U30" s="40"/>
      <c r="V30" s="40" t="str">
        <f>O30</f>
        <v>Italië</v>
      </c>
      <c r="W30" s="40" t="s">
        <v>65</v>
      </c>
      <c r="Y30" s="109">
        <f t="shared" si="8"/>
        <v>5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5</v>
      </c>
      <c r="AG30" s="108">
        <f t="shared" si="3"/>
        <v>0</v>
      </c>
      <c r="AH30" s="108">
        <f t="shared" si="4"/>
        <v>0</v>
      </c>
      <c r="AI30" s="108">
        <f t="shared" si="10"/>
        <v>0</v>
      </c>
      <c r="AJ30" s="108">
        <f t="shared" si="5"/>
        <v>0</v>
      </c>
      <c r="AK30" s="108">
        <f t="shared" si="6"/>
        <v>0</v>
      </c>
      <c r="AL30" s="108">
        <f t="shared" si="7"/>
        <v>5</v>
      </c>
      <c r="AM30" s="120">
        <f>AO30</f>
        <v>10</v>
      </c>
      <c r="AN30" s="118" t="s">
        <v>22</v>
      </c>
      <c r="AO30" s="115">
        <f>IF(Uitslag!T30="",0,IF(T30=Uitslag!T30,10,0))</f>
        <v>10</v>
      </c>
    </row>
    <row r="31" spans="2:41" ht="15.75" thickBot="1">
      <c r="B31" s="12">
        <v>24</v>
      </c>
      <c r="C31" s="13">
        <v>41810</v>
      </c>
      <c r="D31" s="14" t="s">
        <v>22</v>
      </c>
      <c r="E31" s="15" t="s">
        <v>9</v>
      </c>
      <c r="F31" s="16" t="s">
        <v>20</v>
      </c>
      <c r="G31" s="85">
        <v>1</v>
      </c>
      <c r="H31" s="15" t="s">
        <v>9</v>
      </c>
      <c r="I31" s="90">
        <v>0</v>
      </c>
      <c r="J31" s="17">
        <f t="shared" si="0"/>
        <v>1</v>
      </c>
      <c r="K31" s="11">
        <f t="shared" si="1"/>
        <v>3</v>
      </c>
      <c r="L31" s="11">
        <f t="shared" si="2"/>
        <v>0</v>
      </c>
      <c r="O31" s="40"/>
      <c r="P31" s="41"/>
      <c r="Q31" s="41"/>
      <c r="R31" s="41"/>
      <c r="S31" s="41"/>
      <c r="T31" s="41"/>
      <c r="U31" s="40"/>
      <c r="V31" s="40"/>
      <c r="W31" s="40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3"/>
        <v>0</v>
      </c>
      <c r="AH31" s="108">
        <f t="shared" si="4"/>
        <v>0</v>
      </c>
      <c r="AI31" s="108">
        <f t="shared" si="10"/>
        <v>0</v>
      </c>
      <c r="AJ31" s="108">
        <f t="shared" si="5"/>
        <v>0</v>
      </c>
      <c r="AK31" s="108">
        <f t="shared" si="6"/>
        <v>0</v>
      </c>
      <c r="AL31" s="108">
        <f t="shared" si="7"/>
        <v>0</v>
      </c>
      <c r="AN31" s="40"/>
      <c r="AO31" s="41"/>
    </row>
    <row r="32" spans="2:41" ht="15.75" thickBot="1">
      <c r="B32" s="18">
        <v>25</v>
      </c>
      <c r="C32" s="19">
        <v>41810</v>
      </c>
      <c r="D32" s="20" t="s">
        <v>25</v>
      </c>
      <c r="E32" s="21" t="s">
        <v>9</v>
      </c>
      <c r="F32" s="30" t="s">
        <v>27</v>
      </c>
      <c r="G32" s="86">
        <v>2</v>
      </c>
      <c r="H32" s="21" t="s">
        <v>9</v>
      </c>
      <c r="I32" s="91">
        <v>3</v>
      </c>
      <c r="J32" s="23">
        <f t="shared" si="0"/>
        <v>2</v>
      </c>
      <c r="K32" s="11">
        <f t="shared" si="1"/>
        <v>0</v>
      </c>
      <c r="L32" s="11">
        <f t="shared" si="2"/>
        <v>3</v>
      </c>
      <c r="O32" s="72" t="s">
        <v>66</v>
      </c>
      <c r="P32" s="73" t="s">
        <v>42</v>
      </c>
      <c r="Q32" s="73" t="s">
        <v>43</v>
      </c>
      <c r="R32" s="74" t="s">
        <v>44</v>
      </c>
      <c r="S32" s="75" t="s">
        <v>45</v>
      </c>
      <c r="T32" s="76" t="s">
        <v>46</v>
      </c>
      <c r="U32" s="40"/>
      <c r="V32" s="40"/>
      <c r="W32" s="40"/>
      <c r="Y32" s="109">
        <f t="shared" si="8"/>
        <v>6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6</v>
      </c>
      <c r="AG32" s="108">
        <f t="shared" si="3"/>
        <v>1</v>
      </c>
      <c r="AH32" s="108">
        <f t="shared" si="4"/>
        <v>0</v>
      </c>
      <c r="AI32" s="108">
        <f t="shared" si="10"/>
        <v>0</v>
      </c>
      <c r="AJ32" s="108">
        <f t="shared" si="5"/>
        <v>0</v>
      </c>
      <c r="AK32" s="108">
        <f t="shared" si="6"/>
        <v>5</v>
      </c>
      <c r="AL32" s="108">
        <f t="shared" si="7"/>
        <v>0</v>
      </c>
      <c r="AN32" s="42" t="s">
        <v>66</v>
      </c>
      <c r="AO32" s="43" t="s">
        <v>46</v>
      </c>
    </row>
    <row r="33" spans="2:41" ht="15.75" thickBot="1">
      <c r="B33" s="24">
        <v>26</v>
      </c>
      <c r="C33" s="25">
        <v>41810</v>
      </c>
      <c r="D33" s="26" t="s">
        <v>28</v>
      </c>
      <c r="E33" s="27" t="s">
        <v>9</v>
      </c>
      <c r="F33" s="28" t="s">
        <v>26</v>
      </c>
      <c r="G33" s="87">
        <v>0</v>
      </c>
      <c r="H33" s="27" t="s">
        <v>9</v>
      </c>
      <c r="I33" s="92">
        <v>2</v>
      </c>
      <c r="J33" s="29">
        <f t="shared" si="0"/>
        <v>2</v>
      </c>
      <c r="K33" s="11">
        <f t="shared" si="1"/>
        <v>0</v>
      </c>
      <c r="L33" s="11">
        <f t="shared" si="2"/>
        <v>3</v>
      </c>
      <c r="O33" s="44" t="s">
        <v>25</v>
      </c>
      <c r="P33" s="45">
        <f>SUMIF($D$8:$D$55,$O33,$G$8:$G$55)+SUMIF($F$8:$F$55,$O33,$I$8:$I$55)</f>
        <v>6</v>
      </c>
      <c r="Q33" s="45">
        <f>SUMIF($D$8:$D$55,$O33,$I$8:$I$55)+SUMIF($F$8:$F$55,$O33,$G$8:$G$55)</f>
        <v>6</v>
      </c>
      <c r="R33" s="46">
        <f>P33-Q33</f>
        <v>0</v>
      </c>
      <c r="S33" s="47">
        <f>SUMIF($D$8:$D$55,$O33,$K$8:$K$55)+SUMIF($F$8:$F$55,$O33,$L$8:$L$55)</f>
        <v>4</v>
      </c>
      <c r="T33" s="94" t="s">
        <v>69</v>
      </c>
      <c r="U33" s="40"/>
      <c r="V33" s="40" t="str">
        <f>O33</f>
        <v>Zwitserland</v>
      </c>
      <c r="W33" s="40" t="s">
        <v>67</v>
      </c>
      <c r="Y33" s="109">
        <f t="shared" si="8"/>
        <v>6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6</v>
      </c>
      <c r="AG33" s="108">
        <f t="shared" si="3"/>
        <v>0</v>
      </c>
      <c r="AH33" s="108">
        <f t="shared" si="4"/>
        <v>1</v>
      </c>
      <c r="AI33" s="108">
        <f t="shared" si="10"/>
        <v>0</v>
      </c>
      <c r="AJ33" s="108">
        <f t="shared" si="5"/>
        <v>0</v>
      </c>
      <c r="AK33" s="108">
        <f t="shared" si="6"/>
        <v>5</v>
      </c>
      <c r="AL33" s="108">
        <f t="shared" si="7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12">
        <v>27</v>
      </c>
      <c r="C34" s="13">
        <v>41811</v>
      </c>
      <c r="D34" s="14" t="s">
        <v>29</v>
      </c>
      <c r="E34" s="15" t="s">
        <v>9</v>
      </c>
      <c r="F34" s="16" t="s">
        <v>33</v>
      </c>
      <c r="G34" s="85">
        <v>3</v>
      </c>
      <c r="H34" s="15" t="s">
        <v>9</v>
      </c>
      <c r="I34" s="90">
        <v>0</v>
      </c>
      <c r="J34" s="17">
        <f t="shared" si="0"/>
        <v>1</v>
      </c>
      <c r="K34" s="11">
        <f t="shared" si="1"/>
        <v>3</v>
      </c>
      <c r="L34" s="11">
        <f t="shared" si="2"/>
        <v>0</v>
      </c>
      <c r="O34" s="48" t="s">
        <v>26</v>
      </c>
      <c r="P34" s="49">
        <f>SUMIF($D$8:$D$55,$O34,$G$8:$G$55)+SUMIF($F$8:$F$55,$O34,$I$8:$I$55)</f>
        <v>6</v>
      </c>
      <c r="Q34" s="49">
        <f>SUMIF($D$8:$D$55,$O34,$I$8:$I$55)+SUMIF($F$8:$F$55,$O34,$G$8:$G$55)</f>
        <v>5</v>
      </c>
      <c r="R34" s="49">
        <f>P34-Q34</f>
        <v>1</v>
      </c>
      <c r="S34" s="50">
        <f>SUMIF($D$8:$D$55,$O34,$K$8:$K$55)+SUMIF($F$8:$F$55,$O34,$L$8:$L$55)</f>
        <v>4</v>
      </c>
      <c r="T34" s="95" t="s">
        <v>68</v>
      </c>
      <c r="U34" s="40"/>
      <c r="V34" s="40" t="str">
        <f>O34</f>
        <v>Ecuador</v>
      </c>
      <c r="W34" s="40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3"/>
        <v>0</v>
      </c>
      <c r="AH34" s="108">
        <f t="shared" si="4"/>
        <v>1</v>
      </c>
      <c r="AI34" s="108">
        <f t="shared" si="10"/>
        <v>0</v>
      </c>
      <c r="AJ34" s="108">
        <f t="shared" si="5"/>
        <v>5</v>
      </c>
      <c r="AK34" s="108">
        <f t="shared" si="6"/>
        <v>0</v>
      </c>
      <c r="AL34" s="108">
        <f t="shared" si="7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18">
        <v>28</v>
      </c>
      <c r="C35" s="19">
        <v>41811</v>
      </c>
      <c r="D35" s="20" t="s">
        <v>31</v>
      </c>
      <c r="E35" s="21" t="s">
        <v>9</v>
      </c>
      <c r="F35" s="30" t="s">
        <v>35</v>
      </c>
      <c r="G35" s="86">
        <v>3</v>
      </c>
      <c r="H35" s="21" t="s">
        <v>9</v>
      </c>
      <c r="I35" s="91">
        <v>0</v>
      </c>
      <c r="J35" s="23">
        <f t="shared" si="0"/>
        <v>1</v>
      </c>
      <c r="K35" s="11">
        <f t="shared" si="1"/>
        <v>3</v>
      </c>
      <c r="L35" s="11">
        <f t="shared" si="2"/>
        <v>0</v>
      </c>
      <c r="O35" s="48" t="s">
        <v>27</v>
      </c>
      <c r="P35" s="49">
        <f>SUMIF($D$8:$D$55,$O35,$G$8:$G$55)+SUMIF($F$8:$F$55,$O35,$I$8:$I$55)</f>
        <v>8</v>
      </c>
      <c r="Q35" s="49">
        <f>SUMIF($D$8:$D$55,$O35,$I$8:$I$55)+SUMIF($F$8:$F$55,$O35,$G$8:$G$55)</f>
        <v>4</v>
      </c>
      <c r="R35" s="49">
        <f>P35-Q35</f>
        <v>4</v>
      </c>
      <c r="S35" s="50">
        <f>SUMIF($D$8:$D$55,$O35,$K$8:$K$55)+SUMIF($F$8:$F$55,$O35,$L$8:$L$55)</f>
        <v>9</v>
      </c>
      <c r="T35" s="95" t="s">
        <v>67</v>
      </c>
      <c r="U35" s="40"/>
      <c r="V35" s="40" t="str">
        <f>O35</f>
        <v>Frankrijk</v>
      </c>
      <c r="W35" s="40" t="s">
        <v>69</v>
      </c>
      <c r="Y35" s="109">
        <f t="shared" si="8"/>
        <v>0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0</v>
      </c>
      <c r="AG35" s="108">
        <f t="shared" si="3"/>
        <v>0</v>
      </c>
      <c r="AH35" s="108">
        <f t="shared" si="4"/>
        <v>0</v>
      </c>
      <c r="AI35" s="108">
        <f t="shared" si="10"/>
        <v>0</v>
      </c>
      <c r="AJ35" s="108">
        <f t="shared" si="5"/>
        <v>0</v>
      </c>
      <c r="AK35" s="108">
        <f t="shared" si="6"/>
        <v>0</v>
      </c>
      <c r="AL35" s="108">
        <f t="shared" si="7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24">
        <v>29</v>
      </c>
      <c r="C36" s="25">
        <v>41811</v>
      </c>
      <c r="D36" s="26" t="s">
        <v>34</v>
      </c>
      <c r="E36" s="27" t="s">
        <v>9</v>
      </c>
      <c r="F36" s="28" t="s">
        <v>30</v>
      </c>
      <c r="G36" s="87">
        <v>1</v>
      </c>
      <c r="H36" s="27" t="s">
        <v>9</v>
      </c>
      <c r="I36" s="92">
        <v>2</v>
      </c>
      <c r="J36" s="29">
        <f t="shared" si="0"/>
        <v>2</v>
      </c>
      <c r="K36" s="11">
        <f t="shared" si="1"/>
        <v>0</v>
      </c>
      <c r="L36" s="11">
        <f t="shared" si="2"/>
        <v>3</v>
      </c>
      <c r="O36" s="51" t="s">
        <v>28</v>
      </c>
      <c r="P36" s="52">
        <f>SUMIF($D$8:$D$55,$O36,$G$8:$G$55)+SUMIF($F$8:$F$55,$O36,$I$8:$I$55)</f>
        <v>1</v>
      </c>
      <c r="Q36" s="52">
        <f>SUMIF($D$8:$D$55,$O36,$I$8:$I$55)+SUMIF($F$8:$F$55,$O36,$G$8:$G$55)</f>
        <v>6</v>
      </c>
      <c r="R36" s="52">
        <f>P36-Q36</f>
        <v>-5</v>
      </c>
      <c r="S36" s="53">
        <f>SUMIF($D$8:$D$55,$O36,$K$8:$K$55)+SUMIF($F$8:$F$55,$O36,$L$8:$L$55)</f>
        <v>0</v>
      </c>
      <c r="T36" s="96" t="s">
        <v>70</v>
      </c>
      <c r="U36" s="40"/>
      <c r="V36" s="40" t="str">
        <f>O36</f>
        <v>Honduras</v>
      </c>
      <c r="W36" s="40" t="s">
        <v>70</v>
      </c>
      <c r="Y36" s="109">
        <f t="shared" si="8"/>
        <v>1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1</v>
      </c>
      <c r="AG36" s="108">
        <f t="shared" si="3"/>
        <v>1</v>
      </c>
      <c r="AH36" s="108">
        <f t="shared" si="4"/>
        <v>0</v>
      </c>
      <c r="AI36" s="108">
        <f t="shared" si="10"/>
        <v>0</v>
      </c>
      <c r="AJ36" s="108">
        <f t="shared" si="5"/>
        <v>0</v>
      </c>
      <c r="AK36" s="108">
        <f t="shared" si="6"/>
        <v>0</v>
      </c>
      <c r="AL36" s="108">
        <f t="shared" si="7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12">
        <v>30</v>
      </c>
      <c r="C37" s="13">
        <v>41812</v>
      </c>
      <c r="D37" s="14" t="s">
        <v>37</v>
      </c>
      <c r="E37" s="15" t="s">
        <v>9</v>
      </c>
      <c r="F37" s="16" t="s">
        <v>39</v>
      </c>
      <c r="G37" s="85">
        <v>2</v>
      </c>
      <c r="H37" s="15" t="s">
        <v>9</v>
      </c>
      <c r="I37" s="90">
        <v>2</v>
      </c>
      <c r="J37" s="17">
        <f t="shared" si="0"/>
        <v>3</v>
      </c>
      <c r="K37" s="11">
        <f t="shared" si="1"/>
        <v>1</v>
      </c>
      <c r="L37" s="11">
        <f t="shared" si="2"/>
        <v>1</v>
      </c>
      <c r="O37" s="40"/>
      <c r="P37" s="41"/>
      <c r="Q37" s="41"/>
      <c r="R37" s="41"/>
      <c r="S37" s="41"/>
      <c r="T37" s="41"/>
      <c r="U37" s="40"/>
      <c r="V37" s="40"/>
      <c r="W37" s="40"/>
      <c r="Y37" s="109">
        <f t="shared" si="8"/>
        <v>0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0</v>
      </c>
      <c r="AG37" s="108">
        <f t="shared" si="3"/>
        <v>0</v>
      </c>
      <c r="AH37" s="108">
        <f t="shared" si="4"/>
        <v>0</v>
      </c>
      <c r="AI37" s="108">
        <f t="shared" si="10"/>
        <v>0</v>
      </c>
      <c r="AJ37" s="108">
        <f t="shared" si="5"/>
        <v>0</v>
      </c>
      <c r="AK37" s="108">
        <f t="shared" si="6"/>
        <v>0</v>
      </c>
      <c r="AL37" s="108">
        <f t="shared" si="7"/>
        <v>0</v>
      </c>
      <c r="AN37" s="40"/>
      <c r="AO37" s="41"/>
    </row>
    <row r="38" spans="2:41" ht="15.75" thickBot="1">
      <c r="B38" s="18">
        <v>31</v>
      </c>
      <c r="C38" s="19">
        <v>41812</v>
      </c>
      <c r="D38" s="20" t="s">
        <v>40</v>
      </c>
      <c r="E38" s="21" t="s">
        <v>9</v>
      </c>
      <c r="F38" s="30" t="s">
        <v>38</v>
      </c>
      <c r="G38" s="86">
        <v>2</v>
      </c>
      <c r="H38" s="21" t="s">
        <v>9</v>
      </c>
      <c r="I38" s="91">
        <v>1</v>
      </c>
      <c r="J38" s="23">
        <f t="shared" si="0"/>
        <v>1</v>
      </c>
      <c r="K38" s="11">
        <f t="shared" si="1"/>
        <v>3</v>
      </c>
      <c r="L38" s="11">
        <f t="shared" si="2"/>
        <v>0</v>
      </c>
      <c r="O38" s="72" t="s">
        <v>71</v>
      </c>
      <c r="P38" s="73" t="s">
        <v>42</v>
      </c>
      <c r="Q38" s="73" t="s">
        <v>43</v>
      </c>
      <c r="R38" s="74" t="s">
        <v>44</v>
      </c>
      <c r="S38" s="75" t="s">
        <v>45</v>
      </c>
      <c r="T38" s="76" t="s">
        <v>46</v>
      </c>
      <c r="U38" s="40"/>
      <c r="V38" s="40"/>
      <c r="W38" s="40"/>
      <c r="Y38" s="109">
        <f t="shared" si="8"/>
        <v>1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1</v>
      </c>
      <c r="AG38" s="108">
        <f t="shared" si="3"/>
        <v>1</v>
      </c>
      <c r="AH38" s="108">
        <f t="shared" si="4"/>
        <v>0</v>
      </c>
      <c r="AI38" s="108">
        <f t="shared" si="10"/>
        <v>0</v>
      </c>
      <c r="AJ38" s="108">
        <f t="shared" si="5"/>
        <v>0</v>
      </c>
      <c r="AK38" s="108">
        <f t="shared" si="6"/>
        <v>0</v>
      </c>
      <c r="AL38" s="108">
        <f t="shared" si="7"/>
        <v>0</v>
      </c>
      <c r="AN38" s="42" t="s">
        <v>71</v>
      </c>
      <c r="AO38" s="43" t="s">
        <v>46</v>
      </c>
    </row>
    <row r="39" spans="2:41" ht="15.75" thickBot="1">
      <c r="B39" s="24">
        <v>32</v>
      </c>
      <c r="C39" s="25">
        <v>41812</v>
      </c>
      <c r="D39" s="26" t="s">
        <v>36</v>
      </c>
      <c r="E39" s="27" t="s">
        <v>9</v>
      </c>
      <c r="F39" s="28" t="s">
        <v>32</v>
      </c>
      <c r="G39" s="87">
        <v>2</v>
      </c>
      <c r="H39" s="27" t="s">
        <v>9</v>
      </c>
      <c r="I39" s="92">
        <v>3</v>
      </c>
      <c r="J39" s="29">
        <f t="shared" si="0"/>
        <v>2</v>
      </c>
      <c r="K39" s="11">
        <f t="shared" si="1"/>
        <v>0</v>
      </c>
      <c r="L39" s="11">
        <f t="shared" si="2"/>
        <v>3</v>
      </c>
      <c r="O39" s="44" t="s">
        <v>29</v>
      </c>
      <c r="P39" s="45">
        <f>SUMIF($D$8:$D$55,$O39,$G$8:$G$55)+SUMIF($F$8:$F$55,$O39,$I$8:$I$55)</f>
        <v>10</v>
      </c>
      <c r="Q39" s="45">
        <f>SUMIF($D$8:$D$55,$O39,$I$8:$I$55)+SUMIF($F$8:$F$55,$O39,$G$8:$G$55)</f>
        <v>2</v>
      </c>
      <c r="R39" s="46">
        <f>P39-Q39</f>
        <v>8</v>
      </c>
      <c r="S39" s="47">
        <f>SUMIF($D$8:$D$55,$O39,$K$8:$K$55)+SUMIF($F$8:$F$55,$O39,$L$8:$L$55)</f>
        <v>9</v>
      </c>
      <c r="T39" s="94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1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1</v>
      </c>
      <c r="AG39" s="108">
        <f t="shared" si="3"/>
        <v>1</v>
      </c>
      <c r="AH39" s="108">
        <f t="shared" si="4"/>
        <v>0</v>
      </c>
      <c r="AI39" s="108">
        <f t="shared" si="10"/>
        <v>0</v>
      </c>
      <c r="AJ39" s="108">
        <f t="shared" si="5"/>
        <v>0</v>
      </c>
      <c r="AK39" s="108">
        <f t="shared" si="6"/>
        <v>0</v>
      </c>
      <c r="AL39" s="108">
        <f t="shared" si="7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12">
        <v>33</v>
      </c>
      <c r="C40" s="13">
        <v>41813</v>
      </c>
      <c r="D40" s="14" t="s">
        <v>16</v>
      </c>
      <c r="E40" s="15" t="s">
        <v>9</v>
      </c>
      <c r="F40" s="16" t="s">
        <v>13</v>
      </c>
      <c r="G40" s="85">
        <v>0</v>
      </c>
      <c r="H40" s="15" t="s">
        <v>9</v>
      </c>
      <c r="I40" s="90">
        <v>2</v>
      </c>
      <c r="J40" s="17">
        <f t="shared" si="0"/>
        <v>2</v>
      </c>
      <c r="K40" s="11">
        <f t="shared" si="1"/>
        <v>0</v>
      </c>
      <c r="L40" s="11">
        <f t="shared" si="2"/>
        <v>3</v>
      </c>
      <c r="O40" s="48" t="s">
        <v>30</v>
      </c>
      <c r="P40" s="49">
        <f>SUMIF($D$8:$D$55,$O40,$G$8:$G$55)+SUMIF($F$8:$F$55,$O40,$I$8:$I$55)</f>
        <v>3</v>
      </c>
      <c r="Q40" s="49">
        <f>SUMIF($D$8:$D$55,$O40,$I$8:$I$55)+SUMIF($F$8:$F$55,$O40,$G$8:$G$55)</f>
        <v>4</v>
      </c>
      <c r="R40" s="49">
        <f>P40-Q40</f>
        <v>-1</v>
      </c>
      <c r="S40" s="50">
        <f>SUMIF($D$8:$D$55,$O40,$K$8:$K$55)+SUMIF($F$8:$F$55,$O40,$L$8:$L$55)</f>
        <v>4</v>
      </c>
      <c r="T40" s="95" t="s">
        <v>73</v>
      </c>
      <c r="U40" s="40"/>
      <c r="V40" s="40" t="str">
        <f>O40</f>
        <v>Bosnië H.</v>
      </c>
      <c r="W40" s="40" t="s">
        <v>73</v>
      </c>
      <c r="Y40" s="109">
        <f t="shared" si="8"/>
        <v>6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6</v>
      </c>
      <c r="AG40" s="108">
        <f t="shared" si="3"/>
        <v>1</v>
      </c>
      <c r="AH40" s="108">
        <f t="shared" si="4"/>
        <v>0</v>
      </c>
      <c r="AI40" s="108">
        <f t="shared" si="10"/>
        <v>0</v>
      </c>
      <c r="AJ40" s="108">
        <f t="shared" si="5"/>
        <v>0</v>
      </c>
      <c r="AK40" s="108">
        <f t="shared" si="6"/>
        <v>5</v>
      </c>
      <c r="AL40" s="108">
        <f t="shared" si="7"/>
        <v>0</v>
      </c>
      <c r="AM40" s="120">
        <f>AO40</f>
        <v>0</v>
      </c>
      <c r="AN40" s="117" t="s">
        <v>30</v>
      </c>
      <c r="AO40" s="115">
        <f>IF(Uitslag!T40="",0,IF(T40=Uitslag!T40,10,0))</f>
        <v>0</v>
      </c>
    </row>
    <row r="41" spans="2:41" ht="15.75" thickBot="1">
      <c r="B41" s="18">
        <v>34</v>
      </c>
      <c r="C41" s="19">
        <v>41813</v>
      </c>
      <c r="D41" s="32" t="s">
        <v>14</v>
      </c>
      <c r="E41" s="21" t="s">
        <v>9</v>
      </c>
      <c r="F41" s="30" t="s">
        <v>15</v>
      </c>
      <c r="G41" s="86">
        <v>2</v>
      </c>
      <c r="H41" s="21" t="s">
        <v>9</v>
      </c>
      <c r="I41" s="91">
        <v>1</v>
      </c>
      <c r="J41" s="23">
        <f t="shared" si="0"/>
        <v>1</v>
      </c>
      <c r="K41" s="11">
        <f t="shared" si="1"/>
        <v>3</v>
      </c>
      <c r="L41" s="11">
        <f t="shared" si="2"/>
        <v>0</v>
      </c>
      <c r="O41" s="48" t="s">
        <v>33</v>
      </c>
      <c r="P41" s="49">
        <f>SUMIF($D$8:$D$55,$O41,$G$8:$G$55)+SUMIF($F$8:$F$55,$O41,$I$8:$I$55)</f>
        <v>1</v>
      </c>
      <c r="Q41" s="49">
        <f>SUMIF($D$8:$D$55,$O41,$I$8:$I$55)+SUMIF($F$8:$F$55,$O41,$G$8:$G$55)</f>
        <v>5</v>
      </c>
      <c r="R41" s="49">
        <f>P41-Q41</f>
        <v>-4</v>
      </c>
      <c r="S41" s="50">
        <f>SUMIF($D$8:$D$55,$O41,$K$8:$K$55)+SUMIF($F$8:$F$55,$O41,$L$8:$L$55)</f>
        <v>1</v>
      </c>
      <c r="T41" s="95" t="s">
        <v>75</v>
      </c>
      <c r="U41" s="40"/>
      <c r="V41" s="40" t="str">
        <f>O41</f>
        <v>Iran</v>
      </c>
      <c r="W41" s="40" t="s">
        <v>74</v>
      </c>
      <c r="Y41" s="109">
        <f t="shared" si="8"/>
        <v>6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6</v>
      </c>
      <c r="AG41" s="108">
        <f t="shared" si="3"/>
        <v>1</v>
      </c>
      <c r="AH41" s="108">
        <f t="shared" si="4"/>
        <v>0</v>
      </c>
      <c r="AI41" s="108">
        <f t="shared" si="10"/>
        <v>0</v>
      </c>
      <c r="AJ41" s="108">
        <f t="shared" si="5"/>
        <v>5</v>
      </c>
      <c r="AK41" s="108">
        <f t="shared" si="6"/>
        <v>0</v>
      </c>
      <c r="AL41" s="108">
        <f t="shared" si="7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18">
        <v>35</v>
      </c>
      <c r="C42" s="19">
        <v>41813</v>
      </c>
      <c r="D42" s="20" t="s">
        <v>12</v>
      </c>
      <c r="E42" s="21" t="s">
        <v>9</v>
      </c>
      <c r="F42" s="30" t="s">
        <v>8</v>
      </c>
      <c r="G42" s="86">
        <v>1</v>
      </c>
      <c r="H42" s="21" t="s">
        <v>9</v>
      </c>
      <c r="I42" s="91">
        <v>4</v>
      </c>
      <c r="J42" s="23">
        <f t="shared" si="0"/>
        <v>2</v>
      </c>
      <c r="K42" s="11">
        <f t="shared" si="1"/>
        <v>0</v>
      </c>
      <c r="L42" s="11">
        <f t="shared" si="2"/>
        <v>3</v>
      </c>
      <c r="O42" s="51" t="s">
        <v>34</v>
      </c>
      <c r="P42" s="52">
        <f>SUMIF($D$8:$D$55,$O42,$G$8:$G$55)+SUMIF($F$8:$F$55,$O42,$I$8:$I$55)</f>
        <v>4</v>
      </c>
      <c r="Q42" s="52">
        <f>SUMIF($D$8:$D$55,$O42,$I$8:$I$55)+SUMIF($F$8:$F$55,$O42,$G$8:$G$55)</f>
        <v>7</v>
      </c>
      <c r="R42" s="52">
        <f>P42-Q42</f>
        <v>-3</v>
      </c>
      <c r="S42" s="53">
        <f>SUMIF($D$8:$D$55,$O42,$K$8:$K$55)+SUMIF($F$8:$F$55,$O42,$L$8:$L$55)</f>
        <v>3</v>
      </c>
      <c r="T42" s="96" t="s">
        <v>74</v>
      </c>
      <c r="U42" s="40"/>
      <c r="V42" s="40" t="str">
        <f>O42</f>
        <v>Nigeria</v>
      </c>
      <c r="W42" s="40" t="s">
        <v>75</v>
      </c>
      <c r="Y42" s="109">
        <f t="shared" si="8"/>
        <v>10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10</v>
      </c>
      <c r="AG42" s="108">
        <f t="shared" si="3"/>
        <v>1</v>
      </c>
      <c r="AH42" s="108">
        <f t="shared" si="4"/>
        <v>1</v>
      </c>
      <c r="AI42" s="108">
        <f t="shared" si="10"/>
        <v>10</v>
      </c>
      <c r="AJ42" s="108">
        <f t="shared" si="5"/>
        <v>0</v>
      </c>
      <c r="AK42" s="108">
        <f t="shared" si="6"/>
        <v>5</v>
      </c>
      <c r="AL42" s="108">
        <f t="shared" si="7"/>
        <v>0</v>
      </c>
      <c r="AM42" s="120">
        <f>AO42</f>
        <v>0</v>
      </c>
      <c r="AN42" s="118" t="s">
        <v>34</v>
      </c>
      <c r="AO42" s="115">
        <f>IF(Uitslag!T42="",0,IF(T42=Uitslag!T42,10,0))</f>
        <v>0</v>
      </c>
    </row>
    <row r="43" spans="2:41" ht="15.75" thickBot="1">
      <c r="B43" s="24">
        <v>36</v>
      </c>
      <c r="C43" s="25">
        <v>41813</v>
      </c>
      <c r="D43" s="26" t="s">
        <v>10</v>
      </c>
      <c r="E43" s="27" t="s">
        <v>9</v>
      </c>
      <c r="F43" s="28" t="s">
        <v>11</v>
      </c>
      <c r="G43" s="87">
        <v>1</v>
      </c>
      <c r="H43" s="27" t="s">
        <v>9</v>
      </c>
      <c r="I43" s="92">
        <v>2</v>
      </c>
      <c r="J43" s="29">
        <f t="shared" si="0"/>
        <v>2</v>
      </c>
      <c r="K43" s="11">
        <f t="shared" si="1"/>
        <v>0</v>
      </c>
      <c r="L43" s="11">
        <f t="shared" si="2"/>
        <v>3</v>
      </c>
      <c r="O43" s="40"/>
      <c r="P43" s="41"/>
      <c r="Q43" s="41"/>
      <c r="R43" s="41"/>
      <c r="S43" s="41"/>
      <c r="T43" s="41"/>
      <c r="U43" s="40"/>
      <c r="V43" s="40"/>
      <c r="W43" s="40"/>
      <c r="Y43" s="109">
        <f t="shared" si="8"/>
        <v>6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6</v>
      </c>
      <c r="AG43" s="108">
        <f t="shared" si="3"/>
        <v>1</v>
      </c>
      <c r="AH43" s="108">
        <f t="shared" si="4"/>
        <v>0</v>
      </c>
      <c r="AI43" s="108">
        <f t="shared" si="10"/>
        <v>0</v>
      </c>
      <c r="AJ43" s="108">
        <f t="shared" si="5"/>
        <v>0</v>
      </c>
      <c r="AK43" s="108">
        <f t="shared" si="6"/>
        <v>5</v>
      </c>
      <c r="AL43" s="108">
        <f t="shared" si="7"/>
        <v>0</v>
      </c>
      <c r="AN43" s="40"/>
      <c r="AO43" s="41"/>
    </row>
    <row r="44" spans="2:41" ht="15.75" thickBot="1">
      <c r="B44" s="12">
        <v>37</v>
      </c>
      <c r="C44" s="13">
        <v>41814</v>
      </c>
      <c r="D44" s="14" t="s">
        <v>22</v>
      </c>
      <c r="E44" s="15" t="s">
        <v>9</v>
      </c>
      <c r="F44" s="16" t="s">
        <v>19</v>
      </c>
      <c r="G44" s="85">
        <v>1</v>
      </c>
      <c r="H44" s="15" t="s">
        <v>9</v>
      </c>
      <c r="I44" s="90">
        <v>3</v>
      </c>
      <c r="J44" s="17">
        <f t="shared" si="0"/>
        <v>2</v>
      </c>
      <c r="K44" s="11">
        <f t="shared" si="1"/>
        <v>0</v>
      </c>
      <c r="L44" s="11">
        <f t="shared" si="2"/>
        <v>3</v>
      </c>
      <c r="O44" s="72" t="s">
        <v>76</v>
      </c>
      <c r="P44" s="73" t="s">
        <v>42</v>
      </c>
      <c r="Q44" s="73" t="s">
        <v>43</v>
      </c>
      <c r="R44" s="74" t="s">
        <v>44</v>
      </c>
      <c r="S44" s="75" t="s">
        <v>45</v>
      </c>
      <c r="T44" s="76" t="s">
        <v>46</v>
      </c>
      <c r="U44" s="40"/>
      <c r="V44" s="40"/>
      <c r="W44" s="40"/>
      <c r="Y44" s="109">
        <f t="shared" si="8"/>
        <v>5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5</v>
      </c>
      <c r="AG44" s="108">
        <f t="shared" si="3"/>
        <v>0</v>
      </c>
      <c r="AH44" s="108">
        <f t="shared" si="4"/>
        <v>0</v>
      </c>
      <c r="AI44" s="108">
        <f t="shared" si="10"/>
        <v>0</v>
      </c>
      <c r="AJ44" s="108">
        <f t="shared" si="5"/>
        <v>0</v>
      </c>
      <c r="AK44" s="108">
        <f t="shared" si="6"/>
        <v>5</v>
      </c>
      <c r="AL44" s="108">
        <f t="shared" si="7"/>
        <v>0</v>
      </c>
      <c r="AN44" s="42" t="s">
        <v>76</v>
      </c>
      <c r="AO44" s="43" t="s">
        <v>46</v>
      </c>
    </row>
    <row r="45" spans="2:41" ht="15.75" thickBot="1">
      <c r="B45" s="18">
        <v>38</v>
      </c>
      <c r="C45" s="19">
        <v>41814</v>
      </c>
      <c r="D45" s="20" t="s">
        <v>20</v>
      </c>
      <c r="E45" s="21" t="s">
        <v>9</v>
      </c>
      <c r="F45" s="30" t="s">
        <v>21</v>
      </c>
      <c r="G45" s="86">
        <v>2</v>
      </c>
      <c r="H45" s="21" t="s">
        <v>9</v>
      </c>
      <c r="I45" s="91">
        <v>2</v>
      </c>
      <c r="J45" s="23">
        <f t="shared" si="0"/>
        <v>3</v>
      </c>
      <c r="K45" s="11">
        <f t="shared" si="1"/>
        <v>1</v>
      </c>
      <c r="L45" s="11">
        <f t="shared" si="2"/>
        <v>1</v>
      </c>
      <c r="O45" s="44" t="s">
        <v>31</v>
      </c>
      <c r="P45" s="45">
        <f>SUMIF($D$8:$D$55,$O45,$G$8:$G$55)+SUMIF($F$8:$F$55,$O45,$I$8:$I$55)</f>
        <v>9</v>
      </c>
      <c r="Q45" s="45">
        <f>SUMIF($D$8:$D$55,$O45,$I$8:$I$55)+SUMIF($F$8:$F$55,$O45,$G$8:$G$55)</f>
        <v>4</v>
      </c>
      <c r="R45" s="46">
        <f>P45-Q45</f>
        <v>5</v>
      </c>
      <c r="S45" s="47">
        <f>SUMIF($D$8:$D$55,$O45,$K$8:$K$55)+SUMIF($F$8:$F$55,$O45,$L$8:$L$55)</f>
        <v>7</v>
      </c>
      <c r="T45" s="94" t="s">
        <v>77</v>
      </c>
      <c r="U45" s="40"/>
      <c r="V45" s="40" t="str">
        <f>O45</f>
        <v>Duitsland</v>
      </c>
      <c r="W45" s="40" t="s">
        <v>77</v>
      </c>
      <c r="Y45" s="109">
        <f t="shared" si="8"/>
        <v>5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5</v>
      </c>
      <c r="AG45" s="108">
        <f t="shared" si="3"/>
        <v>0</v>
      </c>
      <c r="AH45" s="108">
        <f t="shared" si="4"/>
        <v>0</v>
      </c>
      <c r="AI45" s="108">
        <f t="shared" si="10"/>
        <v>0</v>
      </c>
      <c r="AJ45" s="108">
        <f t="shared" si="5"/>
        <v>0</v>
      </c>
      <c r="AK45" s="108">
        <f t="shared" si="6"/>
        <v>0</v>
      </c>
      <c r="AL45" s="108">
        <f t="shared" si="7"/>
        <v>5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18">
        <v>39</v>
      </c>
      <c r="C46" s="19">
        <v>41814</v>
      </c>
      <c r="D46" s="20" t="s">
        <v>24</v>
      </c>
      <c r="E46" s="21" t="s">
        <v>9</v>
      </c>
      <c r="F46" s="30" t="s">
        <v>17</v>
      </c>
      <c r="G46" s="86">
        <v>0</v>
      </c>
      <c r="H46" s="21" t="s">
        <v>9</v>
      </c>
      <c r="I46" s="91">
        <v>2</v>
      </c>
      <c r="J46" s="23">
        <f t="shared" si="0"/>
        <v>2</v>
      </c>
      <c r="K46" s="11">
        <f t="shared" si="1"/>
        <v>0</v>
      </c>
      <c r="L46" s="11">
        <f t="shared" si="2"/>
        <v>3</v>
      </c>
      <c r="O46" s="48" t="s">
        <v>32</v>
      </c>
      <c r="P46" s="49">
        <f>SUMIF($D$8:$D$55,$O46,$G$8:$G$55)+SUMIF($F$8:$F$55,$O46,$I$8:$I$55)</f>
        <v>7</v>
      </c>
      <c r="Q46" s="49">
        <f>SUMIF($D$8:$D$55,$O46,$I$8:$I$55)+SUMIF($F$8:$F$55,$O46,$G$8:$G$55)</f>
        <v>5</v>
      </c>
      <c r="R46" s="49">
        <f>P46-Q46</f>
        <v>2</v>
      </c>
      <c r="S46" s="50">
        <f>SUMIF($D$8:$D$55,$O46,$K$8:$K$55)+SUMIF($F$8:$F$55,$O46,$L$8:$L$55)</f>
        <v>7</v>
      </c>
      <c r="T46" s="95" t="s">
        <v>78</v>
      </c>
      <c r="U46" s="40"/>
      <c r="V46" s="40" t="str">
        <f>O46</f>
        <v>Portugal</v>
      </c>
      <c r="W46" s="40" t="s">
        <v>78</v>
      </c>
      <c r="Y46" s="109">
        <f t="shared" si="8"/>
        <v>5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5</v>
      </c>
      <c r="AG46" s="108">
        <f t="shared" si="3"/>
        <v>0</v>
      </c>
      <c r="AH46" s="108">
        <f t="shared" si="4"/>
        <v>0</v>
      </c>
      <c r="AI46" s="108">
        <f t="shared" si="10"/>
        <v>0</v>
      </c>
      <c r="AJ46" s="108">
        <f t="shared" si="5"/>
        <v>0</v>
      </c>
      <c r="AK46" s="108">
        <f t="shared" si="6"/>
        <v>5</v>
      </c>
      <c r="AL46" s="108">
        <f t="shared" si="7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24">
        <v>40</v>
      </c>
      <c r="C47" s="25">
        <v>41814</v>
      </c>
      <c r="D47" s="26" t="s">
        <v>18</v>
      </c>
      <c r="E47" s="27" t="s">
        <v>9</v>
      </c>
      <c r="F47" s="28" t="s">
        <v>23</v>
      </c>
      <c r="G47" s="87">
        <v>1</v>
      </c>
      <c r="H47" s="27" t="s">
        <v>9</v>
      </c>
      <c r="I47" s="92">
        <v>1</v>
      </c>
      <c r="J47" s="29">
        <f t="shared" si="0"/>
        <v>3</v>
      </c>
      <c r="K47" s="11">
        <f t="shared" si="1"/>
        <v>1</v>
      </c>
      <c r="L47" s="11">
        <f t="shared" si="2"/>
        <v>1</v>
      </c>
      <c r="O47" s="48" t="s">
        <v>35</v>
      </c>
      <c r="P47" s="49">
        <f>SUMIF($D$8:$D$55,$O47,$G$8:$G$55)+SUMIF($F$8:$F$55,$O47,$I$8:$I$55)</f>
        <v>2</v>
      </c>
      <c r="Q47" s="49">
        <f>SUMIF($D$8:$D$55,$O47,$I$8:$I$55)+SUMIF($F$8:$F$55,$O47,$G$8:$G$55)</f>
        <v>6</v>
      </c>
      <c r="R47" s="49">
        <f>P47-Q47</f>
        <v>-4</v>
      </c>
      <c r="S47" s="50">
        <f>SUMIF($D$8:$D$55,$O47,$K$8:$K$55)+SUMIF($F$8:$F$55,$O47,$L$8:$L$55)</f>
        <v>1</v>
      </c>
      <c r="T47" s="95" t="s">
        <v>79</v>
      </c>
      <c r="U47" s="40"/>
      <c r="V47" s="40" t="str">
        <f>O47</f>
        <v>Ghana</v>
      </c>
      <c r="W47" s="40" t="s">
        <v>79</v>
      </c>
      <c r="Y47" s="109">
        <f t="shared" si="8"/>
        <v>1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1</v>
      </c>
      <c r="AG47" s="108">
        <f t="shared" si="3"/>
        <v>0</v>
      </c>
      <c r="AH47" s="108">
        <f t="shared" si="4"/>
        <v>1</v>
      </c>
      <c r="AI47" s="108">
        <f t="shared" si="10"/>
        <v>0</v>
      </c>
      <c r="AJ47" s="108">
        <f t="shared" si="5"/>
        <v>0</v>
      </c>
      <c r="AK47" s="108">
        <f t="shared" si="6"/>
        <v>0</v>
      </c>
      <c r="AL47" s="108">
        <f t="shared" si="7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12">
        <v>41</v>
      </c>
      <c r="C48" s="13">
        <v>41815</v>
      </c>
      <c r="D48" s="14" t="s">
        <v>34</v>
      </c>
      <c r="E48" s="15" t="s">
        <v>9</v>
      </c>
      <c r="F48" s="16" t="s">
        <v>29</v>
      </c>
      <c r="G48" s="85">
        <v>1</v>
      </c>
      <c r="H48" s="15" t="s">
        <v>9</v>
      </c>
      <c r="I48" s="90">
        <v>4</v>
      </c>
      <c r="J48" s="17">
        <f t="shared" si="0"/>
        <v>2</v>
      </c>
      <c r="K48" s="11">
        <f t="shared" si="1"/>
        <v>0</v>
      </c>
      <c r="L48" s="11">
        <f t="shared" si="2"/>
        <v>3</v>
      </c>
      <c r="O48" s="51" t="s">
        <v>36</v>
      </c>
      <c r="P48" s="52">
        <f>SUMIF($D$8:$D$55,$O48,$G$8:$G$55)+SUMIF($F$8:$F$55,$O48,$I$8:$I$55)</f>
        <v>5</v>
      </c>
      <c r="Q48" s="52">
        <f>SUMIF($D$8:$D$55,$O48,$I$8:$I$55)+SUMIF($F$8:$F$55,$O48,$G$8:$G$55)</f>
        <v>8</v>
      </c>
      <c r="R48" s="52">
        <f>P48-Q48</f>
        <v>-3</v>
      </c>
      <c r="S48" s="53">
        <f>SUMIF($D$8:$D$55,$O48,$K$8:$K$55)+SUMIF($F$8:$F$55,$O48,$L$8:$L$55)</f>
        <v>1</v>
      </c>
      <c r="T48" s="96" t="s">
        <v>80</v>
      </c>
      <c r="U48" s="40"/>
      <c r="V48" s="40" t="str">
        <f>O48</f>
        <v>Verenigde Staten</v>
      </c>
      <c r="W48" s="40" t="s">
        <v>80</v>
      </c>
      <c r="Y48" s="109">
        <f t="shared" si="8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5</v>
      </c>
      <c r="AG48" s="108">
        <f t="shared" si="3"/>
        <v>0</v>
      </c>
      <c r="AH48" s="108">
        <f t="shared" si="4"/>
        <v>0</v>
      </c>
      <c r="AI48" s="108">
        <f t="shared" si="10"/>
        <v>0</v>
      </c>
      <c r="AJ48" s="108">
        <f t="shared" si="5"/>
        <v>0</v>
      </c>
      <c r="AK48" s="108">
        <f t="shared" si="6"/>
        <v>5</v>
      </c>
      <c r="AL48" s="108">
        <f t="shared" si="7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18">
        <v>42</v>
      </c>
      <c r="C49" s="19">
        <v>41815</v>
      </c>
      <c r="D49" s="20" t="s">
        <v>30</v>
      </c>
      <c r="E49" s="21" t="s">
        <v>9</v>
      </c>
      <c r="F49" s="30" t="s">
        <v>33</v>
      </c>
      <c r="G49" s="86">
        <v>0</v>
      </c>
      <c r="H49" s="21" t="s">
        <v>9</v>
      </c>
      <c r="I49" s="91">
        <v>0</v>
      </c>
      <c r="J49" s="23">
        <f t="shared" si="0"/>
        <v>3</v>
      </c>
      <c r="K49" s="11">
        <f t="shared" si="1"/>
        <v>1</v>
      </c>
      <c r="L49" s="11">
        <f t="shared" si="2"/>
        <v>1</v>
      </c>
      <c r="O49" s="40"/>
      <c r="P49" s="41"/>
      <c r="Q49" s="41"/>
      <c r="R49" s="41"/>
      <c r="S49" s="41"/>
      <c r="T49" s="41"/>
      <c r="U49" s="40"/>
      <c r="V49" s="40"/>
      <c r="W49" s="40"/>
      <c r="Y49" s="109">
        <f t="shared" si="8"/>
        <v>0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0</v>
      </c>
      <c r="AG49" s="108">
        <f t="shared" si="3"/>
        <v>0</v>
      </c>
      <c r="AH49" s="108">
        <f t="shared" si="4"/>
        <v>0</v>
      </c>
      <c r="AI49" s="108">
        <f t="shared" si="10"/>
        <v>0</v>
      </c>
      <c r="AJ49" s="108">
        <f t="shared" si="5"/>
        <v>0</v>
      </c>
      <c r="AK49" s="108">
        <f t="shared" si="6"/>
        <v>0</v>
      </c>
      <c r="AL49" s="108">
        <f t="shared" si="7"/>
        <v>0</v>
      </c>
      <c r="AN49" s="40"/>
      <c r="AO49" s="41"/>
    </row>
    <row r="50" spans="2:54" ht="15.75" thickBot="1">
      <c r="B50" s="18">
        <v>43</v>
      </c>
      <c r="C50" s="19">
        <v>41815</v>
      </c>
      <c r="D50" s="20" t="s">
        <v>28</v>
      </c>
      <c r="E50" s="21" t="s">
        <v>9</v>
      </c>
      <c r="F50" s="30" t="s">
        <v>25</v>
      </c>
      <c r="G50" s="86">
        <v>1</v>
      </c>
      <c r="H50" s="21" t="s">
        <v>9</v>
      </c>
      <c r="I50" s="91">
        <v>2</v>
      </c>
      <c r="J50" s="23">
        <f t="shared" si="0"/>
        <v>2</v>
      </c>
      <c r="K50" s="11">
        <f t="shared" si="1"/>
        <v>0</v>
      </c>
      <c r="L50" s="11">
        <f t="shared" si="2"/>
        <v>3</v>
      </c>
      <c r="O50" s="72" t="s">
        <v>81</v>
      </c>
      <c r="P50" s="73" t="s">
        <v>42</v>
      </c>
      <c r="Q50" s="73" t="s">
        <v>43</v>
      </c>
      <c r="R50" s="74" t="s">
        <v>44</v>
      </c>
      <c r="S50" s="75" t="s">
        <v>45</v>
      </c>
      <c r="T50" s="76" t="s">
        <v>46</v>
      </c>
      <c r="U50" s="40"/>
      <c r="V50" s="40"/>
      <c r="W50" s="40"/>
      <c r="Y50" s="109">
        <f t="shared" si="8"/>
        <v>5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5</v>
      </c>
      <c r="AG50" s="108">
        <f t="shared" si="3"/>
        <v>0</v>
      </c>
      <c r="AH50" s="108">
        <f t="shared" si="4"/>
        <v>0</v>
      </c>
      <c r="AI50" s="108">
        <f t="shared" si="10"/>
        <v>0</v>
      </c>
      <c r="AJ50" s="108">
        <f t="shared" si="5"/>
        <v>0</v>
      </c>
      <c r="AK50" s="108">
        <f t="shared" si="6"/>
        <v>5</v>
      </c>
      <c r="AL50" s="108">
        <f t="shared" si="7"/>
        <v>0</v>
      </c>
      <c r="AN50" s="42" t="s">
        <v>81</v>
      </c>
      <c r="AO50" s="43" t="s">
        <v>46</v>
      </c>
    </row>
    <row r="51" spans="2:54" ht="15.75" thickBot="1">
      <c r="B51" s="24">
        <v>44</v>
      </c>
      <c r="C51" s="25">
        <v>41815</v>
      </c>
      <c r="D51" s="26" t="s">
        <v>26</v>
      </c>
      <c r="E51" s="27" t="s">
        <v>9</v>
      </c>
      <c r="F51" s="28" t="s">
        <v>27</v>
      </c>
      <c r="G51" s="87">
        <v>2</v>
      </c>
      <c r="H51" s="27" t="s">
        <v>9</v>
      </c>
      <c r="I51" s="92">
        <v>3</v>
      </c>
      <c r="J51" s="29">
        <f t="shared" si="0"/>
        <v>2</v>
      </c>
      <c r="K51" s="11">
        <f t="shared" si="1"/>
        <v>0</v>
      </c>
      <c r="L51" s="11">
        <f t="shared" si="2"/>
        <v>3</v>
      </c>
      <c r="O51" s="44" t="s">
        <v>37</v>
      </c>
      <c r="P51" s="45">
        <f>SUMIF($D$8:$D$55,$O51,$G$8:$G$55)+SUMIF($F$8:$F$55,$O51,$I$8:$I$55)</f>
        <v>8</v>
      </c>
      <c r="Q51" s="45">
        <f>SUMIF($D$8:$D$55,$O51,$I$8:$I$55)+SUMIF($F$8:$F$55,$O51,$G$8:$G$55)</f>
        <v>3</v>
      </c>
      <c r="R51" s="46">
        <f>P51-Q51</f>
        <v>5</v>
      </c>
      <c r="S51" s="47">
        <f>SUMIF($D$8:$D$55,$O51,$K$8:$K$55)+SUMIF($F$8:$F$55,$O51,$L$8:$L$55)</f>
        <v>7</v>
      </c>
      <c r="T51" s="94" t="s">
        <v>82</v>
      </c>
      <c r="U51" s="40"/>
      <c r="V51" s="40" t="str">
        <f>O51</f>
        <v>België</v>
      </c>
      <c r="W51" s="40" t="s">
        <v>82</v>
      </c>
      <c r="Y51" s="109">
        <f t="shared" si="8"/>
        <v>0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0</v>
      </c>
      <c r="AG51" s="108">
        <f t="shared" si="3"/>
        <v>0</v>
      </c>
      <c r="AH51" s="108">
        <f t="shared" si="4"/>
        <v>0</v>
      </c>
      <c r="AI51" s="108">
        <f t="shared" si="10"/>
        <v>0</v>
      </c>
      <c r="AJ51" s="108">
        <f t="shared" si="5"/>
        <v>0</v>
      </c>
      <c r="AK51" s="108">
        <f t="shared" si="6"/>
        <v>0</v>
      </c>
      <c r="AL51" s="108">
        <f t="shared" si="7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18">
        <v>45</v>
      </c>
      <c r="C52" s="19">
        <v>41816</v>
      </c>
      <c r="D52" s="20" t="s">
        <v>36</v>
      </c>
      <c r="E52" s="21" t="s">
        <v>9</v>
      </c>
      <c r="F52" s="30" t="s">
        <v>31</v>
      </c>
      <c r="G52" s="86">
        <v>2</v>
      </c>
      <c r="H52" s="21" t="s">
        <v>9</v>
      </c>
      <c r="I52" s="91">
        <v>4</v>
      </c>
      <c r="J52" s="17">
        <f t="shared" si="0"/>
        <v>2</v>
      </c>
      <c r="K52" s="11">
        <f t="shared" si="1"/>
        <v>0</v>
      </c>
      <c r="L52" s="11">
        <f t="shared" si="2"/>
        <v>3</v>
      </c>
      <c r="O52" s="48" t="s">
        <v>38</v>
      </c>
      <c r="P52" s="49">
        <f>SUMIF($D$8:$D$55,$O52,$G$8:$G$55)+SUMIF($F$8:$F$55,$O52,$I$8:$I$55)</f>
        <v>3</v>
      </c>
      <c r="Q52" s="49">
        <f>SUMIF($D$8:$D$55,$O52,$I$8:$I$55)+SUMIF($F$8:$F$55,$O52,$G$8:$G$55)</f>
        <v>7</v>
      </c>
      <c r="R52" s="49">
        <f>P52-Q52</f>
        <v>-4</v>
      </c>
      <c r="S52" s="50">
        <f>SUMIF($D$8:$D$55,$O52,$K$8:$K$55)+SUMIF($F$8:$F$55,$O52,$L$8:$L$55)</f>
        <v>1</v>
      </c>
      <c r="T52" s="95" t="s">
        <v>85</v>
      </c>
      <c r="U52" s="40"/>
      <c r="V52" s="40" t="str">
        <f>O52</f>
        <v>Algerije</v>
      </c>
      <c r="W52" s="40" t="s">
        <v>83</v>
      </c>
      <c r="Y52" s="109">
        <f t="shared" si="8"/>
        <v>5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5</v>
      </c>
      <c r="AG52" s="108">
        <f t="shared" si="3"/>
        <v>0</v>
      </c>
      <c r="AH52" s="108">
        <f t="shared" si="4"/>
        <v>0</v>
      </c>
      <c r="AI52" s="108">
        <f t="shared" si="10"/>
        <v>0</v>
      </c>
      <c r="AJ52" s="108">
        <f t="shared" si="5"/>
        <v>0</v>
      </c>
      <c r="AK52" s="108">
        <f t="shared" si="6"/>
        <v>5</v>
      </c>
      <c r="AL52" s="108">
        <f t="shared" si="7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18">
        <v>46</v>
      </c>
      <c r="C53" s="19">
        <v>41816</v>
      </c>
      <c r="D53" s="20" t="s">
        <v>32</v>
      </c>
      <c r="E53" s="21" t="s">
        <v>9</v>
      </c>
      <c r="F53" s="30" t="s">
        <v>35</v>
      </c>
      <c r="G53" s="86">
        <v>2</v>
      </c>
      <c r="H53" s="21" t="s">
        <v>9</v>
      </c>
      <c r="I53" s="91">
        <v>1</v>
      </c>
      <c r="J53" s="23">
        <f t="shared" si="0"/>
        <v>1</v>
      </c>
      <c r="K53" s="11">
        <f t="shared" si="1"/>
        <v>3</v>
      </c>
      <c r="L53" s="11">
        <f t="shared" si="2"/>
        <v>0</v>
      </c>
      <c r="O53" s="48" t="s">
        <v>39</v>
      </c>
      <c r="P53" s="49">
        <f>SUMIF($D$8:$D$55,$O53,$G$8:$G$55)+SUMIF($F$8:$F$55,$O53,$I$8:$I$55)</f>
        <v>6</v>
      </c>
      <c r="Q53" s="49">
        <f>SUMIF($D$8:$D$55,$O53,$I$8:$I$55)+SUMIF($F$8:$F$55,$O53,$G$8:$G$55)</f>
        <v>4</v>
      </c>
      <c r="R53" s="49">
        <f>P53-Q53</f>
        <v>2</v>
      </c>
      <c r="S53" s="50">
        <f>SUMIF($D$8:$D$55,$O53,$K$8:$K$55)+SUMIF($F$8:$F$55,$O53,$L$8:$L$55)</f>
        <v>5</v>
      </c>
      <c r="T53" s="95" t="s">
        <v>83</v>
      </c>
      <c r="U53" s="40"/>
      <c r="V53" s="40" t="str">
        <f>O53</f>
        <v>Rusland</v>
      </c>
      <c r="W53" s="40" t="s">
        <v>84</v>
      </c>
      <c r="Y53" s="109">
        <f t="shared" si="8"/>
        <v>10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10</v>
      </c>
      <c r="AG53" s="108">
        <f t="shared" si="3"/>
        <v>1</v>
      </c>
      <c r="AH53" s="108">
        <f t="shared" si="4"/>
        <v>1</v>
      </c>
      <c r="AI53" s="108">
        <f t="shared" si="10"/>
        <v>10</v>
      </c>
      <c r="AJ53" s="108">
        <f t="shared" si="5"/>
        <v>5</v>
      </c>
      <c r="AK53" s="108">
        <f t="shared" si="6"/>
        <v>0</v>
      </c>
      <c r="AL53" s="108">
        <f t="shared" si="7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18">
        <v>47</v>
      </c>
      <c r="C54" s="19">
        <v>41816</v>
      </c>
      <c r="D54" s="20" t="s">
        <v>40</v>
      </c>
      <c r="E54" s="21" t="s">
        <v>9</v>
      </c>
      <c r="F54" s="30" t="s">
        <v>37</v>
      </c>
      <c r="G54" s="86">
        <v>1</v>
      </c>
      <c r="H54" s="21" t="s">
        <v>9</v>
      </c>
      <c r="I54" s="91">
        <v>3</v>
      </c>
      <c r="J54" s="23">
        <f t="shared" si="0"/>
        <v>2</v>
      </c>
      <c r="K54" s="11">
        <f t="shared" si="1"/>
        <v>0</v>
      </c>
      <c r="L54" s="11">
        <f t="shared" si="2"/>
        <v>3</v>
      </c>
      <c r="O54" s="51" t="s">
        <v>40</v>
      </c>
      <c r="P54" s="52">
        <f>SUMIF($D$8:$D$55,$O54,$G$8:$G$55)+SUMIF($F$8:$F$55,$O54,$I$8:$I$55)</f>
        <v>3</v>
      </c>
      <c r="Q54" s="52">
        <f>SUMIF($D$8:$D$55,$O54,$I$8:$I$55)+SUMIF($F$8:$F$55,$O54,$G$8:$G$55)</f>
        <v>6</v>
      </c>
      <c r="R54" s="52">
        <f>P54-Q54</f>
        <v>-3</v>
      </c>
      <c r="S54" s="53">
        <f>SUMIF($D$8:$D$55,$O54,$K$8:$K$55)+SUMIF($F$8:$F$55,$O54,$L$8:$L$55)</f>
        <v>3</v>
      </c>
      <c r="T54" s="96" t="s">
        <v>84</v>
      </c>
      <c r="U54" s="40"/>
      <c r="V54" s="40" t="str">
        <f>O54</f>
        <v>Zuid Korea</v>
      </c>
      <c r="W54" s="40" t="s">
        <v>85</v>
      </c>
      <c r="Y54" s="109">
        <f t="shared" si="8"/>
        <v>5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5</v>
      </c>
      <c r="AG54" s="108">
        <f t="shared" si="3"/>
        <v>0</v>
      </c>
      <c r="AH54" s="108">
        <f t="shared" si="4"/>
        <v>0</v>
      </c>
      <c r="AI54" s="108">
        <f t="shared" si="10"/>
        <v>0</v>
      </c>
      <c r="AJ54" s="108">
        <f t="shared" si="5"/>
        <v>0</v>
      </c>
      <c r="AK54" s="108">
        <f t="shared" si="6"/>
        <v>5</v>
      </c>
      <c r="AL54" s="108">
        <f t="shared" si="7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3">
        <v>48</v>
      </c>
      <c r="C55" s="34">
        <v>41816</v>
      </c>
      <c r="D55" s="35" t="s">
        <v>38</v>
      </c>
      <c r="E55" s="36" t="s">
        <v>9</v>
      </c>
      <c r="F55" s="37" t="s">
        <v>39</v>
      </c>
      <c r="G55" s="88">
        <v>2</v>
      </c>
      <c r="H55" s="36" t="s">
        <v>9</v>
      </c>
      <c r="I55" s="93">
        <v>2</v>
      </c>
      <c r="J55" s="38">
        <f t="shared" si="0"/>
        <v>3</v>
      </c>
      <c r="K55" s="11">
        <f t="shared" si="1"/>
        <v>1</v>
      </c>
      <c r="L55" s="11">
        <f t="shared" si="2"/>
        <v>1</v>
      </c>
      <c r="O55" s="40"/>
      <c r="P55" s="41"/>
      <c r="Q55" s="41"/>
      <c r="R55" s="41"/>
      <c r="S55" s="41"/>
      <c r="T55" s="41"/>
      <c r="U55" s="40"/>
      <c r="V55" s="40"/>
      <c r="W55" s="40"/>
      <c r="Y55" s="109">
        <f t="shared" si="8"/>
        <v>5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5</v>
      </c>
      <c r="AG55" s="108">
        <f t="shared" si="3"/>
        <v>0</v>
      </c>
      <c r="AH55" s="108">
        <f t="shared" si="4"/>
        <v>0</v>
      </c>
      <c r="AI55" s="108">
        <f t="shared" si="10"/>
        <v>0</v>
      </c>
      <c r="AJ55" s="108">
        <f t="shared" si="5"/>
        <v>0</v>
      </c>
      <c r="AK55" s="108">
        <f t="shared" si="6"/>
        <v>0</v>
      </c>
      <c r="AL55" s="108">
        <f t="shared" si="7"/>
        <v>5</v>
      </c>
    </row>
    <row r="56" spans="2:54" ht="15.75" thickBot="1">
      <c r="B56" s="1"/>
      <c r="C56" s="39"/>
      <c r="D56" s="40"/>
      <c r="E56" s="1"/>
      <c r="F56" s="40"/>
      <c r="G56" s="1"/>
      <c r="H56" s="1"/>
      <c r="I56" s="1"/>
      <c r="J56" s="1"/>
      <c r="K56" s="1"/>
      <c r="L56" s="1"/>
      <c r="M56" s="1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195"/>
      <c r="K57" s="1"/>
      <c r="L57" s="1"/>
      <c r="M57" s="1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78" t="s">
        <v>1</v>
      </c>
      <c r="C58" s="79" t="s">
        <v>2</v>
      </c>
      <c r="D58" s="187" t="s">
        <v>3</v>
      </c>
      <c r="E58" s="81"/>
      <c r="F58" s="194" t="s">
        <v>4</v>
      </c>
      <c r="G58" s="867" t="s">
        <v>5</v>
      </c>
      <c r="H58" s="868"/>
      <c r="I58" s="869"/>
      <c r="J58" s="83" t="s">
        <v>6</v>
      </c>
      <c r="K58" s="1"/>
      <c r="L58" s="1"/>
      <c r="M58" s="1"/>
      <c r="O58" s="135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12">
        <v>49</v>
      </c>
      <c r="C59" s="189">
        <v>41818</v>
      </c>
      <c r="D59" s="153" t="str">
        <f t="shared" ref="D59:D66" si="13">IF(ISERROR(Z59),K59,Z59)</f>
        <v>Brazilië</v>
      </c>
      <c r="E59" s="15" t="s">
        <v>9</v>
      </c>
      <c r="F59" s="56" t="str">
        <f t="shared" ref="F59:F66" si="14">IF(ISERROR(AA59),L59,AA59)</f>
        <v>Spanje</v>
      </c>
      <c r="G59" s="85">
        <v>3</v>
      </c>
      <c r="H59" s="15" t="s">
        <v>9</v>
      </c>
      <c r="I59" s="97">
        <v>2</v>
      </c>
      <c r="J59" s="98">
        <v>1</v>
      </c>
      <c r="K59" s="57" t="s">
        <v>48</v>
      </c>
      <c r="L59" s="57" t="s">
        <v>53</v>
      </c>
      <c r="M59" s="57">
        <v>1</v>
      </c>
      <c r="O59" s="135">
        <v>2</v>
      </c>
      <c r="P59" s="877" t="s">
        <v>220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5">AF59</f>
        <v>0</v>
      </c>
      <c r="Z59" t="str">
        <f t="shared" ref="Z59:AA65" si="16">IF(K59=""," ",VLOOKUP(K59,$T$9:$V$54,3,FALSE))</f>
        <v>Brazilië</v>
      </c>
      <c r="AA59" t="str">
        <f t="shared" si="16"/>
        <v>Spanje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7">IF(OR(AC59="",AD59=""),0,(IF(SUM(AG59:AL59)&gt;10,10,SUM(AG59:AL59))))</f>
        <v>0</v>
      </c>
      <c r="AG59" s="108">
        <f t="shared" ref="AG59:AG66" si="18">IF(AC59="",0,(IF(G59=AC59,1,0)))</f>
        <v>0</v>
      </c>
      <c r="AH59" s="108">
        <f t="shared" ref="AH59:AH66" si="19">IF(AD59="",0,(IF(I59=AD59,1,0)))</f>
        <v>0</v>
      </c>
      <c r="AI59" s="108">
        <f t="shared" ref="AI59:AI66" si="20">IF(AND(AG59=1,AH59=1),10,0)</f>
        <v>0</v>
      </c>
      <c r="AJ59" s="108">
        <f t="shared" ref="AJ59:AJ66" si="21">IF(AND(G59&gt;I59,AC59&gt;AD59),5,0)</f>
        <v>0</v>
      </c>
      <c r="AK59" s="108">
        <f t="shared" ref="AK59:AK66" si="22">IF(AND(G59&lt;I59,AC59&lt;AD59),5,0)</f>
        <v>0</v>
      </c>
      <c r="AL59" s="108">
        <f t="shared" ref="AL59:AL66" si="23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4">BA59</f>
        <v>3</v>
      </c>
    </row>
    <row r="60" spans="2:54">
      <c r="B60" s="24">
        <v>50</v>
      </c>
      <c r="C60" s="190">
        <v>41818</v>
      </c>
      <c r="D60" s="154" t="str">
        <f t="shared" si="13"/>
        <v>Colombia</v>
      </c>
      <c r="E60" s="27" t="s">
        <v>9</v>
      </c>
      <c r="F60" s="59" t="str">
        <f t="shared" si="14"/>
        <v>Engeland</v>
      </c>
      <c r="G60" s="87">
        <v>2</v>
      </c>
      <c r="H60" s="27" t="s">
        <v>9</v>
      </c>
      <c r="I60" s="99">
        <v>1</v>
      </c>
      <c r="J60" s="100">
        <v>1</v>
      </c>
      <c r="K60" s="57" t="s">
        <v>57</v>
      </c>
      <c r="L60" s="57" t="s">
        <v>63</v>
      </c>
      <c r="M60" s="57">
        <v>2</v>
      </c>
      <c r="O60" s="135">
        <v>3</v>
      </c>
      <c r="P60" s="877" t="s">
        <v>225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5"/>
        <v>6</v>
      </c>
      <c r="Z60" t="str">
        <f t="shared" si="16"/>
        <v>Colombia</v>
      </c>
      <c r="AA60" t="str">
        <f t="shared" si="16"/>
        <v>Engeland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7"/>
        <v>6</v>
      </c>
      <c r="AG60" s="108">
        <f t="shared" si="18"/>
        <v>1</v>
      </c>
      <c r="AH60" s="108">
        <f t="shared" si="19"/>
        <v>0</v>
      </c>
      <c r="AI60" s="108">
        <f t="shared" si="20"/>
        <v>0</v>
      </c>
      <c r="AJ60" s="108">
        <f t="shared" si="21"/>
        <v>5</v>
      </c>
      <c r="AK60" s="108">
        <f t="shared" si="22"/>
        <v>0</v>
      </c>
      <c r="AL60" s="108">
        <f t="shared" si="23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4"/>
        <v>3</v>
      </c>
    </row>
    <row r="61" spans="2:54">
      <c r="B61" s="12">
        <v>51</v>
      </c>
      <c r="C61" s="189">
        <v>41819</v>
      </c>
      <c r="D61" s="188" t="str">
        <f t="shared" si="13"/>
        <v>Nederland</v>
      </c>
      <c r="E61" s="15" t="s">
        <v>9</v>
      </c>
      <c r="F61" s="56" t="str">
        <f t="shared" si="14"/>
        <v>Mexico</v>
      </c>
      <c r="G61" s="85">
        <v>2</v>
      </c>
      <c r="H61" s="15" t="s">
        <v>9</v>
      </c>
      <c r="I61" s="97">
        <v>1</v>
      </c>
      <c r="J61" s="98">
        <v>1</v>
      </c>
      <c r="K61" s="57" t="s">
        <v>52</v>
      </c>
      <c r="L61" s="57" t="s">
        <v>49</v>
      </c>
      <c r="M61" s="57"/>
      <c r="O61" s="135">
        <v>4</v>
      </c>
      <c r="P61" s="877" t="s">
        <v>211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5"/>
        <v>10</v>
      </c>
      <c r="Z61" t="str">
        <f t="shared" si="16"/>
        <v>Nederland</v>
      </c>
      <c r="AA61" t="str">
        <f t="shared" si="16"/>
        <v>Mexico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7"/>
        <v>10</v>
      </c>
      <c r="AG61" s="108">
        <f t="shared" si="18"/>
        <v>1</v>
      </c>
      <c r="AH61" s="108">
        <f t="shared" si="19"/>
        <v>1</v>
      </c>
      <c r="AI61" s="108">
        <f t="shared" si="20"/>
        <v>10</v>
      </c>
      <c r="AJ61" s="108">
        <f t="shared" si="21"/>
        <v>5</v>
      </c>
      <c r="AK61" s="108">
        <f t="shared" si="22"/>
        <v>0</v>
      </c>
      <c r="AL61" s="108">
        <f t="shared" si="23"/>
        <v>0</v>
      </c>
      <c r="AZ61" s="138" t="str">
        <f>Uitslag!P61</f>
        <v>Ron Vlaar (v)</v>
      </c>
      <c r="BA61" s="140">
        <f t="shared" si="12"/>
        <v>3</v>
      </c>
      <c r="BB61" s="139">
        <f t="shared" si="24"/>
        <v>3</v>
      </c>
    </row>
    <row r="62" spans="2:54">
      <c r="B62" s="24">
        <v>52</v>
      </c>
      <c r="C62" s="190">
        <v>41819</v>
      </c>
      <c r="D62" s="188" t="str">
        <f t="shared" si="13"/>
        <v>Uruguay</v>
      </c>
      <c r="E62" s="27" t="s">
        <v>9</v>
      </c>
      <c r="F62" s="59" t="str">
        <f t="shared" si="14"/>
        <v>Ivoorkust</v>
      </c>
      <c r="G62" s="87">
        <v>3</v>
      </c>
      <c r="H62" s="27" t="s">
        <v>9</v>
      </c>
      <c r="I62" s="99">
        <v>0</v>
      </c>
      <c r="J62" s="100">
        <v>1</v>
      </c>
      <c r="K62" s="57" t="s">
        <v>62</v>
      </c>
      <c r="L62" s="57" t="s">
        <v>58</v>
      </c>
      <c r="M62" s="57"/>
      <c r="O62" s="135">
        <v>5</v>
      </c>
      <c r="P62" s="877" t="s">
        <v>209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5"/>
        <v>0</v>
      </c>
      <c r="Z62" t="str">
        <f t="shared" si="16"/>
        <v>Uruguay</v>
      </c>
      <c r="AA62" t="str">
        <f t="shared" si="16"/>
        <v>Ivoorkust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7"/>
        <v>0</v>
      </c>
      <c r="AG62" s="108">
        <f t="shared" si="18"/>
        <v>0</v>
      </c>
      <c r="AH62" s="108">
        <f t="shared" si="19"/>
        <v>0</v>
      </c>
      <c r="AI62" s="108">
        <f t="shared" si="20"/>
        <v>0</v>
      </c>
      <c r="AJ62" s="108">
        <f t="shared" si="21"/>
        <v>0</v>
      </c>
      <c r="AK62" s="108">
        <f t="shared" si="22"/>
        <v>0</v>
      </c>
      <c r="AL62" s="108">
        <f t="shared" si="23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4"/>
        <v>3</v>
      </c>
    </row>
    <row r="63" spans="2:54">
      <c r="B63" s="12">
        <v>53</v>
      </c>
      <c r="C63" s="189">
        <v>41820</v>
      </c>
      <c r="D63" s="153" t="str">
        <f t="shared" si="13"/>
        <v>Frankrijk</v>
      </c>
      <c r="E63" s="15" t="s">
        <v>9</v>
      </c>
      <c r="F63" s="56" t="str">
        <f t="shared" si="14"/>
        <v>Bosnië H.</v>
      </c>
      <c r="G63" s="85">
        <v>2</v>
      </c>
      <c r="H63" s="15" t="s">
        <v>9</v>
      </c>
      <c r="I63" s="97">
        <v>1</v>
      </c>
      <c r="J63" s="98">
        <v>1</v>
      </c>
      <c r="K63" s="57" t="s">
        <v>67</v>
      </c>
      <c r="L63" s="57" t="s">
        <v>73</v>
      </c>
      <c r="M63" s="57"/>
      <c r="O63" s="135">
        <v>6</v>
      </c>
      <c r="P63" s="877" t="s">
        <v>212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5"/>
        <v>6</v>
      </c>
      <c r="Z63" t="str">
        <f t="shared" si="16"/>
        <v>Frankrijk</v>
      </c>
      <c r="AA63" t="str">
        <f t="shared" si="16"/>
        <v>Bosnië H.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7"/>
        <v>6</v>
      </c>
      <c r="AG63" s="108">
        <f t="shared" si="18"/>
        <v>1</v>
      </c>
      <c r="AH63" s="108">
        <f t="shared" si="19"/>
        <v>0</v>
      </c>
      <c r="AI63" s="108">
        <f t="shared" si="20"/>
        <v>0</v>
      </c>
      <c r="AJ63" s="108">
        <f t="shared" si="21"/>
        <v>5</v>
      </c>
      <c r="AK63" s="108">
        <f t="shared" si="22"/>
        <v>0</v>
      </c>
      <c r="AL63" s="108">
        <f t="shared" si="23"/>
        <v>0</v>
      </c>
      <c r="AZ63" s="138" t="str">
        <f>Uitslag!P63</f>
        <v>Daley Blind (v)</v>
      </c>
      <c r="BA63" s="140">
        <f t="shared" si="12"/>
        <v>3</v>
      </c>
      <c r="BB63" s="139">
        <f t="shared" si="24"/>
        <v>3</v>
      </c>
    </row>
    <row r="64" spans="2:54">
      <c r="B64" s="24">
        <v>54</v>
      </c>
      <c r="C64" s="190">
        <v>41820</v>
      </c>
      <c r="D64" s="154" t="str">
        <f t="shared" si="13"/>
        <v>Duitsland</v>
      </c>
      <c r="E64" s="27" t="s">
        <v>9</v>
      </c>
      <c r="F64" s="59" t="str">
        <f t="shared" si="14"/>
        <v>Rusland</v>
      </c>
      <c r="G64" s="87">
        <v>2</v>
      </c>
      <c r="H64" s="27" t="s">
        <v>9</v>
      </c>
      <c r="I64" s="99">
        <v>1</v>
      </c>
      <c r="J64" s="100">
        <v>1</v>
      </c>
      <c r="K64" s="57" t="s">
        <v>77</v>
      </c>
      <c r="L64" s="57" t="s">
        <v>83</v>
      </c>
      <c r="M64" s="57"/>
      <c r="O64" s="135">
        <v>7</v>
      </c>
      <c r="P64" s="877" t="s">
        <v>221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5"/>
        <v>0</v>
      </c>
      <c r="Z64" t="str">
        <f t="shared" si="16"/>
        <v>Duitsland</v>
      </c>
      <c r="AA64" t="str">
        <f t="shared" si="16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7"/>
        <v>0</v>
      </c>
      <c r="AG64" s="108">
        <f t="shared" si="18"/>
        <v>0</v>
      </c>
      <c r="AH64" s="108">
        <f t="shared" si="19"/>
        <v>0</v>
      </c>
      <c r="AI64" s="108">
        <f t="shared" si="20"/>
        <v>0</v>
      </c>
      <c r="AJ64" s="108">
        <f t="shared" si="21"/>
        <v>0</v>
      </c>
      <c r="AK64" s="108">
        <f t="shared" si="22"/>
        <v>0</v>
      </c>
      <c r="AL64" s="108">
        <f t="shared" si="23"/>
        <v>0</v>
      </c>
      <c r="AZ64" s="138" t="str">
        <f>Uitslag!P64</f>
        <v>Wesley Sneijder (m)</v>
      </c>
      <c r="BA64" s="140">
        <f t="shared" si="12"/>
        <v>0</v>
      </c>
      <c r="BB64" s="139">
        <f t="shared" si="24"/>
        <v>0</v>
      </c>
    </row>
    <row r="65" spans="2:54">
      <c r="B65" s="18">
        <v>55</v>
      </c>
      <c r="C65" s="191">
        <v>41821</v>
      </c>
      <c r="D65" s="153" t="str">
        <f t="shared" si="13"/>
        <v>Argentinië</v>
      </c>
      <c r="E65" s="21" t="s">
        <v>9</v>
      </c>
      <c r="F65" s="60" t="str">
        <f t="shared" si="14"/>
        <v>Ecuador</v>
      </c>
      <c r="G65" s="86">
        <v>3</v>
      </c>
      <c r="H65" s="21" t="s">
        <v>9</v>
      </c>
      <c r="I65" s="101">
        <v>0</v>
      </c>
      <c r="J65" s="102">
        <v>1</v>
      </c>
      <c r="K65" s="57" t="s">
        <v>72</v>
      </c>
      <c r="L65" s="57" t="s">
        <v>68</v>
      </c>
      <c r="M65" s="57"/>
      <c r="O65" s="135">
        <v>8</v>
      </c>
      <c r="P65" s="877" t="s">
        <v>214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5"/>
        <v>1</v>
      </c>
      <c r="Z65" t="str">
        <f t="shared" si="16"/>
        <v>Argentinië</v>
      </c>
      <c r="AA65" t="str">
        <f t="shared" si="16"/>
        <v>Ecuador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7"/>
        <v>1</v>
      </c>
      <c r="AG65" s="108">
        <f t="shared" si="18"/>
        <v>0</v>
      </c>
      <c r="AH65" s="108">
        <f t="shared" si="19"/>
        <v>1</v>
      </c>
      <c r="AI65" s="108">
        <f t="shared" si="20"/>
        <v>0</v>
      </c>
      <c r="AJ65" s="108">
        <f t="shared" si="21"/>
        <v>0</v>
      </c>
      <c r="AK65" s="108">
        <f t="shared" si="22"/>
        <v>0</v>
      </c>
      <c r="AL65" s="108">
        <f t="shared" si="23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4"/>
        <v>3</v>
      </c>
    </row>
    <row r="66" spans="2:54" ht="15.75" thickBot="1">
      <c r="B66" s="33">
        <v>56</v>
      </c>
      <c r="C66" s="186">
        <v>41821</v>
      </c>
      <c r="D66" s="155" t="str">
        <f t="shared" si="13"/>
        <v>België</v>
      </c>
      <c r="E66" s="36" t="s">
        <v>9</v>
      </c>
      <c r="F66" s="62" t="str">
        <f t="shared" si="14"/>
        <v>Portugal</v>
      </c>
      <c r="G66" s="88">
        <v>1</v>
      </c>
      <c r="H66" s="36" t="s">
        <v>9</v>
      </c>
      <c r="I66" s="103">
        <v>1</v>
      </c>
      <c r="J66" s="104">
        <v>1</v>
      </c>
      <c r="K66" s="57" t="s">
        <v>82</v>
      </c>
      <c r="L66" s="57" t="s">
        <v>78</v>
      </c>
      <c r="M66" s="57"/>
      <c r="O66" s="135">
        <v>9</v>
      </c>
      <c r="P66" s="877" t="s">
        <v>213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5"/>
        <v>5</v>
      </c>
      <c r="Z66" t="str">
        <f>IF(K66=""," ",VLOOKUP(K66,$T$9:$V$54,3,FALSE))</f>
        <v>België</v>
      </c>
      <c r="AA66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7"/>
        <v>5</v>
      </c>
      <c r="AG66" s="108">
        <f t="shared" si="18"/>
        <v>0</v>
      </c>
      <c r="AH66" s="108">
        <f t="shared" si="19"/>
        <v>0</v>
      </c>
      <c r="AI66" s="108">
        <f t="shared" si="20"/>
        <v>0</v>
      </c>
      <c r="AJ66" s="108">
        <f t="shared" si="21"/>
        <v>0</v>
      </c>
      <c r="AK66" s="108">
        <f t="shared" si="22"/>
        <v>0</v>
      </c>
      <c r="AL66" s="108">
        <f t="shared" si="23"/>
        <v>5</v>
      </c>
      <c r="AZ66" s="138" t="str">
        <f>Uitslag!P66</f>
        <v>Jonathan de Guzman (m)</v>
      </c>
      <c r="BA66" s="140">
        <f t="shared" si="12"/>
        <v>3</v>
      </c>
      <c r="BB66" s="139">
        <f t="shared" si="24"/>
        <v>3</v>
      </c>
    </row>
    <row r="67" spans="2:54" ht="15.75" thickBot="1">
      <c r="B67" s="1"/>
      <c r="C67" s="39"/>
      <c r="D67" s="40"/>
      <c r="E67" s="1"/>
      <c r="F67" s="40"/>
      <c r="G67" s="1"/>
      <c r="H67" s="1"/>
      <c r="I67" s="1"/>
      <c r="J67" s="1"/>
      <c r="K67" s="1"/>
      <c r="L67" s="1"/>
      <c r="M67" s="1"/>
      <c r="O67" s="135">
        <v>10</v>
      </c>
      <c r="P67" s="877" t="s">
        <v>216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4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195"/>
      <c r="K68" s="1"/>
      <c r="L68" s="1"/>
      <c r="M68" s="1"/>
      <c r="O68" s="135">
        <v>11</v>
      </c>
      <c r="P68" s="877" t="s">
        <v>215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4"/>
        <v>3</v>
      </c>
    </row>
    <row r="69" spans="2:54">
      <c r="B69" s="78" t="s">
        <v>1</v>
      </c>
      <c r="C69" s="79" t="s">
        <v>2</v>
      </c>
      <c r="D69" s="193" t="s">
        <v>3</v>
      </c>
      <c r="E69" s="81"/>
      <c r="F69" s="194" t="s">
        <v>4</v>
      </c>
      <c r="G69" s="867" t="s">
        <v>5</v>
      </c>
      <c r="H69" s="868"/>
      <c r="I69" s="869"/>
      <c r="J69" s="83" t="s">
        <v>6</v>
      </c>
      <c r="K69" s="1"/>
      <c r="L69" s="1"/>
      <c r="M69" s="1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30</v>
      </c>
      <c r="BB69" s="139" t="str">
        <f>IF(AND(BA69&lt;&gt;"",BA69=33),15,"nvt")</f>
        <v>nvt</v>
      </c>
    </row>
    <row r="70" spans="2:54">
      <c r="B70" s="12">
        <v>57</v>
      </c>
      <c r="C70" s="13">
        <v>41824</v>
      </c>
      <c r="D70" s="55" t="str">
        <f>IF(J63="","Winnaar 53",IF(J63=1,D63,F63))</f>
        <v>Frankrijk</v>
      </c>
      <c r="E70" s="15" t="s">
        <v>9</v>
      </c>
      <c r="F70" s="56" t="str">
        <f>IF(J64="","Winnaar 54",IF(J64=1,D64,F64))</f>
        <v>Duitsland</v>
      </c>
      <c r="G70" s="85">
        <v>2</v>
      </c>
      <c r="H70" s="15" t="s">
        <v>9</v>
      </c>
      <c r="I70" s="97">
        <v>2</v>
      </c>
      <c r="J70" s="98">
        <v>2</v>
      </c>
      <c r="K70" s="1"/>
      <c r="L70" s="1"/>
      <c r="M70" s="1"/>
      <c r="V70" t="s">
        <v>133</v>
      </c>
      <c r="W70" t="s">
        <v>126</v>
      </c>
      <c r="X70" t="str">
        <f t="shared" si="11"/>
        <v>Karim Rekik (v)</v>
      </c>
      <c r="Y70" s="109">
        <f>AF70</f>
        <v>0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0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0</v>
      </c>
      <c r="AL70" s="108">
        <f>IF(AND(G70=I70,AC70=AD70),5,0)</f>
        <v>0</v>
      </c>
    </row>
    <row r="71" spans="2:54">
      <c r="B71" s="24">
        <v>58</v>
      </c>
      <c r="C71" s="25">
        <v>41824</v>
      </c>
      <c r="D71" s="58" t="str">
        <f>IF(J59="","Winnaar 49",IF(J59=1,D59,F59))</f>
        <v>Brazilië</v>
      </c>
      <c r="E71" s="27" t="s">
        <v>9</v>
      </c>
      <c r="F71" s="59" t="str">
        <f>IF(J60="","Winnaar 50",IF(J60=1,D60,F60))</f>
        <v>Colombia</v>
      </c>
      <c r="G71" s="87">
        <v>3</v>
      </c>
      <c r="H71" s="27" t="s">
        <v>9</v>
      </c>
      <c r="I71" s="99">
        <v>1</v>
      </c>
      <c r="J71" s="100">
        <v>1</v>
      </c>
      <c r="K71" s="1"/>
      <c r="L71" s="1"/>
      <c r="M71" s="1"/>
      <c r="V71" t="s">
        <v>133</v>
      </c>
      <c r="W71" t="s">
        <v>194</v>
      </c>
      <c r="X71" t="str">
        <f t="shared" si="11"/>
        <v>Ron Vlaar (v)</v>
      </c>
      <c r="Y71" s="109">
        <f>AF71</f>
        <v>6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6</v>
      </c>
      <c r="AG71" s="108">
        <f>IF(AC71="",0,(IF(G71=AC71,1,0)))</f>
        <v>0</v>
      </c>
      <c r="AH71" s="108">
        <f>IF(AD71="",0,(IF(I71=AD71,1,0)))</f>
        <v>1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12">
        <v>59</v>
      </c>
      <c r="C72" s="13">
        <v>41825</v>
      </c>
      <c r="D72" s="55" t="str">
        <f>IF(J65="","Winnaar 55",IF(J65=1,D65,F65))</f>
        <v>Argentinië</v>
      </c>
      <c r="E72" s="15" t="s">
        <v>9</v>
      </c>
      <c r="F72" s="56" t="str">
        <f>IF(J66="","Winnaar 56",IF(J66=1,D66,F66))</f>
        <v>België</v>
      </c>
      <c r="G72" s="85">
        <v>2</v>
      </c>
      <c r="H72" s="15" t="s">
        <v>9</v>
      </c>
      <c r="I72" s="97">
        <v>2</v>
      </c>
      <c r="J72" s="98">
        <v>1</v>
      </c>
      <c r="K72" s="1"/>
      <c r="L72" s="1"/>
      <c r="M72" s="1"/>
      <c r="V72" t="s">
        <v>133</v>
      </c>
      <c r="W72" t="s">
        <v>195</v>
      </c>
      <c r="X72" t="str">
        <f t="shared" si="11"/>
        <v>John Heitinga (v)</v>
      </c>
      <c r="Y72" s="109">
        <f>AF72</f>
        <v>0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0</v>
      </c>
      <c r="AG72" s="108">
        <f>IF(AC72="",0,(IF(G72=AC72,1,0)))</f>
        <v>0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0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3">
        <v>60</v>
      </c>
      <c r="C73" s="34">
        <v>41825</v>
      </c>
      <c r="D73" s="61" t="str">
        <f>IF(J61="","Winnaar 51",IF(J61=1,D61,F61))</f>
        <v>Nederland</v>
      </c>
      <c r="E73" s="36" t="s">
        <v>9</v>
      </c>
      <c r="F73" s="62" t="str">
        <f>IF(J62="","Winnaar 52",IF(J62=1,D62,F62))</f>
        <v>Uruguay</v>
      </c>
      <c r="G73" s="88">
        <v>1</v>
      </c>
      <c r="H73" s="36" t="s">
        <v>9</v>
      </c>
      <c r="I73" s="103">
        <v>2</v>
      </c>
      <c r="J73" s="104">
        <v>2</v>
      </c>
      <c r="K73" s="1"/>
      <c r="L73" s="1"/>
      <c r="M73" s="1"/>
      <c r="V73" t="s">
        <v>133</v>
      </c>
      <c r="W73" t="s">
        <v>196</v>
      </c>
      <c r="X73" t="str">
        <f t="shared" si="11"/>
        <v>Urby Emanuelson (v)</v>
      </c>
      <c r="Y73" s="109">
        <f>AF73</f>
        <v>0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0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1"/>
      <c r="C74" s="39"/>
      <c r="D74" s="40"/>
      <c r="E74" s="1"/>
      <c r="F74" s="40"/>
      <c r="G74" s="1"/>
      <c r="H74" s="1"/>
      <c r="I74" s="1"/>
      <c r="J74" s="1"/>
      <c r="K74" s="1"/>
      <c r="L74" s="1"/>
      <c r="M74" s="1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195"/>
      <c r="K75" s="1"/>
      <c r="L75" s="1"/>
      <c r="M75" s="1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78" t="s">
        <v>1</v>
      </c>
      <c r="C76" s="79" t="s">
        <v>2</v>
      </c>
      <c r="D76" s="193" t="s">
        <v>3</v>
      </c>
      <c r="E76" s="81"/>
      <c r="F76" s="194" t="s">
        <v>4</v>
      </c>
      <c r="G76" s="867" t="s">
        <v>5</v>
      </c>
      <c r="H76" s="868"/>
      <c r="I76" s="869"/>
      <c r="J76" s="83" t="s">
        <v>6</v>
      </c>
      <c r="K76" s="1"/>
      <c r="L76" s="1"/>
      <c r="M76" s="1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12">
        <v>61</v>
      </c>
      <c r="C77" s="13">
        <v>41828</v>
      </c>
      <c r="D77" s="55" t="str">
        <f>IF(J70="","Winnaar 57",IF(J70=1,D70,F70))</f>
        <v>Duitsland</v>
      </c>
      <c r="E77" s="15" t="s">
        <v>9</v>
      </c>
      <c r="F77" s="56" t="str">
        <f>IF(J71="","Winnaar 58",IF(J71=1,D71,F71))</f>
        <v>Brazilië</v>
      </c>
      <c r="G77" s="85">
        <v>1</v>
      </c>
      <c r="H77" s="15" t="s">
        <v>9</v>
      </c>
      <c r="I77" s="97">
        <v>3</v>
      </c>
      <c r="J77" s="98">
        <v>2</v>
      </c>
      <c r="K77" s="1"/>
      <c r="L77" s="1"/>
      <c r="M77" s="1"/>
      <c r="V77" t="s">
        <v>134</v>
      </c>
      <c r="W77" t="s">
        <v>203</v>
      </c>
      <c r="X77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3">
        <v>62</v>
      </c>
      <c r="C78" s="34">
        <v>41829</v>
      </c>
      <c r="D78" s="61" t="str">
        <f>IF(J72="","Winnaar 59",IF(J72=1,D72,F72))</f>
        <v>Argentinië</v>
      </c>
      <c r="E78" s="36" t="s">
        <v>9</v>
      </c>
      <c r="F78" s="62" t="str">
        <f>IF(J73="","Winnaar 60",IF(J73=1,D73,F73))</f>
        <v>Uruguay</v>
      </c>
      <c r="G78" s="88">
        <v>2</v>
      </c>
      <c r="H78" s="36" t="s">
        <v>9</v>
      </c>
      <c r="I78" s="103">
        <v>2</v>
      </c>
      <c r="J78" s="104">
        <v>1</v>
      </c>
      <c r="K78" s="1"/>
      <c r="L78" s="1"/>
      <c r="M78" s="1"/>
      <c r="V78" t="s">
        <v>134</v>
      </c>
      <c r="W78" t="s">
        <v>199</v>
      </c>
      <c r="X78" t="str">
        <f t="shared" si="11"/>
        <v>Leroy Fer (m)</v>
      </c>
      <c r="Y78" s="109">
        <f>AF78</f>
        <v>5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5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5</v>
      </c>
    </row>
    <row r="79" spans="2:54" ht="15.75" thickBot="1">
      <c r="B79" s="1"/>
      <c r="C79" s="39"/>
      <c r="D79" s="40"/>
      <c r="E79" s="1"/>
      <c r="F79" s="40"/>
      <c r="G79" s="1"/>
      <c r="H79" s="1"/>
      <c r="I79" s="1"/>
      <c r="J79" s="1"/>
      <c r="K79" s="1"/>
      <c r="L79" s="1"/>
      <c r="M79" s="1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195"/>
      <c r="K80" s="1"/>
      <c r="L80" s="1"/>
      <c r="M80" s="1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78" t="s">
        <v>1</v>
      </c>
      <c r="C81" s="79" t="s">
        <v>2</v>
      </c>
      <c r="D81" s="193" t="s">
        <v>3</v>
      </c>
      <c r="E81" s="81"/>
      <c r="F81" s="194" t="s">
        <v>4</v>
      </c>
      <c r="G81" s="867" t="s">
        <v>5</v>
      </c>
      <c r="H81" s="868"/>
      <c r="I81" s="869"/>
      <c r="J81" s="83" t="s">
        <v>6</v>
      </c>
      <c r="K81" s="1"/>
      <c r="L81" s="1"/>
      <c r="M81" s="1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2">
        <v>63</v>
      </c>
      <c r="C82" s="63">
        <v>41832</v>
      </c>
      <c r="D82" s="64" t="str">
        <f>IF(J77="","Verliezer 61",IF(J77=1,F77,D77))</f>
        <v>Duitsland</v>
      </c>
      <c r="E82" s="3" t="s">
        <v>9</v>
      </c>
      <c r="F82" s="65" t="str">
        <f>IF(J78="","Verliezer 62",IF(J78=1,F78,D78))</f>
        <v>Uruguay</v>
      </c>
      <c r="G82" s="105">
        <v>1</v>
      </c>
      <c r="H82" s="3" t="s">
        <v>9</v>
      </c>
      <c r="I82" s="106">
        <v>2</v>
      </c>
      <c r="J82" s="107">
        <v>2</v>
      </c>
      <c r="K82" s="1"/>
      <c r="L82" s="1"/>
      <c r="M82" s="1"/>
      <c r="V82" t="s">
        <v>134</v>
      </c>
      <c r="W82" t="s">
        <v>125</v>
      </c>
      <c r="X82" t="str">
        <f t="shared" si="11"/>
        <v>Georginio Wijnaldum (m)</v>
      </c>
      <c r="Y82" s="109">
        <f>AF82</f>
        <v>5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5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5</v>
      </c>
      <c r="AL82" s="108">
        <f>IF(AND(G82=I82,AC82=AD82),5,0)</f>
        <v>0</v>
      </c>
    </row>
    <row r="83" spans="2:50" ht="15.75" thickBot="1">
      <c r="B83" s="1"/>
      <c r="C83" s="39"/>
      <c r="D83" s="40"/>
      <c r="E83" s="1"/>
      <c r="F83" s="40"/>
      <c r="G83" s="1"/>
      <c r="H83" s="1"/>
      <c r="I83" s="1"/>
      <c r="J83" s="1"/>
      <c r="K83" s="1"/>
      <c r="L83" s="1"/>
      <c r="M83" s="1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195"/>
      <c r="K84" s="1"/>
      <c r="L84" s="1"/>
      <c r="M84" s="1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78" t="s">
        <v>1</v>
      </c>
      <c r="C85" s="79" t="s">
        <v>2</v>
      </c>
      <c r="D85" s="193" t="s">
        <v>3</v>
      </c>
      <c r="E85" s="81"/>
      <c r="F85" s="194" t="s">
        <v>4</v>
      </c>
      <c r="G85" s="867" t="s">
        <v>5</v>
      </c>
      <c r="H85" s="868"/>
      <c r="I85" s="869"/>
      <c r="J85" s="83" t="s">
        <v>6</v>
      </c>
      <c r="K85" s="1"/>
      <c r="L85" s="1"/>
      <c r="M85" s="1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2">
        <v>64</v>
      </c>
      <c r="C86" s="63">
        <v>41833</v>
      </c>
      <c r="D86" s="64" t="str">
        <f>IF(J77="","Winnaar 61",IF(J77=1,D77,F77))</f>
        <v>Brazilië</v>
      </c>
      <c r="E86" s="3" t="s">
        <v>9</v>
      </c>
      <c r="F86" s="65" t="str">
        <f>IF(J78="","Winnaar 62",IF(J78=1,D78,F78))</f>
        <v>Argentinië</v>
      </c>
      <c r="G86" s="105">
        <v>3</v>
      </c>
      <c r="H86" s="3" t="s">
        <v>9</v>
      </c>
      <c r="I86" s="106">
        <v>2</v>
      </c>
      <c r="J86" s="107">
        <v>1</v>
      </c>
      <c r="K86" s="1"/>
      <c r="L86" s="1"/>
      <c r="M86" s="1"/>
      <c r="V86" t="s">
        <v>134</v>
      </c>
      <c r="W86" t="s">
        <v>139</v>
      </c>
      <c r="X86" t="str">
        <f t="shared" si="11"/>
        <v>Nigel de Jong (m)</v>
      </c>
      <c r="Y86" s="109">
        <f>AF86</f>
        <v>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0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Brazilië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5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5</v>
      </c>
      <c r="AV89">
        <f>IF(AR89=0,0,IF(E89=AR89,50,0))</f>
        <v>0</v>
      </c>
      <c r="AW89">
        <f>IF(E89=0,0,IF(OR(E89=AR90),15,0))</f>
        <v>0</v>
      </c>
      <c r="AX89">
        <f>IF(E89=0,0,IF(OR(E89=AR91,E89=AR92),5,0))</f>
        <v>5</v>
      </c>
    </row>
    <row r="90" spans="2:50">
      <c r="C90" s="870">
        <v>2</v>
      </c>
      <c r="D90" s="871"/>
      <c r="E90" s="872" t="str">
        <f>IF(J86=2,D86,IF(J86=1,F86,"Wie wordt 2de?"))</f>
        <v>Argentinië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25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25</v>
      </c>
      <c r="AV90">
        <f>IF(AR90=0,0,IF(AR90=E90,25,0))</f>
        <v>25</v>
      </c>
      <c r="AW90">
        <f>IF(E90=0,0,IF(OR(E90=AR89,),15,0))</f>
        <v>0</v>
      </c>
      <c r="AX90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Uruguay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0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0</v>
      </c>
      <c r="AV91">
        <f>IF(AR91=0,0,IF(AR91=E91,15,0))</f>
        <v>0</v>
      </c>
      <c r="AW91">
        <f>IF(E91=0,0,IF(OR(E91=AR92),10,0))</f>
        <v>0</v>
      </c>
      <c r="AX91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Duitsland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5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5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5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35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conditionalFormatting sqref="AO9:AO12 AO15:AO18 AO21:AO24 AO27:AO30 AO33:AO36 AO39:AO42 AO45:AO48 AO51:AO54">
    <cfRule type="cellIs" dxfId="257" priority="3" operator="equal">
      <formula>10</formula>
    </cfRule>
  </conditionalFormatting>
  <conditionalFormatting sqref="P58:T58">
    <cfRule type="duplicateValues" dxfId="256" priority="2"/>
  </conditionalFormatting>
  <conditionalFormatting sqref="P58:T68">
    <cfRule type="duplicateValues" dxfId="255" priority="1"/>
  </conditionalFormatting>
  <dataValidations count="10">
    <dataValidation type="list" allowBlank="1" showInputMessage="1" showErrorMessage="1" sqref="P58:P68">
      <formula1>$X$58:$X$98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51:T54">
      <formula1>$W$51:$W$54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B1:BB98"/>
  <sheetViews>
    <sheetView topLeftCell="A46" zoomScale="70" zoomScaleNormal="70" workbookViewId="0">
      <selection activeCell="P58" sqref="P58:T68"/>
    </sheetView>
  </sheetViews>
  <sheetFormatPr defaultRowHeight="15" outlineLevelCol="2"/>
  <cols>
    <col min="1" max="1" width="3.42578125" customWidth="1"/>
    <col min="2" max="2" width="3.5703125" bestFit="1" customWidth="1"/>
    <col min="3" max="3" width="11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145" t="s">
        <v>241</v>
      </c>
      <c r="E3" s="145"/>
      <c r="F3" s="145"/>
      <c r="N3" t="str">
        <f>D3</f>
        <v>Eric B.</v>
      </c>
      <c r="O3" s="144">
        <f>SUM(P3:S3)</f>
        <v>308</v>
      </c>
      <c r="P3" s="109">
        <f>SUM(Y8:Y86)</f>
        <v>167</v>
      </c>
      <c r="Q3" s="109">
        <f>SUM(AM4:AM55)</f>
        <v>100</v>
      </c>
      <c r="R3" s="109">
        <f>SUM(AP89:AP92)</f>
        <v>20</v>
      </c>
      <c r="S3" s="109">
        <f>SUM(BB58:BB69)</f>
        <v>21</v>
      </c>
      <c r="T3" s="109">
        <f>COUNTIF(AF8:AF86,10)</f>
        <v>4</v>
      </c>
      <c r="U3" s="109" t="str">
        <f>E89</f>
        <v>Nederland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M6" s="352"/>
      <c r="N6" s="352"/>
      <c r="O6" s="392"/>
      <c r="P6" s="393"/>
      <c r="Q6" s="393"/>
      <c r="R6" s="393"/>
      <c r="S6" s="393"/>
      <c r="T6" s="393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18" t="s">
        <v>3</v>
      </c>
      <c r="E7" s="419"/>
      <c r="F7" s="420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M7" s="352"/>
      <c r="N7" s="352"/>
      <c r="O7" s="353"/>
      <c r="P7" s="393"/>
      <c r="Q7" s="393"/>
      <c r="R7" s="393"/>
      <c r="S7" s="393"/>
      <c r="T7" s="393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3</v>
      </c>
      <c r="H8" s="360" t="s">
        <v>9</v>
      </c>
      <c r="I8" s="439">
        <v>1</v>
      </c>
      <c r="J8" s="362">
        <f>IF(I8="","",IF(G8&gt;I8,1,IF(G8&lt;I8,2,3)))</f>
        <v>1</v>
      </c>
      <c r="K8" s="363">
        <f>IF(I8="","",IF($G8&gt;$I8,3,IF($G8=$I8,1,0)))</f>
        <v>3</v>
      </c>
      <c r="L8" s="363">
        <f>IF(I8="","",IF($G8&lt;$I8,3,IF($G8=$I8,1,0)))</f>
        <v>0</v>
      </c>
      <c r="M8" s="352"/>
      <c r="N8" s="352"/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40"/>
      <c r="V8" s="40"/>
      <c r="W8" s="40"/>
      <c r="Y8" s="109">
        <f>AF8</f>
        <v>10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10</v>
      </c>
      <c r="AG8" s="108">
        <f t="shared" ref="AG8:AG55" si="0">IF(AC8="",0,(IF(G8=AC8,1,0)))</f>
        <v>1</v>
      </c>
      <c r="AH8" s="108">
        <f t="shared" ref="AH8:AH55" si="1">IF(AD8="",0,(IF(I8=AD8,1,0)))</f>
        <v>1</v>
      </c>
      <c r="AI8" s="108">
        <f>IF(AND(AG8=1,AH8=1),10,0)</f>
        <v>10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1</v>
      </c>
      <c r="H9" s="367" t="s">
        <v>9</v>
      </c>
      <c r="I9" s="440">
        <v>1</v>
      </c>
      <c r="J9" s="369">
        <f t="shared" ref="J9:J55" si="5">IF(I9="","",IF(G9&gt;I9,1,IF(G9&lt;I9,2,3)))</f>
        <v>3</v>
      </c>
      <c r="K9" s="363">
        <f t="shared" ref="K9:K55" si="6">IF(I9="","",IF($G9&gt;$I9,3,IF($G9=$I9,1,0)))</f>
        <v>1</v>
      </c>
      <c r="L9" s="363">
        <f t="shared" ref="L9:L55" si="7">IF(I9="","",IF($G9&lt;$I9,3,IF($G9=$I9,1,0)))</f>
        <v>1</v>
      </c>
      <c r="M9" s="352"/>
      <c r="N9" s="352"/>
      <c r="O9" s="394" t="s">
        <v>8</v>
      </c>
      <c r="P9" s="395">
        <f>SUMIF($D$8:$D$55,$O9,$G$8:$G$55)+SUMIF($F$8:$F$55,$O9,$I$8:$I$55)</f>
        <v>8</v>
      </c>
      <c r="Q9" s="395">
        <f>SUMIF($D$8:$D$55,$O9,$I$8:$I$55)+SUMIF($F$8:$F$55,$O9,$G$8:$G$55)</f>
        <v>3</v>
      </c>
      <c r="R9" s="396">
        <f>P9-Q9</f>
        <v>5</v>
      </c>
      <c r="S9" s="397">
        <f>SUMIF($D$8:$D$55,$O9,$K$8:$K$55)+SUMIF($F$8:$F$55,$O9,$L$8:$L$55)</f>
        <v>9</v>
      </c>
      <c r="T9" s="444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1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1</v>
      </c>
      <c r="AG9" s="108">
        <f t="shared" si="0"/>
        <v>1</v>
      </c>
      <c r="AH9" s="108">
        <f t="shared" si="1"/>
        <v>0</v>
      </c>
      <c r="AI9" s="108">
        <f t="shared" ref="AI9:AI55" si="10">IF(AND(AG9=1,AH9=1),10,0)</f>
        <v>0</v>
      </c>
      <c r="AJ9" s="108">
        <f t="shared" si="2"/>
        <v>0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1</v>
      </c>
      <c r="H10" s="373" t="s">
        <v>9</v>
      </c>
      <c r="I10" s="441">
        <v>2</v>
      </c>
      <c r="J10" s="375">
        <f t="shared" si="5"/>
        <v>2</v>
      </c>
      <c r="K10" s="363">
        <f t="shared" si="6"/>
        <v>0</v>
      </c>
      <c r="L10" s="363">
        <f t="shared" si="7"/>
        <v>3</v>
      </c>
      <c r="M10" s="352"/>
      <c r="N10" s="352"/>
      <c r="O10" s="398" t="s">
        <v>10</v>
      </c>
      <c r="P10" s="399">
        <f>SUMIF($D$8:$D$55,$O10,$G$8:$G$55)+SUMIF($F$8:$F$55,$O10,$I$8:$I$55)</f>
        <v>2</v>
      </c>
      <c r="Q10" s="399">
        <f>SUMIF($D$8:$D$55,$O10,$I$8:$I$55)+SUMIF($F$8:$F$55,$O10,$G$8:$G$55)</f>
        <v>5</v>
      </c>
      <c r="R10" s="399">
        <f>P10-Q10</f>
        <v>-3</v>
      </c>
      <c r="S10" s="400">
        <f>SUMIF($D$8:$D$55,$O10,$K$8:$K$55)+SUMIF($F$8:$F$55,$O10,$L$8:$L$55)</f>
        <v>1</v>
      </c>
      <c r="T10" s="445" t="s">
        <v>47</v>
      </c>
      <c r="U10" s="40"/>
      <c r="V10" s="40" t="str">
        <f>O10</f>
        <v>Kroatië</v>
      </c>
      <c r="W10" s="40" t="s">
        <v>49</v>
      </c>
      <c r="Y10" s="109">
        <f t="shared" si="8"/>
        <v>6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6</v>
      </c>
      <c r="AG10" s="108">
        <f t="shared" si="0"/>
        <v>1</v>
      </c>
      <c r="AH10" s="108">
        <f t="shared" si="1"/>
        <v>0</v>
      </c>
      <c r="AI10" s="108">
        <f t="shared" si="10"/>
        <v>0</v>
      </c>
      <c r="AJ10" s="108">
        <f t="shared" si="2"/>
        <v>0</v>
      </c>
      <c r="AK10" s="108">
        <f t="shared" si="3"/>
        <v>5</v>
      </c>
      <c r="AL10" s="108">
        <f t="shared" si="4"/>
        <v>0</v>
      </c>
      <c r="AM10" s="120">
        <f>AO10</f>
        <v>10</v>
      </c>
      <c r="AN10" s="117" t="s">
        <v>10</v>
      </c>
      <c r="AO10" s="115">
        <f>IF(Uitslag!T10="",0,IF(T10=Uitslag!T10,10,0))</f>
        <v>10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1</v>
      </c>
      <c r="H11" s="379" t="s">
        <v>9</v>
      </c>
      <c r="I11" s="442">
        <v>2</v>
      </c>
      <c r="J11" s="381">
        <f t="shared" si="5"/>
        <v>2</v>
      </c>
      <c r="K11" s="363">
        <f t="shared" si="6"/>
        <v>0</v>
      </c>
      <c r="L11" s="363">
        <f t="shared" si="7"/>
        <v>3</v>
      </c>
      <c r="M11" s="352"/>
      <c r="N11" s="352"/>
      <c r="O11" s="398" t="s">
        <v>11</v>
      </c>
      <c r="P11" s="399">
        <f>SUMIF($D$8:$D$55,$O11,$G$8:$G$55)+SUMIF($F$8:$F$55,$O11,$I$8:$I$55)</f>
        <v>3</v>
      </c>
      <c r="Q11" s="399">
        <f>SUMIF($D$8:$D$55,$O11,$I$8:$I$55)+SUMIF($F$8:$F$55,$O11,$G$8:$G$55)</f>
        <v>3</v>
      </c>
      <c r="R11" s="399">
        <f>P11-Q11</f>
        <v>0</v>
      </c>
      <c r="S11" s="400">
        <f>SUMIF($D$8:$D$55,$O11,$K$8:$K$55)+SUMIF($F$8:$F$55,$O11,$L$8:$L$55)</f>
        <v>4</v>
      </c>
      <c r="T11" s="445" t="s">
        <v>49</v>
      </c>
      <c r="U11" s="40"/>
      <c r="V11" s="40" t="str">
        <f>O11</f>
        <v>Mexico</v>
      </c>
      <c r="W11" s="40" t="s">
        <v>47</v>
      </c>
      <c r="Y11" s="109">
        <f t="shared" si="8"/>
        <v>0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0</v>
      </c>
      <c r="AG11" s="108">
        <f t="shared" si="0"/>
        <v>0</v>
      </c>
      <c r="AH11" s="108">
        <f t="shared" si="1"/>
        <v>0</v>
      </c>
      <c r="AI11" s="108">
        <f t="shared" si="10"/>
        <v>0</v>
      </c>
      <c r="AJ11" s="108">
        <f t="shared" si="2"/>
        <v>0</v>
      </c>
      <c r="AK11" s="108">
        <f t="shared" si="3"/>
        <v>0</v>
      </c>
      <c r="AL11" s="108">
        <f t="shared" si="4"/>
        <v>0</v>
      </c>
      <c r="AM11" s="120">
        <f>AO11</f>
        <v>10</v>
      </c>
      <c r="AN11" s="117" t="s">
        <v>11</v>
      </c>
      <c r="AO11" s="115">
        <f>IF(Uitslag!T11="",0,IF(T11=Uitslag!T11,10,0))</f>
        <v>10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0</v>
      </c>
      <c r="H12" s="367" t="s">
        <v>9</v>
      </c>
      <c r="I12" s="440">
        <v>1</v>
      </c>
      <c r="J12" s="369">
        <f t="shared" si="5"/>
        <v>2</v>
      </c>
      <c r="K12" s="363">
        <f t="shared" si="6"/>
        <v>0</v>
      </c>
      <c r="L12" s="363">
        <f t="shared" si="7"/>
        <v>3</v>
      </c>
      <c r="M12" s="352"/>
      <c r="N12" s="352"/>
      <c r="O12" s="401" t="s">
        <v>12</v>
      </c>
      <c r="P12" s="402">
        <f>SUMIF($D$8:$D$55,$O12,$G$8:$G$55)+SUMIF($F$8:$F$55,$O12,$I$8:$I$55)</f>
        <v>3</v>
      </c>
      <c r="Q12" s="402">
        <f>SUMIF($D$8:$D$55,$O12,$I$8:$I$55)+SUMIF($F$8:$F$55,$O12,$G$8:$G$55)</f>
        <v>5</v>
      </c>
      <c r="R12" s="402">
        <f>P12-Q12</f>
        <v>-2</v>
      </c>
      <c r="S12" s="403">
        <f>SUMIF($D$8:$D$55,$O12,$K$8:$K$55)+SUMIF($F$8:$F$55,$O12,$L$8:$L$55)</f>
        <v>2</v>
      </c>
      <c r="T12" s="446" t="s">
        <v>50</v>
      </c>
      <c r="U12" s="40"/>
      <c r="V12" s="40" t="str">
        <f>O12</f>
        <v>Kameroen</v>
      </c>
      <c r="W12" s="40" t="s">
        <v>50</v>
      </c>
      <c r="Y12" s="109">
        <f t="shared" si="8"/>
        <v>0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0</v>
      </c>
      <c r="AG12" s="108">
        <f t="shared" si="0"/>
        <v>0</v>
      </c>
      <c r="AH12" s="108">
        <f t="shared" si="1"/>
        <v>0</v>
      </c>
      <c r="AI12" s="108">
        <f t="shared" si="10"/>
        <v>0</v>
      </c>
      <c r="AJ12" s="108">
        <f t="shared" si="2"/>
        <v>0</v>
      </c>
      <c r="AK12" s="108">
        <f t="shared" si="3"/>
        <v>0</v>
      </c>
      <c r="AL12" s="108">
        <f t="shared" si="4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2</v>
      </c>
      <c r="H13" s="373" t="s">
        <v>9</v>
      </c>
      <c r="I13" s="441">
        <v>0</v>
      </c>
      <c r="J13" s="375">
        <f t="shared" si="5"/>
        <v>1</v>
      </c>
      <c r="K13" s="363">
        <f t="shared" si="6"/>
        <v>3</v>
      </c>
      <c r="L13" s="363">
        <f t="shared" si="7"/>
        <v>0</v>
      </c>
      <c r="M13" s="352"/>
      <c r="N13" s="352"/>
      <c r="O13" s="392"/>
      <c r="P13" s="393"/>
      <c r="Q13" s="393"/>
      <c r="R13" s="393"/>
      <c r="S13" s="393"/>
      <c r="T13" s="393"/>
      <c r="U13" s="40"/>
      <c r="V13" s="40"/>
      <c r="W13" s="40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0"/>
        <v>0</v>
      </c>
      <c r="AH13" s="108">
        <f t="shared" si="1"/>
        <v>0</v>
      </c>
      <c r="AI13" s="108">
        <f t="shared" si="10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40"/>
      <c r="AO13" s="41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2</v>
      </c>
      <c r="H14" s="373" t="s">
        <v>9</v>
      </c>
      <c r="I14" s="441">
        <v>2</v>
      </c>
      <c r="J14" s="375">
        <f t="shared" si="5"/>
        <v>3</v>
      </c>
      <c r="K14" s="363">
        <f t="shared" si="6"/>
        <v>1</v>
      </c>
      <c r="L14" s="363">
        <f t="shared" si="7"/>
        <v>1</v>
      </c>
      <c r="M14" s="352"/>
      <c r="N14" s="352"/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40"/>
      <c r="V14" s="40"/>
      <c r="W14" s="40"/>
      <c r="Y14" s="109">
        <f t="shared" si="8"/>
        <v>1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</v>
      </c>
      <c r="AG14" s="108">
        <f t="shared" si="0"/>
        <v>0</v>
      </c>
      <c r="AH14" s="108">
        <f t="shared" si="1"/>
        <v>1</v>
      </c>
      <c r="AI14" s="108">
        <f t="shared" si="10"/>
        <v>0</v>
      </c>
      <c r="AJ14" s="108">
        <f t="shared" si="2"/>
        <v>0</v>
      </c>
      <c r="AK14" s="108">
        <f t="shared" si="3"/>
        <v>0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1</v>
      </c>
      <c r="H15" s="379" t="s">
        <v>9</v>
      </c>
      <c r="I15" s="442">
        <v>0</v>
      </c>
      <c r="J15" s="381">
        <f t="shared" si="5"/>
        <v>1</v>
      </c>
      <c r="K15" s="363">
        <f t="shared" si="6"/>
        <v>3</v>
      </c>
      <c r="L15" s="363">
        <f t="shared" si="7"/>
        <v>0</v>
      </c>
      <c r="M15" s="352"/>
      <c r="N15" s="352"/>
      <c r="O15" s="394" t="s">
        <v>13</v>
      </c>
      <c r="P15" s="395">
        <f>SUMIF($D$8:$D$55,$O15,$G$8:$G$55)+SUMIF($F$8:$F$55,$O15,$I$8:$I$55)</f>
        <v>5</v>
      </c>
      <c r="Q15" s="395">
        <f>SUMIF($D$8:$D$55,$O15,$I$8:$I$55)+SUMIF($F$8:$F$55,$O15,$G$8:$G$55)</f>
        <v>5</v>
      </c>
      <c r="R15" s="396">
        <f>P15-Q15</f>
        <v>0</v>
      </c>
      <c r="S15" s="397">
        <f>SUMIF($D$8:$D$55,$O15,$K$8:$K$55)+SUMIF($F$8:$F$55,$O15,$L$8:$L$55)</f>
        <v>3</v>
      </c>
      <c r="T15" s="444" t="s">
        <v>52</v>
      </c>
      <c r="U15" s="40"/>
      <c r="V15" s="40" t="str">
        <f>O15</f>
        <v>Spanje</v>
      </c>
      <c r="W15" s="40" t="s">
        <v>52</v>
      </c>
      <c r="Y15" s="109">
        <f t="shared" si="8"/>
        <v>5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5</v>
      </c>
      <c r="AG15" s="108">
        <f t="shared" si="0"/>
        <v>0</v>
      </c>
      <c r="AH15" s="108">
        <f t="shared" si="1"/>
        <v>0</v>
      </c>
      <c r="AI15" s="108">
        <f t="shared" si="10"/>
        <v>0</v>
      </c>
      <c r="AJ15" s="108">
        <f t="shared" si="2"/>
        <v>5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1</v>
      </c>
      <c r="H16" s="367" t="s">
        <v>9</v>
      </c>
      <c r="I16" s="440">
        <v>0</v>
      </c>
      <c r="J16" s="369">
        <f t="shared" si="5"/>
        <v>1</v>
      </c>
      <c r="K16" s="363">
        <f t="shared" si="6"/>
        <v>3</v>
      </c>
      <c r="L16" s="363">
        <f t="shared" si="7"/>
        <v>0</v>
      </c>
      <c r="M16" s="352"/>
      <c r="N16" s="352"/>
      <c r="O16" s="404" t="s">
        <v>14</v>
      </c>
      <c r="P16" s="399">
        <f>SUMIF($D$8:$D$55,$O16,$G$8:$G$55)+SUMIF($F$8:$F$55,$O16,$I$8:$I$55)</f>
        <v>5</v>
      </c>
      <c r="Q16" s="399">
        <f>SUMIF($D$8:$D$55,$O16,$I$8:$I$55)+SUMIF($F$8:$F$55,$O16,$G$8:$G$55)</f>
        <v>3</v>
      </c>
      <c r="R16" s="399">
        <f>P16-Q16</f>
        <v>2</v>
      </c>
      <c r="S16" s="400">
        <f>SUMIF($D$8:$D$55,$O16,$K$8:$K$55)+SUMIF($F$8:$F$55,$O16,$L$8:$L$55)</f>
        <v>7</v>
      </c>
      <c r="T16" s="445" t="s">
        <v>53</v>
      </c>
      <c r="U16" s="40"/>
      <c r="V16" s="40" t="str">
        <f>O16</f>
        <v>Nederland</v>
      </c>
      <c r="W16" s="40" t="s">
        <v>53</v>
      </c>
      <c r="Y16" s="109">
        <f t="shared" si="8"/>
        <v>5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5</v>
      </c>
      <c r="AG16" s="108">
        <f t="shared" si="0"/>
        <v>0</v>
      </c>
      <c r="AH16" s="108">
        <f t="shared" si="1"/>
        <v>0</v>
      </c>
      <c r="AI16" s="108">
        <f t="shared" si="10"/>
        <v>0</v>
      </c>
      <c r="AJ16" s="108">
        <f t="shared" si="2"/>
        <v>5</v>
      </c>
      <c r="AK16" s="108">
        <f t="shared" si="3"/>
        <v>0</v>
      </c>
      <c r="AL16" s="108">
        <f t="shared" si="4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2</v>
      </c>
      <c r="H17" s="373" t="s">
        <v>9</v>
      </c>
      <c r="I17" s="441">
        <v>1</v>
      </c>
      <c r="J17" s="375">
        <f t="shared" si="5"/>
        <v>1</v>
      </c>
      <c r="K17" s="363">
        <f t="shared" si="6"/>
        <v>3</v>
      </c>
      <c r="L17" s="363">
        <f t="shared" si="7"/>
        <v>0</v>
      </c>
      <c r="M17" s="352"/>
      <c r="N17" s="352"/>
      <c r="O17" s="398" t="s">
        <v>15</v>
      </c>
      <c r="P17" s="399">
        <f>SUMIF($D$8:$D$55,$O17,$G$8:$G$55)+SUMIF($F$8:$F$55,$O17,$I$8:$I$55)</f>
        <v>3</v>
      </c>
      <c r="Q17" s="399">
        <f>SUMIF($D$8:$D$55,$O17,$I$8:$I$55)+SUMIF($F$8:$F$55,$O17,$G$8:$G$55)</f>
        <v>6</v>
      </c>
      <c r="R17" s="399">
        <f>P17-Q17</f>
        <v>-3</v>
      </c>
      <c r="S17" s="400">
        <f>SUMIF($D$8:$D$55,$O17,$K$8:$K$55)+SUMIF($F$8:$F$55,$O17,$L$8:$L$55)</f>
        <v>1</v>
      </c>
      <c r="T17" s="445" t="s">
        <v>55</v>
      </c>
      <c r="U17" s="40"/>
      <c r="V17" s="40" t="str">
        <f>O17</f>
        <v>Chili</v>
      </c>
      <c r="W17" s="40" t="s">
        <v>54</v>
      </c>
      <c r="Y17" s="109">
        <f t="shared" si="8"/>
        <v>5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5</v>
      </c>
      <c r="AG17" s="108">
        <f t="shared" si="0"/>
        <v>0</v>
      </c>
      <c r="AH17" s="108">
        <f t="shared" si="1"/>
        <v>0</v>
      </c>
      <c r="AI17" s="108">
        <f t="shared" si="10"/>
        <v>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1</v>
      </c>
      <c r="H18" s="379" t="s">
        <v>9</v>
      </c>
      <c r="I18" s="442">
        <v>0</v>
      </c>
      <c r="J18" s="381">
        <f t="shared" si="5"/>
        <v>1</v>
      </c>
      <c r="K18" s="363">
        <f t="shared" si="6"/>
        <v>3</v>
      </c>
      <c r="L18" s="363">
        <f t="shared" si="7"/>
        <v>0</v>
      </c>
      <c r="M18" s="352"/>
      <c r="N18" s="352"/>
      <c r="O18" s="401" t="s">
        <v>16</v>
      </c>
      <c r="P18" s="402">
        <f>SUMIF($D$8:$D$55,$O18,$G$8:$G$55)+SUMIF($F$8:$F$55,$O18,$I$8:$I$55)</f>
        <v>5</v>
      </c>
      <c r="Q18" s="402">
        <f>SUMIF($D$8:$D$55,$O18,$I$8:$I$55)+SUMIF($F$8:$F$55,$O18,$G$8:$G$55)</f>
        <v>4</v>
      </c>
      <c r="R18" s="402">
        <f>P18-Q18</f>
        <v>1</v>
      </c>
      <c r="S18" s="403">
        <f>SUMIF($D$8:$D$55,$O18,$K$8:$K$55)+SUMIF($F$8:$F$55,$O18,$L$8:$L$55)</f>
        <v>6</v>
      </c>
      <c r="T18" s="446" t="s">
        <v>54</v>
      </c>
      <c r="U18" s="40"/>
      <c r="V18" s="40" t="str">
        <f>O18</f>
        <v>Australië</v>
      </c>
      <c r="W18" s="40" t="s">
        <v>55</v>
      </c>
      <c r="Y18" s="109">
        <f t="shared" si="8"/>
        <v>5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5</v>
      </c>
      <c r="AG18" s="108">
        <f t="shared" si="0"/>
        <v>0</v>
      </c>
      <c r="AH18" s="108">
        <f t="shared" si="1"/>
        <v>0</v>
      </c>
      <c r="AI18" s="108">
        <f t="shared" si="10"/>
        <v>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0</v>
      </c>
      <c r="AN18" s="118" t="s">
        <v>16</v>
      </c>
      <c r="AO18" s="115">
        <f>IF(Uitslag!T18="",0,IF(T18=Uitslag!T18,10,0))</f>
        <v>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2</v>
      </c>
      <c r="H19" s="367" t="s">
        <v>9</v>
      </c>
      <c r="I19" s="440">
        <v>3</v>
      </c>
      <c r="J19" s="369">
        <f t="shared" si="5"/>
        <v>2</v>
      </c>
      <c r="K19" s="363">
        <f t="shared" si="6"/>
        <v>0</v>
      </c>
      <c r="L19" s="363">
        <f t="shared" si="7"/>
        <v>3</v>
      </c>
      <c r="M19" s="352"/>
      <c r="N19" s="352"/>
      <c r="O19" s="392"/>
      <c r="P19" s="393"/>
      <c r="Q19" s="393"/>
      <c r="R19" s="393"/>
      <c r="S19" s="393"/>
      <c r="T19" s="393"/>
      <c r="U19" s="40"/>
      <c r="V19" s="40"/>
      <c r="W19" s="40"/>
      <c r="Y19" s="109">
        <f t="shared" si="8"/>
        <v>0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0</v>
      </c>
      <c r="AG19" s="108">
        <f t="shared" si="0"/>
        <v>0</v>
      </c>
      <c r="AH19" s="108">
        <f t="shared" si="1"/>
        <v>0</v>
      </c>
      <c r="AI19" s="108">
        <f t="shared" si="10"/>
        <v>0</v>
      </c>
      <c r="AJ19" s="108">
        <f t="shared" si="2"/>
        <v>0</v>
      </c>
      <c r="AK19" s="108">
        <f t="shared" si="3"/>
        <v>0</v>
      </c>
      <c r="AL19" s="108">
        <f t="shared" si="4"/>
        <v>0</v>
      </c>
      <c r="AN19" s="40"/>
      <c r="AO19" s="41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0</v>
      </c>
      <c r="H20" s="373" t="s">
        <v>9</v>
      </c>
      <c r="I20" s="441">
        <v>1</v>
      </c>
      <c r="J20" s="375">
        <f t="shared" si="5"/>
        <v>2</v>
      </c>
      <c r="K20" s="363">
        <f t="shared" si="6"/>
        <v>0</v>
      </c>
      <c r="L20" s="363">
        <f t="shared" si="7"/>
        <v>3</v>
      </c>
      <c r="M20" s="352"/>
      <c r="N20" s="352"/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40"/>
      <c r="V20" s="40"/>
      <c r="W20" s="40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0"/>
        <v>1</v>
      </c>
      <c r="AH20" s="108">
        <f t="shared" si="1"/>
        <v>0</v>
      </c>
      <c r="AI20" s="108">
        <f t="shared" si="10"/>
        <v>0</v>
      </c>
      <c r="AJ20" s="108">
        <f t="shared" si="2"/>
        <v>0</v>
      </c>
      <c r="AK20" s="108">
        <f t="shared" si="3"/>
        <v>0</v>
      </c>
      <c r="AL20" s="108">
        <f t="shared" si="4"/>
        <v>0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0</v>
      </c>
      <c r="H21" s="379" t="s">
        <v>9</v>
      </c>
      <c r="I21" s="442">
        <v>2</v>
      </c>
      <c r="J21" s="381">
        <f t="shared" si="5"/>
        <v>2</v>
      </c>
      <c r="K21" s="363">
        <f t="shared" si="6"/>
        <v>0</v>
      </c>
      <c r="L21" s="363">
        <f t="shared" si="7"/>
        <v>3</v>
      </c>
      <c r="M21" s="352"/>
      <c r="N21" s="352"/>
      <c r="O21" s="394" t="s">
        <v>17</v>
      </c>
      <c r="P21" s="395">
        <f>SUMIF($D$8:$D$55,$O21,$G$8:$G$55)+SUMIF($F$8:$F$55,$O21,$I$8:$I$55)</f>
        <v>0</v>
      </c>
      <c r="Q21" s="395">
        <f>SUMIF($D$8:$D$55,$O21,$I$8:$I$55)+SUMIF($F$8:$F$55,$O21,$G$8:$G$55)</f>
        <v>2</v>
      </c>
      <c r="R21" s="396">
        <f>P21-Q21</f>
        <v>-2</v>
      </c>
      <c r="S21" s="397">
        <f>SUMIF($D$8:$D$55,$O21,$K$8:$K$55)+SUMIF($F$8:$F$55,$O21,$L$8:$L$55)</f>
        <v>1</v>
      </c>
      <c r="T21" s="444" t="s">
        <v>60</v>
      </c>
      <c r="U21" s="40"/>
      <c r="V21" s="40" t="str">
        <f>O21</f>
        <v>Colombia</v>
      </c>
      <c r="W21" s="40" t="s">
        <v>57</v>
      </c>
      <c r="Y21" s="109">
        <f t="shared" si="8"/>
        <v>6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6</v>
      </c>
      <c r="AG21" s="108">
        <f t="shared" si="0"/>
        <v>0</v>
      </c>
      <c r="AH21" s="108">
        <f t="shared" si="1"/>
        <v>1</v>
      </c>
      <c r="AI21" s="108">
        <f t="shared" si="10"/>
        <v>0</v>
      </c>
      <c r="AJ21" s="108">
        <f t="shared" si="2"/>
        <v>0</v>
      </c>
      <c r="AK21" s="108">
        <f t="shared" si="3"/>
        <v>5</v>
      </c>
      <c r="AL21" s="108">
        <f t="shared" si="4"/>
        <v>0</v>
      </c>
      <c r="AM21" s="120">
        <f>AO21</f>
        <v>0</v>
      </c>
      <c r="AN21" s="116" t="s">
        <v>17</v>
      </c>
      <c r="AO21" s="115">
        <f>IF(Uitslag!T21="",0,IF(T21=Uitslag!T21,10,0))</f>
        <v>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1</v>
      </c>
      <c r="H22" s="367" t="s">
        <v>9</v>
      </c>
      <c r="I22" s="440">
        <v>1</v>
      </c>
      <c r="J22" s="369">
        <f t="shared" si="5"/>
        <v>3</v>
      </c>
      <c r="K22" s="363">
        <f t="shared" si="6"/>
        <v>1</v>
      </c>
      <c r="L22" s="363">
        <f t="shared" si="7"/>
        <v>1</v>
      </c>
      <c r="M22" s="352"/>
      <c r="N22" s="352"/>
      <c r="O22" s="398" t="s">
        <v>18</v>
      </c>
      <c r="P22" s="399">
        <f>SUMIF($D$8:$D$55,$O22,$G$8:$G$55)+SUMIF($F$8:$F$55,$O22,$I$8:$I$55)</f>
        <v>4</v>
      </c>
      <c r="Q22" s="399">
        <f>SUMIF($D$8:$D$55,$O22,$I$8:$I$55)+SUMIF($F$8:$F$55,$O22,$G$8:$G$55)</f>
        <v>1</v>
      </c>
      <c r="R22" s="399">
        <f>P22-Q22</f>
        <v>3</v>
      </c>
      <c r="S22" s="400">
        <f>SUMIF($D$8:$D$55,$O22,$K$8:$K$55)+SUMIF($F$8:$F$55,$O22,$L$8:$L$55)</f>
        <v>9</v>
      </c>
      <c r="T22" s="445" t="s">
        <v>57</v>
      </c>
      <c r="U22" s="40"/>
      <c r="V22" s="40" t="str">
        <f>O22</f>
        <v>Griekenland</v>
      </c>
      <c r="W22" s="40" t="s">
        <v>58</v>
      </c>
      <c r="Y22" s="109">
        <f t="shared" si="8"/>
        <v>1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1</v>
      </c>
      <c r="AG22" s="108">
        <f t="shared" si="0"/>
        <v>0</v>
      </c>
      <c r="AH22" s="108">
        <f t="shared" si="1"/>
        <v>1</v>
      </c>
      <c r="AI22" s="108">
        <f t="shared" si="10"/>
        <v>0</v>
      </c>
      <c r="AJ22" s="108">
        <f t="shared" si="2"/>
        <v>0</v>
      </c>
      <c r="AK22" s="108">
        <f t="shared" si="3"/>
        <v>0</v>
      </c>
      <c r="AL22" s="108">
        <f t="shared" si="4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2</v>
      </c>
      <c r="H23" s="373" t="s">
        <v>9</v>
      </c>
      <c r="I23" s="441">
        <v>1</v>
      </c>
      <c r="J23" s="375">
        <f t="shared" si="5"/>
        <v>1</v>
      </c>
      <c r="K23" s="363">
        <f t="shared" si="6"/>
        <v>3</v>
      </c>
      <c r="L23" s="363">
        <f t="shared" si="7"/>
        <v>0</v>
      </c>
      <c r="M23" s="352"/>
      <c r="N23" s="352"/>
      <c r="O23" s="398" t="s">
        <v>23</v>
      </c>
      <c r="P23" s="399">
        <f>SUMIF($D$8:$D$55,$O23,$G$8:$G$55)+SUMIF($F$8:$F$55,$O23,$I$8:$I$55)</f>
        <v>2</v>
      </c>
      <c r="Q23" s="399">
        <f>SUMIF($D$8:$D$55,$O23,$I$8:$I$55)+SUMIF($F$8:$F$55,$O23,$G$8:$G$55)</f>
        <v>2</v>
      </c>
      <c r="R23" s="399">
        <f>P23-Q23</f>
        <v>0</v>
      </c>
      <c r="S23" s="400">
        <f>SUMIF($D$8:$D$55,$O23,$K$8:$K$55)+SUMIF($F$8:$F$55,$O23,$L$8:$L$55)</f>
        <v>4</v>
      </c>
      <c r="T23" s="445" t="s">
        <v>59</v>
      </c>
      <c r="U23" s="40"/>
      <c r="V23" s="40" t="str">
        <f>O23</f>
        <v>Ivoorkust</v>
      </c>
      <c r="W23" s="40" t="s">
        <v>59</v>
      </c>
      <c r="Y23" s="109">
        <f t="shared" si="8"/>
        <v>0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0</v>
      </c>
      <c r="AG23" s="108">
        <f t="shared" si="0"/>
        <v>0</v>
      </c>
      <c r="AH23" s="108">
        <f t="shared" si="1"/>
        <v>0</v>
      </c>
      <c r="AI23" s="108">
        <f t="shared" si="10"/>
        <v>0</v>
      </c>
      <c r="AJ23" s="108">
        <f t="shared" si="2"/>
        <v>0</v>
      </c>
      <c r="AK23" s="108">
        <f t="shared" si="3"/>
        <v>0</v>
      </c>
      <c r="AL23" s="108">
        <f t="shared" si="4"/>
        <v>0</v>
      </c>
      <c r="AM23" s="120">
        <f>AO23</f>
        <v>10</v>
      </c>
      <c r="AN23" s="117" t="s">
        <v>23</v>
      </c>
      <c r="AO23" s="115">
        <f>IF(Uitslag!T23="",0,IF(T23=Uitslag!T23,10,0))</f>
        <v>10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0</v>
      </c>
      <c r="H24" s="379" t="s">
        <v>9</v>
      </c>
      <c r="I24" s="442">
        <v>1</v>
      </c>
      <c r="J24" s="381">
        <f t="shared" si="5"/>
        <v>2</v>
      </c>
      <c r="K24" s="363">
        <f t="shared" si="6"/>
        <v>0</v>
      </c>
      <c r="L24" s="363">
        <f t="shared" si="7"/>
        <v>3</v>
      </c>
      <c r="M24" s="352"/>
      <c r="N24" s="352"/>
      <c r="O24" s="401" t="s">
        <v>24</v>
      </c>
      <c r="P24" s="402">
        <f>SUMIF($D$8:$D$55,$O24,$G$8:$G$55)+SUMIF($F$8:$F$55,$O24,$I$8:$I$55)</f>
        <v>1</v>
      </c>
      <c r="Q24" s="402">
        <f>SUMIF($D$8:$D$55,$O24,$I$8:$I$55)+SUMIF($F$8:$F$55,$O24,$G$8:$G$55)</f>
        <v>2</v>
      </c>
      <c r="R24" s="402">
        <f>P24-Q24</f>
        <v>-1</v>
      </c>
      <c r="S24" s="403">
        <f>SUMIF($D$8:$D$55,$O24,$K$8:$K$55)+SUMIF($F$8:$F$55,$O24,$L$8:$L$55)</f>
        <v>3</v>
      </c>
      <c r="T24" s="446" t="s">
        <v>58</v>
      </c>
      <c r="U24" s="40"/>
      <c r="V24" s="40" t="str">
        <f>O24</f>
        <v>Japan</v>
      </c>
      <c r="W24" s="40" t="s">
        <v>60</v>
      </c>
      <c r="Y24" s="109">
        <f t="shared" si="8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</v>
      </c>
      <c r="AG24" s="108">
        <f t="shared" si="0"/>
        <v>0</v>
      </c>
      <c r="AH24" s="108">
        <f t="shared" si="1"/>
        <v>1</v>
      </c>
      <c r="AI24" s="108">
        <f t="shared" si="10"/>
        <v>0</v>
      </c>
      <c r="AJ24" s="108">
        <f t="shared" si="2"/>
        <v>0</v>
      </c>
      <c r="AK24" s="108">
        <f t="shared" si="3"/>
        <v>0</v>
      </c>
      <c r="AL24" s="108">
        <f t="shared" si="4"/>
        <v>0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1</v>
      </c>
      <c r="H25" s="367" t="s">
        <v>9</v>
      </c>
      <c r="I25" s="440">
        <v>2</v>
      </c>
      <c r="J25" s="369">
        <f t="shared" si="5"/>
        <v>2</v>
      </c>
      <c r="K25" s="363">
        <f t="shared" si="6"/>
        <v>0</v>
      </c>
      <c r="L25" s="363">
        <f t="shared" si="7"/>
        <v>3</v>
      </c>
      <c r="M25" s="352"/>
      <c r="N25" s="352"/>
      <c r="O25" s="392"/>
      <c r="P25" s="393"/>
      <c r="Q25" s="393"/>
      <c r="R25" s="393"/>
      <c r="S25" s="393"/>
      <c r="T25" s="393"/>
      <c r="U25" s="40"/>
      <c r="V25" s="40"/>
      <c r="W25" s="40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0"/>
        <v>0</v>
      </c>
      <c r="AH25" s="108">
        <f t="shared" si="1"/>
        <v>0</v>
      </c>
      <c r="AI25" s="108">
        <f t="shared" si="10"/>
        <v>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40"/>
      <c r="AO25" s="41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3</v>
      </c>
      <c r="H26" s="373" t="s">
        <v>9</v>
      </c>
      <c r="I26" s="441">
        <v>1</v>
      </c>
      <c r="J26" s="375">
        <f t="shared" si="5"/>
        <v>1</v>
      </c>
      <c r="K26" s="363">
        <f t="shared" si="6"/>
        <v>3</v>
      </c>
      <c r="L26" s="363">
        <f t="shared" si="7"/>
        <v>0</v>
      </c>
      <c r="M26" s="352"/>
      <c r="N26" s="352"/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40"/>
      <c r="V26" s="40"/>
      <c r="W26" s="40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0"/>
        <v>0</v>
      </c>
      <c r="AH26" s="108">
        <f t="shared" si="1"/>
        <v>0</v>
      </c>
      <c r="AI26" s="108">
        <f t="shared" si="10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1</v>
      </c>
      <c r="H27" s="379" t="s">
        <v>9</v>
      </c>
      <c r="I27" s="442">
        <v>1</v>
      </c>
      <c r="J27" s="381">
        <f t="shared" si="5"/>
        <v>3</v>
      </c>
      <c r="K27" s="363">
        <f t="shared" si="6"/>
        <v>1</v>
      </c>
      <c r="L27" s="363">
        <f t="shared" si="7"/>
        <v>1</v>
      </c>
      <c r="M27" s="352"/>
      <c r="N27" s="352"/>
      <c r="O27" s="394" t="s">
        <v>19</v>
      </c>
      <c r="P27" s="395">
        <f>SUMIF($D$8:$D$55,$O27,$G$8:$G$55)+SUMIF($F$8:$F$55,$O27,$I$8:$I$55)</f>
        <v>3</v>
      </c>
      <c r="Q27" s="395">
        <f>SUMIF($D$8:$D$55,$O27,$I$8:$I$55)+SUMIF($F$8:$F$55,$O27,$G$8:$G$55)</f>
        <v>2</v>
      </c>
      <c r="R27" s="396">
        <f>P27-Q27</f>
        <v>1</v>
      </c>
      <c r="S27" s="397">
        <f>SUMIF($D$8:$D$55,$O27,$K$8:$K$55)+SUMIF($F$8:$F$55,$O27,$L$8:$L$55)</f>
        <v>4</v>
      </c>
      <c r="T27" s="444" t="s">
        <v>64</v>
      </c>
      <c r="U27" s="40"/>
      <c r="V27" s="40" t="str">
        <f>O27</f>
        <v>Uruguay</v>
      </c>
      <c r="W27" s="40" t="s">
        <v>62</v>
      </c>
      <c r="Y27" s="109">
        <f t="shared" si="8"/>
        <v>0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0</v>
      </c>
      <c r="AG27" s="108">
        <f t="shared" si="0"/>
        <v>0</v>
      </c>
      <c r="AH27" s="108">
        <f t="shared" si="1"/>
        <v>0</v>
      </c>
      <c r="AI27" s="108">
        <f t="shared" si="10"/>
        <v>0</v>
      </c>
      <c r="AJ27" s="108">
        <f t="shared" si="2"/>
        <v>0</v>
      </c>
      <c r="AK27" s="108">
        <f t="shared" si="3"/>
        <v>0</v>
      </c>
      <c r="AL27" s="108">
        <f t="shared" si="4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0</v>
      </c>
      <c r="H28" s="367" t="s">
        <v>9</v>
      </c>
      <c r="I28" s="440">
        <v>0</v>
      </c>
      <c r="J28" s="369">
        <f t="shared" si="5"/>
        <v>3</v>
      </c>
      <c r="K28" s="363">
        <f t="shared" si="6"/>
        <v>1</v>
      </c>
      <c r="L28" s="363">
        <f t="shared" si="7"/>
        <v>1</v>
      </c>
      <c r="M28" s="352"/>
      <c r="N28" s="352"/>
      <c r="O28" s="398" t="s">
        <v>20</v>
      </c>
      <c r="P28" s="399">
        <f>SUMIF($D$8:$D$55,$O28,$G$8:$G$55)+SUMIF($F$8:$F$55,$O28,$I$8:$I$55)</f>
        <v>1</v>
      </c>
      <c r="Q28" s="399">
        <f>SUMIF($D$8:$D$55,$O28,$I$8:$I$55)+SUMIF($F$8:$F$55,$O28,$G$8:$G$55)</f>
        <v>4</v>
      </c>
      <c r="R28" s="399">
        <f>P28-Q28</f>
        <v>-3</v>
      </c>
      <c r="S28" s="400">
        <f>SUMIF($D$8:$D$55,$O28,$K$8:$K$55)+SUMIF($F$8:$F$55,$O28,$L$8:$L$55)</f>
        <v>1</v>
      </c>
      <c r="T28" s="445" t="s">
        <v>65</v>
      </c>
      <c r="U28" s="40"/>
      <c r="V28" s="40" t="str">
        <f>O28</f>
        <v>Costa Rica</v>
      </c>
      <c r="W28" s="40" t="s">
        <v>63</v>
      </c>
      <c r="Y28" s="109">
        <f t="shared" si="8"/>
        <v>0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0</v>
      </c>
      <c r="AG28" s="108">
        <f t="shared" si="0"/>
        <v>0</v>
      </c>
      <c r="AH28" s="108">
        <f t="shared" si="1"/>
        <v>0</v>
      </c>
      <c r="AI28" s="108">
        <f t="shared" si="10"/>
        <v>0</v>
      </c>
      <c r="AJ28" s="108">
        <f t="shared" si="2"/>
        <v>0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1</v>
      </c>
      <c r="H29" s="373" t="s">
        <v>9</v>
      </c>
      <c r="I29" s="441">
        <v>2</v>
      </c>
      <c r="J29" s="375">
        <f t="shared" si="5"/>
        <v>2</v>
      </c>
      <c r="K29" s="363">
        <f t="shared" si="6"/>
        <v>0</v>
      </c>
      <c r="L29" s="363">
        <f t="shared" si="7"/>
        <v>3</v>
      </c>
      <c r="M29" s="352"/>
      <c r="N29" s="352"/>
      <c r="O29" s="398" t="s">
        <v>21</v>
      </c>
      <c r="P29" s="399">
        <f>SUMIF($D$8:$D$55,$O29,$G$8:$G$55)+SUMIF($F$8:$F$55,$O29,$I$8:$I$55)</f>
        <v>5</v>
      </c>
      <c r="Q29" s="399">
        <f>SUMIF($D$8:$D$55,$O29,$I$8:$I$55)+SUMIF($F$8:$F$55,$O29,$G$8:$G$55)</f>
        <v>4</v>
      </c>
      <c r="R29" s="399">
        <f>P29-Q29</f>
        <v>1</v>
      </c>
      <c r="S29" s="400">
        <f>SUMIF($D$8:$D$55,$O29,$K$8:$K$55)+SUMIF($F$8:$F$55,$O29,$L$8:$L$55)</f>
        <v>5</v>
      </c>
      <c r="T29" s="445" t="s">
        <v>62</v>
      </c>
      <c r="U29" s="40"/>
      <c r="V29" s="40" t="str">
        <f>O29</f>
        <v>Engeland</v>
      </c>
      <c r="W29" s="40" t="s">
        <v>64</v>
      </c>
      <c r="Y29" s="109">
        <f t="shared" si="8"/>
        <v>0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0</v>
      </c>
      <c r="AG29" s="108">
        <f t="shared" si="0"/>
        <v>0</v>
      </c>
      <c r="AH29" s="108">
        <f t="shared" si="1"/>
        <v>0</v>
      </c>
      <c r="AI29" s="108">
        <f t="shared" si="10"/>
        <v>0</v>
      </c>
      <c r="AJ29" s="108">
        <f t="shared" si="2"/>
        <v>0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0</v>
      </c>
      <c r="H30" s="379" t="s">
        <v>9</v>
      </c>
      <c r="I30" s="442">
        <v>1</v>
      </c>
      <c r="J30" s="381">
        <f t="shared" si="5"/>
        <v>2</v>
      </c>
      <c r="K30" s="363">
        <f t="shared" si="6"/>
        <v>0</v>
      </c>
      <c r="L30" s="363">
        <f t="shared" si="7"/>
        <v>3</v>
      </c>
      <c r="M30" s="352"/>
      <c r="N30" s="352"/>
      <c r="O30" s="401" t="s">
        <v>22</v>
      </c>
      <c r="P30" s="402">
        <f>SUMIF($D$8:$D$55,$O30,$G$8:$G$55)+SUMIF($F$8:$F$55,$O30,$I$8:$I$55)</f>
        <v>3</v>
      </c>
      <c r="Q30" s="402">
        <f>SUMIF($D$8:$D$55,$O30,$I$8:$I$55)+SUMIF($F$8:$F$55,$O30,$G$8:$G$55)</f>
        <v>2</v>
      </c>
      <c r="R30" s="402">
        <f>P30-Q30</f>
        <v>1</v>
      </c>
      <c r="S30" s="403">
        <f>SUMIF($D$8:$D$55,$O30,$K$8:$K$55)+SUMIF($F$8:$F$55,$O30,$L$8:$L$55)</f>
        <v>5</v>
      </c>
      <c r="T30" s="446" t="s">
        <v>63</v>
      </c>
      <c r="U30" s="40"/>
      <c r="V30" s="40" t="str">
        <f>O30</f>
        <v>Italië</v>
      </c>
      <c r="W30" s="40" t="s">
        <v>65</v>
      </c>
      <c r="Y30" s="109">
        <f t="shared" si="8"/>
        <v>1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1</v>
      </c>
      <c r="AG30" s="108">
        <f t="shared" si="0"/>
        <v>1</v>
      </c>
      <c r="AH30" s="108">
        <f t="shared" si="1"/>
        <v>0</v>
      </c>
      <c r="AI30" s="108">
        <f t="shared" si="10"/>
        <v>0</v>
      </c>
      <c r="AJ30" s="108">
        <f t="shared" si="2"/>
        <v>0</v>
      </c>
      <c r="AK30" s="108">
        <f t="shared" si="3"/>
        <v>0</v>
      </c>
      <c r="AL30" s="108">
        <f t="shared" si="4"/>
        <v>0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1</v>
      </c>
      <c r="H31" s="367" t="s">
        <v>9</v>
      </c>
      <c r="I31" s="440">
        <v>0</v>
      </c>
      <c r="J31" s="369">
        <f t="shared" si="5"/>
        <v>1</v>
      </c>
      <c r="K31" s="363">
        <f t="shared" si="6"/>
        <v>3</v>
      </c>
      <c r="L31" s="363">
        <f t="shared" si="7"/>
        <v>0</v>
      </c>
      <c r="M31" s="352"/>
      <c r="N31" s="352"/>
      <c r="O31" s="392"/>
      <c r="P31" s="393"/>
      <c r="Q31" s="393"/>
      <c r="R31" s="393"/>
      <c r="S31" s="393"/>
      <c r="T31" s="393"/>
      <c r="U31" s="40"/>
      <c r="V31" s="40"/>
      <c r="W31" s="40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0"/>
        <v>0</v>
      </c>
      <c r="AH31" s="108">
        <f t="shared" si="1"/>
        <v>0</v>
      </c>
      <c r="AI31" s="108">
        <f t="shared" si="10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40"/>
      <c r="AO31" s="41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0</v>
      </c>
      <c r="H32" s="373" t="s">
        <v>9</v>
      </c>
      <c r="I32" s="441">
        <v>1</v>
      </c>
      <c r="J32" s="375">
        <f t="shared" si="5"/>
        <v>2</v>
      </c>
      <c r="K32" s="363">
        <f t="shared" si="6"/>
        <v>0</v>
      </c>
      <c r="L32" s="363">
        <f t="shared" si="7"/>
        <v>3</v>
      </c>
      <c r="M32" s="352"/>
      <c r="N32" s="352"/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40"/>
      <c r="V32" s="40"/>
      <c r="W32" s="40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0"/>
        <v>0</v>
      </c>
      <c r="AH32" s="108">
        <f t="shared" si="1"/>
        <v>0</v>
      </c>
      <c r="AI32" s="108">
        <f t="shared" si="10"/>
        <v>0</v>
      </c>
      <c r="AJ32" s="108">
        <f t="shared" si="2"/>
        <v>0</v>
      </c>
      <c r="AK32" s="108">
        <f t="shared" si="3"/>
        <v>5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0</v>
      </c>
      <c r="H33" s="379" t="s">
        <v>9</v>
      </c>
      <c r="I33" s="442">
        <v>0</v>
      </c>
      <c r="J33" s="381">
        <f t="shared" si="5"/>
        <v>3</v>
      </c>
      <c r="K33" s="363">
        <f t="shared" si="6"/>
        <v>1</v>
      </c>
      <c r="L33" s="363">
        <f t="shared" si="7"/>
        <v>1</v>
      </c>
      <c r="M33" s="352"/>
      <c r="N33" s="352"/>
      <c r="O33" s="394" t="s">
        <v>25</v>
      </c>
      <c r="P33" s="395">
        <f>SUMIF($D$8:$D$55,$O33,$G$8:$G$55)+SUMIF($F$8:$F$55,$O33,$I$8:$I$55)</f>
        <v>2</v>
      </c>
      <c r="Q33" s="395">
        <f>SUMIF($D$8:$D$55,$O33,$I$8:$I$55)+SUMIF($F$8:$F$55,$O33,$G$8:$G$55)</f>
        <v>2</v>
      </c>
      <c r="R33" s="396">
        <f>P33-Q33</f>
        <v>0</v>
      </c>
      <c r="S33" s="397">
        <f>SUMIF($D$8:$D$55,$O33,$K$8:$K$55)+SUMIF($F$8:$F$55,$O33,$L$8:$L$55)</f>
        <v>4</v>
      </c>
      <c r="T33" s="444" t="s">
        <v>69</v>
      </c>
      <c r="U33" s="40"/>
      <c r="V33" s="40" t="str">
        <f>O33</f>
        <v>Zwitserland</v>
      </c>
      <c r="W33" s="40" t="s">
        <v>67</v>
      </c>
      <c r="Y33" s="109">
        <f t="shared" si="8"/>
        <v>0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0</v>
      </c>
      <c r="AG33" s="108">
        <f t="shared" si="0"/>
        <v>0</v>
      </c>
      <c r="AH33" s="108">
        <f t="shared" si="1"/>
        <v>0</v>
      </c>
      <c r="AI33" s="108">
        <f t="shared" si="10"/>
        <v>0</v>
      </c>
      <c r="AJ33" s="108">
        <f t="shared" si="2"/>
        <v>0</v>
      </c>
      <c r="AK33" s="108">
        <f t="shared" si="3"/>
        <v>0</v>
      </c>
      <c r="AL33" s="108">
        <f t="shared" si="4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1</v>
      </c>
      <c r="H34" s="367" t="s">
        <v>9</v>
      </c>
      <c r="I34" s="440">
        <v>0</v>
      </c>
      <c r="J34" s="369">
        <f t="shared" si="5"/>
        <v>1</v>
      </c>
      <c r="K34" s="363">
        <f t="shared" si="6"/>
        <v>3</v>
      </c>
      <c r="L34" s="363">
        <f t="shared" si="7"/>
        <v>0</v>
      </c>
      <c r="M34" s="352"/>
      <c r="N34" s="352"/>
      <c r="O34" s="398" t="s">
        <v>26</v>
      </c>
      <c r="P34" s="399">
        <f>SUMIF($D$8:$D$55,$O34,$G$8:$G$55)+SUMIF($F$8:$F$55,$O34,$I$8:$I$55)</f>
        <v>1</v>
      </c>
      <c r="Q34" s="399">
        <f>SUMIF($D$8:$D$55,$O34,$I$8:$I$55)+SUMIF($F$8:$F$55,$O34,$G$8:$G$55)</f>
        <v>4</v>
      </c>
      <c r="R34" s="399">
        <f>P34-Q34</f>
        <v>-3</v>
      </c>
      <c r="S34" s="400">
        <f>SUMIF($D$8:$D$55,$O34,$K$8:$K$55)+SUMIF($F$8:$F$55,$O34,$L$8:$L$55)</f>
        <v>1</v>
      </c>
      <c r="T34" s="445" t="s">
        <v>68</v>
      </c>
      <c r="U34" s="40"/>
      <c r="V34" s="40" t="str">
        <f>O34</f>
        <v>Ecuador</v>
      </c>
      <c r="W34" s="40" t="s">
        <v>68</v>
      </c>
      <c r="Y34" s="109">
        <f t="shared" si="8"/>
        <v>10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10</v>
      </c>
      <c r="AG34" s="108">
        <f t="shared" si="0"/>
        <v>1</v>
      </c>
      <c r="AH34" s="108">
        <f t="shared" si="1"/>
        <v>1</v>
      </c>
      <c r="AI34" s="108">
        <f t="shared" si="10"/>
        <v>10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3</v>
      </c>
      <c r="H35" s="373" t="s">
        <v>9</v>
      </c>
      <c r="I35" s="441">
        <v>1</v>
      </c>
      <c r="J35" s="375">
        <f t="shared" si="5"/>
        <v>1</v>
      </c>
      <c r="K35" s="363">
        <f t="shared" si="6"/>
        <v>3</v>
      </c>
      <c r="L35" s="363">
        <f t="shared" si="7"/>
        <v>0</v>
      </c>
      <c r="M35" s="352"/>
      <c r="N35" s="352"/>
      <c r="O35" s="398" t="s">
        <v>27</v>
      </c>
      <c r="P35" s="399">
        <f>SUMIF($D$8:$D$55,$O35,$G$8:$G$55)+SUMIF($F$8:$F$55,$O35,$I$8:$I$55)</f>
        <v>6</v>
      </c>
      <c r="Q35" s="399">
        <f>SUMIF($D$8:$D$55,$O35,$I$8:$I$55)+SUMIF($F$8:$F$55,$O35,$G$8:$G$55)</f>
        <v>2</v>
      </c>
      <c r="R35" s="399">
        <f>P35-Q35</f>
        <v>4</v>
      </c>
      <c r="S35" s="400">
        <f>SUMIF($D$8:$D$55,$O35,$K$8:$K$55)+SUMIF($F$8:$F$55,$O35,$L$8:$L$55)</f>
        <v>9</v>
      </c>
      <c r="T35" s="445" t="s">
        <v>67</v>
      </c>
      <c r="U35" s="40"/>
      <c r="V35" s="40" t="str">
        <f>O35</f>
        <v>Frankrijk</v>
      </c>
      <c r="W35" s="40" t="s">
        <v>69</v>
      </c>
      <c r="Y35" s="109">
        <f t="shared" si="8"/>
        <v>0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0</v>
      </c>
      <c r="AG35" s="108">
        <f t="shared" si="0"/>
        <v>0</v>
      </c>
      <c r="AH35" s="108">
        <f t="shared" si="1"/>
        <v>0</v>
      </c>
      <c r="AI35" s="108">
        <f t="shared" si="10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2</v>
      </c>
      <c r="H36" s="379" t="s">
        <v>9</v>
      </c>
      <c r="I36" s="442">
        <v>1</v>
      </c>
      <c r="J36" s="381">
        <f t="shared" si="5"/>
        <v>1</v>
      </c>
      <c r="K36" s="363">
        <f t="shared" si="6"/>
        <v>3</v>
      </c>
      <c r="L36" s="363">
        <f t="shared" si="7"/>
        <v>0</v>
      </c>
      <c r="M36" s="352"/>
      <c r="N36" s="352"/>
      <c r="O36" s="401" t="s">
        <v>28</v>
      </c>
      <c r="P36" s="402">
        <f>SUMIF($D$8:$D$55,$O36,$G$8:$G$55)+SUMIF($F$8:$F$55,$O36,$I$8:$I$55)</f>
        <v>2</v>
      </c>
      <c r="Q36" s="402">
        <f>SUMIF($D$8:$D$55,$O36,$I$8:$I$55)+SUMIF($F$8:$F$55,$O36,$G$8:$G$55)</f>
        <v>3</v>
      </c>
      <c r="R36" s="402">
        <f>P36-Q36</f>
        <v>-1</v>
      </c>
      <c r="S36" s="403">
        <f>SUMIF($D$8:$D$55,$O36,$K$8:$K$55)+SUMIF($F$8:$F$55,$O36,$L$8:$L$55)</f>
        <v>2</v>
      </c>
      <c r="T36" s="446" t="s">
        <v>70</v>
      </c>
      <c r="U36" s="40"/>
      <c r="V36" s="40" t="str">
        <f>O36</f>
        <v>Honduras</v>
      </c>
      <c r="W36" s="40" t="s">
        <v>70</v>
      </c>
      <c r="Y36" s="109">
        <f t="shared" si="8"/>
        <v>5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5</v>
      </c>
      <c r="AG36" s="108">
        <f t="shared" si="0"/>
        <v>0</v>
      </c>
      <c r="AH36" s="108">
        <f t="shared" si="1"/>
        <v>0</v>
      </c>
      <c r="AI36" s="108">
        <f t="shared" si="10"/>
        <v>0</v>
      </c>
      <c r="AJ36" s="108">
        <f t="shared" si="2"/>
        <v>5</v>
      </c>
      <c r="AK36" s="108">
        <f t="shared" si="3"/>
        <v>0</v>
      </c>
      <c r="AL36" s="108">
        <f t="shared" si="4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1</v>
      </c>
      <c r="H37" s="367" t="s">
        <v>9</v>
      </c>
      <c r="I37" s="440">
        <v>2</v>
      </c>
      <c r="J37" s="369">
        <f t="shared" si="5"/>
        <v>2</v>
      </c>
      <c r="K37" s="363">
        <f t="shared" si="6"/>
        <v>0</v>
      </c>
      <c r="L37" s="363">
        <f t="shared" si="7"/>
        <v>3</v>
      </c>
      <c r="M37" s="352"/>
      <c r="N37" s="352"/>
      <c r="O37" s="392"/>
      <c r="P37" s="393"/>
      <c r="Q37" s="393"/>
      <c r="R37" s="393"/>
      <c r="S37" s="393"/>
      <c r="T37" s="393"/>
      <c r="U37" s="40"/>
      <c r="V37" s="40"/>
      <c r="W37" s="40"/>
      <c r="Y37" s="109">
        <f t="shared" si="8"/>
        <v>1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1</v>
      </c>
      <c r="AG37" s="108">
        <f t="shared" si="0"/>
        <v>1</v>
      </c>
      <c r="AH37" s="108">
        <f t="shared" si="1"/>
        <v>0</v>
      </c>
      <c r="AI37" s="108">
        <f t="shared" si="10"/>
        <v>0</v>
      </c>
      <c r="AJ37" s="108">
        <f t="shared" si="2"/>
        <v>0</v>
      </c>
      <c r="AK37" s="108">
        <f t="shared" si="3"/>
        <v>0</v>
      </c>
      <c r="AL37" s="108">
        <f t="shared" si="4"/>
        <v>0</v>
      </c>
      <c r="AN37" s="40"/>
      <c r="AO37" s="41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3</v>
      </c>
      <c r="H38" s="373" t="s">
        <v>9</v>
      </c>
      <c r="I38" s="441">
        <v>0</v>
      </c>
      <c r="J38" s="375">
        <f t="shared" si="5"/>
        <v>1</v>
      </c>
      <c r="K38" s="363">
        <f t="shared" si="6"/>
        <v>3</v>
      </c>
      <c r="L38" s="363">
        <f t="shared" si="7"/>
        <v>0</v>
      </c>
      <c r="M38" s="352"/>
      <c r="N38" s="352"/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40"/>
      <c r="V38" s="40"/>
      <c r="W38" s="40"/>
      <c r="Y38" s="109">
        <f t="shared" si="8"/>
        <v>0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0</v>
      </c>
      <c r="AG38" s="108">
        <f t="shared" si="0"/>
        <v>0</v>
      </c>
      <c r="AH38" s="108">
        <f t="shared" si="1"/>
        <v>0</v>
      </c>
      <c r="AI38" s="108">
        <f t="shared" si="10"/>
        <v>0</v>
      </c>
      <c r="AJ38" s="108">
        <f t="shared" si="2"/>
        <v>0</v>
      </c>
      <c r="AK38" s="108">
        <f t="shared" si="3"/>
        <v>0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2</v>
      </c>
      <c r="H39" s="379" t="s">
        <v>9</v>
      </c>
      <c r="I39" s="442">
        <v>4</v>
      </c>
      <c r="J39" s="381">
        <f t="shared" si="5"/>
        <v>2</v>
      </c>
      <c r="K39" s="363">
        <f t="shared" si="6"/>
        <v>0</v>
      </c>
      <c r="L39" s="363">
        <f t="shared" si="7"/>
        <v>3</v>
      </c>
      <c r="M39" s="352"/>
      <c r="N39" s="352"/>
      <c r="O39" s="394" t="s">
        <v>29</v>
      </c>
      <c r="P39" s="395">
        <f>SUMIF($D$8:$D$55,$O39,$G$8:$G$55)+SUMIF($F$8:$F$55,$O39,$I$8:$I$55)</f>
        <v>4</v>
      </c>
      <c r="Q39" s="395">
        <f>SUMIF($D$8:$D$55,$O39,$I$8:$I$55)+SUMIF($F$8:$F$55,$O39,$G$8:$G$55)</f>
        <v>0</v>
      </c>
      <c r="R39" s="396">
        <f>P39-Q39</f>
        <v>4</v>
      </c>
      <c r="S39" s="397">
        <f>SUMIF($D$8:$D$55,$O39,$K$8:$K$55)+SUMIF($F$8:$F$55,$O39,$L$8:$L$55)</f>
        <v>9</v>
      </c>
      <c r="T39" s="444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1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1</v>
      </c>
      <c r="AG39" s="108">
        <f t="shared" si="0"/>
        <v>1</v>
      </c>
      <c r="AH39" s="108">
        <f t="shared" si="1"/>
        <v>0</v>
      </c>
      <c r="AI39" s="108">
        <f t="shared" si="10"/>
        <v>0</v>
      </c>
      <c r="AJ39" s="108">
        <f t="shared" si="2"/>
        <v>0</v>
      </c>
      <c r="AK39" s="108">
        <f t="shared" si="3"/>
        <v>0</v>
      </c>
      <c r="AL39" s="108">
        <f t="shared" si="4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2</v>
      </c>
      <c r="H40" s="367" t="s">
        <v>9</v>
      </c>
      <c r="I40" s="440">
        <v>1</v>
      </c>
      <c r="J40" s="369">
        <f t="shared" si="5"/>
        <v>1</v>
      </c>
      <c r="K40" s="363">
        <f t="shared" si="6"/>
        <v>3</v>
      </c>
      <c r="L40" s="363">
        <f t="shared" si="7"/>
        <v>0</v>
      </c>
      <c r="M40" s="352"/>
      <c r="N40" s="352"/>
      <c r="O40" s="398" t="s">
        <v>30</v>
      </c>
      <c r="P40" s="399">
        <f>SUMIF($D$8:$D$55,$O40,$G$8:$G$55)+SUMIF($F$8:$F$55,$O40,$I$8:$I$55)</f>
        <v>1</v>
      </c>
      <c r="Q40" s="399">
        <f>SUMIF($D$8:$D$55,$O40,$I$8:$I$55)+SUMIF($F$8:$F$55,$O40,$G$8:$G$55)</f>
        <v>3</v>
      </c>
      <c r="R40" s="399">
        <f>P40-Q40</f>
        <v>-2</v>
      </c>
      <c r="S40" s="400">
        <f>SUMIF($D$8:$D$55,$O40,$K$8:$K$55)+SUMIF($F$8:$F$55,$O40,$L$8:$L$55)</f>
        <v>1</v>
      </c>
      <c r="T40" s="445" t="s">
        <v>75</v>
      </c>
      <c r="U40" s="40"/>
      <c r="V40" s="40" t="str">
        <f>O40</f>
        <v>Bosnië H.</v>
      </c>
      <c r="W40" s="40" t="s">
        <v>73</v>
      </c>
      <c r="Y40" s="109">
        <f t="shared" si="8"/>
        <v>0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0</v>
      </c>
      <c r="AG40" s="108">
        <f t="shared" si="0"/>
        <v>0</v>
      </c>
      <c r="AH40" s="108">
        <f t="shared" si="1"/>
        <v>0</v>
      </c>
      <c r="AI40" s="108">
        <f t="shared" si="10"/>
        <v>0</v>
      </c>
      <c r="AJ40" s="108">
        <f t="shared" si="2"/>
        <v>0</v>
      </c>
      <c r="AK40" s="108">
        <f t="shared" si="3"/>
        <v>0</v>
      </c>
      <c r="AL40" s="108">
        <f t="shared" si="4"/>
        <v>0</v>
      </c>
      <c r="AM40" s="120">
        <f>AO40</f>
        <v>0</v>
      </c>
      <c r="AN40" s="117" t="s">
        <v>30</v>
      </c>
      <c r="AO40" s="115">
        <f>IF(Uitslag!T40="",0,IF(T40=Uitslag!T40,10,0))</f>
        <v>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1</v>
      </c>
      <c r="H41" s="373" t="s">
        <v>9</v>
      </c>
      <c r="I41" s="441">
        <v>1</v>
      </c>
      <c r="J41" s="375">
        <f t="shared" si="5"/>
        <v>3</v>
      </c>
      <c r="K41" s="363">
        <f t="shared" si="6"/>
        <v>1</v>
      </c>
      <c r="L41" s="363">
        <f t="shared" si="7"/>
        <v>1</v>
      </c>
      <c r="M41" s="352"/>
      <c r="N41" s="352"/>
      <c r="O41" s="398" t="s">
        <v>33</v>
      </c>
      <c r="P41" s="399">
        <f>SUMIF($D$8:$D$55,$O41,$G$8:$G$55)+SUMIF($F$8:$F$55,$O41,$I$8:$I$55)</f>
        <v>0</v>
      </c>
      <c r="Q41" s="399">
        <f>SUMIF($D$8:$D$55,$O41,$I$8:$I$55)+SUMIF($F$8:$F$55,$O41,$G$8:$G$55)</f>
        <v>2</v>
      </c>
      <c r="R41" s="399">
        <f>P41-Q41</f>
        <v>-2</v>
      </c>
      <c r="S41" s="400">
        <f>SUMIF($D$8:$D$55,$O41,$K$8:$K$55)+SUMIF($F$8:$F$55,$O41,$L$8:$L$55)</f>
        <v>1</v>
      </c>
      <c r="T41" s="445" t="s">
        <v>73</v>
      </c>
      <c r="U41" s="40"/>
      <c r="V41" s="40" t="str">
        <f>O41</f>
        <v>Iran</v>
      </c>
      <c r="W41" s="40" t="s">
        <v>74</v>
      </c>
      <c r="Y41" s="109">
        <f t="shared" si="8"/>
        <v>0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0</v>
      </c>
      <c r="AG41" s="108">
        <f t="shared" si="0"/>
        <v>0</v>
      </c>
      <c r="AH41" s="108">
        <f t="shared" si="1"/>
        <v>0</v>
      </c>
      <c r="AI41" s="108">
        <f t="shared" si="10"/>
        <v>0</v>
      </c>
      <c r="AJ41" s="108">
        <f t="shared" si="2"/>
        <v>0</v>
      </c>
      <c r="AK41" s="108">
        <f t="shared" si="3"/>
        <v>0</v>
      </c>
      <c r="AL41" s="108">
        <f t="shared" si="4"/>
        <v>0</v>
      </c>
      <c r="AM41" s="120">
        <f>AO41</f>
        <v>0</v>
      </c>
      <c r="AN41" s="117" t="s">
        <v>33</v>
      </c>
      <c r="AO41" s="115">
        <f>IF(Uitslag!T41="",0,IF(T41=Uitslag!T41,10,0))</f>
        <v>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1</v>
      </c>
      <c r="H42" s="373" t="s">
        <v>9</v>
      </c>
      <c r="I42" s="441">
        <v>3</v>
      </c>
      <c r="J42" s="375">
        <f t="shared" si="5"/>
        <v>2</v>
      </c>
      <c r="K42" s="363">
        <f t="shared" si="6"/>
        <v>0</v>
      </c>
      <c r="L42" s="363">
        <f t="shared" si="7"/>
        <v>3</v>
      </c>
      <c r="M42" s="352"/>
      <c r="N42" s="352"/>
      <c r="O42" s="401" t="s">
        <v>34</v>
      </c>
      <c r="P42" s="402">
        <f>SUMIF($D$8:$D$55,$O42,$G$8:$G$55)+SUMIF($F$8:$F$55,$O42,$I$8:$I$55)</f>
        <v>3</v>
      </c>
      <c r="Q42" s="402">
        <f>SUMIF($D$8:$D$55,$O42,$I$8:$I$55)+SUMIF($F$8:$F$55,$O42,$G$8:$G$55)</f>
        <v>3</v>
      </c>
      <c r="R42" s="402">
        <f>P42-Q42</f>
        <v>0</v>
      </c>
      <c r="S42" s="403">
        <f>SUMIF($D$8:$D$55,$O42,$K$8:$K$55)+SUMIF($F$8:$F$55,$O42,$L$8:$L$55)</f>
        <v>6</v>
      </c>
      <c r="T42" s="446" t="s">
        <v>74</v>
      </c>
      <c r="U42" s="40"/>
      <c r="V42" s="40" t="str">
        <f>O42</f>
        <v>Nigeria</v>
      </c>
      <c r="W42" s="40" t="s">
        <v>75</v>
      </c>
      <c r="Y42" s="109">
        <f t="shared" si="8"/>
        <v>6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6</v>
      </c>
      <c r="AG42" s="108">
        <f t="shared" si="0"/>
        <v>1</v>
      </c>
      <c r="AH42" s="108">
        <f t="shared" si="1"/>
        <v>0</v>
      </c>
      <c r="AI42" s="108">
        <f t="shared" si="10"/>
        <v>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0</v>
      </c>
      <c r="AN42" s="118" t="s">
        <v>34</v>
      </c>
      <c r="AO42" s="115">
        <f>IF(Uitslag!T42="",0,IF(T42=Uitslag!T42,10,0))</f>
        <v>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0</v>
      </c>
      <c r="H43" s="379" t="s">
        <v>9</v>
      </c>
      <c r="I43" s="442">
        <v>1</v>
      </c>
      <c r="J43" s="381">
        <f t="shared" si="5"/>
        <v>2</v>
      </c>
      <c r="K43" s="363">
        <f t="shared" si="6"/>
        <v>0</v>
      </c>
      <c r="L43" s="363">
        <f t="shared" si="7"/>
        <v>3</v>
      </c>
      <c r="M43" s="352"/>
      <c r="N43" s="352"/>
      <c r="O43" s="392"/>
      <c r="P43" s="393"/>
      <c r="Q43" s="393"/>
      <c r="R43" s="393"/>
      <c r="S43" s="393"/>
      <c r="T43" s="393"/>
      <c r="U43" s="40"/>
      <c r="V43" s="40"/>
      <c r="W43" s="40"/>
      <c r="Y43" s="109">
        <f t="shared" si="8"/>
        <v>5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5</v>
      </c>
      <c r="AG43" s="108">
        <f t="shared" si="0"/>
        <v>0</v>
      </c>
      <c r="AH43" s="108">
        <f t="shared" si="1"/>
        <v>0</v>
      </c>
      <c r="AI43" s="108">
        <f t="shared" si="10"/>
        <v>0</v>
      </c>
      <c r="AJ43" s="108">
        <f t="shared" si="2"/>
        <v>0</v>
      </c>
      <c r="AK43" s="108">
        <f t="shared" si="3"/>
        <v>5</v>
      </c>
      <c r="AL43" s="108">
        <f t="shared" si="4"/>
        <v>0</v>
      </c>
      <c r="AN43" s="40"/>
      <c r="AO43" s="41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0</v>
      </c>
      <c r="H44" s="367" t="s">
        <v>9</v>
      </c>
      <c r="I44" s="440">
        <v>0</v>
      </c>
      <c r="J44" s="369">
        <f t="shared" si="5"/>
        <v>3</v>
      </c>
      <c r="K44" s="363">
        <f t="shared" si="6"/>
        <v>1</v>
      </c>
      <c r="L44" s="363">
        <f t="shared" si="7"/>
        <v>1</v>
      </c>
      <c r="M44" s="352"/>
      <c r="N44" s="352"/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40"/>
      <c r="V44" s="40"/>
      <c r="W44" s="40"/>
      <c r="Y44" s="109">
        <f t="shared" si="8"/>
        <v>1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1</v>
      </c>
      <c r="AG44" s="108">
        <f t="shared" si="0"/>
        <v>1</v>
      </c>
      <c r="AH44" s="108">
        <f t="shared" si="1"/>
        <v>0</v>
      </c>
      <c r="AI44" s="108">
        <f t="shared" si="10"/>
        <v>0</v>
      </c>
      <c r="AJ44" s="108">
        <f t="shared" si="2"/>
        <v>0</v>
      </c>
      <c r="AK44" s="108">
        <f t="shared" si="3"/>
        <v>0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1</v>
      </c>
      <c r="H45" s="373" t="s">
        <v>9</v>
      </c>
      <c r="I45" s="441">
        <v>1</v>
      </c>
      <c r="J45" s="375">
        <f t="shared" si="5"/>
        <v>3</v>
      </c>
      <c r="K45" s="363">
        <f t="shared" si="6"/>
        <v>1</v>
      </c>
      <c r="L45" s="363">
        <f t="shared" si="7"/>
        <v>1</v>
      </c>
      <c r="M45" s="352"/>
      <c r="N45" s="352"/>
      <c r="O45" s="394" t="s">
        <v>31</v>
      </c>
      <c r="P45" s="395">
        <f>SUMIF($D$8:$D$55,$O45,$G$8:$G$55)+SUMIF($F$8:$F$55,$O45,$I$8:$I$55)</f>
        <v>7</v>
      </c>
      <c r="Q45" s="395">
        <f>SUMIF($D$8:$D$55,$O45,$I$8:$I$55)+SUMIF($F$8:$F$55,$O45,$G$8:$G$55)</f>
        <v>5</v>
      </c>
      <c r="R45" s="396">
        <f>P45-Q45</f>
        <v>2</v>
      </c>
      <c r="S45" s="397">
        <f>SUMIF($D$8:$D$55,$O45,$K$8:$K$55)+SUMIF($F$8:$F$55,$O45,$L$8:$L$55)</f>
        <v>6</v>
      </c>
      <c r="T45" s="444" t="s">
        <v>78</v>
      </c>
      <c r="U45" s="40"/>
      <c r="V45" s="40" t="str">
        <f>O45</f>
        <v>Duitsland</v>
      </c>
      <c r="W45" s="40" t="s">
        <v>77</v>
      </c>
      <c r="Y45" s="109">
        <f t="shared" si="8"/>
        <v>5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5</v>
      </c>
      <c r="AG45" s="108">
        <f t="shared" si="0"/>
        <v>0</v>
      </c>
      <c r="AH45" s="108">
        <f t="shared" si="1"/>
        <v>0</v>
      </c>
      <c r="AI45" s="108">
        <f t="shared" si="10"/>
        <v>0</v>
      </c>
      <c r="AJ45" s="108">
        <f t="shared" si="2"/>
        <v>0</v>
      </c>
      <c r="AK45" s="108">
        <f t="shared" si="3"/>
        <v>0</v>
      </c>
      <c r="AL45" s="108">
        <f t="shared" si="4"/>
        <v>5</v>
      </c>
      <c r="AM45" s="120">
        <f>AO45</f>
        <v>0</v>
      </c>
      <c r="AN45" s="116" t="s">
        <v>31</v>
      </c>
      <c r="AO45" s="115">
        <f>IF(Uitslag!T45="",0,IF(T45=Uitslag!T45,10,0))</f>
        <v>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1</v>
      </c>
      <c r="H46" s="373" t="s">
        <v>9</v>
      </c>
      <c r="I46" s="441">
        <v>0</v>
      </c>
      <c r="J46" s="375">
        <f t="shared" si="5"/>
        <v>1</v>
      </c>
      <c r="K46" s="363">
        <f t="shared" si="6"/>
        <v>3</v>
      </c>
      <c r="L46" s="363">
        <f t="shared" si="7"/>
        <v>0</v>
      </c>
      <c r="M46" s="352"/>
      <c r="N46" s="352"/>
      <c r="O46" s="398" t="s">
        <v>32</v>
      </c>
      <c r="P46" s="399">
        <f>SUMIF($D$8:$D$55,$O46,$G$8:$G$55)+SUMIF($F$8:$F$55,$O46,$I$8:$I$55)</f>
        <v>10</v>
      </c>
      <c r="Q46" s="399">
        <f>SUMIF($D$8:$D$55,$O46,$I$8:$I$55)+SUMIF($F$8:$F$55,$O46,$G$8:$G$55)</f>
        <v>5</v>
      </c>
      <c r="R46" s="399">
        <f>P46-Q46</f>
        <v>5</v>
      </c>
      <c r="S46" s="400">
        <f>SUMIF($D$8:$D$55,$O46,$K$8:$K$55)+SUMIF($F$8:$F$55,$O46,$L$8:$L$55)</f>
        <v>9</v>
      </c>
      <c r="T46" s="445" t="s">
        <v>77</v>
      </c>
      <c r="U46" s="40"/>
      <c r="V46" s="40" t="str">
        <f>O46</f>
        <v>Portugal</v>
      </c>
      <c r="W46" s="40" t="s">
        <v>78</v>
      </c>
      <c r="Y46" s="109">
        <f t="shared" si="8"/>
        <v>1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1</v>
      </c>
      <c r="AG46" s="108">
        <f t="shared" si="0"/>
        <v>1</v>
      </c>
      <c r="AH46" s="108">
        <f t="shared" si="1"/>
        <v>0</v>
      </c>
      <c r="AI46" s="108">
        <f t="shared" si="10"/>
        <v>0</v>
      </c>
      <c r="AJ46" s="108">
        <f t="shared" si="2"/>
        <v>0</v>
      </c>
      <c r="AK46" s="108">
        <f t="shared" si="3"/>
        <v>0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2</v>
      </c>
      <c r="H47" s="379" t="s">
        <v>9</v>
      </c>
      <c r="I47" s="442">
        <v>1</v>
      </c>
      <c r="J47" s="381">
        <f t="shared" si="5"/>
        <v>1</v>
      </c>
      <c r="K47" s="363">
        <f t="shared" si="6"/>
        <v>3</v>
      </c>
      <c r="L47" s="363">
        <f t="shared" si="7"/>
        <v>0</v>
      </c>
      <c r="M47" s="352"/>
      <c r="N47" s="352"/>
      <c r="O47" s="398" t="s">
        <v>35</v>
      </c>
      <c r="P47" s="399">
        <f>SUMIF($D$8:$D$55,$O47,$G$8:$G$55)+SUMIF($F$8:$F$55,$O47,$I$8:$I$55)</f>
        <v>2</v>
      </c>
      <c r="Q47" s="399">
        <f>SUMIF($D$8:$D$55,$O47,$I$8:$I$55)+SUMIF($F$8:$F$55,$O47,$G$8:$G$55)</f>
        <v>8</v>
      </c>
      <c r="R47" s="399">
        <f>P47-Q47</f>
        <v>-6</v>
      </c>
      <c r="S47" s="400">
        <f>SUMIF($D$8:$D$55,$O47,$K$8:$K$55)+SUMIF($F$8:$F$55,$O47,$L$8:$L$55)</f>
        <v>0</v>
      </c>
      <c r="T47" s="445" t="s">
        <v>80</v>
      </c>
      <c r="U47" s="40"/>
      <c r="V47" s="40" t="str">
        <f>O47</f>
        <v>Ghana</v>
      </c>
      <c r="W47" s="40" t="s">
        <v>79</v>
      </c>
      <c r="Y47" s="109">
        <f t="shared" si="8"/>
        <v>10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10</v>
      </c>
      <c r="AG47" s="108">
        <f t="shared" si="0"/>
        <v>1</v>
      </c>
      <c r="AH47" s="108">
        <f t="shared" si="1"/>
        <v>1</v>
      </c>
      <c r="AI47" s="108">
        <f t="shared" si="10"/>
        <v>10</v>
      </c>
      <c r="AJ47" s="108">
        <f t="shared" si="2"/>
        <v>5</v>
      </c>
      <c r="AK47" s="108">
        <f t="shared" si="3"/>
        <v>0</v>
      </c>
      <c r="AL47" s="108">
        <f t="shared" si="4"/>
        <v>0</v>
      </c>
      <c r="AM47" s="120">
        <f>AO47</f>
        <v>10</v>
      </c>
      <c r="AN47" s="117" t="s">
        <v>35</v>
      </c>
      <c r="AO47" s="115">
        <f>IF(Uitslag!T47="",0,IF(T47=Uitslag!T47,10,0))</f>
        <v>10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0</v>
      </c>
      <c r="H48" s="367" t="s">
        <v>9</v>
      </c>
      <c r="I48" s="440">
        <v>2</v>
      </c>
      <c r="J48" s="369">
        <f t="shared" si="5"/>
        <v>2</v>
      </c>
      <c r="K48" s="363">
        <f t="shared" si="6"/>
        <v>0</v>
      </c>
      <c r="L48" s="363">
        <f t="shared" si="7"/>
        <v>3</v>
      </c>
      <c r="M48" s="352"/>
      <c r="N48" s="352"/>
      <c r="O48" s="401" t="s">
        <v>36</v>
      </c>
      <c r="P48" s="402">
        <f>SUMIF($D$8:$D$55,$O48,$G$8:$G$55)+SUMIF($F$8:$F$55,$O48,$I$8:$I$55)</f>
        <v>5</v>
      </c>
      <c r="Q48" s="402">
        <f>SUMIF($D$8:$D$55,$O48,$I$8:$I$55)+SUMIF($F$8:$F$55,$O48,$G$8:$G$55)</f>
        <v>6</v>
      </c>
      <c r="R48" s="402">
        <f>P48-Q48</f>
        <v>-1</v>
      </c>
      <c r="S48" s="403">
        <f>SUMIF($D$8:$D$55,$O48,$K$8:$K$55)+SUMIF($F$8:$F$55,$O48,$L$8:$L$55)</f>
        <v>3</v>
      </c>
      <c r="T48" s="446" t="s">
        <v>79</v>
      </c>
      <c r="U48" s="40"/>
      <c r="V48" s="40" t="str">
        <f>O48</f>
        <v>Verenigde Staten</v>
      </c>
      <c r="W48" s="40" t="s">
        <v>80</v>
      </c>
      <c r="Y48" s="109">
        <f t="shared" si="8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5</v>
      </c>
      <c r="AG48" s="108">
        <f t="shared" si="0"/>
        <v>0</v>
      </c>
      <c r="AH48" s="108">
        <f t="shared" si="1"/>
        <v>0</v>
      </c>
      <c r="AI48" s="108">
        <f t="shared" si="10"/>
        <v>0</v>
      </c>
      <c r="AJ48" s="108">
        <f t="shared" si="2"/>
        <v>0</v>
      </c>
      <c r="AK48" s="108">
        <f t="shared" si="3"/>
        <v>5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0</v>
      </c>
      <c r="H49" s="373" t="s">
        <v>9</v>
      </c>
      <c r="I49" s="441">
        <v>0</v>
      </c>
      <c r="J49" s="375">
        <f t="shared" si="5"/>
        <v>3</v>
      </c>
      <c r="K49" s="363">
        <f t="shared" si="6"/>
        <v>1</v>
      </c>
      <c r="L49" s="363">
        <f t="shared" si="7"/>
        <v>1</v>
      </c>
      <c r="M49" s="352"/>
      <c r="N49" s="352"/>
      <c r="O49" s="392"/>
      <c r="P49" s="393"/>
      <c r="Q49" s="393"/>
      <c r="R49" s="393"/>
      <c r="S49" s="393"/>
      <c r="T49" s="393"/>
      <c r="U49" s="40"/>
      <c r="V49" s="40"/>
      <c r="W49" s="40"/>
      <c r="Y49" s="109">
        <f t="shared" si="8"/>
        <v>0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0</v>
      </c>
      <c r="AG49" s="108">
        <f t="shared" si="0"/>
        <v>0</v>
      </c>
      <c r="AH49" s="108">
        <f t="shared" si="1"/>
        <v>0</v>
      </c>
      <c r="AI49" s="108">
        <f t="shared" si="10"/>
        <v>0</v>
      </c>
      <c r="AJ49" s="108">
        <f t="shared" si="2"/>
        <v>0</v>
      </c>
      <c r="AK49" s="108">
        <f t="shared" si="3"/>
        <v>0</v>
      </c>
      <c r="AL49" s="108">
        <f t="shared" si="4"/>
        <v>0</v>
      </c>
      <c r="AN49" s="40"/>
      <c r="AO49" s="41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1</v>
      </c>
      <c r="H50" s="373" t="s">
        <v>9</v>
      </c>
      <c r="I50" s="441">
        <v>1</v>
      </c>
      <c r="J50" s="375">
        <f t="shared" si="5"/>
        <v>3</v>
      </c>
      <c r="K50" s="363">
        <f t="shared" si="6"/>
        <v>1</v>
      </c>
      <c r="L50" s="363">
        <f t="shared" si="7"/>
        <v>1</v>
      </c>
      <c r="M50" s="352"/>
      <c r="N50" s="352"/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40"/>
      <c r="V50" s="40"/>
      <c r="W50" s="40"/>
      <c r="Y50" s="109">
        <f t="shared" si="8"/>
        <v>0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0</v>
      </c>
      <c r="AG50" s="108">
        <f t="shared" si="0"/>
        <v>0</v>
      </c>
      <c r="AH50" s="108">
        <f t="shared" si="1"/>
        <v>0</v>
      </c>
      <c r="AI50" s="108">
        <f t="shared" si="10"/>
        <v>0</v>
      </c>
      <c r="AJ50" s="108">
        <f t="shared" si="2"/>
        <v>0</v>
      </c>
      <c r="AK50" s="108">
        <f t="shared" si="3"/>
        <v>0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1</v>
      </c>
      <c r="H51" s="379" t="s">
        <v>9</v>
      </c>
      <c r="I51" s="442">
        <v>3</v>
      </c>
      <c r="J51" s="381">
        <f t="shared" si="5"/>
        <v>2</v>
      </c>
      <c r="K51" s="363">
        <f t="shared" si="6"/>
        <v>0</v>
      </c>
      <c r="L51" s="363">
        <f>IF(I51="","",IF($G51&lt;$I51,3,IF($G51=$I51,1,0)))</f>
        <v>3</v>
      </c>
      <c r="M51" s="352"/>
      <c r="N51" s="352"/>
      <c r="O51" s="394" t="s">
        <v>37</v>
      </c>
      <c r="P51" s="395">
        <f>SUMIF($D$8:$D$55,$O51,$G$8:$G$55)+SUMIF($F$8:$F$55,$O51,$I$8:$I$55)</f>
        <v>4</v>
      </c>
      <c r="Q51" s="395">
        <f>SUMIF($D$8:$D$55,$O51,$I$8:$I$55)+SUMIF($F$8:$F$55,$O51,$G$8:$G$55)</f>
        <v>4</v>
      </c>
      <c r="R51" s="396">
        <f>P51-Q51</f>
        <v>0</v>
      </c>
      <c r="S51" s="397">
        <f>SUMIF($D$8:$D$55,$O51,$K$8:$K$55)+SUMIF($F$8:$F$55,$O51,$L$8:$L$55)</f>
        <v>4</v>
      </c>
      <c r="T51" s="444" t="s">
        <v>83</v>
      </c>
      <c r="U51" s="40"/>
      <c r="V51" s="40" t="str">
        <f>O51</f>
        <v>België</v>
      </c>
      <c r="W51" s="40" t="s">
        <v>82</v>
      </c>
      <c r="Y51" s="109">
        <f t="shared" si="8"/>
        <v>0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0</v>
      </c>
      <c r="AG51" s="108">
        <f t="shared" si="0"/>
        <v>0</v>
      </c>
      <c r="AH51" s="108">
        <f t="shared" si="1"/>
        <v>0</v>
      </c>
      <c r="AI51" s="108">
        <f t="shared" si="10"/>
        <v>0</v>
      </c>
      <c r="AJ51" s="108">
        <f t="shared" si="2"/>
        <v>0</v>
      </c>
      <c r="AK51" s="108">
        <f t="shared" si="3"/>
        <v>0</v>
      </c>
      <c r="AL51" s="108">
        <f t="shared" si="4"/>
        <v>0</v>
      </c>
      <c r="AM51" s="120">
        <f>AO51</f>
        <v>0</v>
      </c>
      <c r="AN51" s="116" t="s">
        <v>37</v>
      </c>
      <c r="AO51" s="115">
        <f>IF(Uitslag!T51="",0,IF(T51=Uitslag!T51,10,0))</f>
        <v>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1</v>
      </c>
      <c r="H52" s="373" t="s">
        <v>9</v>
      </c>
      <c r="I52" s="441">
        <v>2</v>
      </c>
      <c r="J52" s="369">
        <f t="shared" si="5"/>
        <v>2</v>
      </c>
      <c r="K52" s="363">
        <f t="shared" si="6"/>
        <v>0</v>
      </c>
      <c r="L52" s="363">
        <f t="shared" si="7"/>
        <v>3</v>
      </c>
      <c r="M52" s="352"/>
      <c r="N52" s="352"/>
      <c r="O52" s="398" t="s">
        <v>38</v>
      </c>
      <c r="P52" s="399">
        <f>SUMIF($D$8:$D$55,$O52,$G$8:$G$55)+SUMIF($F$8:$F$55,$O52,$I$8:$I$55)</f>
        <v>2</v>
      </c>
      <c r="Q52" s="399">
        <f>SUMIF($D$8:$D$55,$O52,$I$8:$I$55)+SUMIF($F$8:$F$55,$O52,$G$8:$G$55)</f>
        <v>4</v>
      </c>
      <c r="R52" s="399">
        <f>P52-Q52</f>
        <v>-2</v>
      </c>
      <c r="S52" s="400">
        <f>SUMIF($D$8:$D$55,$O52,$K$8:$K$55)+SUMIF($F$8:$F$55,$O52,$L$8:$L$55)</f>
        <v>4</v>
      </c>
      <c r="T52" s="445" t="s">
        <v>85</v>
      </c>
      <c r="U52" s="40"/>
      <c r="V52" s="40" t="str">
        <f>O52</f>
        <v>Algerije</v>
      </c>
      <c r="W52" s="40" t="s">
        <v>83</v>
      </c>
      <c r="Y52" s="109">
        <f t="shared" si="8"/>
        <v>5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5</v>
      </c>
      <c r="AG52" s="108">
        <f t="shared" si="0"/>
        <v>0</v>
      </c>
      <c r="AH52" s="108">
        <f t="shared" si="1"/>
        <v>0</v>
      </c>
      <c r="AI52" s="108">
        <f t="shared" si="10"/>
        <v>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3</v>
      </c>
      <c r="H53" s="373" t="s">
        <v>9</v>
      </c>
      <c r="I53" s="441">
        <v>1</v>
      </c>
      <c r="J53" s="375">
        <f t="shared" si="5"/>
        <v>1</v>
      </c>
      <c r="K53" s="363">
        <f t="shared" si="6"/>
        <v>3</v>
      </c>
      <c r="L53" s="363">
        <f t="shared" si="7"/>
        <v>0</v>
      </c>
      <c r="M53" s="352"/>
      <c r="N53" s="352"/>
      <c r="O53" s="398" t="s">
        <v>39</v>
      </c>
      <c r="P53" s="399">
        <f>SUMIF($D$8:$D$55,$O53,$G$8:$G$55)+SUMIF($F$8:$F$55,$O53,$I$8:$I$55)</f>
        <v>2</v>
      </c>
      <c r="Q53" s="399">
        <f>SUMIF($D$8:$D$55,$O53,$I$8:$I$55)+SUMIF($F$8:$F$55,$O53,$G$8:$G$55)</f>
        <v>3</v>
      </c>
      <c r="R53" s="399">
        <f>P53-Q53</f>
        <v>-1</v>
      </c>
      <c r="S53" s="400">
        <f>SUMIF($D$8:$D$55,$O53,$K$8:$K$55)+SUMIF($F$8:$F$55,$O53,$L$8:$L$55)</f>
        <v>3</v>
      </c>
      <c r="T53" s="445" t="s">
        <v>84</v>
      </c>
      <c r="U53" s="40"/>
      <c r="V53" s="40" t="str">
        <f>O53</f>
        <v>Rusland</v>
      </c>
      <c r="W53" s="40" t="s">
        <v>84</v>
      </c>
      <c r="Y53" s="109">
        <f t="shared" si="8"/>
        <v>6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6</v>
      </c>
      <c r="AG53" s="108">
        <f t="shared" si="0"/>
        <v>0</v>
      </c>
      <c r="AH53" s="108">
        <f t="shared" si="1"/>
        <v>1</v>
      </c>
      <c r="AI53" s="108">
        <f t="shared" si="10"/>
        <v>0</v>
      </c>
      <c r="AJ53" s="108">
        <f t="shared" si="2"/>
        <v>5</v>
      </c>
      <c r="AK53" s="108">
        <f t="shared" si="3"/>
        <v>0</v>
      </c>
      <c r="AL53" s="108">
        <f t="shared" si="4"/>
        <v>0</v>
      </c>
      <c r="AM53" s="120">
        <f>AO53</f>
        <v>10</v>
      </c>
      <c r="AN53" s="117" t="s">
        <v>39</v>
      </c>
      <c r="AO53" s="115">
        <f>IF(Uitslag!T53="",0,IF(T53=Uitslag!T53,10,0))</f>
        <v>10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1</v>
      </c>
      <c r="H54" s="373" t="s">
        <v>9</v>
      </c>
      <c r="I54" s="441">
        <v>2</v>
      </c>
      <c r="J54" s="375">
        <f t="shared" si="5"/>
        <v>2</v>
      </c>
      <c r="K54" s="363">
        <f t="shared" si="6"/>
        <v>0</v>
      </c>
      <c r="L54" s="363">
        <f t="shared" si="7"/>
        <v>3</v>
      </c>
      <c r="M54" s="352"/>
      <c r="N54" s="352"/>
      <c r="O54" s="401" t="s">
        <v>40</v>
      </c>
      <c r="P54" s="402">
        <f>SUMIF($D$8:$D$55,$O54,$G$8:$G$55)+SUMIF($F$8:$F$55,$O54,$I$8:$I$55)</f>
        <v>5</v>
      </c>
      <c r="Q54" s="402">
        <f>SUMIF($D$8:$D$55,$O54,$I$8:$I$55)+SUMIF($F$8:$F$55,$O54,$G$8:$G$55)</f>
        <v>2</v>
      </c>
      <c r="R54" s="402">
        <f>P54-Q54</f>
        <v>3</v>
      </c>
      <c r="S54" s="403">
        <f>SUMIF($D$8:$D$55,$O54,$K$8:$K$55)+SUMIF($F$8:$F$55,$O54,$L$8:$L$55)</f>
        <v>6</v>
      </c>
      <c r="T54" s="446" t="s">
        <v>82</v>
      </c>
      <c r="U54" s="40"/>
      <c r="V54" s="40" t="str">
        <f>O54</f>
        <v>Zuid Korea</v>
      </c>
      <c r="W54" s="40" t="s">
        <v>85</v>
      </c>
      <c r="Y54" s="109">
        <f t="shared" si="8"/>
        <v>5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5</v>
      </c>
      <c r="AG54" s="108">
        <f t="shared" si="0"/>
        <v>0</v>
      </c>
      <c r="AH54" s="108">
        <f t="shared" si="1"/>
        <v>0</v>
      </c>
      <c r="AI54" s="108">
        <f t="shared" si="10"/>
        <v>0</v>
      </c>
      <c r="AJ54" s="108">
        <f t="shared" si="2"/>
        <v>0</v>
      </c>
      <c r="AK54" s="108">
        <f t="shared" si="3"/>
        <v>5</v>
      </c>
      <c r="AL54" s="108">
        <f t="shared" si="4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1</v>
      </c>
      <c r="H55" s="388" t="s">
        <v>9</v>
      </c>
      <c r="I55" s="443">
        <v>0</v>
      </c>
      <c r="J55" s="390">
        <f t="shared" si="5"/>
        <v>1</v>
      </c>
      <c r="K55" s="363">
        <f t="shared" si="6"/>
        <v>3</v>
      </c>
      <c r="L55" s="363">
        <f t="shared" si="7"/>
        <v>0</v>
      </c>
      <c r="M55" s="352"/>
      <c r="N55" s="352"/>
      <c r="O55" s="392"/>
      <c r="P55" s="393"/>
      <c r="Q55" s="393"/>
      <c r="R55" s="393"/>
      <c r="S55" s="393"/>
      <c r="T55" s="393"/>
      <c r="U55" s="40"/>
      <c r="V55" s="40"/>
      <c r="W55" s="40"/>
      <c r="Y55" s="109">
        <f t="shared" si="8"/>
        <v>1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</v>
      </c>
      <c r="AG55" s="108">
        <f t="shared" si="0"/>
        <v>1</v>
      </c>
      <c r="AH55" s="108">
        <f t="shared" si="1"/>
        <v>0</v>
      </c>
      <c r="AI55" s="108">
        <f t="shared" si="10"/>
        <v>0</v>
      </c>
      <c r="AJ55" s="108">
        <f t="shared" si="2"/>
        <v>0</v>
      </c>
      <c r="AK55" s="108">
        <f t="shared" si="3"/>
        <v>0</v>
      </c>
      <c r="AL55" s="108">
        <f t="shared" si="4"/>
        <v>0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N56" s="352"/>
      <c r="O56" s="352"/>
      <c r="P56" s="352"/>
      <c r="Q56" s="352"/>
      <c r="R56" s="352"/>
      <c r="S56" s="352"/>
      <c r="T56" s="352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27"/>
      <c r="K57" s="353"/>
      <c r="L57" s="353"/>
      <c r="M57" s="353"/>
      <c r="N57" s="352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32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N58" s="352"/>
      <c r="O58" s="458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>IF(ISERROR(Z59),K59,Z59)</f>
        <v>Brazilië</v>
      </c>
      <c r="E59" s="367" t="s">
        <v>9</v>
      </c>
      <c r="F59" s="406" t="str">
        <f>IF(ISERROR(AA59),L59,AA59)</f>
        <v>Nederland</v>
      </c>
      <c r="G59" s="435">
        <v>2</v>
      </c>
      <c r="H59" s="367" t="s">
        <v>9</v>
      </c>
      <c r="I59" s="447">
        <v>2</v>
      </c>
      <c r="J59" s="448">
        <v>2</v>
      </c>
      <c r="K59" s="407" t="s">
        <v>48</v>
      </c>
      <c r="L59" s="407" t="s">
        <v>53</v>
      </c>
      <c r="M59" s="407">
        <v>1</v>
      </c>
      <c r="N59" s="352"/>
      <c r="O59" s="458">
        <v>2</v>
      </c>
      <c r="P59" s="877" t="s">
        <v>212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3">AF59</f>
        <v>5</v>
      </c>
      <c r="Z59" t="str">
        <f t="shared" ref="Z59:AA65" si="14">IF(K59=""," ",VLOOKUP(K59,$T$9:$V$54,3,FALSE))</f>
        <v>Brazilië</v>
      </c>
      <c r="AA59" t="str">
        <f t="shared" si="14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5</v>
      </c>
      <c r="AG59" s="108">
        <f t="shared" ref="AG59:AG66" si="16">IF(AC59="",0,(IF(G59=AC59,1,0)))</f>
        <v>0</v>
      </c>
      <c r="AH59" s="108">
        <f t="shared" ref="AH59:AH66" si="17">IF(AD59="",0,(IF(I59=AD59,1,0)))</f>
        <v>0</v>
      </c>
      <c r="AI59" s="108">
        <f t="shared" ref="AI59:AI66" si="18">IF(AND(AG59=1,AH59=1),10,0)</f>
        <v>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5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376">
        <v>50</v>
      </c>
      <c r="C60" s="466">
        <v>41818</v>
      </c>
      <c r="D60" s="460" t="str">
        <f t="shared" ref="D60:D66" si="23">IF(ISERROR(Z60),K60,Z60)</f>
        <v>Griekenland</v>
      </c>
      <c r="E60" s="379" t="s">
        <v>9</v>
      </c>
      <c r="F60" s="409" t="str">
        <f t="shared" ref="F60:F66" si="24">IF(ISERROR(AA60),L60,AA60)</f>
        <v>Italië</v>
      </c>
      <c r="G60" s="437">
        <v>1</v>
      </c>
      <c r="H60" s="379" t="s">
        <v>9</v>
      </c>
      <c r="I60" s="449">
        <v>2</v>
      </c>
      <c r="J60" s="450">
        <v>2</v>
      </c>
      <c r="K60" s="407" t="s">
        <v>57</v>
      </c>
      <c r="L60" s="407" t="s">
        <v>63</v>
      </c>
      <c r="M60" s="407">
        <v>2</v>
      </c>
      <c r="N60" s="352"/>
      <c r="O60" s="458">
        <v>3</v>
      </c>
      <c r="P60" s="877" t="s">
        <v>220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3"/>
        <v>0</v>
      </c>
      <c r="Z60" t="str">
        <f t="shared" si="14"/>
        <v>Griekenland</v>
      </c>
      <c r="AA60" t="str">
        <f t="shared" si="14"/>
        <v>Italië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0</v>
      </c>
      <c r="AG60" s="108">
        <f t="shared" si="16"/>
        <v>0</v>
      </c>
      <c r="AH60" s="108">
        <f t="shared" si="17"/>
        <v>0</v>
      </c>
      <c r="AI60" s="108">
        <f t="shared" si="18"/>
        <v>0</v>
      </c>
      <c r="AJ60" s="108">
        <f t="shared" si="19"/>
        <v>0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2"/>
        <v>3</v>
      </c>
    </row>
    <row r="61" spans="2:54">
      <c r="B61" s="364">
        <v>51</v>
      </c>
      <c r="C61" s="465">
        <v>41819</v>
      </c>
      <c r="D61" s="464" t="str">
        <f t="shared" si="23"/>
        <v>Spanje</v>
      </c>
      <c r="E61" s="367" t="s">
        <v>9</v>
      </c>
      <c r="F61" s="406" t="str">
        <f t="shared" si="24"/>
        <v>Mexico</v>
      </c>
      <c r="G61" s="435">
        <v>2</v>
      </c>
      <c r="H61" s="367" t="s">
        <v>9</v>
      </c>
      <c r="I61" s="447">
        <v>0</v>
      </c>
      <c r="J61" s="448">
        <v>1</v>
      </c>
      <c r="K61" s="407" t="s">
        <v>52</v>
      </c>
      <c r="L61" s="407" t="s">
        <v>49</v>
      </c>
      <c r="M61" s="407"/>
      <c r="N61" s="352"/>
      <c r="O61" s="458">
        <v>4</v>
      </c>
      <c r="P61" s="877" t="s">
        <v>211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3"/>
        <v>6</v>
      </c>
      <c r="Z61" t="str">
        <f t="shared" si="14"/>
        <v>Spanje</v>
      </c>
      <c r="AA61" t="str">
        <f t="shared" si="14"/>
        <v>Mexico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6</v>
      </c>
      <c r="AG61" s="108">
        <f t="shared" si="16"/>
        <v>1</v>
      </c>
      <c r="AH61" s="108">
        <f t="shared" si="17"/>
        <v>0</v>
      </c>
      <c r="AI61" s="108">
        <f t="shared" si="18"/>
        <v>0</v>
      </c>
      <c r="AJ61" s="108">
        <f t="shared" si="19"/>
        <v>5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3</v>
      </c>
      <c r="BB61" s="139">
        <f t="shared" si="22"/>
        <v>3</v>
      </c>
    </row>
    <row r="62" spans="2:54">
      <c r="B62" s="376">
        <v>52</v>
      </c>
      <c r="C62" s="466">
        <v>41819</v>
      </c>
      <c r="D62" s="464" t="str">
        <f t="shared" si="23"/>
        <v>Engeland</v>
      </c>
      <c r="E62" s="379" t="s">
        <v>9</v>
      </c>
      <c r="F62" s="409" t="str">
        <f t="shared" si="24"/>
        <v>Japan</v>
      </c>
      <c r="G62" s="437">
        <v>1</v>
      </c>
      <c r="H62" s="379" t="s">
        <v>9</v>
      </c>
      <c r="I62" s="449">
        <v>0</v>
      </c>
      <c r="J62" s="450">
        <v>1</v>
      </c>
      <c r="K62" s="407" t="s">
        <v>62</v>
      </c>
      <c r="L62" s="407" t="s">
        <v>58</v>
      </c>
      <c r="M62" s="407"/>
      <c r="N62" s="352"/>
      <c r="O62" s="458">
        <v>5</v>
      </c>
      <c r="P62" s="877" t="s">
        <v>221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3"/>
        <v>1</v>
      </c>
      <c r="Z62" t="str">
        <f t="shared" si="14"/>
        <v>Engeland</v>
      </c>
      <c r="AA62" t="str">
        <f t="shared" si="14"/>
        <v>Japan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1</v>
      </c>
      <c r="AG62" s="108">
        <f t="shared" si="16"/>
        <v>1</v>
      </c>
      <c r="AH62" s="108">
        <f t="shared" si="17"/>
        <v>0</v>
      </c>
      <c r="AI62" s="108">
        <f t="shared" si="18"/>
        <v>0</v>
      </c>
      <c r="AJ62" s="108">
        <f t="shared" si="19"/>
        <v>0</v>
      </c>
      <c r="AK62" s="108">
        <f t="shared" si="20"/>
        <v>0</v>
      </c>
      <c r="AL62" s="108">
        <f t="shared" si="21"/>
        <v>0</v>
      </c>
      <c r="AZ62" s="138" t="str">
        <f>Uitslag!P62</f>
        <v>Bruno Martins Indi (v)</v>
      </c>
      <c r="BA62" s="140">
        <f t="shared" si="12"/>
        <v>0</v>
      </c>
      <c r="BB62" s="139">
        <f t="shared" si="22"/>
        <v>0</v>
      </c>
    </row>
    <row r="63" spans="2:54">
      <c r="B63" s="364">
        <v>53</v>
      </c>
      <c r="C63" s="465">
        <v>41820</v>
      </c>
      <c r="D63" s="459" t="str">
        <f t="shared" si="23"/>
        <v>Frankrijk</v>
      </c>
      <c r="E63" s="367" t="s">
        <v>9</v>
      </c>
      <c r="F63" s="406" t="str">
        <f t="shared" si="24"/>
        <v>Iran</v>
      </c>
      <c r="G63" s="435">
        <v>0</v>
      </c>
      <c r="H63" s="367" t="s">
        <v>9</v>
      </c>
      <c r="I63" s="447">
        <v>0</v>
      </c>
      <c r="J63" s="448">
        <v>1</v>
      </c>
      <c r="K63" s="407" t="s">
        <v>67</v>
      </c>
      <c r="L63" s="407" t="s">
        <v>73</v>
      </c>
      <c r="M63" s="407"/>
      <c r="N63" s="352"/>
      <c r="O63" s="458">
        <v>6</v>
      </c>
      <c r="P63" s="877" t="s">
        <v>214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3"/>
        <v>1</v>
      </c>
      <c r="Z63" t="str">
        <f t="shared" si="14"/>
        <v>Frankrijk</v>
      </c>
      <c r="AA63" t="str">
        <f t="shared" si="14"/>
        <v>Iran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1</v>
      </c>
      <c r="AG63" s="108">
        <f t="shared" si="16"/>
        <v>0</v>
      </c>
      <c r="AH63" s="108">
        <f t="shared" si="17"/>
        <v>1</v>
      </c>
      <c r="AI63" s="108">
        <f t="shared" si="18"/>
        <v>0</v>
      </c>
      <c r="AJ63" s="108">
        <f t="shared" si="19"/>
        <v>0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3</v>
      </c>
      <c r="BB63" s="139">
        <f t="shared" si="22"/>
        <v>3</v>
      </c>
    </row>
    <row r="64" spans="2:54">
      <c r="B64" s="376">
        <v>54</v>
      </c>
      <c r="C64" s="466">
        <v>41820</v>
      </c>
      <c r="D64" s="460" t="str">
        <f t="shared" si="23"/>
        <v>Portugal</v>
      </c>
      <c r="E64" s="379" t="s">
        <v>9</v>
      </c>
      <c r="F64" s="409" t="str">
        <f t="shared" si="24"/>
        <v>België</v>
      </c>
      <c r="G64" s="437">
        <v>2</v>
      </c>
      <c r="H64" s="379" t="s">
        <v>9</v>
      </c>
      <c r="I64" s="449">
        <v>0</v>
      </c>
      <c r="J64" s="450">
        <v>1</v>
      </c>
      <c r="K64" s="407" t="s">
        <v>77</v>
      </c>
      <c r="L64" s="407" t="s">
        <v>83</v>
      </c>
      <c r="M64" s="407"/>
      <c r="N64" s="352"/>
      <c r="O64" s="458">
        <v>7</v>
      </c>
      <c r="P64" s="877" t="s">
        <v>215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3"/>
        <v>1</v>
      </c>
      <c r="Z64" t="str">
        <f t="shared" si="14"/>
        <v>Portugal</v>
      </c>
      <c r="AA64" t="str">
        <f t="shared" si="14"/>
        <v>België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1</v>
      </c>
      <c r="AG64" s="108">
        <f t="shared" si="16"/>
        <v>0</v>
      </c>
      <c r="AH64" s="108">
        <f t="shared" si="17"/>
        <v>1</v>
      </c>
      <c r="AI64" s="108">
        <f t="shared" si="18"/>
        <v>0</v>
      </c>
      <c r="AJ64" s="108">
        <f t="shared" si="19"/>
        <v>0</v>
      </c>
      <c r="AK64" s="108">
        <f t="shared" si="20"/>
        <v>0</v>
      </c>
      <c r="AL64" s="108">
        <f t="shared" si="21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2"/>
        <v>3</v>
      </c>
    </row>
    <row r="65" spans="2:54">
      <c r="B65" s="370">
        <v>55</v>
      </c>
      <c r="C65" s="467">
        <v>41821</v>
      </c>
      <c r="D65" s="459" t="str">
        <f t="shared" si="23"/>
        <v>Argentinië</v>
      </c>
      <c r="E65" s="373" t="s">
        <v>9</v>
      </c>
      <c r="F65" s="410" t="str">
        <f t="shared" si="24"/>
        <v>Ecuador</v>
      </c>
      <c r="G65" s="436">
        <v>1</v>
      </c>
      <c r="H65" s="373" t="s">
        <v>9</v>
      </c>
      <c r="I65" s="451">
        <v>1</v>
      </c>
      <c r="J65" s="452">
        <v>1</v>
      </c>
      <c r="K65" s="407" t="s">
        <v>72</v>
      </c>
      <c r="L65" s="407" t="s">
        <v>68</v>
      </c>
      <c r="M65" s="407"/>
      <c r="N65" s="352"/>
      <c r="O65" s="458">
        <v>8</v>
      </c>
      <c r="P65" s="877" t="s">
        <v>223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3"/>
        <v>5</v>
      </c>
      <c r="Z65" t="str">
        <f t="shared" si="14"/>
        <v>Argentinië</v>
      </c>
      <c r="AA65" t="str">
        <f t="shared" si="14"/>
        <v>Ecuador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5</v>
      </c>
      <c r="AG65" s="108">
        <f t="shared" si="16"/>
        <v>0</v>
      </c>
      <c r="AH65" s="108">
        <f t="shared" si="17"/>
        <v>0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5</v>
      </c>
      <c r="AZ65" s="138" t="str">
        <f>Uitslag!P65</f>
        <v>Nigel de Jong (m)</v>
      </c>
      <c r="BA65" s="140">
        <f t="shared" si="12"/>
        <v>0</v>
      </c>
      <c r="BB65" s="139">
        <f t="shared" si="22"/>
        <v>0</v>
      </c>
    </row>
    <row r="66" spans="2:54" ht="15.75" thickBot="1">
      <c r="B66" s="385">
        <v>56</v>
      </c>
      <c r="C66" s="462">
        <v>41821</v>
      </c>
      <c r="D66" s="461" t="str">
        <f t="shared" si="23"/>
        <v>Zuid Korea</v>
      </c>
      <c r="E66" s="388" t="s">
        <v>9</v>
      </c>
      <c r="F66" s="412" t="str">
        <f t="shared" si="24"/>
        <v>Duitsland</v>
      </c>
      <c r="G66" s="438">
        <v>1</v>
      </c>
      <c r="H66" s="388" t="s">
        <v>9</v>
      </c>
      <c r="I66" s="453">
        <v>2</v>
      </c>
      <c r="J66" s="454">
        <v>2</v>
      </c>
      <c r="K66" s="407" t="s">
        <v>82</v>
      </c>
      <c r="L66" s="407" t="s">
        <v>78</v>
      </c>
      <c r="M66" s="407"/>
      <c r="N66" s="352"/>
      <c r="O66" s="458">
        <v>9</v>
      </c>
      <c r="P66" s="877" t="s">
        <v>240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3"/>
        <v>0</v>
      </c>
      <c r="Z66" t="str">
        <f>IF(K66=""," ",VLOOKUP(K66,$T$9:$V$54,3,FALSE))</f>
        <v>Zuid Korea</v>
      </c>
      <c r="AA66" t="str">
        <f>IF(L66=""," ",VLOOKUP(L66,$T$9:$V$54,3,FALSE))</f>
        <v>Duitsland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0</v>
      </c>
      <c r="AG66" s="108">
        <f t="shared" si="16"/>
        <v>0</v>
      </c>
      <c r="AH66" s="108">
        <f t="shared" si="17"/>
        <v>0</v>
      </c>
      <c r="AI66" s="108">
        <f t="shared" si="18"/>
        <v>0</v>
      </c>
      <c r="AJ66" s="108">
        <f t="shared" si="19"/>
        <v>0</v>
      </c>
      <c r="AK66" s="108">
        <f t="shared" si="20"/>
        <v>0</v>
      </c>
      <c r="AL66" s="108">
        <f t="shared" si="21"/>
        <v>0</v>
      </c>
      <c r="AZ66" s="138" t="str">
        <f>Uitslag!P66</f>
        <v>Jonathan de Guzman (m)</v>
      </c>
      <c r="BA66" s="140">
        <f t="shared" si="12"/>
        <v>0</v>
      </c>
      <c r="BB66" s="139">
        <f t="shared" si="22"/>
        <v>0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N67" s="352"/>
      <c r="O67" s="458">
        <v>10</v>
      </c>
      <c r="P67" s="877" t="s">
        <v>213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2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27"/>
      <c r="K68" s="353"/>
      <c r="L68" s="353"/>
      <c r="M68" s="353"/>
      <c r="N68" s="352"/>
      <c r="O68" s="458">
        <v>11</v>
      </c>
      <c r="P68" s="877" t="s">
        <v>219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0</v>
      </c>
      <c r="BB68" s="139">
        <f t="shared" si="22"/>
        <v>0</v>
      </c>
    </row>
    <row r="69" spans="2:54">
      <c r="B69" s="428" t="s">
        <v>1</v>
      </c>
      <c r="C69" s="429" t="s">
        <v>2</v>
      </c>
      <c r="D69" s="430" t="s">
        <v>3</v>
      </c>
      <c r="E69" s="431"/>
      <c r="F69" s="432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N69" s="352"/>
      <c r="O69" s="352"/>
      <c r="P69" s="352"/>
      <c r="Q69" s="352"/>
      <c r="R69" s="352"/>
      <c r="S69" s="352"/>
      <c r="T69" s="352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21</v>
      </c>
      <c r="BB69" s="139" t="str">
        <f>IF(AND(BA69&lt;&gt;"",BA69=33),15,"nvt")</f>
        <v>nvt</v>
      </c>
    </row>
    <row r="70" spans="2:54">
      <c r="B70" s="364">
        <v>57</v>
      </c>
      <c r="C70" s="365">
        <v>41824</v>
      </c>
      <c r="D70" s="405" t="str">
        <f>IF(J63="","Winnaar 53",IF(J63=1,D63,F63))</f>
        <v>Frankrijk</v>
      </c>
      <c r="E70" s="367" t="s">
        <v>9</v>
      </c>
      <c r="F70" s="406" t="str">
        <f>IF(J64="","Winnaar 54",IF(J64=1,D64,F64))</f>
        <v>Portugal</v>
      </c>
      <c r="G70" s="435">
        <v>0</v>
      </c>
      <c r="H70" s="367" t="s">
        <v>9</v>
      </c>
      <c r="I70" s="447">
        <v>2</v>
      </c>
      <c r="J70" s="448">
        <v>2</v>
      </c>
      <c r="K70" s="353"/>
      <c r="L70" s="353"/>
      <c r="M70" s="353"/>
      <c r="N70" s="352"/>
      <c r="O70" s="352"/>
      <c r="P70" s="352"/>
      <c r="Q70" s="352"/>
      <c r="R70" s="352"/>
      <c r="S70" s="352"/>
      <c r="T70" s="352"/>
      <c r="V70" t="s">
        <v>133</v>
      </c>
      <c r="W70" t="s">
        <v>126</v>
      </c>
      <c r="X70" t="str">
        <f t="shared" si="11"/>
        <v>Karim Rekik (v)</v>
      </c>
      <c r="Y70" s="109">
        <f>AF70</f>
        <v>6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6</v>
      </c>
      <c r="AG70" s="108">
        <f>IF(AC70="",0,(IF(G70=AC70,1,0)))</f>
        <v>1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Nederland</v>
      </c>
      <c r="E71" s="379" t="s">
        <v>9</v>
      </c>
      <c r="F71" s="409" t="str">
        <f>IF(J60="","Winnaar 50",IF(J60=1,D60,F60))</f>
        <v>Italië</v>
      </c>
      <c r="G71" s="437">
        <v>2</v>
      </c>
      <c r="H71" s="379" t="s">
        <v>9</v>
      </c>
      <c r="I71" s="449">
        <v>1</v>
      </c>
      <c r="J71" s="450">
        <v>1</v>
      </c>
      <c r="K71" s="353"/>
      <c r="L71" s="353"/>
      <c r="M71" s="353"/>
      <c r="N71" s="352"/>
      <c r="O71" s="352"/>
      <c r="P71" s="352"/>
      <c r="Q71" s="352"/>
      <c r="R71" s="352"/>
      <c r="S71" s="352"/>
      <c r="T71" s="352"/>
      <c r="V71" t="s">
        <v>133</v>
      </c>
      <c r="W71" t="s">
        <v>194</v>
      </c>
      <c r="X71" t="str">
        <f t="shared" si="11"/>
        <v>Ron Vlaar (v)</v>
      </c>
      <c r="Y71" s="109">
        <f>AF71</f>
        <v>10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10</v>
      </c>
      <c r="AG71" s="108">
        <f>IF(AC71="",0,(IF(G71=AC71,1,0)))</f>
        <v>1</v>
      </c>
      <c r="AH71" s="108">
        <f>IF(AD71="",0,(IF(I71=AD71,1,0)))</f>
        <v>1</v>
      </c>
      <c r="AI71" s="108">
        <f>IF(AND(AG71=1,AH71=1),10,0)</f>
        <v>10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Argentinië</v>
      </c>
      <c r="E72" s="367" t="s">
        <v>9</v>
      </c>
      <c r="F72" s="406" t="str">
        <f>IF(J66="","Winnaar 56",IF(J66=1,D66,F66))</f>
        <v>Duitsland</v>
      </c>
      <c r="G72" s="435">
        <v>0</v>
      </c>
      <c r="H72" s="367" t="s">
        <v>9</v>
      </c>
      <c r="I72" s="447">
        <v>1</v>
      </c>
      <c r="J72" s="448">
        <v>2</v>
      </c>
      <c r="K72" s="353"/>
      <c r="L72" s="353"/>
      <c r="M72" s="353"/>
      <c r="N72" s="352"/>
      <c r="O72" s="352"/>
      <c r="P72" s="352"/>
      <c r="Q72" s="352"/>
      <c r="R72" s="352"/>
      <c r="S72" s="352"/>
      <c r="T72" s="352"/>
      <c r="V72" t="s">
        <v>133</v>
      </c>
      <c r="W72" t="s">
        <v>195</v>
      </c>
      <c r="X72" t="str">
        <f t="shared" si="11"/>
        <v>John Heitinga (v)</v>
      </c>
      <c r="Y72" s="109">
        <f>AF72</f>
        <v>0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0</v>
      </c>
      <c r="AG72" s="108">
        <f>IF(AC72="",0,(IF(G72=AC72,1,0)))</f>
        <v>0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0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Spanje</v>
      </c>
      <c r="E73" s="388" t="s">
        <v>9</v>
      </c>
      <c r="F73" s="412" t="str">
        <f>IF(J62="","Winnaar 52",IF(J62=1,D62,F62))</f>
        <v>Engeland</v>
      </c>
      <c r="G73" s="438">
        <v>2</v>
      </c>
      <c r="H73" s="388" t="s">
        <v>9</v>
      </c>
      <c r="I73" s="453">
        <v>1</v>
      </c>
      <c r="J73" s="454">
        <v>1</v>
      </c>
      <c r="K73" s="353"/>
      <c r="L73" s="353"/>
      <c r="M73" s="353"/>
      <c r="N73" s="352"/>
      <c r="O73" s="352"/>
      <c r="P73" s="352"/>
      <c r="Q73" s="352"/>
      <c r="R73" s="352"/>
      <c r="S73" s="352"/>
      <c r="T73" s="352"/>
      <c r="V73" t="s">
        <v>133</v>
      </c>
      <c r="W73" t="s">
        <v>196</v>
      </c>
      <c r="X73" t="str">
        <f t="shared" si="11"/>
        <v>Urby Emanuelson (v)</v>
      </c>
      <c r="Y73" s="109">
        <f>AF73</f>
        <v>0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0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N74" s="352"/>
      <c r="O74" s="352"/>
      <c r="P74" s="352"/>
      <c r="Q74" s="352"/>
      <c r="R74" s="352"/>
      <c r="S74" s="352"/>
      <c r="T74" s="352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27"/>
      <c r="K75" s="353"/>
      <c r="L75" s="353"/>
      <c r="M75" s="353"/>
      <c r="N75" s="352"/>
      <c r="O75" s="352"/>
      <c r="P75" s="352"/>
      <c r="Q75" s="352"/>
      <c r="R75" s="352"/>
      <c r="S75" s="352"/>
      <c r="T75" s="352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30" t="s">
        <v>3</v>
      </c>
      <c r="E76" s="431"/>
      <c r="F76" s="432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N76" s="352"/>
      <c r="O76" s="352"/>
      <c r="P76" s="352"/>
      <c r="Q76" s="352"/>
      <c r="R76" s="352"/>
      <c r="S76" s="352"/>
      <c r="T76" s="352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Portugal</v>
      </c>
      <c r="E77" s="367" t="s">
        <v>9</v>
      </c>
      <c r="F77" s="406" t="str">
        <f>IF(J71="","Winnaar 58",IF(J71=1,D71,F71))</f>
        <v>Nederland</v>
      </c>
      <c r="G77" s="435">
        <v>1</v>
      </c>
      <c r="H77" s="367" t="s">
        <v>9</v>
      </c>
      <c r="I77" s="447">
        <v>1</v>
      </c>
      <c r="J77" s="448">
        <v>2</v>
      </c>
      <c r="K77" s="353"/>
      <c r="L77" s="353"/>
      <c r="M77" s="353"/>
      <c r="N77" s="352"/>
      <c r="O77" s="352"/>
      <c r="P77" s="352"/>
      <c r="Q77" s="352"/>
      <c r="R77" s="352"/>
      <c r="S77" s="352"/>
      <c r="T77" s="352"/>
      <c r="V77" t="s">
        <v>134</v>
      </c>
      <c r="W77" t="s">
        <v>203</v>
      </c>
      <c r="X77" t="str">
        <f t="shared" si="11"/>
        <v>Marco van Ginkel (m)</v>
      </c>
      <c r="Y77" s="109">
        <f>AF77</f>
        <v>1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1</v>
      </c>
      <c r="AG77" s="108">
        <f>IF(AC77="",0,(IF(G77=AC77,1,0)))</f>
        <v>0</v>
      </c>
      <c r="AH77" s="108">
        <f>IF(AD77="",0,(IF(I77=AD77,1,0)))</f>
        <v>1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Duitsland</v>
      </c>
      <c r="E78" s="388" t="s">
        <v>9</v>
      </c>
      <c r="F78" s="412" t="str">
        <f>IF(J73="","Winnaar 60",IF(J73=1,D73,F73))</f>
        <v>Spanje</v>
      </c>
      <c r="G78" s="438">
        <v>1</v>
      </c>
      <c r="H78" s="388" t="s">
        <v>9</v>
      </c>
      <c r="I78" s="453">
        <v>0</v>
      </c>
      <c r="J78" s="454">
        <v>1</v>
      </c>
      <c r="K78" s="353"/>
      <c r="L78" s="353"/>
      <c r="M78" s="353"/>
      <c r="N78" s="352"/>
      <c r="O78" s="352"/>
      <c r="P78" s="352"/>
      <c r="Q78" s="352"/>
      <c r="R78" s="352"/>
      <c r="S78" s="352"/>
      <c r="T78" s="352"/>
      <c r="V78" t="s">
        <v>134</v>
      </c>
      <c r="W78" t="s">
        <v>199</v>
      </c>
      <c r="X78" t="str">
        <f t="shared" si="11"/>
        <v>Leroy Fer (m)</v>
      </c>
      <c r="Y78" s="109">
        <f>AF78</f>
        <v>1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1</v>
      </c>
      <c r="AG78" s="108">
        <f>IF(AC78="",0,(IF(G78=AC78,1,0)))</f>
        <v>0</v>
      </c>
      <c r="AH78" s="108">
        <f>IF(AD78="",0,(IF(I78=AD78,1,0)))</f>
        <v>1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N79" s="352"/>
      <c r="O79" s="352"/>
      <c r="P79" s="352"/>
      <c r="Q79" s="352"/>
      <c r="R79" s="352"/>
      <c r="S79" s="352"/>
      <c r="T79" s="352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27"/>
      <c r="K80" s="353"/>
      <c r="L80" s="353"/>
      <c r="M80" s="353"/>
      <c r="N80" s="352"/>
      <c r="O80" s="352"/>
      <c r="P80" s="352"/>
      <c r="Q80" s="352"/>
      <c r="R80" s="352"/>
      <c r="S80" s="352"/>
      <c r="T80" s="352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30" t="s">
        <v>3</v>
      </c>
      <c r="E81" s="431"/>
      <c r="F81" s="432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N81" s="352"/>
      <c r="O81" s="352"/>
      <c r="P81" s="352"/>
      <c r="Q81" s="352"/>
      <c r="R81" s="352"/>
      <c r="S81" s="352"/>
      <c r="T81" s="352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Portugal</v>
      </c>
      <c r="E82" s="355" t="s">
        <v>9</v>
      </c>
      <c r="F82" s="415" t="str">
        <f>IF(J78="","Verliezer 62",IF(J78=1,F78,D78))</f>
        <v>Spanje</v>
      </c>
      <c r="G82" s="455">
        <v>1</v>
      </c>
      <c r="H82" s="355" t="s">
        <v>9</v>
      </c>
      <c r="I82" s="456">
        <v>2</v>
      </c>
      <c r="J82" s="457">
        <v>2</v>
      </c>
      <c r="K82" s="353"/>
      <c r="L82" s="353"/>
      <c r="M82" s="353"/>
      <c r="N82" s="352"/>
      <c r="O82" s="352"/>
      <c r="P82" s="352"/>
      <c r="Q82" s="352"/>
      <c r="R82" s="352"/>
      <c r="S82" s="352"/>
      <c r="T82" s="352"/>
      <c r="V82" t="s">
        <v>134</v>
      </c>
      <c r="W82" t="s">
        <v>125</v>
      </c>
      <c r="X82" t="str">
        <f t="shared" si="11"/>
        <v>Georginio Wijnaldum (m)</v>
      </c>
      <c r="Y82" s="109">
        <f>AF82</f>
        <v>5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5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5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N83" s="352"/>
      <c r="O83" s="352"/>
      <c r="P83" s="352"/>
      <c r="Q83" s="352"/>
      <c r="R83" s="352"/>
      <c r="S83" s="352"/>
      <c r="T83" s="352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27"/>
      <c r="K84" s="353"/>
      <c r="L84" s="353"/>
      <c r="M84" s="353"/>
      <c r="N84" s="352"/>
      <c r="O84" s="352"/>
      <c r="P84" s="352"/>
      <c r="Q84" s="352"/>
      <c r="R84" s="352"/>
      <c r="S84" s="352"/>
      <c r="T84" s="352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30" t="s">
        <v>3</v>
      </c>
      <c r="E85" s="431"/>
      <c r="F85" s="432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N85" s="352"/>
      <c r="O85" s="352"/>
      <c r="P85" s="352"/>
      <c r="Q85" s="352"/>
      <c r="R85" s="352"/>
      <c r="S85" s="352"/>
      <c r="T85" s="352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Nederland</v>
      </c>
      <c r="E86" s="355" t="s">
        <v>9</v>
      </c>
      <c r="F86" s="415" t="str">
        <f>IF(J78="","Winnaar 62",IF(J78=1,D78,F78))</f>
        <v>Duitsland</v>
      </c>
      <c r="G86" s="455">
        <v>2</v>
      </c>
      <c r="H86" s="355" t="s">
        <v>9</v>
      </c>
      <c r="I86" s="456">
        <v>1</v>
      </c>
      <c r="J86" s="457">
        <v>1</v>
      </c>
      <c r="K86" s="353"/>
      <c r="L86" s="353"/>
      <c r="M86" s="353"/>
      <c r="N86" s="352"/>
      <c r="O86" s="352"/>
      <c r="P86" s="352"/>
      <c r="Q86" s="352"/>
      <c r="R86" s="352"/>
      <c r="S86" s="352"/>
      <c r="T86" s="352"/>
      <c r="V86" t="s">
        <v>134</v>
      </c>
      <c r="W86" t="s">
        <v>139</v>
      </c>
      <c r="X86" t="str">
        <f t="shared" si="11"/>
        <v>Nigel de Jong (m)</v>
      </c>
      <c r="Y86" s="109">
        <f>AF86</f>
        <v>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0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Nederland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5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5</v>
      </c>
      <c r="AV89">
        <f>IF(AR89=0,0,IF(E89=AR89,50,0))</f>
        <v>0</v>
      </c>
      <c r="AW89">
        <f>IF(E89=0,0,IF(OR(E89=AR90),15,0))</f>
        <v>0</v>
      </c>
      <c r="AX89">
        <f>IF(E89=0,0,IF(OR(E89=AR91,E89=AR92),5,0))</f>
        <v>5</v>
      </c>
    </row>
    <row r="90" spans="2:50">
      <c r="C90" s="870">
        <v>2</v>
      </c>
      <c r="D90" s="871"/>
      <c r="E90" s="872" t="str">
        <f>IF(J86=2,D86,IF(J86=1,F86,"Wie wordt 2de?"))</f>
        <v>Duitsland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15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15</v>
      </c>
      <c r="AV90">
        <f>IF(AR90=0,0,IF(AR90=E90,25,0))</f>
        <v>0</v>
      </c>
      <c r="AW90">
        <f>IF(E90=0,0,IF(OR(E90=AR89,),15,0))</f>
        <v>15</v>
      </c>
      <c r="AX90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Spanje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0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0</v>
      </c>
      <c r="AV91">
        <f>IF(AR91=0,0,IF(AR91=E91,15,0))</f>
        <v>0</v>
      </c>
      <c r="AW91">
        <f>IF(E91=0,0,IF(OR(E91=AR92),10,0))</f>
        <v>0</v>
      </c>
      <c r="AX91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Portugal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0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0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20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conditionalFormatting sqref="AO9:AO12 AO15:AO18 AO21:AO24 AO27:AO30 AO33:AO36 AO39:AO42 AO45:AO48 AO51:AO54">
    <cfRule type="cellIs" dxfId="254" priority="3" operator="equal">
      <formula>10</formula>
    </cfRule>
  </conditionalFormatting>
  <conditionalFormatting sqref="P58:T58">
    <cfRule type="duplicateValues" dxfId="253" priority="2"/>
  </conditionalFormatting>
  <conditionalFormatting sqref="P58:T68">
    <cfRule type="duplicateValues" dxfId="252" priority="1"/>
  </conditionalFormatting>
  <dataValidations count="10">
    <dataValidation type="list" allowBlank="1" showInputMessage="1" showErrorMessage="1" sqref="P58:P68">
      <formula1>$X$58:$X$98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51:T54">
      <formula1>$W$51:$W$54</formula1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B1:BB98"/>
  <sheetViews>
    <sheetView topLeftCell="A46" zoomScale="70" zoomScaleNormal="70" workbookViewId="0">
      <selection activeCell="P58" sqref="P58:T68"/>
    </sheetView>
  </sheetViews>
  <sheetFormatPr defaultRowHeight="15" outlineLevelCol="2"/>
  <cols>
    <col min="1" max="1" width="3.42578125" customWidth="1"/>
    <col min="2" max="2" width="3.5703125" bestFit="1" customWidth="1"/>
    <col min="3" max="3" width="11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145" t="s">
        <v>242</v>
      </c>
      <c r="E3" s="145"/>
      <c r="F3" s="145"/>
      <c r="N3" t="str">
        <f>D3</f>
        <v>Pascal vd B.</v>
      </c>
      <c r="O3" s="144">
        <f>SUM(P3:S3)</f>
        <v>395</v>
      </c>
      <c r="P3" s="109">
        <f>SUM(Y8:Y86)</f>
        <v>177</v>
      </c>
      <c r="Q3" s="109">
        <f>SUM(AM4:AM55)</f>
        <v>140</v>
      </c>
      <c r="R3" s="109">
        <f>SUM(AP89:AP92)</f>
        <v>30</v>
      </c>
      <c r="S3" s="109">
        <f>SUM(BB58:BB69)</f>
        <v>48</v>
      </c>
      <c r="T3" s="109">
        <f>COUNTIF(AF8:AF86,10)</f>
        <v>2</v>
      </c>
      <c r="U3" s="109" t="str">
        <f>E89</f>
        <v>Brazilië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1"/>
      <c r="L6" s="1"/>
      <c r="O6" s="40"/>
      <c r="P6" s="41"/>
      <c r="Q6" s="41"/>
      <c r="R6" s="41"/>
      <c r="S6" s="41"/>
      <c r="T6" s="41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66" t="s">
        <v>1</v>
      </c>
      <c r="C7" s="67" t="s">
        <v>2</v>
      </c>
      <c r="D7" s="196" t="s">
        <v>3</v>
      </c>
      <c r="E7" s="69"/>
      <c r="F7" s="197" t="s">
        <v>4</v>
      </c>
      <c r="G7" s="880" t="s">
        <v>5</v>
      </c>
      <c r="H7" s="881"/>
      <c r="I7" s="882"/>
      <c r="J7" s="71" t="s">
        <v>6</v>
      </c>
      <c r="K7" s="4" t="s">
        <v>7</v>
      </c>
      <c r="L7" s="4" t="s">
        <v>7</v>
      </c>
      <c r="O7" s="1"/>
      <c r="P7" s="41"/>
      <c r="Q7" s="41"/>
      <c r="R7" s="41"/>
      <c r="S7" s="41"/>
      <c r="T7" s="41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5">
        <v>1</v>
      </c>
      <c r="C8" s="6">
        <v>41802</v>
      </c>
      <c r="D8" s="7" t="s">
        <v>8</v>
      </c>
      <c r="E8" s="8" t="s">
        <v>9</v>
      </c>
      <c r="F8" s="9" t="s">
        <v>10</v>
      </c>
      <c r="G8" s="84">
        <v>2</v>
      </c>
      <c r="H8" s="8" t="s">
        <v>9</v>
      </c>
      <c r="I8" s="192">
        <v>0</v>
      </c>
      <c r="J8" s="10">
        <f>IF(I8="","",IF(G8&gt;I8,1,IF(G8&lt;I8,2,3)))</f>
        <v>1</v>
      </c>
      <c r="K8" s="11">
        <f>IF(I8="","",IF($G8&gt;$I8,3,IF($G8=$I8,1,0)))</f>
        <v>3</v>
      </c>
      <c r="L8" s="11">
        <f>IF(I8="","",IF($G8&lt;$I8,3,IF($G8=$I8,1,0)))</f>
        <v>0</v>
      </c>
      <c r="O8" s="72" t="s">
        <v>41</v>
      </c>
      <c r="P8" s="73" t="s">
        <v>42</v>
      </c>
      <c r="Q8" s="73" t="s">
        <v>43</v>
      </c>
      <c r="R8" s="74" t="s">
        <v>44</v>
      </c>
      <c r="S8" s="75" t="s">
        <v>45</v>
      </c>
      <c r="T8" s="76" t="s">
        <v>46</v>
      </c>
      <c r="U8" s="40"/>
      <c r="V8" s="40"/>
      <c r="W8" s="40"/>
      <c r="Y8" s="109">
        <f>AF8</f>
        <v>5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5</v>
      </c>
      <c r="AG8" s="108">
        <f t="shared" ref="AG8:AG55" si="0">IF(AC8="",0,(IF(G8=AC8,1,0)))</f>
        <v>0</v>
      </c>
      <c r="AH8" s="108">
        <f t="shared" ref="AH8:AH55" si="1">IF(AD8="",0,(IF(I8=AD8,1,0)))</f>
        <v>0</v>
      </c>
      <c r="AI8" s="108">
        <f>IF(AND(AG8=1,AH8=1),10,0)</f>
        <v>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12">
        <v>2</v>
      </c>
      <c r="C9" s="13">
        <v>41803</v>
      </c>
      <c r="D9" s="14" t="s">
        <v>11</v>
      </c>
      <c r="E9" s="15" t="s">
        <v>9</v>
      </c>
      <c r="F9" s="16" t="s">
        <v>12</v>
      </c>
      <c r="G9" s="85">
        <v>2</v>
      </c>
      <c r="H9" s="15" t="s">
        <v>9</v>
      </c>
      <c r="I9" s="90">
        <v>1</v>
      </c>
      <c r="J9" s="17">
        <f t="shared" ref="J9:J55" si="5">IF(I9="","",IF(G9&gt;I9,1,IF(G9&lt;I9,2,3)))</f>
        <v>1</v>
      </c>
      <c r="K9" s="11">
        <f t="shared" ref="K9:K55" si="6">IF(I9="","",IF($G9&gt;$I9,3,IF($G9=$I9,1,0)))</f>
        <v>3</v>
      </c>
      <c r="L9" s="11">
        <f t="shared" ref="L9:L55" si="7">IF(I9="","",IF($G9&lt;$I9,3,IF($G9=$I9,1,0)))</f>
        <v>0</v>
      </c>
      <c r="O9" s="44" t="s">
        <v>8</v>
      </c>
      <c r="P9" s="45">
        <f>SUMIF($D$8:$D$55,$O9,$G$8:$G$55)+SUMIF($F$8:$F$55,$O9,$I$8:$I$55)</f>
        <v>6</v>
      </c>
      <c r="Q9" s="45">
        <f>SUMIF($D$8:$D$55,$O9,$I$8:$I$55)+SUMIF($F$8:$F$55,$O9,$G$8:$G$55)</f>
        <v>3</v>
      </c>
      <c r="R9" s="46">
        <f>P9-Q9</f>
        <v>3</v>
      </c>
      <c r="S9" s="47">
        <f>SUMIF($D$8:$D$55,$O9,$K$8:$K$55)+SUMIF($F$8:$F$55,$O9,$L$8:$L$55)</f>
        <v>7</v>
      </c>
      <c r="T9" s="94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5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5</v>
      </c>
      <c r="AG9" s="108">
        <f t="shared" si="0"/>
        <v>0</v>
      </c>
      <c r="AH9" s="108">
        <f t="shared" si="1"/>
        <v>0</v>
      </c>
      <c r="AI9" s="108">
        <f t="shared" ref="AI9:AI55" si="10">IF(AND(AG9=1,AH9=1),10,0)</f>
        <v>0</v>
      </c>
      <c r="AJ9" s="108">
        <f t="shared" si="2"/>
        <v>5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18">
        <v>3</v>
      </c>
      <c r="C10" s="19">
        <v>41803</v>
      </c>
      <c r="D10" s="20" t="s">
        <v>13</v>
      </c>
      <c r="E10" s="21" t="s">
        <v>9</v>
      </c>
      <c r="F10" s="22" t="s">
        <v>14</v>
      </c>
      <c r="G10" s="86">
        <v>2</v>
      </c>
      <c r="H10" s="21" t="s">
        <v>9</v>
      </c>
      <c r="I10" s="91">
        <v>1</v>
      </c>
      <c r="J10" s="23">
        <f t="shared" si="5"/>
        <v>1</v>
      </c>
      <c r="K10" s="11">
        <f t="shared" si="6"/>
        <v>3</v>
      </c>
      <c r="L10" s="11">
        <f t="shared" si="7"/>
        <v>0</v>
      </c>
      <c r="O10" s="48" t="s">
        <v>10</v>
      </c>
      <c r="P10" s="49">
        <f>SUMIF($D$8:$D$55,$O10,$G$8:$G$55)+SUMIF($F$8:$F$55,$O10,$I$8:$I$55)</f>
        <v>2</v>
      </c>
      <c r="Q10" s="49">
        <f>SUMIF($D$8:$D$55,$O10,$I$8:$I$55)+SUMIF($F$8:$F$55,$O10,$G$8:$G$55)</f>
        <v>5</v>
      </c>
      <c r="R10" s="49">
        <f>P10-Q10</f>
        <v>-3</v>
      </c>
      <c r="S10" s="50">
        <f>SUMIF($D$8:$D$55,$O10,$K$8:$K$55)+SUMIF($F$8:$F$55,$O10,$L$8:$L$55)</f>
        <v>1</v>
      </c>
      <c r="T10" s="95" t="s">
        <v>50</v>
      </c>
      <c r="U10" s="40"/>
      <c r="V10" s="40" t="str">
        <f>O10</f>
        <v>Kroatië</v>
      </c>
      <c r="W10" s="40" t="s">
        <v>49</v>
      </c>
      <c r="Y10" s="109">
        <f t="shared" si="8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0</v>
      </c>
      <c r="AG10" s="108">
        <f t="shared" si="0"/>
        <v>0</v>
      </c>
      <c r="AH10" s="108">
        <f t="shared" si="1"/>
        <v>0</v>
      </c>
      <c r="AI10" s="108">
        <f t="shared" si="10"/>
        <v>0</v>
      </c>
      <c r="AJ10" s="108">
        <f t="shared" si="2"/>
        <v>0</v>
      </c>
      <c r="AK10" s="108">
        <f t="shared" si="3"/>
        <v>0</v>
      </c>
      <c r="AL10" s="108">
        <f t="shared" si="4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24">
        <v>4</v>
      </c>
      <c r="C11" s="25">
        <v>41803</v>
      </c>
      <c r="D11" s="26" t="s">
        <v>15</v>
      </c>
      <c r="E11" s="27" t="s">
        <v>9</v>
      </c>
      <c r="F11" s="28" t="s">
        <v>16</v>
      </c>
      <c r="G11" s="87">
        <v>1</v>
      </c>
      <c r="H11" s="27" t="s">
        <v>9</v>
      </c>
      <c r="I11" s="92">
        <v>0</v>
      </c>
      <c r="J11" s="29">
        <f t="shared" si="5"/>
        <v>1</v>
      </c>
      <c r="K11" s="11">
        <f t="shared" si="6"/>
        <v>3</v>
      </c>
      <c r="L11" s="11">
        <f t="shared" si="7"/>
        <v>0</v>
      </c>
      <c r="O11" s="48" t="s">
        <v>11</v>
      </c>
      <c r="P11" s="49">
        <f>SUMIF($D$8:$D$55,$O11,$G$8:$G$55)+SUMIF($F$8:$F$55,$O11,$I$8:$I$55)</f>
        <v>6</v>
      </c>
      <c r="Q11" s="49">
        <f>SUMIF($D$8:$D$55,$O11,$I$8:$I$55)+SUMIF($F$8:$F$55,$O11,$G$8:$G$55)</f>
        <v>4</v>
      </c>
      <c r="R11" s="49">
        <f>P11-Q11</f>
        <v>2</v>
      </c>
      <c r="S11" s="50">
        <f>SUMIF($D$8:$D$55,$O11,$K$8:$K$55)+SUMIF($F$8:$F$55,$O11,$L$8:$L$55)</f>
        <v>7</v>
      </c>
      <c r="T11" s="95" t="s">
        <v>49</v>
      </c>
      <c r="U11" s="40"/>
      <c r="V11" s="40" t="str">
        <f>O11</f>
        <v>Mexico</v>
      </c>
      <c r="W11" s="40" t="s">
        <v>47</v>
      </c>
      <c r="Y11" s="109">
        <f t="shared" si="8"/>
        <v>5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5</v>
      </c>
      <c r="AG11" s="108">
        <f t="shared" si="0"/>
        <v>0</v>
      </c>
      <c r="AH11" s="108">
        <f t="shared" si="1"/>
        <v>0</v>
      </c>
      <c r="AI11" s="108">
        <f t="shared" si="10"/>
        <v>0</v>
      </c>
      <c r="AJ11" s="108">
        <f t="shared" si="2"/>
        <v>5</v>
      </c>
      <c r="AK11" s="108">
        <f t="shared" si="3"/>
        <v>0</v>
      </c>
      <c r="AL11" s="108">
        <f t="shared" si="4"/>
        <v>0</v>
      </c>
      <c r="AM11" s="120">
        <f>AO11</f>
        <v>10</v>
      </c>
      <c r="AN11" s="117" t="s">
        <v>11</v>
      </c>
      <c r="AO11" s="115">
        <f>IF(Uitslag!T11="",0,IF(T11=Uitslag!T11,10,0))</f>
        <v>10</v>
      </c>
    </row>
    <row r="12" spans="2:54" ht="15.75" thickBot="1">
      <c r="B12" s="12">
        <v>5</v>
      </c>
      <c r="C12" s="13">
        <v>41804</v>
      </c>
      <c r="D12" s="14" t="s">
        <v>17</v>
      </c>
      <c r="E12" s="15" t="s">
        <v>9</v>
      </c>
      <c r="F12" s="16" t="s">
        <v>18</v>
      </c>
      <c r="G12" s="85">
        <v>2</v>
      </c>
      <c r="H12" s="15" t="s">
        <v>9</v>
      </c>
      <c r="I12" s="90">
        <v>0</v>
      </c>
      <c r="J12" s="17">
        <f t="shared" si="5"/>
        <v>1</v>
      </c>
      <c r="K12" s="11">
        <f t="shared" si="6"/>
        <v>3</v>
      </c>
      <c r="L12" s="11">
        <f t="shared" si="7"/>
        <v>0</v>
      </c>
      <c r="O12" s="51" t="s">
        <v>12</v>
      </c>
      <c r="P12" s="52">
        <f>SUMIF($D$8:$D$55,$O12,$G$8:$G$55)+SUMIF($F$8:$F$55,$O12,$I$8:$I$55)</f>
        <v>3</v>
      </c>
      <c r="Q12" s="52">
        <f>SUMIF($D$8:$D$55,$O12,$I$8:$I$55)+SUMIF($F$8:$F$55,$O12,$G$8:$G$55)</f>
        <v>5</v>
      </c>
      <c r="R12" s="52">
        <f>P12-Q12</f>
        <v>-2</v>
      </c>
      <c r="S12" s="53">
        <f>SUMIF($D$8:$D$55,$O12,$K$8:$K$55)+SUMIF($F$8:$F$55,$O12,$L$8:$L$55)</f>
        <v>1</v>
      </c>
      <c r="T12" s="96" t="s">
        <v>47</v>
      </c>
      <c r="U12" s="40"/>
      <c r="V12" s="40" t="str">
        <f>O12</f>
        <v>Kameroen</v>
      </c>
      <c r="W12" s="40" t="s">
        <v>50</v>
      </c>
      <c r="Y12" s="109">
        <f t="shared" si="8"/>
        <v>6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6</v>
      </c>
      <c r="AG12" s="108">
        <f t="shared" si="0"/>
        <v>0</v>
      </c>
      <c r="AH12" s="108">
        <f t="shared" si="1"/>
        <v>1</v>
      </c>
      <c r="AI12" s="108">
        <f t="shared" si="10"/>
        <v>0</v>
      </c>
      <c r="AJ12" s="108">
        <f t="shared" si="2"/>
        <v>5</v>
      </c>
      <c r="AK12" s="108">
        <f t="shared" si="3"/>
        <v>0</v>
      </c>
      <c r="AL12" s="108">
        <f t="shared" si="4"/>
        <v>0</v>
      </c>
      <c r="AM12" s="120">
        <f>AO12</f>
        <v>0</v>
      </c>
      <c r="AN12" s="118" t="s">
        <v>12</v>
      </c>
      <c r="AO12" s="115">
        <f>IF(Uitslag!T12="",0,IF(T12=Uitslag!T12,10,0))</f>
        <v>0</v>
      </c>
    </row>
    <row r="13" spans="2:54" ht="15.75" thickBot="1">
      <c r="B13" s="18">
        <v>6</v>
      </c>
      <c r="C13" s="19">
        <v>41804</v>
      </c>
      <c r="D13" s="20" t="s">
        <v>19</v>
      </c>
      <c r="E13" s="21" t="s">
        <v>9</v>
      </c>
      <c r="F13" s="30" t="s">
        <v>20</v>
      </c>
      <c r="G13" s="86">
        <v>3</v>
      </c>
      <c r="H13" s="21" t="s">
        <v>9</v>
      </c>
      <c r="I13" s="91">
        <v>0</v>
      </c>
      <c r="J13" s="23">
        <f t="shared" si="5"/>
        <v>1</v>
      </c>
      <c r="K13" s="11">
        <f t="shared" si="6"/>
        <v>3</v>
      </c>
      <c r="L13" s="11">
        <f t="shared" si="7"/>
        <v>0</v>
      </c>
      <c r="O13" s="40"/>
      <c r="P13" s="41"/>
      <c r="Q13" s="41"/>
      <c r="R13" s="41"/>
      <c r="S13" s="41"/>
      <c r="T13" s="41"/>
      <c r="U13" s="40"/>
      <c r="V13" s="40"/>
      <c r="W13" s="40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0"/>
        <v>0</v>
      </c>
      <c r="AH13" s="108">
        <f t="shared" si="1"/>
        <v>0</v>
      </c>
      <c r="AI13" s="108">
        <f t="shared" si="10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40"/>
      <c r="AO13" s="41"/>
    </row>
    <row r="14" spans="2:54" ht="15.75" thickBot="1">
      <c r="B14" s="18">
        <v>7</v>
      </c>
      <c r="C14" s="19">
        <v>41804</v>
      </c>
      <c r="D14" s="20" t="s">
        <v>21</v>
      </c>
      <c r="E14" s="21" t="s">
        <v>9</v>
      </c>
      <c r="F14" s="30" t="s">
        <v>22</v>
      </c>
      <c r="G14" s="86">
        <v>1</v>
      </c>
      <c r="H14" s="21" t="s">
        <v>9</v>
      </c>
      <c r="I14" s="91">
        <v>0</v>
      </c>
      <c r="J14" s="23">
        <f t="shared" si="5"/>
        <v>1</v>
      </c>
      <c r="K14" s="11">
        <f t="shared" si="6"/>
        <v>3</v>
      </c>
      <c r="L14" s="11">
        <f t="shared" si="7"/>
        <v>0</v>
      </c>
      <c r="O14" s="72" t="s">
        <v>51</v>
      </c>
      <c r="P14" s="73" t="s">
        <v>42</v>
      </c>
      <c r="Q14" s="73" t="s">
        <v>43</v>
      </c>
      <c r="R14" s="74" t="s">
        <v>44</v>
      </c>
      <c r="S14" s="75" t="s">
        <v>45</v>
      </c>
      <c r="T14" s="76" t="s">
        <v>46</v>
      </c>
      <c r="U14" s="40"/>
      <c r="V14" s="40"/>
      <c r="W14" s="40"/>
      <c r="Y14" s="109">
        <f t="shared" si="8"/>
        <v>1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</v>
      </c>
      <c r="AG14" s="108">
        <f t="shared" si="0"/>
        <v>1</v>
      </c>
      <c r="AH14" s="108">
        <f t="shared" si="1"/>
        <v>0</v>
      </c>
      <c r="AI14" s="108">
        <f t="shared" si="10"/>
        <v>0</v>
      </c>
      <c r="AJ14" s="108">
        <f t="shared" si="2"/>
        <v>0</v>
      </c>
      <c r="AK14" s="108">
        <f t="shared" si="3"/>
        <v>0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24">
        <v>8</v>
      </c>
      <c r="C15" s="25">
        <v>41804</v>
      </c>
      <c r="D15" s="26" t="s">
        <v>23</v>
      </c>
      <c r="E15" s="27" t="s">
        <v>9</v>
      </c>
      <c r="F15" s="28" t="s">
        <v>24</v>
      </c>
      <c r="G15" s="87">
        <v>2</v>
      </c>
      <c r="H15" s="27" t="s">
        <v>9</v>
      </c>
      <c r="I15" s="92">
        <v>0</v>
      </c>
      <c r="J15" s="29">
        <f t="shared" si="5"/>
        <v>1</v>
      </c>
      <c r="K15" s="11">
        <f t="shared" si="6"/>
        <v>3</v>
      </c>
      <c r="L15" s="11">
        <f t="shared" si="7"/>
        <v>0</v>
      </c>
      <c r="O15" s="44" t="s">
        <v>13</v>
      </c>
      <c r="P15" s="45">
        <f>SUMIF($D$8:$D$55,$O15,$G$8:$G$55)+SUMIF($F$8:$F$55,$O15,$I$8:$I$55)</f>
        <v>6</v>
      </c>
      <c r="Q15" s="45">
        <f>SUMIF($D$8:$D$55,$O15,$I$8:$I$55)+SUMIF($F$8:$F$55,$O15,$G$8:$G$55)</f>
        <v>3</v>
      </c>
      <c r="R15" s="46">
        <f>P15-Q15</f>
        <v>3</v>
      </c>
      <c r="S15" s="47">
        <f>SUMIF($D$8:$D$55,$O15,$K$8:$K$55)+SUMIF($F$8:$F$55,$O15,$L$8:$L$55)</f>
        <v>7</v>
      </c>
      <c r="T15" s="94" t="s">
        <v>52</v>
      </c>
      <c r="U15" s="40"/>
      <c r="V15" s="40" t="str">
        <f>O15</f>
        <v>Spanje</v>
      </c>
      <c r="W15" s="40" t="s">
        <v>52</v>
      </c>
      <c r="Y15" s="109">
        <f t="shared" si="8"/>
        <v>6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6</v>
      </c>
      <c r="AG15" s="108">
        <f t="shared" si="0"/>
        <v>1</v>
      </c>
      <c r="AH15" s="108">
        <f t="shared" si="1"/>
        <v>0</v>
      </c>
      <c r="AI15" s="108">
        <f t="shared" si="10"/>
        <v>0</v>
      </c>
      <c r="AJ15" s="108">
        <f t="shared" si="2"/>
        <v>5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12">
        <v>9</v>
      </c>
      <c r="C16" s="13">
        <v>41805</v>
      </c>
      <c r="D16" s="14" t="s">
        <v>25</v>
      </c>
      <c r="E16" s="15" t="s">
        <v>9</v>
      </c>
      <c r="F16" s="16" t="s">
        <v>26</v>
      </c>
      <c r="G16" s="85">
        <v>0</v>
      </c>
      <c r="H16" s="15" t="s">
        <v>9</v>
      </c>
      <c r="I16" s="90">
        <v>0</v>
      </c>
      <c r="J16" s="17">
        <f t="shared" si="5"/>
        <v>3</v>
      </c>
      <c r="K16" s="11">
        <f t="shared" si="6"/>
        <v>1</v>
      </c>
      <c r="L16" s="11">
        <f t="shared" si="7"/>
        <v>1</v>
      </c>
      <c r="O16" s="54" t="s">
        <v>14</v>
      </c>
      <c r="P16" s="49">
        <f>SUMIF($D$8:$D$55,$O16,$G$8:$G$55)+SUMIF($F$8:$F$55,$O16,$I$8:$I$55)</f>
        <v>4</v>
      </c>
      <c r="Q16" s="49">
        <f>SUMIF($D$8:$D$55,$O16,$I$8:$I$55)+SUMIF($F$8:$F$55,$O16,$G$8:$G$55)</f>
        <v>3</v>
      </c>
      <c r="R16" s="49">
        <f>P16-Q16</f>
        <v>1</v>
      </c>
      <c r="S16" s="50">
        <f>SUMIF($D$8:$D$55,$O16,$K$8:$K$55)+SUMIF($F$8:$F$55,$O16,$L$8:$L$55)</f>
        <v>4</v>
      </c>
      <c r="T16" s="95" t="s">
        <v>54</v>
      </c>
      <c r="U16" s="40"/>
      <c r="V16" s="40" t="str">
        <f>O16</f>
        <v>Nederland</v>
      </c>
      <c r="W16" s="40" t="s">
        <v>53</v>
      </c>
      <c r="Y16" s="109">
        <f t="shared" si="8"/>
        <v>0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0</v>
      </c>
      <c r="AG16" s="108">
        <f t="shared" si="0"/>
        <v>0</v>
      </c>
      <c r="AH16" s="108">
        <f t="shared" si="1"/>
        <v>0</v>
      </c>
      <c r="AI16" s="108">
        <f t="shared" si="10"/>
        <v>0</v>
      </c>
      <c r="AJ16" s="108">
        <f t="shared" si="2"/>
        <v>0</v>
      </c>
      <c r="AK16" s="108">
        <f t="shared" si="3"/>
        <v>0</v>
      </c>
      <c r="AL16" s="108">
        <f t="shared" si="4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18">
        <v>10</v>
      </c>
      <c r="C17" s="19">
        <v>41805</v>
      </c>
      <c r="D17" s="20" t="s">
        <v>27</v>
      </c>
      <c r="E17" s="21" t="s">
        <v>9</v>
      </c>
      <c r="F17" s="30" t="s">
        <v>28</v>
      </c>
      <c r="G17" s="86">
        <v>1</v>
      </c>
      <c r="H17" s="21" t="s">
        <v>9</v>
      </c>
      <c r="I17" s="91">
        <v>1</v>
      </c>
      <c r="J17" s="23">
        <f t="shared" si="5"/>
        <v>3</v>
      </c>
      <c r="K17" s="11">
        <f t="shared" si="6"/>
        <v>1</v>
      </c>
      <c r="L17" s="11">
        <f t="shared" si="7"/>
        <v>1</v>
      </c>
      <c r="O17" s="48" t="s">
        <v>15</v>
      </c>
      <c r="P17" s="49">
        <f>SUMIF($D$8:$D$55,$O17,$G$8:$G$55)+SUMIF($F$8:$F$55,$O17,$I$8:$I$55)</f>
        <v>3</v>
      </c>
      <c r="Q17" s="49">
        <f>SUMIF($D$8:$D$55,$O17,$I$8:$I$55)+SUMIF($F$8:$F$55,$O17,$G$8:$G$55)</f>
        <v>2</v>
      </c>
      <c r="R17" s="49">
        <f>P17-Q17</f>
        <v>1</v>
      </c>
      <c r="S17" s="50">
        <f>SUMIF($D$8:$D$55,$O17,$K$8:$K$55)+SUMIF($F$8:$F$55,$O17,$L$8:$L$55)</f>
        <v>5</v>
      </c>
      <c r="T17" s="95" t="s">
        <v>53</v>
      </c>
      <c r="U17" s="40"/>
      <c r="V17" s="40" t="str">
        <f>O17</f>
        <v>Chili</v>
      </c>
      <c r="W17" s="40" t="s">
        <v>54</v>
      </c>
      <c r="Y17" s="109">
        <f t="shared" si="8"/>
        <v>0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0</v>
      </c>
      <c r="AG17" s="108">
        <f t="shared" si="0"/>
        <v>0</v>
      </c>
      <c r="AH17" s="108">
        <f t="shared" si="1"/>
        <v>0</v>
      </c>
      <c r="AI17" s="108">
        <f t="shared" si="10"/>
        <v>0</v>
      </c>
      <c r="AJ17" s="108">
        <f t="shared" si="2"/>
        <v>0</v>
      </c>
      <c r="AK17" s="108">
        <f t="shared" si="3"/>
        <v>0</v>
      </c>
      <c r="AL17" s="108">
        <f t="shared" si="4"/>
        <v>0</v>
      </c>
      <c r="AM17" s="120">
        <f>AO17</f>
        <v>10</v>
      </c>
      <c r="AN17" s="117" t="s">
        <v>15</v>
      </c>
      <c r="AO17" s="115">
        <f>IF(Uitslag!T17="",0,IF(T17=Uitslag!T17,10,0))</f>
        <v>10</v>
      </c>
    </row>
    <row r="18" spans="2:41" ht="15.75" thickBot="1">
      <c r="B18" s="24">
        <v>11</v>
      </c>
      <c r="C18" s="25">
        <v>41805</v>
      </c>
      <c r="D18" s="26" t="s">
        <v>29</v>
      </c>
      <c r="E18" s="27" t="s">
        <v>9</v>
      </c>
      <c r="F18" s="28" t="s">
        <v>30</v>
      </c>
      <c r="G18" s="87">
        <v>3</v>
      </c>
      <c r="H18" s="27" t="s">
        <v>9</v>
      </c>
      <c r="I18" s="92">
        <v>0</v>
      </c>
      <c r="J18" s="29">
        <f t="shared" si="5"/>
        <v>1</v>
      </c>
      <c r="K18" s="11">
        <f t="shared" si="6"/>
        <v>3</v>
      </c>
      <c r="L18" s="11">
        <f t="shared" si="7"/>
        <v>0</v>
      </c>
      <c r="O18" s="51" t="s">
        <v>16</v>
      </c>
      <c r="P18" s="52">
        <f>SUMIF($D$8:$D$55,$O18,$G$8:$G$55)+SUMIF($F$8:$F$55,$O18,$I$8:$I$55)</f>
        <v>1</v>
      </c>
      <c r="Q18" s="52">
        <f>SUMIF($D$8:$D$55,$O18,$I$8:$I$55)+SUMIF($F$8:$F$55,$O18,$G$8:$G$55)</f>
        <v>6</v>
      </c>
      <c r="R18" s="52">
        <f>P18-Q18</f>
        <v>-5</v>
      </c>
      <c r="S18" s="53">
        <f>SUMIF($D$8:$D$55,$O18,$K$8:$K$55)+SUMIF($F$8:$F$55,$O18,$L$8:$L$55)</f>
        <v>0</v>
      </c>
      <c r="T18" s="96" t="s">
        <v>55</v>
      </c>
      <c r="U18" s="40"/>
      <c r="V18" s="40" t="str">
        <f>O18</f>
        <v>Australië</v>
      </c>
      <c r="W18" s="40" t="s">
        <v>55</v>
      </c>
      <c r="Y18" s="109">
        <f t="shared" si="8"/>
        <v>5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5</v>
      </c>
      <c r="AG18" s="108">
        <f t="shared" si="0"/>
        <v>0</v>
      </c>
      <c r="AH18" s="108">
        <f t="shared" si="1"/>
        <v>0</v>
      </c>
      <c r="AI18" s="108">
        <f t="shared" si="10"/>
        <v>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12">
        <v>12</v>
      </c>
      <c r="C19" s="13">
        <v>41806</v>
      </c>
      <c r="D19" s="14" t="s">
        <v>31</v>
      </c>
      <c r="E19" s="15" t="s">
        <v>9</v>
      </c>
      <c r="F19" s="16" t="s">
        <v>32</v>
      </c>
      <c r="G19" s="85">
        <v>1</v>
      </c>
      <c r="H19" s="15" t="s">
        <v>9</v>
      </c>
      <c r="I19" s="90">
        <v>2</v>
      </c>
      <c r="J19" s="17">
        <f t="shared" si="5"/>
        <v>2</v>
      </c>
      <c r="K19" s="11">
        <f t="shared" si="6"/>
        <v>0</v>
      </c>
      <c r="L19" s="11">
        <f t="shared" si="7"/>
        <v>3</v>
      </c>
      <c r="O19" s="40"/>
      <c r="P19" s="41"/>
      <c r="Q19" s="41"/>
      <c r="R19" s="41"/>
      <c r="S19" s="41"/>
      <c r="T19" s="41"/>
      <c r="U19" s="40"/>
      <c r="V19" s="40"/>
      <c r="W19" s="40"/>
      <c r="Y19" s="109">
        <f t="shared" si="8"/>
        <v>0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0</v>
      </c>
      <c r="AG19" s="108">
        <f t="shared" si="0"/>
        <v>0</v>
      </c>
      <c r="AH19" s="108">
        <f t="shared" si="1"/>
        <v>0</v>
      </c>
      <c r="AI19" s="108">
        <f t="shared" si="10"/>
        <v>0</v>
      </c>
      <c r="AJ19" s="108">
        <f t="shared" si="2"/>
        <v>0</v>
      </c>
      <c r="AK19" s="108">
        <f t="shared" si="3"/>
        <v>0</v>
      </c>
      <c r="AL19" s="108">
        <f t="shared" si="4"/>
        <v>0</v>
      </c>
      <c r="AN19" s="40"/>
      <c r="AO19" s="41"/>
    </row>
    <row r="20" spans="2:41" ht="15.75" thickBot="1">
      <c r="B20" s="18">
        <v>13</v>
      </c>
      <c r="C20" s="19">
        <v>41806</v>
      </c>
      <c r="D20" s="20" t="s">
        <v>33</v>
      </c>
      <c r="E20" s="21" t="s">
        <v>9</v>
      </c>
      <c r="F20" s="30" t="s">
        <v>34</v>
      </c>
      <c r="G20" s="86">
        <v>0</v>
      </c>
      <c r="H20" s="21" t="s">
        <v>9</v>
      </c>
      <c r="I20" s="91">
        <v>2</v>
      </c>
      <c r="J20" s="23">
        <f t="shared" si="5"/>
        <v>2</v>
      </c>
      <c r="K20" s="11">
        <f t="shared" si="6"/>
        <v>0</v>
      </c>
      <c r="L20" s="11">
        <f t="shared" si="7"/>
        <v>3</v>
      </c>
      <c r="O20" s="72" t="s">
        <v>56</v>
      </c>
      <c r="P20" s="73" t="s">
        <v>42</v>
      </c>
      <c r="Q20" s="73" t="s">
        <v>43</v>
      </c>
      <c r="R20" s="74" t="s">
        <v>44</v>
      </c>
      <c r="S20" s="75" t="s">
        <v>45</v>
      </c>
      <c r="T20" s="76" t="s">
        <v>46</v>
      </c>
      <c r="U20" s="40"/>
      <c r="V20" s="40"/>
      <c r="W20" s="40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0"/>
        <v>1</v>
      </c>
      <c r="AH20" s="108">
        <f t="shared" si="1"/>
        <v>0</v>
      </c>
      <c r="AI20" s="108">
        <f t="shared" si="10"/>
        <v>0</v>
      </c>
      <c r="AJ20" s="108">
        <f t="shared" si="2"/>
        <v>0</v>
      </c>
      <c r="AK20" s="108">
        <f t="shared" si="3"/>
        <v>0</v>
      </c>
      <c r="AL20" s="108">
        <f t="shared" si="4"/>
        <v>0</v>
      </c>
      <c r="AN20" s="42" t="s">
        <v>56</v>
      </c>
      <c r="AO20" s="43" t="s">
        <v>46</v>
      </c>
    </row>
    <row r="21" spans="2:41" ht="15.75" thickBot="1">
      <c r="B21" s="24">
        <v>14</v>
      </c>
      <c r="C21" s="25">
        <v>41806</v>
      </c>
      <c r="D21" s="26" t="s">
        <v>35</v>
      </c>
      <c r="E21" s="27" t="s">
        <v>9</v>
      </c>
      <c r="F21" s="28" t="s">
        <v>36</v>
      </c>
      <c r="G21" s="87">
        <v>1</v>
      </c>
      <c r="H21" s="27" t="s">
        <v>9</v>
      </c>
      <c r="I21" s="92">
        <v>1</v>
      </c>
      <c r="J21" s="29">
        <f t="shared" si="5"/>
        <v>3</v>
      </c>
      <c r="K21" s="11">
        <f t="shared" si="6"/>
        <v>1</v>
      </c>
      <c r="L21" s="11">
        <f t="shared" si="7"/>
        <v>1</v>
      </c>
      <c r="O21" s="44" t="s">
        <v>17</v>
      </c>
      <c r="P21" s="45">
        <f>SUMIF($D$8:$D$55,$O21,$G$8:$G$55)+SUMIF($F$8:$F$55,$O21,$I$8:$I$55)</f>
        <v>4</v>
      </c>
      <c r="Q21" s="45">
        <f>SUMIF($D$8:$D$55,$O21,$I$8:$I$55)+SUMIF($F$8:$F$55,$O21,$G$8:$G$55)</f>
        <v>1</v>
      </c>
      <c r="R21" s="46">
        <f>P21-Q21</f>
        <v>3</v>
      </c>
      <c r="S21" s="47">
        <f>SUMIF($D$8:$D$55,$O21,$K$8:$K$55)+SUMIF($F$8:$F$55,$O21,$L$8:$L$55)</f>
        <v>7</v>
      </c>
      <c r="T21" s="94" t="s">
        <v>57</v>
      </c>
      <c r="U21" s="40"/>
      <c r="V21" s="40" t="str">
        <f>O21</f>
        <v>Colombia</v>
      </c>
      <c r="W21" s="40" t="s">
        <v>57</v>
      </c>
      <c r="Y21" s="109">
        <f t="shared" si="8"/>
        <v>1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1</v>
      </c>
      <c r="AG21" s="108">
        <f t="shared" si="0"/>
        <v>1</v>
      </c>
      <c r="AH21" s="108">
        <f t="shared" si="1"/>
        <v>0</v>
      </c>
      <c r="AI21" s="108">
        <f t="shared" si="10"/>
        <v>0</v>
      </c>
      <c r="AJ21" s="108">
        <f t="shared" si="2"/>
        <v>0</v>
      </c>
      <c r="AK21" s="108">
        <f t="shared" si="3"/>
        <v>0</v>
      </c>
      <c r="AL21" s="108">
        <f t="shared" si="4"/>
        <v>0</v>
      </c>
      <c r="AM21" s="120">
        <f>AO21</f>
        <v>10</v>
      </c>
      <c r="AN21" s="116" t="s">
        <v>17</v>
      </c>
      <c r="AO21" s="115">
        <f>IF(Uitslag!T21="",0,IF(T21=Uitslag!T21,10,0))</f>
        <v>10</v>
      </c>
    </row>
    <row r="22" spans="2:41" ht="15.75" thickBot="1">
      <c r="B22" s="12">
        <v>15</v>
      </c>
      <c r="C22" s="13">
        <v>41807</v>
      </c>
      <c r="D22" s="14" t="s">
        <v>37</v>
      </c>
      <c r="E22" s="15" t="s">
        <v>9</v>
      </c>
      <c r="F22" s="16" t="s">
        <v>38</v>
      </c>
      <c r="G22" s="85">
        <v>2</v>
      </c>
      <c r="H22" s="15" t="s">
        <v>9</v>
      </c>
      <c r="I22" s="90">
        <v>0</v>
      </c>
      <c r="J22" s="17">
        <f t="shared" si="5"/>
        <v>1</v>
      </c>
      <c r="K22" s="11">
        <f t="shared" si="6"/>
        <v>3</v>
      </c>
      <c r="L22" s="11">
        <f t="shared" si="7"/>
        <v>0</v>
      </c>
      <c r="O22" s="48" t="s">
        <v>18</v>
      </c>
      <c r="P22" s="49">
        <f>SUMIF($D$8:$D$55,$O22,$G$8:$G$55)+SUMIF($F$8:$F$55,$O22,$I$8:$I$55)</f>
        <v>0</v>
      </c>
      <c r="Q22" s="49">
        <f>SUMIF($D$8:$D$55,$O22,$I$8:$I$55)+SUMIF($F$8:$F$55,$O22,$G$8:$G$55)</f>
        <v>3</v>
      </c>
      <c r="R22" s="49">
        <f>P22-Q22</f>
        <v>-3</v>
      </c>
      <c r="S22" s="50">
        <f>SUMIF($D$8:$D$55,$O22,$K$8:$K$55)+SUMIF($F$8:$F$55,$O22,$L$8:$L$55)</f>
        <v>1</v>
      </c>
      <c r="T22" s="95" t="s">
        <v>59</v>
      </c>
      <c r="U22" s="40"/>
      <c r="V22" s="40" t="str">
        <f>O22</f>
        <v>Griekenland</v>
      </c>
      <c r="W22" s="40" t="s">
        <v>58</v>
      </c>
      <c r="Y22" s="109">
        <f t="shared" si="8"/>
        <v>6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6</v>
      </c>
      <c r="AG22" s="108">
        <f t="shared" si="0"/>
        <v>1</v>
      </c>
      <c r="AH22" s="108">
        <f t="shared" si="1"/>
        <v>0</v>
      </c>
      <c r="AI22" s="108">
        <f t="shared" si="10"/>
        <v>0</v>
      </c>
      <c r="AJ22" s="108">
        <f t="shared" si="2"/>
        <v>5</v>
      </c>
      <c r="AK22" s="108">
        <f t="shared" si="3"/>
        <v>0</v>
      </c>
      <c r="AL22" s="108">
        <f t="shared" si="4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18">
        <v>16</v>
      </c>
      <c r="C23" s="19">
        <v>41807</v>
      </c>
      <c r="D23" s="20" t="s">
        <v>8</v>
      </c>
      <c r="E23" s="21" t="s">
        <v>9</v>
      </c>
      <c r="F23" s="30" t="s">
        <v>11</v>
      </c>
      <c r="G23" s="86">
        <v>2</v>
      </c>
      <c r="H23" s="21" t="s">
        <v>9</v>
      </c>
      <c r="I23" s="91">
        <v>2</v>
      </c>
      <c r="J23" s="23">
        <f t="shared" si="5"/>
        <v>3</v>
      </c>
      <c r="K23" s="11">
        <f t="shared" si="6"/>
        <v>1</v>
      </c>
      <c r="L23" s="11">
        <f t="shared" si="7"/>
        <v>1</v>
      </c>
      <c r="O23" s="48" t="s">
        <v>23</v>
      </c>
      <c r="P23" s="49">
        <f>SUMIF($D$8:$D$55,$O23,$G$8:$G$55)+SUMIF($F$8:$F$55,$O23,$I$8:$I$55)</f>
        <v>4</v>
      </c>
      <c r="Q23" s="49">
        <f>SUMIF($D$8:$D$55,$O23,$I$8:$I$55)+SUMIF($F$8:$F$55,$O23,$G$8:$G$55)</f>
        <v>1</v>
      </c>
      <c r="R23" s="49">
        <f>P23-Q23</f>
        <v>3</v>
      </c>
      <c r="S23" s="50">
        <f>SUMIF($D$8:$D$55,$O23,$K$8:$K$55)+SUMIF($F$8:$F$55,$O23,$L$8:$L$55)</f>
        <v>7</v>
      </c>
      <c r="T23" s="95" t="s">
        <v>58</v>
      </c>
      <c r="U23" s="40"/>
      <c r="V23" s="40" t="str">
        <f>O23</f>
        <v>Ivoorkust</v>
      </c>
      <c r="W23" s="40" t="s">
        <v>59</v>
      </c>
      <c r="Y23" s="109">
        <f t="shared" si="8"/>
        <v>5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5</v>
      </c>
      <c r="AG23" s="108">
        <f t="shared" si="0"/>
        <v>0</v>
      </c>
      <c r="AH23" s="108">
        <f t="shared" si="1"/>
        <v>0</v>
      </c>
      <c r="AI23" s="108">
        <f t="shared" si="10"/>
        <v>0</v>
      </c>
      <c r="AJ23" s="108">
        <f t="shared" si="2"/>
        <v>0</v>
      </c>
      <c r="AK23" s="108">
        <f t="shared" si="3"/>
        <v>0</v>
      </c>
      <c r="AL23" s="108">
        <f t="shared" si="4"/>
        <v>5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24">
        <v>17</v>
      </c>
      <c r="C24" s="25">
        <v>41807</v>
      </c>
      <c r="D24" s="26" t="s">
        <v>39</v>
      </c>
      <c r="E24" s="27" t="s">
        <v>9</v>
      </c>
      <c r="F24" s="28" t="s">
        <v>40</v>
      </c>
      <c r="G24" s="87">
        <v>2</v>
      </c>
      <c r="H24" s="27" t="s">
        <v>9</v>
      </c>
      <c r="I24" s="92">
        <v>0</v>
      </c>
      <c r="J24" s="29">
        <f t="shared" si="5"/>
        <v>1</v>
      </c>
      <c r="K24" s="11">
        <f t="shared" si="6"/>
        <v>3</v>
      </c>
      <c r="L24" s="11">
        <f t="shared" si="7"/>
        <v>0</v>
      </c>
      <c r="O24" s="51" t="s">
        <v>24</v>
      </c>
      <c r="P24" s="52">
        <f>SUMIF($D$8:$D$55,$O24,$G$8:$G$55)+SUMIF($F$8:$F$55,$O24,$I$8:$I$55)</f>
        <v>0</v>
      </c>
      <c r="Q24" s="52">
        <f>SUMIF($D$8:$D$55,$O24,$I$8:$I$55)+SUMIF($F$8:$F$55,$O24,$G$8:$G$55)</f>
        <v>3</v>
      </c>
      <c r="R24" s="52">
        <f>P24-Q24</f>
        <v>-3</v>
      </c>
      <c r="S24" s="53">
        <f>SUMIF($D$8:$D$55,$O24,$K$8:$K$55)+SUMIF($F$8:$F$55,$O24,$L$8:$L$55)</f>
        <v>1</v>
      </c>
      <c r="T24" s="96" t="s">
        <v>60</v>
      </c>
      <c r="U24" s="40"/>
      <c r="V24" s="40" t="str">
        <f>O24</f>
        <v>Japan</v>
      </c>
      <c r="W24" s="40" t="s">
        <v>60</v>
      </c>
      <c r="Y24" s="109">
        <f t="shared" si="8"/>
        <v>0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0</v>
      </c>
      <c r="AG24" s="108">
        <f t="shared" si="0"/>
        <v>0</v>
      </c>
      <c r="AH24" s="108">
        <f t="shared" si="1"/>
        <v>0</v>
      </c>
      <c r="AI24" s="108">
        <f t="shared" si="10"/>
        <v>0</v>
      </c>
      <c r="AJ24" s="108">
        <f t="shared" si="2"/>
        <v>0</v>
      </c>
      <c r="AK24" s="108">
        <f t="shared" si="3"/>
        <v>0</v>
      </c>
      <c r="AL24" s="108">
        <f t="shared" si="4"/>
        <v>0</v>
      </c>
      <c r="AM24" s="120">
        <f>AO24</f>
        <v>10</v>
      </c>
      <c r="AN24" s="118" t="s">
        <v>24</v>
      </c>
      <c r="AO24" s="115">
        <f>IF(Uitslag!T24="",0,IF(T24=Uitslag!T24,10,0))</f>
        <v>10</v>
      </c>
    </row>
    <row r="25" spans="2:41" ht="15.75" thickBot="1">
      <c r="B25" s="12">
        <v>18</v>
      </c>
      <c r="C25" s="13">
        <v>41808</v>
      </c>
      <c r="D25" s="14" t="s">
        <v>16</v>
      </c>
      <c r="E25" s="15" t="s">
        <v>9</v>
      </c>
      <c r="F25" s="31" t="s">
        <v>14</v>
      </c>
      <c r="G25" s="85">
        <v>0</v>
      </c>
      <c r="H25" s="15" t="s">
        <v>9</v>
      </c>
      <c r="I25" s="90">
        <v>2</v>
      </c>
      <c r="J25" s="17">
        <f t="shared" si="5"/>
        <v>2</v>
      </c>
      <c r="K25" s="11">
        <f t="shared" si="6"/>
        <v>0</v>
      </c>
      <c r="L25" s="11">
        <f t="shared" si="7"/>
        <v>3</v>
      </c>
      <c r="O25" s="40"/>
      <c r="P25" s="41"/>
      <c r="Q25" s="41"/>
      <c r="R25" s="41"/>
      <c r="S25" s="41"/>
      <c r="T25" s="41"/>
      <c r="U25" s="40"/>
      <c r="V25" s="40"/>
      <c r="W25" s="40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0"/>
        <v>0</v>
      </c>
      <c r="AH25" s="108">
        <f t="shared" si="1"/>
        <v>0</v>
      </c>
      <c r="AI25" s="108">
        <f t="shared" si="10"/>
        <v>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40"/>
      <c r="AO25" s="41"/>
    </row>
    <row r="26" spans="2:41" ht="15.75" thickBot="1">
      <c r="B26" s="18">
        <v>19</v>
      </c>
      <c r="C26" s="19">
        <v>41808</v>
      </c>
      <c r="D26" s="20" t="s">
        <v>13</v>
      </c>
      <c r="E26" s="21" t="s">
        <v>9</v>
      </c>
      <c r="F26" s="30" t="s">
        <v>15</v>
      </c>
      <c r="G26" s="86">
        <v>1</v>
      </c>
      <c r="H26" s="21" t="s">
        <v>9</v>
      </c>
      <c r="I26" s="91">
        <v>1</v>
      </c>
      <c r="J26" s="23">
        <f t="shared" si="5"/>
        <v>3</v>
      </c>
      <c r="K26" s="11">
        <f t="shared" si="6"/>
        <v>1</v>
      </c>
      <c r="L26" s="11">
        <f t="shared" si="7"/>
        <v>1</v>
      </c>
      <c r="O26" s="72" t="s">
        <v>61</v>
      </c>
      <c r="P26" s="73" t="s">
        <v>42</v>
      </c>
      <c r="Q26" s="73" t="s">
        <v>43</v>
      </c>
      <c r="R26" s="74" t="s">
        <v>44</v>
      </c>
      <c r="S26" s="75" t="s">
        <v>45</v>
      </c>
      <c r="T26" s="76" t="s">
        <v>46</v>
      </c>
      <c r="U26" s="40"/>
      <c r="V26" s="40"/>
      <c r="W26" s="40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0"/>
        <v>0</v>
      </c>
      <c r="AH26" s="108">
        <f t="shared" si="1"/>
        <v>0</v>
      </c>
      <c r="AI26" s="108">
        <f t="shared" si="10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24">
        <v>20</v>
      </c>
      <c r="C27" s="25">
        <v>41808</v>
      </c>
      <c r="D27" s="26" t="s">
        <v>12</v>
      </c>
      <c r="E27" s="27" t="s">
        <v>9</v>
      </c>
      <c r="F27" s="28" t="s">
        <v>10</v>
      </c>
      <c r="G27" s="87">
        <v>1</v>
      </c>
      <c r="H27" s="27" t="s">
        <v>9</v>
      </c>
      <c r="I27" s="92">
        <v>1</v>
      </c>
      <c r="J27" s="29">
        <f t="shared" si="5"/>
        <v>3</v>
      </c>
      <c r="K27" s="11">
        <f t="shared" si="6"/>
        <v>1</v>
      </c>
      <c r="L27" s="11">
        <f t="shared" si="7"/>
        <v>1</v>
      </c>
      <c r="O27" s="44" t="s">
        <v>19</v>
      </c>
      <c r="P27" s="45">
        <f>SUMIF($D$8:$D$55,$O27,$G$8:$G$55)+SUMIF($F$8:$F$55,$O27,$I$8:$I$55)</f>
        <v>7</v>
      </c>
      <c r="Q27" s="45">
        <f>SUMIF($D$8:$D$55,$O27,$I$8:$I$55)+SUMIF($F$8:$F$55,$O27,$G$8:$G$55)</f>
        <v>3</v>
      </c>
      <c r="R27" s="46">
        <f>P27-Q27</f>
        <v>4</v>
      </c>
      <c r="S27" s="47">
        <f>SUMIF($D$8:$D$55,$O27,$K$8:$K$55)+SUMIF($F$8:$F$55,$O27,$L$8:$L$55)</f>
        <v>7</v>
      </c>
      <c r="T27" s="94" t="s">
        <v>62</v>
      </c>
      <c r="U27" s="40"/>
      <c r="V27" s="40" t="str">
        <f>O27</f>
        <v>Uruguay</v>
      </c>
      <c r="W27" s="40" t="s">
        <v>62</v>
      </c>
      <c r="Y27" s="109">
        <f t="shared" si="8"/>
        <v>0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0</v>
      </c>
      <c r="AG27" s="108">
        <f t="shared" si="0"/>
        <v>0</v>
      </c>
      <c r="AH27" s="108">
        <f t="shared" si="1"/>
        <v>0</v>
      </c>
      <c r="AI27" s="108">
        <f t="shared" si="10"/>
        <v>0</v>
      </c>
      <c r="AJ27" s="108">
        <f t="shared" si="2"/>
        <v>0</v>
      </c>
      <c r="AK27" s="108">
        <f t="shared" si="3"/>
        <v>0</v>
      </c>
      <c r="AL27" s="108">
        <f t="shared" si="4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12">
        <v>21</v>
      </c>
      <c r="C28" s="13">
        <v>41809</v>
      </c>
      <c r="D28" s="14" t="s">
        <v>17</v>
      </c>
      <c r="E28" s="15" t="s">
        <v>9</v>
      </c>
      <c r="F28" s="16" t="s">
        <v>23</v>
      </c>
      <c r="G28" s="85">
        <v>1</v>
      </c>
      <c r="H28" s="15" t="s">
        <v>9</v>
      </c>
      <c r="I28" s="90">
        <v>1</v>
      </c>
      <c r="J28" s="17">
        <f t="shared" si="5"/>
        <v>3</v>
      </c>
      <c r="K28" s="11">
        <f t="shared" si="6"/>
        <v>1</v>
      </c>
      <c r="L28" s="11">
        <f t="shared" si="7"/>
        <v>1</v>
      </c>
      <c r="O28" s="48" t="s">
        <v>20</v>
      </c>
      <c r="P28" s="49">
        <f>SUMIF($D$8:$D$55,$O28,$G$8:$G$55)+SUMIF($F$8:$F$55,$O28,$I$8:$I$55)</f>
        <v>0</v>
      </c>
      <c r="Q28" s="49">
        <f>SUMIF($D$8:$D$55,$O28,$I$8:$I$55)+SUMIF($F$8:$F$55,$O28,$G$8:$G$55)</f>
        <v>7</v>
      </c>
      <c r="R28" s="49">
        <f>P28-Q28</f>
        <v>-7</v>
      </c>
      <c r="S28" s="50">
        <f>SUMIF($D$8:$D$55,$O28,$K$8:$K$55)+SUMIF($F$8:$F$55,$O28,$L$8:$L$55)</f>
        <v>0</v>
      </c>
      <c r="T28" s="95" t="s">
        <v>65</v>
      </c>
      <c r="U28" s="40"/>
      <c r="V28" s="40" t="str">
        <f>O28</f>
        <v>Costa Rica</v>
      </c>
      <c r="W28" s="40" t="s">
        <v>63</v>
      </c>
      <c r="Y28" s="109">
        <f t="shared" si="8"/>
        <v>1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1</v>
      </c>
      <c r="AG28" s="108">
        <f t="shared" si="0"/>
        <v>0</v>
      </c>
      <c r="AH28" s="108">
        <f t="shared" si="1"/>
        <v>1</v>
      </c>
      <c r="AI28" s="108">
        <f t="shared" si="10"/>
        <v>0</v>
      </c>
      <c r="AJ28" s="108">
        <f t="shared" si="2"/>
        <v>0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18">
        <v>22</v>
      </c>
      <c r="C29" s="19">
        <v>41809</v>
      </c>
      <c r="D29" s="20" t="s">
        <v>19</v>
      </c>
      <c r="E29" s="21" t="s">
        <v>9</v>
      </c>
      <c r="F29" s="30" t="s">
        <v>21</v>
      </c>
      <c r="G29" s="86">
        <v>2</v>
      </c>
      <c r="H29" s="21" t="s">
        <v>9</v>
      </c>
      <c r="I29" s="91">
        <v>1</v>
      </c>
      <c r="J29" s="23">
        <f t="shared" si="5"/>
        <v>1</v>
      </c>
      <c r="K29" s="11">
        <f t="shared" si="6"/>
        <v>3</v>
      </c>
      <c r="L29" s="11">
        <f t="shared" si="7"/>
        <v>0</v>
      </c>
      <c r="O29" s="48" t="s">
        <v>21</v>
      </c>
      <c r="P29" s="49">
        <f>SUMIF($D$8:$D$55,$O29,$G$8:$G$55)+SUMIF($F$8:$F$55,$O29,$I$8:$I$55)</f>
        <v>4</v>
      </c>
      <c r="Q29" s="49">
        <f>SUMIF($D$8:$D$55,$O29,$I$8:$I$55)+SUMIF($F$8:$F$55,$O29,$G$8:$G$55)</f>
        <v>2</v>
      </c>
      <c r="R29" s="49">
        <f>P29-Q29</f>
        <v>2</v>
      </c>
      <c r="S29" s="50">
        <f>SUMIF($D$8:$D$55,$O29,$K$8:$K$55)+SUMIF($F$8:$F$55,$O29,$L$8:$L$55)</f>
        <v>6</v>
      </c>
      <c r="T29" s="95" t="s">
        <v>63</v>
      </c>
      <c r="U29" s="40"/>
      <c r="V29" s="40" t="str">
        <f>O29</f>
        <v>Engeland</v>
      </c>
      <c r="W29" s="40" t="s">
        <v>64</v>
      </c>
      <c r="Y29" s="109">
        <f t="shared" si="8"/>
        <v>10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10</v>
      </c>
      <c r="AG29" s="108">
        <f t="shared" si="0"/>
        <v>1</v>
      </c>
      <c r="AH29" s="108">
        <f t="shared" si="1"/>
        <v>1</v>
      </c>
      <c r="AI29" s="108">
        <f t="shared" si="10"/>
        <v>10</v>
      </c>
      <c r="AJ29" s="108">
        <f t="shared" si="2"/>
        <v>5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24">
        <v>23</v>
      </c>
      <c r="C30" s="25">
        <v>41809</v>
      </c>
      <c r="D30" s="26" t="s">
        <v>24</v>
      </c>
      <c r="E30" s="27" t="s">
        <v>9</v>
      </c>
      <c r="F30" s="28" t="s">
        <v>18</v>
      </c>
      <c r="G30" s="87">
        <v>0</v>
      </c>
      <c r="H30" s="27" t="s">
        <v>9</v>
      </c>
      <c r="I30" s="92">
        <v>0</v>
      </c>
      <c r="J30" s="29">
        <f t="shared" si="5"/>
        <v>3</v>
      </c>
      <c r="K30" s="11">
        <f t="shared" si="6"/>
        <v>1</v>
      </c>
      <c r="L30" s="11">
        <f t="shared" si="7"/>
        <v>1</v>
      </c>
      <c r="O30" s="51" t="s">
        <v>22</v>
      </c>
      <c r="P30" s="52">
        <f>SUMIF($D$8:$D$55,$O30,$G$8:$G$55)+SUMIF($F$8:$F$55,$O30,$I$8:$I$55)</f>
        <v>4</v>
      </c>
      <c r="Q30" s="52">
        <f>SUMIF($D$8:$D$55,$O30,$I$8:$I$55)+SUMIF($F$8:$F$55,$O30,$G$8:$G$55)</f>
        <v>3</v>
      </c>
      <c r="R30" s="52">
        <f>P30-Q30</f>
        <v>1</v>
      </c>
      <c r="S30" s="53">
        <f>SUMIF($D$8:$D$55,$O30,$K$8:$K$55)+SUMIF($F$8:$F$55,$O30,$L$8:$L$55)</f>
        <v>4</v>
      </c>
      <c r="T30" s="96" t="s">
        <v>64</v>
      </c>
      <c r="U30" s="40"/>
      <c r="V30" s="40" t="str">
        <f>O30</f>
        <v>Italië</v>
      </c>
      <c r="W30" s="40" t="s">
        <v>65</v>
      </c>
      <c r="Y30" s="109">
        <f t="shared" si="8"/>
        <v>10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10</v>
      </c>
      <c r="AG30" s="108">
        <f t="shared" si="0"/>
        <v>1</v>
      </c>
      <c r="AH30" s="108">
        <f t="shared" si="1"/>
        <v>1</v>
      </c>
      <c r="AI30" s="108">
        <f t="shared" si="10"/>
        <v>10</v>
      </c>
      <c r="AJ30" s="108">
        <f t="shared" si="2"/>
        <v>0</v>
      </c>
      <c r="AK30" s="108">
        <f t="shared" si="3"/>
        <v>0</v>
      </c>
      <c r="AL30" s="108">
        <f t="shared" si="4"/>
        <v>5</v>
      </c>
      <c r="AM30" s="120">
        <f>AO30</f>
        <v>10</v>
      </c>
      <c r="AN30" s="118" t="s">
        <v>22</v>
      </c>
      <c r="AO30" s="115">
        <f>IF(Uitslag!T30="",0,IF(T30=Uitslag!T30,10,0))</f>
        <v>10</v>
      </c>
    </row>
    <row r="31" spans="2:41" ht="15.75" thickBot="1">
      <c r="B31" s="12">
        <v>24</v>
      </c>
      <c r="C31" s="13">
        <v>41810</v>
      </c>
      <c r="D31" s="14" t="s">
        <v>22</v>
      </c>
      <c r="E31" s="15" t="s">
        <v>9</v>
      </c>
      <c r="F31" s="16" t="s">
        <v>20</v>
      </c>
      <c r="G31" s="85">
        <v>2</v>
      </c>
      <c r="H31" s="15" t="s">
        <v>9</v>
      </c>
      <c r="I31" s="90">
        <v>0</v>
      </c>
      <c r="J31" s="17">
        <f t="shared" si="5"/>
        <v>1</v>
      </c>
      <c r="K31" s="11">
        <f t="shared" si="6"/>
        <v>3</v>
      </c>
      <c r="L31" s="11">
        <f t="shared" si="7"/>
        <v>0</v>
      </c>
      <c r="O31" s="40"/>
      <c r="P31" s="41"/>
      <c r="Q31" s="41"/>
      <c r="R31" s="41"/>
      <c r="S31" s="41"/>
      <c r="T31" s="41"/>
      <c r="U31" s="40"/>
      <c r="V31" s="40"/>
      <c r="W31" s="40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0"/>
        <v>0</v>
      </c>
      <c r="AH31" s="108">
        <f t="shared" si="1"/>
        <v>0</v>
      </c>
      <c r="AI31" s="108">
        <f t="shared" si="10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40"/>
      <c r="AO31" s="41"/>
    </row>
    <row r="32" spans="2:41" ht="15.75" thickBot="1">
      <c r="B32" s="18">
        <v>25</v>
      </c>
      <c r="C32" s="19">
        <v>41810</v>
      </c>
      <c r="D32" s="20" t="s">
        <v>25</v>
      </c>
      <c r="E32" s="21" t="s">
        <v>9</v>
      </c>
      <c r="F32" s="30" t="s">
        <v>27</v>
      </c>
      <c r="G32" s="86">
        <v>0</v>
      </c>
      <c r="H32" s="21" t="s">
        <v>9</v>
      </c>
      <c r="I32" s="91">
        <v>3</v>
      </c>
      <c r="J32" s="23">
        <f t="shared" si="5"/>
        <v>2</v>
      </c>
      <c r="K32" s="11">
        <f t="shared" si="6"/>
        <v>0</v>
      </c>
      <c r="L32" s="11">
        <f t="shared" si="7"/>
        <v>3</v>
      </c>
      <c r="O32" s="72" t="s">
        <v>66</v>
      </c>
      <c r="P32" s="73" t="s">
        <v>42</v>
      </c>
      <c r="Q32" s="73" t="s">
        <v>43</v>
      </c>
      <c r="R32" s="74" t="s">
        <v>44</v>
      </c>
      <c r="S32" s="75" t="s">
        <v>45</v>
      </c>
      <c r="T32" s="76" t="s">
        <v>46</v>
      </c>
      <c r="U32" s="40"/>
      <c r="V32" s="40"/>
      <c r="W32" s="40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0"/>
        <v>0</v>
      </c>
      <c r="AH32" s="108">
        <f t="shared" si="1"/>
        <v>0</v>
      </c>
      <c r="AI32" s="108">
        <f t="shared" si="10"/>
        <v>0</v>
      </c>
      <c r="AJ32" s="108">
        <f t="shared" si="2"/>
        <v>0</v>
      </c>
      <c r="AK32" s="108">
        <f t="shared" si="3"/>
        <v>5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24">
        <v>26</v>
      </c>
      <c r="C33" s="25">
        <v>41810</v>
      </c>
      <c r="D33" s="26" t="s">
        <v>28</v>
      </c>
      <c r="E33" s="27" t="s">
        <v>9</v>
      </c>
      <c r="F33" s="28" t="s">
        <v>26</v>
      </c>
      <c r="G33" s="87">
        <v>0</v>
      </c>
      <c r="H33" s="27" t="s">
        <v>9</v>
      </c>
      <c r="I33" s="92">
        <v>1</v>
      </c>
      <c r="J33" s="29">
        <f t="shared" si="5"/>
        <v>2</v>
      </c>
      <c r="K33" s="11">
        <f t="shared" si="6"/>
        <v>0</v>
      </c>
      <c r="L33" s="11">
        <f t="shared" si="7"/>
        <v>3</v>
      </c>
      <c r="O33" s="44" t="s">
        <v>25</v>
      </c>
      <c r="P33" s="45">
        <f>SUMIF($D$8:$D$55,$O33,$G$8:$G$55)+SUMIF($F$8:$F$55,$O33,$I$8:$I$55)</f>
        <v>2</v>
      </c>
      <c r="Q33" s="45">
        <f>SUMIF($D$8:$D$55,$O33,$I$8:$I$55)+SUMIF($F$8:$F$55,$O33,$G$8:$G$55)</f>
        <v>4</v>
      </c>
      <c r="R33" s="46">
        <f>P33-Q33</f>
        <v>-2</v>
      </c>
      <c r="S33" s="47">
        <f>SUMIF($D$8:$D$55,$O33,$K$8:$K$55)+SUMIF($F$8:$F$55,$O33,$L$8:$L$55)</f>
        <v>4</v>
      </c>
      <c r="T33" s="94" t="s">
        <v>69</v>
      </c>
      <c r="U33" s="40"/>
      <c r="V33" s="40" t="str">
        <f>O33</f>
        <v>Zwitserland</v>
      </c>
      <c r="W33" s="40" t="s">
        <v>67</v>
      </c>
      <c r="Y33" s="109">
        <f t="shared" si="8"/>
        <v>5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5</v>
      </c>
      <c r="AG33" s="108">
        <f t="shared" si="0"/>
        <v>0</v>
      </c>
      <c r="AH33" s="108">
        <f t="shared" si="1"/>
        <v>0</v>
      </c>
      <c r="AI33" s="108">
        <f t="shared" si="10"/>
        <v>0</v>
      </c>
      <c r="AJ33" s="108">
        <f t="shared" si="2"/>
        <v>0</v>
      </c>
      <c r="AK33" s="108">
        <f t="shared" si="3"/>
        <v>5</v>
      </c>
      <c r="AL33" s="108">
        <f t="shared" si="4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12">
        <v>27</v>
      </c>
      <c r="C34" s="13">
        <v>41811</v>
      </c>
      <c r="D34" s="14" t="s">
        <v>29</v>
      </c>
      <c r="E34" s="15" t="s">
        <v>9</v>
      </c>
      <c r="F34" s="16" t="s">
        <v>33</v>
      </c>
      <c r="G34" s="85">
        <v>4</v>
      </c>
      <c r="H34" s="15" t="s">
        <v>9</v>
      </c>
      <c r="I34" s="90">
        <v>0</v>
      </c>
      <c r="J34" s="17">
        <f t="shared" si="5"/>
        <v>1</v>
      </c>
      <c r="K34" s="11">
        <f t="shared" si="6"/>
        <v>3</v>
      </c>
      <c r="L34" s="11">
        <f t="shared" si="7"/>
        <v>0</v>
      </c>
      <c r="O34" s="48" t="s">
        <v>26</v>
      </c>
      <c r="P34" s="49">
        <f>SUMIF($D$8:$D$55,$O34,$G$8:$G$55)+SUMIF($F$8:$F$55,$O34,$I$8:$I$55)</f>
        <v>1</v>
      </c>
      <c r="Q34" s="49">
        <f>SUMIF($D$8:$D$55,$O34,$I$8:$I$55)+SUMIF($F$8:$F$55,$O34,$G$8:$G$55)</f>
        <v>2</v>
      </c>
      <c r="R34" s="49">
        <f>P34-Q34</f>
        <v>-1</v>
      </c>
      <c r="S34" s="50">
        <f>SUMIF($D$8:$D$55,$O34,$K$8:$K$55)+SUMIF($F$8:$F$55,$O34,$L$8:$L$55)</f>
        <v>4</v>
      </c>
      <c r="T34" s="95" t="s">
        <v>68</v>
      </c>
      <c r="U34" s="40"/>
      <c r="V34" s="40" t="str">
        <f>O34</f>
        <v>Ecuador</v>
      </c>
      <c r="W34" s="40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0"/>
        <v>0</v>
      </c>
      <c r="AH34" s="108">
        <f t="shared" si="1"/>
        <v>1</v>
      </c>
      <c r="AI34" s="108">
        <f t="shared" si="10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18">
        <v>28</v>
      </c>
      <c r="C35" s="19">
        <v>41811</v>
      </c>
      <c r="D35" s="20" t="s">
        <v>31</v>
      </c>
      <c r="E35" s="21" t="s">
        <v>9</v>
      </c>
      <c r="F35" s="30" t="s">
        <v>35</v>
      </c>
      <c r="G35" s="86">
        <v>2</v>
      </c>
      <c r="H35" s="21" t="s">
        <v>9</v>
      </c>
      <c r="I35" s="91">
        <v>1</v>
      </c>
      <c r="J35" s="23">
        <f t="shared" si="5"/>
        <v>1</v>
      </c>
      <c r="K35" s="11">
        <f t="shared" si="6"/>
        <v>3</v>
      </c>
      <c r="L35" s="11">
        <f t="shared" si="7"/>
        <v>0</v>
      </c>
      <c r="O35" s="48" t="s">
        <v>27</v>
      </c>
      <c r="P35" s="49">
        <f>SUMIF($D$8:$D$55,$O35,$G$8:$G$55)+SUMIF($F$8:$F$55,$O35,$I$8:$I$55)</f>
        <v>6</v>
      </c>
      <c r="Q35" s="49">
        <f>SUMIF($D$8:$D$55,$O35,$I$8:$I$55)+SUMIF($F$8:$F$55,$O35,$G$8:$G$55)</f>
        <v>1</v>
      </c>
      <c r="R35" s="49">
        <f>P35-Q35</f>
        <v>5</v>
      </c>
      <c r="S35" s="50">
        <f>SUMIF($D$8:$D$55,$O35,$K$8:$K$55)+SUMIF($F$8:$F$55,$O35,$L$8:$L$55)</f>
        <v>7</v>
      </c>
      <c r="T35" s="95" t="s">
        <v>67</v>
      </c>
      <c r="U35" s="40"/>
      <c r="V35" s="40" t="str">
        <f>O35</f>
        <v>Frankrijk</v>
      </c>
      <c r="W35" s="40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0"/>
        <v>1</v>
      </c>
      <c r="AH35" s="108">
        <f t="shared" si="1"/>
        <v>0</v>
      </c>
      <c r="AI35" s="108">
        <f t="shared" si="10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24">
        <v>29</v>
      </c>
      <c r="C36" s="25">
        <v>41811</v>
      </c>
      <c r="D36" s="26" t="s">
        <v>34</v>
      </c>
      <c r="E36" s="27" t="s">
        <v>9</v>
      </c>
      <c r="F36" s="28" t="s">
        <v>30</v>
      </c>
      <c r="G36" s="87">
        <v>2</v>
      </c>
      <c r="H36" s="27" t="s">
        <v>9</v>
      </c>
      <c r="I36" s="92">
        <v>1</v>
      </c>
      <c r="J36" s="29">
        <f t="shared" si="5"/>
        <v>1</v>
      </c>
      <c r="K36" s="11">
        <f t="shared" si="6"/>
        <v>3</v>
      </c>
      <c r="L36" s="11">
        <f t="shared" si="7"/>
        <v>0</v>
      </c>
      <c r="O36" s="51" t="s">
        <v>28</v>
      </c>
      <c r="P36" s="52">
        <f>SUMIF($D$8:$D$55,$O36,$G$8:$G$55)+SUMIF($F$8:$F$55,$O36,$I$8:$I$55)</f>
        <v>2</v>
      </c>
      <c r="Q36" s="52">
        <f>SUMIF($D$8:$D$55,$O36,$I$8:$I$55)+SUMIF($F$8:$F$55,$O36,$G$8:$G$55)</f>
        <v>4</v>
      </c>
      <c r="R36" s="52">
        <f>P36-Q36</f>
        <v>-2</v>
      </c>
      <c r="S36" s="53">
        <f>SUMIF($D$8:$D$55,$O36,$K$8:$K$55)+SUMIF($F$8:$F$55,$O36,$L$8:$L$55)</f>
        <v>1</v>
      </c>
      <c r="T36" s="96" t="s">
        <v>70</v>
      </c>
      <c r="U36" s="40"/>
      <c r="V36" s="40" t="str">
        <f>O36</f>
        <v>Honduras</v>
      </c>
      <c r="W36" s="40" t="s">
        <v>70</v>
      </c>
      <c r="Y36" s="109">
        <f t="shared" si="8"/>
        <v>5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5</v>
      </c>
      <c r="AG36" s="108">
        <f t="shared" si="0"/>
        <v>0</v>
      </c>
      <c r="AH36" s="108">
        <f t="shared" si="1"/>
        <v>0</v>
      </c>
      <c r="AI36" s="108">
        <f t="shared" si="10"/>
        <v>0</v>
      </c>
      <c r="AJ36" s="108">
        <f t="shared" si="2"/>
        <v>5</v>
      </c>
      <c r="AK36" s="108">
        <f t="shared" si="3"/>
        <v>0</v>
      </c>
      <c r="AL36" s="108">
        <f t="shared" si="4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12">
        <v>30</v>
      </c>
      <c r="C37" s="13">
        <v>41812</v>
      </c>
      <c r="D37" s="14" t="s">
        <v>37</v>
      </c>
      <c r="E37" s="15" t="s">
        <v>9</v>
      </c>
      <c r="F37" s="16" t="s">
        <v>39</v>
      </c>
      <c r="G37" s="85">
        <v>1</v>
      </c>
      <c r="H37" s="15" t="s">
        <v>9</v>
      </c>
      <c r="I37" s="90">
        <v>1</v>
      </c>
      <c r="J37" s="17">
        <f t="shared" si="5"/>
        <v>3</v>
      </c>
      <c r="K37" s="11">
        <f t="shared" si="6"/>
        <v>1</v>
      </c>
      <c r="L37" s="11">
        <f t="shared" si="7"/>
        <v>1</v>
      </c>
      <c r="O37" s="40"/>
      <c r="P37" s="41"/>
      <c r="Q37" s="41"/>
      <c r="R37" s="41"/>
      <c r="S37" s="41"/>
      <c r="T37" s="41"/>
      <c r="U37" s="40"/>
      <c r="V37" s="40"/>
      <c r="W37" s="40"/>
      <c r="Y37" s="109">
        <f t="shared" si="8"/>
        <v>1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1</v>
      </c>
      <c r="AG37" s="108">
        <f t="shared" si="0"/>
        <v>1</v>
      </c>
      <c r="AH37" s="108">
        <f t="shared" si="1"/>
        <v>0</v>
      </c>
      <c r="AI37" s="108">
        <f t="shared" si="10"/>
        <v>0</v>
      </c>
      <c r="AJ37" s="108">
        <f t="shared" si="2"/>
        <v>0</v>
      </c>
      <c r="AK37" s="108">
        <f t="shared" si="3"/>
        <v>0</v>
      </c>
      <c r="AL37" s="108">
        <f t="shared" si="4"/>
        <v>0</v>
      </c>
      <c r="AN37" s="40"/>
      <c r="AO37" s="41"/>
    </row>
    <row r="38" spans="2:41" ht="15.75" thickBot="1">
      <c r="B38" s="18">
        <v>31</v>
      </c>
      <c r="C38" s="19">
        <v>41812</v>
      </c>
      <c r="D38" s="20" t="s">
        <v>40</v>
      </c>
      <c r="E38" s="21" t="s">
        <v>9</v>
      </c>
      <c r="F38" s="30" t="s">
        <v>38</v>
      </c>
      <c r="G38" s="86">
        <v>1</v>
      </c>
      <c r="H38" s="21" t="s">
        <v>9</v>
      </c>
      <c r="I38" s="91">
        <v>0</v>
      </c>
      <c r="J38" s="23">
        <f t="shared" si="5"/>
        <v>1</v>
      </c>
      <c r="K38" s="11">
        <f t="shared" si="6"/>
        <v>3</v>
      </c>
      <c r="L38" s="11">
        <f t="shared" si="7"/>
        <v>0</v>
      </c>
      <c r="O38" s="72" t="s">
        <v>71</v>
      </c>
      <c r="P38" s="73" t="s">
        <v>42</v>
      </c>
      <c r="Q38" s="73" t="s">
        <v>43</v>
      </c>
      <c r="R38" s="74" t="s">
        <v>44</v>
      </c>
      <c r="S38" s="75" t="s">
        <v>45</v>
      </c>
      <c r="T38" s="76" t="s">
        <v>46</v>
      </c>
      <c r="U38" s="40"/>
      <c r="V38" s="40"/>
      <c r="W38" s="40"/>
      <c r="Y38" s="109">
        <f t="shared" si="8"/>
        <v>0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0</v>
      </c>
      <c r="AG38" s="108">
        <f t="shared" si="0"/>
        <v>0</v>
      </c>
      <c r="AH38" s="108">
        <f t="shared" si="1"/>
        <v>0</v>
      </c>
      <c r="AI38" s="108">
        <f t="shared" si="10"/>
        <v>0</v>
      </c>
      <c r="AJ38" s="108">
        <f t="shared" si="2"/>
        <v>0</v>
      </c>
      <c r="AK38" s="108">
        <f t="shared" si="3"/>
        <v>0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24">
        <v>32</v>
      </c>
      <c r="C39" s="25">
        <v>41812</v>
      </c>
      <c r="D39" s="26" t="s">
        <v>36</v>
      </c>
      <c r="E39" s="27" t="s">
        <v>9</v>
      </c>
      <c r="F39" s="28" t="s">
        <v>32</v>
      </c>
      <c r="G39" s="87">
        <v>1</v>
      </c>
      <c r="H39" s="27" t="s">
        <v>9</v>
      </c>
      <c r="I39" s="92">
        <v>3</v>
      </c>
      <c r="J39" s="29">
        <f t="shared" si="5"/>
        <v>2</v>
      </c>
      <c r="K39" s="11">
        <f t="shared" si="6"/>
        <v>0</v>
      </c>
      <c r="L39" s="11">
        <f t="shared" si="7"/>
        <v>3</v>
      </c>
      <c r="O39" s="44" t="s">
        <v>29</v>
      </c>
      <c r="P39" s="45">
        <f>SUMIF($D$8:$D$55,$O39,$G$8:$G$55)+SUMIF($F$8:$F$55,$O39,$I$8:$I$55)</f>
        <v>10</v>
      </c>
      <c r="Q39" s="45">
        <f>SUMIF($D$8:$D$55,$O39,$I$8:$I$55)+SUMIF($F$8:$F$55,$O39,$G$8:$G$55)</f>
        <v>1</v>
      </c>
      <c r="R39" s="46">
        <f>P39-Q39</f>
        <v>9</v>
      </c>
      <c r="S39" s="47">
        <f>SUMIF($D$8:$D$55,$O39,$K$8:$K$55)+SUMIF($F$8:$F$55,$O39,$L$8:$L$55)</f>
        <v>9</v>
      </c>
      <c r="T39" s="94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0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0</v>
      </c>
      <c r="AG39" s="108">
        <f t="shared" si="0"/>
        <v>0</v>
      </c>
      <c r="AH39" s="108">
        <f t="shared" si="1"/>
        <v>0</v>
      </c>
      <c r="AI39" s="108">
        <f t="shared" si="10"/>
        <v>0</v>
      </c>
      <c r="AJ39" s="108">
        <f t="shared" si="2"/>
        <v>0</v>
      </c>
      <c r="AK39" s="108">
        <f t="shared" si="3"/>
        <v>0</v>
      </c>
      <c r="AL39" s="108">
        <f t="shared" si="4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12">
        <v>33</v>
      </c>
      <c r="C40" s="13">
        <v>41813</v>
      </c>
      <c r="D40" s="14" t="s">
        <v>16</v>
      </c>
      <c r="E40" s="15" t="s">
        <v>9</v>
      </c>
      <c r="F40" s="16" t="s">
        <v>13</v>
      </c>
      <c r="G40" s="85">
        <v>1</v>
      </c>
      <c r="H40" s="15" t="s">
        <v>9</v>
      </c>
      <c r="I40" s="90">
        <v>3</v>
      </c>
      <c r="J40" s="17">
        <f t="shared" si="5"/>
        <v>2</v>
      </c>
      <c r="K40" s="11">
        <f t="shared" si="6"/>
        <v>0</v>
      </c>
      <c r="L40" s="11">
        <f t="shared" si="7"/>
        <v>3</v>
      </c>
      <c r="O40" s="48" t="s">
        <v>30</v>
      </c>
      <c r="P40" s="49">
        <f>SUMIF($D$8:$D$55,$O40,$G$8:$G$55)+SUMIF($F$8:$F$55,$O40,$I$8:$I$55)</f>
        <v>2</v>
      </c>
      <c r="Q40" s="49">
        <f>SUMIF($D$8:$D$55,$O40,$I$8:$I$55)+SUMIF($F$8:$F$55,$O40,$G$8:$G$55)</f>
        <v>6</v>
      </c>
      <c r="R40" s="49">
        <f>P40-Q40</f>
        <v>-4</v>
      </c>
      <c r="S40" s="50">
        <f>SUMIF($D$8:$D$55,$O40,$K$8:$K$55)+SUMIF($F$8:$F$55,$O40,$L$8:$L$55)</f>
        <v>1</v>
      </c>
      <c r="T40" s="95" t="s">
        <v>74</v>
      </c>
      <c r="U40" s="40"/>
      <c r="V40" s="40" t="str">
        <f>O40</f>
        <v>Bosnië H.</v>
      </c>
      <c r="W40" s="40" t="s">
        <v>73</v>
      </c>
      <c r="Y40" s="109">
        <f t="shared" si="8"/>
        <v>6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6</v>
      </c>
      <c r="AG40" s="108">
        <f t="shared" si="0"/>
        <v>0</v>
      </c>
      <c r="AH40" s="108">
        <f t="shared" si="1"/>
        <v>1</v>
      </c>
      <c r="AI40" s="108">
        <f t="shared" si="10"/>
        <v>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18">
        <v>34</v>
      </c>
      <c r="C41" s="19">
        <v>41813</v>
      </c>
      <c r="D41" s="32" t="s">
        <v>14</v>
      </c>
      <c r="E41" s="21" t="s">
        <v>9</v>
      </c>
      <c r="F41" s="30" t="s">
        <v>15</v>
      </c>
      <c r="G41" s="86">
        <v>1</v>
      </c>
      <c r="H41" s="21" t="s">
        <v>9</v>
      </c>
      <c r="I41" s="91">
        <v>1</v>
      </c>
      <c r="J41" s="23">
        <f t="shared" si="5"/>
        <v>3</v>
      </c>
      <c r="K41" s="11">
        <f t="shared" si="6"/>
        <v>1</v>
      </c>
      <c r="L41" s="11">
        <f t="shared" si="7"/>
        <v>1</v>
      </c>
      <c r="O41" s="48" t="s">
        <v>33</v>
      </c>
      <c r="P41" s="49">
        <f>SUMIF($D$8:$D$55,$O41,$G$8:$G$55)+SUMIF($F$8:$F$55,$O41,$I$8:$I$55)</f>
        <v>1</v>
      </c>
      <c r="Q41" s="49">
        <f>SUMIF($D$8:$D$55,$O41,$I$8:$I$55)+SUMIF($F$8:$F$55,$O41,$G$8:$G$55)</f>
        <v>7</v>
      </c>
      <c r="R41" s="49">
        <f>P41-Q41</f>
        <v>-6</v>
      </c>
      <c r="S41" s="50">
        <f>SUMIF($D$8:$D$55,$O41,$K$8:$K$55)+SUMIF($F$8:$F$55,$O41,$L$8:$L$55)</f>
        <v>1</v>
      </c>
      <c r="T41" s="95" t="s">
        <v>75</v>
      </c>
      <c r="U41" s="40"/>
      <c r="V41" s="40" t="str">
        <f>O41</f>
        <v>Iran</v>
      </c>
      <c r="W41" s="40" t="s">
        <v>74</v>
      </c>
      <c r="Y41" s="109">
        <f t="shared" si="8"/>
        <v>0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0</v>
      </c>
      <c r="AG41" s="108">
        <f t="shared" si="0"/>
        <v>0</v>
      </c>
      <c r="AH41" s="108">
        <f t="shared" si="1"/>
        <v>0</v>
      </c>
      <c r="AI41" s="108">
        <f t="shared" si="10"/>
        <v>0</v>
      </c>
      <c r="AJ41" s="108">
        <f t="shared" si="2"/>
        <v>0</v>
      </c>
      <c r="AK41" s="108">
        <f t="shared" si="3"/>
        <v>0</v>
      </c>
      <c r="AL41" s="108">
        <f t="shared" si="4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18">
        <v>35</v>
      </c>
      <c r="C42" s="19">
        <v>41813</v>
      </c>
      <c r="D42" s="20" t="s">
        <v>12</v>
      </c>
      <c r="E42" s="21" t="s">
        <v>9</v>
      </c>
      <c r="F42" s="30" t="s">
        <v>8</v>
      </c>
      <c r="G42" s="86">
        <v>1</v>
      </c>
      <c r="H42" s="21" t="s">
        <v>9</v>
      </c>
      <c r="I42" s="91">
        <v>2</v>
      </c>
      <c r="J42" s="23">
        <f t="shared" si="5"/>
        <v>2</v>
      </c>
      <c r="K42" s="11">
        <f t="shared" si="6"/>
        <v>0</v>
      </c>
      <c r="L42" s="11">
        <f t="shared" si="7"/>
        <v>3</v>
      </c>
      <c r="O42" s="51" t="s">
        <v>34</v>
      </c>
      <c r="P42" s="52">
        <f>SUMIF($D$8:$D$55,$O42,$G$8:$G$55)+SUMIF($F$8:$F$55,$O42,$I$8:$I$55)</f>
        <v>5</v>
      </c>
      <c r="Q42" s="52">
        <f>SUMIF($D$8:$D$55,$O42,$I$8:$I$55)+SUMIF($F$8:$F$55,$O42,$G$8:$G$55)</f>
        <v>4</v>
      </c>
      <c r="R42" s="52">
        <f>P42-Q42</f>
        <v>1</v>
      </c>
      <c r="S42" s="53">
        <f>SUMIF($D$8:$D$55,$O42,$K$8:$K$55)+SUMIF($F$8:$F$55,$O42,$L$8:$L$55)</f>
        <v>6</v>
      </c>
      <c r="T42" s="96" t="s">
        <v>73</v>
      </c>
      <c r="U42" s="40"/>
      <c r="V42" s="40" t="str">
        <f>O42</f>
        <v>Nigeria</v>
      </c>
      <c r="W42" s="40" t="s">
        <v>75</v>
      </c>
      <c r="Y42" s="109">
        <f t="shared" si="8"/>
        <v>6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6</v>
      </c>
      <c r="AG42" s="108">
        <f t="shared" si="0"/>
        <v>1</v>
      </c>
      <c r="AH42" s="108">
        <f t="shared" si="1"/>
        <v>0</v>
      </c>
      <c r="AI42" s="108">
        <f t="shared" si="10"/>
        <v>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24">
        <v>36</v>
      </c>
      <c r="C43" s="25">
        <v>41813</v>
      </c>
      <c r="D43" s="26" t="s">
        <v>10</v>
      </c>
      <c r="E43" s="27" t="s">
        <v>9</v>
      </c>
      <c r="F43" s="28" t="s">
        <v>11</v>
      </c>
      <c r="G43" s="87">
        <v>1</v>
      </c>
      <c r="H43" s="27" t="s">
        <v>9</v>
      </c>
      <c r="I43" s="92">
        <v>2</v>
      </c>
      <c r="J43" s="29">
        <f t="shared" si="5"/>
        <v>2</v>
      </c>
      <c r="K43" s="11">
        <f t="shared" si="6"/>
        <v>0</v>
      </c>
      <c r="L43" s="11">
        <f t="shared" si="7"/>
        <v>3</v>
      </c>
      <c r="O43" s="40"/>
      <c r="P43" s="41"/>
      <c r="Q43" s="41"/>
      <c r="R43" s="41"/>
      <c r="S43" s="41"/>
      <c r="T43" s="41"/>
      <c r="U43" s="40"/>
      <c r="V43" s="40"/>
      <c r="W43" s="40"/>
      <c r="Y43" s="109">
        <f t="shared" si="8"/>
        <v>6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6</v>
      </c>
      <c r="AG43" s="108">
        <f t="shared" si="0"/>
        <v>1</v>
      </c>
      <c r="AH43" s="108">
        <f t="shared" si="1"/>
        <v>0</v>
      </c>
      <c r="AI43" s="108">
        <f t="shared" si="10"/>
        <v>0</v>
      </c>
      <c r="AJ43" s="108">
        <f t="shared" si="2"/>
        <v>0</v>
      </c>
      <c r="AK43" s="108">
        <f t="shared" si="3"/>
        <v>5</v>
      </c>
      <c r="AL43" s="108">
        <f t="shared" si="4"/>
        <v>0</v>
      </c>
      <c r="AN43" s="40"/>
      <c r="AO43" s="41"/>
    </row>
    <row r="44" spans="2:41" ht="15.75" thickBot="1">
      <c r="B44" s="12">
        <v>37</v>
      </c>
      <c r="C44" s="13">
        <v>41814</v>
      </c>
      <c r="D44" s="14" t="s">
        <v>22</v>
      </c>
      <c r="E44" s="15" t="s">
        <v>9</v>
      </c>
      <c r="F44" s="16" t="s">
        <v>19</v>
      </c>
      <c r="G44" s="85">
        <v>2</v>
      </c>
      <c r="H44" s="15" t="s">
        <v>9</v>
      </c>
      <c r="I44" s="90">
        <v>2</v>
      </c>
      <c r="J44" s="17">
        <f t="shared" si="5"/>
        <v>3</v>
      </c>
      <c r="K44" s="11">
        <f t="shared" si="6"/>
        <v>1</v>
      </c>
      <c r="L44" s="11">
        <f t="shared" si="7"/>
        <v>1</v>
      </c>
      <c r="O44" s="72" t="s">
        <v>76</v>
      </c>
      <c r="P44" s="73" t="s">
        <v>42</v>
      </c>
      <c r="Q44" s="73" t="s">
        <v>43</v>
      </c>
      <c r="R44" s="74" t="s">
        <v>44</v>
      </c>
      <c r="S44" s="75" t="s">
        <v>45</v>
      </c>
      <c r="T44" s="76" t="s">
        <v>46</v>
      </c>
      <c r="U44" s="40"/>
      <c r="V44" s="40"/>
      <c r="W44" s="40"/>
      <c r="Y44" s="109">
        <f t="shared" si="8"/>
        <v>0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0</v>
      </c>
      <c r="AG44" s="108">
        <f t="shared" si="0"/>
        <v>0</v>
      </c>
      <c r="AH44" s="108">
        <f t="shared" si="1"/>
        <v>0</v>
      </c>
      <c r="AI44" s="108">
        <f t="shared" si="10"/>
        <v>0</v>
      </c>
      <c r="AJ44" s="108">
        <f t="shared" si="2"/>
        <v>0</v>
      </c>
      <c r="AK44" s="108">
        <f t="shared" si="3"/>
        <v>0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18">
        <v>38</v>
      </c>
      <c r="C45" s="19">
        <v>41814</v>
      </c>
      <c r="D45" s="20" t="s">
        <v>20</v>
      </c>
      <c r="E45" s="21" t="s">
        <v>9</v>
      </c>
      <c r="F45" s="30" t="s">
        <v>21</v>
      </c>
      <c r="G45" s="86">
        <v>0</v>
      </c>
      <c r="H45" s="21" t="s">
        <v>9</v>
      </c>
      <c r="I45" s="91">
        <v>2</v>
      </c>
      <c r="J45" s="23">
        <f t="shared" si="5"/>
        <v>2</v>
      </c>
      <c r="K45" s="11">
        <f t="shared" si="6"/>
        <v>0</v>
      </c>
      <c r="L45" s="11">
        <f t="shared" si="7"/>
        <v>3</v>
      </c>
      <c r="O45" s="44" t="s">
        <v>31</v>
      </c>
      <c r="P45" s="45">
        <f>SUMIF($D$8:$D$55,$O45,$G$8:$G$55)+SUMIF($F$8:$F$55,$O45,$I$8:$I$55)</f>
        <v>6</v>
      </c>
      <c r="Q45" s="45">
        <f>SUMIF($D$8:$D$55,$O45,$I$8:$I$55)+SUMIF($F$8:$F$55,$O45,$G$8:$G$55)</f>
        <v>4</v>
      </c>
      <c r="R45" s="46">
        <f>P45-Q45</f>
        <v>2</v>
      </c>
      <c r="S45" s="47">
        <f>SUMIF($D$8:$D$55,$O45,$K$8:$K$55)+SUMIF($F$8:$F$55,$O45,$L$8:$L$55)</f>
        <v>6</v>
      </c>
      <c r="T45" s="94" t="s">
        <v>78</v>
      </c>
      <c r="U45" s="40"/>
      <c r="V45" s="40" t="str">
        <f>O45</f>
        <v>Duitsland</v>
      </c>
      <c r="W45" s="40" t="s">
        <v>77</v>
      </c>
      <c r="Y45" s="109">
        <f t="shared" si="8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1</v>
      </c>
      <c r="AG45" s="108">
        <f t="shared" si="0"/>
        <v>1</v>
      </c>
      <c r="AH45" s="108">
        <f t="shared" si="1"/>
        <v>0</v>
      </c>
      <c r="AI45" s="108">
        <f t="shared" si="10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0</v>
      </c>
      <c r="AN45" s="116" t="s">
        <v>31</v>
      </c>
      <c r="AO45" s="115">
        <f>IF(Uitslag!T45="",0,IF(T45=Uitslag!T45,10,0))</f>
        <v>0</v>
      </c>
    </row>
    <row r="46" spans="2:41" ht="15.75" thickBot="1">
      <c r="B46" s="18">
        <v>39</v>
      </c>
      <c r="C46" s="19">
        <v>41814</v>
      </c>
      <c r="D46" s="20" t="s">
        <v>24</v>
      </c>
      <c r="E46" s="21" t="s">
        <v>9</v>
      </c>
      <c r="F46" s="30" t="s">
        <v>17</v>
      </c>
      <c r="G46" s="86">
        <v>0</v>
      </c>
      <c r="H46" s="21" t="s">
        <v>9</v>
      </c>
      <c r="I46" s="91">
        <v>1</v>
      </c>
      <c r="J46" s="23">
        <f t="shared" si="5"/>
        <v>2</v>
      </c>
      <c r="K46" s="11">
        <f t="shared" si="6"/>
        <v>0</v>
      </c>
      <c r="L46" s="11">
        <f t="shared" si="7"/>
        <v>3</v>
      </c>
      <c r="O46" s="48" t="s">
        <v>32</v>
      </c>
      <c r="P46" s="49">
        <f>SUMIF($D$8:$D$55,$O46,$G$8:$G$55)+SUMIF($F$8:$F$55,$O46,$I$8:$I$55)</f>
        <v>6</v>
      </c>
      <c r="Q46" s="49">
        <f>SUMIF($D$8:$D$55,$O46,$I$8:$I$55)+SUMIF($F$8:$F$55,$O46,$G$8:$G$55)</f>
        <v>3</v>
      </c>
      <c r="R46" s="49">
        <f>P46-Q46</f>
        <v>3</v>
      </c>
      <c r="S46" s="50">
        <f>SUMIF($D$8:$D$55,$O46,$K$8:$K$55)+SUMIF($F$8:$F$55,$O46,$L$8:$L$55)</f>
        <v>7</v>
      </c>
      <c r="T46" s="95" t="s">
        <v>77</v>
      </c>
      <c r="U46" s="40"/>
      <c r="V46" s="40" t="str">
        <f>O46</f>
        <v>Portugal</v>
      </c>
      <c r="W46" s="40" t="s">
        <v>78</v>
      </c>
      <c r="Y46" s="109">
        <f t="shared" si="8"/>
        <v>5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5</v>
      </c>
      <c r="AG46" s="108">
        <f t="shared" si="0"/>
        <v>0</v>
      </c>
      <c r="AH46" s="108">
        <f t="shared" si="1"/>
        <v>0</v>
      </c>
      <c r="AI46" s="108">
        <f t="shared" si="10"/>
        <v>0</v>
      </c>
      <c r="AJ46" s="108">
        <f t="shared" si="2"/>
        <v>0</v>
      </c>
      <c r="AK46" s="108">
        <f t="shared" si="3"/>
        <v>5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24">
        <v>40</v>
      </c>
      <c r="C47" s="25">
        <v>41814</v>
      </c>
      <c r="D47" s="26" t="s">
        <v>18</v>
      </c>
      <c r="E47" s="27" t="s">
        <v>9</v>
      </c>
      <c r="F47" s="28" t="s">
        <v>23</v>
      </c>
      <c r="G47" s="87">
        <v>0</v>
      </c>
      <c r="H47" s="27" t="s">
        <v>9</v>
      </c>
      <c r="I47" s="92">
        <v>1</v>
      </c>
      <c r="J47" s="29">
        <f t="shared" si="5"/>
        <v>2</v>
      </c>
      <c r="K47" s="11">
        <f t="shared" si="6"/>
        <v>0</v>
      </c>
      <c r="L47" s="11">
        <f t="shared" si="7"/>
        <v>3</v>
      </c>
      <c r="O47" s="48" t="s">
        <v>35</v>
      </c>
      <c r="P47" s="49">
        <f>SUMIF($D$8:$D$55,$O47,$G$8:$G$55)+SUMIF($F$8:$F$55,$O47,$I$8:$I$55)</f>
        <v>3</v>
      </c>
      <c r="Q47" s="49">
        <f>SUMIF($D$8:$D$55,$O47,$I$8:$I$55)+SUMIF($F$8:$F$55,$O47,$G$8:$G$55)</f>
        <v>4</v>
      </c>
      <c r="R47" s="49">
        <f>P47-Q47</f>
        <v>-1</v>
      </c>
      <c r="S47" s="50">
        <f>SUMIF($D$8:$D$55,$O47,$K$8:$K$55)+SUMIF($F$8:$F$55,$O47,$L$8:$L$55)</f>
        <v>2</v>
      </c>
      <c r="T47" s="95" t="s">
        <v>79</v>
      </c>
      <c r="U47" s="40"/>
      <c r="V47" s="40" t="str">
        <f>O47</f>
        <v>Ghana</v>
      </c>
      <c r="W47" s="40" t="s">
        <v>79</v>
      </c>
      <c r="Y47" s="109">
        <f t="shared" si="8"/>
        <v>1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1</v>
      </c>
      <c r="AG47" s="108">
        <f t="shared" si="0"/>
        <v>0</v>
      </c>
      <c r="AH47" s="108">
        <f t="shared" si="1"/>
        <v>1</v>
      </c>
      <c r="AI47" s="108">
        <f t="shared" si="10"/>
        <v>0</v>
      </c>
      <c r="AJ47" s="108">
        <f t="shared" si="2"/>
        <v>0</v>
      </c>
      <c r="AK47" s="108">
        <f t="shared" si="3"/>
        <v>0</v>
      </c>
      <c r="AL47" s="108">
        <f t="shared" si="4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12">
        <v>41</v>
      </c>
      <c r="C48" s="13">
        <v>41815</v>
      </c>
      <c r="D48" s="14" t="s">
        <v>34</v>
      </c>
      <c r="E48" s="15" t="s">
        <v>9</v>
      </c>
      <c r="F48" s="16" t="s">
        <v>29</v>
      </c>
      <c r="G48" s="85">
        <v>1</v>
      </c>
      <c r="H48" s="15" t="s">
        <v>9</v>
      </c>
      <c r="I48" s="90">
        <v>3</v>
      </c>
      <c r="J48" s="17">
        <f t="shared" si="5"/>
        <v>2</v>
      </c>
      <c r="K48" s="11">
        <f t="shared" si="6"/>
        <v>0</v>
      </c>
      <c r="L48" s="11">
        <f t="shared" si="7"/>
        <v>3</v>
      </c>
      <c r="O48" s="51" t="s">
        <v>36</v>
      </c>
      <c r="P48" s="52">
        <f>SUMIF($D$8:$D$55,$O48,$G$8:$G$55)+SUMIF($F$8:$F$55,$O48,$I$8:$I$55)</f>
        <v>3</v>
      </c>
      <c r="Q48" s="52">
        <f>SUMIF($D$8:$D$55,$O48,$I$8:$I$55)+SUMIF($F$8:$F$55,$O48,$G$8:$G$55)</f>
        <v>7</v>
      </c>
      <c r="R48" s="52">
        <f>P48-Q48</f>
        <v>-4</v>
      </c>
      <c r="S48" s="53">
        <f>SUMIF($D$8:$D$55,$O48,$K$8:$K$55)+SUMIF($F$8:$F$55,$O48,$L$8:$L$55)</f>
        <v>1</v>
      </c>
      <c r="T48" s="96" t="s">
        <v>80</v>
      </c>
      <c r="U48" s="40"/>
      <c r="V48" s="40" t="str">
        <f>O48</f>
        <v>Verenigde Staten</v>
      </c>
      <c r="W48" s="40" t="s">
        <v>80</v>
      </c>
      <c r="Y48" s="109">
        <f t="shared" si="8"/>
        <v>6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6</v>
      </c>
      <c r="AG48" s="108">
        <f t="shared" si="0"/>
        <v>0</v>
      </c>
      <c r="AH48" s="108">
        <f t="shared" si="1"/>
        <v>1</v>
      </c>
      <c r="AI48" s="108">
        <f t="shared" si="10"/>
        <v>0</v>
      </c>
      <c r="AJ48" s="108">
        <f t="shared" si="2"/>
        <v>0</v>
      </c>
      <c r="AK48" s="108">
        <f t="shared" si="3"/>
        <v>5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18">
        <v>42</v>
      </c>
      <c r="C49" s="19">
        <v>41815</v>
      </c>
      <c r="D49" s="20" t="s">
        <v>30</v>
      </c>
      <c r="E49" s="21" t="s">
        <v>9</v>
      </c>
      <c r="F49" s="30" t="s">
        <v>33</v>
      </c>
      <c r="G49" s="86">
        <v>1</v>
      </c>
      <c r="H49" s="21" t="s">
        <v>9</v>
      </c>
      <c r="I49" s="91">
        <v>1</v>
      </c>
      <c r="J49" s="23">
        <f t="shared" si="5"/>
        <v>3</v>
      </c>
      <c r="K49" s="11">
        <f t="shared" si="6"/>
        <v>1</v>
      </c>
      <c r="L49" s="11">
        <f t="shared" si="7"/>
        <v>1</v>
      </c>
      <c r="O49" s="40"/>
      <c r="P49" s="41"/>
      <c r="Q49" s="41"/>
      <c r="R49" s="41"/>
      <c r="S49" s="41"/>
      <c r="T49" s="41"/>
      <c r="U49" s="40"/>
      <c r="V49" s="40"/>
      <c r="W49" s="40"/>
      <c r="Y49" s="109">
        <f t="shared" si="8"/>
        <v>1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1</v>
      </c>
      <c r="AG49" s="108">
        <f t="shared" si="0"/>
        <v>0</v>
      </c>
      <c r="AH49" s="108">
        <f t="shared" si="1"/>
        <v>1</v>
      </c>
      <c r="AI49" s="108">
        <f t="shared" si="10"/>
        <v>0</v>
      </c>
      <c r="AJ49" s="108">
        <f t="shared" si="2"/>
        <v>0</v>
      </c>
      <c r="AK49" s="108">
        <f t="shared" si="3"/>
        <v>0</v>
      </c>
      <c r="AL49" s="108">
        <f t="shared" si="4"/>
        <v>0</v>
      </c>
      <c r="AN49" s="40"/>
      <c r="AO49" s="41"/>
    </row>
    <row r="50" spans="2:54" ht="15.75" thickBot="1">
      <c r="B50" s="18">
        <v>43</v>
      </c>
      <c r="C50" s="19">
        <v>41815</v>
      </c>
      <c r="D50" s="20" t="s">
        <v>28</v>
      </c>
      <c r="E50" s="21" t="s">
        <v>9</v>
      </c>
      <c r="F50" s="30" t="s">
        <v>25</v>
      </c>
      <c r="G50" s="86">
        <v>1</v>
      </c>
      <c r="H50" s="21" t="s">
        <v>9</v>
      </c>
      <c r="I50" s="91">
        <v>2</v>
      </c>
      <c r="J50" s="23">
        <f t="shared" si="5"/>
        <v>2</v>
      </c>
      <c r="K50" s="11">
        <f t="shared" si="6"/>
        <v>0</v>
      </c>
      <c r="L50" s="11">
        <f t="shared" si="7"/>
        <v>3</v>
      </c>
      <c r="O50" s="72" t="s">
        <v>81</v>
      </c>
      <c r="P50" s="73" t="s">
        <v>42</v>
      </c>
      <c r="Q50" s="73" t="s">
        <v>43</v>
      </c>
      <c r="R50" s="74" t="s">
        <v>44</v>
      </c>
      <c r="S50" s="75" t="s">
        <v>45</v>
      </c>
      <c r="T50" s="76" t="s">
        <v>46</v>
      </c>
      <c r="U50" s="40"/>
      <c r="V50" s="40"/>
      <c r="W50" s="40"/>
      <c r="Y50" s="109">
        <f t="shared" si="8"/>
        <v>5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5</v>
      </c>
      <c r="AG50" s="108">
        <f t="shared" si="0"/>
        <v>0</v>
      </c>
      <c r="AH50" s="108">
        <f t="shared" si="1"/>
        <v>0</v>
      </c>
      <c r="AI50" s="108">
        <f t="shared" si="10"/>
        <v>0</v>
      </c>
      <c r="AJ50" s="108">
        <f t="shared" si="2"/>
        <v>0</v>
      </c>
      <c r="AK50" s="108">
        <f t="shared" si="3"/>
        <v>5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24">
        <v>44</v>
      </c>
      <c r="C51" s="25">
        <v>41815</v>
      </c>
      <c r="D51" s="26" t="s">
        <v>26</v>
      </c>
      <c r="E51" s="27" t="s">
        <v>9</v>
      </c>
      <c r="F51" s="28" t="s">
        <v>27</v>
      </c>
      <c r="G51" s="87">
        <v>0</v>
      </c>
      <c r="H51" s="27" t="s">
        <v>9</v>
      </c>
      <c r="I51" s="92">
        <v>2</v>
      </c>
      <c r="J51" s="29">
        <f t="shared" si="5"/>
        <v>2</v>
      </c>
      <c r="K51" s="11">
        <f t="shared" si="6"/>
        <v>0</v>
      </c>
      <c r="L51" s="11">
        <f>IF(I51="","",IF($G51&lt;$I51,3,IF($G51=$I51,1,0)))</f>
        <v>3</v>
      </c>
      <c r="O51" s="44" t="s">
        <v>37</v>
      </c>
      <c r="P51" s="45">
        <f>SUMIF($D$8:$D$55,$O51,$G$8:$G$55)+SUMIF($F$8:$F$55,$O51,$I$8:$I$55)</f>
        <v>5</v>
      </c>
      <c r="Q51" s="45">
        <f>SUMIF($D$8:$D$55,$O51,$I$8:$I$55)+SUMIF($F$8:$F$55,$O51,$G$8:$G$55)</f>
        <v>1</v>
      </c>
      <c r="R51" s="46">
        <f>P51-Q51</f>
        <v>4</v>
      </c>
      <c r="S51" s="47">
        <f>SUMIF($D$8:$D$55,$O51,$K$8:$K$55)+SUMIF($F$8:$F$55,$O51,$L$8:$L$55)</f>
        <v>7</v>
      </c>
      <c r="T51" s="94" t="s">
        <v>82</v>
      </c>
      <c r="U51" s="40"/>
      <c r="V51" s="40" t="str">
        <f>O51</f>
        <v>België</v>
      </c>
      <c r="W51" s="40" t="s">
        <v>82</v>
      </c>
      <c r="Y51" s="109">
        <f t="shared" si="8"/>
        <v>1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1</v>
      </c>
      <c r="AG51" s="108">
        <f t="shared" si="0"/>
        <v>1</v>
      </c>
      <c r="AH51" s="108">
        <f t="shared" si="1"/>
        <v>0</v>
      </c>
      <c r="AI51" s="108">
        <f t="shared" si="10"/>
        <v>0</v>
      </c>
      <c r="AJ51" s="108">
        <f t="shared" si="2"/>
        <v>0</v>
      </c>
      <c r="AK51" s="108">
        <f t="shared" si="3"/>
        <v>0</v>
      </c>
      <c r="AL51" s="108">
        <f t="shared" si="4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18">
        <v>45</v>
      </c>
      <c r="C52" s="19">
        <v>41816</v>
      </c>
      <c r="D52" s="20" t="s">
        <v>36</v>
      </c>
      <c r="E52" s="21" t="s">
        <v>9</v>
      </c>
      <c r="F52" s="30" t="s">
        <v>31</v>
      </c>
      <c r="G52" s="86">
        <v>1</v>
      </c>
      <c r="H52" s="21" t="s">
        <v>9</v>
      </c>
      <c r="I52" s="91">
        <v>3</v>
      </c>
      <c r="J52" s="17">
        <f t="shared" si="5"/>
        <v>2</v>
      </c>
      <c r="K52" s="11">
        <f t="shared" si="6"/>
        <v>0</v>
      </c>
      <c r="L52" s="11">
        <f t="shared" si="7"/>
        <v>3</v>
      </c>
      <c r="O52" s="48" t="s">
        <v>38</v>
      </c>
      <c r="P52" s="49">
        <f>SUMIF($D$8:$D$55,$O52,$G$8:$G$55)+SUMIF($F$8:$F$55,$O52,$I$8:$I$55)</f>
        <v>0</v>
      </c>
      <c r="Q52" s="49">
        <f>SUMIF($D$8:$D$55,$O52,$I$8:$I$55)+SUMIF($F$8:$F$55,$O52,$G$8:$G$55)</f>
        <v>4</v>
      </c>
      <c r="R52" s="49">
        <f>P52-Q52</f>
        <v>-4</v>
      </c>
      <c r="S52" s="50">
        <f>SUMIF($D$8:$D$55,$O52,$K$8:$K$55)+SUMIF($F$8:$F$55,$O52,$L$8:$L$55)</f>
        <v>0</v>
      </c>
      <c r="T52" s="95" t="s">
        <v>85</v>
      </c>
      <c r="U52" s="40"/>
      <c r="V52" s="40" t="str">
        <f>O52</f>
        <v>Algerije</v>
      </c>
      <c r="W52" s="40" t="s">
        <v>83</v>
      </c>
      <c r="Y52" s="109">
        <f t="shared" si="8"/>
        <v>5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5</v>
      </c>
      <c r="AG52" s="108">
        <f t="shared" si="0"/>
        <v>0</v>
      </c>
      <c r="AH52" s="108">
        <f t="shared" si="1"/>
        <v>0</v>
      </c>
      <c r="AI52" s="108">
        <f t="shared" si="10"/>
        <v>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18">
        <v>46</v>
      </c>
      <c r="C53" s="19">
        <v>41816</v>
      </c>
      <c r="D53" s="20" t="s">
        <v>32</v>
      </c>
      <c r="E53" s="21" t="s">
        <v>9</v>
      </c>
      <c r="F53" s="30" t="s">
        <v>35</v>
      </c>
      <c r="G53" s="86">
        <v>1</v>
      </c>
      <c r="H53" s="21" t="s">
        <v>9</v>
      </c>
      <c r="I53" s="91">
        <v>1</v>
      </c>
      <c r="J53" s="23">
        <f t="shared" si="5"/>
        <v>3</v>
      </c>
      <c r="K53" s="11">
        <f t="shared" si="6"/>
        <v>1</v>
      </c>
      <c r="L53" s="11">
        <f t="shared" si="7"/>
        <v>1</v>
      </c>
      <c r="O53" s="48" t="s">
        <v>39</v>
      </c>
      <c r="P53" s="49">
        <f>SUMIF($D$8:$D$55,$O53,$G$8:$G$55)+SUMIF($F$8:$F$55,$O53,$I$8:$I$55)</f>
        <v>4</v>
      </c>
      <c r="Q53" s="49">
        <f>SUMIF($D$8:$D$55,$O53,$I$8:$I$55)+SUMIF($F$8:$F$55,$O53,$G$8:$G$55)</f>
        <v>1</v>
      </c>
      <c r="R53" s="49">
        <f>P53-Q53</f>
        <v>3</v>
      </c>
      <c r="S53" s="50">
        <f>SUMIF($D$8:$D$55,$O53,$K$8:$K$55)+SUMIF($F$8:$F$55,$O53,$L$8:$L$55)</f>
        <v>7</v>
      </c>
      <c r="T53" s="95" t="s">
        <v>83</v>
      </c>
      <c r="U53" s="40"/>
      <c r="V53" s="40" t="str">
        <f>O53</f>
        <v>Rusland</v>
      </c>
      <c r="W53" s="40" t="s">
        <v>84</v>
      </c>
      <c r="Y53" s="109">
        <f t="shared" si="8"/>
        <v>1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1</v>
      </c>
      <c r="AG53" s="108">
        <f t="shared" si="0"/>
        <v>0</v>
      </c>
      <c r="AH53" s="108">
        <f t="shared" si="1"/>
        <v>1</v>
      </c>
      <c r="AI53" s="108">
        <f t="shared" si="10"/>
        <v>0</v>
      </c>
      <c r="AJ53" s="108">
        <f t="shared" si="2"/>
        <v>0</v>
      </c>
      <c r="AK53" s="108">
        <f t="shared" si="3"/>
        <v>0</v>
      </c>
      <c r="AL53" s="108">
        <f t="shared" si="4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18">
        <v>47</v>
      </c>
      <c r="C54" s="19">
        <v>41816</v>
      </c>
      <c r="D54" s="20" t="s">
        <v>40</v>
      </c>
      <c r="E54" s="21" t="s">
        <v>9</v>
      </c>
      <c r="F54" s="30" t="s">
        <v>37</v>
      </c>
      <c r="G54" s="86">
        <v>0</v>
      </c>
      <c r="H54" s="21" t="s">
        <v>9</v>
      </c>
      <c r="I54" s="91">
        <v>2</v>
      </c>
      <c r="J54" s="23">
        <f t="shared" si="5"/>
        <v>2</v>
      </c>
      <c r="K54" s="11">
        <f t="shared" si="6"/>
        <v>0</v>
      </c>
      <c r="L54" s="11">
        <f t="shared" si="7"/>
        <v>3</v>
      </c>
      <c r="O54" s="51" t="s">
        <v>40</v>
      </c>
      <c r="P54" s="52">
        <f>SUMIF($D$8:$D$55,$O54,$G$8:$G$55)+SUMIF($F$8:$F$55,$O54,$I$8:$I$55)</f>
        <v>1</v>
      </c>
      <c r="Q54" s="52">
        <f>SUMIF($D$8:$D$55,$O54,$I$8:$I$55)+SUMIF($F$8:$F$55,$O54,$G$8:$G$55)</f>
        <v>4</v>
      </c>
      <c r="R54" s="52">
        <f>P54-Q54</f>
        <v>-3</v>
      </c>
      <c r="S54" s="53">
        <f>SUMIF($D$8:$D$55,$O54,$K$8:$K$55)+SUMIF($F$8:$F$55,$O54,$L$8:$L$55)</f>
        <v>3</v>
      </c>
      <c r="T54" s="96" t="s">
        <v>84</v>
      </c>
      <c r="U54" s="40"/>
      <c r="V54" s="40" t="str">
        <f>O54</f>
        <v>Zuid Korea</v>
      </c>
      <c r="W54" s="40" t="s">
        <v>85</v>
      </c>
      <c r="Y54" s="109">
        <f t="shared" si="8"/>
        <v>6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6</v>
      </c>
      <c r="AG54" s="108">
        <f t="shared" si="0"/>
        <v>1</v>
      </c>
      <c r="AH54" s="108">
        <f t="shared" si="1"/>
        <v>0</v>
      </c>
      <c r="AI54" s="108">
        <f t="shared" si="10"/>
        <v>0</v>
      </c>
      <c r="AJ54" s="108">
        <f t="shared" si="2"/>
        <v>0</v>
      </c>
      <c r="AK54" s="108">
        <f t="shared" si="3"/>
        <v>5</v>
      </c>
      <c r="AL54" s="108">
        <f t="shared" si="4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3">
        <v>48</v>
      </c>
      <c r="C55" s="34">
        <v>41816</v>
      </c>
      <c r="D55" s="35" t="s">
        <v>38</v>
      </c>
      <c r="E55" s="36" t="s">
        <v>9</v>
      </c>
      <c r="F55" s="37" t="s">
        <v>39</v>
      </c>
      <c r="G55" s="88">
        <v>0</v>
      </c>
      <c r="H55" s="36" t="s">
        <v>9</v>
      </c>
      <c r="I55" s="93">
        <v>1</v>
      </c>
      <c r="J55" s="38">
        <f t="shared" si="5"/>
        <v>2</v>
      </c>
      <c r="K55" s="11">
        <f t="shared" si="6"/>
        <v>0</v>
      </c>
      <c r="L55" s="11">
        <f t="shared" si="7"/>
        <v>3</v>
      </c>
      <c r="O55" s="40"/>
      <c r="P55" s="41"/>
      <c r="Q55" s="41"/>
      <c r="R55" s="41"/>
      <c r="S55" s="41"/>
      <c r="T55" s="41"/>
      <c r="U55" s="40"/>
      <c r="V55" s="40"/>
      <c r="W55" s="40"/>
      <c r="Y55" s="109">
        <f t="shared" si="8"/>
        <v>1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</v>
      </c>
      <c r="AG55" s="108">
        <f t="shared" si="0"/>
        <v>0</v>
      </c>
      <c r="AH55" s="108">
        <f t="shared" si="1"/>
        <v>1</v>
      </c>
      <c r="AI55" s="108">
        <f t="shared" si="10"/>
        <v>0</v>
      </c>
      <c r="AJ55" s="108">
        <f t="shared" si="2"/>
        <v>0</v>
      </c>
      <c r="AK55" s="108">
        <f t="shared" si="3"/>
        <v>0</v>
      </c>
      <c r="AL55" s="108">
        <f t="shared" si="4"/>
        <v>0</v>
      </c>
    </row>
    <row r="56" spans="2:54" ht="15.75" thickBot="1">
      <c r="B56" s="1"/>
      <c r="C56" s="39"/>
      <c r="D56" s="40"/>
      <c r="E56" s="1"/>
      <c r="F56" s="40"/>
      <c r="G56" s="1"/>
      <c r="H56" s="1"/>
      <c r="I56" s="1"/>
      <c r="J56" s="1"/>
      <c r="K56" s="1"/>
      <c r="L56" s="1"/>
      <c r="M56" s="1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195"/>
      <c r="K57" s="1"/>
      <c r="L57" s="1"/>
      <c r="M57" s="1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78" t="s">
        <v>1</v>
      </c>
      <c r="C58" s="79" t="s">
        <v>2</v>
      </c>
      <c r="D58" s="187" t="s">
        <v>3</v>
      </c>
      <c r="E58" s="81"/>
      <c r="F58" s="194" t="s">
        <v>4</v>
      </c>
      <c r="G58" s="867" t="s">
        <v>5</v>
      </c>
      <c r="H58" s="868"/>
      <c r="I58" s="869"/>
      <c r="J58" s="83" t="s">
        <v>6</v>
      </c>
      <c r="K58" s="1"/>
      <c r="L58" s="1"/>
      <c r="M58" s="1"/>
      <c r="O58" s="135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12">
        <v>49</v>
      </c>
      <c r="C59" s="189">
        <v>41818</v>
      </c>
      <c r="D59" s="153" t="str">
        <f>IF(ISERROR(Z59),K59,Z59)</f>
        <v>Brazilië</v>
      </c>
      <c r="E59" s="15" t="s">
        <v>9</v>
      </c>
      <c r="F59" s="56" t="str">
        <f>IF(ISERROR(AA59),L59,AA59)</f>
        <v>Chili</v>
      </c>
      <c r="G59" s="85">
        <v>2</v>
      </c>
      <c r="H59" s="15" t="s">
        <v>9</v>
      </c>
      <c r="I59" s="97">
        <v>0</v>
      </c>
      <c r="J59" s="98">
        <v>1</v>
      </c>
      <c r="K59" s="57" t="s">
        <v>48</v>
      </c>
      <c r="L59" s="57" t="s">
        <v>53</v>
      </c>
      <c r="M59" s="57">
        <v>1</v>
      </c>
      <c r="O59" s="135">
        <v>2</v>
      </c>
      <c r="P59" s="877" t="s">
        <v>212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3">AF59</f>
        <v>0</v>
      </c>
      <c r="Z59" t="str">
        <f t="shared" ref="Z59:AA65" si="14">IF(K59=""," ",VLOOKUP(K59,$T$9:$V$54,3,FALSE))</f>
        <v>Brazilië</v>
      </c>
      <c r="AA59" t="str">
        <f t="shared" si="14"/>
        <v>Chili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0</v>
      </c>
      <c r="AG59" s="108">
        <f t="shared" ref="AG59:AG66" si="16">IF(AC59="",0,(IF(G59=AC59,1,0)))</f>
        <v>0</v>
      </c>
      <c r="AH59" s="108">
        <f t="shared" ref="AH59:AH66" si="17">IF(AD59="",0,(IF(I59=AD59,1,0)))</f>
        <v>0</v>
      </c>
      <c r="AI59" s="108">
        <f t="shared" ref="AI59:AI66" si="18">IF(AND(AG59=1,AH59=1),10,0)</f>
        <v>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24">
        <v>50</v>
      </c>
      <c r="C60" s="190">
        <v>41818</v>
      </c>
      <c r="D60" s="154" t="str">
        <f t="shared" ref="D60:D66" si="23">IF(ISERROR(Z60),K60,Z60)</f>
        <v>Colombia</v>
      </c>
      <c r="E60" s="27" t="s">
        <v>9</v>
      </c>
      <c r="F60" s="59" t="str">
        <f t="shared" ref="F60:F66" si="24">IF(ISERROR(AA60),L60,AA60)</f>
        <v>Engeland</v>
      </c>
      <c r="G60" s="87">
        <v>1</v>
      </c>
      <c r="H60" s="27" t="s">
        <v>9</v>
      </c>
      <c r="I60" s="99">
        <v>0</v>
      </c>
      <c r="J60" s="100">
        <v>1</v>
      </c>
      <c r="K60" s="57" t="s">
        <v>57</v>
      </c>
      <c r="L60" s="57" t="s">
        <v>63</v>
      </c>
      <c r="M60" s="57">
        <v>2</v>
      </c>
      <c r="O60" s="135">
        <v>3</v>
      </c>
      <c r="P60" s="877" t="s">
        <v>220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3"/>
        <v>6</v>
      </c>
      <c r="Z60" t="str">
        <f t="shared" si="14"/>
        <v>Colombia</v>
      </c>
      <c r="AA60" t="str">
        <f t="shared" si="14"/>
        <v>Engeland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6</v>
      </c>
      <c r="AG60" s="108">
        <f t="shared" si="16"/>
        <v>0</v>
      </c>
      <c r="AH60" s="108">
        <f t="shared" si="17"/>
        <v>1</v>
      </c>
      <c r="AI60" s="108">
        <f t="shared" si="18"/>
        <v>0</v>
      </c>
      <c r="AJ60" s="108">
        <f t="shared" si="19"/>
        <v>5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2"/>
        <v>3</v>
      </c>
    </row>
    <row r="61" spans="2:54">
      <c r="B61" s="12">
        <v>51</v>
      </c>
      <c r="C61" s="189">
        <v>41819</v>
      </c>
      <c r="D61" s="188" t="str">
        <f t="shared" si="23"/>
        <v>Spanje</v>
      </c>
      <c r="E61" s="15" t="s">
        <v>9</v>
      </c>
      <c r="F61" s="56" t="str">
        <f t="shared" si="24"/>
        <v>Mexico</v>
      </c>
      <c r="G61" s="85">
        <v>2</v>
      </c>
      <c r="H61" s="15" t="s">
        <v>9</v>
      </c>
      <c r="I61" s="97">
        <v>0</v>
      </c>
      <c r="J61" s="98">
        <v>1</v>
      </c>
      <c r="K61" s="57" t="s">
        <v>52</v>
      </c>
      <c r="L61" s="57" t="s">
        <v>49</v>
      </c>
      <c r="M61" s="57"/>
      <c r="O61" s="135">
        <v>4</v>
      </c>
      <c r="P61" s="877" t="s">
        <v>211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3"/>
        <v>6</v>
      </c>
      <c r="Z61" t="str">
        <f t="shared" si="14"/>
        <v>Spanje</v>
      </c>
      <c r="AA61" t="str">
        <f t="shared" si="14"/>
        <v>Mexico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6</v>
      </c>
      <c r="AG61" s="108">
        <f t="shared" si="16"/>
        <v>1</v>
      </c>
      <c r="AH61" s="108">
        <f t="shared" si="17"/>
        <v>0</v>
      </c>
      <c r="AI61" s="108">
        <f t="shared" si="18"/>
        <v>0</v>
      </c>
      <c r="AJ61" s="108">
        <f t="shared" si="19"/>
        <v>5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3</v>
      </c>
      <c r="BB61" s="139">
        <f t="shared" si="22"/>
        <v>3</v>
      </c>
    </row>
    <row r="62" spans="2:54">
      <c r="B62" s="24">
        <v>52</v>
      </c>
      <c r="C62" s="190">
        <v>41819</v>
      </c>
      <c r="D62" s="188" t="str">
        <f t="shared" si="23"/>
        <v>Uruguay</v>
      </c>
      <c r="E62" s="27" t="s">
        <v>9</v>
      </c>
      <c r="F62" s="59" t="str">
        <f t="shared" si="24"/>
        <v>Ivoorkust</v>
      </c>
      <c r="G62" s="87">
        <v>2</v>
      </c>
      <c r="H62" s="27" t="s">
        <v>9</v>
      </c>
      <c r="I62" s="99">
        <v>0</v>
      </c>
      <c r="J62" s="100">
        <v>1</v>
      </c>
      <c r="K62" s="57" t="s">
        <v>62</v>
      </c>
      <c r="L62" s="57" t="s">
        <v>58</v>
      </c>
      <c r="M62" s="57"/>
      <c r="O62" s="135">
        <v>5</v>
      </c>
      <c r="P62" s="877" t="s">
        <v>225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3"/>
        <v>0</v>
      </c>
      <c r="Z62" t="str">
        <f t="shared" si="14"/>
        <v>Uruguay</v>
      </c>
      <c r="AA62" t="str">
        <f t="shared" si="14"/>
        <v>Ivoorkust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0</v>
      </c>
      <c r="AG62" s="108">
        <f t="shared" si="16"/>
        <v>0</v>
      </c>
      <c r="AH62" s="108">
        <f t="shared" si="17"/>
        <v>0</v>
      </c>
      <c r="AI62" s="108">
        <f t="shared" si="18"/>
        <v>0</v>
      </c>
      <c r="AJ62" s="108">
        <f t="shared" si="19"/>
        <v>0</v>
      </c>
      <c r="AK62" s="108">
        <f t="shared" si="20"/>
        <v>0</v>
      </c>
      <c r="AL62" s="108">
        <f t="shared" si="21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2"/>
        <v>3</v>
      </c>
    </row>
    <row r="63" spans="2:54">
      <c r="B63" s="12">
        <v>53</v>
      </c>
      <c r="C63" s="189">
        <v>41820</v>
      </c>
      <c r="D63" s="153" t="str">
        <f t="shared" si="23"/>
        <v>Frankrijk</v>
      </c>
      <c r="E63" s="15" t="s">
        <v>9</v>
      </c>
      <c r="F63" s="56" t="str">
        <f t="shared" si="24"/>
        <v>Nigeria</v>
      </c>
      <c r="G63" s="85">
        <v>1</v>
      </c>
      <c r="H63" s="15" t="s">
        <v>9</v>
      </c>
      <c r="I63" s="97">
        <v>0</v>
      </c>
      <c r="J63" s="98">
        <v>1</v>
      </c>
      <c r="K63" s="57" t="s">
        <v>67</v>
      </c>
      <c r="L63" s="57" t="s">
        <v>73</v>
      </c>
      <c r="M63" s="57"/>
      <c r="O63" s="135">
        <v>6</v>
      </c>
      <c r="P63" s="877" t="s">
        <v>209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3"/>
        <v>6</v>
      </c>
      <c r="Z63" t="str">
        <f t="shared" si="14"/>
        <v>Frankrijk</v>
      </c>
      <c r="AA63" t="str">
        <f t="shared" si="14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6</v>
      </c>
      <c r="AG63" s="108">
        <f t="shared" si="16"/>
        <v>0</v>
      </c>
      <c r="AH63" s="108">
        <f t="shared" si="17"/>
        <v>1</v>
      </c>
      <c r="AI63" s="108">
        <f t="shared" si="18"/>
        <v>0</v>
      </c>
      <c r="AJ63" s="108">
        <f t="shared" si="19"/>
        <v>5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3</v>
      </c>
      <c r="BB63" s="139">
        <f t="shared" si="22"/>
        <v>3</v>
      </c>
    </row>
    <row r="64" spans="2:54">
      <c r="B64" s="24">
        <v>54</v>
      </c>
      <c r="C64" s="190">
        <v>41820</v>
      </c>
      <c r="D64" s="154" t="str">
        <f t="shared" si="23"/>
        <v>Portugal</v>
      </c>
      <c r="E64" s="27" t="s">
        <v>9</v>
      </c>
      <c r="F64" s="59" t="str">
        <f t="shared" si="24"/>
        <v>Rusland</v>
      </c>
      <c r="G64" s="87">
        <v>2</v>
      </c>
      <c r="H64" s="27" t="s">
        <v>9</v>
      </c>
      <c r="I64" s="99">
        <v>1</v>
      </c>
      <c r="J64" s="100">
        <v>1</v>
      </c>
      <c r="K64" s="57" t="s">
        <v>77</v>
      </c>
      <c r="L64" s="57" t="s">
        <v>83</v>
      </c>
      <c r="M64" s="57"/>
      <c r="O64" s="135">
        <v>7</v>
      </c>
      <c r="P64" s="877" t="s">
        <v>214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3"/>
        <v>0</v>
      </c>
      <c r="Z64" t="str">
        <f t="shared" si="14"/>
        <v>Portugal</v>
      </c>
      <c r="AA64" t="str">
        <f t="shared" si="14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0</v>
      </c>
      <c r="AG64" s="108">
        <f t="shared" si="16"/>
        <v>0</v>
      </c>
      <c r="AH64" s="108">
        <f t="shared" si="17"/>
        <v>0</v>
      </c>
      <c r="AI64" s="108">
        <f t="shared" si="18"/>
        <v>0</v>
      </c>
      <c r="AJ64" s="108">
        <f t="shared" si="19"/>
        <v>0</v>
      </c>
      <c r="AK64" s="108">
        <f t="shared" si="20"/>
        <v>0</v>
      </c>
      <c r="AL64" s="108">
        <f t="shared" si="21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2"/>
        <v>3</v>
      </c>
    </row>
    <row r="65" spans="2:54">
      <c r="B65" s="18">
        <v>55</v>
      </c>
      <c r="C65" s="191">
        <v>41821</v>
      </c>
      <c r="D65" s="153" t="str">
        <f t="shared" si="23"/>
        <v>Argentinië</v>
      </c>
      <c r="E65" s="21" t="s">
        <v>9</v>
      </c>
      <c r="F65" s="60" t="str">
        <f t="shared" si="24"/>
        <v>Ecuador</v>
      </c>
      <c r="G65" s="86">
        <v>3</v>
      </c>
      <c r="H65" s="21" t="s">
        <v>9</v>
      </c>
      <c r="I65" s="101">
        <v>0</v>
      </c>
      <c r="J65" s="102">
        <v>1</v>
      </c>
      <c r="K65" s="57" t="s">
        <v>72</v>
      </c>
      <c r="L65" s="57" t="s">
        <v>68</v>
      </c>
      <c r="M65" s="57"/>
      <c r="O65" s="135">
        <v>8</v>
      </c>
      <c r="P65" s="877" t="s">
        <v>213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3"/>
        <v>1</v>
      </c>
      <c r="Z65" t="str">
        <f t="shared" si="14"/>
        <v>Argentinië</v>
      </c>
      <c r="AA65" t="str">
        <f t="shared" si="14"/>
        <v>Ecuador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1</v>
      </c>
      <c r="AG65" s="108">
        <f t="shared" si="16"/>
        <v>0</v>
      </c>
      <c r="AH65" s="108">
        <f t="shared" si="17"/>
        <v>1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2"/>
        <v>3</v>
      </c>
    </row>
    <row r="66" spans="2:54" ht="15.75" thickBot="1">
      <c r="B66" s="33">
        <v>56</v>
      </c>
      <c r="C66" s="186">
        <v>41821</v>
      </c>
      <c r="D66" s="155" t="str">
        <f t="shared" si="23"/>
        <v>België</v>
      </c>
      <c r="E66" s="36" t="s">
        <v>9</v>
      </c>
      <c r="F66" s="62" t="str">
        <f t="shared" si="24"/>
        <v>Duitsland</v>
      </c>
      <c r="G66" s="88">
        <v>1</v>
      </c>
      <c r="H66" s="36" t="s">
        <v>9</v>
      </c>
      <c r="I66" s="103">
        <v>2</v>
      </c>
      <c r="J66" s="104">
        <v>2</v>
      </c>
      <c r="K66" s="57" t="s">
        <v>82</v>
      </c>
      <c r="L66" s="57" t="s">
        <v>78</v>
      </c>
      <c r="M66" s="57"/>
      <c r="O66" s="135">
        <v>9</v>
      </c>
      <c r="P66" s="877" t="s">
        <v>226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3"/>
        <v>0</v>
      </c>
      <c r="Z66" t="str">
        <f>IF(K66=""," ",VLOOKUP(K66,$T$9:$V$54,3,FALSE))</f>
        <v>België</v>
      </c>
      <c r="AA66" t="str">
        <f>IF(L66=""," ",VLOOKUP(L66,$T$9:$V$54,3,FALSE))</f>
        <v>Duitsland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0</v>
      </c>
      <c r="AG66" s="108">
        <f t="shared" si="16"/>
        <v>0</v>
      </c>
      <c r="AH66" s="108">
        <f t="shared" si="17"/>
        <v>0</v>
      </c>
      <c r="AI66" s="108">
        <f t="shared" si="18"/>
        <v>0</v>
      </c>
      <c r="AJ66" s="108">
        <f t="shared" si="19"/>
        <v>0</v>
      </c>
      <c r="AK66" s="108">
        <f t="shared" si="20"/>
        <v>0</v>
      </c>
      <c r="AL66" s="108">
        <f t="shared" si="21"/>
        <v>0</v>
      </c>
      <c r="AZ66" s="138" t="str">
        <f>Uitslag!P66</f>
        <v>Jonathan de Guzman (m)</v>
      </c>
      <c r="BA66" s="140">
        <f t="shared" si="12"/>
        <v>3</v>
      </c>
      <c r="BB66" s="139">
        <f t="shared" si="22"/>
        <v>3</v>
      </c>
    </row>
    <row r="67" spans="2:54" ht="15.75" thickBot="1">
      <c r="B67" s="1"/>
      <c r="C67" s="39"/>
      <c r="D67" s="40"/>
      <c r="E67" s="1"/>
      <c r="F67" s="40"/>
      <c r="G67" s="1"/>
      <c r="H67" s="1"/>
      <c r="I67" s="1"/>
      <c r="J67" s="1"/>
      <c r="K67" s="1"/>
      <c r="L67" s="1"/>
      <c r="M67" s="1"/>
      <c r="O67" s="135">
        <v>10</v>
      </c>
      <c r="P67" s="877" t="s">
        <v>216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2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195"/>
      <c r="K68" s="1"/>
      <c r="L68" s="1"/>
      <c r="M68" s="1"/>
      <c r="O68" s="135">
        <v>11</v>
      </c>
      <c r="P68" s="877" t="s">
        <v>215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2"/>
        <v>3</v>
      </c>
    </row>
    <row r="69" spans="2:54">
      <c r="B69" s="78" t="s">
        <v>1</v>
      </c>
      <c r="C69" s="79" t="s">
        <v>2</v>
      </c>
      <c r="D69" s="193" t="s">
        <v>3</v>
      </c>
      <c r="E69" s="81"/>
      <c r="F69" s="194" t="s">
        <v>4</v>
      </c>
      <c r="G69" s="867" t="s">
        <v>5</v>
      </c>
      <c r="H69" s="868"/>
      <c r="I69" s="869"/>
      <c r="J69" s="83" t="s">
        <v>6</v>
      </c>
      <c r="K69" s="1"/>
      <c r="L69" s="1"/>
      <c r="M69" s="1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33</v>
      </c>
      <c r="BB69" s="139">
        <f>IF(AND(BA69&lt;&gt;"",BA69=33),15,"nvt")</f>
        <v>15</v>
      </c>
    </row>
    <row r="70" spans="2:54">
      <c r="B70" s="12">
        <v>57</v>
      </c>
      <c r="C70" s="13">
        <v>41824</v>
      </c>
      <c r="D70" s="55" t="str">
        <f>IF(J63="","Winnaar 53",IF(J63=1,D63,F63))</f>
        <v>Frankrijk</v>
      </c>
      <c r="E70" s="15" t="s">
        <v>9</v>
      </c>
      <c r="F70" s="56" t="str">
        <f>IF(J64="","Winnaar 54",IF(J64=1,D64,F64))</f>
        <v>Portugal</v>
      </c>
      <c r="G70" s="85">
        <v>1</v>
      </c>
      <c r="H70" s="15" t="s">
        <v>9</v>
      </c>
      <c r="I70" s="97">
        <v>2</v>
      </c>
      <c r="J70" s="98">
        <v>2</v>
      </c>
      <c r="K70" s="1"/>
      <c r="L70" s="1"/>
      <c r="M70" s="1"/>
      <c r="V70" t="s">
        <v>133</v>
      </c>
      <c r="W70" t="s">
        <v>126</v>
      </c>
      <c r="X70" t="str">
        <f t="shared" si="11"/>
        <v>Karim Rekik (v)</v>
      </c>
      <c r="Y70" s="109">
        <f>AF70</f>
        <v>5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5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24">
        <v>58</v>
      </c>
      <c r="C71" s="25">
        <v>41824</v>
      </c>
      <c r="D71" s="58" t="str">
        <f>IF(J59="","Winnaar 49",IF(J59=1,D59,F59))</f>
        <v>Brazilië</v>
      </c>
      <c r="E71" s="27" t="s">
        <v>9</v>
      </c>
      <c r="F71" s="59" t="str">
        <f>IF(J60="","Winnaar 50",IF(J60=1,D60,F60))</f>
        <v>Colombia</v>
      </c>
      <c r="G71" s="87">
        <v>2</v>
      </c>
      <c r="H71" s="27" t="s">
        <v>9</v>
      </c>
      <c r="I71" s="99">
        <v>0</v>
      </c>
      <c r="J71" s="100">
        <v>1</v>
      </c>
      <c r="K71" s="1"/>
      <c r="L71" s="1"/>
      <c r="M71" s="1"/>
      <c r="V71" t="s">
        <v>133</v>
      </c>
      <c r="W71" t="s">
        <v>194</v>
      </c>
      <c r="X71" t="str">
        <f t="shared" si="11"/>
        <v>Ron Vlaar (v)</v>
      </c>
      <c r="Y71" s="109">
        <f>AF71</f>
        <v>6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6</v>
      </c>
      <c r="AG71" s="108">
        <f>IF(AC71="",0,(IF(G71=AC71,1,0)))</f>
        <v>1</v>
      </c>
      <c r="AH71" s="108">
        <f>IF(AD71="",0,(IF(I71=AD71,1,0)))</f>
        <v>0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12">
        <v>59</v>
      </c>
      <c r="C72" s="13">
        <v>41825</v>
      </c>
      <c r="D72" s="55" t="str">
        <f>IF(J65="","Winnaar 55",IF(J65=1,D65,F65))</f>
        <v>Argentinië</v>
      </c>
      <c r="E72" s="15" t="s">
        <v>9</v>
      </c>
      <c r="F72" s="56" t="str">
        <f>IF(J66="","Winnaar 56",IF(J66=1,D66,F66))</f>
        <v>Duitsland</v>
      </c>
      <c r="G72" s="85">
        <v>1</v>
      </c>
      <c r="H72" s="15" t="s">
        <v>9</v>
      </c>
      <c r="I72" s="97">
        <v>1</v>
      </c>
      <c r="J72" s="98">
        <v>1</v>
      </c>
      <c r="K72" s="1"/>
      <c r="L72" s="1"/>
      <c r="M72" s="1"/>
      <c r="V72" t="s">
        <v>133</v>
      </c>
      <c r="W72" t="s">
        <v>195</v>
      </c>
      <c r="X72" t="str">
        <f t="shared" si="11"/>
        <v>John Heitinga (v)</v>
      </c>
      <c r="Y72" s="109">
        <f>AF72</f>
        <v>1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1</v>
      </c>
      <c r="AG72" s="108">
        <f>IF(AC72="",0,(IF(G72=AC72,1,0)))</f>
        <v>1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0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3">
        <v>60</v>
      </c>
      <c r="C73" s="34">
        <v>41825</v>
      </c>
      <c r="D73" s="61" t="str">
        <f>IF(J61="","Winnaar 51",IF(J61=1,D61,F61))</f>
        <v>Spanje</v>
      </c>
      <c r="E73" s="36" t="s">
        <v>9</v>
      </c>
      <c r="F73" s="62" t="str">
        <f>IF(J62="","Winnaar 52",IF(J62=1,D62,F62))</f>
        <v>Uruguay</v>
      </c>
      <c r="G73" s="88">
        <v>1</v>
      </c>
      <c r="H73" s="36" t="s">
        <v>9</v>
      </c>
      <c r="I73" s="103">
        <v>2</v>
      </c>
      <c r="J73" s="104">
        <v>2</v>
      </c>
      <c r="K73" s="1"/>
      <c r="L73" s="1"/>
      <c r="M73" s="1"/>
      <c r="V73" t="s">
        <v>133</v>
      </c>
      <c r="W73" t="s">
        <v>196</v>
      </c>
      <c r="X73" t="str">
        <f t="shared" si="11"/>
        <v>Urby Emanuelson (v)</v>
      </c>
      <c r="Y73" s="109">
        <f>AF73</f>
        <v>0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0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1"/>
      <c r="C74" s="39"/>
      <c r="D74" s="40"/>
      <c r="E74" s="1"/>
      <c r="F74" s="40"/>
      <c r="G74" s="1"/>
      <c r="H74" s="1"/>
      <c r="I74" s="1"/>
      <c r="J74" s="1"/>
      <c r="K74" s="1"/>
      <c r="L74" s="1"/>
      <c r="M74" s="1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195"/>
      <c r="K75" s="1"/>
      <c r="L75" s="1"/>
      <c r="M75" s="1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78" t="s">
        <v>1</v>
      </c>
      <c r="C76" s="79" t="s">
        <v>2</v>
      </c>
      <c r="D76" s="193" t="s">
        <v>3</v>
      </c>
      <c r="E76" s="81"/>
      <c r="F76" s="194" t="s">
        <v>4</v>
      </c>
      <c r="G76" s="867" t="s">
        <v>5</v>
      </c>
      <c r="H76" s="868"/>
      <c r="I76" s="869"/>
      <c r="J76" s="83" t="s">
        <v>6</v>
      </c>
      <c r="K76" s="1"/>
      <c r="L76" s="1"/>
      <c r="M76" s="1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12">
        <v>61</v>
      </c>
      <c r="C77" s="13">
        <v>41828</v>
      </c>
      <c r="D77" s="55" t="str">
        <f>IF(J70="","Winnaar 57",IF(J70=1,D70,F70))</f>
        <v>Portugal</v>
      </c>
      <c r="E77" s="15" t="s">
        <v>9</v>
      </c>
      <c r="F77" s="56" t="str">
        <f>IF(J71="","Winnaar 58",IF(J71=1,D71,F71))</f>
        <v>Brazilië</v>
      </c>
      <c r="G77" s="85">
        <v>1</v>
      </c>
      <c r="H77" s="15" t="s">
        <v>9</v>
      </c>
      <c r="I77" s="97">
        <v>2</v>
      </c>
      <c r="J77" s="98">
        <v>2</v>
      </c>
      <c r="K77" s="1"/>
      <c r="L77" s="1"/>
      <c r="M77" s="1"/>
      <c r="V77" t="s">
        <v>134</v>
      </c>
      <c r="W77" t="s">
        <v>203</v>
      </c>
      <c r="X77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3">
        <v>62</v>
      </c>
      <c r="C78" s="34">
        <v>41829</v>
      </c>
      <c r="D78" s="61" t="str">
        <f>IF(J72="","Winnaar 59",IF(J72=1,D72,F72))</f>
        <v>Argentinië</v>
      </c>
      <c r="E78" s="36" t="s">
        <v>9</v>
      </c>
      <c r="F78" s="62" t="str">
        <f>IF(J73="","Winnaar 60",IF(J73=1,D73,F73))</f>
        <v>Uruguay</v>
      </c>
      <c r="G78" s="88">
        <v>2</v>
      </c>
      <c r="H78" s="36" t="s">
        <v>9</v>
      </c>
      <c r="I78" s="103">
        <v>1</v>
      </c>
      <c r="J78" s="104">
        <v>1</v>
      </c>
      <c r="K78" s="1"/>
      <c r="L78" s="1"/>
      <c r="M78" s="1"/>
      <c r="V78" t="s">
        <v>134</v>
      </c>
      <c r="W78" t="s">
        <v>199</v>
      </c>
      <c r="X78" t="str">
        <f t="shared" si="11"/>
        <v>Leroy Fer (m)</v>
      </c>
      <c r="Y78" s="109">
        <f>AF78</f>
        <v>0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0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1"/>
      <c r="C79" s="39"/>
      <c r="D79" s="40"/>
      <c r="E79" s="1"/>
      <c r="F79" s="40"/>
      <c r="G79" s="1"/>
      <c r="H79" s="1"/>
      <c r="I79" s="1"/>
      <c r="J79" s="1"/>
      <c r="K79" s="1"/>
      <c r="L79" s="1"/>
      <c r="M79" s="1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195"/>
      <c r="K80" s="1"/>
      <c r="L80" s="1"/>
      <c r="M80" s="1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78" t="s">
        <v>1</v>
      </c>
      <c r="C81" s="79" t="s">
        <v>2</v>
      </c>
      <c r="D81" s="193" t="s">
        <v>3</v>
      </c>
      <c r="E81" s="81"/>
      <c r="F81" s="194" t="s">
        <v>4</v>
      </c>
      <c r="G81" s="867" t="s">
        <v>5</v>
      </c>
      <c r="H81" s="868"/>
      <c r="I81" s="869"/>
      <c r="J81" s="83" t="s">
        <v>6</v>
      </c>
      <c r="K81" s="1"/>
      <c r="L81" s="1"/>
      <c r="M81" s="1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2">
        <v>63</v>
      </c>
      <c r="C82" s="63">
        <v>41832</v>
      </c>
      <c r="D82" s="64" t="str">
        <f>IF(J77="","Verliezer 61",IF(J77=1,F77,D77))</f>
        <v>Portugal</v>
      </c>
      <c r="E82" s="3" t="s">
        <v>9</v>
      </c>
      <c r="F82" s="65" t="str">
        <f>IF(J78="","Verliezer 62",IF(J78=1,F78,D78))</f>
        <v>Uruguay</v>
      </c>
      <c r="G82" s="105">
        <v>1</v>
      </c>
      <c r="H82" s="3" t="s">
        <v>9</v>
      </c>
      <c r="I82" s="106">
        <v>1</v>
      </c>
      <c r="J82" s="107">
        <v>1</v>
      </c>
      <c r="K82" s="1"/>
      <c r="L82" s="1"/>
      <c r="M82" s="1"/>
      <c r="V82" t="s">
        <v>134</v>
      </c>
      <c r="W82" t="s">
        <v>125</v>
      </c>
      <c r="X8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1"/>
      <c r="C83" s="39"/>
      <c r="D83" s="40"/>
      <c r="E83" s="1"/>
      <c r="F83" s="40"/>
      <c r="G83" s="1"/>
      <c r="H83" s="1"/>
      <c r="I83" s="1"/>
      <c r="J83" s="1"/>
      <c r="K83" s="1"/>
      <c r="L83" s="1"/>
      <c r="M83" s="1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195"/>
      <c r="K84" s="1"/>
      <c r="L84" s="1"/>
      <c r="M84" s="1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78" t="s">
        <v>1</v>
      </c>
      <c r="C85" s="79" t="s">
        <v>2</v>
      </c>
      <c r="D85" s="193" t="s">
        <v>3</v>
      </c>
      <c r="E85" s="81"/>
      <c r="F85" s="194" t="s">
        <v>4</v>
      </c>
      <c r="G85" s="867" t="s">
        <v>5</v>
      </c>
      <c r="H85" s="868"/>
      <c r="I85" s="869"/>
      <c r="J85" s="83" t="s">
        <v>6</v>
      </c>
      <c r="K85" s="1"/>
      <c r="L85" s="1"/>
      <c r="M85" s="1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2">
        <v>64</v>
      </c>
      <c r="C86" s="63">
        <v>41833</v>
      </c>
      <c r="D86" s="64" t="str">
        <f>IF(J77="","Winnaar 61",IF(J77=1,D77,F77))</f>
        <v>Brazilië</v>
      </c>
      <c r="E86" s="3" t="s">
        <v>9</v>
      </c>
      <c r="F86" s="65" t="str">
        <f>IF(J78="","Winnaar 62",IF(J78=1,D78,F78))</f>
        <v>Argentinië</v>
      </c>
      <c r="G86" s="105">
        <v>2</v>
      </c>
      <c r="H86" s="3" t="s">
        <v>9</v>
      </c>
      <c r="I86" s="106">
        <v>1</v>
      </c>
      <c r="J86" s="107">
        <v>1</v>
      </c>
      <c r="K86" s="1"/>
      <c r="L86" s="1"/>
      <c r="M86" s="1"/>
      <c r="V86" t="s">
        <v>134</v>
      </c>
      <c r="W86" t="s">
        <v>139</v>
      </c>
      <c r="X86" t="str">
        <f t="shared" si="11"/>
        <v>Nigel de Jong (m)</v>
      </c>
      <c r="Y86" s="109">
        <f>AF86</f>
        <v>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0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Brazilië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5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5</v>
      </c>
      <c r="AV89">
        <f>IF(AR89=0,0,IF(E89=AR89,50,0))</f>
        <v>0</v>
      </c>
      <c r="AW89">
        <f>IF(E89=0,0,IF(OR(E89=AR90),15,0))</f>
        <v>0</v>
      </c>
      <c r="AX89">
        <f>IF(E89=0,0,IF(OR(E89=AR91,E89=AR92),5,0))</f>
        <v>5</v>
      </c>
    </row>
    <row r="90" spans="2:50">
      <c r="C90" s="870">
        <v>2</v>
      </c>
      <c r="D90" s="871"/>
      <c r="E90" s="872" t="str">
        <f>IF(J86=2,D86,IF(J86=1,F86,"Wie wordt 2de?"))</f>
        <v>Argentinië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25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25</v>
      </c>
      <c r="AV90">
        <f>IF(AR90=0,0,IF(AR90=E90,25,0))</f>
        <v>25</v>
      </c>
      <c r="AW90">
        <f>IF(E90=0,0,IF(OR(E90=AR89,),15,0))</f>
        <v>0</v>
      </c>
      <c r="AX90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Portugal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0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0</v>
      </c>
      <c r="AV91">
        <f>IF(AR91=0,0,IF(AR91=E91,15,0))</f>
        <v>0</v>
      </c>
      <c r="AW91">
        <f>IF(E91=0,0,IF(OR(E91=AR92),10,0))</f>
        <v>0</v>
      </c>
      <c r="AX91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Uruguay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0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0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30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conditionalFormatting sqref="AO9:AO12 AO15:AO18 AO21:AO24 AO27:AO30 AO33:AO36 AO39:AO42 AO45:AO48 AO51:AO54">
    <cfRule type="cellIs" dxfId="251" priority="3" operator="equal">
      <formula>10</formula>
    </cfRule>
  </conditionalFormatting>
  <conditionalFormatting sqref="P58:T58">
    <cfRule type="duplicateValues" dxfId="250" priority="2"/>
  </conditionalFormatting>
  <conditionalFormatting sqref="P58:T68">
    <cfRule type="duplicateValues" dxfId="249" priority="1"/>
  </conditionalFormatting>
  <dataValidations count="10">
    <dataValidation type="list" allowBlank="1" showInputMessage="1" showErrorMessage="1" sqref="P58:P68">
      <formula1>$X$58:$X$98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51:T54">
      <formula1>$W$51:$W$54</formula1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B1:BB98"/>
  <sheetViews>
    <sheetView topLeftCell="A40" zoomScale="70" zoomScaleNormal="70" workbookViewId="0">
      <selection activeCell="P58" sqref="P58:T68"/>
    </sheetView>
  </sheetViews>
  <sheetFormatPr defaultRowHeight="15" outlineLevelCol="2"/>
  <cols>
    <col min="1" max="1" width="3.42578125" customWidth="1"/>
    <col min="2" max="2" width="3.5703125" bestFit="1" customWidth="1"/>
    <col min="3" max="3" width="11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328</v>
      </c>
      <c r="E3" s="145"/>
      <c r="F3" s="145"/>
      <c r="N3" t="str">
        <f>D3</f>
        <v>Astrid vd B. (introducee Pascal)</v>
      </c>
      <c r="O3" s="144">
        <f>SUM(P3:S3)</f>
        <v>346</v>
      </c>
      <c r="P3" s="109">
        <f>SUM(Y8:Y86)</f>
        <v>198</v>
      </c>
      <c r="Q3" s="109">
        <f>SUM(AM4:AM55)</f>
        <v>70</v>
      </c>
      <c r="R3" s="109">
        <f>SUM(AP89:AP92)</f>
        <v>30</v>
      </c>
      <c r="S3" s="109">
        <f>SUM(BB58:BB69)</f>
        <v>48</v>
      </c>
      <c r="T3" s="109">
        <f>COUNTIF(AF8:AF86,10)</f>
        <v>7</v>
      </c>
      <c r="U3" s="109" t="str">
        <f>E89</f>
        <v>Brazilië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1"/>
      <c r="L6" s="1"/>
      <c r="O6" s="40"/>
      <c r="P6" s="41"/>
      <c r="Q6" s="41"/>
      <c r="R6" s="41"/>
      <c r="S6" s="41"/>
      <c r="T6" s="41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66" t="s">
        <v>1</v>
      </c>
      <c r="C7" s="67" t="s">
        <v>2</v>
      </c>
      <c r="D7" s="196" t="s">
        <v>3</v>
      </c>
      <c r="E7" s="69"/>
      <c r="F7" s="197" t="s">
        <v>4</v>
      </c>
      <c r="G7" s="880" t="s">
        <v>5</v>
      </c>
      <c r="H7" s="881"/>
      <c r="I7" s="882"/>
      <c r="J7" s="71" t="s">
        <v>6</v>
      </c>
      <c r="K7" s="4" t="s">
        <v>7</v>
      </c>
      <c r="L7" s="4" t="s">
        <v>7</v>
      </c>
      <c r="O7" s="1"/>
      <c r="P7" s="41"/>
      <c r="Q7" s="41"/>
      <c r="R7" s="41"/>
      <c r="S7" s="41"/>
      <c r="T7" s="41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5">
        <v>1</v>
      </c>
      <c r="C8" s="6">
        <v>41802</v>
      </c>
      <c r="D8" s="7" t="s">
        <v>8</v>
      </c>
      <c r="E8" s="8" t="s">
        <v>9</v>
      </c>
      <c r="F8" s="9" t="s">
        <v>10</v>
      </c>
      <c r="G8" s="84">
        <v>3</v>
      </c>
      <c r="H8" s="8" t="s">
        <v>9</v>
      </c>
      <c r="I8" s="192">
        <v>0</v>
      </c>
      <c r="J8" s="10">
        <f>IF(I8="","",IF(G8&gt;I8,1,IF(G8&lt;I8,2,3)))</f>
        <v>1</v>
      </c>
      <c r="K8" s="11">
        <f>IF(I8="","",IF($G8&gt;$I8,3,IF($G8=$I8,1,0)))</f>
        <v>3</v>
      </c>
      <c r="L8" s="11">
        <f>IF(I8="","",IF($G8&lt;$I8,3,IF($G8=$I8,1,0)))</f>
        <v>0</v>
      </c>
      <c r="O8" s="72" t="s">
        <v>41</v>
      </c>
      <c r="P8" s="73" t="s">
        <v>42</v>
      </c>
      <c r="Q8" s="73" t="s">
        <v>43</v>
      </c>
      <c r="R8" s="74" t="s">
        <v>44</v>
      </c>
      <c r="S8" s="75" t="s">
        <v>45</v>
      </c>
      <c r="T8" s="76" t="s">
        <v>46</v>
      </c>
      <c r="U8" s="40"/>
      <c r="V8" s="40"/>
      <c r="W8" s="40"/>
      <c r="Y8" s="109">
        <f>AF8</f>
        <v>6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6</v>
      </c>
      <c r="AG8" s="108">
        <f t="shared" ref="AG8:AG55" si="0">IF(AC8="",0,(IF(G8=AC8,1,0)))</f>
        <v>1</v>
      </c>
      <c r="AH8" s="108">
        <f t="shared" ref="AH8:AH55" si="1">IF(AD8="",0,(IF(I8=AD8,1,0)))</f>
        <v>0</v>
      </c>
      <c r="AI8" s="108">
        <f>IF(AND(AG8=1,AH8=1),10,0)</f>
        <v>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12">
        <v>2</v>
      </c>
      <c r="C9" s="13">
        <v>41803</v>
      </c>
      <c r="D9" s="14" t="s">
        <v>11</v>
      </c>
      <c r="E9" s="15" t="s">
        <v>9</v>
      </c>
      <c r="F9" s="16" t="s">
        <v>12</v>
      </c>
      <c r="G9" s="85">
        <v>1</v>
      </c>
      <c r="H9" s="15" t="s">
        <v>9</v>
      </c>
      <c r="I9" s="90">
        <v>2</v>
      </c>
      <c r="J9" s="17">
        <f t="shared" ref="J9:J55" si="5">IF(I9="","",IF(G9&gt;I9,1,IF(G9&lt;I9,2,3)))</f>
        <v>2</v>
      </c>
      <c r="K9" s="11">
        <f t="shared" ref="K9:K55" si="6">IF(I9="","",IF($G9&gt;$I9,3,IF($G9=$I9,1,0)))</f>
        <v>0</v>
      </c>
      <c r="L9" s="11">
        <f t="shared" ref="L9:L55" si="7">IF(I9="","",IF($G9&lt;$I9,3,IF($G9=$I9,1,0)))</f>
        <v>3</v>
      </c>
      <c r="O9" s="44" t="s">
        <v>8</v>
      </c>
      <c r="P9" s="45">
        <f>SUMIF($D$8:$D$55,$O9,$G$8:$G$55)+SUMIF($F$8:$F$55,$O9,$I$8:$I$55)</f>
        <v>8</v>
      </c>
      <c r="Q9" s="45">
        <f>SUMIF($D$8:$D$55,$O9,$I$8:$I$55)+SUMIF($F$8:$F$55,$O9,$G$8:$G$55)</f>
        <v>1</v>
      </c>
      <c r="R9" s="46">
        <f>P9-Q9</f>
        <v>7</v>
      </c>
      <c r="S9" s="47">
        <f>SUMIF($D$8:$D$55,$O9,$K$8:$K$55)+SUMIF($F$8:$F$55,$O9,$L$8:$L$55)</f>
        <v>9</v>
      </c>
      <c r="T9" s="94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1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1</v>
      </c>
      <c r="AG9" s="108">
        <f t="shared" si="0"/>
        <v>1</v>
      </c>
      <c r="AH9" s="108">
        <f t="shared" si="1"/>
        <v>0</v>
      </c>
      <c r="AI9" s="108">
        <f t="shared" ref="AI9:AI55" si="10">IF(AND(AG9=1,AH9=1),10,0)</f>
        <v>0</v>
      </c>
      <c r="AJ9" s="108">
        <f t="shared" si="2"/>
        <v>0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18">
        <v>3</v>
      </c>
      <c r="C10" s="19">
        <v>41803</v>
      </c>
      <c r="D10" s="20" t="s">
        <v>13</v>
      </c>
      <c r="E10" s="21" t="s">
        <v>9</v>
      </c>
      <c r="F10" s="22" t="s">
        <v>14</v>
      </c>
      <c r="G10" s="86">
        <v>2</v>
      </c>
      <c r="H10" s="21" t="s">
        <v>9</v>
      </c>
      <c r="I10" s="91">
        <v>2</v>
      </c>
      <c r="J10" s="23">
        <f t="shared" si="5"/>
        <v>3</v>
      </c>
      <c r="K10" s="11">
        <f t="shared" si="6"/>
        <v>1</v>
      </c>
      <c r="L10" s="11">
        <f t="shared" si="7"/>
        <v>1</v>
      </c>
      <c r="O10" s="48" t="s">
        <v>10</v>
      </c>
      <c r="P10" s="49">
        <f>SUMIF($D$8:$D$55,$O10,$G$8:$G$55)+SUMIF($F$8:$F$55,$O10,$I$8:$I$55)</f>
        <v>3</v>
      </c>
      <c r="Q10" s="49">
        <f>SUMIF($D$8:$D$55,$O10,$I$8:$I$55)+SUMIF($F$8:$F$55,$O10,$G$8:$G$55)</f>
        <v>5</v>
      </c>
      <c r="R10" s="49">
        <f>P10-Q10</f>
        <v>-2</v>
      </c>
      <c r="S10" s="50">
        <f>SUMIF($D$8:$D$55,$O10,$K$8:$K$55)+SUMIF($F$8:$F$55,$O10,$L$8:$L$55)</f>
        <v>4</v>
      </c>
      <c r="T10" s="95" t="s">
        <v>49</v>
      </c>
      <c r="U10" s="40"/>
      <c r="V10" s="40" t="str">
        <f>O10</f>
        <v>Kroatië</v>
      </c>
      <c r="W10" s="40" t="s">
        <v>49</v>
      </c>
      <c r="Y10" s="109">
        <f t="shared" si="8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0</v>
      </c>
      <c r="AG10" s="108">
        <f t="shared" si="0"/>
        <v>0</v>
      </c>
      <c r="AH10" s="108">
        <f t="shared" si="1"/>
        <v>0</v>
      </c>
      <c r="AI10" s="108">
        <f t="shared" si="10"/>
        <v>0</v>
      </c>
      <c r="AJ10" s="108">
        <f t="shared" si="2"/>
        <v>0</v>
      </c>
      <c r="AK10" s="108">
        <f t="shared" si="3"/>
        <v>0</v>
      </c>
      <c r="AL10" s="108">
        <f t="shared" si="4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24">
        <v>4</v>
      </c>
      <c r="C11" s="25">
        <v>41803</v>
      </c>
      <c r="D11" s="26" t="s">
        <v>15</v>
      </c>
      <c r="E11" s="27" t="s">
        <v>9</v>
      </c>
      <c r="F11" s="28" t="s">
        <v>16</v>
      </c>
      <c r="G11" s="87">
        <v>1</v>
      </c>
      <c r="H11" s="27" t="s">
        <v>9</v>
      </c>
      <c r="I11" s="92">
        <v>2</v>
      </c>
      <c r="J11" s="29">
        <f t="shared" si="5"/>
        <v>2</v>
      </c>
      <c r="K11" s="11">
        <f t="shared" si="6"/>
        <v>0</v>
      </c>
      <c r="L11" s="11">
        <f t="shared" si="7"/>
        <v>3</v>
      </c>
      <c r="O11" s="48" t="s">
        <v>11</v>
      </c>
      <c r="P11" s="49">
        <f>SUMIF($D$8:$D$55,$O11,$G$8:$G$55)+SUMIF($F$8:$F$55,$O11,$I$8:$I$55)</f>
        <v>2</v>
      </c>
      <c r="Q11" s="49">
        <f>SUMIF($D$8:$D$55,$O11,$I$8:$I$55)+SUMIF($F$8:$F$55,$O11,$G$8:$G$55)</f>
        <v>5</v>
      </c>
      <c r="R11" s="49">
        <f>P11-Q11</f>
        <v>-3</v>
      </c>
      <c r="S11" s="50">
        <f>SUMIF($D$8:$D$55,$O11,$K$8:$K$55)+SUMIF($F$8:$F$55,$O11,$L$8:$L$55)</f>
        <v>1</v>
      </c>
      <c r="T11" s="95" t="s">
        <v>50</v>
      </c>
      <c r="U11" s="40"/>
      <c r="V11" s="40" t="str">
        <f>O11</f>
        <v>Mexico</v>
      </c>
      <c r="W11" s="40" t="s">
        <v>47</v>
      </c>
      <c r="Y11" s="109">
        <f t="shared" si="8"/>
        <v>0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0</v>
      </c>
      <c r="AG11" s="108">
        <f t="shared" si="0"/>
        <v>0</v>
      </c>
      <c r="AH11" s="108">
        <f t="shared" si="1"/>
        <v>0</v>
      </c>
      <c r="AI11" s="108">
        <f t="shared" si="10"/>
        <v>0</v>
      </c>
      <c r="AJ11" s="108">
        <f t="shared" si="2"/>
        <v>0</v>
      </c>
      <c r="AK11" s="108">
        <f t="shared" si="3"/>
        <v>0</v>
      </c>
      <c r="AL11" s="108">
        <f t="shared" si="4"/>
        <v>0</v>
      </c>
      <c r="AM11" s="120">
        <f>AO11</f>
        <v>0</v>
      </c>
      <c r="AN11" s="117" t="s">
        <v>11</v>
      </c>
      <c r="AO11" s="115">
        <f>IF(Uitslag!T11="",0,IF(T11=Uitslag!T11,10,0))</f>
        <v>0</v>
      </c>
    </row>
    <row r="12" spans="2:54" ht="15.75" thickBot="1">
      <c r="B12" s="12">
        <v>5</v>
      </c>
      <c r="C12" s="13">
        <v>41804</v>
      </c>
      <c r="D12" s="14" t="s">
        <v>17</v>
      </c>
      <c r="E12" s="15" t="s">
        <v>9</v>
      </c>
      <c r="F12" s="16" t="s">
        <v>18</v>
      </c>
      <c r="G12" s="85">
        <v>0</v>
      </c>
      <c r="H12" s="15" t="s">
        <v>9</v>
      </c>
      <c r="I12" s="90">
        <v>1</v>
      </c>
      <c r="J12" s="17">
        <f t="shared" si="5"/>
        <v>2</v>
      </c>
      <c r="K12" s="11">
        <f t="shared" si="6"/>
        <v>0</v>
      </c>
      <c r="L12" s="11">
        <f t="shared" si="7"/>
        <v>3</v>
      </c>
      <c r="O12" s="51" t="s">
        <v>12</v>
      </c>
      <c r="P12" s="52">
        <f>SUMIF($D$8:$D$55,$O12,$G$8:$G$55)+SUMIF($F$8:$F$55,$O12,$I$8:$I$55)</f>
        <v>4</v>
      </c>
      <c r="Q12" s="52">
        <f>SUMIF($D$8:$D$55,$O12,$I$8:$I$55)+SUMIF($F$8:$F$55,$O12,$G$8:$G$55)</f>
        <v>6</v>
      </c>
      <c r="R12" s="52">
        <f>P12-Q12</f>
        <v>-2</v>
      </c>
      <c r="S12" s="53">
        <f>SUMIF($D$8:$D$55,$O12,$K$8:$K$55)+SUMIF($F$8:$F$55,$O12,$L$8:$L$55)</f>
        <v>3</v>
      </c>
      <c r="T12" s="96" t="s">
        <v>47</v>
      </c>
      <c r="U12" s="40"/>
      <c r="V12" s="40" t="str">
        <f>O12</f>
        <v>Kameroen</v>
      </c>
      <c r="W12" s="40" t="s">
        <v>50</v>
      </c>
      <c r="Y12" s="109">
        <f t="shared" si="8"/>
        <v>0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0</v>
      </c>
      <c r="AG12" s="108">
        <f t="shared" si="0"/>
        <v>0</v>
      </c>
      <c r="AH12" s="108">
        <f t="shared" si="1"/>
        <v>0</v>
      </c>
      <c r="AI12" s="108">
        <f t="shared" si="10"/>
        <v>0</v>
      </c>
      <c r="AJ12" s="108">
        <f t="shared" si="2"/>
        <v>0</v>
      </c>
      <c r="AK12" s="108">
        <f t="shared" si="3"/>
        <v>0</v>
      </c>
      <c r="AL12" s="108">
        <f t="shared" si="4"/>
        <v>0</v>
      </c>
      <c r="AM12" s="120">
        <f>AO12</f>
        <v>0</v>
      </c>
      <c r="AN12" s="118" t="s">
        <v>12</v>
      </c>
      <c r="AO12" s="115">
        <f>IF(Uitslag!T12="",0,IF(T12=Uitslag!T12,10,0))</f>
        <v>0</v>
      </c>
    </row>
    <row r="13" spans="2:54" ht="15.75" thickBot="1">
      <c r="B13" s="18">
        <v>6</v>
      </c>
      <c r="C13" s="19">
        <v>41804</v>
      </c>
      <c r="D13" s="20" t="s">
        <v>19</v>
      </c>
      <c r="E13" s="21" t="s">
        <v>9</v>
      </c>
      <c r="F13" s="30" t="s">
        <v>20</v>
      </c>
      <c r="G13" s="86">
        <v>3</v>
      </c>
      <c r="H13" s="21" t="s">
        <v>9</v>
      </c>
      <c r="I13" s="91">
        <v>1</v>
      </c>
      <c r="J13" s="23">
        <f t="shared" si="5"/>
        <v>1</v>
      </c>
      <c r="K13" s="11">
        <f t="shared" si="6"/>
        <v>3</v>
      </c>
      <c r="L13" s="11">
        <f t="shared" si="7"/>
        <v>0</v>
      </c>
      <c r="O13" s="40"/>
      <c r="P13" s="41"/>
      <c r="Q13" s="41"/>
      <c r="R13" s="41"/>
      <c r="S13" s="41"/>
      <c r="T13" s="41"/>
      <c r="U13" s="40"/>
      <c r="V13" s="40"/>
      <c r="W13" s="40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0"/>
        <v>0</v>
      </c>
      <c r="AH13" s="108">
        <f t="shared" si="1"/>
        <v>0</v>
      </c>
      <c r="AI13" s="108">
        <f t="shared" si="10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40"/>
      <c r="AO13" s="41"/>
    </row>
    <row r="14" spans="2:54" ht="15.75" thickBot="1">
      <c r="B14" s="18">
        <v>7</v>
      </c>
      <c r="C14" s="19">
        <v>41804</v>
      </c>
      <c r="D14" s="20" t="s">
        <v>21</v>
      </c>
      <c r="E14" s="21" t="s">
        <v>9</v>
      </c>
      <c r="F14" s="30" t="s">
        <v>22</v>
      </c>
      <c r="G14" s="86">
        <v>2</v>
      </c>
      <c r="H14" s="21" t="s">
        <v>9</v>
      </c>
      <c r="I14" s="91">
        <v>2</v>
      </c>
      <c r="J14" s="23">
        <f t="shared" si="5"/>
        <v>3</v>
      </c>
      <c r="K14" s="11">
        <f t="shared" si="6"/>
        <v>1</v>
      </c>
      <c r="L14" s="11">
        <f t="shared" si="7"/>
        <v>1</v>
      </c>
      <c r="O14" s="72" t="s">
        <v>51</v>
      </c>
      <c r="P14" s="73" t="s">
        <v>42</v>
      </c>
      <c r="Q14" s="73" t="s">
        <v>43</v>
      </c>
      <c r="R14" s="74" t="s">
        <v>44</v>
      </c>
      <c r="S14" s="75" t="s">
        <v>45</v>
      </c>
      <c r="T14" s="76" t="s">
        <v>46</v>
      </c>
      <c r="U14" s="40"/>
      <c r="V14" s="40"/>
      <c r="W14" s="40"/>
      <c r="Y14" s="109">
        <f t="shared" si="8"/>
        <v>1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</v>
      </c>
      <c r="AG14" s="108">
        <f t="shared" si="0"/>
        <v>0</v>
      </c>
      <c r="AH14" s="108">
        <f t="shared" si="1"/>
        <v>1</v>
      </c>
      <c r="AI14" s="108">
        <f t="shared" si="10"/>
        <v>0</v>
      </c>
      <c r="AJ14" s="108">
        <f t="shared" si="2"/>
        <v>0</v>
      </c>
      <c r="AK14" s="108">
        <f t="shared" si="3"/>
        <v>0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24">
        <v>8</v>
      </c>
      <c r="C15" s="25">
        <v>41804</v>
      </c>
      <c r="D15" s="26" t="s">
        <v>23</v>
      </c>
      <c r="E15" s="27" t="s">
        <v>9</v>
      </c>
      <c r="F15" s="28" t="s">
        <v>24</v>
      </c>
      <c r="G15" s="87">
        <v>2</v>
      </c>
      <c r="H15" s="27" t="s">
        <v>9</v>
      </c>
      <c r="I15" s="92">
        <v>1</v>
      </c>
      <c r="J15" s="29">
        <f t="shared" si="5"/>
        <v>1</v>
      </c>
      <c r="K15" s="11">
        <f t="shared" si="6"/>
        <v>3</v>
      </c>
      <c r="L15" s="11">
        <f t="shared" si="7"/>
        <v>0</v>
      </c>
      <c r="O15" s="44" t="s">
        <v>13</v>
      </c>
      <c r="P15" s="45">
        <f>SUMIF($D$8:$D$55,$O15,$G$8:$G$55)+SUMIF($F$8:$F$55,$O15,$I$8:$I$55)</f>
        <v>9</v>
      </c>
      <c r="Q15" s="45">
        <f>SUMIF($D$8:$D$55,$O15,$I$8:$I$55)+SUMIF($F$8:$F$55,$O15,$G$8:$G$55)</f>
        <v>3</v>
      </c>
      <c r="R15" s="46">
        <f>P15-Q15</f>
        <v>6</v>
      </c>
      <c r="S15" s="47">
        <f>SUMIF($D$8:$D$55,$O15,$K$8:$K$55)+SUMIF($F$8:$F$55,$O15,$L$8:$L$55)</f>
        <v>7</v>
      </c>
      <c r="T15" s="94" t="s">
        <v>52</v>
      </c>
      <c r="U15" s="40"/>
      <c r="V15" s="40" t="str">
        <f>O15</f>
        <v>Spanje</v>
      </c>
      <c r="W15" s="40" t="s">
        <v>52</v>
      </c>
      <c r="Y15" s="109">
        <f t="shared" si="8"/>
        <v>10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10</v>
      </c>
      <c r="AG15" s="108">
        <f t="shared" si="0"/>
        <v>1</v>
      </c>
      <c r="AH15" s="108">
        <f t="shared" si="1"/>
        <v>1</v>
      </c>
      <c r="AI15" s="108">
        <f t="shared" si="10"/>
        <v>10</v>
      </c>
      <c r="AJ15" s="108">
        <f t="shared" si="2"/>
        <v>5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12">
        <v>9</v>
      </c>
      <c r="C16" s="13">
        <v>41805</v>
      </c>
      <c r="D16" s="14" t="s">
        <v>25</v>
      </c>
      <c r="E16" s="15" t="s">
        <v>9</v>
      </c>
      <c r="F16" s="16" t="s">
        <v>26</v>
      </c>
      <c r="G16" s="85">
        <v>1</v>
      </c>
      <c r="H16" s="15" t="s">
        <v>9</v>
      </c>
      <c r="I16" s="90">
        <v>1</v>
      </c>
      <c r="J16" s="17">
        <f t="shared" si="5"/>
        <v>3</v>
      </c>
      <c r="K16" s="11">
        <f t="shared" si="6"/>
        <v>1</v>
      </c>
      <c r="L16" s="11">
        <f t="shared" si="7"/>
        <v>1</v>
      </c>
      <c r="O16" s="54" t="s">
        <v>14</v>
      </c>
      <c r="P16" s="49">
        <f>SUMIF($D$8:$D$55,$O16,$G$8:$G$55)+SUMIF($F$8:$F$55,$O16,$I$8:$I$55)</f>
        <v>6</v>
      </c>
      <c r="Q16" s="49">
        <f>SUMIF($D$8:$D$55,$O16,$I$8:$I$55)+SUMIF($F$8:$F$55,$O16,$G$8:$G$55)</f>
        <v>2</v>
      </c>
      <c r="R16" s="49">
        <f>P16-Q16</f>
        <v>4</v>
      </c>
      <c r="S16" s="50">
        <f>SUMIF($D$8:$D$55,$O16,$K$8:$K$55)+SUMIF($F$8:$F$55,$O16,$L$8:$L$55)</f>
        <v>7</v>
      </c>
      <c r="T16" s="95" t="s">
        <v>53</v>
      </c>
      <c r="U16" s="40"/>
      <c r="V16" s="40" t="str">
        <f>O16</f>
        <v>Nederland</v>
      </c>
      <c r="W16" s="40" t="s">
        <v>53</v>
      </c>
      <c r="Y16" s="109">
        <f t="shared" si="8"/>
        <v>1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1</v>
      </c>
      <c r="AG16" s="108">
        <f t="shared" si="0"/>
        <v>0</v>
      </c>
      <c r="AH16" s="108">
        <f t="shared" si="1"/>
        <v>1</v>
      </c>
      <c r="AI16" s="108">
        <f t="shared" si="10"/>
        <v>0</v>
      </c>
      <c r="AJ16" s="108">
        <f t="shared" si="2"/>
        <v>0</v>
      </c>
      <c r="AK16" s="108">
        <f t="shared" si="3"/>
        <v>0</v>
      </c>
      <c r="AL16" s="108">
        <f t="shared" si="4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18">
        <v>10</v>
      </c>
      <c r="C17" s="19">
        <v>41805</v>
      </c>
      <c r="D17" s="20" t="s">
        <v>27</v>
      </c>
      <c r="E17" s="21" t="s">
        <v>9</v>
      </c>
      <c r="F17" s="30" t="s">
        <v>28</v>
      </c>
      <c r="G17" s="86">
        <v>3</v>
      </c>
      <c r="H17" s="21" t="s">
        <v>9</v>
      </c>
      <c r="I17" s="91">
        <v>0</v>
      </c>
      <c r="J17" s="23">
        <f t="shared" si="5"/>
        <v>1</v>
      </c>
      <c r="K17" s="11">
        <f t="shared" si="6"/>
        <v>3</v>
      </c>
      <c r="L17" s="11">
        <f t="shared" si="7"/>
        <v>0</v>
      </c>
      <c r="O17" s="48" t="s">
        <v>15</v>
      </c>
      <c r="P17" s="49">
        <f>SUMIF($D$8:$D$55,$O17,$G$8:$G$55)+SUMIF($F$8:$F$55,$O17,$I$8:$I$55)</f>
        <v>1</v>
      </c>
      <c r="Q17" s="49">
        <f>SUMIF($D$8:$D$55,$O17,$I$8:$I$55)+SUMIF($F$8:$F$55,$O17,$G$8:$G$55)</f>
        <v>8</v>
      </c>
      <c r="R17" s="49">
        <f>P17-Q17</f>
        <v>-7</v>
      </c>
      <c r="S17" s="50">
        <f>SUMIF($D$8:$D$55,$O17,$K$8:$K$55)+SUMIF($F$8:$F$55,$O17,$L$8:$L$55)</f>
        <v>0</v>
      </c>
      <c r="T17" s="95" t="s">
        <v>55</v>
      </c>
      <c r="U17" s="40"/>
      <c r="V17" s="40" t="str">
        <f>O17</f>
        <v>Chili</v>
      </c>
      <c r="W17" s="40" t="s">
        <v>54</v>
      </c>
      <c r="Y17" s="109">
        <f t="shared" si="8"/>
        <v>10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10</v>
      </c>
      <c r="AG17" s="108">
        <f t="shared" si="0"/>
        <v>1</v>
      </c>
      <c r="AH17" s="108">
        <f t="shared" si="1"/>
        <v>1</v>
      </c>
      <c r="AI17" s="108">
        <f t="shared" si="10"/>
        <v>10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24">
        <v>11</v>
      </c>
      <c r="C18" s="25">
        <v>41805</v>
      </c>
      <c r="D18" s="26" t="s">
        <v>29</v>
      </c>
      <c r="E18" s="27" t="s">
        <v>9</v>
      </c>
      <c r="F18" s="28" t="s">
        <v>30</v>
      </c>
      <c r="G18" s="87">
        <v>4</v>
      </c>
      <c r="H18" s="27" t="s">
        <v>9</v>
      </c>
      <c r="I18" s="92">
        <v>0</v>
      </c>
      <c r="J18" s="29">
        <f t="shared" si="5"/>
        <v>1</v>
      </c>
      <c r="K18" s="11">
        <f t="shared" si="6"/>
        <v>3</v>
      </c>
      <c r="L18" s="11">
        <f t="shared" si="7"/>
        <v>0</v>
      </c>
      <c r="O18" s="51" t="s">
        <v>16</v>
      </c>
      <c r="P18" s="52">
        <f>SUMIF($D$8:$D$55,$O18,$G$8:$G$55)+SUMIF($F$8:$F$55,$O18,$I$8:$I$55)</f>
        <v>3</v>
      </c>
      <c r="Q18" s="52">
        <f>SUMIF($D$8:$D$55,$O18,$I$8:$I$55)+SUMIF($F$8:$F$55,$O18,$G$8:$G$55)</f>
        <v>6</v>
      </c>
      <c r="R18" s="52">
        <f>P18-Q18</f>
        <v>-3</v>
      </c>
      <c r="S18" s="53">
        <f>SUMIF($D$8:$D$55,$O18,$K$8:$K$55)+SUMIF($F$8:$F$55,$O18,$L$8:$L$55)</f>
        <v>3</v>
      </c>
      <c r="T18" s="96" t="s">
        <v>54</v>
      </c>
      <c r="U18" s="40"/>
      <c r="V18" s="40" t="str">
        <f>O18</f>
        <v>Australië</v>
      </c>
      <c r="W18" s="40" t="s">
        <v>55</v>
      </c>
      <c r="Y18" s="109">
        <f t="shared" si="8"/>
        <v>5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5</v>
      </c>
      <c r="AG18" s="108">
        <f t="shared" si="0"/>
        <v>0</v>
      </c>
      <c r="AH18" s="108">
        <f t="shared" si="1"/>
        <v>0</v>
      </c>
      <c r="AI18" s="108">
        <f t="shared" si="10"/>
        <v>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0</v>
      </c>
      <c r="AN18" s="118" t="s">
        <v>16</v>
      </c>
      <c r="AO18" s="115">
        <f>IF(Uitslag!T18="",0,IF(T18=Uitslag!T18,10,0))</f>
        <v>0</v>
      </c>
    </row>
    <row r="19" spans="2:41" ht="15.75" thickBot="1">
      <c r="B19" s="12">
        <v>12</v>
      </c>
      <c r="C19" s="13">
        <v>41806</v>
      </c>
      <c r="D19" s="14" t="s">
        <v>31</v>
      </c>
      <c r="E19" s="15" t="s">
        <v>9</v>
      </c>
      <c r="F19" s="16" t="s">
        <v>32</v>
      </c>
      <c r="G19" s="85">
        <v>2</v>
      </c>
      <c r="H19" s="15" t="s">
        <v>9</v>
      </c>
      <c r="I19" s="90">
        <v>1</v>
      </c>
      <c r="J19" s="17">
        <f t="shared" si="5"/>
        <v>1</v>
      </c>
      <c r="K19" s="11">
        <f t="shared" si="6"/>
        <v>3</v>
      </c>
      <c r="L19" s="11">
        <f t="shared" si="7"/>
        <v>0</v>
      </c>
      <c r="O19" s="40"/>
      <c r="P19" s="41"/>
      <c r="Q19" s="41"/>
      <c r="R19" s="41"/>
      <c r="S19" s="41"/>
      <c r="T19" s="41"/>
      <c r="U19" s="40"/>
      <c r="V19" s="40"/>
      <c r="W19" s="40"/>
      <c r="Y19" s="109">
        <f t="shared" si="8"/>
        <v>5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5</v>
      </c>
      <c r="AG19" s="108">
        <f t="shared" si="0"/>
        <v>0</v>
      </c>
      <c r="AH19" s="108">
        <f t="shared" si="1"/>
        <v>0</v>
      </c>
      <c r="AI19" s="108">
        <f t="shared" si="10"/>
        <v>0</v>
      </c>
      <c r="AJ19" s="108">
        <f t="shared" si="2"/>
        <v>5</v>
      </c>
      <c r="AK19" s="108">
        <f t="shared" si="3"/>
        <v>0</v>
      </c>
      <c r="AL19" s="108">
        <f t="shared" si="4"/>
        <v>0</v>
      </c>
      <c r="AN19" s="40"/>
      <c r="AO19" s="41"/>
    </row>
    <row r="20" spans="2:41" ht="15.75" thickBot="1">
      <c r="B20" s="18">
        <v>13</v>
      </c>
      <c r="C20" s="19">
        <v>41806</v>
      </c>
      <c r="D20" s="20" t="s">
        <v>33</v>
      </c>
      <c r="E20" s="21" t="s">
        <v>9</v>
      </c>
      <c r="F20" s="30" t="s">
        <v>34</v>
      </c>
      <c r="G20" s="86">
        <v>0</v>
      </c>
      <c r="H20" s="21" t="s">
        <v>9</v>
      </c>
      <c r="I20" s="91">
        <v>1</v>
      </c>
      <c r="J20" s="23">
        <f t="shared" si="5"/>
        <v>2</v>
      </c>
      <c r="K20" s="11">
        <f t="shared" si="6"/>
        <v>0</v>
      </c>
      <c r="L20" s="11">
        <f t="shared" si="7"/>
        <v>3</v>
      </c>
      <c r="O20" s="72" t="s">
        <v>56</v>
      </c>
      <c r="P20" s="73" t="s">
        <v>42</v>
      </c>
      <c r="Q20" s="73" t="s">
        <v>43</v>
      </c>
      <c r="R20" s="74" t="s">
        <v>44</v>
      </c>
      <c r="S20" s="75" t="s">
        <v>45</v>
      </c>
      <c r="T20" s="76" t="s">
        <v>46</v>
      </c>
      <c r="U20" s="40"/>
      <c r="V20" s="40"/>
      <c r="W20" s="40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0"/>
        <v>1</v>
      </c>
      <c r="AH20" s="108">
        <f t="shared" si="1"/>
        <v>0</v>
      </c>
      <c r="AI20" s="108">
        <f t="shared" si="10"/>
        <v>0</v>
      </c>
      <c r="AJ20" s="108">
        <f t="shared" si="2"/>
        <v>0</v>
      </c>
      <c r="AK20" s="108">
        <f t="shared" si="3"/>
        <v>0</v>
      </c>
      <c r="AL20" s="108">
        <f t="shared" si="4"/>
        <v>0</v>
      </c>
      <c r="AN20" s="42" t="s">
        <v>56</v>
      </c>
      <c r="AO20" s="43" t="s">
        <v>46</v>
      </c>
    </row>
    <row r="21" spans="2:41" ht="15.75" thickBot="1">
      <c r="B21" s="24">
        <v>14</v>
      </c>
      <c r="C21" s="25">
        <v>41806</v>
      </c>
      <c r="D21" s="26" t="s">
        <v>35</v>
      </c>
      <c r="E21" s="27" t="s">
        <v>9</v>
      </c>
      <c r="F21" s="28" t="s">
        <v>36</v>
      </c>
      <c r="G21" s="87">
        <v>1</v>
      </c>
      <c r="H21" s="27" t="s">
        <v>9</v>
      </c>
      <c r="I21" s="92">
        <v>0</v>
      </c>
      <c r="J21" s="29">
        <f t="shared" si="5"/>
        <v>1</v>
      </c>
      <c r="K21" s="11">
        <f t="shared" si="6"/>
        <v>3</v>
      </c>
      <c r="L21" s="11">
        <f t="shared" si="7"/>
        <v>0</v>
      </c>
      <c r="O21" s="44" t="s">
        <v>17</v>
      </c>
      <c r="P21" s="45">
        <f>SUMIF($D$8:$D$55,$O21,$G$8:$G$55)+SUMIF($F$8:$F$55,$O21,$I$8:$I$55)</f>
        <v>1</v>
      </c>
      <c r="Q21" s="45">
        <f>SUMIF($D$8:$D$55,$O21,$I$8:$I$55)+SUMIF($F$8:$F$55,$O21,$G$8:$G$55)</f>
        <v>4</v>
      </c>
      <c r="R21" s="46">
        <f>P21-Q21</f>
        <v>-3</v>
      </c>
      <c r="S21" s="47">
        <f>SUMIF($D$8:$D$55,$O21,$K$8:$K$55)+SUMIF($F$8:$F$55,$O21,$L$8:$L$55)</f>
        <v>0</v>
      </c>
      <c r="T21" s="94" t="s">
        <v>60</v>
      </c>
      <c r="U21" s="40"/>
      <c r="V21" s="40" t="str">
        <f>O21</f>
        <v>Colombia</v>
      </c>
      <c r="W21" s="40" t="s">
        <v>57</v>
      </c>
      <c r="Y21" s="109">
        <f t="shared" si="8"/>
        <v>1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1</v>
      </c>
      <c r="AG21" s="108">
        <f t="shared" si="0"/>
        <v>1</v>
      </c>
      <c r="AH21" s="108">
        <f t="shared" si="1"/>
        <v>0</v>
      </c>
      <c r="AI21" s="108">
        <f t="shared" si="10"/>
        <v>0</v>
      </c>
      <c r="AJ21" s="108">
        <f t="shared" si="2"/>
        <v>0</v>
      </c>
      <c r="AK21" s="108">
        <f t="shared" si="3"/>
        <v>0</v>
      </c>
      <c r="AL21" s="108">
        <f t="shared" si="4"/>
        <v>0</v>
      </c>
      <c r="AM21" s="120">
        <f>AO21</f>
        <v>0</v>
      </c>
      <c r="AN21" s="116" t="s">
        <v>17</v>
      </c>
      <c r="AO21" s="115">
        <f>IF(Uitslag!T21="",0,IF(T21=Uitslag!T21,10,0))</f>
        <v>0</v>
      </c>
    </row>
    <row r="22" spans="2:41" ht="15.75" thickBot="1">
      <c r="B22" s="12">
        <v>15</v>
      </c>
      <c r="C22" s="13">
        <v>41807</v>
      </c>
      <c r="D22" s="14" t="s">
        <v>37</v>
      </c>
      <c r="E22" s="15" t="s">
        <v>9</v>
      </c>
      <c r="F22" s="16" t="s">
        <v>38</v>
      </c>
      <c r="G22" s="85">
        <v>2</v>
      </c>
      <c r="H22" s="15" t="s">
        <v>9</v>
      </c>
      <c r="I22" s="90">
        <v>1</v>
      </c>
      <c r="J22" s="17">
        <f t="shared" si="5"/>
        <v>1</v>
      </c>
      <c r="K22" s="11">
        <f t="shared" si="6"/>
        <v>3</v>
      </c>
      <c r="L22" s="11">
        <f t="shared" si="7"/>
        <v>0</v>
      </c>
      <c r="O22" s="48" t="s">
        <v>18</v>
      </c>
      <c r="P22" s="49">
        <f>SUMIF($D$8:$D$55,$O22,$G$8:$G$55)+SUMIF($F$8:$F$55,$O22,$I$8:$I$55)</f>
        <v>3</v>
      </c>
      <c r="Q22" s="49">
        <f>SUMIF($D$8:$D$55,$O22,$I$8:$I$55)+SUMIF($F$8:$F$55,$O22,$G$8:$G$55)</f>
        <v>3</v>
      </c>
      <c r="R22" s="49">
        <f>P22-Q22</f>
        <v>0</v>
      </c>
      <c r="S22" s="50">
        <f>SUMIF($D$8:$D$55,$O22,$K$8:$K$55)+SUMIF($F$8:$F$55,$O22,$L$8:$L$55)</f>
        <v>4</v>
      </c>
      <c r="T22" s="95" t="s">
        <v>58</v>
      </c>
      <c r="U22" s="40"/>
      <c r="V22" s="40" t="str">
        <f>O22</f>
        <v>Griekenland</v>
      </c>
      <c r="W22" s="40" t="s">
        <v>58</v>
      </c>
      <c r="Y22" s="109">
        <f t="shared" si="8"/>
        <v>10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10</v>
      </c>
      <c r="AG22" s="108">
        <f t="shared" si="0"/>
        <v>1</v>
      </c>
      <c r="AH22" s="108">
        <f t="shared" si="1"/>
        <v>1</v>
      </c>
      <c r="AI22" s="108">
        <f t="shared" si="10"/>
        <v>10</v>
      </c>
      <c r="AJ22" s="108">
        <f t="shared" si="2"/>
        <v>5</v>
      </c>
      <c r="AK22" s="108">
        <f t="shared" si="3"/>
        <v>0</v>
      </c>
      <c r="AL22" s="108">
        <f t="shared" si="4"/>
        <v>0</v>
      </c>
      <c r="AM22" s="120">
        <f>AO22</f>
        <v>10</v>
      </c>
      <c r="AN22" s="117" t="s">
        <v>18</v>
      </c>
      <c r="AO22" s="115">
        <f>IF(Uitslag!T22="",0,IF(T22=Uitslag!T22,10,0))</f>
        <v>10</v>
      </c>
    </row>
    <row r="23" spans="2:41" ht="15.75" thickBot="1">
      <c r="B23" s="18">
        <v>16</v>
      </c>
      <c r="C23" s="19">
        <v>41807</v>
      </c>
      <c r="D23" s="20" t="s">
        <v>8</v>
      </c>
      <c r="E23" s="21" t="s">
        <v>9</v>
      </c>
      <c r="F23" s="30" t="s">
        <v>11</v>
      </c>
      <c r="G23" s="86">
        <v>2</v>
      </c>
      <c r="H23" s="21" t="s">
        <v>9</v>
      </c>
      <c r="I23" s="91">
        <v>0</v>
      </c>
      <c r="J23" s="23">
        <f t="shared" si="5"/>
        <v>1</v>
      </c>
      <c r="K23" s="11">
        <f t="shared" si="6"/>
        <v>3</v>
      </c>
      <c r="L23" s="11">
        <f t="shared" si="7"/>
        <v>0</v>
      </c>
      <c r="O23" s="48" t="s">
        <v>23</v>
      </c>
      <c r="P23" s="49">
        <f>SUMIF($D$8:$D$55,$O23,$G$8:$G$55)+SUMIF($F$8:$F$55,$O23,$I$8:$I$55)</f>
        <v>6</v>
      </c>
      <c r="Q23" s="49">
        <f>SUMIF($D$8:$D$55,$O23,$I$8:$I$55)+SUMIF($F$8:$F$55,$O23,$G$8:$G$55)</f>
        <v>3</v>
      </c>
      <c r="R23" s="49">
        <f>P23-Q23</f>
        <v>3</v>
      </c>
      <c r="S23" s="50">
        <f>SUMIF($D$8:$D$55,$O23,$K$8:$K$55)+SUMIF($F$8:$F$55,$O23,$L$8:$L$55)</f>
        <v>9</v>
      </c>
      <c r="T23" s="95" t="s">
        <v>57</v>
      </c>
      <c r="U23" s="40"/>
      <c r="V23" s="40" t="str">
        <f>O23</f>
        <v>Ivoorkust</v>
      </c>
      <c r="W23" s="40" t="s">
        <v>59</v>
      </c>
      <c r="Y23" s="109">
        <f t="shared" si="8"/>
        <v>1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1</v>
      </c>
      <c r="AG23" s="108">
        <f t="shared" si="0"/>
        <v>0</v>
      </c>
      <c r="AH23" s="108">
        <f t="shared" si="1"/>
        <v>1</v>
      </c>
      <c r="AI23" s="108">
        <f t="shared" si="10"/>
        <v>0</v>
      </c>
      <c r="AJ23" s="108">
        <f t="shared" si="2"/>
        <v>0</v>
      </c>
      <c r="AK23" s="108">
        <f t="shared" si="3"/>
        <v>0</v>
      </c>
      <c r="AL23" s="108">
        <f t="shared" si="4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24">
        <v>17</v>
      </c>
      <c r="C24" s="25">
        <v>41807</v>
      </c>
      <c r="D24" s="26" t="s">
        <v>39</v>
      </c>
      <c r="E24" s="27" t="s">
        <v>9</v>
      </c>
      <c r="F24" s="28" t="s">
        <v>40</v>
      </c>
      <c r="G24" s="87">
        <v>1</v>
      </c>
      <c r="H24" s="27" t="s">
        <v>9</v>
      </c>
      <c r="I24" s="92">
        <v>2</v>
      </c>
      <c r="J24" s="29">
        <f t="shared" si="5"/>
        <v>2</v>
      </c>
      <c r="K24" s="11">
        <f t="shared" si="6"/>
        <v>0</v>
      </c>
      <c r="L24" s="11">
        <f t="shared" si="7"/>
        <v>3</v>
      </c>
      <c r="O24" s="51" t="s">
        <v>24</v>
      </c>
      <c r="P24" s="52">
        <f>SUMIF($D$8:$D$55,$O24,$G$8:$G$55)+SUMIF($F$8:$F$55,$O24,$I$8:$I$55)</f>
        <v>3</v>
      </c>
      <c r="Q24" s="52">
        <f>SUMIF($D$8:$D$55,$O24,$I$8:$I$55)+SUMIF($F$8:$F$55,$O24,$G$8:$G$55)</f>
        <v>3</v>
      </c>
      <c r="R24" s="52">
        <f>P24-Q24</f>
        <v>0</v>
      </c>
      <c r="S24" s="53">
        <f>SUMIF($D$8:$D$55,$O24,$K$8:$K$55)+SUMIF($F$8:$F$55,$O24,$L$8:$L$55)</f>
        <v>4</v>
      </c>
      <c r="T24" s="96" t="s">
        <v>59</v>
      </c>
      <c r="U24" s="40"/>
      <c r="V24" s="40" t="str">
        <f>O24</f>
        <v>Japan</v>
      </c>
      <c r="W24" s="40" t="s">
        <v>60</v>
      </c>
      <c r="Y24" s="109">
        <f t="shared" si="8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</v>
      </c>
      <c r="AG24" s="108">
        <f t="shared" si="0"/>
        <v>1</v>
      </c>
      <c r="AH24" s="108">
        <f t="shared" si="1"/>
        <v>0</v>
      </c>
      <c r="AI24" s="108">
        <f t="shared" si="10"/>
        <v>0</v>
      </c>
      <c r="AJ24" s="108">
        <f t="shared" si="2"/>
        <v>0</v>
      </c>
      <c r="AK24" s="108">
        <f t="shared" si="3"/>
        <v>0</v>
      </c>
      <c r="AL24" s="108">
        <f t="shared" si="4"/>
        <v>0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12">
        <v>18</v>
      </c>
      <c r="C25" s="13">
        <v>41808</v>
      </c>
      <c r="D25" s="14" t="s">
        <v>16</v>
      </c>
      <c r="E25" s="15" t="s">
        <v>9</v>
      </c>
      <c r="F25" s="31" t="s">
        <v>14</v>
      </c>
      <c r="G25" s="85">
        <v>0</v>
      </c>
      <c r="H25" s="15" t="s">
        <v>9</v>
      </c>
      <c r="I25" s="90">
        <v>2</v>
      </c>
      <c r="J25" s="17">
        <f t="shared" si="5"/>
        <v>2</v>
      </c>
      <c r="K25" s="11">
        <f t="shared" si="6"/>
        <v>0</v>
      </c>
      <c r="L25" s="11">
        <f t="shared" si="7"/>
        <v>3</v>
      </c>
      <c r="O25" s="40"/>
      <c r="P25" s="41"/>
      <c r="Q25" s="41"/>
      <c r="R25" s="41"/>
      <c r="S25" s="41"/>
      <c r="T25" s="41"/>
      <c r="U25" s="40"/>
      <c r="V25" s="40"/>
      <c r="W25" s="40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0"/>
        <v>0</v>
      </c>
      <c r="AH25" s="108">
        <f t="shared" si="1"/>
        <v>0</v>
      </c>
      <c r="AI25" s="108">
        <f t="shared" si="10"/>
        <v>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40"/>
      <c r="AO25" s="41"/>
    </row>
    <row r="26" spans="2:41" ht="15.75" thickBot="1">
      <c r="B26" s="18">
        <v>19</v>
      </c>
      <c r="C26" s="19">
        <v>41808</v>
      </c>
      <c r="D26" s="20" t="s">
        <v>13</v>
      </c>
      <c r="E26" s="21" t="s">
        <v>9</v>
      </c>
      <c r="F26" s="30" t="s">
        <v>15</v>
      </c>
      <c r="G26" s="86">
        <v>4</v>
      </c>
      <c r="H26" s="21" t="s">
        <v>9</v>
      </c>
      <c r="I26" s="91">
        <v>0</v>
      </c>
      <c r="J26" s="23">
        <f t="shared" si="5"/>
        <v>1</v>
      </c>
      <c r="K26" s="11">
        <f t="shared" si="6"/>
        <v>3</v>
      </c>
      <c r="L26" s="11">
        <f t="shared" si="7"/>
        <v>0</v>
      </c>
      <c r="O26" s="72" t="s">
        <v>61</v>
      </c>
      <c r="P26" s="73" t="s">
        <v>42</v>
      </c>
      <c r="Q26" s="73" t="s">
        <v>43</v>
      </c>
      <c r="R26" s="74" t="s">
        <v>44</v>
      </c>
      <c r="S26" s="75" t="s">
        <v>45</v>
      </c>
      <c r="T26" s="76" t="s">
        <v>46</v>
      </c>
      <c r="U26" s="40"/>
      <c r="V26" s="40"/>
      <c r="W26" s="40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0"/>
        <v>0</v>
      </c>
      <c r="AH26" s="108">
        <f t="shared" si="1"/>
        <v>0</v>
      </c>
      <c r="AI26" s="108">
        <f t="shared" si="10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24">
        <v>20</v>
      </c>
      <c r="C27" s="25">
        <v>41808</v>
      </c>
      <c r="D27" s="26" t="s">
        <v>12</v>
      </c>
      <c r="E27" s="27" t="s">
        <v>9</v>
      </c>
      <c r="F27" s="28" t="s">
        <v>10</v>
      </c>
      <c r="G27" s="87">
        <v>1</v>
      </c>
      <c r="H27" s="27" t="s">
        <v>9</v>
      </c>
      <c r="I27" s="92">
        <v>2</v>
      </c>
      <c r="J27" s="29">
        <f t="shared" si="5"/>
        <v>2</v>
      </c>
      <c r="K27" s="11">
        <f t="shared" si="6"/>
        <v>0</v>
      </c>
      <c r="L27" s="11">
        <f t="shared" si="7"/>
        <v>3</v>
      </c>
      <c r="O27" s="44" t="s">
        <v>19</v>
      </c>
      <c r="P27" s="45">
        <f>SUMIF($D$8:$D$55,$O27,$G$8:$G$55)+SUMIF($F$8:$F$55,$O27,$I$8:$I$55)</f>
        <v>7</v>
      </c>
      <c r="Q27" s="45">
        <f>SUMIF($D$8:$D$55,$O27,$I$8:$I$55)+SUMIF($F$8:$F$55,$O27,$G$8:$G$55)</f>
        <v>7</v>
      </c>
      <c r="R27" s="46">
        <f>P27-Q27</f>
        <v>0</v>
      </c>
      <c r="S27" s="47">
        <f>SUMIF($D$8:$D$55,$O27,$K$8:$K$55)+SUMIF($F$8:$F$55,$O27,$L$8:$L$55)</f>
        <v>3</v>
      </c>
      <c r="T27" s="94" t="s">
        <v>64</v>
      </c>
      <c r="U27" s="40"/>
      <c r="V27" s="40" t="str">
        <f>O27</f>
        <v>Uruguay</v>
      </c>
      <c r="W27" s="40" t="s">
        <v>62</v>
      </c>
      <c r="Y27" s="109">
        <f t="shared" si="8"/>
        <v>5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5</v>
      </c>
      <c r="AG27" s="108">
        <f t="shared" si="0"/>
        <v>0</v>
      </c>
      <c r="AH27" s="108">
        <f t="shared" si="1"/>
        <v>0</v>
      </c>
      <c r="AI27" s="108">
        <f t="shared" si="10"/>
        <v>0</v>
      </c>
      <c r="AJ27" s="108">
        <f t="shared" si="2"/>
        <v>0</v>
      </c>
      <c r="AK27" s="108">
        <f t="shared" si="3"/>
        <v>5</v>
      </c>
      <c r="AL27" s="108">
        <f t="shared" si="4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12">
        <v>21</v>
      </c>
      <c r="C28" s="13">
        <v>41809</v>
      </c>
      <c r="D28" s="14" t="s">
        <v>17</v>
      </c>
      <c r="E28" s="15" t="s">
        <v>9</v>
      </c>
      <c r="F28" s="16" t="s">
        <v>23</v>
      </c>
      <c r="G28" s="85">
        <v>1</v>
      </c>
      <c r="H28" s="15" t="s">
        <v>9</v>
      </c>
      <c r="I28" s="90">
        <v>2</v>
      </c>
      <c r="J28" s="17">
        <f t="shared" si="5"/>
        <v>2</v>
      </c>
      <c r="K28" s="11">
        <f t="shared" si="6"/>
        <v>0</v>
      </c>
      <c r="L28" s="11">
        <f t="shared" si="7"/>
        <v>3</v>
      </c>
      <c r="O28" s="48" t="s">
        <v>20</v>
      </c>
      <c r="P28" s="49">
        <f>SUMIF($D$8:$D$55,$O28,$G$8:$G$55)+SUMIF($F$8:$F$55,$O28,$I$8:$I$55)</f>
        <v>3</v>
      </c>
      <c r="Q28" s="49">
        <f>SUMIF($D$8:$D$55,$O28,$I$8:$I$55)+SUMIF($F$8:$F$55,$O28,$G$8:$G$55)</f>
        <v>8</v>
      </c>
      <c r="R28" s="49">
        <f>P28-Q28</f>
        <v>-5</v>
      </c>
      <c r="S28" s="50">
        <f>SUMIF($D$8:$D$55,$O28,$K$8:$K$55)+SUMIF($F$8:$F$55,$O28,$L$8:$L$55)</f>
        <v>0</v>
      </c>
      <c r="T28" s="95" t="s">
        <v>65</v>
      </c>
      <c r="U28" s="40"/>
      <c r="V28" s="40" t="str">
        <f>O28</f>
        <v>Costa Rica</v>
      </c>
      <c r="W28" s="40" t="s">
        <v>63</v>
      </c>
      <c r="Y28" s="109">
        <f t="shared" si="8"/>
        <v>0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0</v>
      </c>
      <c r="AG28" s="108">
        <f t="shared" si="0"/>
        <v>0</v>
      </c>
      <c r="AH28" s="108">
        <f t="shared" si="1"/>
        <v>0</v>
      </c>
      <c r="AI28" s="108">
        <f t="shared" si="10"/>
        <v>0</v>
      </c>
      <c r="AJ28" s="108">
        <f t="shared" si="2"/>
        <v>0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18">
        <v>22</v>
      </c>
      <c r="C29" s="19">
        <v>41809</v>
      </c>
      <c r="D29" s="20" t="s">
        <v>19</v>
      </c>
      <c r="E29" s="21" t="s">
        <v>9</v>
      </c>
      <c r="F29" s="30" t="s">
        <v>21</v>
      </c>
      <c r="G29" s="86">
        <v>2</v>
      </c>
      <c r="H29" s="21" t="s">
        <v>9</v>
      </c>
      <c r="I29" s="91">
        <v>3</v>
      </c>
      <c r="J29" s="23">
        <f t="shared" si="5"/>
        <v>2</v>
      </c>
      <c r="K29" s="11">
        <f t="shared" si="6"/>
        <v>0</v>
      </c>
      <c r="L29" s="11">
        <f t="shared" si="7"/>
        <v>3</v>
      </c>
      <c r="O29" s="48" t="s">
        <v>21</v>
      </c>
      <c r="P29" s="49">
        <f>SUMIF($D$8:$D$55,$O29,$G$8:$G$55)+SUMIF($F$8:$F$55,$O29,$I$8:$I$55)</f>
        <v>7</v>
      </c>
      <c r="Q29" s="49">
        <f>SUMIF($D$8:$D$55,$O29,$I$8:$I$55)+SUMIF($F$8:$F$55,$O29,$G$8:$G$55)</f>
        <v>5</v>
      </c>
      <c r="R29" s="49">
        <f>P29-Q29</f>
        <v>2</v>
      </c>
      <c r="S29" s="50">
        <f>SUMIF($D$8:$D$55,$O29,$K$8:$K$55)+SUMIF($F$8:$F$55,$O29,$L$8:$L$55)</f>
        <v>7</v>
      </c>
      <c r="T29" s="95" t="s">
        <v>63</v>
      </c>
      <c r="U29" s="40"/>
      <c r="V29" s="40" t="str">
        <f>O29</f>
        <v>Engeland</v>
      </c>
      <c r="W29" s="40" t="s">
        <v>64</v>
      </c>
      <c r="Y29" s="109">
        <f t="shared" si="8"/>
        <v>1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1</v>
      </c>
      <c r="AG29" s="108">
        <f t="shared" si="0"/>
        <v>1</v>
      </c>
      <c r="AH29" s="108">
        <f t="shared" si="1"/>
        <v>0</v>
      </c>
      <c r="AI29" s="108">
        <f t="shared" si="10"/>
        <v>0</v>
      </c>
      <c r="AJ29" s="108">
        <f t="shared" si="2"/>
        <v>0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24">
        <v>23</v>
      </c>
      <c r="C30" s="25">
        <v>41809</v>
      </c>
      <c r="D30" s="26" t="s">
        <v>24</v>
      </c>
      <c r="E30" s="27" t="s">
        <v>9</v>
      </c>
      <c r="F30" s="28" t="s">
        <v>18</v>
      </c>
      <c r="G30" s="87">
        <v>1</v>
      </c>
      <c r="H30" s="27" t="s">
        <v>9</v>
      </c>
      <c r="I30" s="92">
        <v>1</v>
      </c>
      <c r="J30" s="29">
        <f t="shared" si="5"/>
        <v>3</v>
      </c>
      <c r="K30" s="11">
        <f t="shared" si="6"/>
        <v>1</v>
      </c>
      <c r="L30" s="11">
        <f t="shared" si="7"/>
        <v>1</v>
      </c>
      <c r="O30" s="51" t="s">
        <v>22</v>
      </c>
      <c r="P30" s="52">
        <f>SUMIF($D$8:$D$55,$O30,$G$8:$G$55)+SUMIF($F$8:$F$55,$O30,$I$8:$I$55)</f>
        <v>8</v>
      </c>
      <c r="Q30" s="52">
        <f>SUMIF($D$8:$D$55,$O30,$I$8:$I$55)+SUMIF($F$8:$F$55,$O30,$G$8:$G$55)</f>
        <v>5</v>
      </c>
      <c r="R30" s="52">
        <f>P30-Q30</f>
        <v>3</v>
      </c>
      <c r="S30" s="53">
        <f>SUMIF($D$8:$D$55,$O30,$K$8:$K$55)+SUMIF($F$8:$F$55,$O30,$L$8:$L$55)</f>
        <v>7</v>
      </c>
      <c r="T30" s="96" t="s">
        <v>62</v>
      </c>
      <c r="U30" s="40"/>
      <c r="V30" s="40" t="str">
        <f>O30</f>
        <v>Italië</v>
      </c>
      <c r="W30" s="40" t="s">
        <v>65</v>
      </c>
      <c r="Y30" s="109">
        <f t="shared" si="8"/>
        <v>5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5</v>
      </c>
      <c r="AG30" s="108">
        <f t="shared" si="0"/>
        <v>0</v>
      </c>
      <c r="AH30" s="108">
        <f t="shared" si="1"/>
        <v>0</v>
      </c>
      <c r="AI30" s="108">
        <f t="shared" si="10"/>
        <v>0</v>
      </c>
      <c r="AJ30" s="108">
        <f t="shared" si="2"/>
        <v>0</v>
      </c>
      <c r="AK30" s="108">
        <f t="shared" si="3"/>
        <v>0</v>
      </c>
      <c r="AL30" s="108">
        <f t="shared" si="4"/>
        <v>5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12">
        <v>24</v>
      </c>
      <c r="C31" s="13">
        <v>41810</v>
      </c>
      <c r="D31" s="14" t="s">
        <v>22</v>
      </c>
      <c r="E31" s="15" t="s">
        <v>9</v>
      </c>
      <c r="F31" s="16" t="s">
        <v>20</v>
      </c>
      <c r="G31" s="85">
        <v>3</v>
      </c>
      <c r="H31" s="15" t="s">
        <v>9</v>
      </c>
      <c r="I31" s="90">
        <v>1</v>
      </c>
      <c r="J31" s="17">
        <f t="shared" si="5"/>
        <v>1</v>
      </c>
      <c r="K31" s="11">
        <f t="shared" si="6"/>
        <v>3</v>
      </c>
      <c r="L31" s="11">
        <f t="shared" si="7"/>
        <v>0</v>
      </c>
      <c r="O31" s="40"/>
      <c r="P31" s="41"/>
      <c r="Q31" s="41"/>
      <c r="R31" s="41"/>
      <c r="S31" s="41"/>
      <c r="T31" s="41"/>
      <c r="U31" s="40"/>
      <c r="V31" s="40"/>
      <c r="W31" s="40"/>
      <c r="Y31" s="109">
        <f t="shared" si="8"/>
        <v>1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1</v>
      </c>
      <c r="AG31" s="108">
        <f t="shared" si="0"/>
        <v>0</v>
      </c>
      <c r="AH31" s="108">
        <f t="shared" si="1"/>
        <v>1</v>
      </c>
      <c r="AI31" s="108">
        <f t="shared" si="10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40"/>
      <c r="AO31" s="41"/>
    </row>
    <row r="32" spans="2:41" ht="15.75" thickBot="1">
      <c r="B32" s="18">
        <v>25</v>
      </c>
      <c r="C32" s="19">
        <v>41810</v>
      </c>
      <c r="D32" s="20" t="s">
        <v>25</v>
      </c>
      <c r="E32" s="21" t="s">
        <v>9</v>
      </c>
      <c r="F32" s="30" t="s">
        <v>27</v>
      </c>
      <c r="G32" s="86">
        <v>1</v>
      </c>
      <c r="H32" s="21" t="s">
        <v>9</v>
      </c>
      <c r="I32" s="91">
        <v>2</v>
      </c>
      <c r="J32" s="23">
        <f t="shared" si="5"/>
        <v>2</v>
      </c>
      <c r="K32" s="11">
        <f t="shared" si="6"/>
        <v>0</v>
      </c>
      <c r="L32" s="11">
        <f t="shared" si="7"/>
        <v>3</v>
      </c>
      <c r="O32" s="72" t="s">
        <v>66</v>
      </c>
      <c r="P32" s="73" t="s">
        <v>42</v>
      </c>
      <c r="Q32" s="73" t="s">
        <v>43</v>
      </c>
      <c r="R32" s="74" t="s">
        <v>44</v>
      </c>
      <c r="S32" s="75" t="s">
        <v>45</v>
      </c>
      <c r="T32" s="76" t="s">
        <v>46</v>
      </c>
      <c r="U32" s="40"/>
      <c r="V32" s="40"/>
      <c r="W32" s="40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0"/>
        <v>0</v>
      </c>
      <c r="AH32" s="108">
        <f t="shared" si="1"/>
        <v>0</v>
      </c>
      <c r="AI32" s="108">
        <f t="shared" si="10"/>
        <v>0</v>
      </c>
      <c r="AJ32" s="108">
        <f t="shared" si="2"/>
        <v>0</v>
      </c>
      <c r="AK32" s="108">
        <f t="shared" si="3"/>
        <v>5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24">
        <v>26</v>
      </c>
      <c r="C33" s="25">
        <v>41810</v>
      </c>
      <c r="D33" s="26" t="s">
        <v>28</v>
      </c>
      <c r="E33" s="27" t="s">
        <v>9</v>
      </c>
      <c r="F33" s="28" t="s">
        <v>26</v>
      </c>
      <c r="G33" s="87">
        <v>0</v>
      </c>
      <c r="H33" s="27" t="s">
        <v>9</v>
      </c>
      <c r="I33" s="92">
        <v>1</v>
      </c>
      <c r="J33" s="29">
        <f t="shared" si="5"/>
        <v>2</v>
      </c>
      <c r="K33" s="11">
        <f t="shared" si="6"/>
        <v>0</v>
      </c>
      <c r="L33" s="11">
        <f t="shared" si="7"/>
        <v>3</v>
      </c>
      <c r="O33" s="44" t="s">
        <v>25</v>
      </c>
      <c r="P33" s="45">
        <f>SUMIF($D$8:$D$55,$O33,$G$8:$G$55)+SUMIF($F$8:$F$55,$O33,$I$8:$I$55)</f>
        <v>4</v>
      </c>
      <c r="Q33" s="45">
        <f>SUMIF($D$8:$D$55,$O33,$I$8:$I$55)+SUMIF($F$8:$F$55,$O33,$G$8:$G$55)</f>
        <v>3</v>
      </c>
      <c r="R33" s="46">
        <f>P33-Q33</f>
        <v>1</v>
      </c>
      <c r="S33" s="47">
        <f>SUMIF($D$8:$D$55,$O33,$K$8:$K$55)+SUMIF($F$8:$F$55,$O33,$L$8:$L$55)</f>
        <v>4</v>
      </c>
      <c r="T33" s="94" t="s">
        <v>68</v>
      </c>
      <c r="U33" s="40"/>
      <c r="V33" s="40" t="str">
        <f>O33</f>
        <v>Zwitserland</v>
      </c>
      <c r="W33" s="40" t="s">
        <v>67</v>
      </c>
      <c r="Y33" s="109">
        <f t="shared" si="8"/>
        <v>5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5</v>
      </c>
      <c r="AG33" s="108">
        <f t="shared" si="0"/>
        <v>0</v>
      </c>
      <c r="AH33" s="108">
        <f t="shared" si="1"/>
        <v>0</v>
      </c>
      <c r="AI33" s="108">
        <f t="shared" si="10"/>
        <v>0</v>
      </c>
      <c r="AJ33" s="108">
        <f t="shared" si="2"/>
        <v>0</v>
      </c>
      <c r="AK33" s="108">
        <f t="shared" si="3"/>
        <v>5</v>
      </c>
      <c r="AL33" s="108">
        <f t="shared" si="4"/>
        <v>0</v>
      </c>
      <c r="AM33" s="120">
        <f>AO33</f>
        <v>10</v>
      </c>
      <c r="AN33" s="116" t="s">
        <v>25</v>
      </c>
      <c r="AO33" s="115">
        <f>IF(Uitslag!T33="",0,IF(T33=Uitslag!T33,10,0))</f>
        <v>10</v>
      </c>
    </row>
    <row r="34" spans="2:41" ht="15.75" thickBot="1">
      <c r="B34" s="12">
        <v>27</v>
      </c>
      <c r="C34" s="13">
        <v>41811</v>
      </c>
      <c r="D34" s="14" t="s">
        <v>29</v>
      </c>
      <c r="E34" s="15" t="s">
        <v>9</v>
      </c>
      <c r="F34" s="16" t="s">
        <v>33</v>
      </c>
      <c r="G34" s="85">
        <v>3</v>
      </c>
      <c r="H34" s="15" t="s">
        <v>9</v>
      </c>
      <c r="I34" s="90">
        <v>0</v>
      </c>
      <c r="J34" s="17">
        <f t="shared" si="5"/>
        <v>1</v>
      </c>
      <c r="K34" s="11">
        <f t="shared" si="6"/>
        <v>3</v>
      </c>
      <c r="L34" s="11">
        <f t="shared" si="7"/>
        <v>0</v>
      </c>
      <c r="O34" s="48" t="s">
        <v>26</v>
      </c>
      <c r="P34" s="49">
        <f>SUMIF($D$8:$D$55,$O34,$G$8:$G$55)+SUMIF($F$8:$F$55,$O34,$I$8:$I$55)</f>
        <v>2</v>
      </c>
      <c r="Q34" s="49">
        <f>SUMIF($D$8:$D$55,$O34,$I$8:$I$55)+SUMIF($F$8:$F$55,$O34,$G$8:$G$55)</f>
        <v>3</v>
      </c>
      <c r="R34" s="49">
        <f>P34-Q34</f>
        <v>-1</v>
      </c>
      <c r="S34" s="50">
        <f>SUMIF($D$8:$D$55,$O34,$K$8:$K$55)+SUMIF($F$8:$F$55,$O34,$L$8:$L$55)</f>
        <v>4</v>
      </c>
      <c r="T34" s="95" t="s">
        <v>70</v>
      </c>
      <c r="U34" s="40"/>
      <c r="V34" s="40" t="str">
        <f>O34</f>
        <v>Ecuador</v>
      </c>
      <c r="W34" s="40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0"/>
        <v>0</v>
      </c>
      <c r="AH34" s="108">
        <f t="shared" si="1"/>
        <v>1</v>
      </c>
      <c r="AI34" s="108">
        <f t="shared" si="10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18">
        <v>28</v>
      </c>
      <c r="C35" s="19">
        <v>41811</v>
      </c>
      <c r="D35" s="20" t="s">
        <v>31</v>
      </c>
      <c r="E35" s="21" t="s">
        <v>9</v>
      </c>
      <c r="F35" s="30" t="s">
        <v>35</v>
      </c>
      <c r="G35" s="86">
        <v>2</v>
      </c>
      <c r="H35" s="21" t="s">
        <v>9</v>
      </c>
      <c r="I35" s="91">
        <v>0</v>
      </c>
      <c r="J35" s="23">
        <f t="shared" si="5"/>
        <v>1</v>
      </c>
      <c r="K35" s="11">
        <f t="shared" si="6"/>
        <v>3</v>
      </c>
      <c r="L35" s="11">
        <f t="shared" si="7"/>
        <v>0</v>
      </c>
      <c r="O35" s="48" t="s">
        <v>27</v>
      </c>
      <c r="P35" s="49">
        <f>SUMIF($D$8:$D$55,$O35,$G$8:$G$55)+SUMIF($F$8:$F$55,$O35,$I$8:$I$55)</f>
        <v>7</v>
      </c>
      <c r="Q35" s="49">
        <f>SUMIF($D$8:$D$55,$O35,$I$8:$I$55)+SUMIF($F$8:$F$55,$O35,$G$8:$G$55)</f>
        <v>1</v>
      </c>
      <c r="R35" s="49">
        <f>P35-Q35</f>
        <v>6</v>
      </c>
      <c r="S35" s="50">
        <f>SUMIF($D$8:$D$55,$O35,$K$8:$K$55)+SUMIF($F$8:$F$55,$O35,$L$8:$L$55)</f>
        <v>9</v>
      </c>
      <c r="T35" s="95" t="s">
        <v>67</v>
      </c>
      <c r="U35" s="40"/>
      <c r="V35" s="40" t="str">
        <f>O35</f>
        <v>Frankrijk</v>
      </c>
      <c r="W35" s="40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0"/>
        <v>1</v>
      </c>
      <c r="AH35" s="108">
        <f t="shared" si="1"/>
        <v>0</v>
      </c>
      <c r="AI35" s="108">
        <f t="shared" si="10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24">
        <v>29</v>
      </c>
      <c r="C36" s="25">
        <v>41811</v>
      </c>
      <c r="D36" s="26" t="s">
        <v>34</v>
      </c>
      <c r="E36" s="27" t="s">
        <v>9</v>
      </c>
      <c r="F36" s="28" t="s">
        <v>30</v>
      </c>
      <c r="G36" s="87">
        <v>1</v>
      </c>
      <c r="H36" s="27" t="s">
        <v>9</v>
      </c>
      <c r="I36" s="92">
        <v>2</v>
      </c>
      <c r="J36" s="29">
        <f t="shared" si="5"/>
        <v>2</v>
      </c>
      <c r="K36" s="11">
        <f t="shared" si="6"/>
        <v>0</v>
      </c>
      <c r="L36" s="11">
        <f t="shared" si="7"/>
        <v>3</v>
      </c>
      <c r="O36" s="51" t="s">
        <v>28</v>
      </c>
      <c r="P36" s="52">
        <f>SUMIF($D$8:$D$55,$O36,$G$8:$G$55)+SUMIF($F$8:$F$55,$O36,$I$8:$I$55)</f>
        <v>0</v>
      </c>
      <c r="Q36" s="52">
        <f>SUMIF($D$8:$D$55,$O36,$I$8:$I$55)+SUMIF($F$8:$F$55,$O36,$G$8:$G$55)</f>
        <v>6</v>
      </c>
      <c r="R36" s="52">
        <f>P36-Q36</f>
        <v>-6</v>
      </c>
      <c r="S36" s="53">
        <f>SUMIF($D$8:$D$55,$O36,$K$8:$K$55)+SUMIF($F$8:$F$55,$O36,$L$8:$L$55)</f>
        <v>0</v>
      </c>
      <c r="T36" s="96" t="s">
        <v>69</v>
      </c>
      <c r="U36" s="40"/>
      <c r="V36" s="40" t="str">
        <f>O36</f>
        <v>Honduras</v>
      </c>
      <c r="W36" s="40" t="s">
        <v>70</v>
      </c>
      <c r="Y36" s="109">
        <f t="shared" si="8"/>
        <v>1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1</v>
      </c>
      <c r="AG36" s="108">
        <f t="shared" si="0"/>
        <v>1</v>
      </c>
      <c r="AH36" s="108">
        <f t="shared" si="1"/>
        <v>0</v>
      </c>
      <c r="AI36" s="108">
        <f t="shared" si="10"/>
        <v>0</v>
      </c>
      <c r="AJ36" s="108">
        <f t="shared" si="2"/>
        <v>0</v>
      </c>
      <c r="AK36" s="108">
        <f t="shared" si="3"/>
        <v>0</v>
      </c>
      <c r="AL36" s="108">
        <f t="shared" si="4"/>
        <v>0</v>
      </c>
      <c r="AM36" s="120">
        <f>AO36</f>
        <v>0</v>
      </c>
      <c r="AN36" s="118" t="s">
        <v>28</v>
      </c>
      <c r="AO36" s="115">
        <f>IF(Uitslag!T36="",0,IF(T36=Uitslag!T36,10,0))</f>
        <v>0</v>
      </c>
    </row>
    <row r="37" spans="2:41" ht="15.75" thickBot="1">
      <c r="B37" s="12">
        <v>30</v>
      </c>
      <c r="C37" s="13">
        <v>41812</v>
      </c>
      <c r="D37" s="14" t="s">
        <v>37</v>
      </c>
      <c r="E37" s="15" t="s">
        <v>9</v>
      </c>
      <c r="F37" s="16" t="s">
        <v>39</v>
      </c>
      <c r="G37" s="85">
        <v>1</v>
      </c>
      <c r="H37" s="15" t="s">
        <v>9</v>
      </c>
      <c r="I37" s="90">
        <v>1</v>
      </c>
      <c r="J37" s="17">
        <f t="shared" si="5"/>
        <v>3</v>
      </c>
      <c r="K37" s="11">
        <f t="shared" si="6"/>
        <v>1</v>
      </c>
      <c r="L37" s="11">
        <f t="shared" si="7"/>
        <v>1</v>
      </c>
      <c r="O37" s="40"/>
      <c r="P37" s="41"/>
      <c r="Q37" s="41"/>
      <c r="R37" s="41"/>
      <c r="S37" s="41"/>
      <c r="T37" s="41"/>
      <c r="U37" s="40"/>
      <c r="V37" s="40"/>
      <c r="W37" s="40"/>
      <c r="Y37" s="109">
        <f t="shared" si="8"/>
        <v>1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1</v>
      </c>
      <c r="AG37" s="108">
        <f t="shared" si="0"/>
        <v>1</v>
      </c>
      <c r="AH37" s="108">
        <f t="shared" si="1"/>
        <v>0</v>
      </c>
      <c r="AI37" s="108">
        <f t="shared" si="10"/>
        <v>0</v>
      </c>
      <c r="AJ37" s="108">
        <f t="shared" si="2"/>
        <v>0</v>
      </c>
      <c r="AK37" s="108">
        <f t="shared" si="3"/>
        <v>0</v>
      </c>
      <c r="AL37" s="108">
        <f t="shared" si="4"/>
        <v>0</v>
      </c>
      <c r="AN37" s="40"/>
      <c r="AO37" s="41"/>
    </row>
    <row r="38" spans="2:41" ht="15.75" thickBot="1">
      <c r="B38" s="18">
        <v>31</v>
      </c>
      <c r="C38" s="19">
        <v>41812</v>
      </c>
      <c r="D38" s="20" t="s">
        <v>40</v>
      </c>
      <c r="E38" s="21" t="s">
        <v>9</v>
      </c>
      <c r="F38" s="30" t="s">
        <v>38</v>
      </c>
      <c r="G38" s="86">
        <v>1</v>
      </c>
      <c r="H38" s="21" t="s">
        <v>9</v>
      </c>
      <c r="I38" s="91">
        <v>2</v>
      </c>
      <c r="J38" s="23">
        <f t="shared" si="5"/>
        <v>2</v>
      </c>
      <c r="K38" s="11">
        <f t="shared" si="6"/>
        <v>0</v>
      </c>
      <c r="L38" s="11">
        <f t="shared" si="7"/>
        <v>3</v>
      </c>
      <c r="O38" s="72" t="s">
        <v>71</v>
      </c>
      <c r="P38" s="73" t="s">
        <v>42</v>
      </c>
      <c r="Q38" s="73" t="s">
        <v>43</v>
      </c>
      <c r="R38" s="74" t="s">
        <v>44</v>
      </c>
      <c r="S38" s="75" t="s">
        <v>45</v>
      </c>
      <c r="T38" s="76" t="s">
        <v>46</v>
      </c>
      <c r="U38" s="40"/>
      <c r="V38" s="40"/>
      <c r="W38" s="40"/>
      <c r="Y38" s="109">
        <f t="shared" si="8"/>
        <v>5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5</v>
      </c>
      <c r="AG38" s="108">
        <f t="shared" si="0"/>
        <v>0</v>
      </c>
      <c r="AH38" s="108">
        <f t="shared" si="1"/>
        <v>0</v>
      </c>
      <c r="AI38" s="108">
        <f t="shared" si="10"/>
        <v>0</v>
      </c>
      <c r="AJ38" s="108">
        <f t="shared" si="2"/>
        <v>0</v>
      </c>
      <c r="AK38" s="108">
        <f t="shared" si="3"/>
        <v>5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24">
        <v>32</v>
      </c>
      <c r="C39" s="25">
        <v>41812</v>
      </c>
      <c r="D39" s="26" t="s">
        <v>36</v>
      </c>
      <c r="E39" s="27" t="s">
        <v>9</v>
      </c>
      <c r="F39" s="28" t="s">
        <v>32</v>
      </c>
      <c r="G39" s="87">
        <v>1</v>
      </c>
      <c r="H39" s="27" t="s">
        <v>9</v>
      </c>
      <c r="I39" s="92">
        <v>3</v>
      </c>
      <c r="J39" s="29">
        <f t="shared" si="5"/>
        <v>2</v>
      </c>
      <c r="K39" s="11">
        <f t="shared" si="6"/>
        <v>0</v>
      </c>
      <c r="L39" s="11">
        <f t="shared" si="7"/>
        <v>3</v>
      </c>
      <c r="O39" s="44" t="s">
        <v>29</v>
      </c>
      <c r="P39" s="45">
        <f>SUMIF($D$8:$D$55,$O39,$G$8:$G$55)+SUMIF($F$8:$F$55,$O39,$I$8:$I$55)</f>
        <v>10</v>
      </c>
      <c r="Q39" s="45">
        <f>SUMIF($D$8:$D$55,$O39,$I$8:$I$55)+SUMIF($F$8:$F$55,$O39,$G$8:$G$55)</f>
        <v>1</v>
      </c>
      <c r="R39" s="46">
        <f>P39-Q39</f>
        <v>9</v>
      </c>
      <c r="S39" s="47">
        <f>SUMIF($D$8:$D$55,$O39,$K$8:$K$55)+SUMIF($F$8:$F$55,$O39,$L$8:$L$55)</f>
        <v>9</v>
      </c>
      <c r="T39" s="94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0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0</v>
      </c>
      <c r="AG39" s="108">
        <f t="shared" si="0"/>
        <v>0</v>
      </c>
      <c r="AH39" s="108">
        <f t="shared" si="1"/>
        <v>0</v>
      </c>
      <c r="AI39" s="108">
        <f t="shared" si="10"/>
        <v>0</v>
      </c>
      <c r="AJ39" s="108">
        <f t="shared" si="2"/>
        <v>0</v>
      </c>
      <c r="AK39" s="108">
        <f t="shared" si="3"/>
        <v>0</v>
      </c>
      <c r="AL39" s="108">
        <f t="shared" si="4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12">
        <v>33</v>
      </c>
      <c r="C40" s="13">
        <v>41813</v>
      </c>
      <c r="D40" s="14" t="s">
        <v>16</v>
      </c>
      <c r="E40" s="15" t="s">
        <v>9</v>
      </c>
      <c r="F40" s="16" t="s">
        <v>13</v>
      </c>
      <c r="G40" s="85">
        <v>1</v>
      </c>
      <c r="H40" s="15" t="s">
        <v>9</v>
      </c>
      <c r="I40" s="90">
        <v>3</v>
      </c>
      <c r="J40" s="17">
        <f t="shared" si="5"/>
        <v>2</v>
      </c>
      <c r="K40" s="11">
        <f t="shared" si="6"/>
        <v>0</v>
      </c>
      <c r="L40" s="11">
        <f t="shared" si="7"/>
        <v>3</v>
      </c>
      <c r="O40" s="48" t="s">
        <v>30</v>
      </c>
      <c r="P40" s="49">
        <f>SUMIF($D$8:$D$55,$O40,$G$8:$G$55)+SUMIF($F$8:$F$55,$O40,$I$8:$I$55)</f>
        <v>4</v>
      </c>
      <c r="Q40" s="49">
        <f>SUMIF($D$8:$D$55,$O40,$I$8:$I$55)+SUMIF($F$8:$F$55,$O40,$G$8:$G$55)</f>
        <v>5</v>
      </c>
      <c r="R40" s="49">
        <f>P40-Q40</f>
        <v>-1</v>
      </c>
      <c r="S40" s="50">
        <f>SUMIF($D$8:$D$55,$O40,$K$8:$K$55)+SUMIF($F$8:$F$55,$O40,$L$8:$L$55)</f>
        <v>6</v>
      </c>
      <c r="T40" s="95" t="s">
        <v>73</v>
      </c>
      <c r="U40" s="40"/>
      <c r="V40" s="40" t="str">
        <f>O40</f>
        <v>Bosnië H.</v>
      </c>
      <c r="W40" s="40" t="s">
        <v>73</v>
      </c>
      <c r="Y40" s="109">
        <f t="shared" si="8"/>
        <v>6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6</v>
      </c>
      <c r="AG40" s="108">
        <f t="shared" si="0"/>
        <v>0</v>
      </c>
      <c r="AH40" s="108">
        <f t="shared" si="1"/>
        <v>1</v>
      </c>
      <c r="AI40" s="108">
        <f t="shared" si="10"/>
        <v>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0</v>
      </c>
      <c r="AN40" s="117" t="s">
        <v>30</v>
      </c>
      <c r="AO40" s="115">
        <f>IF(Uitslag!T40="",0,IF(T40=Uitslag!T40,10,0))</f>
        <v>0</v>
      </c>
    </row>
    <row r="41" spans="2:41" ht="15.75" thickBot="1">
      <c r="B41" s="18">
        <v>34</v>
      </c>
      <c r="C41" s="19">
        <v>41813</v>
      </c>
      <c r="D41" s="32" t="s">
        <v>14</v>
      </c>
      <c r="E41" s="21" t="s">
        <v>9</v>
      </c>
      <c r="F41" s="30" t="s">
        <v>15</v>
      </c>
      <c r="G41" s="86">
        <v>2</v>
      </c>
      <c r="H41" s="21" t="s">
        <v>9</v>
      </c>
      <c r="I41" s="91">
        <v>0</v>
      </c>
      <c r="J41" s="23">
        <f t="shared" si="5"/>
        <v>1</v>
      </c>
      <c r="K41" s="11">
        <f t="shared" si="6"/>
        <v>3</v>
      </c>
      <c r="L41" s="11">
        <f t="shared" si="7"/>
        <v>0</v>
      </c>
      <c r="O41" s="48" t="s">
        <v>33</v>
      </c>
      <c r="P41" s="49">
        <f>SUMIF($D$8:$D$55,$O41,$G$8:$G$55)+SUMIF($F$8:$F$55,$O41,$I$8:$I$55)</f>
        <v>0</v>
      </c>
      <c r="Q41" s="49">
        <f>SUMIF($D$8:$D$55,$O41,$I$8:$I$55)+SUMIF($F$8:$F$55,$O41,$G$8:$G$55)</f>
        <v>6</v>
      </c>
      <c r="R41" s="49">
        <f>P41-Q41</f>
        <v>-6</v>
      </c>
      <c r="S41" s="50">
        <f>SUMIF($D$8:$D$55,$O41,$K$8:$K$55)+SUMIF($F$8:$F$55,$O41,$L$8:$L$55)</f>
        <v>0</v>
      </c>
      <c r="T41" s="95" t="s">
        <v>75</v>
      </c>
      <c r="U41" s="40"/>
      <c r="V41" s="40" t="str">
        <f>O41</f>
        <v>Iran</v>
      </c>
      <c r="W41" s="40" t="s">
        <v>74</v>
      </c>
      <c r="Y41" s="109">
        <f t="shared" si="8"/>
        <v>10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10</v>
      </c>
      <c r="AG41" s="108">
        <f t="shared" si="0"/>
        <v>1</v>
      </c>
      <c r="AH41" s="108">
        <f t="shared" si="1"/>
        <v>1</v>
      </c>
      <c r="AI41" s="108">
        <f t="shared" si="10"/>
        <v>10</v>
      </c>
      <c r="AJ41" s="108">
        <f t="shared" si="2"/>
        <v>5</v>
      </c>
      <c r="AK41" s="108">
        <f t="shared" si="3"/>
        <v>0</v>
      </c>
      <c r="AL41" s="108">
        <f t="shared" si="4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18">
        <v>35</v>
      </c>
      <c r="C42" s="19">
        <v>41813</v>
      </c>
      <c r="D42" s="20" t="s">
        <v>12</v>
      </c>
      <c r="E42" s="21" t="s">
        <v>9</v>
      </c>
      <c r="F42" s="30" t="s">
        <v>8</v>
      </c>
      <c r="G42" s="86">
        <v>1</v>
      </c>
      <c r="H42" s="21" t="s">
        <v>9</v>
      </c>
      <c r="I42" s="91">
        <v>3</v>
      </c>
      <c r="J42" s="23">
        <f t="shared" si="5"/>
        <v>2</v>
      </c>
      <c r="K42" s="11">
        <f t="shared" si="6"/>
        <v>0</v>
      </c>
      <c r="L42" s="11">
        <f t="shared" si="7"/>
        <v>3</v>
      </c>
      <c r="O42" s="51" t="s">
        <v>34</v>
      </c>
      <c r="P42" s="52">
        <f>SUMIF($D$8:$D$55,$O42,$G$8:$G$55)+SUMIF($F$8:$F$55,$O42,$I$8:$I$55)</f>
        <v>3</v>
      </c>
      <c r="Q42" s="52">
        <f>SUMIF($D$8:$D$55,$O42,$I$8:$I$55)+SUMIF($F$8:$F$55,$O42,$G$8:$G$55)</f>
        <v>5</v>
      </c>
      <c r="R42" s="52">
        <f>P42-Q42</f>
        <v>-2</v>
      </c>
      <c r="S42" s="53">
        <f>SUMIF($D$8:$D$55,$O42,$K$8:$K$55)+SUMIF($F$8:$F$55,$O42,$L$8:$L$55)</f>
        <v>3</v>
      </c>
      <c r="T42" s="96" t="s">
        <v>74</v>
      </c>
      <c r="U42" s="40"/>
      <c r="V42" s="40" t="str">
        <f>O42</f>
        <v>Nigeria</v>
      </c>
      <c r="W42" s="40" t="s">
        <v>75</v>
      </c>
      <c r="Y42" s="109">
        <f t="shared" si="8"/>
        <v>6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6</v>
      </c>
      <c r="AG42" s="108">
        <f t="shared" si="0"/>
        <v>1</v>
      </c>
      <c r="AH42" s="108">
        <f t="shared" si="1"/>
        <v>0</v>
      </c>
      <c r="AI42" s="108">
        <f t="shared" si="10"/>
        <v>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0</v>
      </c>
      <c r="AN42" s="118" t="s">
        <v>34</v>
      </c>
      <c r="AO42" s="115">
        <f>IF(Uitslag!T42="",0,IF(T42=Uitslag!T42,10,0))</f>
        <v>0</v>
      </c>
    </row>
    <row r="43" spans="2:41" ht="15.75" thickBot="1">
      <c r="B43" s="24">
        <v>36</v>
      </c>
      <c r="C43" s="25">
        <v>41813</v>
      </c>
      <c r="D43" s="26" t="s">
        <v>10</v>
      </c>
      <c r="E43" s="27" t="s">
        <v>9</v>
      </c>
      <c r="F43" s="28" t="s">
        <v>11</v>
      </c>
      <c r="G43" s="87">
        <v>1</v>
      </c>
      <c r="H43" s="27" t="s">
        <v>9</v>
      </c>
      <c r="I43" s="92">
        <v>1</v>
      </c>
      <c r="J43" s="29">
        <f t="shared" si="5"/>
        <v>3</v>
      </c>
      <c r="K43" s="11">
        <f t="shared" si="6"/>
        <v>1</v>
      </c>
      <c r="L43" s="11">
        <f t="shared" si="7"/>
        <v>1</v>
      </c>
      <c r="O43" s="40"/>
      <c r="P43" s="41"/>
      <c r="Q43" s="41"/>
      <c r="R43" s="41"/>
      <c r="S43" s="41"/>
      <c r="T43" s="41"/>
      <c r="U43" s="40"/>
      <c r="V43" s="40"/>
      <c r="W43" s="40"/>
      <c r="Y43" s="109">
        <f t="shared" si="8"/>
        <v>1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1</v>
      </c>
      <c r="AG43" s="108">
        <f t="shared" si="0"/>
        <v>1</v>
      </c>
      <c r="AH43" s="108">
        <f t="shared" si="1"/>
        <v>0</v>
      </c>
      <c r="AI43" s="108">
        <f t="shared" si="10"/>
        <v>0</v>
      </c>
      <c r="AJ43" s="108">
        <f t="shared" si="2"/>
        <v>0</v>
      </c>
      <c r="AK43" s="108">
        <f t="shared" si="3"/>
        <v>0</v>
      </c>
      <c r="AL43" s="108">
        <f t="shared" si="4"/>
        <v>0</v>
      </c>
      <c r="AN43" s="40"/>
      <c r="AO43" s="41"/>
    </row>
    <row r="44" spans="2:41" ht="15.75" thickBot="1">
      <c r="B44" s="12">
        <v>37</v>
      </c>
      <c r="C44" s="13">
        <v>41814</v>
      </c>
      <c r="D44" s="14" t="s">
        <v>22</v>
      </c>
      <c r="E44" s="15" t="s">
        <v>9</v>
      </c>
      <c r="F44" s="16" t="s">
        <v>19</v>
      </c>
      <c r="G44" s="85">
        <v>3</v>
      </c>
      <c r="H44" s="15" t="s">
        <v>9</v>
      </c>
      <c r="I44" s="90">
        <v>2</v>
      </c>
      <c r="J44" s="17">
        <f t="shared" si="5"/>
        <v>1</v>
      </c>
      <c r="K44" s="11">
        <f t="shared" si="6"/>
        <v>3</v>
      </c>
      <c r="L44" s="11">
        <f t="shared" si="7"/>
        <v>0</v>
      </c>
      <c r="O44" s="72" t="s">
        <v>76</v>
      </c>
      <c r="P44" s="73" t="s">
        <v>42</v>
      </c>
      <c r="Q44" s="73" t="s">
        <v>43</v>
      </c>
      <c r="R44" s="74" t="s">
        <v>44</v>
      </c>
      <c r="S44" s="75" t="s">
        <v>45</v>
      </c>
      <c r="T44" s="76" t="s">
        <v>46</v>
      </c>
      <c r="U44" s="40"/>
      <c r="V44" s="40"/>
      <c r="W44" s="40"/>
      <c r="Y44" s="109">
        <f t="shared" si="8"/>
        <v>0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0</v>
      </c>
      <c r="AG44" s="108">
        <f t="shared" si="0"/>
        <v>0</v>
      </c>
      <c r="AH44" s="108">
        <f t="shared" si="1"/>
        <v>0</v>
      </c>
      <c r="AI44" s="108">
        <f t="shared" si="10"/>
        <v>0</v>
      </c>
      <c r="AJ44" s="108">
        <f t="shared" si="2"/>
        <v>0</v>
      </c>
      <c r="AK44" s="108">
        <f t="shared" si="3"/>
        <v>0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18">
        <v>38</v>
      </c>
      <c r="C45" s="19">
        <v>41814</v>
      </c>
      <c r="D45" s="20" t="s">
        <v>20</v>
      </c>
      <c r="E45" s="21" t="s">
        <v>9</v>
      </c>
      <c r="F45" s="30" t="s">
        <v>21</v>
      </c>
      <c r="G45" s="86">
        <v>1</v>
      </c>
      <c r="H45" s="21" t="s">
        <v>9</v>
      </c>
      <c r="I45" s="91">
        <v>2</v>
      </c>
      <c r="J45" s="23">
        <f t="shared" si="5"/>
        <v>2</v>
      </c>
      <c r="K45" s="11">
        <f t="shared" si="6"/>
        <v>0</v>
      </c>
      <c r="L45" s="11">
        <f t="shared" si="7"/>
        <v>3</v>
      </c>
      <c r="O45" s="44" t="s">
        <v>31</v>
      </c>
      <c r="P45" s="45">
        <f>SUMIF($D$8:$D$55,$O45,$G$8:$G$55)+SUMIF($F$8:$F$55,$O45,$I$8:$I$55)</f>
        <v>7</v>
      </c>
      <c r="Q45" s="45">
        <f>SUMIF($D$8:$D$55,$O45,$I$8:$I$55)+SUMIF($F$8:$F$55,$O45,$G$8:$G$55)</f>
        <v>2</v>
      </c>
      <c r="R45" s="46">
        <f>P45-Q45</f>
        <v>5</v>
      </c>
      <c r="S45" s="47">
        <f>SUMIF($D$8:$D$55,$O45,$K$8:$K$55)+SUMIF($F$8:$F$55,$O45,$L$8:$L$55)</f>
        <v>9</v>
      </c>
      <c r="T45" s="94" t="s">
        <v>78</v>
      </c>
      <c r="U45" s="40"/>
      <c r="V45" s="40" t="str">
        <f>O45</f>
        <v>Duitsland</v>
      </c>
      <c r="W45" s="40" t="s">
        <v>77</v>
      </c>
      <c r="Y45" s="109">
        <f t="shared" si="8"/>
        <v>0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0</v>
      </c>
      <c r="AG45" s="108">
        <f t="shared" si="0"/>
        <v>0</v>
      </c>
      <c r="AH45" s="108">
        <f t="shared" si="1"/>
        <v>0</v>
      </c>
      <c r="AI45" s="108">
        <f t="shared" si="10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0</v>
      </c>
      <c r="AN45" s="116" t="s">
        <v>31</v>
      </c>
      <c r="AO45" s="115">
        <f>IF(Uitslag!T45="",0,IF(T45=Uitslag!T45,10,0))</f>
        <v>0</v>
      </c>
    </row>
    <row r="46" spans="2:41" ht="15.75" thickBot="1">
      <c r="B46" s="18">
        <v>39</v>
      </c>
      <c r="C46" s="19">
        <v>41814</v>
      </c>
      <c r="D46" s="20" t="s">
        <v>24</v>
      </c>
      <c r="E46" s="21" t="s">
        <v>9</v>
      </c>
      <c r="F46" s="30" t="s">
        <v>17</v>
      </c>
      <c r="G46" s="86">
        <v>1</v>
      </c>
      <c r="H46" s="21" t="s">
        <v>9</v>
      </c>
      <c r="I46" s="91">
        <v>0</v>
      </c>
      <c r="J46" s="23">
        <f t="shared" si="5"/>
        <v>1</v>
      </c>
      <c r="K46" s="11">
        <f t="shared" si="6"/>
        <v>3</v>
      </c>
      <c r="L46" s="11">
        <f t="shared" si="7"/>
        <v>0</v>
      </c>
      <c r="O46" s="48" t="s">
        <v>32</v>
      </c>
      <c r="P46" s="49">
        <f>SUMIF($D$8:$D$55,$O46,$G$8:$G$55)+SUMIF($F$8:$F$55,$O46,$I$8:$I$55)</f>
        <v>9</v>
      </c>
      <c r="Q46" s="49">
        <f>SUMIF($D$8:$D$55,$O46,$I$8:$I$55)+SUMIF($F$8:$F$55,$O46,$G$8:$G$55)</f>
        <v>4</v>
      </c>
      <c r="R46" s="49">
        <f>P46-Q46</f>
        <v>5</v>
      </c>
      <c r="S46" s="50">
        <f>SUMIF($D$8:$D$55,$O46,$K$8:$K$55)+SUMIF($F$8:$F$55,$O46,$L$8:$L$55)</f>
        <v>6</v>
      </c>
      <c r="T46" s="95" t="s">
        <v>77</v>
      </c>
      <c r="U46" s="40"/>
      <c r="V46" s="40" t="str">
        <f>O46</f>
        <v>Portugal</v>
      </c>
      <c r="W46" s="40" t="s">
        <v>78</v>
      </c>
      <c r="Y46" s="109">
        <f t="shared" si="8"/>
        <v>1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1</v>
      </c>
      <c r="AG46" s="108">
        <f t="shared" si="0"/>
        <v>1</v>
      </c>
      <c r="AH46" s="108">
        <f t="shared" si="1"/>
        <v>0</v>
      </c>
      <c r="AI46" s="108">
        <f t="shared" si="10"/>
        <v>0</v>
      </c>
      <c r="AJ46" s="108">
        <f t="shared" si="2"/>
        <v>0</v>
      </c>
      <c r="AK46" s="108">
        <f t="shared" si="3"/>
        <v>0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24">
        <v>40</v>
      </c>
      <c r="C47" s="25">
        <v>41814</v>
      </c>
      <c r="D47" s="26" t="s">
        <v>18</v>
      </c>
      <c r="E47" s="27" t="s">
        <v>9</v>
      </c>
      <c r="F47" s="28" t="s">
        <v>23</v>
      </c>
      <c r="G47" s="87">
        <v>1</v>
      </c>
      <c r="H47" s="27" t="s">
        <v>9</v>
      </c>
      <c r="I47" s="92">
        <v>2</v>
      </c>
      <c r="J47" s="29">
        <f t="shared" si="5"/>
        <v>2</v>
      </c>
      <c r="K47" s="11">
        <f t="shared" si="6"/>
        <v>0</v>
      </c>
      <c r="L47" s="11">
        <f t="shared" si="7"/>
        <v>3</v>
      </c>
      <c r="O47" s="48" t="s">
        <v>35</v>
      </c>
      <c r="P47" s="49">
        <f>SUMIF($D$8:$D$55,$O47,$G$8:$G$55)+SUMIF($F$8:$F$55,$O47,$I$8:$I$55)</f>
        <v>2</v>
      </c>
      <c r="Q47" s="49">
        <f>SUMIF($D$8:$D$55,$O47,$I$8:$I$55)+SUMIF($F$8:$F$55,$O47,$G$8:$G$55)</f>
        <v>7</v>
      </c>
      <c r="R47" s="49">
        <f>P47-Q47</f>
        <v>-5</v>
      </c>
      <c r="S47" s="50">
        <f>SUMIF($D$8:$D$55,$O47,$K$8:$K$55)+SUMIF($F$8:$F$55,$O47,$L$8:$L$55)</f>
        <v>3</v>
      </c>
      <c r="T47" s="95" t="s">
        <v>79</v>
      </c>
      <c r="U47" s="40"/>
      <c r="V47" s="40" t="str">
        <f>O47</f>
        <v>Ghana</v>
      </c>
      <c r="W47" s="40" t="s">
        <v>79</v>
      </c>
      <c r="Y47" s="109">
        <f t="shared" si="8"/>
        <v>0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0</v>
      </c>
      <c r="AG47" s="108">
        <f t="shared" si="0"/>
        <v>0</v>
      </c>
      <c r="AH47" s="108">
        <f t="shared" si="1"/>
        <v>0</v>
      </c>
      <c r="AI47" s="108">
        <f t="shared" si="10"/>
        <v>0</v>
      </c>
      <c r="AJ47" s="108">
        <f t="shared" si="2"/>
        <v>0</v>
      </c>
      <c r="AK47" s="108">
        <f t="shared" si="3"/>
        <v>0</v>
      </c>
      <c r="AL47" s="108">
        <f t="shared" si="4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12">
        <v>41</v>
      </c>
      <c r="C48" s="13">
        <v>41815</v>
      </c>
      <c r="D48" s="14" t="s">
        <v>34</v>
      </c>
      <c r="E48" s="15" t="s">
        <v>9</v>
      </c>
      <c r="F48" s="16" t="s">
        <v>29</v>
      </c>
      <c r="G48" s="85">
        <v>1</v>
      </c>
      <c r="H48" s="15" t="s">
        <v>9</v>
      </c>
      <c r="I48" s="90">
        <v>3</v>
      </c>
      <c r="J48" s="17">
        <f t="shared" si="5"/>
        <v>2</v>
      </c>
      <c r="K48" s="11">
        <f t="shared" si="6"/>
        <v>0</v>
      </c>
      <c r="L48" s="11">
        <f t="shared" si="7"/>
        <v>3</v>
      </c>
      <c r="O48" s="51" t="s">
        <v>36</v>
      </c>
      <c r="P48" s="52">
        <f>SUMIF($D$8:$D$55,$O48,$G$8:$G$55)+SUMIF($F$8:$F$55,$O48,$I$8:$I$55)</f>
        <v>2</v>
      </c>
      <c r="Q48" s="52">
        <f>SUMIF($D$8:$D$55,$O48,$I$8:$I$55)+SUMIF($F$8:$F$55,$O48,$G$8:$G$55)</f>
        <v>7</v>
      </c>
      <c r="R48" s="52">
        <f>P48-Q48</f>
        <v>-5</v>
      </c>
      <c r="S48" s="53">
        <f>SUMIF($D$8:$D$55,$O48,$K$8:$K$55)+SUMIF($F$8:$F$55,$O48,$L$8:$L$55)</f>
        <v>0</v>
      </c>
      <c r="T48" s="96" t="s">
        <v>80</v>
      </c>
      <c r="U48" s="40"/>
      <c r="V48" s="40" t="str">
        <f>O48</f>
        <v>Verenigde Staten</v>
      </c>
      <c r="W48" s="40" t="s">
        <v>80</v>
      </c>
      <c r="Y48" s="109">
        <f t="shared" si="8"/>
        <v>6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6</v>
      </c>
      <c r="AG48" s="108">
        <f t="shared" si="0"/>
        <v>0</v>
      </c>
      <c r="AH48" s="108">
        <f t="shared" si="1"/>
        <v>1</v>
      </c>
      <c r="AI48" s="108">
        <f t="shared" si="10"/>
        <v>0</v>
      </c>
      <c r="AJ48" s="108">
        <f t="shared" si="2"/>
        <v>0</v>
      </c>
      <c r="AK48" s="108">
        <f t="shared" si="3"/>
        <v>5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18">
        <v>42</v>
      </c>
      <c r="C49" s="19">
        <v>41815</v>
      </c>
      <c r="D49" s="20" t="s">
        <v>30</v>
      </c>
      <c r="E49" s="21" t="s">
        <v>9</v>
      </c>
      <c r="F49" s="30" t="s">
        <v>33</v>
      </c>
      <c r="G49" s="86">
        <v>2</v>
      </c>
      <c r="H49" s="21" t="s">
        <v>9</v>
      </c>
      <c r="I49" s="91">
        <v>0</v>
      </c>
      <c r="J49" s="23">
        <f t="shared" si="5"/>
        <v>1</v>
      </c>
      <c r="K49" s="11">
        <f t="shared" si="6"/>
        <v>3</v>
      </c>
      <c r="L49" s="11">
        <f t="shared" si="7"/>
        <v>0</v>
      </c>
      <c r="O49" s="40"/>
      <c r="P49" s="41"/>
      <c r="Q49" s="41"/>
      <c r="R49" s="41"/>
      <c r="S49" s="41"/>
      <c r="T49" s="41"/>
      <c r="U49" s="40"/>
      <c r="V49" s="40"/>
      <c r="W49" s="40"/>
      <c r="Y49" s="109">
        <f t="shared" si="8"/>
        <v>5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5</v>
      </c>
      <c r="AG49" s="108">
        <f t="shared" si="0"/>
        <v>0</v>
      </c>
      <c r="AH49" s="108">
        <f t="shared" si="1"/>
        <v>0</v>
      </c>
      <c r="AI49" s="108">
        <f t="shared" si="10"/>
        <v>0</v>
      </c>
      <c r="AJ49" s="108">
        <f t="shared" si="2"/>
        <v>5</v>
      </c>
      <c r="AK49" s="108">
        <f t="shared" si="3"/>
        <v>0</v>
      </c>
      <c r="AL49" s="108">
        <f t="shared" si="4"/>
        <v>0</v>
      </c>
      <c r="AN49" s="40"/>
      <c r="AO49" s="41"/>
    </row>
    <row r="50" spans="2:54" ht="15.75" thickBot="1">
      <c r="B50" s="18">
        <v>43</v>
      </c>
      <c r="C50" s="19">
        <v>41815</v>
      </c>
      <c r="D50" s="20" t="s">
        <v>28</v>
      </c>
      <c r="E50" s="21" t="s">
        <v>9</v>
      </c>
      <c r="F50" s="30" t="s">
        <v>25</v>
      </c>
      <c r="G50" s="86">
        <v>0</v>
      </c>
      <c r="H50" s="21" t="s">
        <v>9</v>
      </c>
      <c r="I50" s="91">
        <v>2</v>
      </c>
      <c r="J50" s="23">
        <f t="shared" si="5"/>
        <v>2</v>
      </c>
      <c r="K50" s="11">
        <f t="shared" si="6"/>
        <v>0</v>
      </c>
      <c r="L50" s="11">
        <f t="shared" si="7"/>
        <v>3</v>
      </c>
      <c r="O50" s="72" t="s">
        <v>81</v>
      </c>
      <c r="P50" s="73" t="s">
        <v>42</v>
      </c>
      <c r="Q50" s="73" t="s">
        <v>43</v>
      </c>
      <c r="R50" s="74" t="s">
        <v>44</v>
      </c>
      <c r="S50" s="75" t="s">
        <v>45</v>
      </c>
      <c r="T50" s="76" t="s">
        <v>46</v>
      </c>
      <c r="U50" s="40"/>
      <c r="V50" s="40"/>
      <c r="W50" s="40"/>
      <c r="Y50" s="109">
        <f t="shared" si="8"/>
        <v>6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6</v>
      </c>
      <c r="AG50" s="108">
        <f t="shared" si="0"/>
        <v>1</v>
      </c>
      <c r="AH50" s="108">
        <f t="shared" si="1"/>
        <v>0</v>
      </c>
      <c r="AI50" s="108">
        <f t="shared" si="10"/>
        <v>0</v>
      </c>
      <c r="AJ50" s="108">
        <f t="shared" si="2"/>
        <v>0</v>
      </c>
      <c r="AK50" s="108">
        <f t="shared" si="3"/>
        <v>5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24">
        <v>44</v>
      </c>
      <c r="C51" s="25">
        <v>41815</v>
      </c>
      <c r="D51" s="26" t="s">
        <v>26</v>
      </c>
      <c r="E51" s="27" t="s">
        <v>9</v>
      </c>
      <c r="F51" s="28" t="s">
        <v>27</v>
      </c>
      <c r="G51" s="87">
        <v>0</v>
      </c>
      <c r="H51" s="27" t="s">
        <v>9</v>
      </c>
      <c r="I51" s="92">
        <v>2</v>
      </c>
      <c r="J51" s="29">
        <f t="shared" si="5"/>
        <v>2</v>
      </c>
      <c r="K51" s="11">
        <f t="shared" si="6"/>
        <v>0</v>
      </c>
      <c r="L51" s="11">
        <f>IF(I51="","",IF($G51&lt;$I51,3,IF($G51=$I51,1,0)))</f>
        <v>3</v>
      </c>
      <c r="O51" s="44" t="s">
        <v>37</v>
      </c>
      <c r="P51" s="45">
        <f>SUMIF($D$8:$D$55,$O51,$G$8:$G$55)+SUMIF($F$8:$F$55,$O51,$I$8:$I$55)</f>
        <v>4</v>
      </c>
      <c r="Q51" s="45">
        <f>SUMIF($D$8:$D$55,$O51,$I$8:$I$55)+SUMIF($F$8:$F$55,$O51,$G$8:$G$55)</f>
        <v>2</v>
      </c>
      <c r="R51" s="46">
        <f>P51-Q51</f>
        <v>2</v>
      </c>
      <c r="S51" s="47">
        <f>SUMIF($D$8:$D$55,$O51,$K$8:$K$55)+SUMIF($F$8:$F$55,$O51,$L$8:$L$55)</f>
        <v>7</v>
      </c>
      <c r="T51" s="94" t="s">
        <v>82</v>
      </c>
      <c r="U51" s="40"/>
      <c r="V51" s="40" t="str">
        <f>O51</f>
        <v>België</v>
      </c>
      <c r="W51" s="40" t="s">
        <v>82</v>
      </c>
      <c r="Y51" s="109">
        <f t="shared" si="8"/>
        <v>1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1</v>
      </c>
      <c r="AG51" s="108">
        <f t="shared" si="0"/>
        <v>1</v>
      </c>
      <c r="AH51" s="108">
        <f t="shared" si="1"/>
        <v>0</v>
      </c>
      <c r="AI51" s="108">
        <f t="shared" si="10"/>
        <v>0</v>
      </c>
      <c r="AJ51" s="108">
        <f t="shared" si="2"/>
        <v>0</v>
      </c>
      <c r="AK51" s="108">
        <f t="shared" si="3"/>
        <v>0</v>
      </c>
      <c r="AL51" s="108">
        <f t="shared" si="4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18">
        <v>45</v>
      </c>
      <c r="C52" s="19">
        <v>41816</v>
      </c>
      <c r="D52" s="20" t="s">
        <v>36</v>
      </c>
      <c r="E52" s="21" t="s">
        <v>9</v>
      </c>
      <c r="F52" s="30" t="s">
        <v>31</v>
      </c>
      <c r="G52" s="86">
        <v>1</v>
      </c>
      <c r="H52" s="21" t="s">
        <v>9</v>
      </c>
      <c r="I52" s="91">
        <v>3</v>
      </c>
      <c r="J52" s="17">
        <f t="shared" si="5"/>
        <v>2</v>
      </c>
      <c r="K52" s="11">
        <f t="shared" si="6"/>
        <v>0</v>
      </c>
      <c r="L52" s="11">
        <f t="shared" si="7"/>
        <v>3</v>
      </c>
      <c r="O52" s="48" t="s">
        <v>38</v>
      </c>
      <c r="P52" s="49">
        <f>SUMIF($D$8:$D$55,$O52,$G$8:$G$55)+SUMIF($F$8:$F$55,$O52,$I$8:$I$55)</f>
        <v>4</v>
      </c>
      <c r="Q52" s="49">
        <f>SUMIF($D$8:$D$55,$O52,$I$8:$I$55)+SUMIF($F$8:$F$55,$O52,$G$8:$G$55)</f>
        <v>5</v>
      </c>
      <c r="R52" s="49">
        <f>P52-Q52</f>
        <v>-1</v>
      </c>
      <c r="S52" s="50">
        <f>SUMIF($D$8:$D$55,$O52,$K$8:$K$55)+SUMIF($F$8:$F$55,$O52,$L$8:$L$55)</f>
        <v>3</v>
      </c>
      <c r="T52" s="95" t="s">
        <v>85</v>
      </c>
      <c r="U52" s="40"/>
      <c r="V52" s="40" t="str">
        <f>O52</f>
        <v>Algerije</v>
      </c>
      <c r="W52" s="40" t="s">
        <v>83</v>
      </c>
      <c r="Y52" s="109">
        <f t="shared" si="8"/>
        <v>5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5</v>
      </c>
      <c r="AG52" s="108">
        <f t="shared" si="0"/>
        <v>0</v>
      </c>
      <c r="AH52" s="108">
        <f t="shared" si="1"/>
        <v>0</v>
      </c>
      <c r="AI52" s="108">
        <f t="shared" si="10"/>
        <v>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18">
        <v>46</v>
      </c>
      <c r="C53" s="19">
        <v>41816</v>
      </c>
      <c r="D53" s="20" t="s">
        <v>32</v>
      </c>
      <c r="E53" s="21" t="s">
        <v>9</v>
      </c>
      <c r="F53" s="30" t="s">
        <v>35</v>
      </c>
      <c r="G53" s="86">
        <v>5</v>
      </c>
      <c r="H53" s="21" t="s">
        <v>9</v>
      </c>
      <c r="I53" s="91">
        <v>1</v>
      </c>
      <c r="J53" s="23">
        <f t="shared" si="5"/>
        <v>1</v>
      </c>
      <c r="K53" s="11">
        <f t="shared" si="6"/>
        <v>3</v>
      </c>
      <c r="L53" s="11">
        <f t="shared" si="7"/>
        <v>0</v>
      </c>
      <c r="O53" s="48" t="s">
        <v>39</v>
      </c>
      <c r="P53" s="49">
        <f>SUMIF($D$8:$D$55,$O53,$G$8:$G$55)+SUMIF($F$8:$F$55,$O53,$I$8:$I$55)</f>
        <v>4</v>
      </c>
      <c r="Q53" s="49">
        <f>SUMIF($D$8:$D$55,$O53,$I$8:$I$55)+SUMIF($F$8:$F$55,$O53,$G$8:$G$55)</f>
        <v>4</v>
      </c>
      <c r="R53" s="49">
        <f>P53-Q53</f>
        <v>0</v>
      </c>
      <c r="S53" s="50">
        <f>SUMIF($D$8:$D$55,$O53,$K$8:$K$55)+SUMIF($F$8:$F$55,$O53,$L$8:$L$55)</f>
        <v>4</v>
      </c>
      <c r="T53" s="95" t="s">
        <v>83</v>
      </c>
      <c r="U53" s="40"/>
      <c r="V53" s="40" t="str">
        <f>O53</f>
        <v>Rusland</v>
      </c>
      <c r="W53" s="40" t="s">
        <v>84</v>
      </c>
      <c r="Y53" s="109">
        <f t="shared" si="8"/>
        <v>6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6</v>
      </c>
      <c r="AG53" s="108">
        <f t="shared" si="0"/>
        <v>0</v>
      </c>
      <c r="AH53" s="108">
        <f t="shared" si="1"/>
        <v>1</v>
      </c>
      <c r="AI53" s="108">
        <f t="shared" si="10"/>
        <v>0</v>
      </c>
      <c r="AJ53" s="108">
        <f t="shared" si="2"/>
        <v>5</v>
      </c>
      <c r="AK53" s="108">
        <f t="shared" si="3"/>
        <v>0</v>
      </c>
      <c r="AL53" s="108">
        <f t="shared" si="4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18">
        <v>47</v>
      </c>
      <c r="C54" s="19">
        <v>41816</v>
      </c>
      <c r="D54" s="20" t="s">
        <v>40</v>
      </c>
      <c r="E54" s="21" t="s">
        <v>9</v>
      </c>
      <c r="F54" s="30" t="s">
        <v>37</v>
      </c>
      <c r="G54" s="86">
        <v>0</v>
      </c>
      <c r="H54" s="21" t="s">
        <v>9</v>
      </c>
      <c r="I54" s="91">
        <v>1</v>
      </c>
      <c r="J54" s="23">
        <f t="shared" si="5"/>
        <v>2</v>
      </c>
      <c r="K54" s="11">
        <f t="shared" si="6"/>
        <v>0</v>
      </c>
      <c r="L54" s="11">
        <f t="shared" si="7"/>
        <v>3</v>
      </c>
      <c r="O54" s="51" t="s">
        <v>40</v>
      </c>
      <c r="P54" s="52">
        <f>SUMIF($D$8:$D$55,$O54,$G$8:$G$55)+SUMIF($F$8:$F$55,$O54,$I$8:$I$55)</f>
        <v>3</v>
      </c>
      <c r="Q54" s="52">
        <f>SUMIF($D$8:$D$55,$O54,$I$8:$I$55)+SUMIF($F$8:$F$55,$O54,$G$8:$G$55)</f>
        <v>4</v>
      </c>
      <c r="R54" s="52">
        <f>P54-Q54</f>
        <v>-1</v>
      </c>
      <c r="S54" s="53">
        <f>SUMIF($D$8:$D$55,$O54,$K$8:$K$55)+SUMIF($F$8:$F$55,$O54,$L$8:$L$55)</f>
        <v>3</v>
      </c>
      <c r="T54" s="96" t="s">
        <v>84</v>
      </c>
      <c r="U54" s="40"/>
      <c r="V54" s="40" t="str">
        <f>O54</f>
        <v>Zuid Korea</v>
      </c>
      <c r="W54" s="40" t="s">
        <v>85</v>
      </c>
      <c r="Y54" s="109">
        <f t="shared" si="8"/>
        <v>10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10</v>
      </c>
      <c r="AG54" s="108">
        <f t="shared" si="0"/>
        <v>1</v>
      </c>
      <c r="AH54" s="108">
        <f t="shared" si="1"/>
        <v>1</v>
      </c>
      <c r="AI54" s="108">
        <f t="shared" si="10"/>
        <v>10</v>
      </c>
      <c r="AJ54" s="108">
        <f t="shared" si="2"/>
        <v>0</v>
      </c>
      <c r="AK54" s="108">
        <f t="shared" si="3"/>
        <v>5</v>
      </c>
      <c r="AL54" s="108">
        <f t="shared" si="4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3">
        <v>48</v>
      </c>
      <c r="C55" s="34">
        <v>41816</v>
      </c>
      <c r="D55" s="35" t="s">
        <v>38</v>
      </c>
      <c r="E55" s="36" t="s">
        <v>9</v>
      </c>
      <c r="F55" s="37" t="s">
        <v>39</v>
      </c>
      <c r="G55" s="88">
        <v>1</v>
      </c>
      <c r="H55" s="36" t="s">
        <v>9</v>
      </c>
      <c r="I55" s="93">
        <v>2</v>
      </c>
      <c r="J55" s="38">
        <f t="shared" si="5"/>
        <v>2</v>
      </c>
      <c r="K55" s="11">
        <f t="shared" si="6"/>
        <v>0</v>
      </c>
      <c r="L55" s="11">
        <f t="shared" si="7"/>
        <v>3</v>
      </c>
      <c r="O55" s="40"/>
      <c r="P55" s="41"/>
      <c r="Q55" s="41"/>
      <c r="R55" s="41"/>
      <c r="S55" s="41"/>
      <c r="T55" s="41"/>
      <c r="U55" s="40"/>
      <c r="V55" s="40"/>
      <c r="W55" s="40"/>
      <c r="Y55" s="109">
        <f t="shared" si="8"/>
        <v>1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</v>
      </c>
      <c r="AG55" s="108">
        <f t="shared" si="0"/>
        <v>1</v>
      </c>
      <c r="AH55" s="108">
        <f t="shared" si="1"/>
        <v>0</v>
      </c>
      <c r="AI55" s="108">
        <f t="shared" si="10"/>
        <v>0</v>
      </c>
      <c r="AJ55" s="108">
        <f t="shared" si="2"/>
        <v>0</v>
      </c>
      <c r="AK55" s="108">
        <f t="shared" si="3"/>
        <v>0</v>
      </c>
      <c r="AL55" s="108">
        <f t="shared" si="4"/>
        <v>0</v>
      </c>
    </row>
    <row r="56" spans="2:54" ht="15.75" thickBot="1">
      <c r="B56" s="1"/>
      <c r="C56" s="39"/>
      <c r="D56" s="40"/>
      <c r="E56" s="1"/>
      <c r="F56" s="40"/>
      <c r="G56" s="1"/>
      <c r="H56" s="1"/>
      <c r="I56" s="1"/>
      <c r="J56" s="1"/>
      <c r="K56" s="1"/>
      <c r="L56" s="1"/>
      <c r="M56" s="1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195"/>
      <c r="K57" s="1"/>
      <c r="L57" s="1"/>
      <c r="M57" s="1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78" t="s">
        <v>1</v>
      </c>
      <c r="C58" s="79" t="s">
        <v>2</v>
      </c>
      <c r="D58" s="187" t="s">
        <v>3</v>
      </c>
      <c r="E58" s="81"/>
      <c r="F58" s="194" t="s">
        <v>4</v>
      </c>
      <c r="G58" s="867" t="s">
        <v>5</v>
      </c>
      <c r="H58" s="868"/>
      <c r="I58" s="869"/>
      <c r="J58" s="83" t="s">
        <v>6</v>
      </c>
      <c r="K58" s="1"/>
      <c r="L58" s="1"/>
      <c r="M58" s="1"/>
      <c r="O58" s="135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12">
        <v>49</v>
      </c>
      <c r="C59" s="189">
        <v>41818</v>
      </c>
      <c r="D59" s="153" t="str">
        <f>IF(ISERROR(Z59),K59,Z59)</f>
        <v>Brazilië</v>
      </c>
      <c r="E59" s="15" t="s">
        <v>9</v>
      </c>
      <c r="F59" s="56" t="str">
        <f>IF(ISERROR(AA59),L59,AA59)</f>
        <v>Nederland</v>
      </c>
      <c r="G59" s="85">
        <v>3</v>
      </c>
      <c r="H59" s="15" t="s">
        <v>9</v>
      </c>
      <c r="I59" s="97">
        <v>1</v>
      </c>
      <c r="J59" s="98">
        <v>1</v>
      </c>
      <c r="K59" s="57" t="s">
        <v>48</v>
      </c>
      <c r="L59" s="57" t="s">
        <v>53</v>
      </c>
      <c r="M59" s="57">
        <v>1</v>
      </c>
      <c r="O59" s="135">
        <v>2</v>
      </c>
      <c r="P59" s="877" t="s">
        <v>212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3">AF59</f>
        <v>1</v>
      </c>
      <c r="Z59" t="str">
        <f t="shared" ref="Z59:AA65" si="14">IF(K59=""," ",VLOOKUP(K59,$T$9:$V$54,3,FALSE))</f>
        <v>Brazilië</v>
      </c>
      <c r="AA59" t="str">
        <f t="shared" si="14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1</v>
      </c>
      <c r="AG59" s="108">
        <f t="shared" ref="AG59:AG66" si="16">IF(AC59="",0,(IF(G59=AC59,1,0)))</f>
        <v>0</v>
      </c>
      <c r="AH59" s="108">
        <f t="shared" ref="AH59:AH66" si="17">IF(AD59="",0,(IF(I59=AD59,1,0)))</f>
        <v>1</v>
      </c>
      <c r="AI59" s="108">
        <f t="shared" ref="AI59:AI66" si="18">IF(AND(AG59=1,AH59=1),10,0)</f>
        <v>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24">
        <v>50</v>
      </c>
      <c r="C60" s="190">
        <v>41818</v>
      </c>
      <c r="D60" s="154" t="str">
        <f t="shared" ref="D60:D66" si="23">IF(ISERROR(Z60),K60,Z60)</f>
        <v>Ivoorkust</v>
      </c>
      <c r="E60" s="27" t="s">
        <v>9</v>
      </c>
      <c r="F60" s="59" t="str">
        <f t="shared" ref="F60:F66" si="24">IF(ISERROR(AA60),L60,AA60)</f>
        <v>Engeland</v>
      </c>
      <c r="G60" s="87">
        <v>1</v>
      </c>
      <c r="H60" s="27" t="s">
        <v>9</v>
      </c>
      <c r="I60" s="99">
        <v>3</v>
      </c>
      <c r="J60" s="100">
        <v>2</v>
      </c>
      <c r="K60" s="57" t="s">
        <v>57</v>
      </c>
      <c r="L60" s="57" t="s">
        <v>63</v>
      </c>
      <c r="M60" s="57">
        <v>2</v>
      </c>
      <c r="O60" s="135">
        <v>3</v>
      </c>
      <c r="P60" s="877" t="s">
        <v>220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3"/>
        <v>0</v>
      </c>
      <c r="Z60" t="str">
        <f t="shared" si="14"/>
        <v>Ivoorkust</v>
      </c>
      <c r="AA60" t="str">
        <f t="shared" si="14"/>
        <v>Engeland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0</v>
      </c>
      <c r="AG60" s="108">
        <f t="shared" si="16"/>
        <v>0</v>
      </c>
      <c r="AH60" s="108">
        <f t="shared" si="17"/>
        <v>0</v>
      </c>
      <c r="AI60" s="108">
        <f t="shared" si="18"/>
        <v>0</v>
      </c>
      <c r="AJ60" s="108">
        <f t="shared" si="19"/>
        <v>0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2"/>
        <v>3</v>
      </c>
    </row>
    <row r="61" spans="2:54">
      <c r="B61" s="12">
        <v>51</v>
      </c>
      <c r="C61" s="189">
        <v>41819</v>
      </c>
      <c r="D61" s="188" t="str">
        <f t="shared" si="23"/>
        <v>Spanje</v>
      </c>
      <c r="E61" s="15" t="s">
        <v>9</v>
      </c>
      <c r="F61" s="56" t="str">
        <f t="shared" si="24"/>
        <v>Kroatië</v>
      </c>
      <c r="G61" s="85">
        <v>3</v>
      </c>
      <c r="H61" s="15" t="s">
        <v>9</v>
      </c>
      <c r="I61" s="97">
        <v>1</v>
      </c>
      <c r="J61" s="98">
        <v>1</v>
      </c>
      <c r="K61" s="57" t="s">
        <v>52</v>
      </c>
      <c r="L61" s="57" t="s">
        <v>49</v>
      </c>
      <c r="M61" s="57"/>
      <c r="O61" s="135">
        <v>4</v>
      </c>
      <c r="P61" s="877" t="s">
        <v>211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3"/>
        <v>6</v>
      </c>
      <c r="Z61" t="str">
        <f t="shared" si="14"/>
        <v>Spanje</v>
      </c>
      <c r="AA61" t="str">
        <f t="shared" si="14"/>
        <v>Kroatië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6</v>
      </c>
      <c r="AG61" s="108">
        <f t="shared" si="16"/>
        <v>0</v>
      </c>
      <c r="AH61" s="108">
        <f t="shared" si="17"/>
        <v>1</v>
      </c>
      <c r="AI61" s="108">
        <f t="shared" si="18"/>
        <v>0</v>
      </c>
      <c r="AJ61" s="108">
        <f t="shared" si="19"/>
        <v>5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3</v>
      </c>
      <c r="BB61" s="139">
        <f t="shared" si="22"/>
        <v>3</v>
      </c>
    </row>
    <row r="62" spans="2:54">
      <c r="B62" s="24">
        <v>52</v>
      </c>
      <c r="C62" s="190">
        <v>41819</v>
      </c>
      <c r="D62" s="188" t="str">
        <f t="shared" si="23"/>
        <v>Italië</v>
      </c>
      <c r="E62" s="27" t="s">
        <v>9</v>
      </c>
      <c r="F62" s="59" t="str">
        <f t="shared" si="24"/>
        <v>Griekenland</v>
      </c>
      <c r="G62" s="87">
        <v>3</v>
      </c>
      <c r="H62" s="27" t="s">
        <v>9</v>
      </c>
      <c r="I62" s="99">
        <v>0</v>
      </c>
      <c r="J62" s="100">
        <v>1</v>
      </c>
      <c r="K62" s="57" t="s">
        <v>62</v>
      </c>
      <c r="L62" s="57" t="s">
        <v>58</v>
      </c>
      <c r="M62" s="57"/>
      <c r="O62" s="135">
        <v>5</v>
      </c>
      <c r="P62" s="877" t="s">
        <v>225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3"/>
        <v>0</v>
      </c>
      <c r="Z62" t="str">
        <f t="shared" si="14"/>
        <v>Italië</v>
      </c>
      <c r="AA62" t="str">
        <f t="shared" si="14"/>
        <v>Griekenland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0</v>
      </c>
      <c r="AG62" s="108">
        <f t="shared" si="16"/>
        <v>0</v>
      </c>
      <c r="AH62" s="108">
        <f t="shared" si="17"/>
        <v>0</v>
      </c>
      <c r="AI62" s="108">
        <f t="shared" si="18"/>
        <v>0</v>
      </c>
      <c r="AJ62" s="108">
        <f t="shared" si="19"/>
        <v>0</v>
      </c>
      <c r="AK62" s="108">
        <f t="shared" si="20"/>
        <v>0</v>
      </c>
      <c r="AL62" s="108">
        <f t="shared" si="21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2"/>
        <v>3</v>
      </c>
    </row>
    <row r="63" spans="2:54">
      <c r="B63" s="12">
        <v>53</v>
      </c>
      <c r="C63" s="189">
        <v>41820</v>
      </c>
      <c r="D63" s="153" t="str">
        <f t="shared" si="23"/>
        <v>Frankrijk</v>
      </c>
      <c r="E63" s="15" t="s">
        <v>9</v>
      </c>
      <c r="F63" s="56" t="str">
        <f t="shared" si="24"/>
        <v>Bosnië H.</v>
      </c>
      <c r="G63" s="85">
        <v>2</v>
      </c>
      <c r="H63" s="15" t="s">
        <v>9</v>
      </c>
      <c r="I63" s="97">
        <v>0</v>
      </c>
      <c r="J63" s="98">
        <v>1</v>
      </c>
      <c r="K63" s="57" t="s">
        <v>67</v>
      </c>
      <c r="L63" s="57" t="s">
        <v>73</v>
      </c>
      <c r="M63" s="57"/>
      <c r="O63" s="135">
        <v>6</v>
      </c>
      <c r="P63" s="877" t="s">
        <v>215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3"/>
        <v>10</v>
      </c>
      <c r="Z63" t="str">
        <f t="shared" si="14"/>
        <v>Frankrijk</v>
      </c>
      <c r="AA63" t="str">
        <f t="shared" si="14"/>
        <v>Bosnië H.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10</v>
      </c>
      <c r="AG63" s="108">
        <f t="shared" si="16"/>
        <v>1</v>
      </c>
      <c r="AH63" s="108">
        <f t="shared" si="17"/>
        <v>1</v>
      </c>
      <c r="AI63" s="108">
        <f t="shared" si="18"/>
        <v>10</v>
      </c>
      <c r="AJ63" s="108">
        <f t="shared" si="19"/>
        <v>5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3</v>
      </c>
      <c r="BB63" s="139">
        <f t="shared" si="22"/>
        <v>3</v>
      </c>
    </row>
    <row r="64" spans="2:54">
      <c r="B64" s="24">
        <v>54</v>
      </c>
      <c r="C64" s="190">
        <v>41820</v>
      </c>
      <c r="D64" s="154" t="str">
        <f t="shared" si="23"/>
        <v>Portugal</v>
      </c>
      <c r="E64" s="27" t="s">
        <v>9</v>
      </c>
      <c r="F64" s="59" t="str">
        <f t="shared" si="24"/>
        <v>Rusland</v>
      </c>
      <c r="G64" s="87">
        <v>3</v>
      </c>
      <c r="H64" s="27" t="s">
        <v>9</v>
      </c>
      <c r="I64" s="99">
        <v>1</v>
      </c>
      <c r="J64" s="100">
        <v>1</v>
      </c>
      <c r="K64" s="57" t="s">
        <v>77</v>
      </c>
      <c r="L64" s="57" t="s">
        <v>83</v>
      </c>
      <c r="M64" s="57"/>
      <c r="O64" s="135">
        <v>7</v>
      </c>
      <c r="P64" s="877" t="s">
        <v>226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3"/>
        <v>0</v>
      </c>
      <c r="Z64" t="str">
        <f t="shared" si="14"/>
        <v>Portugal</v>
      </c>
      <c r="AA64" t="str">
        <f t="shared" si="14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0</v>
      </c>
      <c r="AG64" s="108">
        <f t="shared" si="16"/>
        <v>0</v>
      </c>
      <c r="AH64" s="108">
        <f t="shared" si="17"/>
        <v>0</v>
      </c>
      <c r="AI64" s="108">
        <f t="shared" si="18"/>
        <v>0</v>
      </c>
      <c r="AJ64" s="108">
        <f t="shared" si="19"/>
        <v>0</v>
      </c>
      <c r="AK64" s="108">
        <f t="shared" si="20"/>
        <v>0</v>
      </c>
      <c r="AL64" s="108">
        <f t="shared" si="21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2"/>
        <v>3</v>
      </c>
    </row>
    <row r="65" spans="2:54">
      <c r="B65" s="18">
        <v>55</v>
      </c>
      <c r="C65" s="191">
        <v>41821</v>
      </c>
      <c r="D65" s="153" t="str">
        <f t="shared" si="23"/>
        <v>Argentinië</v>
      </c>
      <c r="E65" s="21" t="s">
        <v>9</v>
      </c>
      <c r="F65" s="60" t="str">
        <f t="shared" si="24"/>
        <v>Zwitserland</v>
      </c>
      <c r="G65" s="86">
        <v>3</v>
      </c>
      <c r="H65" s="21" t="s">
        <v>9</v>
      </c>
      <c r="I65" s="101">
        <v>0</v>
      </c>
      <c r="J65" s="102">
        <v>1</v>
      </c>
      <c r="K65" s="57" t="s">
        <v>72</v>
      </c>
      <c r="L65" s="57" t="s">
        <v>68</v>
      </c>
      <c r="M65" s="57"/>
      <c r="O65" s="135">
        <v>8</v>
      </c>
      <c r="P65" s="877" t="s">
        <v>213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3"/>
        <v>1</v>
      </c>
      <c r="Z65" t="str">
        <f t="shared" si="14"/>
        <v>Argentinië</v>
      </c>
      <c r="AA65" t="str">
        <f t="shared" si="14"/>
        <v>Zwitserland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1</v>
      </c>
      <c r="AG65" s="108">
        <f t="shared" si="16"/>
        <v>0</v>
      </c>
      <c r="AH65" s="108">
        <f t="shared" si="17"/>
        <v>1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2"/>
        <v>3</v>
      </c>
    </row>
    <row r="66" spans="2:54" ht="15.75" thickBot="1">
      <c r="B66" s="33">
        <v>56</v>
      </c>
      <c r="C66" s="186">
        <v>41821</v>
      </c>
      <c r="D66" s="155" t="str">
        <f t="shared" si="23"/>
        <v>België</v>
      </c>
      <c r="E66" s="36" t="s">
        <v>9</v>
      </c>
      <c r="F66" s="62" t="str">
        <f t="shared" si="24"/>
        <v>Duitsland</v>
      </c>
      <c r="G66" s="88">
        <v>1</v>
      </c>
      <c r="H66" s="36" t="s">
        <v>9</v>
      </c>
      <c r="I66" s="103">
        <v>3</v>
      </c>
      <c r="J66" s="104">
        <v>2</v>
      </c>
      <c r="K66" s="57" t="s">
        <v>82</v>
      </c>
      <c r="L66" s="57" t="s">
        <v>78</v>
      </c>
      <c r="M66" s="57"/>
      <c r="O66" s="135">
        <v>9</v>
      </c>
      <c r="P66" s="877" t="s">
        <v>209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3"/>
        <v>0</v>
      </c>
      <c r="Z66" t="str">
        <f>IF(K66=""," ",VLOOKUP(K66,$T$9:$V$54,3,FALSE))</f>
        <v>België</v>
      </c>
      <c r="AA66" t="str">
        <f>IF(L66=""," ",VLOOKUP(L66,$T$9:$V$54,3,FALSE))</f>
        <v>Duitsland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0</v>
      </c>
      <c r="AG66" s="108">
        <f t="shared" si="16"/>
        <v>0</v>
      </c>
      <c r="AH66" s="108">
        <f t="shared" si="17"/>
        <v>0</v>
      </c>
      <c r="AI66" s="108">
        <f t="shared" si="18"/>
        <v>0</v>
      </c>
      <c r="AJ66" s="108">
        <f t="shared" si="19"/>
        <v>0</v>
      </c>
      <c r="AK66" s="108">
        <f t="shared" si="20"/>
        <v>0</v>
      </c>
      <c r="AL66" s="108">
        <f t="shared" si="21"/>
        <v>0</v>
      </c>
      <c r="AZ66" s="138" t="str">
        <f>Uitslag!P66</f>
        <v>Jonathan de Guzman (m)</v>
      </c>
      <c r="BA66" s="140">
        <f t="shared" si="12"/>
        <v>3</v>
      </c>
      <c r="BB66" s="139">
        <f t="shared" si="22"/>
        <v>3</v>
      </c>
    </row>
    <row r="67" spans="2:54" ht="15.75" thickBot="1">
      <c r="B67" s="1"/>
      <c r="C67" s="39"/>
      <c r="D67" s="40"/>
      <c r="E67" s="1"/>
      <c r="F67" s="40"/>
      <c r="G67" s="1"/>
      <c r="H67" s="1"/>
      <c r="I67" s="1"/>
      <c r="J67" s="1"/>
      <c r="K67" s="1"/>
      <c r="L67" s="1"/>
      <c r="M67" s="1"/>
      <c r="O67" s="135">
        <v>10</v>
      </c>
      <c r="P67" s="877" t="s">
        <v>214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2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195"/>
      <c r="K68" s="1"/>
      <c r="L68" s="1"/>
      <c r="M68" s="1"/>
      <c r="O68" s="135">
        <v>11</v>
      </c>
      <c r="P68" s="877" t="s">
        <v>216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2"/>
        <v>3</v>
      </c>
    </row>
    <row r="69" spans="2:54">
      <c r="B69" s="78" t="s">
        <v>1</v>
      </c>
      <c r="C69" s="79" t="s">
        <v>2</v>
      </c>
      <c r="D69" s="193" t="s">
        <v>3</v>
      </c>
      <c r="E69" s="81"/>
      <c r="F69" s="194" t="s">
        <v>4</v>
      </c>
      <c r="G69" s="867" t="s">
        <v>5</v>
      </c>
      <c r="H69" s="868"/>
      <c r="I69" s="869"/>
      <c r="J69" s="83" t="s">
        <v>6</v>
      </c>
      <c r="K69" s="1"/>
      <c r="L69" s="1"/>
      <c r="M69" s="1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33</v>
      </c>
      <c r="BB69" s="139">
        <f>IF(AND(BA69&lt;&gt;"",BA69=33),15,"nvt")</f>
        <v>15</v>
      </c>
    </row>
    <row r="70" spans="2:54">
      <c r="B70" s="12">
        <v>57</v>
      </c>
      <c r="C70" s="13">
        <v>41824</v>
      </c>
      <c r="D70" s="55" t="str">
        <f>IF(J63="","Winnaar 53",IF(J63=1,D63,F63))</f>
        <v>Frankrijk</v>
      </c>
      <c r="E70" s="15" t="s">
        <v>9</v>
      </c>
      <c r="F70" s="56" t="str">
        <f>IF(J64="","Winnaar 54",IF(J64=1,D64,F64))</f>
        <v>Portugal</v>
      </c>
      <c r="G70" s="85">
        <v>3</v>
      </c>
      <c r="H70" s="15" t="s">
        <v>9</v>
      </c>
      <c r="I70" s="97">
        <v>1</v>
      </c>
      <c r="J70" s="98">
        <v>1</v>
      </c>
      <c r="K70" s="1"/>
      <c r="L70" s="1"/>
      <c r="M70" s="1"/>
      <c r="V70" t="s">
        <v>133</v>
      </c>
      <c r="W70" t="s">
        <v>126</v>
      </c>
      <c r="X70" t="str">
        <f t="shared" si="11"/>
        <v>Karim Rekik (v)</v>
      </c>
      <c r="Y70" s="109">
        <f>AF70</f>
        <v>1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1</v>
      </c>
      <c r="AG70" s="108">
        <f>IF(AC70="",0,(IF(G70=AC70,1,0)))</f>
        <v>0</v>
      </c>
      <c r="AH70" s="108">
        <f>IF(AD70="",0,(IF(I70=AD70,1,0)))</f>
        <v>1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0</v>
      </c>
      <c r="AL70" s="108">
        <f>IF(AND(G70=I70,AC70=AD70),5,0)</f>
        <v>0</v>
      </c>
    </row>
    <row r="71" spans="2:54">
      <c r="B71" s="24">
        <v>58</v>
      </c>
      <c r="C71" s="25">
        <v>41824</v>
      </c>
      <c r="D71" s="58" t="str">
        <f>IF(J59="","Winnaar 49",IF(J59=1,D59,F59))</f>
        <v>Brazilië</v>
      </c>
      <c r="E71" s="27" t="s">
        <v>9</v>
      </c>
      <c r="F71" s="59" t="str">
        <f>IF(J60="","Winnaar 50",IF(J60=1,D60,F60))</f>
        <v>Engeland</v>
      </c>
      <c r="G71" s="87">
        <v>2</v>
      </c>
      <c r="H71" s="27" t="s">
        <v>9</v>
      </c>
      <c r="I71" s="99">
        <v>1</v>
      </c>
      <c r="J71" s="100">
        <v>1</v>
      </c>
      <c r="K71" s="1"/>
      <c r="L71" s="1"/>
      <c r="M71" s="1"/>
      <c r="V71" t="s">
        <v>133</v>
      </c>
      <c r="W71" t="s">
        <v>194</v>
      </c>
      <c r="X71" t="str">
        <f t="shared" si="11"/>
        <v>Ron Vlaar (v)</v>
      </c>
      <c r="Y71" s="109">
        <f>AF71</f>
        <v>10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10</v>
      </c>
      <c r="AG71" s="108">
        <f>IF(AC71="",0,(IF(G71=AC71,1,0)))</f>
        <v>1</v>
      </c>
      <c r="AH71" s="108">
        <f>IF(AD71="",0,(IF(I71=AD71,1,0)))</f>
        <v>1</v>
      </c>
      <c r="AI71" s="108">
        <f>IF(AND(AG71=1,AH71=1),10,0)</f>
        <v>10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12">
        <v>59</v>
      </c>
      <c r="C72" s="13">
        <v>41825</v>
      </c>
      <c r="D72" s="55" t="str">
        <f>IF(J65="","Winnaar 55",IF(J65=1,D65,F65))</f>
        <v>Argentinië</v>
      </c>
      <c r="E72" s="15" t="s">
        <v>9</v>
      </c>
      <c r="F72" s="56" t="str">
        <f>IF(J66="","Winnaar 56",IF(J66=1,D66,F66))</f>
        <v>Duitsland</v>
      </c>
      <c r="G72" s="85">
        <v>2</v>
      </c>
      <c r="H72" s="15" t="s">
        <v>9</v>
      </c>
      <c r="I72" s="97">
        <v>1</v>
      </c>
      <c r="J72" s="98">
        <v>1</v>
      </c>
      <c r="K72" s="1"/>
      <c r="L72" s="1"/>
      <c r="M72" s="1"/>
      <c r="V72" t="s">
        <v>133</v>
      </c>
      <c r="W72" t="s">
        <v>195</v>
      </c>
      <c r="X72" t="str">
        <f t="shared" si="11"/>
        <v>John Heitinga (v)</v>
      </c>
      <c r="Y72" s="109">
        <f>AF72</f>
        <v>5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5</v>
      </c>
      <c r="AG72" s="108">
        <f>IF(AC72="",0,(IF(G72=AC72,1,0)))</f>
        <v>0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5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3">
        <v>60</v>
      </c>
      <c r="C73" s="34">
        <v>41825</v>
      </c>
      <c r="D73" s="61" t="str">
        <f>IF(J61="","Winnaar 51",IF(J61=1,D61,F61))</f>
        <v>Spanje</v>
      </c>
      <c r="E73" s="36" t="s">
        <v>9</v>
      </c>
      <c r="F73" s="62" t="str">
        <f>IF(J62="","Winnaar 52",IF(J62=1,D62,F62))</f>
        <v>Italië</v>
      </c>
      <c r="G73" s="88">
        <v>3</v>
      </c>
      <c r="H73" s="36" t="s">
        <v>9</v>
      </c>
      <c r="I73" s="103">
        <v>2</v>
      </c>
      <c r="J73" s="104">
        <v>1</v>
      </c>
      <c r="K73" s="1"/>
      <c r="L73" s="1"/>
      <c r="M73" s="1"/>
      <c r="V73" t="s">
        <v>133</v>
      </c>
      <c r="W73" t="s">
        <v>196</v>
      </c>
      <c r="X73" t="str">
        <f t="shared" si="11"/>
        <v>Urby Emanuelson (v)</v>
      </c>
      <c r="Y73" s="109">
        <f>AF73</f>
        <v>0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0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1"/>
      <c r="C74" s="39"/>
      <c r="D74" s="40"/>
      <c r="E74" s="1"/>
      <c r="F74" s="40"/>
      <c r="G74" s="1"/>
      <c r="H74" s="1"/>
      <c r="I74" s="1"/>
      <c r="J74" s="1"/>
      <c r="K74" s="1"/>
      <c r="L74" s="1"/>
      <c r="M74" s="1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195"/>
      <c r="K75" s="1"/>
      <c r="L75" s="1"/>
      <c r="M75" s="1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78" t="s">
        <v>1</v>
      </c>
      <c r="C76" s="79" t="s">
        <v>2</v>
      </c>
      <c r="D76" s="193" t="s">
        <v>3</v>
      </c>
      <c r="E76" s="81"/>
      <c r="F76" s="194" t="s">
        <v>4</v>
      </c>
      <c r="G76" s="867" t="s">
        <v>5</v>
      </c>
      <c r="H76" s="868"/>
      <c r="I76" s="869"/>
      <c r="J76" s="83" t="s">
        <v>6</v>
      </c>
      <c r="K76" s="1"/>
      <c r="L76" s="1"/>
      <c r="M76" s="1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12">
        <v>61</v>
      </c>
      <c r="C77" s="13">
        <v>41828</v>
      </c>
      <c r="D77" s="55" t="str">
        <f>IF(J70="","Winnaar 57",IF(J70=1,D70,F70))</f>
        <v>Frankrijk</v>
      </c>
      <c r="E77" s="15" t="s">
        <v>9</v>
      </c>
      <c r="F77" s="56" t="str">
        <f>IF(J71="","Winnaar 58",IF(J71=1,D71,F71))</f>
        <v>Brazilië</v>
      </c>
      <c r="G77" s="85">
        <v>1</v>
      </c>
      <c r="H77" s="15" t="s">
        <v>9</v>
      </c>
      <c r="I77" s="97">
        <v>3</v>
      </c>
      <c r="J77" s="98">
        <v>2</v>
      </c>
      <c r="K77" s="1"/>
      <c r="L77" s="1"/>
      <c r="M77" s="1"/>
      <c r="V77" t="s">
        <v>134</v>
      </c>
      <c r="W77" t="s">
        <v>203</v>
      </c>
      <c r="X77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3">
        <v>62</v>
      </c>
      <c r="C78" s="34">
        <v>41829</v>
      </c>
      <c r="D78" s="61" t="str">
        <f>IF(J72="","Winnaar 59",IF(J72=1,D72,F72))</f>
        <v>Argentinië</v>
      </c>
      <c r="E78" s="36" t="s">
        <v>9</v>
      </c>
      <c r="F78" s="62" t="str">
        <f>IF(J73="","Winnaar 60",IF(J73=1,D73,F73))</f>
        <v>Spanje</v>
      </c>
      <c r="G78" s="88">
        <v>3</v>
      </c>
      <c r="H78" s="36" t="s">
        <v>9</v>
      </c>
      <c r="I78" s="103">
        <v>2</v>
      </c>
      <c r="J78" s="104">
        <v>1</v>
      </c>
      <c r="K78" s="1"/>
      <c r="L78" s="1"/>
      <c r="M78" s="1"/>
      <c r="V78" t="s">
        <v>134</v>
      </c>
      <c r="W78" t="s">
        <v>199</v>
      </c>
      <c r="X78" t="str">
        <f t="shared" si="11"/>
        <v>Leroy Fer (m)</v>
      </c>
      <c r="Y78" s="109">
        <f>AF78</f>
        <v>0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0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1"/>
      <c r="C79" s="39"/>
      <c r="D79" s="40"/>
      <c r="E79" s="1"/>
      <c r="F79" s="40"/>
      <c r="G79" s="1"/>
      <c r="H79" s="1"/>
      <c r="I79" s="1"/>
      <c r="J79" s="1"/>
      <c r="K79" s="1"/>
      <c r="L79" s="1"/>
      <c r="M79" s="1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195"/>
      <c r="K80" s="1"/>
      <c r="L80" s="1"/>
      <c r="M80" s="1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78" t="s">
        <v>1</v>
      </c>
      <c r="C81" s="79" t="s">
        <v>2</v>
      </c>
      <c r="D81" s="193" t="s">
        <v>3</v>
      </c>
      <c r="E81" s="81"/>
      <c r="F81" s="194" t="s">
        <v>4</v>
      </c>
      <c r="G81" s="867" t="s">
        <v>5</v>
      </c>
      <c r="H81" s="868"/>
      <c r="I81" s="869"/>
      <c r="J81" s="83" t="s">
        <v>6</v>
      </c>
      <c r="K81" s="1"/>
      <c r="L81" s="1"/>
      <c r="M81" s="1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2">
        <v>63</v>
      </c>
      <c r="C82" s="63">
        <v>41832</v>
      </c>
      <c r="D82" s="64" t="str">
        <f>IF(J77="","Verliezer 61",IF(J77=1,F77,D77))</f>
        <v>Frankrijk</v>
      </c>
      <c r="E82" s="3" t="s">
        <v>9</v>
      </c>
      <c r="F82" s="65" t="str">
        <f>IF(J78="","Verliezer 62",IF(J78=1,F78,D78))</f>
        <v>Spanje</v>
      </c>
      <c r="G82" s="105">
        <v>1</v>
      </c>
      <c r="H82" s="3" t="s">
        <v>9</v>
      </c>
      <c r="I82" s="106">
        <v>3</v>
      </c>
      <c r="J82" s="107">
        <v>2</v>
      </c>
      <c r="K82" s="1"/>
      <c r="L82" s="1"/>
      <c r="M82" s="1"/>
      <c r="V82" t="s">
        <v>134</v>
      </c>
      <c r="W82" t="s">
        <v>125</v>
      </c>
      <c r="X82" t="str">
        <f t="shared" si="11"/>
        <v>Georginio Wijnaldum (m)</v>
      </c>
      <c r="Y82" s="109">
        <f>AF82</f>
        <v>6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6</v>
      </c>
      <c r="AG82" s="108">
        <f>IF(AC82="",0,(IF(G82=AC82,1,0)))</f>
        <v>0</v>
      </c>
      <c r="AH82" s="108">
        <f>IF(AD82="",0,(IF(I82=AD82,1,0)))</f>
        <v>1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5</v>
      </c>
      <c r="AL82" s="108">
        <f>IF(AND(G82=I82,AC82=AD82),5,0)</f>
        <v>0</v>
      </c>
    </row>
    <row r="83" spans="2:50" ht="15.75" thickBot="1">
      <c r="B83" s="1"/>
      <c r="C83" s="39"/>
      <c r="D83" s="40"/>
      <c r="E83" s="1"/>
      <c r="F83" s="40"/>
      <c r="G83" s="1"/>
      <c r="H83" s="1"/>
      <c r="I83" s="1"/>
      <c r="J83" s="1"/>
      <c r="K83" s="1"/>
      <c r="L83" s="1"/>
      <c r="M83" s="1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195"/>
      <c r="K84" s="1"/>
      <c r="L84" s="1"/>
      <c r="M84" s="1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78" t="s">
        <v>1</v>
      </c>
      <c r="C85" s="79" t="s">
        <v>2</v>
      </c>
      <c r="D85" s="193" t="s">
        <v>3</v>
      </c>
      <c r="E85" s="81"/>
      <c r="F85" s="194" t="s">
        <v>4</v>
      </c>
      <c r="G85" s="867" t="s">
        <v>5</v>
      </c>
      <c r="H85" s="868"/>
      <c r="I85" s="869"/>
      <c r="J85" s="83" t="s">
        <v>6</v>
      </c>
      <c r="K85" s="1"/>
      <c r="L85" s="1"/>
      <c r="M85" s="1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2">
        <v>64</v>
      </c>
      <c r="C86" s="63">
        <v>41833</v>
      </c>
      <c r="D86" s="64" t="str">
        <f>IF(J77="","Winnaar 61",IF(J77=1,D77,F77))</f>
        <v>Brazilië</v>
      </c>
      <c r="E86" s="3" t="s">
        <v>9</v>
      </c>
      <c r="F86" s="65" t="str">
        <f>IF(J78="","Winnaar 62",IF(J78=1,D78,F78))</f>
        <v>Argentinië</v>
      </c>
      <c r="G86" s="105">
        <v>3</v>
      </c>
      <c r="H86" s="3" t="s">
        <v>9</v>
      </c>
      <c r="I86" s="106">
        <v>1</v>
      </c>
      <c r="J86" s="107">
        <v>1</v>
      </c>
      <c r="K86" s="1"/>
      <c r="L86" s="1"/>
      <c r="M86" s="1"/>
      <c r="V86" t="s">
        <v>134</v>
      </c>
      <c r="W86" t="s">
        <v>139</v>
      </c>
      <c r="X86" t="str">
        <f t="shared" si="11"/>
        <v>Nigel de Jong (m)</v>
      </c>
      <c r="Y86" s="109">
        <f>AF86</f>
        <v>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0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Brazilië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5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5</v>
      </c>
      <c r="AV89">
        <f>IF(AR89=0,0,IF(E89=AR89,50,0))</f>
        <v>0</v>
      </c>
      <c r="AW89">
        <f>IF(E89=0,0,IF(OR(E89=AR90),15,0))</f>
        <v>0</v>
      </c>
      <c r="AX89">
        <f>IF(E89=0,0,IF(OR(E89=AR91,E89=AR92),5,0))</f>
        <v>5</v>
      </c>
    </row>
    <row r="90" spans="2:50">
      <c r="C90" s="870">
        <v>2</v>
      </c>
      <c r="D90" s="871"/>
      <c r="E90" s="872" t="str">
        <f>IF(J86=2,D86,IF(J86=1,F86,"Wie wordt 2de?"))</f>
        <v>Argentinië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25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25</v>
      </c>
      <c r="AV90">
        <f>IF(AR90=0,0,IF(AR90=E90,25,0))</f>
        <v>25</v>
      </c>
      <c r="AW90">
        <f>IF(E90=0,0,IF(OR(E90=AR89,),15,0))</f>
        <v>0</v>
      </c>
      <c r="AX90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Spanje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0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0</v>
      </c>
      <c r="AV91">
        <f>IF(AR91=0,0,IF(AR91=E91,15,0))</f>
        <v>0</v>
      </c>
      <c r="AW91">
        <f>IF(E91=0,0,IF(OR(E91=AR92),10,0))</f>
        <v>0</v>
      </c>
      <c r="AX91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Frankrijk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0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0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30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conditionalFormatting sqref="AO9:AO12 AO15:AO18 AO21:AO24 AO27:AO30 AO33:AO36 AO39:AO42 AO45:AO48 AO51:AO54">
    <cfRule type="cellIs" dxfId="248" priority="3" operator="equal">
      <formula>10</formula>
    </cfRule>
  </conditionalFormatting>
  <conditionalFormatting sqref="P58:T58">
    <cfRule type="duplicateValues" dxfId="247" priority="2"/>
  </conditionalFormatting>
  <conditionalFormatting sqref="P58:T68">
    <cfRule type="duplicateValues" dxfId="246" priority="1"/>
  </conditionalFormatting>
  <dataValidations count="10">
    <dataValidation type="list" allowBlank="1" showInputMessage="1" showErrorMessage="1" sqref="T51:T54">
      <formula1>$W$51:$W$54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P58:P68">
      <formula1>$X$58:$X$98</formula1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B1:BB98"/>
  <sheetViews>
    <sheetView topLeftCell="A46" zoomScale="70" zoomScaleNormal="70" workbookViewId="0">
      <selection activeCell="P58" sqref="P58:T68"/>
    </sheetView>
  </sheetViews>
  <sheetFormatPr defaultRowHeight="15" outlineLevelCol="2"/>
  <cols>
    <col min="1" max="1" width="3.42578125" customWidth="1"/>
    <col min="2" max="2" width="3.5703125" bestFit="1" customWidth="1"/>
    <col min="3" max="3" width="11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145" t="s">
        <v>243</v>
      </c>
      <c r="E3" s="145"/>
      <c r="F3" s="145"/>
      <c r="N3" t="str">
        <f>D3</f>
        <v>Sylvia R.</v>
      </c>
      <c r="O3" s="144">
        <f>SUM(P3:S3)</f>
        <v>289</v>
      </c>
      <c r="P3" s="109">
        <f>SUM(Y8:Y86)</f>
        <v>162</v>
      </c>
      <c r="Q3" s="109">
        <f>SUM(AM4:AM55)</f>
        <v>90</v>
      </c>
      <c r="R3" s="109">
        <f>SUM(AP89:AP92)</f>
        <v>10</v>
      </c>
      <c r="S3" s="109">
        <f>SUM(BB58:BB69)</f>
        <v>27</v>
      </c>
      <c r="T3" s="109">
        <f>COUNTIF(AF8:AF86,10)</f>
        <v>2</v>
      </c>
      <c r="U3" s="109" t="str">
        <f>E89</f>
        <v>Brazilië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1"/>
      <c r="L6" s="1"/>
      <c r="O6" s="40"/>
      <c r="P6" s="41"/>
      <c r="Q6" s="41"/>
      <c r="R6" s="41"/>
      <c r="S6" s="41"/>
      <c r="T6" s="41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66" t="s">
        <v>1</v>
      </c>
      <c r="C7" s="67" t="s">
        <v>2</v>
      </c>
      <c r="D7" s="196" t="s">
        <v>3</v>
      </c>
      <c r="E7" s="69"/>
      <c r="F7" s="197" t="s">
        <v>4</v>
      </c>
      <c r="G7" s="880" t="s">
        <v>5</v>
      </c>
      <c r="H7" s="881"/>
      <c r="I7" s="882"/>
      <c r="J7" s="71" t="s">
        <v>6</v>
      </c>
      <c r="K7" s="4" t="s">
        <v>7</v>
      </c>
      <c r="L7" s="4" t="s">
        <v>7</v>
      </c>
      <c r="O7" s="1"/>
      <c r="P7" s="41"/>
      <c r="Q7" s="41"/>
      <c r="R7" s="41"/>
      <c r="S7" s="41"/>
      <c r="T7" s="41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5">
        <v>1</v>
      </c>
      <c r="C8" s="6">
        <v>41802</v>
      </c>
      <c r="D8" s="7" t="s">
        <v>8</v>
      </c>
      <c r="E8" s="8" t="s">
        <v>9</v>
      </c>
      <c r="F8" s="9" t="s">
        <v>10</v>
      </c>
      <c r="G8" s="84">
        <v>2</v>
      </c>
      <c r="H8" s="8" t="s">
        <v>9</v>
      </c>
      <c r="I8" s="192">
        <v>1</v>
      </c>
      <c r="J8" s="10">
        <f>IF(I8="","",IF(G8&gt;I8,1,IF(G8&lt;I8,2,3)))</f>
        <v>1</v>
      </c>
      <c r="K8" s="11">
        <f>IF(I8="","",IF($G8&gt;$I8,3,IF($G8=$I8,1,0)))</f>
        <v>3</v>
      </c>
      <c r="L8" s="11">
        <f>IF(I8="","",IF($G8&lt;$I8,3,IF($G8=$I8,1,0)))</f>
        <v>0</v>
      </c>
      <c r="O8" s="72" t="s">
        <v>41</v>
      </c>
      <c r="P8" s="73" t="s">
        <v>42</v>
      </c>
      <c r="Q8" s="73" t="s">
        <v>43</v>
      </c>
      <c r="R8" s="74" t="s">
        <v>44</v>
      </c>
      <c r="S8" s="75" t="s">
        <v>45</v>
      </c>
      <c r="T8" s="76" t="s">
        <v>46</v>
      </c>
      <c r="U8" s="40"/>
      <c r="V8" s="40"/>
      <c r="W8" s="40"/>
      <c r="Y8" s="109">
        <f>AF8</f>
        <v>6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6</v>
      </c>
      <c r="AG8" s="108">
        <f t="shared" ref="AG8:AG55" si="0">IF(AC8="",0,(IF(G8=AC8,1,0)))</f>
        <v>0</v>
      </c>
      <c r="AH8" s="108">
        <f t="shared" ref="AH8:AH55" si="1">IF(AD8="",0,(IF(I8=AD8,1,0)))</f>
        <v>1</v>
      </c>
      <c r="AI8" s="108">
        <f>IF(AND(AG8=1,AH8=1),10,0)</f>
        <v>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12">
        <v>2</v>
      </c>
      <c r="C9" s="13">
        <v>41803</v>
      </c>
      <c r="D9" s="14" t="s">
        <v>11</v>
      </c>
      <c r="E9" s="15" t="s">
        <v>9</v>
      </c>
      <c r="F9" s="16" t="s">
        <v>12</v>
      </c>
      <c r="G9" s="85">
        <v>1</v>
      </c>
      <c r="H9" s="15" t="s">
        <v>9</v>
      </c>
      <c r="I9" s="90">
        <v>1</v>
      </c>
      <c r="J9" s="17">
        <f t="shared" ref="J9:J55" si="5">IF(I9="","",IF(G9&gt;I9,1,IF(G9&lt;I9,2,3)))</f>
        <v>3</v>
      </c>
      <c r="K9" s="11">
        <f t="shared" ref="K9:K55" si="6">IF(I9="","",IF($G9&gt;$I9,3,IF($G9=$I9,1,0)))</f>
        <v>1</v>
      </c>
      <c r="L9" s="11">
        <f t="shared" ref="L9:L55" si="7">IF(I9="","",IF($G9&lt;$I9,3,IF($G9=$I9,1,0)))</f>
        <v>1</v>
      </c>
      <c r="O9" s="44" t="s">
        <v>8</v>
      </c>
      <c r="P9" s="45">
        <f>SUMIF($D$8:$D$55,$O9,$G$8:$G$55)+SUMIF($F$8:$F$55,$O9,$I$8:$I$55)</f>
        <v>7</v>
      </c>
      <c r="Q9" s="45">
        <f>SUMIF($D$8:$D$55,$O9,$I$8:$I$55)+SUMIF($F$8:$F$55,$O9,$G$8:$G$55)</f>
        <v>2</v>
      </c>
      <c r="R9" s="46">
        <f>P9-Q9</f>
        <v>5</v>
      </c>
      <c r="S9" s="47">
        <f>SUMIF($D$8:$D$55,$O9,$K$8:$K$55)+SUMIF($F$8:$F$55,$O9,$L$8:$L$55)</f>
        <v>9</v>
      </c>
      <c r="T9" s="94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1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1</v>
      </c>
      <c r="AG9" s="108">
        <f t="shared" si="0"/>
        <v>1</v>
      </c>
      <c r="AH9" s="108">
        <f t="shared" si="1"/>
        <v>0</v>
      </c>
      <c r="AI9" s="108">
        <f t="shared" ref="AI9:AI55" si="10">IF(AND(AG9=1,AH9=1),10,0)</f>
        <v>0</v>
      </c>
      <c r="AJ9" s="108">
        <f t="shared" si="2"/>
        <v>0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18">
        <v>3</v>
      </c>
      <c r="C10" s="19">
        <v>41803</v>
      </c>
      <c r="D10" s="20" t="s">
        <v>13</v>
      </c>
      <c r="E10" s="21" t="s">
        <v>9</v>
      </c>
      <c r="F10" s="22" t="s">
        <v>14</v>
      </c>
      <c r="G10" s="86">
        <v>1</v>
      </c>
      <c r="H10" s="21" t="s">
        <v>9</v>
      </c>
      <c r="I10" s="91">
        <v>0</v>
      </c>
      <c r="J10" s="23">
        <f t="shared" si="5"/>
        <v>1</v>
      </c>
      <c r="K10" s="11">
        <f t="shared" si="6"/>
        <v>3</v>
      </c>
      <c r="L10" s="11">
        <f t="shared" si="7"/>
        <v>0</v>
      </c>
      <c r="O10" s="48" t="s">
        <v>10</v>
      </c>
      <c r="P10" s="49">
        <f>SUMIF($D$8:$D$55,$O10,$G$8:$G$55)+SUMIF($F$8:$F$55,$O10,$I$8:$I$55)</f>
        <v>4</v>
      </c>
      <c r="Q10" s="49">
        <f>SUMIF($D$8:$D$55,$O10,$I$8:$I$55)+SUMIF($F$8:$F$55,$O10,$G$8:$G$55)</f>
        <v>6</v>
      </c>
      <c r="R10" s="49">
        <f>P10-Q10</f>
        <v>-2</v>
      </c>
      <c r="S10" s="50">
        <f>SUMIF($D$8:$D$55,$O10,$K$8:$K$55)+SUMIF($F$8:$F$55,$O10,$L$8:$L$55)</f>
        <v>1</v>
      </c>
      <c r="T10" s="95" t="s">
        <v>50</v>
      </c>
      <c r="U10" s="40"/>
      <c r="V10" s="40" t="str">
        <f>O10</f>
        <v>Kroatië</v>
      </c>
      <c r="W10" s="40" t="s">
        <v>49</v>
      </c>
      <c r="Y10" s="109">
        <f t="shared" si="8"/>
        <v>1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1</v>
      </c>
      <c r="AG10" s="108">
        <f t="shared" si="0"/>
        <v>1</v>
      </c>
      <c r="AH10" s="108">
        <f t="shared" si="1"/>
        <v>0</v>
      </c>
      <c r="AI10" s="108">
        <f t="shared" si="10"/>
        <v>0</v>
      </c>
      <c r="AJ10" s="108">
        <f t="shared" si="2"/>
        <v>0</v>
      </c>
      <c r="AK10" s="108">
        <f t="shared" si="3"/>
        <v>0</v>
      </c>
      <c r="AL10" s="108">
        <f t="shared" si="4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24">
        <v>4</v>
      </c>
      <c r="C11" s="25">
        <v>41803</v>
      </c>
      <c r="D11" s="26" t="s">
        <v>15</v>
      </c>
      <c r="E11" s="27" t="s">
        <v>9</v>
      </c>
      <c r="F11" s="28" t="s">
        <v>16</v>
      </c>
      <c r="G11" s="87">
        <v>1</v>
      </c>
      <c r="H11" s="27" t="s">
        <v>9</v>
      </c>
      <c r="I11" s="92">
        <v>0</v>
      </c>
      <c r="J11" s="29">
        <f t="shared" si="5"/>
        <v>1</v>
      </c>
      <c r="K11" s="11">
        <f t="shared" si="6"/>
        <v>3</v>
      </c>
      <c r="L11" s="11">
        <f t="shared" si="7"/>
        <v>0</v>
      </c>
      <c r="O11" s="48" t="s">
        <v>11</v>
      </c>
      <c r="P11" s="49">
        <f>SUMIF($D$8:$D$55,$O11,$G$8:$G$55)+SUMIF($F$8:$F$55,$O11,$I$8:$I$55)</f>
        <v>3</v>
      </c>
      <c r="Q11" s="49">
        <f>SUMIF($D$8:$D$55,$O11,$I$8:$I$55)+SUMIF($F$8:$F$55,$O11,$G$8:$G$55)</f>
        <v>4</v>
      </c>
      <c r="R11" s="49">
        <f>P11-Q11</f>
        <v>-1</v>
      </c>
      <c r="S11" s="50">
        <f>SUMIF($D$8:$D$55,$O11,$K$8:$K$55)+SUMIF($F$8:$F$55,$O11,$L$8:$L$55)</f>
        <v>4</v>
      </c>
      <c r="T11" s="95" t="s">
        <v>49</v>
      </c>
      <c r="U11" s="40"/>
      <c r="V11" s="40" t="str">
        <f>O11</f>
        <v>Mexico</v>
      </c>
      <c r="W11" s="40" t="s">
        <v>47</v>
      </c>
      <c r="Y11" s="109">
        <f t="shared" si="8"/>
        <v>5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5</v>
      </c>
      <c r="AG11" s="108">
        <f t="shared" si="0"/>
        <v>0</v>
      </c>
      <c r="AH11" s="108">
        <f t="shared" si="1"/>
        <v>0</v>
      </c>
      <c r="AI11" s="108">
        <f t="shared" si="10"/>
        <v>0</v>
      </c>
      <c r="AJ11" s="108">
        <f t="shared" si="2"/>
        <v>5</v>
      </c>
      <c r="AK11" s="108">
        <f t="shared" si="3"/>
        <v>0</v>
      </c>
      <c r="AL11" s="108">
        <f t="shared" si="4"/>
        <v>0</v>
      </c>
      <c r="AM11" s="120">
        <f>AO11</f>
        <v>10</v>
      </c>
      <c r="AN11" s="117" t="s">
        <v>11</v>
      </c>
      <c r="AO11" s="115">
        <f>IF(Uitslag!T11="",0,IF(T11=Uitslag!T11,10,0))</f>
        <v>10</v>
      </c>
    </row>
    <row r="12" spans="2:54" ht="15.75" thickBot="1">
      <c r="B12" s="12">
        <v>5</v>
      </c>
      <c r="C12" s="13">
        <v>41804</v>
      </c>
      <c r="D12" s="14" t="s">
        <v>17</v>
      </c>
      <c r="E12" s="15" t="s">
        <v>9</v>
      </c>
      <c r="F12" s="16" t="s">
        <v>18</v>
      </c>
      <c r="G12" s="85">
        <v>0</v>
      </c>
      <c r="H12" s="15" t="s">
        <v>9</v>
      </c>
      <c r="I12" s="90">
        <v>0</v>
      </c>
      <c r="J12" s="17">
        <f t="shared" si="5"/>
        <v>3</v>
      </c>
      <c r="K12" s="11">
        <f t="shared" si="6"/>
        <v>1</v>
      </c>
      <c r="L12" s="11">
        <f t="shared" si="7"/>
        <v>1</v>
      </c>
      <c r="O12" s="51" t="s">
        <v>12</v>
      </c>
      <c r="P12" s="52">
        <f>SUMIF($D$8:$D$55,$O12,$G$8:$G$55)+SUMIF($F$8:$F$55,$O12,$I$8:$I$55)</f>
        <v>4</v>
      </c>
      <c r="Q12" s="52">
        <f>SUMIF($D$8:$D$55,$O12,$I$8:$I$55)+SUMIF($F$8:$F$55,$O12,$G$8:$G$55)</f>
        <v>6</v>
      </c>
      <c r="R12" s="52">
        <f>P12-Q12</f>
        <v>-2</v>
      </c>
      <c r="S12" s="53">
        <f>SUMIF($D$8:$D$55,$O12,$K$8:$K$55)+SUMIF($F$8:$F$55,$O12,$L$8:$L$55)</f>
        <v>2</v>
      </c>
      <c r="T12" s="96" t="s">
        <v>47</v>
      </c>
      <c r="U12" s="40"/>
      <c r="V12" s="40" t="str">
        <f>O12</f>
        <v>Kameroen</v>
      </c>
      <c r="W12" s="40" t="s">
        <v>50</v>
      </c>
      <c r="Y12" s="109">
        <f t="shared" si="8"/>
        <v>1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1</v>
      </c>
      <c r="AG12" s="108">
        <f t="shared" si="0"/>
        <v>0</v>
      </c>
      <c r="AH12" s="108">
        <f t="shared" si="1"/>
        <v>1</v>
      </c>
      <c r="AI12" s="108">
        <f t="shared" si="10"/>
        <v>0</v>
      </c>
      <c r="AJ12" s="108">
        <f t="shared" si="2"/>
        <v>0</v>
      </c>
      <c r="AK12" s="108">
        <f t="shared" si="3"/>
        <v>0</v>
      </c>
      <c r="AL12" s="108">
        <f t="shared" si="4"/>
        <v>0</v>
      </c>
      <c r="AM12" s="120">
        <f>AO12</f>
        <v>0</v>
      </c>
      <c r="AN12" s="118" t="s">
        <v>12</v>
      </c>
      <c r="AO12" s="115">
        <f>IF(Uitslag!T12="",0,IF(T12=Uitslag!T12,10,0))</f>
        <v>0</v>
      </c>
    </row>
    <row r="13" spans="2:54" ht="15.75" thickBot="1">
      <c r="B13" s="18">
        <v>6</v>
      </c>
      <c r="C13" s="19">
        <v>41804</v>
      </c>
      <c r="D13" s="20" t="s">
        <v>19</v>
      </c>
      <c r="E13" s="21" t="s">
        <v>9</v>
      </c>
      <c r="F13" s="30" t="s">
        <v>20</v>
      </c>
      <c r="G13" s="86">
        <v>2</v>
      </c>
      <c r="H13" s="21" t="s">
        <v>9</v>
      </c>
      <c r="I13" s="91">
        <v>1</v>
      </c>
      <c r="J13" s="23">
        <f t="shared" si="5"/>
        <v>1</v>
      </c>
      <c r="K13" s="11">
        <f t="shared" si="6"/>
        <v>3</v>
      </c>
      <c r="L13" s="11">
        <f t="shared" si="7"/>
        <v>0</v>
      </c>
      <c r="O13" s="40"/>
      <c r="P13" s="41"/>
      <c r="Q13" s="41"/>
      <c r="R13" s="41"/>
      <c r="S13" s="41"/>
      <c r="T13" s="41"/>
      <c r="U13" s="40"/>
      <c r="V13" s="40"/>
      <c r="W13" s="40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0"/>
        <v>0</v>
      </c>
      <c r="AH13" s="108">
        <f t="shared" si="1"/>
        <v>0</v>
      </c>
      <c r="AI13" s="108">
        <f t="shared" si="10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40"/>
      <c r="AO13" s="41"/>
    </row>
    <row r="14" spans="2:54" ht="15.75" thickBot="1">
      <c r="B14" s="18">
        <v>7</v>
      </c>
      <c r="C14" s="19">
        <v>41804</v>
      </c>
      <c r="D14" s="20" t="s">
        <v>21</v>
      </c>
      <c r="E14" s="21" t="s">
        <v>9</v>
      </c>
      <c r="F14" s="30" t="s">
        <v>22</v>
      </c>
      <c r="G14" s="86">
        <v>1</v>
      </c>
      <c r="H14" s="21" t="s">
        <v>9</v>
      </c>
      <c r="I14" s="91">
        <v>3</v>
      </c>
      <c r="J14" s="23">
        <f t="shared" si="5"/>
        <v>2</v>
      </c>
      <c r="K14" s="11">
        <f t="shared" si="6"/>
        <v>0</v>
      </c>
      <c r="L14" s="11">
        <f t="shared" si="7"/>
        <v>3</v>
      </c>
      <c r="O14" s="72" t="s">
        <v>51</v>
      </c>
      <c r="P14" s="73" t="s">
        <v>42</v>
      </c>
      <c r="Q14" s="73" t="s">
        <v>43</v>
      </c>
      <c r="R14" s="74" t="s">
        <v>44</v>
      </c>
      <c r="S14" s="75" t="s">
        <v>45</v>
      </c>
      <c r="T14" s="76" t="s">
        <v>46</v>
      </c>
      <c r="U14" s="40"/>
      <c r="V14" s="40"/>
      <c r="W14" s="40"/>
      <c r="Y14" s="109">
        <f t="shared" si="8"/>
        <v>6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6</v>
      </c>
      <c r="AG14" s="108">
        <f t="shared" si="0"/>
        <v>1</v>
      </c>
      <c r="AH14" s="108">
        <f t="shared" si="1"/>
        <v>0</v>
      </c>
      <c r="AI14" s="108">
        <f t="shared" si="10"/>
        <v>0</v>
      </c>
      <c r="AJ14" s="108">
        <f t="shared" si="2"/>
        <v>0</v>
      </c>
      <c r="AK14" s="108">
        <f t="shared" si="3"/>
        <v>5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24">
        <v>8</v>
      </c>
      <c r="C15" s="25">
        <v>41804</v>
      </c>
      <c r="D15" s="26" t="s">
        <v>23</v>
      </c>
      <c r="E15" s="27" t="s">
        <v>9</v>
      </c>
      <c r="F15" s="28" t="s">
        <v>24</v>
      </c>
      <c r="G15" s="87">
        <v>1</v>
      </c>
      <c r="H15" s="27" t="s">
        <v>9</v>
      </c>
      <c r="I15" s="92">
        <v>0</v>
      </c>
      <c r="J15" s="29">
        <f t="shared" si="5"/>
        <v>1</v>
      </c>
      <c r="K15" s="11">
        <f t="shared" si="6"/>
        <v>3</v>
      </c>
      <c r="L15" s="11">
        <f t="shared" si="7"/>
        <v>0</v>
      </c>
      <c r="O15" s="44" t="s">
        <v>13</v>
      </c>
      <c r="P15" s="45">
        <f>SUMIF($D$8:$D$55,$O15,$G$8:$G$55)+SUMIF($F$8:$F$55,$O15,$I$8:$I$55)</f>
        <v>8</v>
      </c>
      <c r="Q15" s="45">
        <f>SUMIF($D$8:$D$55,$O15,$I$8:$I$55)+SUMIF($F$8:$F$55,$O15,$G$8:$G$55)</f>
        <v>3</v>
      </c>
      <c r="R15" s="46">
        <f>P15-Q15</f>
        <v>5</v>
      </c>
      <c r="S15" s="47">
        <f>SUMIF($D$8:$D$55,$O15,$K$8:$K$55)+SUMIF($F$8:$F$55,$O15,$L$8:$L$55)</f>
        <v>9</v>
      </c>
      <c r="T15" s="94" t="s">
        <v>52</v>
      </c>
      <c r="U15" s="40"/>
      <c r="V15" s="40" t="str">
        <f>O15</f>
        <v>Spanje</v>
      </c>
      <c r="W15" s="40" t="s">
        <v>52</v>
      </c>
      <c r="Y15" s="109">
        <f t="shared" si="8"/>
        <v>5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5</v>
      </c>
      <c r="AG15" s="108">
        <f t="shared" si="0"/>
        <v>0</v>
      </c>
      <c r="AH15" s="108">
        <f t="shared" si="1"/>
        <v>0</v>
      </c>
      <c r="AI15" s="108">
        <f t="shared" si="10"/>
        <v>0</v>
      </c>
      <c r="AJ15" s="108">
        <f t="shared" si="2"/>
        <v>5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12">
        <v>9</v>
      </c>
      <c r="C16" s="13">
        <v>41805</v>
      </c>
      <c r="D16" s="14" t="s">
        <v>25</v>
      </c>
      <c r="E16" s="15" t="s">
        <v>9</v>
      </c>
      <c r="F16" s="16" t="s">
        <v>26</v>
      </c>
      <c r="G16" s="85">
        <v>0</v>
      </c>
      <c r="H16" s="15" t="s">
        <v>9</v>
      </c>
      <c r="I16" s="90">
        <v>2</v>
      </c>
      <c r="J16" s="17">
        <f t="shared" si="5"/>
        <v>2</v>
      </c>
      <c r="K16" s="11">
        <f t="shared" si="6"/>
        <v>0</v>
      </c>
      <c r="L16" s="11">
        <f t="shared" si="7"/>
        <v>3</v>
      </c>
      <c r="O16" s="54" t="s">
        <v>14</v>
      </c>
      <c r="P16" s="49">
        <f>SUMIF($D$8:$D$55,$O16,$G$8:$G$55)+SUMIF($F$8:$F$55,$O16,$I$8:$I$55)</f>
        <v>4</v>
      </c>
      <c r="Q16" s="49">
        <f>SUMIF($D$8:$D$55,$O16,$I$8:$I$55)+SUMIF($F$8:$F$55,$O16,$G$8:$G$55)</f>
        <v>1</v>
      </c>
      <c r="R16" s="49">
        <f>P16-Q16</f>
        <v>3</v>
      </c>
      <c r="S16" s="50">
        <f>SUMIF($D$8:$D$55,$O16,$K$8:$K$55)+SUMIF($F$8:$F$55,$O16,$L$8:$L$55)</f>
        <v>6</v>
      </c>
      <c r="T16" s="95" t="s">
        <v>53</v>
      </c>
      <c r="U16" s="40"/>
      <c r="V16" s="40" t="str">
        <f>O16</f>
        <v>Nederland</v>
      </c>
      <c r="W16" s="40" t="s">
        <v>53</v>
      </c>
      <c r="Y16" s="109">
        <f t="shared" si="8"/>
        <v>0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0</v>
      </c>
      <c r="AG16" s="108">
        <f t="shared" si="0"/>
        <v>0</v>
      </c>
      <c r="AH16" s="108">
        <f t="shared" si="1"/>
        <v>0</v>
      </c>
      <c r="AI16" s="108">
        <f t="shared" si="10"/>
        <v>0</v>
      </c>
      <c r="AJ16" s="108">
        <f t="shared" si="2"/>
        <v>0</v>
      </c>
      <c r="AK16" s="108">
        <f t="shared" si="3"/>
        <v>0</v>
      </c>
      <c r="AL16" s="108">
        <f t="shared" si="4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18">
        <v>10</v>
      </c>
      <c r="C17" s="19">
        <v>41805</v>
      </c>
      <c r="D17" s="20" t="s">
        <v>27</v>
      </c>
      <c r="E17" s="21" t="s">
        <v>9</v>
      </c>
      <c r="F17" s="30" t="s">
        <v>28</v>
      </c>
      <c r="G17" s="86">
        <v>1</v>
      </c>
      <c r="H17" s="21" t="s">
        <v>9</v>
      </c>
      <c r="I17" s="91">
        <v>0</v>
      </c>
      <c r="J17" s="23">
        <f t="shared" si="5"/>
        <v>1</v>
      </c>
      <c r="K17" s="11">
        <f t="shared" si="6"/>
        <v>3</v>
      </c>
      <c r="L17" s="11">
        <f t="shared" si="7"/>
        <v>0</v>
      </c>
      <c r="O17" s="48" t="s">
        <v>15</v>
      </c>
      <c r="P17" s="49">
        <f>SUMIF($D$8:$D$55,$O17,$G$8:$G$55)+SUMIF($F$8:$F$55,$O17,$I$8:$I$55)</f>
        <v>3</v>
      </c>
      <c r="Q17" s="49">
        <f>SUMIF($D$8:$D$55,$O17,$I$8:$I$55)+SUMIF($F$8:$F$55,$O17,$G$8:$G$55)</f>
        <v>4</v>
      </c>
      <c r="R17" s="49">
        <f>P17-Q17</f>
        <v>-1</v>
      </c>
      <c r="S17" s="50">
        <f>SUMIF($D$8:$D$55,$O17,$K$8:$K$55)+SUMIF($F$8:$F$55,$O17,$L$8:$L$55)</f>
        <v>3</v>
      </c>
      <c r="T17" s="95" t="s">
        <v>54</v>
      </c>
      <c r="U17" s="40"/>
      <c r="V17" s="40" t="str">
        <f>O17</f>
        <v>Chili</v>
      </c>
      <c r="W17" s="40" t="s">
        <v>54</v>
      </c>
      <c r="Y17" s="109">
        <f t="shared" si="8"/>
        <v>6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6</v>
      </c>
      <c r="AG17" s="108">
        <f t="shared" si="0"/>
        <v>0</v>
      </c>
      <c r="AH17" s="108">
        <f t="shared" si="1"/>
        <v>1</v>
      </c>
      <c r="AI17" s="108">
        <f t="shared" si="10"/>
        <v>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24">
        <v>11</v>
      </c>
      <c r="C18" s="25">
        <v>41805</v>
      </c>
      <c r="D18" s="26" t="s">
        <v>29</v>
      </c>
      <c r="E18" s="27" t="s">
        <v>9</v>
      </c>
      <c r="F18" s="28" t="s">
        <v>30</v>
      </c>
      <c r="G18" s="87">
        <v>3</v>
      </c>
      <c r="H18" s="27" t="s">
        <v>9</v>
      </c>
      <c r="I18" s="92">
        <v>1</v>
      </c>
      <c r="J18" s="29">
        <f t="shared" si="5"/>
        <v>1</v>
      </c>
      <c r="K18" s="11">
        <f t="shared" si="6"/>
        <v>3</v>
      </c>
      <c r="L18" s="11">
        <f t="shared" si="7"/>
        <v>0</v>
      </c>
      <c r="O18" s="51" t="s">
        <v>16</v>
      </c>
      <c r="P18" s="52">
        <f>SUMIF($D$8:$D$55,$O18,$G$8:$G$55)+SUMIF($F$8:$F$55,$O18,$I$8:$I$55)</f>
        <v>1</v>
      </c>
      <c r="Q18" s="52">
        <f>SUMIF($D$8:$D$55,$O18,$I$8:$I$55)+SUMIF($F$8:$F$55,$O18,$G$8:$G$55)</f>
        <v>8</v>
      </c>
      <c r="R18" s="52">
        <f>P18-Q18</f>
        <v>-7</v>
      </c>
      <c r="S18" s="53">
        <f>SUMIF($D$8:$D$55,$O18,$K$8:$K$55)+SUMIF($F$8:$F$55,$O18,$L$8:$L$55)</f>
        <v>0</v>
      </c>
      <c r="T18" s="96" t="s">
        <v>54</v>
      </c>
      <c r="U18" s="40"/>
      <c r="V18" s="40" t="str">
        <f>O18</f>
        <v>Australië</v>
      </c>
      <c r="W18" s="40" t="s">
        <v>55</v>
      </c>
      <c r="Y18" s="109">
        <f t="shared" si="8"/>
        <v>6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6</v>
      </c>
      <c r="AG18" s="108">
        <f t="shared" si="0"/>
        <v>0</v>
      </c>
      <c r="AH18" s="108">
        <f t="shared" si="1"/>
        <v>1</v>
      </c>
      <c r="AI18" s="108">
        <f t="shared" si="10"/>
        <v>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0</v>
      </c>
      <c r="AN18" s="118" t="s">
        <v>16</v>
      </c>
      <c r="AO18" s="115">
        <f>IF(Uitslag!T18="",0,IF(T18=Uitslag!T18,10,0))</f>
        <v>0</v>
      </c>
    </row>
    <row r="19" spans="2:41" ht="15.75" thickBot="1">
      <c r="B19" s="12">
        <v>12</v>
      </c>
      <c r="C19" s="13">
        <v>41806</v>
      </c>
      <c r="D19" s="14" t="s">
        <v>31</v>
      </c>
      <c r="E19" s="15" t="s">
        <v>9</v>
      </c>
      <c r="F19" s="16" t="s">
        <v>32</v>
      </c>
      <c r="G19" s="85">
        <v>1</v>
      </c>
      <c r="H19" s="15" t="s">
        <v>9</v>
      </c>
      <c r="I19" s="90">
        <v>1</v>
      </c>
      <c r="J19" s="17">
        <f t="shared" si="5"/>
        <v>3</v>
      </c>
      <c r="K19" s="11">
        <f t="shared" si="6"/>
        <v>1</v>
      </c>
      <c r="L19" s="11">
        <f t="shared" si="7"/>
        <v>1</v>
      </c>
      <c r="O19" s="40"/>
      <c r="P19" s="41"/>
      <c r="Q19" s="41"/>
      <c r="R19" s="41"/>
      <c r="S19" s="41"/>
      <c r="T19" s="41"/>
      <c r="U19" s="40"/>
      <c r="V19" s="40"/>
      <c r="W19" s="40"/>
      <c r="Y19" s="109">
        <f t="shared" si="8"/>
        <v>0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0</v>
      </c>
      <c r="AG19" s="108">
        <f t="shared" si="0"/>
        <v>0</v>
      </c>
      <c r="AH19" s="108">
        <f t="shared" si="1"/>
        <v>0</v>
      </c>
      <c r="AI19" s="108">
        <f t="shared" si="10"/>
        <v>0</v>
      </c>
      <c r="AJ19" s="108">
        <f t="shared" si="2"/>
        <v>0</v>
      </c>
      <c r="AK19" s="108">
        <f t="shared" si="3"/>
        <v>0</v>
      </c>
      <c r="AL19" s="108">
        <f t="shared" si="4"/>
        <v>0</v>
      </c>
      <c r="AN19" s="40"/>
      <c r="AO19" s="41"/>
    </row>
    <row r="20" spans="2:41" ht="15.75" thickBot="1">
      <c r="B20" s="18">
        <v>13</v>
      </c>
      <c r="C20" s="19">
        <v>41806</v>
      </c>
      <c r="D20" s="20" t="s">
        <v>33</v>
      </c>
      <c r="E20" s="21" t="s">
        <v>9</v>
      </c>
      <c r="F20" s="30" t="s">
        <v>34</v>
      </c>
      <c r="G20" s="86">
        <v>0</v>
      </c>
      <c r="H20" s="21" t="s">
        <v>9</v>
      </c>
      <c r="I20" s="91">
        <v>3</v>
      </c>
      <c r="J20" s="23">
        <f t="shared" si="5"/>
        <v>2</v>
      </c>
      <c r="K20" s="11">
        <f t="shared" si="6"/>
        <v>0</v>
      </c>
      <c r="L20" s="11">
        <f t="shared" si="7"/>
        <v>3</v>
      </c>
      <c r="O20" s="72" t="s">
        <v>56</v>
      </c>
      <c r="P20" s="73" t="s">
        <v>42</v>
      </c>
      <c r="Q20" s="73" t="s">
        <v>43</v>
      </c>
      <c r="R20" s="74" t="s">
        <v>44</v>
      </c>
      <c r="S20" s="75" t="s">
        <v>45</v>
      </c>
      <c r="T20" s="76" t="s">
        <v>46</v>
      </c>
      <c r="U20" s="40"/>
      <c r="V20" s="40"/>
      <c r="W20" s="40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0"/>
        <v>1</v>
      </c>
      <c r="AH20" s="108">
        <f t="shared" si="1"/>
        <v>0</v>
      </c>
      <c r="AI20" s="108">
        <f t="shared" si="10"/>
        <v>0</v>
      </c>
      <c r="AJ20" s="108">
        <f t="shared" si="2"/>
        <v>0</v>
      </c>
      <c r="AK20" s="108">
        <f t="shared" si="3"/>
        <v>0</v>
      </c>
      <c r="AL20" s="108">
        <f t="shared" si="4"/>
        <v>0</v>
      </c>
      <c r="AN20" s="42" t="s">
        <v>56</v>
      </c>
      <c r="AO20" s="43" t="s">
        <v>46</v>
      </c>
    </row>
    <row r="21" spans="2:41" ht="15.75" thickBot="1">
      <c r="B21" s="24">
        <v>14</v>
      </c>
      <c r="C21" s="25">
        <v>41806</v>
      </c>
      <c r="D21" s="26" t="s">
        <v>35</v>
      </c>
      <c r="E21" s="27" t="s">
        <v>9</v>
      </c>
      <c r="F21" s="28" t="s">
        <v>36</v>
      </c>
      <c r="G21" s="87">
        <v>2</v>
      </c>
      <c r="H21" s="27" t="s">
        <v>9</v>
      </c>
      <c r="I21" s="92">
        <v>0</v>
      </c>
      <c r="J21" s="29">
        <f t="shared" si="5"/>
        <v>1</v>
      </c>
      <c r="K21" s="11">
        <f t="shared" si="6"/>
        <v>3</v>
      </c>
      <c r="L21" s="11">
        <f t="shared" si="7"/>
        <v>0</v>
      </c>
      <c r="O21" s="44" t="s">
        <v>17</v>
      </c>
      <c r="P21" s="45">
        <f>SUMIF($D$8:$D$55,$O21,$G$8:$G$55)+SUMIF($F$8:$F$55,$O21,$I$8:$I$55)</f>
        <v>1</v>
      </c>
      <c r="Q21" s="45">
        <f>SUMIF($D$8:$D$55,$O21,$I$8:$I$55)+SUMIF($F$8:$F$55,$O21,$G$8:$G$55)</f>
        <v>0</v>
      </c>
      <c r="R21" s="46">
        <f>P21-Q21</f>
        <v>1</v>
      </c>
      <c r="S21" s="47">
        <f>SUMIF($D$8:$D$55,$O21,$K$8:$K$55)+SUMIF($F$8:$F$55,$O21,$L$8:$L$55)</f>
        <v>5</v>
      </c>
      <c r="T21" s="94" t="s">
        <v>58</v>
      </c>
      <c r="U21" s="40"/>
      <c r="V21" s="40" t="str">
        <f>O21</f>
        <v>Colombia</v>
      </c>
      <c r="W21" s="40" t="s">
        <v>57</v>
      </c>
      <c r="Y21" s="109">
        <f t="shared" si="8"/>
        <v>0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0</v>
      </c>
      <c r="AG21" s="108">
        <f t="shared" si="0"/>
        <v>0</v>
      </c>
      <c r="AH21" s="108">
        <f t="shared" si="1"/>
        <v>0</v>
      </c>
      <c r="AI21" s="108">
        <f t="shared" si="10"/>
        <v>0</v>
      </c>
      <c r="AJ21" s="108">
        <f t="shared" si="2"/>
        <v>0</v>
      </c>
      <c r="AK21" s="108">
        <f t="shared" si="3"/>
        <v>0</v>
      </c>
      <c r="AL21" s="108">
        <f t="shared" si="4"/>
        <v>0</v>
      </c>
      <c r="AM21" s="120">
        <f>AO21</f>
        <v>0</v>
      </c>
      <c r="AN21" s="116" t="s">
        <v>17</v>
      </c>
      <c r="AO21" s="115">
        <f>IF(Uitslag!T21="",0,IF(T21=Uitslag!T21,10,0))</f>
        <v>0</v>
      </c>
    </row>
    <row r="22" spans="2:41" ht="15.75" thickBot="1">
      <c r="B22" s="12">
        <v>15</v>
      </c>
      <c r="C22" s="13">
        <v>41807</v>
      </c>
      <c r="D22" s="14" t="s">
        <v>37</v>
      </c>
      <c r="E22" s="15" t="s">
        <v>9</v>
      </c>
      <c r="F22" s="16" t="s">
        <v>38</v>
      </c>
      <c r="G22" s="85">
        <v>1</v>
      </c>
      <c r="H22" s="15" t="s">
        <v>9</v>
      </c>
      <c r="I22" s="90">
        <v>0</v>
      </c>
      <c r="J22" s="17">
        <f t="shared" si="5"/>
        <v>1</v>
      </c>
      <c r="K22" s="11">
        <f t="shared" si="6"/>
        <v>3</v>
      </c>
      <c r="L22" s="11">
        <f t="shared" si="7"/>
        <v>0</v>
      </c>
      <c r="O22" s="48" t="s">
        <v>18</v>
      </c>
      <c r="P22" s="49">
        <f>SUMIF($D$8:$D$55,$O22,$G$8:$G$55)+SUMIF($F$8:$F$55,$O22,$I$8:$I$55)</f>
        <v>0</v>
      </c>
      <c r="Q22" s="49">
        <f>SUMIF($D$8:$D$55,$O22,$I$8:$I$55)+SUMIF($F$8:$F$55,$O22,$G$8:$G$55)</f>
        <v>3</v>
      </c>
      <c r="R22" s="49">
        <f>P22-Q22</f>
        <v>-3</v>
      </c>
      <c r="S22" s="50">
        <f>SUMIF($D$8:$D$55,$O22,$K$8:$K$55)+SUMIF($F$8:$F$55,$O22,$L$8:$L$55)</f>
        <v>1</v>
      </c>
      <c r="T22" s="95" t="s">
        <v>60</v>
      </c>
      <c r="U22" s="40"/>
      <c r="V22" s="40" t="str">
        <f>O22</f>
        <v>Griekenland</v>
      </c>
      <c r="W22" s="40" t="s">
        <v>58</v>
      </c>
      <c r="Y22" s="109">
        <f t="shared" si="8"/>
        <v>5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5</v>
      </c>
      <c r="AG22" s="108">
        <f t="shared" si="0"/>
        <v>0</v>
      </c>
      <c r="AH22" s="108">
        <f t="shared" si="1"/>
        <v>0</v>
      </c>
      <c r="AI22" s="108">
        <f t="shared" si="10"/>
        <v>0</v>
      </c>
      <c r="AJ22" s="108">
        <f t="shared" si="2"/>
        <v>5</v>
      </c>
      <c r="AK22" s="108">
        <f t="shared" si="3"/>
        <v>0</v>
      </c>
      <c r="AL22" s="108">
        <f t="shared" si="4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18">
        <v>16</v>
      </c>
      <c r="C23" s="19">
        <v>41807</v>
      </c>
      <c r="D23" s="20" t="s">
        <v>8</v>
      </c>
      <c r="E23" s="21" t="s">
        <v>9</v>
      </c>
      <c r="F23" s="30" t="s">
        <v>11</v>
      </c>
      <c r="G23" s="86">
        <v>2</v>
      </c>
      <c r="H23" s="21" t="s">
        <v>9</v>
      </c>
      <c r="I23" s="91">
        <v>0</v>
      </c>
      <c r="J23" s="23">
        <f t="shared" si="5"/>
        <v>1</v>
      </c>
      <c r="K23" s="11">
        <f t="shared" si="6"/>
        <v>3</v>
      </c>
      <c r="L23" s="11">
        <f t="shared" si="7"/>
        <v>0</v>
      </c>
      <c r="O23" s="48" t="s">
        <v>23</v>
      </c>
      <c r="P23" s="49">
        <f>SUMIF($D$8:$D$55,$O23,$G$8:$G$55)+SUMIF($F$8:$F$55,$O23,$I$8:$I$55)</f>
        <v>3</v>
      </c>
      <c r="Q23" s="49">
        <f>SUMIF($D$8:$D$55,$O23,$I$8:$I$55)+SUMIF($F$8:$F$55,$O23,$G$8:$G$55)</f>
        <v>1</v>
      </c>
      <c r="R23" s="49">
        <f>P23-Q23</f>
        <v>2</v>
      </c>
      <c r="S23" s="50">
        <f>SUMIF($D$8:$D$55,$O23,$K$8:$K$55)+SUMIF($F$8:$F$55,$O23,$L$8:$L$55)</f>
        <v>6</v>
      </c>
      <c r="T23" s="95" t="s">
        <v>57</v>
      </c>
      <c r="U23" s="40"/>
      <c r="V23" s="40" t="str">
        <f>O23</f>
        <v>Ivoorkust</v>
      </c>
      <c r="W23" s="40" t="s">
        <v>59</v>
      </c>
      <c r="Y23" s="109">
        <f t="shared" si="8"/>
        <v>1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1</v>
      </c>
      <c r="AG23" s="108">
        <f t="shared" si="0"/>
        <v>0</v>
      </c>
      <c r="AH23" s="108">
        <f t="shared" si="1"/>
        <v>1</v>
      </c>
      <c r="AI23" s="108">
        <f t="shared" si="10"/>
        <v>0</v>
      </c>
      <c r="AJ23" s="108">
        <f t="shared" si="2"/>
        <v>0</v>
      </c>
      <c r="AK23" s="108">
        <f t="shared" si="3"/>
        <v>0</v>
      </c>
      <c r="AL23" s="108">
        <f t="shared" si="4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24">
        <v>17</v>
      </c>
      <c r="C24" s="25">
        <v>41807</v>
      </c>
      <c r="D24" s="26" t="s">
        <v>39</v>
      </c>
      <c r="E24" s="27" t="s">
        <v>9</v>
      </c>
      <c r="F24" s="28" t="s">
        <v>40</v>
      </c>
      <c r="G24" s="87">
        <v>1</v>
      </c>
      <c r="H24" s="27" t="s">
        <v>9</v>
      </c>
      <c r="I24" s="92">
        <v>2</v>
      </c>
      <c r="J24" s="29">
        <f t="shared" si="5"/>
        <v>2</v>
      </c>
      <c r="K24" s="11">
        <f t="shared" si="6"/>
        <v>0</v>
      </c>
      <c r="L24" s="11">
        <f t="shared" si="7"/>
        <v>3</v>
      </c>
      <c r="O24" s="51" t="s">
        <v>24</v>
      </c>
      <c r="P24" s="52">
        <f>SUMIF($D$8:$D$55,$O24,$G$8:$G$55)+SUMIF($F$8:$F$55,$O24,$I$8:$I$55)</f>
        <v>1</v>
      </c>
      <c r="Q24" s="52">
        <f>SUMIF($D$8:$D$55,$O24,$I$8:$I$55)+SUMIF($F$8:$F$55,$O24,$G$8:$G$55)</f>
        <v>1</v>
      </c>
      <c r="R24" s="52">
        <f>P24-Q24</f>
        <v>0</v>
      </c>
      <c r="S24" s="53">
        <f>SUMIF($D$8:$D$55,$O24,$K$8:$K$55)+SUMIF($F$8:$F$55,$O24,$L$8:$L$55)</f>
        <v>4</v>
      </c>
      <c r="T24" s="96" t="s">
        <v>59</v>
      </c>
      <c r="U24" s="40"/>
      <c r="V24" s="40" t="str">
        <f>O24</f>
        <v>Japan</v>
      </c>
      <c r="W24" s="40" t="s">
        <v>60</v>
      </c>
      <c r="Y24" s="109">
        <f t="shared" si="8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</v>
      </c>
      <c r="AG24" s="108">
        <f t="shared" si="0"/>
        <v>1</v>
      </c>
      <c r="AH24" s="108">
        <f t="shared" si="1"/>
        <v>0</v>
      </c>
      <c r="AI24" s="108">
        <f t="shared" si="10"/>
        <v>0</v>
      </c>
      <c r="AJ24" s="108">
        <f t="shared" si="2"/>
        <v>0</v>
      </c>
      <c r="AK24" s="108">
        <f t="shared" si="3"/>
        <v>0</v>
      </c>
      <c r="AL24" s="108">
        <f t="shared" si="4"/>
        <v>0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12">
        <v>18</v>
      </c>
      <c r="C25" s="13">
        <v>41808</v>
      </c>
      <c r="D25" s="14" t="s">
        <v>16</v>
      </c>
      <c r="E25" s="15" t="s">
        <v>9</v>
      </c>
      <c r="F25" s="31" t="s">
        <v>14</v>
      </c>
      <c r="G25" s="85">
        <v>0</v>
      </c>
      <c r="H25" s="15" t="s">
        <v>9</v>
      </c>
      <c r="I25" s="90">
        <v>3</v>
      </c>
      <c r="J25" s="17">
        <f t="shared" si="5"/>
        <v>2</v>
      </c>
      <c r="K25" s="11">
        <f t="shared" si="6"/>
        <v>0</v>
      </c>
      <c r="L25" s="11">
        <f t="shared" si="7"/>
        <v>3</v>
      </c>
      <c r="O25" s="40"/>
      <c r="P25" s="41"/>
      <c r="Q25" s="41"/>
      <c r="R25" s="41"/>
      <c r="S25" s="41"/>
      <c r="T25" s="41"/>
      <c r="U25" s="40"/>
      <c r="V25" s="40"/>
      <c r="W25" s="40"/>
      <c r="Y25" s="109">
        <f t="shared" si="8"/>
        <v>6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6</v>
      </c>
      <c r="AG25" s="108">
        <f t="shared" si="0"/>
        <v>0</v>
      </c>
      <c r="AH25" s="108">
        <f t="shared" si="1"/>
        <v>1</v>
      </c>
      <c r="AI25" s="108">
        <f t="shared" si="10"/>
        <v>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40"/>
      <c r="AO25" s="41"/>
    </row>
    <row r="26" spans="2:41" ht="15.75" thickBot="1">
      <c r="B26" s="18">
        <v>19</v>
      </c>
      <c r="C26" s="19">
        <v>41808</v>
      </c>
      <c r="D26" s="20" t="s">
        <v>13</v>
      </c>
      <c r="E26" s="21" t="s">
        <v>9</v>
      </c>
      <c r="F26" s="30" t="s">
        <v>15</v>
      </c>
      <c r="G26" s="86">
        <v>3</v>
      </c>
      <c r="H26" s="21" t="s">
        <v>9</v>
      </c>
      <c r="I26" s="91">
        <v>2</v>
      </c>
      <c r="J26" s="23">
        <f t="shared" si="5"/>
        <v>1</v>
      </c>
      <c r="K26" s="11">
        <f t="shared" si="6"/>
        <v>3</v>
      </c>
      <c r="L26" s="11">
        <f t="shared" si="7"/>
        <v>0</v>
      </c>
      <c r="O26" s="72" t="s">
        <v>61</v>
      </c>
      <c r="P26" s="73" t="s">
        <v>42</v>
      </c>
      <c r="Q26" s="73" t="s">
        <v>43</v>
      </c>
      <c r="R26" s="74" t="s">
        <v>44</v>
      </c>
      <c r="S26" s="75" t="s">
        <v>45</v>
      </c>
      <c r="T26" s="76" t="s">
        <v>46</v>
      </c>
      <c r="U26" s="40"/>
      <c r="V26" s="40"/>
      <c r="W26" s="40"/>
      <c r="Y26" s="109">
        <f t="shared" si="8"/>
        <v>1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1</v>
      </c>
      <c r="AG26" s="108">
        <f t="shared" si="0"/>
        <v>0</v>
      </c>
      <c r="AH26" s="108">
        <f t="shared" si="1"/>
        <v>1</v>
      </c>
      <c r="AI26" s="108">
        <f t="shared" si="10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24">
        <v>20</v>
      </c>
      <c r="C27" s="25">
        <v>41808</v>
      </c>
      <c r="D27" s="26" t="s">
        <v>12</v>
      </c>
      <c r="E27" s="27" t="s">
        <v>9</v>
      </c>
      <c r="F27" s="28" t="s">
        <v>10</v>
      </c>
      <c r="G27" s="87">
        <v>2</v>
      </c>
      <c r="H27" s="27" t="s">
        <v>9</v>
      </c>
      <c r="I27" s="92">
        <v>2</v>
      </c>
      <c r="J27" s="29">
        <f t="shared" si="5"/>
        <v>3</v>
      </c>
      <c r="K27" s="11">
        <f t="shared" si="6"/>
        <v>1</v>
      </c>
      <c r="L27" s="11">
        <f t="shared" si="7"/>
        <v>1</v>
      </c>
      <c r="O27" s="44" t="s">
        <v>19</v>
      </c>
      <c r="P27" s="45">
        <f>SUMIF($D$8:$D$55,$O27,$G$8:$G$55)+SUMIF($F$8:$F$55,$O27,$I$8:$I$55)</f>
        <v>4</v>
      </c>
      <c r="Q27" s="45">
        <f>SUMIF($D$8:$D$55,$O27,$I$8:$I$55)+SUMIF($F$8:$F$55,$O27,$G$8:$G$55)</f>
        <v>3</v>
      </c>
      <c r="R27" s="46">
        <f>P27-Q27</f>
        <v>1</v>
      </c>
      <c r="S27" s="47">
        <f>SUMIF($D$8:$D$55,$O27,$K$8:$K$55)+SUMIF($F$8:$F$55,$O27,$L$8:$L$55)</f>
        <v>6</v>
      </c>
      <c r="T27" s="94" t="s">
        <v>63</v>
      </c>
      <c r="U27" s="40"/>
      <c r="V27" s="40" t="str">
        <f>O27</f>
        <v>Uruguay</v>
      </c>
      <c r="W27" s="40" t="s">
        <v>62</v>
      </c>
      <c r="Y27" s="109">
        <f t="shared" si="8"/>
        <v>0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0</v>
      </c>
      <c r="AG27" s="108">
        <f t="shared" si="0"/>
        <v>0</v>
      </c>
      <c r="AH27" s="108">
        <f t="shared" si="1"/>
        <v>0</v>
      </c>
      <c r="AI27" s="108">
        <f t="shared" si="10"/>
        <v>0</v>
      </c>
      <c r="AJ27" s="108">
        <f t="shared" si="2"/>
        <v>0</v>
      </c>
      <c r="AK27" s="108">
        <f t="shared" si="3"/>
        <v>0</v>
      </c>
      <c r="AL27" s="108">
        <f t="shared" si="4"/>
        <v>0</v>
      </c>
      <c r="AM27" s="120">
        <f>AO27</f>
        <v>10</v>
      </c>
      <c r="AN27" s="116" t="s">
        <v>19</v>
      </c>
      <c r="AO27" s="115">
        <f>IF(Uitslag!T27="",0,IF(T27=Uitslag!T27,10,0))</f>
        <v>10</v>
      </c>
    </row>
    <row r="28" spans="2:41" ht="15.75" thickBot="1">
      <c r="B28" s="12">
        <v>21</v>
      </c>
      <c r="C28" s="13">
        <v>41809</v>
      </c>
      <c r="D28" s="14" t="s">
        <v>17</v>
      </c>
      <c r="E28" s="15" t="s">
        <v>9</v>
      </c>
      <c r="F28" s="16" t="s">
        <v>23</v>
      </c>
      <c r="G28" s="85">
        <v>1</v>
      </c>
      <c r="H28" s="15" t="s">
        <v>9</v>
      </c>
      <c r="I28" s="90">
        <v>0</v>
      </c>
      <c r="J28" s="17">
        <f t="shared" si="5"/>
        <v>1</v>
      </c>
      <c r="K28" s="11">
        <f t="shared" si="6"/>
        <v>3</v>
      </c>
      <c r="L28" s="11">
        <f t="shared" si="7"/>
        <v>0</v>
      </c>
      <c r="O28" s="48" t="s">
        <v>20</v>
      </c>
      <c r="P28" s="49">
        <f>SUMIF($D$8:$D$55,$O28,$G$8:$G$55)+SUMIF($F$8:$F$55,$O28,$I$8:$I$55)</f>
        <v>2</v>
      </c>
      <c r="Q28" s="49">
        <f>SUMIF($D$8:$D$55,$O28,$I$8:$I$55)+SUMIF($F$8:$F$55,$O28,$G$8:$G$55)</f>
        <v>5</v>
      </c>
      <c r="R28" s="49">
        <f>P28-Q28</f>
        <v>-3</v>
      </c>
      <c r="S28" s="50">
        <f>SUMIF($D$8:$D$55,$O28,$K$8:$K$55)+SUMIF($F$8:$F$55,$O28,$L$8:$L$55)</f>
        <v>0</v>
      </c>
      <c r="T28" s="95" t="s">
        <v>65</v>
      </c>
      <c r="U28" s="40"/>
      <c r="V28" s="40" t="str">
        <f>O28</f>
        <v>Costa Rica</v>
      </c>
      <c r="W28" s="40" t="s">
        <v>63</v>
      </c>
      <c r="Y28" s="109">
        <f t="shared" si="8"/>
        <v>5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5</v>
      </c>
      <c r="AG28" s="108">
        <f t="shared" si="0"/>
        <v>0</v>
      </c>
      <c r="AH28" s="108">
        <f t="shared" si="1"/>
        <v>0</v>
      </c>
      <c r="AI28" s="108">
        <f t="shared" si="10"/>
        <v>0</v>
      </c>
      <c r="AJ28" s="108">
        <f t="shared" si="2"/>
        <v>5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18">
        <v>22</v>
      </c>
      <c r="C29" s="19">
        <v>41809</v>
      </c>
      <c r="D29" s="20" t="s">
        <v>19</v>
      </c>
      <c r="E29" s="21" t="s">
        <v>9</v>
      </c>
      <c r="F29" s="30" t="s">
        <v>21</v>
      </c>
      <c r="G29" s="86">
        <v>2</v>
      </c>
      <c r="H29" s="21" t="s">
        <v>9</v>
      </c>
      <c r="I29" s="91">
        <v>1</v>
      </c>
      <c r="J29" s="23">
        <f t="shared" si="5"/>
        <v>1</v>
      </c>
      <c r="K29" s="11">
        <f t="shared" si="6"/>
        <v>3</v>
      </c>
      <c r="L29" s="11">
        <f t="shared" si="7"/>
        <v>0</v>
      </c>
      <c r="O29" s="48" t="s">
        <v>21</v>
      </c>
      <c r="P29" s="49">
        <f>SUMIF($D$8:$D$55,$O29,$G$8:$G$55)+SUMIF($F$8:$F$55,$O29,$I$8:$I$55)</f>
        <v>4</v>
      </c>
      <c r="Q29" s="49">
        <f>SUMIF($D$8:$D$55,$O29,$I$8:$I$55)+SUMIF($F$8:$F$55,$O29,$G$8:$G$55)</f>
        <v>6</v>
      </c>
      <c r="R29" s="49">
        <f>P29-Q29</f>
        <v>-2</v>
      </c>
      <c r="S29" s="50">
        <f>SUMIF($D$8:$D$55,$O29,$K$8:$K$55)+SUMIF($F$8:$F$55,$O29,$L$8:$L$55)</f>
        <v>3</v>
      </c>
      <c r="T29" s="95" t="s">
        <v>64</v>
      </c>
      <c r="U29" s="40"/>
      <c r="V29" s="40" t="str">
        <f>O29</f>
        <v>Engeland</v>
      </c>
      <c r="W29" s="40" t="s">
        <v>64</v>
      </c>
      <c r="Y29" s="109">
        <f t="shared" si="8"/>
        <v>10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10</v>
      </c>
      <c r="AG29" s="108">
        <f t="shared" si="0"/>
        <v>1</v>
      </c>
      <c r="AH29" s="108">
        <f t="shared" si="1"/>
        <v>1</v>
      </c>
      <c r="AI29" s="108">
        <f t="shared" si="10"/>
        <v>10</v>
      </c>
      <c r="AJ29" s="108">
        <f t="shared" si="2"/>
        <v>5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24">
        <v>23</v>
      </c>
      <c r="C30" s="25">
        <v>41809</v>
      </c>
      <c r="D30" s="26" t="s">
        <v>24</v>
      </c>
      <c r="E30" s="27" t="s">
        <v>9</v>
      </c>
      <c r="F30" s="28" t="s">
        <v>18</v>
      </c>
      <c r="G30" s="87">
        <v>1</v>
      </c>
      <c r="H30" s="27" t="s">
        <v>9</v>
      </c>
      <c r="I30" s="92">
        <v>0</v>
      </c>
      <c r="J30" s="29">
        <f t="shared" si="5"/>
        <v>1</v>
      </c>
      <c r="K30" s="11">
        <f t="shared" si="6"/>
        <v>3</v>
      </c>
      <c r="L30" s="11">
        <f t="shared" si="7"/>
        <v>0</v>
      </c>
      <c r="O30" s="51" t="s">
        <v>22</v>
      </c>
      <c r="P30" s="52">
        <f>SUMIF($D$8:$D$55,$O30,$G$8:$G$55)+SUMIF($F$8:$F$55,$O30,$I$8:$I$55)</f>
        <v>5</v>
      </c>
      <c r="Q30" s="52">
        <f>SUMIF($D$8:$D$55,$O30,$I$8:$I$55)+SUMIF($F$8:$F$55,$O30,$G$8:$G$55)</f>
        <v>1</v>
      </c>
      <c r="R30" s="52">
        <f>P30-Q30</f>
        <v>4</v>
      </c>
      <c r="S30" s="53">
        <f>SUMIF($D$8:$D$55,$O30,$K$8:$K$55)+SUMIF($F$8:$F$55,$O30,$L$8:$L$55)</f>
        <v>9</v>
      </c>
      <c r="T30" s="96" t="s">
        <v>62</v>
      </c>
      <c r="U30" s="40"/>
      <c r="V30" s="40" t="str">
        <f>O30</f>
        <v>Italië</v>
      </c>
      <c r="W30" s="40" t="s">
        <v>65</v>
      </c>
      <c r="Y30" s="109">
        <f t="shared" si="8"/>
        <v>1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1</v>
      </c>
      <c r="AG30" s="108">
        <f t="shared" si="0"/>
        <v>0</v>
      </c>
      <c r="AH30" s="108">
        <f t="shared" si="1"/>
        <v>1</v>
      </c>
      <c r="AI30" s="108">
        <f t="shared" si="10"/>
        <v>0</v>
      </c>
      <c r="AJ30" s="108">
        <f t="shared" si="2"/>
        <v>0</v>
      </c>
      <c r="AK30" s="108">
        <f t="shared" si="3"/>
        <v>0</v>
      </c>
      <c r="AL30" s="108">
        <f t="shared" si="4"/>
        <v>0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12">
        <v>24</v>
      </c>
      <c r="C31" s="13">
        <v>41810</v>
      </c>
      <c r="D31" s="14" t="s">
        <v>22</v>
      </c>
      <c r="E31" s="15" t="s">
        <v>9</v>
      </c>
      <c r="F31" s="16" t="s">
        <v>20</v>
      </c>
      <c r="G31" s="85">
        <v>1</v>
      </c>
      <c r="H31" s="15" t="s">
        <v>9</v>
      </c>
      <c r="I31" s="90">
        <v>0</v>
      </c>
      <c r="J31" s="17">
        <f t="shared" si="5"/>
        <v>1</v>
      </c>
      <c r="K31" s="11">
        <f t="shared" si="6"/>
        <v>3</v>
      </c>
      <c r="L31" s="11">
        <f t="shared" si="7"/>
        <v>0</v>
      </c>
      <c r="O31" s="40"/>
      <c r="P31" s="41"/>
      <c r="Q31" s="41"/>
      <c r="R31" s="41"/>
      <c r="S31" s="41"/>
      <c r="T31" s="41"/>
      <c r="U31" s="40"/>
      <c r="V31" s="40"/>
      <c r="W31" s="40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0"/>
        <v>0</v>
      </c>
      <c r="AH31" s="108">
        <f t="shared" si="1"/>
        <v>0</v>
      </c>
      <c r="AI31" s="108">
        <f t="shared" si="10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40"/>
      <c r="AO31" s="41"/>
    </row>
    <row r="32" spans="2:41" ht="15.75" thickBot="1">
      <c r="B32" s="18">
        <v>25</v>
      </c>
      <c r="C32" s="19">
        <v>41810</v>
      </c>
      <c r="D32" s="20" t="s">
        <v>25</v>
      </c>
      <c r="E32" s="21" t="s">
        <v>9</v>
      </c>
      <c r="F32" s="30" t="s">
        <v>27</v>
      </c>
      <c r="G32" s="86">
        <v>0</v>
      </c>
      <c r="H32" s="21" t="s">
        <v>9</v>
      </c>
      <c r="I32" s="91">
        <v>4</v>
      </c>
      <c r="J32" s="23">
        <f t="shared" si="5"/>
        <v>2</v>
      </c>
      <c r="K32" s="11">
        <f t="shared" si="6"/>
        <v>0</v>
      </c>
      <c r="L32" s="11">
        <f t="shared" si="7"/>
        <v>3</v>
      </c>
      <c r="O32" s="72" t="s">
        <v>66</v>
      </c>
      <c r="P32" s="73" t="s">
        <v>42</v>
      </c>
      <c r="Q32" s="73" t="s">
        <v>43</v>
      </c>
      <c r="R32" s="74" t="s">
        <v>44</v>
      </c>
      <c r="S32" s="75" t="s">
        <v>45</v>
      </c>
      <c r="T32" s="76" t="s">
        <v>46</v>
      </c>
      <c r="U32" s="40"/>
      <c r="V32" s="40"/>
      <c r="W32" s="40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0"/>
        <v>0</v>
      </c>
      <c r="AH32" s="108">
        <f t="shared" si="1"/>
        <v>0</v>
      </c>
      <c r="AI32" s="108">
        <f t="shared" si="10"/>
        <v>0</v>
      </c>
      <c r="AJ32" s="108">
        <f t="shared" si="2"/>
        <v>0</v>
      </c>
      <c r="AK32" s="108">
        <f t="shared" si="3"/>
        <v>5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24">
        <v>26</v>
      </c>
      <c r="C33" s="25">
        <v>41810</v>
      </c>
      <c r="D33" s="26" t="s">
        <v>28</v>
      </c>
      <c r="E33" s="27" t="s">
        <v>9</v>
      </c>
      <c r="F33" s="28" t="s">
        <v>26</v>
      </c>
      <c r="G33" s="87">
        <v>1</v>
      </c>
      <c r="H33" s="27" t="s">
        <v>9</v>
      </c>
      <c r="I33" s="92">
        <v>1</v>
      </c>
      <c r="J33" s="29">
        <f t="shared" si="5"/>
        <v>3</v>
      </c>
      <c r="K33" s="11">
        <f t="shared" si="6"/>
        <v>1</v>
      </c>
      <c r="L33" s="11">
        <f t="shared" si="7"/>
        <v>1</v>
      </c>
      <c r="O33" s="44" t="s">
        <v>25</v>
      </c>
      <c r="P33" s="45">
        <f>SUMIF($D$8:$D$55,$O33,$G$8:$G$55)+SUMIF($F$8:$F$55,$O33,$I$8:$I$55)</f>
        <v>0</v>
      </c>
      <c r="Q33" s="45">
        <f>SUMIF($D$8:$D$55,$O33,$I$8:$I$55)+SUMIF($F$8:$F$55,$O33,$G$8:$G$55)</f>
        <v>7</v>
      </c>
      <c r="R33" s="46">
        <f>P33-Q33</f>
        <v>-7</v>
      </c>
      <c r="S33" s="47">
        <f>SUMIF($D$8:$D$55,$O33,$K$8:$K$55)+SUMIF($F$8:$F$55,$O33,$L$8:$L$55)</f>
        <v>0</v>
      </c>
      <c r="T33" s="94" t="s">
        <v>70</v>
      </c>
      <c r="U33" s="40"/>
      <c r="V33" s="40" t="str">
        <f>O33</f>
        <v>Zwitserland</v>
      </c>
      <c r="W33" s="40" t="s">
        <v>67</v>
      </c>
      <c r="Y33" s="109">
        <f t="shared" si="8"/>
        <v>1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1</v>
      </c>
      <c r="AG33" s="108">
        <f t="shared" si="0"/>
        <v>1</v>
      </c>
      <c r="AH33" s="108">
        <f t="shared" si="1"/>
        <v>0</v>
      </c>
      <c r="AI33" s="108">
        <f t="shared" si="10"/>
        <v>0</v>
      </c>
      <c r="AJ33" s="108">
        <f t="shared" si="2"/>
        <v>0</v>
      </c>
      <c r="AK33" s="108">
        <f t="shared" si="3"/>
        <v>0</v>
      </c>
      <c r="AL33" s="108">
        <f t="shared" si="4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12">
        <v>27</v>
      </c>
      <c r="C34" s="13">
        <v>41811</v>
      </c>
      <c r="D34" s="14" t="s">
        <v>29</v>
      </c>
      <c r="E34" s="15" t="s">
        <v>9</v>
      </c>
      <c r="F34" s="16" t="s">
        <v>33</v>
      </c>
      <c r="G34" s="85">
        <v>2</v>
      </c>
      <c r="H34" s="15" t="s">
        <v>9</v>
      </c>
      <c r="I34" s="90">
        <v>0</v>
      </c>
      <c r="J34" s="17">
        <f t="shared" si="5"/>
        <v>1</v>
      </c>
      <c r="K34" s="11">
        <f t="shared" si="6"/>
        <v>3</v>
      </c>
      <c r="L34" s="11">
        <f t="shared" si="7"/>
        <v>0</v>
      </c>
      <c r="O34" s="48" t="s">
        <v>26</v>
      </c>
      <c r="P34" s="49">
        <f>SUMIF($D$8:$D$55,$O34,$G$8:$G$55)+SUMIF($F$8:$F$55,$O34,$I$8:$I$55)</f>
        <v>5</v>
      </c>
      <c r="Q34" s="49">
        <f>SUMIF($D$8:$D$55,$O34,$I$8:$I$55)+SUMIF($F$8:$F$55,$O34,$G$8:$G$55)</f>
        <v>4</v>
      </c>
      <c r="R34" s="49">
        <f>P34-Q34</f>
        <v>1</v>
      </c>
      <c r="S34" s="50">
        <f>SUMIF($D$8:$D$55,$O34,$K$8:$K$55)+SUMIF($F$8:$F$55,$O34,$L$8:$L$55)</f>
        <v>4</v>
      </c>
      <c r="T34" s="95" t="s">
        <v>68</v>
      </c>
      <c r="U34" s="40"/>
      <c r="V34" s="40" t="str">
        <f>O34</f>
        <v>Ecuador</v>
      </c>
      <c r="W34" s="40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0"/>
        <v>0</v>
      </c>
      <c r="AH34" s="108">
        <f t="shared" si="1"/>
        <v>1</v>
      </c>
      <c r="AI34" s="108">
        <f t="shared" si="10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18">
        <v>28</v>
      </c>
      <c r="C35" s="19">
        <v>41811</v>
      </c>
      <c r="D35" s="20" t="s">
        <v>31</v>
      </c>
      <c r="E35" s="21" t="s">
        <v>9</v>
      </c>
      <c r="F35" s="30" t="s">
        <v>35</v>
      </c>
      <c r="G35" s="86">
        <v>2</v>
      </c>
      <c r="H35" s="21" t="s">
        <v>9</v>
      </c>
      <c r="I35" s="91">
        <v>1</v>
      </c>
      <c r="J35" s="23">
        <f t="shared" si="5"/>
        <v>1</v>
      </c>
      <c r="K35" s="11">
        <f t="shared" si="6"/>
        <v>3</v>
      </c>
      <c r="L35" s="11">
        <f t="shared" si="7"/>
        <v>0</v>
      </c>
      <c r="O35" s="48" t="s">
        <v>27</v>
      </c>
      <c r="P35" s="49">
        <f>SUMIF($D$8:$D$55,$O35,$G$8:$G$55)+SUMIF($F$8:$F$55,$O35,$I$8:$I$55)</f>
        <v>8</v>
      </c>
      <c r="Q35" s="49">
        <f>SUMIF($D$8:$D$55,$O35,$I$8:$I$55)+SUMIF($F$8:$F$55,$O35,$G$8:$G$55)</f>
        <v>2</v>
      </c>
      <c r="R35" s="49">
        <f>P35-Q35</f>
        <v>6</v>
      </c>
      <c r="S35" s="50">
        <f>SUMIF($D$8:$D$55,$O35,$K$8:$K$55)+SUMIF($F$8:$F$55,$O35,$L$8:$L$55)</f>
        <v>9</v>
      </c>
      <c r="T35" s="95" t="s">
        <v>67</v>
      </c>
      <c r="U35" s="40"/>
      <c r="V35" s="40" t="str">
        <f>O35</f>
        <v>Frankrijk</v>
      </c>
      <c r="W35" s="40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0"/>
        <v>1</v>
      </c>
      <c r="AH35" s="108">
        <f t="shared" si="1"/>
        <v>0</v>
      </c>
      <c r="AI35" s="108">
        <f t="shared" si="10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24">
        <v>29</v>
      </c>
      <c r="C36" s="25">
        <v>41811</v>
      </c>
      <c r="D36" s="26" t="s">
        <v>34</v>
      </c>
      <c r="E36" s="27" t="s">
        <v>9</v>
      </c>
      <c r="F36" s="28" t="s">
        <v>30</v>
      </c>
      <c r="G36" s="87">
        <v>2</v>
      </c>
      <c r="H36" s="27" t="s">
        <v>9</v>
      </c>
      <c r="I36" s="92">
        <v>1</v>
      </c>
      <c r="J36" s="29">
        <f t="shared" si="5"/>
        <v>1</v>
      </c>
      <c r="K36" s="11">
        <f t="shared" si="6"/>
        <v>3</v>
      </c>
      <c r="L36" s="11">
        <f t="shared" si="7"/>
        <v>0</v>
      </c>
      <c r="O36" s="51" t="s">
        <v>28</v>
      </c>
      <c r="P36" s="52">
        <f>SUMIF($D$8:$D$55,$O36,$G$8:$G$55)+SUMIF($F$8:$F$55,$O36,$I$8:$I$55)</f>
        <v>2</v>
      </c>
      <c r="Q36" s="52">
        <f>SUMIF($D$8:$D$55,$O36,$I$8:$I$55)+SUMIF($F$8:$F$55,$O36,$G$8:$G$55)</f>
        <v>2</v>
      </c>
      <c r="R36" s="52">
        <f>P36-Q36</f>
        <v>0</v>
      </c>
      <c r="S36" s="53">
        <f>SUMIF($D$8:$D$55,$O36,$K$8:$K$55)+SUMIF($F$8:$F$55,$O36,$L$8:$L$55)</f>
        <v>4</v>
      </c>
      <c r="T36" s="96" t="s">
        <v>69</v>
      </c>
      <c r="U36" s="40"/>
      <c r="V36" s="40" t="str">
        <f>O36</f>
        <v>Honduras</v>
      </c>
      <c r="W36" s="40" t="s">
        <v>70</v>
      </c>
      <c r="Y36" s="109">
        <f t="shared" si="8"/>
        <v>5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5</v>
      </c>
      <c r="AG36" s="108">
        <f t="shared" si="0"/>
        <v>0</v>
      </c>
      <c r="AH36" s="108">
        <f t="shared" si="1"/>
        <v>0</v>
      </c>
      <c r="AI36" s="108">
        <f t="shared" si="10"/>
        <v>0</v>
      </c>
      <c r="AJ36" s="108">
        <f t="shared" si="2"/>
        <v>5</v>
      </c>
      <c r="AK36" s="108">
        <f t="shared" si="3"/>
        <v>0</v>
      </c>
      <c r="AL36" s="108">
        <f t="shared" si="4"/>
        <v>0</v>
      </c>
      <c r="AM36" s="120">
        <f>AO36</f>
        <v>0</v>
      </c>
      <c r="AN36" s="118" t="s">
        <v>28</v>
      </c>
      <c r="AO36" s="115">
        <f>IF(Uitslag!T36="",0,IF(T36=Uitslag!T36,10,0))</f>
        <v>0</v>
      </c>
    </row>
    <row r="37" spans="2:41" ht="15.75" thickBot="1">
      <c r="B37" s="12">
        <v>30</v>
      </c>
      <c r="C37" s="13">
        <v>41812</v>
      </c>
      <c r="D37" s="14" t="s">
        <v>37</v>
      </c>
      <c r="E37" s="15" t="s">
        <v>9</v>
      </c>
      <c r="F37" s="16" t="s">
        <v>39</v>
      </c>
      <c r="G37" s="85">
        <v>0</v>
      </c>
      <c r="H37" s="15" t="s">
        <v>9</v>
      </c>
      <c r="I37" s="90">
        <v>1</v>
      </c>
      <c r="J37" s="17">
        <f t="shared" si="5"/>
        <v>2</v>
      </c>
      <c r="K37" s="11">
        <f t="shared" si="6"/>
        <v>0</v>
      </c>
      <c r="L37" s="11">
        <f t="shared" si="7"/>
        <v>3</v>
      </c>
      <c r="O37" s="40"/>
      <c r="P37" s="41"/>
      <c r="Q37" s="41"/>
      <c r="R37" s="41"/>
      <c r="S37" s="41"/>
      <c r="T37" s="41"/>
      <c r="U37" s="40"/>
      <c r="V37" s="40"/>
      <c r="W37" s="40"/>
      <c r="Y37" s="109">
        <f t="shared" si="8"/>
        <v>0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0</v>
      </c>
      <c r="AG37" s="108">
        <f t="shared" si="0"/>
        <v>0</v>
      </c>
      <c r="AH37" s="108">
        <f t="shared" si="1"/>
        <v>0</v>
      </c>
      <c r="AI37" s="108">
        <f t="shared" si="10"/>
        <v>0</v>
      </c>
      <c r="AJ37" s="108">
        <f t="shared" si="2"/>
        <v>0</v>
      </c>
      <c r="AK37" s="108">
        <f t="shared" si="3"/>
        <v>0</v>
      </c>
      <c r="AL37" s="108">
        <f t="shared" si="4"/>
        <v>0</v>
      </c>
      <c r="AN37" s="40"/>
      <c r="AO37" s="41"/>
    </row>
    <row r="38" spans="2:41" ht="15.75" thickBot="1">
      <c r="B38" s="18">
        <v>31</v>
      </c>
      <c r="C38" s="19">
        <v>41812</v>
      </c>
      <c r="D38" s="20" t="s">
        <v>40</v>
      </c>
      <c r="E38" s="21" t="s">
        <v>9</v>
      </c>
      <c r="F38" s="30" t="s">
        <v>38</v>
      </c>
      <c r="G38" s="86">
        <v>1</v>
      </c>
      <c r="H38" s="21" t="s">
        <v>9</v>
      </c>
      <c r="I38" s="91">
        <v>1</v>
      </c>
      <c r="J38" s="23">
        <f t="shared" si="5"/>
        <v>3</v>
      </c>
      <c r="K38" s="11">
        <f t="shared" si="6"/>
        <v>1</v>
      </c>
      <c r="L38" s="11">
        <f t="shared" si="7"/>
        <v>1</v>
      </c>
      <c r="O38" s="72" t="s">
        <v>71</v>
      </c>
      <c r="P38" s="73" t="s">
        <v>42</v>
      </c>
      <c r="Q38" s="73" t="s">
        <v>43</v>
      </c>
      <c r="R38" s="74" t="s">
        <v>44</v>
      </c>
      <c r="S38" s="75" t="s">
        <v>45</v>
      </c>
      <c r="T38" s="76" t="s">
        <v>46</v>
      </c>
      <c r="U38" s="40"/>
      <c r="V38" s="40"/>
      <c r="W38" s="40"/>
      <c r="Y38" s="109">
        <f t="shared" si="8"/>
        <v>0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0</v>
      </c>
      <c r="AG38" s="108">
        <f t="shared" si="0"/>
        <v>0</v>
      </c>
      <c r="AH38" s="108">
        <f t="shared" si="1"/>
        <v>0</v>
      </c>
      <c r="AI38" s="108">
        <f t="shared" si="10"/>
        <v>0</v>
      </c>
      <c r="AJ38" s="108">
        <f t="shared" si="2"/>
        <v>0</v>
      </c>
      <c r="AK38" s="108">
        <f t="shared" si="3"/>
        <v>0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24">
        <v>32</v>
      </c>
      <c r="C39" s="25">
        <v>41812</v>
      </c>
      <c r="D39" s="26" t="s">
        <v>36</v>
      </c>
      <c r="E39" s="27" t="s">
        <v>9</v>
      </c>
      <c r="F39" s="28" t="s">
        <v>32</v>
      </c>
      <c r="G39" s="87">
        <v>1</v>
      </c>
      <c r="H39" s="27" t="s">
        <v>9</v>
      </c>
      <c r="I39" s="92">
        <v>3</v>
      </c>
      <c r="J39" s="29">
        <f t="shared" si="5"/>
        <v>2</v>
      </c>
      <c r="K39" s="11">
        <f t="shared" si="6"/>
        <v>0</v>
      </c>
      <c r="L39" s="11">
        <f t="shared" si="7"/>
        <v>3</v>
      </c>
      <c r="O39" s="44" t="s">
        <v>29</v>
      </c>
      <c r="P39" s="45">
        <f>SUMIF($D$8:$D$55,$O39,$G$8:$G$55)+SUMIF($F$8:$F$55,$O39,$I$8:$I$55)</f>
        <v>7</v>
      </c>
      <c r="Q39" s="45">
        <f>SUMIF($D$8:$D$55,$O39,$I$8:$I$55)+SUMIF($F$8:$F$55,$O39,$G$8:$G$55)</f>
        <v>2</v>
      </c>
      <c r="R39" s="46">
        <f>P39-Q39</f>
        <v>5</v>
      </c>
      <c r="S39" s="47">
        <f>SUMIF($D$8:$D$55,$O39,$K$8:$K$55)+SUMIF($F$8:$F$55,$O39,$L$8:$L$55)</f>
        <v>9</v>
      </c>
      <c r="T39" s="94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0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0</v>
      </c>
      <c r="AG39" s="108">
        <f t="shared" si="0"/>
        <v>0</v>
      </c>
      <c r="AH39" s="108">
        <f t="shared" si="1"/>
        <v>0</v>
      </c>
      <c r="AI39" s="108">
        <f t="shared" si="10"/>
        <v>0</v>
      </c>
      <c r="AJ39" s="108">
        <f t="shared" si="2"/>
        <v>0</v>
      </c>
      <c r="AK39" s="108">
        <f t="shared" si="3"/>
        <v>0</v>
      </c>
      <c r="AL39" s="108">
        <f t="shared" si="4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12">
        <v>33</v>
      </c>
      <c r="C40" s="13">
        <v>41813</v>
      </c>
      <c r="D40" s="14" t="s">
        <v>16</v>
      </c>
      <c r="E40" s="15" t="s">
        <v>9</v>
      </c>
      <c r="F40" s="16" t="s">
        <v>13</v>
      </c>
      <c r="G40" s="85">
        <v>1</v>
      </c>
      <c r="H40" s="15" t="s">
        <v>9</v>
      </c>
      <c r="I40" s="90">
        <v>4</v>
      </c>
      <c r="J40" s="17">
        <f t="shared" si="5"/>
        <v>2</v>
      </c>
      <c r="K40" s="11">
        <f t="shared" si="6"/>
        <v>0</v>
      </c>
      <c r="L40" s="11">
        <f t="shared" si="7"/>
        <v>3</v>
      </c>
      <c r="O40" s="48" t="s">
        <v>30</v>
      </c>
      <c r="P40" s="49">
        <f>SUMIF($D$8:$D$55,$O40,$G$8:$G$55)+SUMIF($F$8:$F$55,$O40,$I$8:$I$55)</f>
        <v>2</v>
      </c>
      <c r="Q40" s="49">
        <f>SUMIF($D$8:$D$55,$O40,$I$8:$I$55)+SUMIF($F$8:$F$55,$O40,$G$8:$G$55)</f>
        <v>5</v>
      </c>
      <c r="R40" s="49">
        <f>P40-Q40</f>
        <v>-3</v>
      </c>
      <c r="S40" s="50">
        <f>SUMIF($D$8:$D$55,$O40,$K$8:$K$55)+SUMIF($F$8:$F$55,$O40,$L$8:$L$55)</f>
        <v>1</v>
      </c>
      <c r="T40" s="95" t="s">
        <v>74</v>
      </c>
      <c r="U40" s="40"/>
      <c r="V40" s="40" t="str">
        <f>O40</f>
        <v>Bosnië H.</v>
      </c>
      <c r="W40" s="40" t="s">
        <v>73</v>
      </c>
      <c r="Y40" s="109">
        <f t="shared" si="8"/>
        <v>5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5</v>
      </c>
      <c r="AG40" s="108">
        <f t="shared" si="0"/>
        <v>0</v>
      </c>
      <c r="AH40" s="108">
        <f t="shared" si="1"/>
        <v>0</v>
      </c>
      <c r="AI40" s="108">
        <f t="shared" si="10"/>
        <v>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18">
        <v>34</v>
      </c>
      <c r="C41" s="19">
        <v>41813</v>
      </c>
      <c r="D41" s="32" t="s">
        <v>14</v>
      </c>
      <c r="E41" s="21" t="s">
        <v>9</v>
      </c>
      <c r="F41" s="30" t="s">
        <v>15</v>
      </c>
      <c r="G41" s="86">
        <v>1</v>
      </c>
      <c r="H41" s="21" t="s">
        <v>9</v>
      </c>
      <c r="I41" s="91">
        <v>0</v>
      </c>
      <c r="J41" s="23">
        <f t="shared" si="5"/>
        <v>1</v>
      </c>
      <c r="K41" s="11">
        <f t="shared" si="6"/>
        <v>3</v>
      </c>
      <c r="L41" s="11">
        <f t="shared" si="7"/>
        <v>0</v>
      </c>
      <c r="O41" s="48" t="s">
        <v>33</v>
      </c>
      <c r="P41" s="49">
        <f>SUMIF($D$8:$D$55,$O41,$G$8:$G$55)+SUMIF($F$8:$F$55,$O41,$I$8:$I$55)</f>
        <v>0</v>
      </c>
      <c r="Q41" s="49">
        <f>SUMIF($D$8:$D$55,$O41,$I$8:$I$55)+SUMIF($F$8:$F$55,$O41,$G$8:$G$55)</f>
        <v>5</v>
      </c>
      <c r="R41" s="49">
        <f>P41-Q41</f>
        <v>-5</v>
      </c>
      <c r="S41" s="50">
        <f>SUMIF($D$8:$D$55,$O41,$K$8:$K$55)+SUMIF($F$8:$F$55,$O41,$L$8:$L$55)</f>
        <v>1</v>
      </c>
      <c r="T41" s="95" t="s">
        <v>75</v>
      </c>
      <c r="U41" s="40"/>
      <c r="V41" s="40" t="str">
        <f>O41</f>
        <v>Iran</v>
      </c>
      <c r="W41" s="40" t="s">
        <v>74</v>
      </c>
      <c r="Y41" s="109">
        <f t="shared" si="8"/>
        <v>6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6</v>
      </c>
      <c r="AG41" s="108">
        <f t="shared" si="0"/>
        <v>0</v>
      </c>
      <c r="AH41" s="108">
        <f t="shared" si="1"/>
        <v>1</v>
      </c>
      <c r="AI41" s="108">
        <f t="shared" si="10"/>
        <v>0</v>
      </c>
      <c r="AJ41" s="108">
        <f t="shared" si="2"/>
        <v>5</v>
      </c>
      <c r="AK41" s="108">
        <f t="shared" si="3"/>
        <v>0</v>
      </c>
      <c r="AL41" s="108">
        <f t="shared" si="4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18">
        <v>35</v>
      </c>
      <c r="C42" s="19">
        <v>41813</v>
      </c>
      <c r="D42" s="20" t="s">
        <v>12</v>
      </c>
      <c r="E42" s="21" t="s">
        <v>9</v>
      </c>
      <c r="F42" s="30" t="s">
        <v>8</v>
      </c>
      <c r="G42" s="86">
        <v>1</v>
      </c>
      <c r="H42" s="21" t="s">
        <v>9</v>
      </c>
      <c r="I42" s="91">
        <v>3</v>
      </c>
      <c r="J42" s="23">
        <f t="shared" si="5"/>
        <v>2</v>
      </c>
      <c r="K42" s="11">
        <f t="shared" si="6"/>
        <v>0</v>
      </c>
      <c r="L42" s="11">
        <f t="shared" si="7"/>
        <v>3</v>
      </c>
      <c r="O42" s="51" t="s">
        <v>34</v>
      </c>
      <c r="P42" s="52">
        <f>SUMIF($D$8:$D$55,$O42,$G$8:$G$55)+SUMIF($F$8:$F$55,$O42,$I$8:$I$55)</f>
        <v>6</v>
      </c>
      <c r="Q42" s="52">
        <f>SUMIF($D$8:$D$55,$O42,$I$8:$I$55)+SUMIF($F$8:$F$55,$O42,$G$8:$G$55)</f>
        <v>3</v>
      </c>
      <c r="R42" s="52">
        <f>P42-Q42</f>
        <v>3</v>
      </c>
      <c r="S42" s="53">
        <f>SUMIF($D$8:$D$55,$O42,$K$8:$K$55)+SUMIF($F$8:$F$55,$O42,$L$8:$L$55)</f>
        <v>6</v>
      </c>
      <c r="T42" s="96" t="s">
        <v>73</v>
      </c>
      <c r="U42" s="40"/>
      <c r="V42" s="40" t="str">
        <f>O42</f>
        <v>Nigeria</v>
      </c>
      <c r="W42" s="40" t="s">
        <v>75</v>
      </c>
      <c r="Y42" s="109">
        <f t="shared" si="8"/>
        <v>6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6</v>
      </c>
      <c r="AG42" s="108">
        <f t="shared" si="0"/>
        <v>1</v>
      </c>
      <c r="AH42" s="108">
        <f t="shared" si="1"/>
        <v>0</v>
      </c>
      <c r="AI42" s="108">
        <f t="shared" si="10"/>
        <v>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24">
        <v>36</v>
      </c>
      <c r="C43" s="25">
        <v>41813</v>
      </c>
      <c r="D43" s="26" t="s">
        <v>10</v>
      </c>
      <c r="E43" s="27" t="s">
        <v>9</v>
      </c>
      <c r="F43" s="28" t="s">
        <v>11</v>
      </c>
      <c r="G43" s="87">
        <v>1</v>
      </c>
      <c r="H43" s="27" t="s">
        <v>9</v>
      </c>
      <c r="I43" s="92">
        <v>2</v>
      </c>
      <c r="J43" s="29">
        <f t="shared" si="5"/>
        <v>2</v>
      </c>
      <c r="K43" s="11">
        <f t="shared" si="6"/>
        <v>0</v>
      </c>
      <c r="L43" s="11">
        <f t="shared" si="7"/>
        <v>3</v>
      </c>
      <c r="O43" s="40"/>
      <c r="P43" s="41"/>
      <c r="Q43" s="41"/>
      <c r="R43" s="41"/>
      <c r="S43" s="41"/>
      <c r="T43" s="41"/>
      <c r="U43" s="40"/>
      <c r="V43" s="40"/>
      <c r="W43" s="40"/>
      <c r="Y43" s="109">
        <f t="shared" si="8"/>
        <v>6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6</v>
      </c>
      <c r="AG43" s="108">
        <f t="shared" si="0"/>
        <v>1</v>
      </c>
      <c r="AH43" s="108">
        <f t="shared" si="1"/>
        <v>0</v>
      </c>
      <c r="AI43" s="108">
        <f t="shared" si="10"/>
        <v>0</v>
      </c>
      <c r="AJ43" s="108">
        <f t="shared" si="2"/>
        <v>0</v>
      </c>
      <c r="AK43" s="108">
        <f t="shared" si="3"/>
        <v>5</v>
      </c>
      <c r="AL43" s="108">
        <f t="shared" si="4"/>
        <v>0</v>
      </c>
      <c r="AN43" s="40"/>
      <c r="AO43" s="41"/>
    </row>
    <row r="44" spans="2:41" ht="15.75" thickBot="1">
      <c r="B44" s="12">
        <v>37</v>
      </c>
      <c r="C44" s="13">
        <v>41814</v>
      </c>
      <c r="D44" s="14" t="s">
        <v>22</v>
      </c>
      <c r="E44" s="15" t="s">
        <v>9</v>
      </c>
      <c r="F44" s="16" t="s">
        <v>19</v>
      </c>
      <c r="G44" s="85">
        <v>1</v>
      </c>
      <c r="H44" s="15" t="s">
        <v>9</v>
      </c>
      <c r="I44" s="90">
        <v>0</v>
      </c>
      <c r="J44" s="17">
        <f t="shared" si="5"/>
        <v>1</v>
      </c>
      <c r="K44" s="11">
        <f t="shared" si="6"/>
        <v>3</v>
      </c>
      <c r="L44" s="11">
        <f t="shared" si="7"/>
        <v>0</v>
      </c>
      <c r="O44" s="72" t="s">
        <v>76</v>
      </c>
      <c r="P44" s="73" t="s">
        <v>42</v>
      </c>
      <c r="Q44" s="73" t="s">
        <v>43</v>
      </c>
      <c r="R44" s="74" t="s">
        <v>44</v>
      </c>
      <c r="S44" s="75" t="s">
        <v>45</v>
      </c>
      <c r="T44" s="76" t="s">
        <v>46</v>
      </c>
      <c r="U44" s="40"/>
      <c r="V44" s="40"/>
      <c r="W44" s="40"/>
      <c r="Y44" s="109">
        <f t="shared" si="8"/>
        <v>0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0</v>
      </c>
      <c r="AG44" s="108">
        <f t="shared" si="0"/>
        <v>0</v>
      </c>
      <c r="AH44" s="108">
        <f t="shared" si="1"/>
        <v>0</v>
      </c>
      <c r="AI44" s="108">
        <f t="shared" si="10"/>
        <v>0</v>
      </c>
      <c r="AJ44" s="108">
        <f t="shared" si="2"/>
        <v>0</v>
      </c>
      <c r="AK44" s="108">
        <f t="shared" si="3"/>
        <v>0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18">
        <v>38</v>
      </c>
      <c r="C45" s="19">
        <v>41814</v>
      </c>
      <c r="D45" s="20" t="s">
        <v>20</v>
      </c>
      <c r="E45" s="21" t="s">
        <v>9</v>
      </c>
      <c r="F45" s="30" t="s">
        <v>21</v>
      </c>
      <c r="G45" s="86">
        <v>1</v>
      </c>
      <c r="H45" s="21" t="s">
        <v>9</v>
      </c>
      <c r="I45" s="91">
        <v>2</v>
      </c>
      <c r="J45" s="23">
        <f t="shared" si="5"/>
        <v>2</v>
      </c>
      <c r="K45" s="11">
        <f t="shared" si="6"/>
        <v>0</v>
      </c>
      <c r="L45" s="11">
        <f t="shared" si="7"/>
        <v>3</v>
      </c>
      <c r="O45" s="44" t="s">
        <v>31</v>
      </c>
      <c r="P45" s="45">
        <f>SUMIF($D$8:$D$55,$O45,$G$8:$G$55)+SUMIF($F$8:$F$55,$O45,$I$8:$I$55)</f>
        <v>7</v>
      </c>
      <c r="Q45" s="45">
        <f>SUMIF($D$8:$D$55,$O45,$I$8:$I$55)+SUMIF($F$8:$F$55,$O45,$G$8:$G$55)</f>
        <v>3</v>
      </c>
      <c r="R45" s="46">
        <f>P45-Q45</f>
        <v>4</v>
      </c>
      <c r="S45" s="47">
        <f>SUMIF($D$8:$D$55,$O45,$K$8:$K$55)+SUMIF($F$8:$F$55,$O45,$L$8:$L$55)</f>
        <v>7</v>
      </c>
      <c r="T45" s="94" t="s">
        <v>77</v>
      </c>
      <c r="U45" s="40"/>
      <c r="V45" s="40" t="str">
        <f>O45</f>
        <v>Duitsland</v>
      </c>
      <c r="W45" s="40" t="s">
        <v>77</v>
      </c>
      <c r="Y45" s="109">
        <f t="shared" si="8"/>
        <v>0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0</v>
      </c>
      <c r="AG45" s="108">
        <f t="shared" si="0"/>
        <v>0</v>
      </c>
      <c r="AH45" s="108">
        <f t="shared" si="1"/>
        <v>0</v>
      </c>
      <c r="AI45" s="108">
        <f t="shared" si="10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18">
        <v>39</v>
      </c>
      <c r="C46" s="19">
        <v>41814</v>
      </c>
      <c r="D46" s="20" t="s">
        <v>24</v>
      </c>
      <c r="E46" s="21" t="s">
        <v>9</v>
      </c>
      <c r="F46" s="30" t="s">
        <v>17</v>
      </c>
      <c r="G46" s="86">
        <v>0</v>
      </c>
      <c r="H46" s="21" t="s">
        <v>9</v>
      </c>
      <c r="I46" s="91">
        <v>0</v>
      </c>
      <c r="J46" s="23">
        <f t="shared" si="5"/>
        <v>3</v>
      </c>
      <c r="K46" s="11">
        <f t="shared" si="6"/>
        <v>1</v>
      </c>
      <c r="L46" s="11">
        <f t="shared" si="7"/>
        <v>1</v>
      </c>
      <c r="O46" s="48" t="s">
        <v>32</v>
      </c>
      <c r="P46" s="49">
        <f>SUMIF($D$8:$D$55,$O46,$G$8:$G$55)+SUMIF($F$8:$F$55,$O46,$I$8:$I$55)</f>
        <v>6</v>
      </c>
      <c r="Q46" s="49">
        <f>SUMIF($D$8:$D$55,$O46,$I$8:$I$55)+SUMIF($F$8:$F$55,$O46,$G$8:$G$55)</f>
        <v>3</v>
      </c>
      <c r="R46" s="49">
        <f>P46-Q46</f>
        <v>3</v>
      </c>
      <c r="S46" s="50">
        <f>SUMIF($D$8:$D$55,$O46,$K$8:$K$55)+SUMIF($F$8:$F$55,$O46,$L$8:$L$55)</f>
        <v>7</v>
      </c>
      <c r="T46" s="95" t="s">
        <v>78</v>
      </c>
      <c r="U46" s="40"/>
      <c r="V46" s="40" t="str">
        <f>O46</f>
        <v>Portugal</v>
      </c>
      <c r="W46" s="40" t="s">
        <v>78</v>
      </c>
      <c r="Y46" s="109">
        <f t="shared" si="8"/>
        <v>0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0</v>
      </c>
      <c r="AG46" s="108">
        <f t="shared" si="0"/>
        <v>0</v>
      </c>
      <c r="AH46" s="108">
        <f t="shared" si="1"/>
        <v>0</v>
      </c>
      <c r="AI46" s="108">
        <f t="shared" si="10"/>
        <v>0</v>
      </c>
      <c r="AJ46" s="108">
        <f t="shared" si="2"/>
        <v>0</v>
      </c>
      <c r="AK46" s="108">
        <f t="shared" si="3"/>
        <v>0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24">
        <v>40</v>
      </c>
      <c r="C47" s="25">
        <v>41814</v>
      </c>
      <c r="D47" s="26" t="s">
        <v>18</v>
      </c>
      <c r="E47" s="27" t="s">
        <v>9</v>
      </c>
      <c r="F47" s="28" t="s">
        <v>23</v>
      </c>
      <c r="G47" s="87">
        <v>0</v>
      </c>
      <c r="H47" s="27" t="s">
        <v>9</v>
      </c>
      <c r="I47" s="92">
        <v>2</v>
      </c>
      <c r="J47" s="29">
        <f t="shared" si="5"/>
        <v>2</v>
      </c>
      <c r="K47" s="11">
        <f t="shared" si="6"/>
        <v>0</v>
      </c>
      <c r="L47" s="11">
        <f t="shared" si="7"/>
        <v>3</v>
      </c>
      <c r="O47" s="48" t="s">
        <v>35</v>
      </c>
      <c r="P47" s="49">
        <f>SUMIF($D$8:$D$55,$O47,$G$8:$G$55)+SUMIF($F$8:$F$55,$O47,$I$8:$I$55)</f>
        <v>4</v>
      </c>
      <c r="Q47" s="49">
        <f>SUMIF($D$8:$D$55,$O47,$I$8:$I$55)+SUMIF($F$8:$F$55,$O47,$G$8:$G$55)</f>
        <v>4</v>
      </c>
      <c r="R47" s="49">
        <f>P47-Q47</f>
        <v>0</v>
      </c>
      <c r="S47" s="50">
        <f>SUMIF($D$8:$D$55,$O47,$K$8:$K$55)+SUMIF($F$8:$F$55,$O47,$L$8:$L$55)</f>
        <v>3</v>
      </c>
      <c r="T47" s="95" t="s">
        <v>79</v>
      </c>
      <c r="U47" s="40"/>
      <c r="V47" s="40" t="str">
        <f>O47</f>
        <v>Ghana</v>
      </c>
      <c r="W47" s="40" t="s">
        <v>79</v>
      </c>
      <c r="Y47" s="109">
        <f t="shared" si="8"/>
        <v>0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0</v>
      </c>
      <c r="AG47" s="108">
        <f t="shared" si="0"/>
        <v>0</v>
      </c>
      <c r="AH47" s="108">
        <f t="shared" si="1"/>
        <v>0</v>
      </c>
      <c r="AI47" s="108">
        <f t="shared" si="10"/>
        <v>0</v>
      </c>
      <c r="AJ47" s="108">
        <f t="shared" si="2"/>
        <v>0</v>
      </c>
      <c r="AK47" s="108">
        <f t="shared" si="3"/>
        <v>0</v>
      </c>
      <c r="AL47" s="108">
        <f t="shared" si="4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12">
        <v>41</v>
      </c>
      <c r="C48" s="13">
        <v>41815</v>
      </c>
      <c r="D48" s="14" t="s">
        <v>34</v>
      </c>
      <c r="E48" s="15" t="s">
        <v>9</v>
      </c>
      <c r="F48" s="16" t="s">
        <v>29</v>
      </c>
      <c r="G48" s="85">
        <v>1</v>
      </c>
      <c r="H48" s="15" t="s">
        <v>9</v>
      </c>
      <c r="I48" s="90">
        <v>2</v>
      </c>
      <c r="J48" s="17">
        <f t="shared" si="5"/>
        <v>2</v>
      </c>
      <c r="K48" s="11">
        <f t="shared" si="6"/>
        <v>0</v>
      </c>
      <c r="L48" s="11">
        <f t="shared" si="7"/>
        <v>3</v>
      </c>
      <c r="O48" s="51" t="s">
        <v>36</v>
      </c>
      <c r="P48" s="52">
        <f>SUMIF($D$8:$D$55,$O48,$G$8:$G$55)+SUMIF($F$8:$F$55,$O48,$I$8:$I$55)</f>
        <v>2</v>
      </c>
      <c r="Q48" s="52">
        <f>SUMIF($D$8:$D$55,$O48,$I$8:$I$55)+SUMIF($F$8:$F$55,$O48,$G$8:$G$55)</f>
        <v>9</v>
      </c>
      <c r="R48" s="52">
        <f>P48-Q48</f>
        <v>-7</v>
      </c>
      <c r="S48" s="53">
        <f>SUMIF($D$8:$D$55,$O48,$K$8:$K$55)+SUMIF($F$8:$F$55,$O48,$L$8:$L$55)</f>
        <v>0</v>
      </c>
      <c r="T48" s="96" t="s">
        <v>80</v>
      </c>
      <c r="U48" s="40"/>
      <c r="V48" s="40" t="str">
        <f>O48</f>
        <v>Verenigde Staten</v>
      </c>
      <c r="W48" s="40" t="s">
        <v>80</v>
      </c>
      <c r="Y48" s="109">
        <f t="shared" si="8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5</v>
      </c>
      <c r="AG48" s="108">
        <f t="shared" si="0"/>
        <v>0</v>
      </c>
      <c r="AH48" s="108">
        <f t="shared" si="1"/>
        <v>0</v>
      </c>
      <c r="AI48" s="108">
        <f t="shared" si="10"/>
        <v>0</v>
      </c>
      <c r="AJ48" s="108">
        <f t="shared" si="2"/>
        <v>0</v>
      </c>
      <c r="AK48" s="108">
        <f t="shared" si="3"/>
        <v>5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18">
        <v>42</v>
      </c>
      <c r="C49" s="19">
        <v>41815</v>
      </c>
      <c r="D49" s="20" t="s">
        <v>30</v>
      </c>
      <c r="E49" s="21" t="s">
        <v>9</v>
      </c>
      <c r="F49" s="30" t="s">
        <v>33</v>
      </c>
      <c r="G49" s="86">
        <v>0</v>
      </c>
      <c r="H49" s="21" t="s">
        <v>9</v>
      </c>
      <c r="I49" s="91">
        <v>0</v>
      </c>
      <c r="J49" s="23">
        <f t="shared" si="5"/>
        <v>3</v>
      </c>
      <c r="K49" s="11">
        <f t="shared" si="6"/>
        <v>1</v>
      </c>
      <c r="L49" s="11">
        <f t="shared" si="7"/>
        <v>1</v>
      </c>
      <c r="O49" s="40"/>
      <c r="P49" s="41"/>
      <c r="Q49" s="41"/>
      <c r="R49" s="41"/>
      <c r="S49" s="41"/>
      <c r="T49" s="41"/>
      <c r="U49" s="40"/>
      <c r="V49" s="40"/>
      <c r="W49" s="40"/>
      <c r="Y49" s="109">
        <f t="shared" si="8"/>
        <v>0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0</v>
      </c>
      <c r="AG49" s="108">
        <f t="shared" si="0"/>
        <v>0</v>
      </c>
      <c r="AH49" s="108">
        <f t="shared" si="1"/>
        <v>0</v>
      </c>
      <c r="AI49" s="108">
        <f t="shared" si="10"/>
        <v>0</v>
      </c>
      <c r="AJ49" s="108">
        <f t="shared" si="2"/>
        <v>0</v>
      </c>
      <c r="AK49" s="108">
        <f t="shared" si="3"/>
        <v>0</v>
      </c>
      <c r="AL49" s="108">
        <f t="shared" si="4"/>
        <v>0</v>
      </c>
      <c r="AN49" s="40"/>
      <c r="AO49" s="41"/>
    </row>
    <row r="50" spans="2:54" ht="15.75" thickBot="1">
      <c r="B50" s="18">
        <v>43</v>
      </c>
      <c r="C50" s="19">
        <v>41815</v>
      </c>
      <c r="D50" s="20" t="s">
        <v>28</v>
      </c>
      <c r="E50" s="21" t="s">
        <v>9</v>
      </c>
      <c r="F50" s="30" t="s">
        <v>25</v>
      </c>
      <c r="G50" s="86">
        <v>1</v>
      </c>
      <c r="H50" s="21" t="s">
        <v>9</v>
      </c>
      <c r="I50" s="91">
        <v>0</v>
      </c>
      <c r="J50" s="23">
        <f t="shared" si="5"/>
        <v>1</v>
      </c>
      <c r="K50" s="11">
        <f t="shared" si="6"/>
        <v>3</v>
      </c>
      <c r="L50" s="11">
        <f t="shared" si="7"/>
        <v>0</v>
      </c>
      <c r="O50" s="72" t="s">
        <v>81</v>
      </c>
      <c r="P50" s="73" t="s">
        <v>42</v>
      </c>
      <c r="Q50" s="73" t="s">
        <v>43</v>
      </c>
      <c r="R50" s="74" t="s">
        <v>44</v>
      </c>
      <c r="S50" s="75" t="s">
        <v>45</v>
      </c>
      <c r="T50" s="76" t="s">
        <v>46</v>
      </c>
      <c r="U50" s="40"/>
      <c r="V50" s="40"/>
      <c r="W50" s="40"/>
      <c r="Y50" s="109">
        <f t="shared" si="8"/>
        <v>0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0</v>
      </c>
      <c r="AG50" s="108">
        <f t="shared" si="0"/>
        <v>0</v>
      </c>
      <c r="AH50" s="108">
        <f t="shared" si="1"/>
        <v>0</v>
      </c>
      <c r="AI50" s="108">
        <f t="shared" si="10"/>
        <v>0</v>
      </c>
      <c r="AJ50" s="108">
        <f t="shared" si="2"/>
        <v>0</v>
      </c>
      <c r="AK50" s="108">
        <f t="shared" si="3"/>
        <v>0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24">
        <v>44</v>
      </c>
      <c r="C51" s="25">
        <v>41815</v>
      </c>
      <c r="D51" s="26" t="s">
        <v>26</v>
      </c>
      <c r="E51" s="27" t="s">
        <v>9</v>
      </c>
      <c r="F51" s="28" t="s">
        <v>27</v>
      </c>
      <c r="G51" s="87">
        <v>2</v>
      </c>
      <c r="H51" s="27" t="s">
        <v>9</v>
      </c>
      <c r="I51" s="92">
        <v>3</v>
      </c>
      <c r="J51" s="29">
        <f t="shared" si="5"/>
        <v>2</v>
      </c>
      <c r="K51" s="11">
        <f t="shared" si="6"/>
        <v>0</v>
      </c>
      <c r="L51" s="11">
        <f>IF(I51="","",IF($G51&lt;$I51,3,IF($G51=$I51,1,0)))</f>
        <v>3</v>
      </c>
      <c r="O51" s="44" t="s">
        <v>37</v>
      </c>
      <c r="P51" s="45">
        <f>SUMIF($D$8:$D$55,$O51,$G$8:$G$55)+SUMIF($F$8:$F$55,$O51,$I$8:$I$55)</f>
        <v>2</v>
      </c>
      <c r="Q51" s="45">
        <f>SUMIF($D$8:$D$55,$O51,$I$8:$I$55)+SUMIF($F$8:$F$55,$O51,$G$8:$G$55)</f>
        <v>2</v>
      </c>
      <c r="R51" s="46">
        <f>P51-Q51</f>
        <v>0</v>
      </c>
      <c r="S51" s="47">
        <f>SUMIF($D$8:$D$55,$O51,$K$8:$K$55)+SUMIF($F$8:$F$55,$O51,$L$8:$L$55)</f>
        <v>4</v>
      </c>
      <c r="T51" s="94" t="s">
        <v>84</v>
      </c>
      <c r="U51" s="40"/>
      <c r="V51" s="40" t="str">
        <f>O51</f>
        <v>België</v>
      </c>
      <c r="W51" s="40" t="s">
        <v>82</v>
      </c>
      <c r="Y51" s="109">
        <f t="shared" si="8"/>
        <v>0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0</v>
      </c>
      <c r="AG51" s="108">
        <f t="shared" si="0"/>
        <v>0</v>
      </c>
      <c r="AH51" s="108">
        <f t="shared" si="1"/>
        <v>0</v>
      </c>
      <c r="AI51" s="108">
        <f t="shared" si="10"/>
        <v>0</v>
      </c>
      <c r="AJ51" s="108">
        <f t="shared" si="2"/>
        <v>0</v>
      </c>
      <c r="AK51" s="108">
        <f t="shared" si="3"/>
        <v>0</v>
      </c>
      <c r="AL51" s="108">
        <f t="shared" si="4"/>
        <v>0</v>
      </c>
      <c r="AM51" s="120">
        <f>AO51</f>
        <v>0</v>
      </c>
      <c r="AN51" s="116" t="s">
        <v>37</v>
      </c>
      <c r="AO51" s="115">
        <f>IF(Uitslag!T51="",0,IF(T51=Uitslag!T51,10,0))</f>
        <v>0</v>
      </c>
    </row>
    <row r="52" spans="2:54" ht="15.75" thickBot="1">
      <c r="B52" s="18">
        <v>45</v>
      </c>
      <c r="C52" s="19">
        <v>41816</v>
      </c>
      <c r="D52" s="20" t="s">
        <v>36</v>
      </c>
      <c r="E52" s="21" t="s">
        <v>9</v>
      </c>
      <c r="F52" s="30" t="s">
        <v>31</v>
      </c>
      <c r="G52" s="86">
        <v>1</v>
      </c>
      <c r="H52" s="21" t="s">
        <v>9</v>
      </c>
      <c r="I52" s="91">
        <v>4</v>
      </c>
      <c r="J52" s="17">
        <f t="shared" si="5"/>
        <v>2</v>
      </c>
      <c r="K52" s="11">
        <f t="shared" si="6"/>
        <v>0</v>
      </c>
      <c r="L52" s="11">
        <f t="shared" si="7"/>
        <v>3</v>
      </c>
      <c r="O52" s="48" t="s">
        <v>38</v>
      </c>
      <c r="P52" s="49">
        <f>SUMIF($D$8:$D$55,$O52,$G$8:$G$55)+SUMIF($F$8:$F$55,$O52,$I$8:$I$55)</f>
        <v>1</v>
      </c>
      <c r="Q52" s="49">
        <f>SUMIF($D$8:$D$55,$O52,$I$8:$I$55)+SUMIF($F$8:$F$55,$O52,$G$8:$G$55)</f>
        <v>4</v>
      </c>
      <c r="R52" s="49">
        <f>P52-Q52</f>
        <v>-3</v>
      </c>
      <c r="S52" s="50">
        <f>SUMIF($D$8:$D$55,$O52,$K$8:$K$55)+SUMIF($F$8:$F$55,$O52,$L$8:$L$55)</f>
        <v>1</v>
      </c>
      <c r="T52" s="95" t="s">
        <v>85</v>
      </c>
      <c r="U52" s="40"/>
      <c r="V52" s="40" t="str">
        <f>O52</f>
        <v>Algerije</v>
      </c>
      <c r="W52" s="40" t="s">
        <v>83</v>
      </c>
      <c r="Y52" s="109">
        <f t="shared" si="8"/>
        <v>5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5</v>
      </c>
      <c r="AG52" s="108">
        <f t="shared" si="0"/>
        <v>0</v>
      </c>
      <c r="AH52" s="108">
        <f t="shared" si="1"/>
        <v>0</v>
      </c>
      <c r="AI52" s="108">
        <f t="shared" si="10"/>
        <v>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18">
        <v>46</v>
      </c>
      <c r="C53" s="19">
        <v>41816</v>
      </c>
      <c r="D53" s="20" t="s">
        <v>32</v>
      </c>
      <c r="E53" s="21" t="s">
        <v>9</v>
      </c>
      <c r="F53" s="30" t="s">
        <v>35</v>
      </c>
      <c r="G53" s="86">
        <v>2</v>
      </c>
      <c r="H53" s="21" t="s">
        <v>9</v>
      </c>
      <c r="I53" s="91">
        <v>1</v>
      </c>
      <c r="J53" s="23">
        <f t="shared" si="5"/>
        <v>1</v>
      </c>
      <c r="K53" s="11">
        <f t="shared" si="6"/>
        <v>3</v>
      </c>
      <c r="L53" s="11">
        <f t="shared" si="7"/>
        <v>0</v>
      </c>
      <c r="O53" s="48" t="s">
        <v>39</v>
      </c>
      <c r="P53" s="49">
        <f>SUMIF($D$8:$D$55,$O53,$G$8:$G$55)+SUMIF($F$8:$F$55,$O53,$I$8:$I$55)</f>
        <v>4</v>
      </c>
      <c r="Q53" s="49">
        <f>SUMIF($D$8:$D$55,$O53,$I$8:$I$55)+SUMIF($F$8:$F$55,$O53,$G$8:$G$55)</f>
        <v>2</v>
      </c>
      <c r="R53" s="49">
        <f>P53-Q53</f>
        <v>2</v>
      </c>
      <c r="S53" s="50">
        <f>SUMIF($D$8:$D$55,$O53,$K$8:$K$55)+SUMIF($F$8:$F$55,$O53,$L$8:$L$55)</f>
        <v>6</v>
      </c>
      <c r="T53" s="95" t="s">
        <v>82</v>
      </c>
      <c r="U53" s="40"/>
      <c r="V53" s="40" t="str">
        <f>O53</f>
        <v>Rusland</v>
      </c>
      <c r="W53" s="40" t="s">
        <v>84</v>
      </c>
      <c r="Y53" s="109">
        <f t="shared" si="8"/>
        <v>10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10</v>
      </c>
      <c r="AG53" s="108">
        <f t="shared" si="0"/>
        <v>1</v>
      </c>
      <c r="AH53" s="108">
        <f t="shared" si="1"/>
        <v>1</v>
      </c>
      <c r="AI53" s="108">
        <f t="shared" si="10"/>
        <v>10</v>
      </c>
      <c r="AJ53" s="108">
        <f t="shared" si="2"/>
        <v>5</v>
      </c>
      <c r="AK53" s="108">
        <f t="shared" si="3"/>
        <v>0</v>
      </c>
      <c r="AL53" s="108">
        <f t="shared" si="4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18">
        <v>47</v>
      </c>
      <c r="C54" s="19">
        <v>41816</v>
      </c>
      <c r="D54" s="20" t="s">
        <v>40</v>
      </c>
      <c r="E54" s="21" t="s">
        <v>9</v>
      </c>
      <c r="F54" s="30" t="s">
        <v>37</v>
      </c>
      <c r="G54" s="86">
        <v>1</v>
      </c>
      <c r="H54" s="21" t="s">
        <v>9</v>
      </c>
      <c r="I54" s="91">
        <v>1</v>
      </c>
      <c r="J54" s="23">
        <f t="shared" si="5"/>
        <v>3</v>
      </c>
      <c r="K54" s="11">
        <f t="shared" si="6"/>
        <v>1</v>
      </c>
      <c r="L54" s="11">
        <f t="shared" si="7"/>
        <v>1</v>
      </c>
      <c r="O54" s="51" t="s">
        <v>40</v>
      </c>
      <c r="P54" s="52">
        <f>SUMIF($D$8:$D$55,$O54,$G$8:$G$55)+SUMIF($F$8:$F$55,$O54,$I$8:$I$55)</f>
        <v>4</v>
      </c>
      <c r="Q54" s="52">
        <f>SUMIF($D$8:$D$55,$O54,$I$8:$I$55)+SUMIF($F$8:$F$55,$O54,$G$8:$G$55)</f>
        <v>3</v>
      </c>
      <c r="R54" s="52">
        <f>P54-Q54</f>
        <v>1</v>
      </c>
      <c r="S54" s="53">
        <f>SUMIF($D$8:$D$55,$O54,$K$8:$K$55)+SUMIF($F$8:$F$55,$O54,$L$8:$L$55)</f>
        <v>5</v>
      </c>
      <c r="T54" s="96" t="s">
        <v>83</v>
      </c>
      <c r="U54" s="40"/>
      <c r="V54" s="40" t="str">
        <f>O54</f>
        <v>Zuid Korea</v>
      </c>
      <c r="W54" s="40" t="s">
        <v>85</v>
      </c>
      <c r="Y54" s="109">
        <f t="shared" si="8"/>
        <v>1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1</v>
      </c>
      <c r="AG54" s="108">
        <f t="shared" si="0"/>
        <v>0</v>
      </c>
      <c r="AH54" s="108">
        <f t="shared" si="1"/>
        <v>1</v>
      </c>
      <c r="AI54" s="108">
        <f t="shared" si="10"/>
        <v>0</v>
      </c>
      <c r="AJ54" s="108">
        <f t="shared" si="2"/>
        <v>0</v>
      </c>
      <c r="AK54" s="108">
        <f t="shared" si="3"/>
        <v>0</v>
      </c>
      <c r="AL54" s="108">
        <f t="shared" si="4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3">
        <v>48</v>
      </c>
      <c r="C55" s="34">
        <v>41816</v>
      </c>
      <c r="D55" s="35" t="s">
        <v>38</v>
      </c>
      <c r="E55" s="36" t="s">
        <v>9</v>
      </c>
      <c r="F55" s="37" t="s">
        <v>39</v>
      </c>
      <c r="G55" s="88">
        <v>0</v>
      </c>
      <c r="H55" s="36" t="s">
        <v>9</v>
      </c>
      <c r="I55" s="93">
        <v>2</v>
      </c>
      <c r="J55" s="38">
        <f t="shared" si="5"/>
        <v>2</v>
      </c>
      <c r="K55" s="11">
        <f t="shared" si="6"/>
        <v>0</v>
      </c>
      <c r="L55" s="11">
        <f t="shared" si="7"/>
        <v>3</v>
      </c>
      <c r="O55" s="40"/>
      <c r="P55" s="41"/>
      <c r="Q55" s="41"/>
      <c r="R55" s="41"/>
      <c r="S55" s="41"/>
      <c r="T55" s="41"/>
      <c r="U55" s="40"/>
      <c r="V55" s="40"/>
      <c r="W55" s="40"/>
      <c r="Y55" s="109">
        <f t="shared" si="8"/>
        <v>0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0</v>
      </c>
      <c r="AG55" s="108">
        <f t="shared" si="0"/>
        <v>0</v>
      </c>
      <c r="AH55" s="108">
        <f t="shared" si="1"/>
        <v>0</v>
      </c>
      <c r="AI55" s="108">
        <f t="shared" si="10"/>
        <v>0</v>
      </c>
      <c r="AJ55" s="108">
        <f t="shared" si="2"/>
        <v>0</v>
      </c>
      <c r="AK55" s="108">
        <f t="shared" si="3"/>
        <v>0</v>
      </c>
      <c r="AL55" s="108">
        <f t="shared" si="4"/>
        <v>0</v>
      </c>
    </row>
    <row r="56" spans="2:54" ht="15.75" thickBot="1">
      <c r="B56" s="1"/>
      <c r="C56" s="39"/>
      <c r="D56" s="40"/>
      <c r="E56" s="1"/>
      <c r="F56" s="40"/>
      <c r="G56" s="1"/>
      <c r="H56" s="1"/>
      <c r="I56" s="1"/>
      <c r="J56" s="1"/>
      <c r="K56" s="1"/>
      <c r="L56" s="1"/>
      <c r="M56" s="1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195"/>
      <c r="K57" s="1"/>
      <c r="L57" s="1"/>
      <c r="M57" s="1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78" t="s">
        <v>1</v>
      </c>
      <c r="C58" s="79" t="s">
        <v>2</v>
      </c>
      <c r="D58" s="187" t="s">
        <v>3</v>
      </c>
      <c r="E58" s="81"/>
      <c r="F58" s="194" t="s">
        <v>4</v>
      </c>
      <c r="G58" s="867" t="s">
        <v>5</v>
      </c>
      <c r="H58" s="868"/>
      <c r="I58" s="869"/>
      <c r="J58" s="83" t="s">
        <v>6</v>
      </c>
      <c r="K58" s="1"/>
      <c r="L58" s="1"/>
      <c r="M58" s="1"/>
      <c r="O58" s="135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12">
        <v>49</v>
      </c>
      <c r="C59" s="189">
        <v>41818</v>
      </c>
      <c r="D59" s="153" t="str">
        <f>IF(ISERROR(Z59),K59,Z59)</f>
        <v>Brazilië</v>
      </c>
      <c r="E59" s="15" t="s">
        <v>9</v>
      </c>
      <c r="F59" s="56" t="str">
        <f>IF(ISERROR(AA59),L59,AA59)</f>
        <v>Nederland</v>
      </c>
      <c r="G59" s="85">
        <v>2</v>
      </c>
      <c r="H59" s="15" t="s">
        <v>9</v>
      </c>
      <c r="I59" s="97">
        <v>1</v>
      </c>
      <c r="J59" s="98">
        <v>1</v>
      </c>
      <c r="K59" s="57" t="s">
        <v>48</v>
      </c>
      <c r="L59" s="57" t="s">
        <v>53</v>
      </c>
      <c r="M59" s="57">
        <v>1</v>
      </c>
      <c r="O59" s="135">
        <v>2</v>
      </c>
      <c r="P59" s="877" t="s">
        <v>212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3">AF59</f>
        <v>1</v>
      </c>
      <c r="Z59" t="str">
        <f t="shared" ref="Z59:AA65" si="14">IF(K59=""," ",VLOOKUP(K59,$T$9:$V$54,3,FALSE))</f>
        <v>Brazilië</v>
      </c>
      <c r="AA59" t="str">
        <f t="shared" si="14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1</v>
      </c>
      <c r="AG59" s="108">
        <f t="shared" ref="AG59:AG66" si="16">IF(AC59="",0,(IF(G59=AC59,1,0)))</f>
        <v>0</v>
      </c>
      <c r="AH59" s="108">
        <f t="shared" ref="AH59:AH66" si="17">IF(AD59="",0,(IF(I59=AD59,1,0)))</f>
        <v>1</v>
      </c>
      <c r="AI59" s="108">
        <f t="shared" ref="AI59:AI66" si="18">IF(AND(AG59=1,AH59=1),10,0)</f>
        <v>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24">
        <v>50</v>
      </c>
      <c r="C60" s="190">
        <v>41818</v>
      </c>
      <c r="D60" s="154" t="str">
        <f t="shared" ref="D60:D66" si="23">IF(ISERROR(Z60),K60,Z60)</f>
        <v>Ivoorkust</v>
      </c>
      <c r="E60" s="27" t="s">
        <v>9</v>
      </c>
      <c r="F60" s="59" t="str">
        <f t="shared" ref="F60:F66" si="24">IF(ISERROR(AA60),L60,AA60)</f>
        <v>Uruguay</v>
      </c>
      <c r="G60" s="87">
        <v>1</v>
      </c>
      <c r="H60" s="27" t="s">
        <v>9</v>
      </c>
      <c r="I60" s="99">
        <v>1</v>
      </c>
      <c r="J60" s="100">
        <v>2</v>
      </c>
      <c r="K60" s="57" t="s">
        <v>57</v>
      </c>
      <c r="L60" s="57" t="s">
        <v>63</v>
      </c>
      <c r="M60" s="57">
        <v>2</v>
      </c>
      <c r="O60" s="135">
        <v>3</v>
      </c>
      <c r="P60" s="877" t="s">
        <v>211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3"/>
        <v>0</v>
      </c>
      <c r="Z60" t="str">
        <f t="shared" si="14"/>
        <v>Ivoorkust</v>
      </c>
      <c r="AA60" t="str">
        <f t="shared" si="14"/>
        <v>Uruguay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0</v>
      </c>
      <c r="AG60" s="108">
        <f t="shared" si="16"/>
        <v>0</v>
      </c>
      <c r="AH60" s="108">
        <f t="shared" si="17"/>
        <v>0</v>
      </c>
      <c r="AI60" s="108">
        <f t="shared" si="18"/>
        <v>0</v>
      </c>
      <c r="AJ60" s="108">
        <f t="shared" si="19"/>
        <v>0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2"/>
        <v>3</v>
      </c>
    </row>
    <row r="61" spans="2:54">
      <c r="B61" s="12">
        <v>51</v>
      </c>
      <c r="C61" s="189">
        <v>41819</v>
      </c>
      <c r="D61" s="188" t="str">
        <f t="shared" si="23"/>
        <v>Spanje</v>
      </c>
      <c r="E61" s="15" t="s">
        <v>9</v>
      </c>
      <c r="F61" s="56" t="str">
        <f t="shared" si="24"/>
        <v>Mexico</v>
      </c>
      <c r="G61" s="85">
        <v>1</v>
      </c>
      <c r="H61" s="15" t="s">
        <v>9</v>
      </c>
      <c r="I61" s="97">
        <v>0</v>
      </c>
      <c r="J61" s="98">
        <v>1</v>
      </c>
      <c r="K61" s="57" t="s">
        <v>52</v>
      </c>
      <c r="L61" s="57" t="s">
        <v>49</v>
      </c>
      <c r="M61" s="57"/>
      <c r="O61" s="135">
        <v>4</v>
      </c>
      <c r="P61" s="877" t="s">
        <v>225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3"/>
        <v>5</v>
      </c>
      <c r="Z61" t="str">
        <f t="shared" si="14"/>
        <v>Spanje</v>
      </c>
      <c r="AA61" t="str">
        <f t="shared" si="14"/>
        <v>Mexico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5</v>
      </c>
      <c r="AG61" s="108">
        <f t="shared" si="16"/>
        <v>0</v>
      </c>
      <c r="AH61" s="108">
        <f t="shared" si="17"/>
        <v>0</v>
      </c>
      <c r="AI61" s="108">
        <f t="shared" si="18"/>
        <v>0</v>
      </c>
      <c r="AJ61" s="108">
        <f t="shared" si="19"/>
        <v>5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3</v>
      </c>
      <c r="BB61" s="139">
        <f t="shared" si="22"/>
        <v>3</v>
      </c>
    </row>
    <row r="62" spans="2:54">
      <c r="B62" s="24">
        <v>52</v>
      </c>
      <c r="C62" s="190">
        <v>41819</v>
      </c>
      <c r="D62" s="188" t="str">
        <f t="shared" si="23"/>
        <v>Italië</v>
      </c>
      <c r="E62" s="27" t="s">
        <v>9</v>
      </c>
      <c r="F62" s="59" t="str">
        <f t="shared" si="24"/>
        <v>Colombia</v>
      </c>
      <c r="G62" s="87">
        <v>2</v>
      </c>
      <c r="H62" s="27" t="s">
        <v>9</v>
      </c>
      <c r="I62" s="99">
        <v>1</v>
      </c>
      <c r="J62" s="100">
        <v>1</v>
      </c>
      <c r="K62" s="57" t="s">
        <v>62</v>
      </c>
      <c r="L62" s="57" t="s">
        <v>58</v>
      </c>
      <c r="M62" s="57"/>
      <c r="O62" s="135">
        <v>5</v>
      </c>
      <c r="P62" s="877" t="s">
        <v>229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3"/>
        <v>1</v>
      </c>
      <c r="Z62" t="str">
        <f t="shared" si="14"/>
        <v>Italië</v>
      </c>
      <c r="AA62" t="str">
        <f t="shared" si="14"/>
        <v>Colombia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1</v>
      </c>
      <c r="AG62" s="108">
        <f t="shared" si="16"/>
        <v>0</v>
      </c>
      <c r="AH62" s="108">
        <f t="shared" si="17"/>
        <v>1</v>
      </c>
      <c r="AI62" s="108">
        <f t="shared" si="18"/>
        <v>0</v>
      </c>
      <c r="AJ62" s="108">
        <f t="shared" si="19"/>
        <v>0</v>
      </c>
      <c r="AK62" s="108">
        <f t="shared" si="20"/>
        <v>0</v>
      </c>
      <c r="AL62" s="108">
        <f t="shared" si="21"/>
        <v>0</v>
      </c>
      <c r="AZ62" s="138" t="str">
        <f>Uitslag!P62</f>
        <v>Bruno Martins Indi (v)</v>
      </c>
      <c r="BA62" s="140">
        <f t="shared" si="12"/>
        <v>0</v>
      </c>
      <c r="BB62" s="139">
        <f t="shared" si="22"/>
        <v>0</v>
      </c>
    </row>
    <row r="63" spans="2:54">
      <c r="B63" s="12">
        <v>53</v>
      </c>
      <c r="C63" s="189">
        <v>41820</v>
      </c>
      <c r="D63" s="153" t="str">
        <f t="shared" si="23"/>
        <v>Frankrijk</v>
      </c>
      <c r="E63" s="15" t="s">
        <v>9</v>
      </c>
      <c r="F63" s="56" t="str">
        <f t="shared" si="24"/>
        <v>Nigeria</v>
      </c>
      <c r="G63" s="85">
        <v>0</v>
      </c>
      <c r="H63" s="15" t="s">
        <v>9</v>
      </c>
      <c r="I63" s="97">
        <v>0</v>
      </c>
      <c r="J63" s="98">
        <v>1</v>
      </c>
      <c r="K63" s="57" t="s">
        <v>67</v>
      </c>
      <c r="L63" s="57" t="s">
        <v>73</v>
      </c>
      <c r="M63" s="57"/>
      <c r="O63" s="135">
        <v>6</v>
      </c>
      <c r="P63" s="877" t="s">
        <v>220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3"/>
        <v>1</v>
      </c>
      <c r="Z63" t="str">
        <f t="shared" si="14"/>
        <v>Frankrijk</v>
      </c>
      <c r="AA63" t="str">
        <f t="shared" si="14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1</v>
      </c>
      <c r="AG63" s="108">
        <f t="shared" si="16"/>
        <v>0</v>
      </c>
      <c r="AH63" s="108">
        <f t="shared" si="17"/>
        <v>1</v>
      </c>
      <c r="AI63" s="108">
        <f t="shared" si="18"/>
        <v>0</v>
      </c>
      <c r="AJ63" s="108">
        <f t="shared" si="19"/>
        <v>0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3</v>
      </c>
      <c r="BB63" s="139">
        <f t="shared" si="22"/>
        <v>3</v>
      </c>
    </row>
    <row r="64" spans="2:54">
      <c r="B64" s="24">
        <v>54</v>
      </c>
      <c r="C64" s="190">
        <v>41820</v>
      </c>
      <c r="D64" s="154" t="str">
        <f t="shared" si="23"/>
        <v>Duitsland</v>
      </c>
      <c r="E64" s="27" t="s">
        <v>9</v>
      </c>
      <c r="F64" s="59" t="str">
        <f t="shared" si="24"/>
        <v>Zuid Korea</v>
      </c>
      <c r="G64" s="87">
        <v>3</v>
      </c>
      <c r="H64" s="27" t="s">
        <v>9</v>
      </c>
      <c r="I64" s="99">
        <v>0</v>
      </c>
      <c r="J64" s="100">
        <v>1</v>
      </c>
      <c r="K64" s="57" t="s">
        <v>77</v>
      </c>
      <c r="L64" s="57" t="s">
        <v>83</v>
      </c>
      <c r="M64" s="57"/>
      <c r="O64" s="135">
        <v>7</v>
      </c>
      <c r="P64" s="877" t="s">
        <v>213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3"/>
        <v>1</v>
      </c>
      <c r="Z64" t="str">
        <f t="shared" si="14"/>
        <v>Duitsland</v>
      </c>
      <c r="AA64" t="str">
        <f t="shared" si="14"/>
        <v>Zuid Korea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1</v>
      </c>
      <c r="AG64" s="108">
        <f t="shared" si="16"/>
        <v>0</v>
      </c>
      <c r="AH64" s="108">
        <f t="shared" si="17"/>
        <v>1</v>
      </c>
      <c r="AI64" s="108">
        <f t="shared" si="18"/>
        <v>0</v>
      </c>
      <c r="AJ64" s="108">
        <f t="shared" si="19"/>
        <v>0</v>
      </c>
      <c r="AK64" s="108">
        <f t="shared" si="20"/>
        <v>0</v>
      </c>
      <c r="AL64" s="108">
        <f t="shared" si="21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2"/>
        <v>3</v>
      </c>
    </row>
    <row r="65" spans="2:54">
      <c r="B65" s="18">
        <v>55</v>
      </c>
      <c r="C65" s="191">
        <v>41821</v>
      </c>
      <c r="D65" s="153" t="str">
        <f t="shared" si="23"/>
        <v>Argentinië</v>
      </c>
      <c r="E65" s="21" t="s">
        <v>9</v>
      </c>
      <c r="F65" s="60" t="str">
        <f t="shared" si="24"/>
        <v>Ecuador</v>
      </c>
      <c r="G65" s="86">
        <v>2</v>
      </c>
      <c r="H65" s="21" t="s">
        <v>9</v>
      </c>
      <c r="I65" s="101">
        <v>1</v>
      </c>
      <c r="J65" s="102">
        <v>1</v>
      </c>
      <c r="K65" s="57" t="s">
        <v>72</v>
      </c>
      <c r="L65" s="57" t="s">
        <v>68</v>
      </c>
      <c r="M65" s="57"/>
      <c r="O65" s="135">
        <v>8</v>
      </c>
      <c r="P65" s="877" t="s">
        <v>221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3"/>
        <v>0</v>
      </c>
      <c r="Z65" t="str">
        <f t="shared" si="14"/>
        <v>Argentinië</v>
      </c>
      <c r="AA65" t="str">
        <f t="shared" si="14"/>
        <v>Ecuador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0</v>
      </c>
      <c r="AG65" s="108">
        <f t="shared" si="16"/>
        <v>0</v>
      </c>
      <c r="AH65" s="108">
        <f t="shared" si="17"/>
        <v>0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0</v>
      </c>
      <c r="AZ65" s="138" t="str">
        <f>Uitslag!P65</f>
        <v>Nigel de Jong (m)</v>
      </c>
      <c r="BA65" s="140">
        <f t="shared" si="12"/>
        <v>0</v>
      </c>
      <c r="BB65" s="139">
        <f t="shared" si="22"/>
        <v>0</v>
      </c>
    </row>
    <row r="66" spans="2:54" ht="15.75" thickBot="1">
      <c r="B66" s="33">
        <v>56</v>
      </c>
      <c r="C66" s="186">
        <v>41821</v>
      </c>
      <c r="D66" s="155" t="str">
        <f t="shared" si="23"/>
        <v>Rusland</v>
      </c>
      <c r="E66" s="36" t="s">
        <v>9</v>
      </c>
      <c r="F66" s="62" t="str">
        <f t="shared" si="24"/>
        <v>Portugal</v>
      </c>
      <c r="G66" s="88">
        <v>0</v>
      </c>
      <c r="H66" s="36" t="s">
        <v>9</v>
      </c>
      <c r="I66" s="103">
        <v>2</v>
      </c>
      <c r="J66" s="104">
        <v>2</v>
      </c>
      <c r="K66" s="57" t="s">
        <v>82</v>
      </c>
      <c r="L66" s="57" t="s">
        <v>78</v>
      </c>
      <c r="M66" s="57"/>
      <c r="O66" s="135">
        <v>9</v>
      </c>
      <c r="P66" s="877" t="s">
        <v>214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3"/>
        <v>1</v>
      </c>
      <c r="Z66" t="str">
        <f>IF(K66=""," ",VLOOKUP(K66,$T$9:$V$54,3,FALSE))</f>
        <v>Rusland</v>
      </c>
      <c r="AA66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1</v>
      </c>
      <c r="AG66" s="108">
        <f t="shared" si="16"/>
        <v>1</v>
      </c>
      <c r="AH66" s="108">
        <f t="shared" si="17"/>
        <v>0</v>
      </c>
      <c r="AI66" s="108">
        <f t="shared" si="18"/>
        <v>0</v>
      </c>
      <c r="AJ66" s="108">
        <f t="shared" si="19"/>
        <v>0</v>
      </c>
      <c r="AK66" s="108">
        <f t="shared" si="20"/>
        <v>0</v>
      </c>
      <c r="AL66" s="108">
        <f t="shared" si="21"/>
        <v>0</v>
      </c>
      <c r="AZ66" s="138" t="str">
        <f>Uitslag!P66</f>
        <v>Jonathan de Guzman (m)</v>
      </c>
      <c r="BA66" s="140">
        <f t="shared" si="12"/>
        <v>3</v>
      </c>
      <c r="BB66" s="139">
        <f t="shared" si="22"/>
        <v>3</v>
      </c>
    </row>
    <row r="67" spans="2:54" ht="15.75" thickBot="1">
      <c r="B67" s="1"/>
      <c r="C67" s="39"/>
      <c r="D67" s="40"/>
      <c r="E67" s="1"/>
      <c r="F67" s="40"/>
      <c r="G67" s="1"/>
      <c r="H67" s="1"/>
      <c r="I67" s="1"/>
      <c r="J67" s="1"/>
      <c r="K67" s="1"/>
      <c r="L67" s="1"/>
      <c r="M67" s="1"/>
      <c r="O67" s="135">
        <v>10</v>
      </c>
      <c r="P67" s="877" t="s">
        <v>216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2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195"/>
      <c r="K68" s="1"/>
      <c r="L68" s="1"/>
      <c r="M68" s="1"/>
      <c r="O68" s="135">
        <v>11</v>
      </c>
      <c r="P68" s="877" t="s">
        <v>215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2"/>
        <v>3</v>
      </c>
    </row>
    <row r="69" spans="2:54">
      <c r="B69" s="78" t="s">
        <v>1</v>
      </c>
      <c r="C69" s="79" t="s">
        <v>2</v>
      </c>
      <c r="D69" s="193" t="s">
        <v>3</v>
      </c>
      <c r="E69" s="81"/>
      <c r="F69" s="194" t="s">
        <v>4</v>
      </c>
      <c r="G69" s="867" t="s">
        <v>5</v>
      </c>
      <c r="H69" s="868"/>
      <c r="I69" s="869"/>
      <c r="J69" s="83" t="s">
        <v>6</v>
      </c>
      <c r="K69" s="1"/>
      <c r="L69" s="1"/>
      <c r="M69" s="1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27</v>
      </c>
      <c r="BB69" s="139" t="str">
        <f>IF(AND(BA69&lt;&gt;"",BA69=33),15,"nvt")</f>
        <v>nvt</v>
      </c>
    </row>
    <row r="70" spans="2:54">
      <c r="B70" s="12">
        <v>57</v>
      </c>
      <c r="C70" s="13">
        <v>41824</v>
      </c>
      <c r="D70" s="55" t="str">
        <f>IF(J63="","Winnaar 53",IF(J63=1,D63,F63))</f>
        <v>Frankrijk</v>
      </c>
      <c r="E70" s="15" t="s">
        <v>9</v>
      </c>
      <c r="F70" s="56" t="str">
        <f>IF(J64="","Winnaar 54",IF(J64=1,D64,F64))</f>
        <v>Duitsland</v>
      </c>
      <c r="G70" s="85">
        <v>2</v>
      </c>
      <c r="H70" s="15" t="s">
        <v>9</v>
      </c>
      <c r="I70" s="97">
        <v>1</v>
      </c>
      <c r="J70" s="98">
        <v>1</v>
      </c>
      <c r="K70" s="1"/>
      <c r="L70" s="1"/>
      <c r="M70" s="1"/>
      <c r="V70" t="s">
        <v>133</v>
      </c>
      <c r="W70" t="s">
        <v>126</v>
      </c>
      <c r="X70" t="str">
        <f t="shared" si="11"/>
        <v>Karim Rekik (v)</v>
      </c>
      <c r="Y70" s="109">
        <f>AF70</f>
        <v>1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1</v>
      </c>
      <c r="AG70" s="108">
        <f>IF(AC70="",0,(IF(G70=AC70,1,0)))</f>
        <v>0</v>
      </c>
      <c r="AH70" s="108">
        <f>IF(AD70="",0,(IF(I70=AD70,1,0)))</f>
        <v>1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0</v>
      </c>
      <c r="AL70" s="108">
        <f>IF(AND(G70=I70,AC70=AD70),5,0)</f>
        <v>0</v>
      </c>
    </row>
    <row r="71" spans="2:54">
      <c r="B71" s="24">
        <v>58</v>
      </c>
      <c r="C71" s="25">
        <v>41824</v>
      </c>
      <c r="D71" s="58" t="str">
        <f>IF(J59="","Winnaar 49",IF(J59=1,D59,F59))</f>
        <v>Brazilië</v>
      </c>
      <c r="E71" s="27" t="s">
        <v>9</v>
      </c>
      <c r="F71" s="59" t="str">
        <f>IF(J60="","Winnaar 50",IF(J60=1,D60,F60))</f>
        <v>Uruguay</v>
      </c>
      <c r="G71" s="87">
        <v>3</v>
      </c>
      <c r="H71" s="27" t="s">
        <v>9</v>
      </c>
      <c r="I71" s="99">
        <v>1</v>
      </c>
      <c r="J71" s="100">
        <v>1</v>
      </c>
      <c r="K71" s="1"/>
      <c r="L71" s="1"/>
      <c r="M71" s="1"/>
      <c r="V71" t="s">
        <v>133</v>
      </c>
      <c r="W71" t="s">
        <v>194</v>
      </c>
      <c r="X71" t="str">
        <f t="shared" si="11"/>
        <v>Ron Vlaar (v)</v>
      </c>
      <c r="Y71" s="109">
        <f>AF71</f>
        <v>6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6</v>
      </c>
      <c r="AG71" s="108">
        <f>IF(AC71="",0,(IF(G71=AC71,1,0)))</f>
        <v>0</v>
      </c>
      <c r="AH71" s="108">
        <f>IF(AD71="",0,(IF(I71=AD71,1,0)))</f>
        <v>1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12">
        <v>59</v>
      </c>
      <c r="C72" s="13">
        <v>41825</v>
      </c>
      <c r="D72" s="55" t="str">
        <f>IF(J65="","Winnaar 55",IF(J65=1,D65,F65))</f>
        <v>Argentinië</v>
      </c>
      <c r="E72" s="15" t="s">
        <v>9</v>
      </c>
      <c r="F72" s="56" t="str">
        <f>IF(J66="","Winnaar 56",IF(J66=1,D66,F66))</f>
        <v>Portugal</v>
      </c>
      <c r="G72" s="85">
        <v>1</v>
      </c>
      <c r="H72" s="15" t="s">
        <v>9</v>
      </c>
      <c r="I72" s="97">
        <v>1</v>
      </c>
      <c r="J72" s="98">
        <v>1</v>
      </c>
      <c r="K72" s="1"/>
      <c r="L72" s="1"/>
      <c r="M72" s="1"/>
      <c r="V72" t="s">
        <v>133</v>
      </c>
      <c r="W72" t="s">
        <v>195</v>
      </c>
      <c r="X72" t="str">
        <f t="shared" si="11"/>
        <v>John Heitinga (v)</v>
      </c>
      <c r="Y72" s="109">
        <f>AF72</f>
        <v>1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1</v>
      </c>
      <c r="AG72" s="108">
        <f>IF(AC72="",0,(IF(G72=AC72,1,0)))</f>
        <v>1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0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3">
        <v>60</v>
      </c>
      <c r="C73" s="34">
        <v>41825</v>
      </c>
      <c r="D73" s="61" t="str">
        <f>IF(J61="","Winnaar 51",IF(J61=1,D61,F61))</f>
        <v>Spanje</v>
      </c>
      <c r="E73" s="36" t="s">
        <v>9</v>
      </c>
      <c r="F73" s="62" t="str">
        <f>IF(J62="","Winnaar 52",IF(J62=1,D62,F62))</f>
        <v>Italië</v>
      </c>
      <c r="G73" s="88">
        <v>1</v>
      </c>
      <c r="H73" s="36" t="s">
        <v>9</v>
      </c>
      <c r="I73" s="103">
        <v>1</v>
      </c>
      <c r="J73" s="104">
        <v>1</v>
      </c>
      <c r="K73" s="1"/>
      <c r="L73" s="1"/>
      <c r="M73" s="1"/>
      <c r="V73" t="s">
        <v>133</v>
      </c>
      <c r="W73" t="s">
        <v>196</v>
      </c>
      <c r="X73" t="str">
        <f t="shared" si="11"/>
        <v>Urby Emanuelson (v)</v>
      </c>
      <c r="Y73" s="109">
        <f>AF73</f>
        <v>5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5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5</v>
      </c>
    </row>
    <row r="74" spans="2:54" ht="15.75" thickBot="1">
      <c r="B74" s="1"/>
      <c r="C74" s="39"/>
      <c r="D74" s="40"/>
      <c r="E74" s="1"/>
      <c r="F74" s="40"/>
      <c r="G74" s="1"/>
      <c r="H74" s="1"/>
      <c r="I74" s="1"/>
      <c r="J74" s="1"/>
      <c r="K74" s="1"/>
      <c r="L74" s="1"/>
      <c r="M74" s="1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195"/>
      <c r="K75" s="1"/>
      <c r="L75" s="1"/>
      <c r="M75" s="1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78" t="s">
        <v>1</v>
      </c>
      <c r="C76" s="79" t="s">
        <v>2</v>
      </c>
      <c r="D76" s="193" t="s">
        <v>3</v>
      </c>
      <c r="E76" s="81"/>
      <c r="F76" s="194" t="s">
        <v>4</v>
      </c>
      <c r="G76" s="867" t="s">
        <v>5</v>
      </c>
      <c r="H76" s="868"/>
      <c r="I76" s="869"/>
      <c r="J76" s="83" t="s">
        <v>6</v>
      </c>
      <c r="K76" s="1"/>
      <c r="L76" s="1"/>
      <c r="M76" s="1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12">
        <v>61</v>
      </c>
      <c r="C77" s="13">
        <v>41828</v>
      </c>
      <c r="D77" s="55" t="str">
        <f>IF(J70="","Winnaar 57",IF(J70=1,D70,F70))</f>
        <v>Frankrijk</v>
      </c>
      <c r="E77" s="15" t="s">
        <v>9</v>
      </c>
      <c r="F77" s="56" t="str">
        <f>IF(J71="","Winnaar 58",IF(J71=1,D71,F71))</f>
        <v>Brazilië</v>
      </c>
      <c r="G77" s="85">
        <v>0</v>
      </c>
      <c r="H77" s="15" t="s">
        <v>9</v>
      </c>
      <c r="I77" s="97">
        <v>1</v>
      </c>
      <c r="J77" s="98">
        <v>2</v>
      </c>
      <c r="K77" s="1"/>
      <c r="L77" s="1"/>
      <c r="M77" s="1"/>
      <c r="V77" t="s">
        <v>134</v>
      </c>
      <c r="W77" t="s">
        <v>203</v>
      </c>
      <c r="X77" t="str">
        <f t="shared" si="11"/>
        <v>Marco van Ginkel (m)</v>
      </c>
      <c r="Y77" s="109">
        <f>AF77</f>
        <v>1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1</v>
      </c>
      <c r="AG77" s="108">
        <f>IF(AC77="",0,(IF(G77=AC77,1,0)))</f>
        <v>0</v>
      </c>
      <c r="AH77" s="108">
        <f>IF(AD77="",0,(IF(I77=AD77,1,0)))</f>
        <v>1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3">
        <v>62</v>
      </c>
      <c r="C78" s="34">
        <v>41829</v>
      </c>
      <c r="D78" s="61" t="str">
        <f>IF(J72="","Winnaar 59",IF(J72=1,D72,F72))</f>
        <v>Argentinië</v>
      </c>
      <c r="E78" s="36" t="s">
        <v>9</v>
      </c>
      <c r="F78" s="62" t="str">
        <f>IF(J73="","Winnaar 60",IF(J73=1,D73,F73))</f>
        <v>Spanje</v>
      </c>
      <c r="G78" s="88">
        <v>0</v>
      </c>
      <c r="H78" s="36" t="s">
        <v>9</v>
      </c>
      <c r="I78" s="103">
        <v>1</v>
      </c>
      <c r="J78" s="104">
        <v>2</v>
      </c>
      <c r="K78" s="1"/>
      <c r="L78" s="1"/>
      <c r="M78" s="1"/>
      <c r="V78" t="s">
        <v>134</v>
      </c>
      <c r="W78" t="s">
        <v>199</v>
      </c>
      <c r="X78" t="str">
        <f t="shared" si="11"/>
        <v>Leroy Fer (m)</v>
      </c>
      <c r="Y78" s="109">
        <f>AF78</f>
        <v>1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1</v>
      </c>
      <c r="AG78" s="108">
        <f>IF(AC78="",0,(IF(G78=AC78,1,0)))</f>
        <v>1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1"/>
      <c r="C79" s="39"/>
      <c r="D79" s="40"/>
      <c r="E79" s="1"/>
      <c r="F79" s="40"/>
      <c r="G79" s="1"/>
      <c r="H79" s="1"/>
      <c r="I79" s="1"/>
      <c r="J79" s="1"/>
      <c r="K79" s="1"/>
      <c r="L79" s="1"/>
      <c r="M79" s="1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195"/>
      <c r="K80" s="1"/>
      <c r="L80" s="1"/>
      <c r="M80" s="1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78" t="s">
        <v>1</v>
      </c>
      <c r="C81" s="79" t="s">
        <v>2</v>
      </c>
      <c r="D81" s="193" t="s">
        <v>3</v>
      </c>
      <c r="E81" s="81"/>
      <c r="F81" s="194" t="s">
        <v>4</v>
      </c>
      <c r="G81" s="867" t="s">
        <v>5</v>
      </c>
      <c r="H81" s="868"/>
      <c r="I81" s="869"/>
      <c r="J81" s="83" t="s">
        <v>6</v>
      </c>
      <c r="K81" s="1"/>
      <c r="L81" s="1"/>
      <c r="M81" s="1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2">
        <v>63</v>
      </c>
      <c r="C82" s="63">
        <v>41832</v>
      </c>
      <c r="D82" s="64" t="str">
        <f>IF(J77="","Verliezer 61",IF(J77=1,F77,D77))</f>
        <v>Frankrijk</v>
      </c>
      <c r="E82" s="3" t="s">
        <v>9</v>
      </c>
      <c r="F82" s="65" t="str">
        <f>IF(J78="","Verliezer 62",IF(J78=1,F78,D78))</f>
        <v>Argentinië</v>
      </c>
      <c r="G82" s="105">
        <v>0</v>
      </c>
      <c r="H82" s="3" t="s">
        <v>9</v>
      </c>
      <c r="I82" s="106">
        <v>2</v>
      </c>
      <c r="J82" s="107">
        <v>2</v>
      </c>
      <c r="K82" s="1"/>
      <c r="L82" s="1"/>
      <c r="M82" s="1"/>
      <c r="V82" t="s">
        <v>134</v>
      </c>
      <c r="W82" t="s">
        <v>125</v>
      </c>
      <c r="X82" t="str">
        <f t="shared" si="11"/>
        <v>Georginio Wijnaldum (m)</v>
      </c>
      <c r="Y82" s="109">
        <f>AF82</f>
        <v>6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6</v>
      </c>
      <c r="AG82" s="108">
        <f>IF(AC82="",0,(IF(G82=AC82,1,0)))</f>
        <v>1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5</v>
      </c>
      <c r="AL82" s="108">
        <f>IF(AND(G82=I82,AC82=AD82),5,0)</f>
        <v>0</v>
      </c>
    </row>
    <row r="83" spans="2:50" ht="15.75" thickBot="1">
      <c r="B83" s="1"/>
      <c r="C83" s="39"/>
      <c r="D83" s="40"/>
      <c r="E83" s="1"/>
      <c r="F83" s="40"/>
      <c r="G83" s="1"/>
      <c r="H83" s="1"/>
      <c r="I83" s="1"/>
      <c r="J83" s="1"/>
      <c r="K83" s="1"/>
      <c r="L83" s="1"/>
      <c r="M83" s="1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195"/>
      <c r="K84" s="1"/>
      <c r="L84" s="1"/>
      <c r="M84" s="1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78" t="s">
        <v>1</v>
      </c>
      <c r="C85" s="79" t="s">
        <v>2</v>
      </c>
      <c r="D85" s="193" t="s">
        <v>3</v>
      </c>
      <c r="E85" s="81"/>
      <c r="F85" s="194" t="s">
        <v>4</v>
      </c>
      <c r="G85" s="867" t="s">
        <v>5</v>
      </c>
      <c r="H85" s="868"/>
      <c r="I85" s="869"/>
      <c r="J85" s="83" t="s">
        <v>6</v>
      </c>
      <c r="K85" s="1"/>
      <c r="L85" s="1"/>
      <c r="M85" s="1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2">
        <v>64</v>
      </c>
      <c r="C86" s="63">
        <v>41833</v>
      </c>
      <c r="D86" s="64" t="str">
        <f>IF(J77="","Winnaar 61",IF(J77=1,D77,F77))</f>
        <v>Brazilië</v>
      </c>
      <c r="E86" s="3" t="s">
        <v>9</v>
      </c>
      <c r="F86" s="65" t="str">
        <f>IF(J78="","Winnaar 62",IF(J78=1,D78,F78))</f>
        <v>Spanje</v>
      </c>
      <c r="G86" s="105">
        <v>1</v>
      </c>
      <c r="H86" s="3" t="s">
        <v>9</v>
      </c>
      <c r="I86" s="106">
        <v>0</v>
      </c>
      <c r="J86" s="107">
        <v>1</v>
      </c>
      <c r="K86" s="1"/>
      <c r="L86" s="1"/>
      <c r="M86" s="1"/>
      <c r="V86" t="s">
        <v>134</v>
      </c>
      <c r="W86" t="s">
        <v>139</v>
      </c>
      <c r="X86" t="str">
        <f t="shared" si="11"/>
        <v>Nigel de Jong (m)</v>
      </c>
      <c r="Y86" s="109">
        <f>AF86</f>
        <v>1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1</v>
      </c>
      <c r="AG86" s="108">
        <f>IF(AC86="",0,(IF(G86=AC86,1,0)))</f>
        <v>0</v>
      </c>
      <c r="AH86" s="108">
        <f>IF(AD86="",0,(IF(I86=AD86,1,0)))</f>
        <v>1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Brazilië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5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5</v>
      </c>
      <c r="AV89">
        <f>IF(AR89=0,0,IF(E89=AR89,50,0))</f>
        <v>0</v>
      </c>
      <c r="AW89">
        <f>IF(E89=0,0,IF(OR(E89=AR90),15,0))</f>
        <v>0</v>
      </c>
      <c r="AX89">
        <f>IF(E89=0,0,IF(OR(E89=AR91,E89=AR92),5,0))</f>
        <v>5</v>
      </c>
    </row>
    <row r="90" spans="2:50">
      <c r="C90" s="870">
        <v>2</v>
      </c>
      <c r="D90" s="871"/>
      <c r="E90" s="872" t="str">
        <f>IF(J86=2,D86,IF(J86=1,F86,"Wie wordt 2de?"))</f>
        <v>Spanje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0</v>
      </c>
      <c r="AV90">
        <f>IF(AR90=0,0,IF(AR90=E90,25,0))</f>
        <v>0</v>
      </c>
      <c r="AW90">
        <f>IF(E90=0,0,IF(OR(E90=AR89,),15,0))</f>
        <v>0</v>
      </c>
      <c r="AX90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Argentinië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5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5</v>
      </c>
      <c r="AV91">
        <f>IF(AR91=0,0,IF(AR91=E91,15,0))</f>
        <v>0</v>
      </c>
      <c r="AW91">
        <f>IF(E91=0,0,IF(OR(E91=AR92),10,0))</f>
        <v>0</v>
      </c>
      <c r="AX91">
        <f>IF(E91=0,0,IF(OR(E91=AR89,E91=AR90),5,0))</f>
        <v>5</v>
      </c>
    </row>
    <row r="92" spans="2:50">
      <c r="C92" s="870">
        <v>4</v>
      </c>
      <c r="D92" s="871"/>
      <c r="E92" s="872" t="str">
        <f>IF(J82=2,D82,IF(J82=1,F82,"Wie wordt 4de?"))</f>
        <v>Frankrijk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0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0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10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conditionalFormatting sqref="AO9:AO12 AO15:AO18 AO21:AO24 AO27:AO30 AO33:AO36 AO39:AO42 AO45:AO48 AO51:AO54">
    <cfRule type="cellIs" dxfId="245" priority="3" operator="equal">
      <formula>10</formula>
    </cfRule>
  </conditionalFormatting>
  <conditionalFormatting sqref="P58:T58">
    <cfRule type="duplicateValues" dxfId="244" priority="2"/>
  </conditionalFormatting>
  <conditionalFormatting sqref="P58:T68">
    <cfRule type="duplicateValues" dxfId="243" priority="1"/>
  </conditionalFormatting>
  <dataValidations count="10">
    <dataValidation type="list" allowBlank="1" showInputMessage="1" showErrorMessage="1" sqref="P58:P68">
      <formula1>$X$58:$X$98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51:T54">
      <formula1>$W$51:$W$54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B1:N59"/>
  <sheetViews>
    <sheetView topLeftCell="A4" workbookViewId="0">
      <selection activeCell="D34" sqref="D34"/>
    </sheetView>
  </sheetViews>
  <sheetFormatPr defaultRowHeight="15"/>
  <sheetData>
    <row r="1" spans="2:14" ht="15.75" thickBot="1"/>
    <row r="2" spans="2:14" ht="27" thickBot="1">
      <c r="B2" s="883" t="s">
        <v>161</v>
      </c>
      <c r="C2" s="884"/>
      <c r="D2" s="884"/>
      <c r="E2" s="884"/>
      <c r="F2" s="884"/>
      <c r="G2" s="884"/>
      <c r="H2" s="884"/>
      <c r="I2" s="884"/>
      <c r="J2" s="884"/>
      <c r="K2" s="884"/>
      <c r="L2" s="884"/>
      <c r="M2" s="884"/>
      <c r="N2" s="885"/>
    </row>
    <row r="3" spans="2:14">
      <c r="B3" s="171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3"/>
    </row>
    <row r="4" spans="2:14">
      <c r="B4" s="156" t="s">
        <v>162</v>
      </c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8"/>
      <c r="N4" s="152"/>
    </row>
    <row r="5" spans="2:14">
      <c r="B5" s="159" t="s">
        <v>163</v>
      </c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8"/>
      <c r="N5" s="152"/>
    </row>
    <row r="6" spans="2:14">
      <c r="B6" s="160" t="s">
        <v>164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52"/>
    </row>
    <row r="7" spans="2:14">
      <c r="B7" s="159" t="s">
        <v>174</v>
      </c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52"/>
    </row>
    <row r="8" spans="2:14">
      <c r="B8" s="159" t="s">
        <v>207</v>
      </c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52"/>
    </row>
    <row r="9" spans="2:14">
      <c r="B9" s="159" t="s">
        <v>165</v>
      </c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52"/>
    </row>
    <row r="10" spans="2:14" ht="15.75" thickBot="1">
      <c r="B10" s="174"/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175"/>
      <c r="N10" s="176"/>
    </row>
    <row r="11" spans="2:14">
      <c r="B11" s="177"/>
      <c r="C11" s="178"/>
      <c r="D11" s="178"/>
      <c r="E11" s="178"/>
      <c r="F11" s="178"/>
      <c r="G11" s="178"/>
      <c r="H11" s="178"/>
      <c r="I11" s="178"/>
      <c r="J11" s="178"/>
      <c r="K11" s="178"/>
      <c r="L11" s="178"/>
      <c r="M11" s="178"/>
      <c r="N11" s="173"/>
    </row>
    <row r="12" spans="2:14">
      <c r="B12" s="162" t="s">
        <v>175</v>
      </c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52"/>
    </row>
    <row r="13" spans="2:14">
      <c r="B13" s="159" t="s">
        <v>176</v>
      </c>
      <c r="C13" s="161"/>
      <c r="D13" s="161"/>
      <c r="E13" s="161"/>
      <c r="F13" s="161"/>
      <c r="G13" s="161"/>
      <c r="H13" s="161"/>
      <c r="I13" s="161"/>
      <c r="J13" s="161"/>
      <c r="K13" s="161"/>
      <c r="L13" s="161"/>
      <c r="M13" s="161"/>
      <c r="N13" s="152"/>
    </row>
    <row r="14" spans="2:14">
      <c r="B14" s="159" t="s">
        <v>179</v>
      </c>
      <c r="C14" s="161"/>
      <c r="D14" s="161"/>
      <c r="E14" s="161"/>
      <c r="F14" s="161"/>
      <c r="G14" s="161"/>
      <c r="H14" s="161"/>
      <c r="I14" s="161"/>
      <c r="J14" s="161"/>
      <c r="K14" s="161"/>
      <c r="L14" s="161"/>
      <c r="M14" s="161"/>
      <c r="N14" s="152"/>
    </row>
    <row r="15" spans="2:14">
      <c r="B15" s="159" t="s">
        <v>177</v>
      </c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  <c r="N15" s="152"/>
    </row>
    <row r="16" spans="2:14">
      <c r="B16" s="159" t="s">
        <v>178</v>
      </c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52"/>
    </row>
    <row r="17" spans="2:14">
      <c r="B17" s="159" t="s">
        <v>187</v>
      </c>
      <c r="C17" s="161"/>
      <c r="D17" s="161"/>
      <c r="E17" s="161"/>
      <c r="F17" s="161"/>
      <c r="G17" s="161"/>
      <c r="H17" s="161"/>
      <c r="I17" s="161"/>
      <c r="J17" s="161"/>
      <c r="K17" s="161"/>
      <c r="L17" s="161"/>
      <c r="M17" s="161"/>
      <c r="N17" s="152"/>
    </row>
    <row r="18" spans="2:14">
      <c r="B18" s="159"/>
      <c r="C18" s="161" t="s">
        <v>180</v>
      </c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52"/>
    </row>
    <row r="19" spans="2:14">
      <c r="B19" s="159"/>
      <c r="C19" s="161" t="s">
        <v>184</v>
      </c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52"/>
    </row>
    <row r="20" spans="2:14">
      <c r="B20" s="159"/>
      <c r="C20" s="161" t="s">
        <v>185</v>
      </c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52"/>
    </row>
    <row r="21" spans="2:14">
      <c r="B21" s="159"/>
      <c r="C21" s="161" t="s">
        <v>186</v>
      </c>
      <c r="D21" s="161"/>
      <c r="E21" s="161"/>
      <c r="F21" s="161"/>
      <c r="G21" s="161"/>
      <c r="H21" s="161"/>
      <c r="I21" s="161"/>
      <c r="J21" s="161"/>
      <c r="K21" s="161"/>
      <c r="L21" s="161"/>
      <c r="M21" s="161"/>
      <c r="N21" s="152"/>
    </row>
    <row r="22" spans="2:14">
      <c r="B22" s="159" t="s">
        <v>181</v>
      </c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52"/>
    </row>
    <row r="23" spans="2:14">
      <c r="B23" s="159"/>
      <c r="C23" s="161" t="s">
        <v>182</v>
      </c>
      <c r="D23" s="161"/>
      <c r="E23" s="161"/>
      <c r="F23" s="161"/>
      <c r="G23" s="161"/>
      <c r="H23" s="161"/>
      <c r="I23" s="161"/>
      <c r="J23" s="161"/>
      <c r="K23" s="161"/>
      <c r="L23" s="161"/>
      <c r="M23" s="161"/>
      <c r="N23" s="152"/>
    </row>
    <row r="24" spans="2:14">
      <c r="B24" s="159"/>
      <c r="C24" s="161" t="s">
        <v>183</v>
      </c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52"/>
    </row>
    <row r="25" spans="2:14">
      <c r="B25" s="159"/>
      <c r="C25" s="161" t="s">
        <v>184</v>
      </c>
      <c r="D25" s="161"/>
      <c r="E25" s="161"/>
      <c r="F25" s="161"/>
      <c r="G25" s="161"/>
      <c r="H25" s="161"/>
      <c r="I25" s="161"/>
      <c r="J25" s="161"/>
      <c r="K25" s="161"/>
      <c r="L25" s="161"/>
      <c r="M25" s="161"/>
      <c r="N25" s="152"/>
    </row>
    <row r="26" spans="2:14">
      <c r="B26" s="159"/>
      <c r="C26" s="161" t="s">
        <v>185</v>
      </c>
      <c r="D26" s="161"/>
      <c r="E26" s="161"/>
      <c r="F26" s="161"/>
      <c r="G26" s="161"/>
      <c r="H26" s="161"/>
      <c r="I26" s="161"/>
      <c r="J26" s="161"/>
      <c r="K26" s="161"/>
      <c r="L26" s="161"/>
      <c r="M26" s="161"/>
      <c r="N26" s="152"/>
    </row>
    <row r="27" spans="2:14">
      <c r="B27" s="159"/>
      <c r="C27" s="161" t="s">
        <v>186</v>
      </c>
      <c r="D27" s="161"/>
      <c r="E27" s="161"/>
      <c r="F27" s="161"/>
      <c r="G27" s="161"/>
      <c r="H27" s="161"/>
      <c r="I27" s="161"/>
      <c r="J27" s="161"/>
      <c r="K27" s="161"/>
      <c r="L27" s="161"/>
      <c r="M27" s="161"/>
      <c r="N27" s="152"/>
    </row>
    <row r="28" spans="2:14" ht="15.75" thickBot="1">
      <c r="B28" s="179"/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6"/>
    </row>
    <row r="29" spans="2:14">
      <c r="B29" s="171"/>
      <c r="C29" s="178"/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3"/>
    </row>
    <row r="30" spans="2:14">
      <c r="B30" s="156" t="s">
        <v>153</v>
      </c>
      <c r="C30" s="161"/>
      <c r="D30" s="161"/>
      <c r="E30" s="161"/>
      <c r="F30" s="161"/>
      <c r="G30" s="161"/>
      <c r="H30" s="161"/>
      <c r="I30" s="161"/>
      <c r="J30" s="161"/>
      <c r="K30" s="161"/>
      <c r="L30" s="161"/>
      <c r="M30" s="161"/>
      <c r="N30" s="152"/>
    </row>
    <row r="31" spans="2:14">
      <c r="B31" s="163" t="s">
        <v>152</v>
      </c>
      <c r="C31" s="161"/>
      <c r="D31" s="161"/>
      <c r="E31" s="161"/>
      <c r="F31" s="161"/>
      <c r="G31" s="161"/>
      <c r="H31" s="161"/>
      <c r="I31" s="161"/>
      <c r="J31" s="161"/>
      <c r="K31" s="161"/>
      <c r="L31" s="161"/>
      <c r="M31" s="161"/>
      <c r="N31" s="152"/>
    </row>
    <row r="32" spans="2:14">
      <c r="B32" s="163" t="s">
        <v>156</v>
      </c>
      <c r="C32" s="161"/>
      <c r="D32" s="161"/>
      <c r="E32" s="161"/>
      <c r="F32" s="161"/>
      <c r="G32" s="161"/>
      <c r="H32" s="161"/>
      <c r="I32" s="161"/>
      <c r="J32" s="161"/>
      <c r="K32" s="161"/>
      <c r="L32" s="161"/>
      <c r="M32" s="161"/>
      <c r="N32" s="152"/>
    </row>
    <row r="33" spans="2:14">
      <c r="B33" s="163" t="s">
        <v>150</v>
      </c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52"/>
    </row>
    <row r="34" spans="2:14">
      <c r="B34" s="163" t="s">
        <v>151</v>
      </c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52"/>
    </row>
    <row r="35" spans="2:14" ht="15.75" thickBot="1">
      <c r="B35" s="168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6"/>
    </row>
    <row r="36" spans="2:14">
      <c r="B36" s="181"/>
      <c r="C36" s="178"/>
      <c r="D36" s="178"/>
      <c r="E36" s="178"/>
      <c r="F36" s="178"/>
      <c r="G36" s="178"/>
      <c r="H36" s="178"/>
      <c r="I36" s="178"/>
      <c r="J36" s="178"/>
      <c r="K36" s="178"/>
      <c r="L36" s="178"/>
      <c r="M36" s="178"/>
      <c r="N36" s="173"/>
    </row>
    <row r="37" spans="2:14">
      <c r="B37" s="164" t="s">
        <v>154</v>
      </c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52"/>
    </row>
    <row r="38" spans="2:14">
      <c r="B38" s="163" t="s">
        <v>155</v>
      </c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52"/>
    </row>
    <row r="39" spans="2:14" ht="15.75" thickBot="1">
      <c r="B39" s="168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6"/>
    </row>
    <row r="40" spans="2:14">
      <c r="B40" s="163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52"/>
    </row>
    <row r="41" spans="2:14">
      <c r="B41" s="164" t="s">
        <v>157</v>
      </c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52"/>
    </row>
    <row r="42" spans="2:14">
      <c r="B42" s="163" t="s">
        <v>158</v>
      </c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52"/>
    </row>
    <row r="43" spans="2:14">
      <c r="B43" s="163" t="s">
        <v>159</v>
      </c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52"/>
    </row>
    <row r="44" spans="2:14">
      <c r="B44" s="163" t="s">
        <v>160</v>
      </c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52"/>
    </row>
    <row r="45" spans="2:14">
      <c r="B45" s="163" t="s">
        <v>190</v>
      </c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52"/>
    </row>
    <row r="46" spans="2:14" ht="15.75" thickBot="1">
      <c r="B46" s="163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52"/>
    </row>
    <row r="47" spans="2:14">
      <c r="B47" s="180" t="s">
        <v>102</v>
      </c>
      <c r="C47" s="178"/>
      <c r="D47" s="178"/>
      <c r="E47" s="178"/>
      <c r="F47" s="178"/>
      <c r="G47" s="178"/>
      <c r="H47" s="178"/>
      <c r="I47" s="178"/>
      <c r="J47" s="178"/>
      <c r="K47" s="178"/>
      <c r="L47" s="178"/>
      <c r="M47" s="178"/>
      <c r="N47" s="173"/>
    </row>
    <row r="48" spans="2:14">
      <c r="B48" s="163" t="s">
        <v>166</v>
      </c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52"/>
    </row>
    <row r="49" spans="2:14">
      <c r="B49" s="163" t="s">
        <v>167</v>
      </c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52"/>
    </row>
    <row r="50" spans="2:14">
      <c r="B50" s="163" t="s">
        <v>168</v>
      </c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52"/>
    </row>
    <row r="51" spans="2:14">
      <c r="B51" s="163" t="s">
        <v>169</v>
      </c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52"/>
    </row>
    <row r="52" spans="2:14">
      <c r="B52" s="165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7"/>
    </row>
    <row r="53" spans="2:14">
      <c r="B53" s="163" t="s">
        <v>170</v>
      </c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7"/>
    </row>
    <row r="54" spans="2:14">
      <c r="B54" s="163" t="s">
        <v>171</v>
      </c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7"/>
    </row>
    <row r="55" spans="2:14">
      <c r="B55" s="163" t="s">
        <v>172</v>
      </c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7"/>
    </row>
    <row r="56" spans="2:14">
      <c r="B56" s="163" t="s">
        <v>173</v>
      </c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7"/>
    </row>
    <row r="57" spans="2:14">
      <c r="B57" s="165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7"/>
    </row>
    <row r="58" spans="2:14">
      <c r="B58" s="163" t="s">
        <v>188</v>
      </c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7"/>
    </row>
    <row r="59" spans="2:14" ht="15.75" thickBot="1">
      <c r="B59" s="168" t="s">
        <v>189</v>
      </c>
      <c r="C59" s="169"/>
      <c r="D59" s="169"/>
      <c r="E59" s="169"/>
      <c r="F59" s="169"/>
      <c r="G59" s="169"/>
      <c r="H59" s="169"/>
      <c r="I59" s="169"/>
      <c r="J59" s="169"/>
      <c r="K59" s="169"/>
      <c r="L59" s="169"/>
      <c r="M59" s="169"/>
      <c r="N59" s="170"/>
    </row>
  </sheetData>
  <mergeCells count="1">
    <mergeCell ref="B2:N2"/>
  </mergeCells>
  <phoneticPr fontId="24" type="noConversion"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B1:BB98"/>
  <sheetViews>
    <sheetView topLeftCell="A49" zoomScale="70" zoomScaleNormal="70" workbookViewId="0">
      <selection activeCell="P59" sqref="P59:T59"/>
    </sheetView>
  </sheetViews>
  <sheetFormatPr defaultRowHeight="15" outlineLevelCol="2"/>
  <cols>
    <col min="1" max="1" width="3.42578125" customWidth="1"/>
    <col min="2" max="2" width="3.5703125" bestFit="1" customWidth="1"/>
    <col min="3" max="3" width="11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333</v>
      </c>
      <c r="E3" s="145"/>
      <c r="F3" s="145"/>
      <c r="N3" t="str">
        <f>D3</f>
        <v>Alex R. (introducee Sylvia)</v>
      </c>
      <c r="O3" s="144">
        <f>SUM(P3:S3)</f>
        <v>365</v>
      </c>
      <c r="P3" s="109">
        <f>SUM(Y8:Y86)</f>
        <v>188</v>
      </c>
      <c r="Q3" s="109">
        <f>SUM(AM4:AM55)</f>
        <v>130</v>
      </c>
      <c r="R3" s="109">
        <f>SUM(AP89:AP92)</f>
        <v>20</v>
      </c>
      <c r="S3" s="109">
        <f>SUM(BB58:BB69)</f>
        <v>27</v>
      </c>
      <c r="T3" s="109">
        <f>COUNTIF(AF8:AF86,10)</f>
        <v>6</v>
      </c>
      <c r="U3" s="109" t="str">
        <f>E89</f>
        <v>Argentinië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1"/>
      <c r="L6" s="1"/>
      <c r="O6" s="40"/>
      <c r="P6" s="41"/>
      <c r="Q6" s="41"/>
      <c r="R6" s="41"/>
      <c r="S6" s="41"/>
      <c r="T6" s="41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66" t="s">
        <v>1</v>
      </c>
      <c r="C7" s="67" t="s">
        <v>2</v>
      </c>
      <c r="D7" s="196" t="s">
        <v>3</v>
      </c>
      <c r="E7" s="69"/>
      <c r="F7" s="197" t="s">
        <v>4</v>
      </c>
      <c r="G7" s="880" t="s">
        <v>5</v>
      </c>
      <c r="H7" s="881"/>
      <c r="I7" s="882"/>
      <c r="J7" s="71" t="s">
        <v>6</v>
      </c>
      <c r="K7" s="4" t="s">
        <v>7</v>
      </c>
      <c r="L7" s="4" t="s">
        <v>7</v>
      </c>
      <c r="O7" s="1"/>
      <c r="P7" s="41"/>
      <c r="Q7" s="41"/>
      <c r="R7" s="41"/>
      <c r="S7" s="41"/>
      <c r="T7" s="41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5">
        <v>1</v>
      </c>
      <c r="C8" s="6">
        <v>41802</v>
      </c>
      <c r="D8" s="7" t="s">
        <v>8</v>
      </c>
      <c r="E8" s="8" t="s">
        <v>9</v>
      </c>
      <c r="F8" s="9" t="s">
        <v>10</v>
      </c>
      <c r="G8" s="84">
        <v>2</v>
      </c>
      <c r="H8" s="8" t="s">
        <v>9</v>
      </c>
      <c r="I8" s="192">
        <v>0</v>
      </c>
      <c r="J8" s="10">
        <f>IF(I8="","",IF(G8&gt;I8,1,IF(G8&lt;I8,2,3)))</f>
        <v>1</v>
      </c>
      <c r="K8" s="11">
        <f>IF(I8="","",IF($G8&gt;$I8,3,IF($G8=$I8,1,0)))</f>
        <v>3</v>
      </c>
      <c r="L8" s="11">
        <f>IF(I8="","",IF($G8&lt;$I8,3,IF($G8=$I8,1,0)))</f>
        <v>0</v>
      </c>
      <c r="O8" s="72" t="s">
        <v>41</v>
      </c>
      <c r="P8" s="73" t="s">
        <v>42</v>
      </c>
      <c r="Q8" s="73" t="s">
        <v>43</v>
      </c>
      <c r="R8" s="74" t="s">
        <v>44</v>
      </c>
      <c r="S8" s="75" t="s">
        <v>45</v>
      </c>
      <c r="T8" s="76" t="s">
        <v>46</v>
      </c>
      <c r="U8" s="40"/>
      <c r="V8" s="40"/>
      <c r="W8" s="40"/>
      <c r="Y8" s="109">
        <f>AF8</f>
        <v>5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5</v>
      </c>
      <c r="AG8" s="108">
        <f t="shared" ref="AG8:AG55" si="0">IF(AC8="",0,(IF(G8=AC8,1,0)))</f>
        <v>0</v>
      </c>
      <c r="AH8" s="108">
        <f t="shared" ref="AH8:AH55" si="1">IF(AD8="",0,(IF(I8=AD8,1,0)))</f>
        <v>0</v>
      </c>
      <c r="AI8" s="108">
        <f>IF(AND(AG8=1,AH8=1),10,0)</f>
        <v>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12">
        <v>2</v>
      </c>
      <c r="C9" s="13">
        <v>41803</v>
      </c>
      <c r="D9" s="14" t="s">
        <v>11</v>
      </c>
      <c r="E9" s="15" t="s">
        <v>9</v>
      </c>
      <c r="F9" s="16" t="s">
        <v>12</v>
      </c>
      <c r="G9" s="85">
        <v>1</v>
      </c>
      <c r="H9" s="15" t="s">
        <v>9</v>
      </c>
      <c r="I9" s="90">
        <v>1</v>
      </c>
      <c r="J9" s="17">
        <f t="shared" ref="J9:J55" si="5">IF(I9="","",IF(G9&gt;I9,1,IF(G9&lt;I9,2,3)))</f>
        <v>3</v>
      </c>
      <c r="K9" s="11">
        <f t="shared" ref="K9:K55" si="6">IF(I9="","",IF($G9&gt;$I9,3,IF($G9=$I9,1,0)))</f>
        <v>1</v>
      </c>
      <c r="L9" s="11">
        <f t="shared" ref="L9:L55" si="7">IF(I9="","",IF($G9&lt;$I9,3,IF($G9=$I9,1,0)))</f>
        <v>1</v>
      </c>
      <c r="O9" s="44" t="s">
        <v>8</v>
      </c>
      <c r="P9" s="45">
        <f>SUMIF($D$8:$D$55,$O9,$G$8:$G$55)+SUMIF($F$8:$F$55,$O9,$I$8:$I$55)</f>
        <v>7</v>
      </c>
      <c r="Q9" s="45">
        <f>SUMIF($D$8:$D$55,$O9,$I$8:$I$55)+SUMIF($F$8:$F$55,$O9,$G$8:$G$55)</f>
        <v>2</v>
      </c>
      <c r="R9" s="46">
        <f>P9-Q9</f>
        <v>5</v>
      </c>
      <c r="S9" s="47">
        <f>SUMIF($D$8:$D$55,$O9,$K$8:$K$55)+SUMIF($F$8:$F$55,$O9,$L$8:$L$55)</f>
        <v>9</v>
      </c>
      <c r="T9" s="94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1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1</v>
      </c>
      <c r="AG9" s="108">
        <f t="shared" si="0"/>
        <v>1</v>
      </c>
      <c r="AH9" s="108">
        <f t="shared" si="1"/>
        <v>0</v>
      </c>
      <c r="AI9" s="108">
        <f t="shared" ref="AI9:AI55" si="10">IF(AND(AG9=1,AH9=1),10,0)</f>
        <v>0</v>
      </c>
      <c r="AJ9" s="108">
        <f t="shared" si="2"/>
        <v>0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18">
        <v>3</v>
      </c>
      <c r="C10" s="19">
        <v>41803</v>
      </c>
      <c r="D10" s="20" t="s">
        <v>13</v>
      </c>
      <c r="E10" s="21" t="s">
        <v>9</v>
      </c>
      <c r="F10" s="22" t="s">
        <v>14</v>
      </c>
      <c r="G10" s="86">
        <v>3</v>
      </c>
      <c r="H10" s="21" t="s">
        <v>9</v>
      </c>
      <c r="I10" s="91">
        <v>1</v>
      </c>
      <c r="J10" s="23">
        <f t="shared" si="5"/>
        <v>1</v>
      </c>
      <c r="K10" s="11">
        <f t="shared" si="6"/>
        <v>3</v>
      </c>
      <c r="L10" s="11">
        <f t="shared" si="7"/>
        <v>0</v>
      </c>
      <c r="O10" s="48" t="s">
        <v>10</v>
      </c>
      <c r="P10" s="49">
        <f>SUMIF($D$8:$D$55,$O10,$G$8:$G$55)+SUMIF($F$8:$F$55,$O10,$I$8:$I$55)</f>
        <v>2</v>
      </c>
      <c r="Q10" s="49">
        <f>SUMIF($D$8:$D$55,$O10,$I$8:$I$55)+SUMIF($F$8:$F$55,$O10,$G$8:$G$55)</f>
        <v>3</v>
      </c>
      <c r="R10" s="49">
        <f>P10-Q10</f>
        <v>-1</v>
      </c>
      <c r="S10" s="50">
        <f>SUMIF($D$8:$D$55,$O10,$K$8:$K$55)+SUMIF($F$8:$F$55,$O10,$L$8:$L$55)</f>
        <v>4</v>
      </c>
      <c r="T10" s="95" t="s">
        <v>49</v>
      </c>
      <c r="U10" s="40"/>
      <c r="V10" s="40" t="str">
        <f>O10</f>
        <v>Kroatië</v>
      </c>
      <c r="W10" s="40" t="s">
        <v>49</v>
      </c>
      <c r="Y10" s="109">
        <f t="shared" si="8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0</v>
      </c>
      <c r="AG10" s="108">
        <f t="shared" si="0"/>
        <v>0</v>
      </c>
      <c r="AH10" s="108">
        <f t="shared" si="1"/>
        <v>0</v>
      </c>
      <c r="AI10" s="108">
        <f t="shared" si="10"/>
        <v>0</v>
      </c>
      <c r="AJ10" s="108">
        <f t="shared" si="2"/>
        <v>0</v>
      </c>
      <c r="AK10" s="108">
        <f t="shared" si="3"/>
        <v>0</v>
      </c>
      <c r="AL10" s="108">
        <f t="shared" si="4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24">
        <v>4</v>
      </c>
      <c r="C11" s="25">
        <v>41803</v>
      </c>
      <c r="D11" s="26" t="s">
        <v>15</v>
      </c>
      <c r="E11" s="27" t="s">
        <v>9</v>
      </c>
      <c r="F11" s="28" t="s">
        <v>16</v>
      </c>
      <c r="G11" s="87">
        <v>2</v>
      </c>
      <c r="H11" s="27" t="s">
        <v>9</v>
      </c>
      <c r="I11" s="92">
        <v>1</v>
      </c>
      <c r="J11" s="29">
        <f t="shared" si="5"/>
        <v>1</v>
      </c>
      <c r="K11" s="11">
        <f t="shared" si="6"/>
        <v>3</v>
      </c>
      <c r="L11" s="11">
        <f t="shared" si="7"/>
        <v>0</v>
      </c>
      <c r="O11" s="48" t="s">
        <v>11</v>
      </c>
      <c r="P11" s="49">
        <f>SUMIF($D$8:$D$55,$O11,$G$8:$G$55)+SUMIF($F$8:$F$55,$O11,$I$8:$I$55)</f>
        <v>2</v>
      </c>
      <c r="Q11" s="49">
        <f>SUMIF($D$8:$D$55,$O11,$I$8:$I$55)+SUMIF($F$8:$F$55,$O11,$G$8:$G$55)</f>
        <v>4</v>
      </c>
      <c r="R11" s="49">
        <f>P11-Q11</f>
        <v>-2</v>
      </c>
      <c r="S11" s="50">
        <f>SUMIF($D$8:$D$55,$O11,$K$8:$K$55)+SUMIF($F$8:$F$55,$O11,$L$8:$L$55)</f>
        <v>2</v>
      </c>
      <c r="T11" s="95" t="s">
        <v>47</v>
      </c>
      <c r="U11" s="40"/>
      <c r="V11" s="40" t="str">
        <f>O11</f>
        <v>Mexico</v>
      </c>
      <c r="W11" s="40" t="s">
        <v>47</v>
      </c>
      <c r="Y11" s="109">
        <f t="shared" si="8"/>
        <v>6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6</v>
      </c>
      <c r="AG11" s="108">
        <f t="shared" si="0"/>
        <v>0</v>
      </c>
      <c r="AH11" s="108">
        <f t="shared" si="1"/>
        <v>1</v>
      </c>
      <c r="AI11" s="108">
        <f t="shared" si="10"/>
        <v>0</v>
      </c>
      <c r="AJ11" s="108">
        <f t="shared" si="2"/>
        <v>5</v>
      </c>
      <c r="AK11" s="108">
        <f t="shared" si="3"/>
        <v>0</v>
      </c>
      <c r="AL11" s="108">
        <f t="shared" si="4"/>
        <v>0</v>
      </c>
      <c r="AM11" s="120">
        <f>AO11</f>
        <v>0</v>
      </c>
      <c r="AN11" s="117" t="s">
        <v>11</v>
      </c>
      <c r="AO11" s="115">
        <f>IF(Uitslag!T11="",0,IF(T11=Uitslag!T11,10,0))</f>
        <v>0</v>
      </c>
    </row>
    <row r="12" spans="2:54" ht="15.75" thickBot="1">
      <c r="B12" s="12">
        <v>5</v>
      </c>
      <c r="C12" s="13">
        <v>41804</v>
      </c>
      <c r="D12" s="14" t="s">
        <v>17</v>
      </c>
      <c r="E12" s="15" t="s">
        <v>9</v>
      </c>
      <c r="F12" s="16" t="s">
        <v>18</v>
      </c>
      <c r="G12" s="85">
        <v>3</v>
      </c>
      <c r="H12" s="15" t="s">
        <v>9</v>
      </c>
      <c r="I12" s="90">
        <v>0</v>
      </c>
      <c r="J12" s="17">
        <f t="shared" si="5"/>
        <v>1</v>
      </c>
      <c r="K12" s="11">
        <f t="shared" si="6"/>
        <v>3</v>
      </c>
      <c r="L12" s="11">
        <f t="shared" si="7"/>
        <v>0</v>
      </c>
      <c r="O12" s="51" t="s">
        <v>12</v>
      </c>
      <c r="P12" s="52">
        <f>SUMIF($D$8:$D$55,$O12,$G$8:$G$55)+SUMIF($F$8:$F$55,$O12,$I$8:$I$55)</f>
        <v>3</v>
      </c>
      <c r="Q12" s="52">
        <f>SUMIF($D$8:$D$55,$O12,$I$8:$I$55)+SUMIF($F$8:$F$55,$O12,$G$8:$G$55)</f>
        <v>5</v>
      </c>
      <c r="R12" s="52">
        <f>P12-Q12</f>
        <v>-2</v>
      </c>
      <c r="S12" s="53">
        <f>SUMIF($D$8:$D$55,$O12,$K$8:$K$55)+SUMIF($F$8:$F$55,$O12,$L$8:$L$55)</f>
        <v>1</v>
      </c>
      <c r="T12" s="96" t="s">
        <v>50</v>
      </c>
      <c r="U12" s="40"/>
      <c r="V12" s="40" t="str">
        <f>O12</f>
        <v>Kameroen</v>
      </c>
      <c r="W12" s="40" t="s">
        <v>50</v>
      </c>
      <c r="Y12" s="109">
        <f t="shared" si="8"/>
        <v>10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10</v>
      </c>
      <c r="AG12" s="108">
        <f t="shared" si="0"/>
        <v>1</v>
      </c>
      <c r="AH12" s="108">
        <f t="shared" si="1"/>
        <v>1</v>
      </c>
      <c r="AI12" s="108">
        <f t="shared" si="10"/>
        <v>10</v>
      </c>
      <c r="AJ12" s="108">
        <f t="shared" si="2"/>
        <v>5</v>
      </c>
      <c r="AK12" s="108">
        <f t="shared" si="3"/>
        <v>0</v>
      </c>
      <c r="AL12" s="108">
        <f t="shared" si="4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18">
        <v>6</v>
      </c>
      <c r="C13" s="19">
        <v>41804</v>
      </c>
      <c r="D13" s="20" t="s">
        <v>19</v>
      </c>
      <c r="E13" s="21" t="s">
        <v>9</v>
      </c>
      <c r="F13" s="30" t="s">
        <v>20</v>
      </c>
      <c r="G13" s="86">
        <v>2</v>
      </c>
      <c r="H13" s="21" t="s">
        <v>9</v>
      </c>
      <c r="I13" s="91">
        <v>2</v>
      </c>
      <c r="J13" s="23">
        <f t="shared" si="5"/>
        <v>3</v>
      </c>
      <c r="K13" s="11">
        <f t="shared" si="6"/>
        <v>1</v>
      </c>
      <c r="L13" s="11">
        <f t="shared" si="7"/>
        <v>1</v>
      </c>
      <c r="O13" s="40"/>
      <c r="P13" s="41"/>
      <c r="Q13" s="41"/>
      <c r="R13" s="41"/>
      <c r="S13" s="41"/>
      <c r="T13" s="41"/>
      <c r="U13" s="40"/>
      <c r="V13" s="40"/>
      <c r="W13" s="40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0"/>
        <v>0</v>
      </c>
      <c r="AH13" s="108">
        <f t="shared" si="1"/>
        <v>0</v>
      </c>
      <c r="AI13" s="108">
        <f t="shared" si="10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40"/>
      <c r="AO13" s="41"/>
    </row>
    <row r="14" spans="2:54" ht="15.75" thickBot="1">
      <c r="B14" s="18">
        <v>7</v>
      </c>
      <c r="C14" s="19">
        <v>41804</v>
      </c>
      <c r="D14" s="20" t="s">
        <v>21</v>
      </c>
      <c r="E14" s="21" t="s">
        <v>9</v>
      </c>
      <c r="F14" s="30" t="s">
        <v>22</v>
      </c>
      <c r="G14" s="86">
        <v>1</v>
      </c>
      <c r="H14" s="21" t="s">
        <v>9</v>
      </c>
      <c r="I14" s="91">
        <v>1</v>
      </c>
      <c r="J14" s="23">
        <f t="shared" si="5"/>
        <v>3</v>
      </c>
      <c r="K14" s="11">
        <f t="shared" si="6"/>
        <v>1</v>
      </c>
      <c r="L14" s="11">
        <f t="shared" si="7"/>
        <v>1</v>
      </c>
      <c r="O14" s="72" t="s">
        <v>51</v>
      </c>
      <c r="P14" s="73" t="s">
        <v>42</v>
      </c>
      <c r="Q14" s="73" t="s">
        <v>43</v>
      </c>
      <c r="R14" s="74" t="s">
        <v>44</v>
      </c>
      <c r="S14" s="75" t="s">
        <v>45</v>
      </c>
      <c r="T14" s="76" t="s">
        <v>46</v>
      </c>
      <c r="U14" s="40"/>
      <c r="V14" s="40"/>
      <c r="W14" s="40"/>
      <c r="Y14" s="109">
        <f t="shared" si="8"/>
        <v>1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</v>
      </c>
      <c r="AG14" s="108">
        <f t="shared" si="0"/>
        <v>1</v>
      </c>
      <c r="AH14" s="108">
        <f t="shared" si="1"/>
        <v>0</v>
      </c>
      <c r="AI14" s="108">
        <f t="shared" si="10"/>
        <v>0</v>
      </c>
      <c r="AJ14" s="108">
        <f t="shared" si="2"/>
        <v>0</v>
      </c>
      <c r="AK14" s="108">
        <f t="shared" si="3"/>
        <v>0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24">
        <v>8</v>
      </c>
      <c r="C15" s="25">
        <v>41804</v>
      </c>
      <c r="D15" s="26" t="s">
        <v>23</v>
      </c>
      <c r="E15" s="27" t="s">
        <v>9</v>
      </c>
      <c r="F15" s="28" t="s">
        <v>24</v>
      </c>
      <c r="G15" s="87">
        <v>2</v>
      </c>
      <c r="H15" s="27" t="s">
        <v>9</v>
      </c>
      <c r="I15" s="92">
        <v>1</v>
      </c>
      <c r="J15" s="29">
        <f t="shared" si="5"/>
        <v>1</v>
      </c>
      <c r="K15" s="11">
        <f t="shared" si="6"/>
        <v>3</v>
      </c>
      <c r="L15" s="11">
        <f t="shared" si="7"/>
        <v>0</v>
      </c>
      <c r="O15" s="44" t="s">
        <v>13</v>
      </c>
      <c r="P15" s="45">
        <f>SUMIF($D$8:$D$55,$O15,$G$8:$G$55)+SUMIF($F$8:$F$55,$O15,$I$8:$I$55)</f>
        <v>8</v>
      </c>
      <c r="Q15" s="45">
        <f>SUMIF($D$8:$D$55,$O15,$I$8:$I$55)+SUMIF($F$8:$F$55,$O15,$G$8:$G$55)</f>
        <v>3</v>
      </c>
      <c r="R15" s="46">
        <f>P15-Q15</f>
        <v>5</v>
      </c>
      <c r="S15" s="47">
        <f>SUMIF($D$8:$D$55,$O15,$K$8:$K$55)+SUMIF($F$8:$F$55,$O15,$L$8:$L$55)</f>
        <v>7</v>
      </c>
      <c r="T15" s="94" t="s">
        <v>52</v>
      </c>
      <c r="U15" s="40"/>
      <c r="V15" s="40" t="str">
        <f>O15</f>
        <v>Spanje</v>
      </c>
      <c r="W15" s="40" t="s">
        <v>52</v>
      </c>
      <c r="Y15" s="109">
        <f t="shared" si="8"/>
        <v>10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10</v>
      </c>
      <c r="AG15" s="108">
        <f t="shared" si="0"/>
        <v>1</v>
      </c>
      <c r="AH15" s="108">
        <f t="shared" si="1"/>
        <v>1</v>
      </c>
      <c r="AI15" s="108">
        <f t="shared" si="10"/>
        <v>10</v>
      </c>
      <c r="AJ15" s="108">
        <f t="shared" si="2"/>
        <v>5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12">
        <v>9</v>
      </c>
      <c r="C16" s="13">
        <v>41805</v>
      </c>
      <c r="D16" s="14" t="s">
        <v>25</v>
      </c>
      <c r="E16" s="15" t="s">
        <v>9</v>
      </c>
      <c r="F16" s="16" t="s">
        <v>26</v>
      </c>
      <c r="G16" s="85">
        <v>1</v>
      </c>
      <c r="H16" s="15" t="s">
        <v>9</v>
      </c>
      <c r="I16" s="90">
        <v>2</v>
      </c>
      <c r="J16" s="17">
        <f t="shared" si="5"/>
        <v>2</v>
      </c>
      <c r="K16" s="11">
        <f t="shared" si="6"/>
        <v>0</v>
      </c>
      <c r="L16" s="11">
        <f t="shared" si="7"/>
        <v>3</v>
      </c>
      <c r="O16" s="54" t="s">
        <v>14</v>
      </c>
      <c r="P16" s="49">
        <f>SUMIF($D$8:$D$55,$O16,$G$8:$G$55)+SUMIF($F$8:$F$55,$O16,$I$8:$I$55)</f>
        <v>5</v>
      </c>
      <c r="Q16" s="49">
        <f>SUMIF($D$8:$D$55,$O16,$I$8:$I$55)+SUMIF($F$8:$F$55,$O16,$G$8:$G$55)</f>
        <v>6</v>
      </c>
      <c r="R16" s="49">
        <f>P16-Q16</f>
        <v>-1</v>
      </c>
      <c r="S16" s="50">
        <f>SUMIF($D$8:$D$55,$O16,$K$8:$K$55)+SUMIF($F$8:$F$55,$O16,$L$8:$L$55)</f>
        <v>3</v>
      </c>
      <c r="T16" s="95" t="s">
        <v>54</v>
      </c>
      <c r="U16" s="40"/>
      <c r="V16" s="40" t="str">
        <f>O16</f>
        <v>Nederland</v>
      </c>
      <c r="W16" s="40" t="s">
        <v>53</v>
      </c>
      <c r="Y16" s="109">
        <f t="shared" si="8"/>
        <v>0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0</v>
      </c>
      <c r="AG16" s="108">
        <f t="shared" si="0"/>
        <v>0</v>
      </c>
      <c r="AH16" s="108">
        <f t="shared" si="1"/>
        <v>0</v>
      </c>
      <c r="AI16" s="108">
        <f t="shared" si="10"/>
        <v>0</v>
      </c>
      <c r="AJ16" s="108">
        <f t="shared" si="2"/>
        <v>0</v>
      </c>
      <c r="AK16" s="108">
        <f t="shared" si="3"/>
        <v>0</v>
      </c>
      <c r="AL16" s="108">
        <f t="shared" si="4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18">
        <v>10</v>
      </c>
      <c r="C17" s="19">
        <v>41805</v>
      </c>
      <c r="D17" s="20" t="s">
        <v>27</v>
      </c>
      <c r="E17" s="21" t="s">
        <v>9</v>
      </c>
      <c r="F17" s="30" t="s">
        <v>28</v>
      </c>
      <c r="G17" s="86">
        <v>4</v>
      </c>
      <c r="H17" s="21" t="s">
        <v>9</v>
      </c>
      <c r="I17" s="91">
        <v>0</v>
      </c>
      <c r="J17" s="23">
        <f t="shared" si="5"/>
        <v>1</v>
      </c>
      <c r="K17" s="11">
        <f t="shared" si="6"/>
        <v>3</v>
      </c>
      <c r="L17" s="11">
        <f t="shared" si="7"/>
        <v>0</v>
      </c>
      <c r="O17" s="48" t="s">
        <v>15</v>
      </c>
      <c r="P17" s="49">
        <f>SUMIF($D$8:$D$55,$O17,$G$8:$G$55)+SUMIF($F$8:$F$55,$O17,$I$8:$I$55)</f>
        <v>6</v>
      </c>
      <c r="Q17" s="49">
        <f>SUMIF($D$8:$D$55,$O17,$I$8:$I$55)+SUMIF($F$8:$F$55,$O17,$G$8:$G$55)</f>
        <v>4</v>
      </c>
      <c r="R17" s="49">
        <f>P17-Q17</f>
        <v>2</v>
      </c>
      <c r="S17" s="50">
        <f>SUMIF($D$8:$D$55,$O17,$K$8:$K$55)+SUMIF($F$8:$F$55,$O17,$L$8:$L$55)</f>
        <v>7</v>
      </c>
      <c r="T17" s="95" t="s">
        <v>53</v>
      </c>
      <c r="U17" s="40"/>
      <c r="V17" s="40" t="str">
        <f>O17</f>
        <v>Chili</v>
      </c>
      <c r="W17" s="40" t="s">
        <v>54</v>
      </c>
      <c r="Y17" s="109">
        <f t="shared" si="8"/>
        <v>6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6</v>
      </c>
      <c r="AG17" s="108">
        <f t="shared" si="0"/>
        <v>0</v>
      </c>
      <c r="AH17" s="108">
        <f t="shared" si="1"/>
        <v>1</v>
      </c>
      <c r="AI17" s="108">
        <f t="shared" si="10"/>
        <v>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10</v>
      </c>
      <c r="AN17" s="117" t="s">
        <v>15</v>
      </c>
      <c r="AO17" s="115">
        <f>IF(Uitslag!T17="",0,IF(T17=Uitslag!T17,10,0))</f>
        <v>10</v>
      </c>
    </row>
    <row r="18" spans="2:41" ht="15.75" thickBot="1">
      <c r="B18" s="24">
        <v>11</v>
      </c>
      <c r="C18" s="25">
        <v>41805</v>
      </c>
      <c r="D18" s="26" t="s">
        <v>29</v>
      </c>
      <c r="E18" s="27" t="s">
        <v>9</v>
      </c>
      <c r="F18" s="28" t="s">
        <v>30</v>
      </c>
      <c r="G18" s="87">
        <v>3</v>
      </c>
      <c r="H18" s="27" t="s">
        <v>9</v>
      </c>
      <c r="I18" s="92">
        <v>1</v>
      </c>
      <c r="J18" s="29">
        <f t="shared" si="5"/>
        <v>1</v>
      </c>
      <c r="K18" s="11">
        <f t="shared" si="6"/>
        <v>3</v>
      </c>
      <c r="L18" s="11">
        <f t="shared" si="7"/>
        <v>0</v>
      </c>
      <c r="O18" s="51" t="s">
        <v>16</v>
      </c>
      <c r="P18" s="52">
        <f>SUMIF($D$8:$D$55,$O18,$G$8:$G$55)+SUMIF($F$8:$F$55,$O18,$I$8:$I$55)</f>
        <v>2</v>
      </c>
      <c r="Q18" s="52">
        <f>SUMIF($D$8:$D$55,$O18,$I$8:$I$55)+SUMIF($F$8:$F$55,$O18,$G$8:$G$55)</f>
        <v>8</v>
      </c>
      <c r="R18" s="52">
        <f>P18-Q18</f>
        <v>-6</v>
      </c>
      <c r="S18" s="53">
        <f>SUMIF($D$8:$D$55,$O18,$K$8:$K$55)+SUMIF($F$8:$F$55,$O18,$L$8:$L$55)</f>
        <v>0</v>
      </c>
      <c r="T18" s="96" t="s">
        <v>55</v>
      </c>
      <c r="U18" s="40"/>
      <c r="V18" s="40" t="str">
        <f>O18</f>
        <v>Australië</v>
      </c>
      <c r="W18" s="40" t="s">
        <v>55</v>
      </c>
      <c r="Y18" s="109">
        <f t="shared" si="8"/>
        <v>6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6</v>
      </c>
      <c r="AG18" s="108">
        <f t="shared" si="0"/>
        <v>0</v>
      </c>
      <c r="AH18" s="108">
        <f t="shared" si="1"/>
        <v>1</v>
      </c>
      <c r="AI18" s="108">
        <f t="shared" si="10"/>
        <v>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12">
        <v>12</v>
      </c>
      <c r="C19" s="13">
        <v>41806</v>
      </c>
      <c r="D19" s="14" t="s">
        <v>31</v>
      </c>
      <c r="E19" s="15" t="s">
        <v>9</v>
      </c>
      <c r="F19" s="16" t="s">
        <v>32</v>
      </c>
      <c r="G19" s="85">
        <v>2</v>
      </c>
      <c r="H19" s="15" t="s">
        <v>9</v>
      </c>
      <c r="I19" s="90">
        <v>2</v>
      </c>
      <c r="J19" s="17">
        <f t="shared" si="5"/>
        <v>3</v>
      </c>
      <c r="K19" s="11">
        <f t="shared" si="6"/>
        <v>1</v>
      </c>
      <c r="L19" s="11">
        <f t="shared" si="7"/>
        <v>1</v>
      </c>
      <c r="O19" s="40"/>
      <c r="P19" s="41"/>
      <c r="Q19" s="41"/>
      <c r="R19" s="41"/>
      <c r="S19" s="41"/>
      <c r="T19" s="41"/>
      <c r="U19" s="40"/>
      <c r="V19" s="40"/>
      <c r="W19" s="40"/>
      <c r="Y19" s="109">
        <f t="shared" si="8"/>
        <v>0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0</v>
      </c>
      <c r="AG19" s="108">
        <f t="shared" si="0"/>
        <v>0</v>
      </c>
      <c r="AH19" s="108">
        <f t="shared" si="1"/>
        <v>0</v>
      </c>
      <c r="AI19" s="108">
        <f t="shared" si="10"/>
        <v>0</v>
      </c>
      <c r="AJ19" s="108">
        <f t="shared" si="2"/>
        <v>0</v>
      </c>
      <c r="AK19" s="108">
        <f t="shared" si="3"/>
        <v>0</v>
      </c>
      <c r="AL19" s="108">
        <f t="shared" si="4"/>
        <v>0</v>
      </c>
      <c r="AN19" s="40"/>
      <c r="AO19" s="41"/>
    </row>
    <row r="20" spans="2:41" ht="15.75" thickBot="1">
      <c r="B20" s="18">
        <v>13</v>
      </c>
      <c r="C20" s="19">
        <v>41806</v>
      </c>
      <c r="D20" s="20" t="s">
        <v>33</v>
      </c>
      <c r="E20" s="21" t="s">
        <v>9</v>
      </c>
      <c r="F20" s="30" t="s">
        <v>34</v>
      </c>
      <c r="G20" s="86">
        <v>1</v>
      </c>
      <c r="H20" s="21" t="s">
        <v>9</v>
      </c>
      <c r="I20" s="91">
        <v>2</v>
      </c>
      <c r="J20" s="23">
        <f t="shared" si="5"/>
        <v>2</v>
      </c>
      <c r="K20" s="11">
        <f t="shared" si="6"/>
        <v>0</v>
      </c>
      <c r="L20" s="11">
        <f t="shared" si="7"/>
        <v>3</v>
      </c>
      <c r="O20" s="72" t="s">
        <v>56</v>
      </c>
      <c r="P20" s="73" t="s">
        <v>42</v>
      </c>
      <c r="Q20" s="73" t="s">
        <v>43</v>
      </c>
      <c r="R20" s="74" t="s">
        <v>44</v>
      </c>
      <c r="S20" s="75" t="s">
        <v>45</v>
      </c>
      <c r="T20" s="76" t="s">
        <v>46</v>
      </c>
      <c r="U20" s="40"/>
      <c r="V20" s="40"/>
      <c r="W20" s="40"/>
      <c r="Y20" s="109">
        <f t="shared" si="8"/>
        <v>0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0</v>
      </c>
      <c r="AG20" s="108">
        <f t="shared" si="0"/>
        <v>0</v>
      </c>
      <c r="AH20" s="108">
        <f t="shared" si="1"/>
        <v>0</v>
      </c>
      <c r="AI20" s="108">
        <f t="shared" si="10"/>
        <v>0</v>
      </c>
      <c r="AJ20" s="108">
        <f t="shared" si="2"/>
        <v>0</v>
      </c>
      <c r="AK20" s="108">
        <f t="shared" si="3"/>
        <v>0</v>
      </c>
      <c r="AL20" s="108">
        <f t="shared" si="4"/>
        <v>0</v>
      </c>
      <c r="AN20" s="42" t="s">
        <v>56</v>
      </c>
      <c r="AO20" s="43" t="s">
        <v>46</v>
      </c>
    </row>
    <row r="21" spans="2:41" ht="15.75" thickBot="1">
      <c r="B21" s="24">
        <v>14</v>
      </c>
      <c r="C21" s="25">
        <v>41806</v>
      </c>
      <c r="D21" s="26" t="s">
        <v>35</v>
      </c>
      <c r="E21" s="27" t="s">
        <v>9</v>
      </c>
      <c r="F21" s="28" t="s">
        <v>36</v>
      </c>
      <c r="G21" s="87">
        <v>2</v>
      </c>
      <c r="H21" s="27" t="s">
        <v>9</v>
      </c>
      <c r="I21" s="92">
        <v>0</v>
      </c>
      <c r="J21" s="29">
        <f t="shared" si="5"/>
        <v>1</v>
      </c>
      <c r="K21" s="11">
        <f t="shared" si="6"/>
        <v>3</v>
      </c>
      <c r="L21" s="11">
        <f t="shared" si="7"/>
        <v>0</v>
      </c>
      <c r="O21" s="44" t="s">
        <v>17</v>
      </c>
      <c r="P21" s="45">
        <f>SUMIF($D$8:$D$55,$O21,$G$8:$G$55)+SUMIF($F$8:$F$55,$O21,$I$8:$I$55)</f>
        <v>6</v>
      </c>
      <c r="Q21" s="45">
        <f>SUMIF($D$8:$D$55,$O21,$I$8:$I$55)+SUMIF($F$8:$F$55,$O21,$G$8:$G$55)</f>
        <v>3</v>
      </c>
      <c r="R21" s="46">
        <f>P21-Q21</f>
        <v>3</v>
      </c>
      <c r="S21" s="47">
        <f>SUMIF($D$8:$D$55,$O21,$K$8:$K$55)+SUMIF($F$8:$F$55,$O21,$L$8:$L$55)</f>
        <v>5</v>
      </c>
      <c r="T21" s="94" t="s">
        <v>58</v>
      </c>
      <c r="U21" s="40"/>
      <c r="V21" s="40" t="str">
        <f>O21</f>
        <v>Colombia</v>
      </c>
      <c r="W21" s="40" t="s">
        <v>57</v>
      </c>
      <c r="Y21" s="109">
        <f t="shared" si="8"/>
        <v>0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0</v>
      </c>
      <c r="AG21" s="108">
        <f t="shared" si="0"/>
        <v>0</v>
      </c>
      <c r="AH21" s="108">
        <f t="shared" si="1"/>
        <v>0</v>
      </c>
      <c r="AI21" s="108">
        <f t="shared" si="10"/>
        <v>0</v>
      </c>
      <c r="AJ21" s="108">
        <f t="shared" si="2"/>
        <v>0</v>
      </c>
      <c r="AK21" s="108">
        <f t="shared" si="3"/>
        <v>0</v>
      </c>
      <c r="AL21" s="108">
        <f t="shared" si="4"/>
        <v>0</v>
      </c>
      <c r="AM21" s="120">
        <f>AO21</f>
        <v>0</v>
      </c>
      <c r="AN21" s="116" t="s">
        <v>17</v>
      </c>
      <c r="AO21" s="115">
        <f>IF(Uitslag!T21="",0,IF(T21=Uitslag!T21,10,0))</f>
        <v>0</v>
      </c>
    </row>
    <row r="22" spans="2:41" ht="15.75" thickBot="1">
      <c r="B22" s="12">
        <v>15</v>
      </c>
      <c r="C22" s="13">
        <v>41807</v>
      </c>
      <c r="D22" s="14" t="s">
        <v>37</v>
      </c>
      <c r="E22" s="15" t="s">
        <v>9</v>
      </c>
      <c r="F22" s="16" t="s">
        <v>38</v>
      </c>
      <c r="G22" s="85">
        <v>2</v>
      </c>
      <c r="H22" s="15" t="s">
        <v>9</v>
      </c>
      <c r="I22" s="90">
        <v>0</v>
      </c>
      <c r="J22" s="17">
        <f t="shared" si="5"/>
        <v>1</v>
      </c>
      <c r="K22" s="11">
        <f t="shared" si="6"/>
        <v>3</v>
      </c>
      <c r="L22" s="11">
        <f t="shared" si="7"/>
        <v>0</v>
      </c>
      <c r="O22" s="48" t="s">
        <v>18</v>
      </c>
      <c r="P22" s="49">
        <f>SUMIF($D$8:$D$55,$O22,$G$8:$G$55)+SUMIF($F$8:$F$55,$O22,$I$8:$I$55)</f>
        <v>0</v>
      </c>
      <c r="Q22" s="49">
        <f>SUMIF($D$8:$D$55,$O22,$I$8:$I$55)+SUMIF($F$8:$F$55,$O22,$G$8:$G$55)</f>
        <v>6</v>
      </c>
      <c r="R22" s="49">
        <f>P22-Q22</f>
        <v>-6</v>
      </c>
      <c r="S22" s="50">
        <f>SUMIF($D$8:$D$55,$O22,$K$8:$K$55)+SUMIF($F$8:$F$55,$O22,$L$8:$L$55)</f>
        <v>0</v>
      </c>
      <c r="T22" s="95" t="s">
        <v>60</v>
      </c>
      <c r="U22" s="40"/>
      <c r="V22" s="40" t="str">
        <f>O22</f>
        <v>Griekenland</v>
      </c>
      <c r="W22" s="40" t="s">
        <v>58</v>
      </c>
      <c r="Y22" s="109">
        <f t="shared" si="8"/>
        <v>6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6</v>
      </c>
      <c r="AG22" s="108">
        <f t="shared" si="0"/>
        <v>1</v>
      </c>
      <c r="AH22" s="108">
        <f t="shared" si="1"/>
        <v>0</v>
      </c>
      <c r="AI22" s="108">
        <f t="shared" si="10"/>
        <v>0</v>
      </c>
      <c r="AJ22" s="108">
        <f t="shared" si="2"/>
        <v>5</v>
      </c>
      <c r="AK22" s="108">
        <f t="shared" si="3"/>
        <v>0</v>
      </c>
      <c r="AL22" s="108">
        <f t="shared" si="4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18">
        <v>16</v>
      </c>
      <c r="C23" s="19">
        <v>41807</v>
      </c>
      <c r="D23" s="20" t="s">
        <v>8</v>
      </c>
      <c r="E23" s="21" t="s">
        <v>9</v>
      </c>
      <c r="F23" s="30" t="s">
        <v>11</v>
      </c>
      <c r="G23" s="86">
        <v>3</v>
      </c>
      <c r="H23" s="21" t="s">
        <v>9</v>
      </c>
      <c r="I23" s="91">
        <v>1</v>
      </c>
      <c r="J23" s="23">
        <f t="shared" si="5"/>
        <v>1</v>
      </c>
      <c r="K23" s="11">
        <f t="shared" si="6"/>
        <v>3</v>
      </c>
      <c r="L23" s="11">
        <f t="shared" si="7"/>
        <v>0</v>
      </c>
      <c r="O23" s="48" t="s">
        <v>23</v>
      </c>
      <c r="P23" s="49">
        <f>SUMIF($D$8:$D$55,$O23,$G$8:$G$55)+SUMIF($F$8:$F$55,$O23,$I$8:$I$55)</f>
        <v>6</v>
      </c>
      <c r="Q23" s="49">
        <f>SUMIF($D$8:$D$55,$O23,$I$8:$I$55)+SUMIF($F$8:$F$55,$O23,$G$8:$G$55)</f>
        <v>3</v>
      </c>
      <c r="R23" s="49">
        <f>P23-Q23</f>
        <v>3</v>
      </c>
      <c r="S23" s="50">
        <f>SUMIF($D$8:$D$55,$O23,$K$8:$K$55)+SUMIF($F$8:$F$55,$O23,$L$8:$L$55)</f>
        <v>7</v>
      </c>
      <c r="T23" s="95" t="s">
        <v>57</v>
      </c>
      <c r="U23" s="40"/>
      <c r="V23" s="40" t="str">
        <f>O23</f>
        <v>Ivoorkust</v>
      </c>
      <c r="W23" s="40" t="s">
        <v>59</v>
      </c>
      <c r="Y23" s="109">
        <f t="shared" si="8"/>
        <v>0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0</v>
      </c>
      <c r="AG23" s="108">
        <f t="shared" si="0"/>
        <v>0</v>
      </c>
      <c r="AH23" s="108">
        <f t="shared" si="1"/>
        <v>0</v>
      </c>
      <c r="AI23" s="108">
        <f t="shared" si="10"/>
        <v>0</v>
      </c>
      <c r="AJ23" s="108">
        <f t="shared" si="2"/>
        <v>0</v>
      </c>
      <c r="AK23" s="108">
        <f t="shared" si="3"/>
        <v>0</v>
      </c>
      <c r="AL23" s="108">
        <f t="shared" si="4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24">
        <v>17</v>
      </c>
      <c r="C24" s="25">
        <v>41807</v>
      </c>
      <c r="D24" s="26" t="s">
        <v>39</v>
      </c>
      <c r="E24" s="27" t="s">
        <v>9</v>
      </c>
      <c r="F24" s="28" t="s">
        <v>40</v>
      </c>
      <c r="G24" s="87">
        <v>1</v>
      </c>
      <c r="H24" s="27" t="s">
        <v>9</v>
      </c>
      <c r="I24" s="92">
        <v>0</v>
      </c>
      <c r="J24" s="29">
        <f t="shared" si="5"/>
        <v>1</v>
      </c>
      <c r="K24" s="11">
        <f t="shared" si="6"/>
        <v>3</v>
      </c>
      <c r="L24" s="11">
        <f t="shared" si="7"/>
        <v>0</v>
      </c>
      <c r="O24" s="51" t="s">
        <v>24</v>
      </c>
      <c r="P24" s="52">
        <f>SUMIF($D$8:$D$55,$O24,$G$8:$G$55)+SUMIF($F$8:$F$55,$O24,$I$8:$I$55)</f>
        <v>3</v>
      </c>
      <c r="Q24" s="52">
        <f>SUMIF($D$8:$D$55,$O24,$I$8:$I$55)+SUMIF($F$8:$F$55,$O24,$G$8:$G$55)</f>
        <v>3</v>
      </c>
      <c r="R24" s="52">
        <f>P24-Q24</f>
        <v>0</v>
      </c>
      <c r="S24" s="53">
        <f>SUMIF($D$8:$D$55,$O24,$K$8:$K$55)+SUMIF($F$8:$F$55,$O24,$L$8:$L$55)</f>
        <v>4</v>
      </c>
      <c r="T24" s="96" t="s">
        <v>59</v>
      </c>
      <c r="U24" s="40"/>
      <c r="V24" s="40" t="str">
        <f>O24</f>
        <v>Japan</v>
      </c>
      <c r="W24" s="40" t="s">
        <v>60</v>
      </c>
      <c r="Y24" s="109">
        <f t="shared" si="8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</v>
      </c>
      <c r="AG24" s="108">
        <f t="shared" si="0"/>
        <v>1</v>
      </c>
      <c r="AH24" s="108">
        <f t="shared" si="1"/>
        <v>0</v>
      </c>
      <c r="AI24" s="108">
        <f t="shared" si="10"/>
        <v>0</v>
      </c>
      <c r="AJ24" s="108">
        <f t="shared" si="2"/>
        <v>0</v>
      </c>
      <c r="AK24" s="108">
        <f t="shared" si="3"/>
        <v>0</v>
      </c>
      <c r="AL24" s="108">
        <f t="shared" si="4"/>
        <v>0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12">
        <v>18</v>
      </c>
      <c r="C25" s="13">
        <v>41808</v>
      </c>
      <c r="D25" s="14" t="s">
        <v>16</v>
      </c>
      <c r="E25" s="15" t="s">
        <v>9</v>
      </c>
      <c r="F25" s="31" t="s">
        <v>14</v>
      </c>
      <c r="G25" s="85">
        <v>1</v>
      </c>
      <c r="H25" s="15" t="s">
        <v>9</v>
      </c>
      <c r="I25" s="90">
        <v>3</v>
      </c>
      <c r="J25" s="17">
        <f t="shared" si="5"/>
        <v>2</v>
      </c>
      <c r="K25" s="11">
        <f t="shared" si="6"/>
        <v>0</v>
      </c>
      <c r="L25" s="11">
        <f t="shared" si="7"/>
        <v>3</v>
      </c>
      <c r="O25" s="40"/>
      <c r="P25" s="41"/>
      <c r="Q25" s="41"/>
      <c r="R25" s="41"/>
      <c r="S25" s="41"/>
      <c r="T25" s="41"/>
      <c r="U25" s="40"/>
      <c r="V25" s="40"/>
      <c r="W25" s="40"/>
      <c r="Y25" s="109">
        <f t="shared" si="8"/>
        <v>6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6</v>
      </c>
      <c r="AG25" s="108">
        <f t="shared" si="0"/>
        <v>0</v>
      </c>
      <c r="AH25" s="108">
        <f t="shared" si="1"/>
        <v>1</v>
      </c>
      <c r="AI25" s="108">
        <f t="shared" si="10"/>
        <v>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40"/>
      <c r="AO25" s="41"/>
    </row>
    <row r="26" spans="2:41" ht="15.75" thickBot="1">
      <c r="B26" s="18">
        <v>19</v>
      </c>
      <c r="C26" s="19">
        <v>41808</v>
      </c>
      <c r="D26" s="20" t="s">
        <v>13</v>
      </c>
      <c r="E26" s="21" t="s">
        <v>9</v>
      </c>
      <c r="F26" s="30" t="s">
        <v>15</v>
      </c>
      <c r="G26" s="86">
        <v>2</v>
      </c>
      <c r="H26" s="21" t="s">
        <v>9</v>
      </c>
      <c r="I26" s="91">
        <v>2</v>
      </c>
      <c r="J26" s="23">
        <f t="shared" si="5"/>
        <v>3</v>
      </c>
      <c r="K26" s="11">
        <f t="shared" si="6"/>
        <v>1</v>
      </c>
      <c r="L26" s="11">
        <f t="shared" si="7"/>
        <v>1</v>
      </c>
      <c r="O26" s="72" t="s">
        <v>61</v>
      </c>
      <c r="P26" s="73" t="s">
        <v>42</v>
      </c>
      <c r="Q26" s="73" t="s">
        <v>43</v>
      </c>
      <c r="R26" s="74" t="s">
        <v>44</v>
      </c>
      <c r="S26" s="75" t="s">
        <v>45</v>
      </c>
      <c r="T26" s="76" t="s">
        <v>46</v>
      </c>
      <c r="U26" s="40"/>
      <c r="V26" s="40"/>
      <c r="W26" s="40"/>
      <c r="Y26" s="109">
        <f t="shared" si="8"/>
        <v>1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1</v>
      </c>
      <c r="AG26" s="108">
        <f t="shared" si="0"/>
        <v>0</v>
      </c>
      <c r="AH26" s="108">
        <f t="shared" si="1"/>
        <v>1</v>
      </c>
      <c r="AI26" s="108">
        <f t="shared" si="10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24">
        <v>20</v>
      </c>
      <c r="C27" s="25">
        <v>41808</v>
      </c>
      <c r="D27" s="26" t="s">
        <v>12</v>
      </c>
      <c r="E27" s="27" t="s">
        <v>9</v>
      </c>
      <c r="F27" s="28" t="s">
        <v>10</v>
      </c>
      <c r="G27" s="87">
        <v>1</v>
      </c>
      <c r="H27" s="27" t="s">
        <v>9</v>
      </c>
      <c r="I27" s="92">
        <v>2</v>
      </c>
      <c r="J27" s="29">
        <f t="shared" si="5"/>
        <v>2</v>
      </c>
      <c r="K27" s="11">
        <f t="shared" si="6"/>
        <v>0</v>
      </c>
      <c r="L27" s="11">
        <f t="shared" si="7"/>
        <v>3</v>
      </c>
      <c r="O27" s="44" t="s">
        <v>19</v>
      </c>
      <c r="P27" s="45">
        <f>SUMIF($D$8:$D$55,$O27,$G$8:$G$55)+SUMIF($F$8:$F$55,$O27,$I$8:$I$55)</f>
        <v>5</v>
      </c>
      <c r="Q27" s="45">
        <f>SUMIF($D$8:$D$55,$O27,$I$8:$I$55)+SUMIF($F$8:$F$55,$O27,$G$8:$G$55)</f>
        <v>4</v>
      </c>
      <c r="R27" s="46">
        <f>P27-Q27</f>
        <v>1</v>
      </c>
      <c r="S27" s="47">
        <f>SUMIF($D$8:$D$55,$O27,$K$8:$K$55)+SUMIF($F$8:$F$55,$O27,$L$8:$L$55)</f>
        <v>5</v>
      </c>
      <c r="T27" s="94" t="s">
        <v>63</v>
      </c>
      <c r="U27" s="40"/>
      <c r="V27" s="40" t="str">
        <f>O27</f>
        <v>Uruguay</v>
      </c>
      <c r="W27" s="40" t="s">
        <v>62</v>
      </c>
      <c r="Y27" s="109">
        <f t="shared" si="8"/>
        <v>5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5</v>
      </c>
      <c r="AG27" s="108">
        <f t="shared" si="0"/>
        <v>0</v>
      </c>
      <c r="AH27" s="108">
        <f t="shared" si="1"/>
        <v>0</v>
      </c>
      <c r="AI27" s="108">
        <f t="shared" si="10"/>
        <v>0</v>
      </c>
      <c r="AJ27" s="108">
        <f t="shared" si="2"/>
        <v>0</v>
      </c>
      <c r="AK27" s="108">
        <f t="shared" si="3"/>
        <v>5</v>
      </c>
      <c r="AL27" s="108">
        <f t="shared" si="4"/>
        <v>0</v>
      </c>
      <c r="AM27" s="120">
        <f>AO27</f>
        <v>10</v>
      </c>
      <c r="AN27" s="116" t="s">
        <v>19</v>
      </c>
      <c r="AO27" s="115">
        <f>IF(Uitslag!T27="",0,IF(T27=Uitslag!T27,10,0))</f>
        <v>10</v>
      </c>
    </row>
    <row r="28" spans="2:41" ht="15.75" thickBot="1">
      <c r="B28" s="12">
        <v>21</v>
      </c>
      <c r="C28" s="13">
        <v>41809</v>
      </c>
      <c r="D28" s="14" t="s">
        <v>17</v>
      </c>
      <c r="E28" s="15" t="s">
        <v>9</v>
      </c>
      <c r="F28" s="16" t="s">
        <v>23</v>
      </c>
      <c r="G28" s="85">
        <v>2</v>
      </c>
      <c r="H28" s="15" t="s">
        <v>9</v>
      </c>
      <c r="I28" s="90">
        <v>2</v>
      </c>
      <c r="J28" s="17">
        <f t="shared" si="5"/>
        <v>3</v>
      </c>
      <c r="K28" s="11">
        <f t="shared" si="6"/>
        <v>1</v>
      </c>
      <c r="L28" s="11">
        <f t="shared" si="7"/>
        <v>1</v>
      </c>
      <c r="O28" s="48" t="s">
        <v>20</v>
      </c>
      <c r="P28" s="49">
        <f>SUMIF($D$8:$D$55,$O28,$G$8:$G$55)+SUMIF($F$8:$F$55,$O28,$I$8:$I$55)</f>
        <v>2</v>
      </c>
      <c r="Q28" s="49">
        <f>SUMIF($D$8:$D$55,$O28,$I$8:$I$55)+SUMIF($F$8:$F$55,$O28,$G$8:$G$55)</f>
        <v>6</v>
      </c>
      <c r="R28" s="49">
        <f>P28-Q28</f>
        <v>-4</v>
      </c>
      <c r="S28" s="50">
        <f>SUMIF($D$8:$D$55,$O28,$K$8:$K$55)+SUMIF($F$8:$F$55,$O28,$L$8:$L$55)</f>
        <v>1</v>
      </c>
      <c r="T28" s="95" t="s">
        <v>65</v>
      </c>
      <c r="U28" s="40"/>
      <c r="V28" s="40" t="str">
        <f>O28</f>
        <v>Costa Rica</v>
      </c>
      <c r="W28" s="40" t="s">
        <v>63</v>
      </c>
      <c r="Y28" s="109">
        <f t="shared" si="8"/>
        <v>1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1</v>
      </c>
      <c r="AG28" s="108">
        <f t="shared" si="0"/>
        <v>1</v>
      </c>
      <c r="AH28" s="108">
        <f t="shared" si="1"/>
        <v>0</v>
      </c>
      <c r="AI28" s="108">
        <f t="shared" si="10"/>
        <v>0</v>
      </c>
      <c r="AJ28" s="108">
        <f t="shared" si="2"/>
        <v>0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18">
        <v>22</v>
      </c>
      <c r="C29" s="19">
        <v>41809</v>
      </c>
      <c r="D29" s="20" t="s">
        <v>19</v>
      </c>
      <c r="E29" s="21" t="s">
        <v>9</v>
      </c>
      <c r="F29" s="30" t="s">
        <v>21</v>
      </c>
      <c r="G29" s="86">
        <v>2</v>
      </c>
      <c r="H29" s="21" t="s">
        <v>9</v>
      </c>
      <c r="I29" s="91">
        <v>1</v>
      </c>
      <c r="J29" s="23">
        <f t="shared" si="5"/>
        <v>1</v>
      </c>
      <c r="K29" s="11">
        <f t="shared" si="6"/>
        <v>3</v>
      </c>
      <c r="L29" s="11">
        <f t="shared" si="7"/>
        <v>0</v>
      </c>
      <c r="O29" s="48" t="s">
        <v>21</v>
      </c>
      <c r="P29" s="49">
        <f>SUMIF($D$8:$D$55,$O29,$G$8:$G$55)+SUMIF($F$8:$F$55,$O29,$I$8:$I$55)</f>
        <v>4</v>
      </c>
      <c r="Q29" s="49">
        <f>SUMIF($D$8:$D$55,$O29,$I$8:$I$55)+SUMIF($F$8:$F$55,$O29,$G$8:$G$55)</f>
        <v>3</v>
      </c>
      <c r="R29" s="49">
        <f>P29-Q29</f>
        <v>1</v>
      </c>
      <c r="S29" s="50">
        <f>SUMIF($D$8:$D$55,$O29,$K$8:$K$55)+SUMIF($F$8:$F$55,$O29,$L$8:$L$55)</f>
        <v>4</v>
      </c>
      <c r="T29" s="95" t="s">
        <v>64</v>
      </c>
      <c r="U29" s="40"/>
      <c r="V29" s="40" t="str">
        <f>O29</f>
        <v>Engeland</v>
      </c>
      <c r="W29" s="40" t="s">
        <v>64</v>
      </c>
      <c r="Y29" s="109">
        <f t="shared" si="8"/>
        <v>10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10</v>
      </c>
      <c r="AG29" s="108">
        <f t="shared" si="0"/>
        <v>1</v>
      </c>
      <c r="AH29" s="108">
        <f t="shared" si="1"/>
        <v>1</v>
      </c>
      <c r="AI29" s="108">
        <f t="shared" si="10"/>
        <v>10</v>
      </c>
      <c r="AJ29" s="108">
        <f t="shared" si="2"/>
        <v>5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24">
        <v>23</v>
      </c>
      <c r="C30" s="25">
        <v>41809</v>
      </c>
      <c r="D30" s="26" t="s">
        <v>24</v>
      </c>
      <c r="E30" s="27" t="s">
        <v>9</v>
      </c>
      <c r="F30" s="28" t="s">
        <v>18</v>
      </c>
      <c r="G30" s="87">
        <v>1</v>
      </c>
      <c r="H30" s="27" t="s">
        <v>9</v>
      </c>
      <c r="I30" s="92">
        <v>0</v>
      </c>
      <c r="J30" s="29">
        <f t="shared" si="5"/>
        <v>1</v>
      </c>
      <c r="K30" s="11">
        <f t="shared" si="6"/>
        <v>3</v>
      </c>
      <c r="L30" s="11">
        <f t="shared" si="7"/>
        <v>0</v>
      </c>
      <c r="O30" s="51" t="s">
        <v>22</v>
      </c>
      <c r="P30" s="52">
        <f>SUMIF($D$8:$D$55,$O30,$G$8:$G$55)+SUMIF($F$8:$F$55,$O30,$I$8:$I$55)</f>
        <v>4</v>
      </c>
      <c r="Q30" s="52">
        <f>SUMIF($D$8:$D$55,$O30,$I$8:$I$55)+SUMIF($F$8:$F$55,$O30,$G$8:$G$55)</f>
        <v>2</v>
      </c>
      <c r="R30" s="52">
        <f>P30-Q30</f>
        <v>2</v>
      </c>
      <c r="S30" s="53">
        <f>SUMIF($D$8:$D$55,$O30,$K$8:$K$55)+SUMIF($F$8:$F$55,$O30,$L$8:$L$55)</f>
        <v>5</v>
      </c>
      <c r="T30" s="96" t="s">
        <v>62</v>
      </c>
      <c r="U30" s="40"/>
      <c r="V30" s="40" t="str">
        <f>O30</f>
        <v>Italië</v>
      </c>
      <c r="W30" s="40" t="s">
        <v>65</v>
      </c>
      <c r="Y30" s="109">
        <f t="shared" si="8"/>
        <v>1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1</v>
      </c>
      <c r="AG30" s="108">
        <f t="shared" si="0"/>
        <v>0</v>
      </c>
      <c r="AH30" s="108">
        <f t="shared" si="1"/>
        <v>1</v>
      </c>
      <c r="AI30" s="108">
        <f t="shared" si="10"/>
        <v>0</v>
      </c>
      <c r="AJ30" s="108">
        <f t="shared" si="2"/>
        <v>0</v>
      </c>
      <c r="AK30" s="108">
        <f t="shared" si="3"/>
        <v>0</v>
      </c>
      <c r="AL30" s="108">
        <f t="shared" si="4"/>
        <v>0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12">
        <v>24</v>
      </c>
      <c r="C31" s="13">
        <v>41810</v>
      </c>
      <c r="D31" s="14" t="s">
        <v>22</v>
      </c>
      <c r="E31" s="15" t="s">
        <v>9</v>
      </c>
      <c r="F31" s="16" t="s">
        <v>20</v>
      </c>
      <c r="G31" s="85">
        <v>2</v>
      </c>
      <c r="H31" s="15" t="s">
        <v>9</v>
      </c>
      <c r="I31" s="90">
        <v>0</v>
      </c>
      <c r="J31" s="17">
        <f t="shared" si="5"/>
        <v>1</v>
      </c>
      <c r="K31" s="11">
        <f t="shared" si="6"/>
        <v>3</v>
      </c>
      <c r="L31" s="11">
        <f t="shared" si="7"/>
        <v>0</v>
      </c>
      <c r="O31" s="40"/>
      <c r="P31" s="41"/>
      <c r="Q31" s="41"/>
      <c r="R31" s="41"/>
      <c r="S31" s="41"/>
      <c r="T31" s="41"/>
      <c r="U31" s="40"/>
      <c r="V31" s="40"/>
      <c r="W31" s="40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0"/>
        <v>0</v>
      </c>
      <c r="AH31" s="108">
        <f t="shared" si="1"/>
        <v>0</v>
      </c>
      <c r="AI31" s="108">
        <f t="shared" si="10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40"/>
      <c r="AO31" s="41"/>
    </row>
    <row r="32" spans="2:41" ht="15.75" thickBot="1">
      <c r="B32" s="18">
        <v>25</v>
      </c>
      <c r="C32" s="19">
        <v>41810</v>
      </c>
      <c r="D32" s="20" t="s">
        <v>25</v>
      </c>
      <c r="E32" s="21" t="s">
        <v>9</v>
      </c>
      <c r="F32" s="30" t="s">
        <v>27</v>
      </c>
      <c r="G32" s="86">
        <v>1</v>
      </c>
      <c r="H32" s="21" t="s">
        <v>9</v>
      </c>
      <c r="I32" s="91">
        <v>1</v>
      </c>
      <c r="J32" s="23">
        <f t="shared" si="5"/>
        <v>3</v>
      </c>
      <c r="K32" s="11">
        <f t="shared" si="6"/>
        <v>1</v>
      </c>
      <c r="L32" s="11">
        <f t="shared" si="7"/>
        <v>1</v>
      </c>
      <c r="O32" s="72" t="s">
        <v>66</v>
      </c>
      <c r="P32" s="73" t="s">
        <v>42</v>
      </c>
      <c r="Q32" s="73" t="s">
        <v>43</v>
      </c>
      <c r="R32" s="74" t="s">
        <v>44</v>
      </c>
      <c r="S32" s="75" t="s">
        <v>45</v>
      </c>
      <c r="T32" s="76" t="s">
        <v>46</v>
      </c>
      <c r="U32" s="40"/>
      <c r="V32" s="40"/>
      <c r="W32" s="40"/>
      <c r="Y32" s="109">
        <f t="shared" si="8"/>
        <v>0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0</v>
      </c>
      <c r="AG32" s="108">
        <f t="shared" si="0"/>
        <v>0</v>
      </c>
      <c r="AH32" s="108">
        <f t="shared" si="1"/>
        <v>0</v>
      </c>
      <c r="AI32" s="108">
        <f t="shared" si="10"/>
        <v>0</v>
      </c>
      <c r="AJ32" s="108">
        <f t="shared" si="2"/>
        <v>0</v>
      </c>
      <c r="AK32" s="108">
        <f t="shared" si="3"/>
        <v>0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24">
        <v>26</v>
      </c>
      <c r="C33" s="25">
        <v>41810</v>
      </c>
      <c r="D33" s="26" t="s">
        <v>28</v>
      </c>
      <c r="E33" s="27" t="s">
        <v>9</v>
      </c>
      <c r="F33" s="28" t="s">
        <v>26</v>
      </c>
      <c r="G33" s="87">
        <v>0</v>
      </c>
      <c r="H33" s="27" t="s">
        <v>9</v>
      </c>
      <c r="I33" s="92">
        <v>2</v>
      </c>
      <c r="J33" s="29">
        <f t="shared" si="5"/>
        <v>2</v>
      </c>
      <c r="K33" s="11">
        <f t="shared" si="6"/>
        <v>0</v>
      </c>
      <c r="L33" s="11">
        <f t="shared" si="7"/>
        <v>3</v>
      </c>
      <c r="O33" s="44" t="s">
        <v>25</v>
      </c>
      <c r="P33" s="45">
        <f>SUMIF($D$8:$D$55,$O33,$G$8:$G$55)+SUMIF($F$8:$F$55,$O33,$I$8:$I$55)</f>
        <v>4</v>
      </c>
      <c r="Q33" s="45">
        <f>SUMIF($D$8:$D$55,$O33,$I$8:$I$55)+SUMIF($F$8:$F$55,$O33,$G$8:$G$55)</f>
        <v>3</v>
      </c>
      <c r="R33" s="46">
        <f>P33-Q33</f>
        <v>1</v>
      </c>
      <c r="S33" s="47">
        <f>SUMIF($D$8:$D$55,$O33,$K$8:$K$55)+SUMIF($F$8:$F$55,$O33,$L$8:$L$55)</f>
        <v>4</v>
      </c>
      <c r="T33" s="94" t="s">
        <v>69</v>
      </c>
      <c r="U33" s="40"/>
      <c r="V33" s="40" t="str">
        <f>O33</f>
        <v>Zwitserland</v>
      </c>
      <c r="W33" s="40" t="s">
        <v>67</v>
      </c>
      <c r="Y33" s="109">
        <f t="shared" si="8"/>
        <v>6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6</v>
      </c>
      <c r="AG33" s="108">
        <f t="shared" si="0"/>
        <v>0</v>
      </c>
      <c r="AH33" s="108">
        <f t="shared" si="1"/>
        <v>1</v>
      </c>
      <c r="AI33" s="108">
        <f t="shared" si="10"/>
        <v>0</v>
      </c>
      <c r="AJ33" s="108">
        <f t="shared" si="2"/>
        <v>0</v>
      </c>
      <c r="AK33" s="108">
        <f t="shared" si="3"/>
        <v>5</v>
      </c>
      <c r="AL33" s="108">
        <f t="shared" si="4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12">
        <v>27</v>
      </c>
      <c r="C34" s="13">
        <v>41811</v>
      </c>
      <c r="D34" s="14" t="s">
        <v>29</v>
      </c>
      <c r="E34" s="15" t="s">
        <v>9</v>
      </c>
      <c r="F34" s="16" t="s">
        <v>33</v>
      </c>
      <c r="G34" s="85">
        <v>4</v>
      </c>
      <c r="H34" s="15" t="s">
        <v>9</v>
      </c>
      <c r="I34" s="90">
        <v>0</v>
      </c>
      <c r="J34" s="17">
        <f t="shared" si="5"/>
        <v>1</v>
      </c>
      <c r="K34" s="11">
        <f t="shared" si="6"/>
        <v>3</v>
      </c>
      <c r="L34" s="11">
        <f t="shared" si="7"/>
        <v>0</v>
      </c>
      <c r="O34" s="48" t="s">
        <v>26</v>
      </c>
      <c r="P34" s="49">
        <f>SUMIF($D$8:$D$55,$O34,$G$8:$G$55)+SUMIF($F$8:$F$55,$O34,$I$8:$I$55)</f>
        <v>5</v>
      </c>
      <c r="Q34" s="49">
        <f>SUMIF($D$8:$D$55,$O34,$I$8:$I$55)+SUMIF($F$8:$F$55,$O34,$G$8:$G$55)</f>
        <v>3</v>
      </c>
      <c r="R34" s="49">
        <f>P34-Q34</f>
        <v>2</v>
      </c>
      <c r="S34" s="50">
        <f>SUMIF($D$8:$D$55,$O34,$K$8:$K$55)+SUMIF($F$8:$F$55,$O34,$L$8:$L$55)</f>
        <v>6</v>
      </c>
      <c r="T34" s="95" t="s">
        <v>68</v>
      </c>
      <c r="U34" s="40"/>
      <c r="V34" s="40" t="str">
        <f>O34</f>
        <v>Ecuador</v>
      </c>
      <c r="W34" s="40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0"/>
        <v>0</v>
      </c>
      <c r="AH34" s="108">
        <f t="shared" si="1"/>
        <v>1</v>
      </c>
      <c r="AI34" s="108">
        <f t="shared" si="10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18">
        <v>28</v>
      </c>
      <c r="C35" s="19">
        <v>41811</v>
      </c>
      <c r="D35" s="20" t="s">
        <v>31</v>
      </c>
      <c r="E35" s="21" t="s">
        <v>9</v>
      </c>
      <c r="F35" s="30" t="s">
        <v>35</v>
      </c>
      <c r="G35" s="86">
        <v>2</v>
      </c>
      <c r="H35" s="21" t="s">
        <v>9</v>
      </c>
      <c r="I35" s="91">
        <v>1</v>
      </c>
      <c r="J35" s="23">
        <f t="shared" si="5"/>
        <v>1</v>
      </c>
      <c r="K35" s="11">
        <f t="shared" si="6"/>
        <v>3</v>
      </c>
      <c r="L35" s="11">
        <f t="shared" si="7"/>
        <v>0</v>
      </c>
      <c r="O35" s="48" t="s">
        <v>27</v>
      </c>
      <c r="P35" s="49">
        <f>SUMIF($D$8:$D$55,$O35,$G$8:$G$55)+SUMIF($F$8:$F$55,$O35,$I$8:$I$55)</f>
        <v>7</v>
      </c>
      <c r="Q35" s="49">
        <f>SUMIF($D$8:$D$55,$O35,$I$8:$I$55)+SUMIF($F$8:$F$55,$O35,$G$8:$G$55)</f>
        <v>2</v>
      </c>
      <c r="R35" s="49">
        <f>P35-Q35</f>
        <v>5</v>
      </c>
      <c r="S35" s="50">
        <f>SUMIF($D$8:$D$55,$O35,$K$8:$K$55)+SUMIF($F$8:$F$55,$O35,$L$8:$L$55)</f>
        <v>7</v>
      </c>
      <c r="T35" s="95" t="s">
        <v>67</v>
      </c>
      <c r="U35" s="40"/>
      <c r="V35" s="40" t="str">
        <f>O35</f>
        <v>Frankrijk</v>
      </c>
      <c r="W35" s="40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0"/>
        <v>1</v>
      </c>
      <c r="AH35" s="108">
        <f t="shared" si="1"/>
        <v>0</v>
      </c>
      <c r="AI35" s="108">
        <f t="shared" si="10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24">
        <v>29</v>
      </c>
      <c r="C36" s="25">
        <v>41811</v>
      </c>
      <c r="D36" s="26" t="s">
        <v>34</v>
      </c>
      <c r="E36" s="27" t="s">
        <v>9</v>
      </c>
      <c r="F36" s="28" t="s">
        <v>30</v>
      </c>
      <c r="G36" s="87">
        <v>2</v>
      </c>
      <c r="H36" s="27" t="s">
        <v>9</v>
      </c>
      <c r="I36" s="92">
        <v>1</v>
      </c>
      <c r="J36" s="29">
        <f t="shared" si="5"/>
        <v>1</v>
      </c>
      <c r="K36" s="11">
        <f t="shared" si="6"/>
        <v>3</v>
      </c>
      <c r="L36" s="11">
        <f t="shared" si="7"/>
        <v>0</v>
      </c>
      <c r="O36" s="51" t="s">
        <v>28</v>
      </c>
      <c r="P36" s="52">
        <f>SUMIF($D$8:$D$55,$O36,$G$8:$G$55)+SUMIF($F$8:$F$55,$O36,$I$8:$I$55)</f>
        <v>0</v>
      </c>
      <c r="Q36" s="52">
        <f>SUMIF($D$8:$D$55,$O36,$I$8:$I$55)+SUMIF($F$8:$F$55,$O36,$G$8:$G$55)</f>
        <v>8</v>
      </c>
      <c r="R36" s="52">
        <f>P36-Q36</f>
        <v>-8</v>
      </c>
      <c r="S36" s="53">
        <f>SUMIF($D$8:$D$55,$O36,$K$8:$K$55)+SUMIF($F$8:$F$55,$O36,$L$8:$L$55)</f>
        <v>0</v>
      </c>
      <c r="T36" s="96" t="s">
        <v>70</v>
      </c>
      <c r="U36" s="40"/>
      <c r="V36" s="40" t="str">
        <f>O36</f>
        <v>Honduras</v>
      </c>
      <c r="W36" s="40" t="s">
        <v>70</v>
      </c>
      <c r="Y36" s="109">
        <f t="shared" si="8"/>
        <v>5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5</v>
      </c>
      <c r="AG36" s="108">
        <f t="shared" si="0"/>
        <v>0</v>
      </c>
      <c r="AH36" s="108">
        <f t="shared" si="1"/>
        <v>0</v>
      </c>
      <c r="AI36" s="108">
        <f t="shared" si="10"/>
        <v>0</v>
      </c>
      <c r="AJ36" s="108">
        <f t="shared" si="2"/>
        <v>5</v>
      </c>
      <c r="AK36" s="108">
        <f t="shared" si="3"/>
        <v>0</v>
      </c>
      <c r="AL36" s="108">
        <f t="shared" si="4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12">
        <v>30</v>
      </c>
      <c r="C37" s="13">
        <v>41812</v>
      </c>
      <c r="D37" s="14" t="s">
        <v>37</v>
      </c>
      <c r="E37" s="15" t="s">
        <v>9</v>
      </c>
      <c r="F37" s="16" t="s">
        <v>39</v>
      </c>
      <c r="G37" s="85">
        <v>1</v>
      </c>
      <c r="H37" s="15" t="s">
        <v>9</v>
      </c>
      <c r="I37" s="90">
        <v>1</v>
      </c>
      <c r="J37" s="17">
        <f t="shared" si="5"/>
        <v>3</v>
      </c>
      <c r="K37" s="11">
        <f t="shared" si="6"/>
        <v>1</v>
      </c>
      <c r="L37" s="11">
        <f t="shared" si="7"/>
        <v>1</v>
      </c>
      <c r="O37" s="40"/>
      <c r="P37" s="41"/>
      <c r="Q37" s="41"/>
      <c r="R37" s="41"/>
      <c r="S37" s="41"/>
      <c r="T37" s="41"/>
      <c r="U37" s="40"/>
      <c r="V37" s="40"/>
      <c r="W37" s="40"/>
      <c r="Y37" s="109">
        <f t="shared" si="8"/>
        <v>1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1</v>
      </c>
      <c r="AG37" s="108">
        <f t="shared" si="0"/>
        <v>1</v>
      </c>
      <c r="AH37" s="108">
        <f t="shared" si="1"/>
        <v>0</v>
      </c>
      <c r="AI37" s="108">
        <f t="shared" si="10"/>
        <v>0</v>
      </c>
      <c r="AJ37" s="108">
        <f t="shared" si="2"/>
        <v>0</v>
      </c>
      <c r="AK37" s="108">
        <f t="shared" si="3"/>
        <v>0</v>
      </c>
      <c r="AL37" s="108">
        <f t="shared" si="4"/>
        <v>0</v>
      </c>
      <c r="AN37" s="40"/>
      <c r="AO37" s="41"/>
    </row>
    <row r="38" spans="2:41" ht="15.75" thickBot="1">
      <c r="B38" s="18">
        <v>31</v>
      </c>
      <c r="C38" s="19">
        <v>41812</v>
      </c>
      <c r="D38" s="20" t="s">
        <v>40</v>
      </c>
      <c r="E38" s="21" t="s">
        <v>9</v>
      </c>
      <c r="F38" s="30" t="s">
        <v>38</v>
      </c>
      <c r="G38" s="86">
        <v>2</v>
      </c>
      <c r="H38" s="21" t="s">
        <v>9</v>
      </c>
      <c r="I38" s="91">
        <v>1</v>
      </c>
      <c r="J38" s="23">
        <f t="shared" si="5"/>
        <v>1</v>
      </c>
      <c r="K38" s="11">
        <f t="shared" si="6"/>
        <v>3</v>
      </c>
      <c r="L38" s="11">
        <f t="shared" si="7"/>
        <v>0</v>
      </c>
      <c r="O38" s="72" t="s">
        <v>71</v>
      </c>
      <c r="P38" s="73" t="s">
        <v>42</v>
      </c>
      <c r="Q38" s="73" t="s">
        <v>43</v>
      </c>
      <c r="R38" s="74" t="s">
        <v>44</v>
      </c>
      <c r="S38" s="75" t="s">
        <v>45</v>
      </c>
      <c r="T38" s="76" t="s">
        <v>46</v>
      </c>
      <c r="U38" s="40"/>
      <c r="V38" s="40"/>
      <c r="W38" s="40"/>
      <c r="Y38" s="109">
        <f t="shared" si="8"/>
        <v>1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1</v>
      </c>
      <c r="AG38" s="108">
        <f t="shared" si="0"/>
        <v>1</v>
      </c>
      <c r="AH38" s="108">
        <f t="shared" si="1"/>
        <v>0</v>
      </c>
      <c r="AI38" s="108">
        <f t="shared" si="10"/>
        <v>0</v>
      </c>
      <c r="AJ38" s="108">
        <f t="shared" si="2"/>
        <v>0</v>
      </c>
      <c r="AK38" s="108">
        <f t="shared" si="3"/>
        <v>0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24">
        <v>32</v>
      </c>
      <c r="C39" s="25">
        <v>41812</v>
      </c>
      <c r="D39" s="26" t="s">
        <v>36</v>
      </c>
      <c r="E39" s="27" t="s">
        <v>9</v>
      </c>
      <c r="F39" s="28" t="s">
        <v>32</v>
      </c>
      <c r="G39" s="87">
        <v>1</v>
      </c>
      <c r="H39" s="27" t="s">
        <v>9</v>
      </c>
      <c r="I39" s="92">
        <v>3</v>
      </c>
      <c r="J39" s="29">
        <f t="shared" si="5"/>
        <v>2</v>
      </c>
      <c r="K39" s="11">
        <f t="shared" si="6"/>
        <v>0</v>
      </c>
      <c r="L39" s="11">
        <f t="shared" si="7"/>
        <v>3</v>
      </c>
      <c r="O39" s="44" t="s">
        <v>29</v>
      </c>
      <c r="P39" s="45">
        <f>SUMIF($D$8:$D$55,$O39,$G$8:$G$55)+SUMIF($F$8:$F$55,$O39,$I$8:$I$55)</f>
        <v>9</v>
      </c>
      <c r="Q39" s="45">
        <f>SUMIF($D$8:$D$55,$O39,$I$8:$I$55)+SUMIF($F$8:$F$55,$O39,$G$8:$G$55)</f>
        <v>2</v>
      </c>
      <c r="R39" s="46">
        <f>P39-Q39</f>
        <v>7</v>
      </c>
      <c r="S39" s="47">
        <f>SUMIF($D$8:$D$55,$O39,$K$8:$K$55)+SUMIF($F$8:$F$55,$O39,$L$8:$L$55)</f>
        <v>9</v>
      </c>
      <c r="T39" s="94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0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0</v>
      </c>
      <c r="AG39" s="108">
        <f t="shared" si="0"/>
        <v>0</v>
      </c>
      <c r="AH39" s="108">
        <f t="shared" si="1"/>
        <v>0</v>
      </c>
      <c r="AI39" s="108">
        <f t="shared" si="10"/>
        <v>0</v>
      </c>
      <c r="AJ39" s="108">
        <f t="shared" si="2"/>
        <v>0</v>
      </c>
      <c r="AK39" s="108">
        <f t="shared" si="3"/>
        <v>0</v>
      </c>
      <c r="AL39" s="108">
        <f t="shared" si="4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12">
        <v>33</v>
      </c>
      <c r="C40" s="13">
        <v>41813</v>
      </c>
      <c r="D40" s="14" t="s">
        <v>16</v>
      </c>
      <c r="E40" s="15" t="s">
        <v>9</v>
      </c>
      <c r="F40" s="16" t="s">
        <v>13</v>
      </c>
      <c r="G40" s="85">
        <v>0</v>
      </c>
      <c r="H40" s="15" t="s">
        <v>9</v>
      </c>
      <c r="I40" s="90">
        <v>3</v>
      </c>
      <c r="J40" s="17">
        <f t="shared" si="5"/>
        <v>2</v>
      </c>
      <c r="K40" s="11">
        <f t="shared" si="6"/>
        <v>0</v>
      </c>
      <c r="L40" s="11">
        <f t="shared" si="7"/>
        <v>3</v>
      </c>
      <c r="O40" s="48" t="s">
        <v>30</v>
      </c>
      <c r="P40" s="49">
        <f>SUMIF($D$8:$D$55,$O40,$G$8:$G$55)+SUMIF($F$8:$F$55,$O40,$I$8:$I$55)</f>
        <v>3</v>
      </c>
      <c r="Q40" s="49">
        <f>SUMIF($D$8:$D$55,$O40,$I$8:$I$55)+SUMIF($F$8:$F$55,$O40,$G$8:$G$55)</f>
        <v>5</v>
      </c>
      <c r="R40" s="49">
        <f>P40-Q40</f>
        <v>-2</v>
      </c>
      <c r="S40" s="50">
        <f>SUMIF($D$8:$D$55,$O40,$K$8:$K$55)+SUMIF($F$8:$F$55,$O40,$L$8:$L$55)</f>
        <v>3</v>
      </c>
      <c r="T40" s="95" t="s">
        <v>74</v>
      </c>
      <c r="U40" s="40"/>
      <c r="V40" s="40" t="str">
        <f>O40</f>
        <v>Bosnië H.</v>
      </c>
      <c r="W40" s="40" t="s">
        <v>73</v>
      </c>
      <c r="Y40" s="109">
        <f t="shared" si="8"/>
        <v>10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10</v>
      </c>
      <c r="AG40" s="108">
        <f t="shared" si="0"/>
        <v>1</v>
      </c>
      <c r="AH40" s="108">
        <f t="shared" si="1"/>
        <v>1</v>
      </c>
      <c r="AI40" s="108">
        <f t="shared" si="10"/>
        <v>10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18">
        <v>34</v>
      </c>
      <c r="C41" s="19">
        <v>41813</v>
      </c>
      <c r="D41" s="32" t="s">
        <v>14</v>
      </c>
      <c r="E41" s="21" t="s">
        <v>9</v>
      </c>
      <c r="F41" s="30" t="s">
        <v>15</v>
      </c>
      <c r="G41" s="86">
        <v>1</v>
      </c>
      <c r="H41" s="21" t="s">
        <v>9</v>
      </c>
      <c r="I41" s="91">
        <v>2</v>
      </c>
      <c r="J41" s="23">
        <f t="shared" si="5"/>
        <v>2</v>
      </c>
      <c r="K41" s="11">
        <f t="shared" si="6"/>
        <v>0</v>
      </c>
      <c r="L41" s="11">
        <f t="shared" si="7"/>
        <v>3</v>
      </c>
      <c r="O41" s="48" t="s">
        <v>33</v>
      </c>
      <c r="P41" s="49">
        <f>SUMIF($D$8:$D$55,$O41,$G$8:$G$55)+SUMIF($F$8:$F$55,$O41,$I$8:$I$55)</f>
        <v>1</v>
      </c>
      <c r="Q41" s="49">
        <f>SUMIF($D$8:$D$55,$O41,$I$8:$I$55)+SUMIF($F$8:$F$55,$O41,$G$8:$G$55)</f>
        <v>7</v>
      </c>
      <c r="R41" s="49">
        <f>P41-Q41</f>
        <v>-6</v>
      </c>
      <c r="S41" s="50">
        <f>SUMIF($D$8:$D$55,$O41,$K$8:$K$55)+SUMIF($F$8:$F$55,$O41,$L$8:$L$55)</f>
        <v>0</v>
      </c>
      <c r="T41" s="95" t="s">
        <v>75</v>
      </c>
      <c r="U41" s="40"/>
      <c r="V41" s="40" t="str">
        <f>O41</f>
        <v>Iran</v>
      </c>
      <c r="W41" s="40" t="s">
        <v>74</v>
      </c>
      <c r="Y41" s="109">
        <f t="shared" si="8"/>
        <v>0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0</v>
      </c>
      <c r="AG41" s="108">
        <f t="shared" si="0"/>
        <v>0</v>
      </c>
      <c r="AH41" s="108">
        <f t="shared" si="1"/>
        <v>0</v>
      </c>
      <c r="AI41" s="108">
        <f t="shared" si="10"/>
        <v>0</v>
      </c>
      <c r="AJ41" s="108">
        <f t="shared" si="2"/>
        <v>0</v>
      </c>
      <c r="AK41" s="108">
        <f t="shared" si="3"/>
        <v>0</v>
      </c>
      <c r="AL41" s="108">
        <f t="shared" si="4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18">
        <v>35</v>
      </c>
      <c r="C42" s="19">
        <v>41813</v>
      </c>
      <c r="D42" s="20" t="s">
        <v>12</v>
      </c>
      <c r="E42" s="21" t="s">
        <v>9</v>
      </c>
      <c r="F42" s="30" t="s">
        <v>8</v>
      </c>
      <c r="G42" s="86">
        <v>1</v>
      </c>
      <c r="H42" s="21" t="s">
        <v>9</v>
      </c>
      <c r="I42" s="91">
        <v>2</v>
      </c>
      <c r="J42" s="23">
        <f t="shared" si="5"/>
        <v>2</v>
      </c>
      <c r="K42" s="11">
        <f t="shared" si="6"/>
        <v>0</v>
      </c>
      <c r="L42" s="11">
        <f t="shared" si="7"/>
        <v>3</v>
      </c>
      <c r="O42" s="51" t="s">
        <v>34</v>
      </c>
      <c r="P42" s="52">
        <f>SUMIF($D$8:$D$55,$O42,$G$8:$G$55)+SUMIF($F$8:$F$55,$O42,$I$8:$I$55)</f>
        <v>5</v>
      </c>
      <c r="Q42" s="52">
        <f>SUMIF($D$8:$D$55,$O42,$I$8:$I$55)+SUMIF($F$8:$F$55,$O42,$G$8:$G$55)</f>
        <v>4</v>
      </c>
      <c r="R42" s="52">
        <f>P42-Q42</f>
        <v>1</v>
      </c>
      <c r="S42" s="53">
        <f>SUMIF($D$8:$D$55,$O42,$K$8:$K$55)+SUMIF($F$8:$F$55,$O42,$L$8:$L$55)</f>
        <v>6</v>
      </c>
      <c r="T42" s="96" t="s">
        <v>73</v>
      </c>
      <c r="U42" s="40"/>
      <c r="V42" s="40" t="str">
        <f>O42</f>
        <v>Nigeria</v>
      </c>
      <c r="W42" s="40" t="s">
        <v>75</v>
      </c>
      <c r="Y42" s="109">
        <f t="shared" si="8"/>
        <v>6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6</v>
      </c>
      <c r="AG42" s="108">
        <f t="shared" si="0"/>
        <v>1</v>
      </c>
      <c r="AH42" s="108">
        <f t="shared" si="1"/>
        <v>0</v>
      </c>
      <c r="AI42" s="108">
        <f t="shared" si="10"/>
        <v>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24">
        <v>36</v>
      </c>
      <c r="C43" s="25">
        <v>41813</v>
      </c>
      <c r="D43" s="26" t="s">
        <v>10</v>
      </c>
      <c r="E43" s="27" t="s">
        <v>9</v>
      </c>
      <c r="F43" s="28" t="s">
        <v>11</v>
      </c>
      <c r="G43" s="87">
        <v>0</v>
      </c>
      <c r="H43" s="27" t="s">
        <v>9</v>
      </c>
      <c r="I43" s="92">
        <v>0</v>
      </c>
      <c r="J43" s="29">
        <f t="shared" si="5"/>
        <v>3</v>
      </c>
      <c r="K43" s="11">
        <f t="shared" si="6"/>
        <v>1</v>
      </c>
      <c r="L43" s="11">
        <f t="shared" si="7"/>
        <v>1</v>
      </c>
      <c r="O43" s="40"/>
      <c r="P43" s="41"/>
      <c r="Q43" s="41"/>
      <c r="R43" s="41"/>
      <c r="S43" s="41"/>
      <c r="T43" s="41"/>
      <c r="U43" s="40"/>
      <c r="V43" s="40"/>
      <c r="W43" s="40"/>
      <c r="Y43" s="109">
        <f t="shared" si="8"/>
        <v>0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0</v>
      </c>
      <c r="AG43" s="108">
        <f t="shared" si="0"/>
        <v>0</v>
      </c>
      <c r="AH43" s="108">
        <f t="shared" si="1"/>
        <v>0</v>
      </c>
      <c r="AI43" s="108">
        <f t="shared" si="10"/>
        <v>0</v>
      </c>
      <c r="AJ43" s="108">
        <f t="shared" si="2"/>
        <v>0</v>
      </c>
      <c r="AK43" s="108">
        <f t="shared" si="3"/>
        <v>0</v>
      </c>
      <c r="AL43" s="108">
        <f t="shared" si="4"/>
        <v>0</v>
      </c>
      <c r="AN43" s="40"/>
      <c r="AO43" s="41"/>
    </row>
    <row r="44" spans="2:41" ht="15.75" thickBot="1">
      <c r="B44" s="12">
        <v>37</v>
      </c>
      <c r="C44" s="13">
        <v>41814</v>
      </c>
      <c r="D44" s="14" t="s">
        <v>22</v>
      </c>
      <c r="E44" s="15" t="s">
        <v>9</v>
      </c>
      <c r="F44" s="16" t="s">
        <v>19</v>
      </c>
      <c r="G44" s="85">
        <v>1</v>
      </c>
      <c r="H44" s="15" t="s">
        <v>9</v>
      </c>
      <c r="I44" s="90">
        <v>1</v>
      </c>
      <c r="J44" s="17">
        <f t="shared" si="5"/>
        <v>3</v>
      </c>
      <c r="K44" s="11">
        <f t="shared" si="6"/>
        <v>1</v>
      </c>
      <c r="L44" s="11">
        <f t="shared" si="7"/>
        <v>1</v>
      </c>
      <c r="O44" s="72" t="s">
        <v>76</v>
      </c>
      <c r="P44" s="73" t="s">
        <v>42</v>
      </c>
      <c r="Q44" s="73" t="s">
        <v>43</v>
      </c>
      <c r="R44" s="74" t="s">
        <v>44</v>
      </c>
      <c r="S44" s="75" t="s">
        <v>45</v>
      </c>
      <c r="T44" s="76" t="s">
        <v>46</v>
      </c>
      <c r="U44" s="40"/>
      <c r="V44" s="40"/>
      <c r="W44" s="40"/>
      <c r="Y44" s="109">
        <f t="shared" si="8"/>
        <v>1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1</v>
      </c>
      <c r="AG44" s="108">
        <f t="shared" si="0"/>
        <v>0</v>
      </c>
      <c r="AH44" s="108">
        <f t="shared" si="1"/>
        <v>1</v>
      </c>
      <c r="AI44" s="108">
        <f t="shared" si="10"/>
        <v>0</v>
      </c>
      <c r="AJ44" s="108">
        <f t="shared" si="2"/>
        <v>0</v>
      </c>
      <c r="AK44" s="108">
        <f t="shared" si="3"/>
        <v>0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18">
        <v>38</v>
      </c>
      <c r="C45" s="19">
        <v>41814</v>
      </c>
      <c r="D45" s="20" t="s">
        <v>20</v>
      </c>
      <c r="E45" s="21" t="s">
        <v>9</v>
      </c>
      <c r="F45" s="30" t="s">
        <v>21</v>
      </c>
      <c r="G45" s="86">
        <v>0</v>
      </c>
      <c r="H45" s="21" t="s">
        <v>9</v>
      </c>
      <c r="I45" s="91">
        <v>2</v>
      </c>
      <c r="J45" s="23">
        <f t="shared" si="5"/>
        <v>2</v>
      </c>
      <c r="K45" s="11">
        <f t="shared" si="6"/>
        <v>0</v>
      </c>
      <c r="L45" s="11">
        <f t="shared" si="7"/>
        <v>3</v>
      </c>
      <c r="O45" s="44" t="s">
        <v>31</v>
      </c>
      <c r="P45" s="45">
        <f>SUMIF($D$8:$D$55,$O45,$G$8:$G$55)+SUMIF($F$8:$F$55,$O45,$I$8:$I$55)</f>
        <v>7</v>
      </c>
      <c r="Q45" s="45">
        <f>SUMIF($D$8:$D$55,$O45,$I$8:$I$55)+SUMIF($F$8:$F$55,$O45,$G$8:$G$55)</f>
        <v>3</v>
      </c>
      <c r="R45" s="46">
        <f>P45-Q45</f>
        <v>4</v>
      </c>
      <c r="S45" s="47">
        <f>SUMIF($D$8:$D$55,$O45,$K$8:$K$55)+SUMIF($F$8:$F$55,$O45,$L$8:$L$55)</f>
        <v>7</v>
      </c>
      <c r="T45" s="94" t="s">
        <v>77</v>
      </c>
      <c r="U45" s="40"/>
      <c r="V45" s="40" t="str">
        <f>O45</f>
        <v>Duitsland</v>
      </c>
      <c r="W45" s="40" t="s">
        <v>77</v>
      </c>
      <c r="Y45" s="109">
        <f t="shared" si="8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1</v>
      </c>
      <c r="AG45" s="108">
        <f t="shared" si="0"/>
        <v>1</v>
      </c>
      <c r="AH45" s="108">
        <f t="shared" si="1"/>
        <v>0</v>
      </c>
      <c r="AI45" s="108">
        <f t="shared" si="10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18">
        <v>39</v>
      </c>
      <c r="C46" s="19">
        <v>41814</v>
      </c>
      <c r="D46" s="20" t="s">
        <v>24</v>
      </c>
      <c r="E46" s="21" t="s">
        <v>9</v>
      </c>
      <c r="F46" s="30" t="s">
        <v>17</v>
      </c>
      <c r="G46" s="86">
        <v>1</v>
      </c>
      <c r="H46" s="21" t="s">
        <v>9</v>
      </c>
      <c r="I46" s="91">
        <v>1</v>
      </c>
      <c r="J46" s="23">
        <f t="shared" si="5"/>
        <v>3</v>
      </c>
      <c r="K46" s="11">
        <f t="shared" si="6"/>
        <v>1</v>
      </c>
      <c r="L46" s="11">
        <f t="shared" si="7"/>
        <v>1</v>
      </c>
      <c r="O46" s="48" t="s">
        <v>32</v>
      </c>
      <c r="P46" s="49">
        <f>SUMIF($D$8:$D$55,$O46,$G$8:$G$55)+SUMIF($F$8:$F$55,$O46,$I$8:$I$55)</f>
        <v>7</v>
      </c>
      <c r="Q46" s="49">
        <f>SUMIF($D$8:$D$55,$O46,$I$8:$I$55)+SUMIF($F$8:$F$55,$O46,$G$8:$G$55)</f>
        <v>4</v>
      </c>
      <c r="R46" s="49">
        <f>P46-Q46</f>
        <v>3</v>
      </c>
      <c r="S46" s="50">
        <f>SUMIF($D$8:$D$55,$O46,$K$8:$K$55)+SUMIF($F$8:$F$55,$O46,$L$8:$L$55)</f>
        <v>7</v>
      </c>
      <c r="T46" s="95" t="s">
        <v>78</v>
      </c>
      <c r="U46" s="40"/>
      <c r="V46" s="40" t="str">
        <f>O46</f>
        <v>Portugal</v>
      </c>
      <c r="W46" s="40" t="s">
        <v>78</v>
      </c>
      <c r="Y46" s="109">
        <f t="shared" si="8"/>
        <v>1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1</v>
      </c>
      <c r="AG46" s="108">
        <f t="shared" si="0"/>
        <v>1</v>
      </c>
      <c r="AH46" s="108">
        <f t="shared" si="1"/>
        <v>0</v>
      </c>
      <c r="AI46" s="108">
        <f t="shared" si="10"/>
        <v>0</v>
      </c>
      <c r="AJ46" s="108">
        <f t="shared" si="2"/>
        <v>0</v>
      </c>
      <c r="AK46" s="108">
        <f t="shared" si="3"/>
        <v>0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24">
        <v>40</v>
      </c>
      <c r="C47" s="25">
        <v>41814</v>
      </c>
      <c r="D47" s="26" t="s">
        <v>18</v>
      </c>
      <c r="E47" s="27" t="s">
        <v>9</v>
      </c>
      <c r="F47" s="28" t="s">
        <v>23</v>
      </c>
      <c r="G47" s="87">
        <v>0</v>
      </c>
      <c r="H47" s="27" t="s">
        <v>9</v>
      </c>
      <c r="I47" s="92">
        <v>2</v>
      </c>
      <c r="J47" s="29">
        <f t="shared" si="5"/>
        <v>2</v>
      </c>
      <c r="K47" s="11">
        <f t="shared" si="6"/>
        <v>0</v>
      </c>
      <c r="L47" s="11">
        <f t="shared" si="7"/>
        <v>3</v>
      </c>
      <c r="O47" s="48" t="s">
        <v>35</v>
      </c>
      <c r="P47" s="49">
        <f>SUMIF($D$8:$D$55,$O47,$G$8:$G$55)+SUMIF($F$8:$F$55,$O47,$I$8:$I$55)</f>
        <v>4</v>
      </c>
      <c r="Q47" s="49">
        <f>SUMIF($D$8:$D$55,$O47,$I$8:$I$55)+SUMIF($F$8:$F$55,$O47,$G$8:$G$55)</f>
        <v>4</v>
      </c>
      <c r="R47" s="49">
        <f>P47-Q47</f>
        <v>0</v>
      </c>
      <c r="S47" s="50">
        <f>SUMIF($D$8:$D$55,$O47,$K$8:$K$55)+SUMIF($F$8:$F$55,$O47,$L$8:$L$55)</f>
        <v>3</v>
      </c>
      <c r="T47" s="95" t="s">
        <v>79</v>
      </c>
      <c r="U47" s="40"/>
      <c r="V47" s="40" t="str">
        <f>O47</f>
        <v>Ghana</v>
      </c>
      <c r="W47" s="40" t="s">
        <v>79</v>
      </c>
      <c r="Y47" s="109">
        <f t="shared" si="8"/>
        <v>0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0</v>
      </c>
      <c r="AG47" s="108">
        <f t="shared" si="0"/>
        <v>0</v>
      </c>
      <c r="AH47" s="108">
        <f t="shared" si="1"/>
        <v>0</v>
      </c>
      <c r="AI47" s="108">
        <f t="shared" si="10"/>
        <v>0</v>
      </c>
      <c r="AJ47" s="108">
        <f t="shared" si="2"/>
        <v>0</v>
      </c>
      <c r="AK47" s="108">
        <f t="shared" si="3"/>
        <v>0</v>
      </c>
      <c r="AL47" s="108">
        <f t="shared" si="4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12">
        <v>41</v>
      </c>
      <c r="C48" s="13">
        <v>41815</v>
      </c>
      <c r="D48" s="14" t="s">
        <v>34</v>
      </c>
      <c r="E48" s="15" t="s">
        <v>9</v>
      </c>
      <c r="F48" s="16" t="s">
        <v>29</v>
      </c>
      <c r="G48" s="85">
        <v>1</v>
      </c>
      <c r="H48" s="15" t="s">
        <v>9</v>
      </c>
      <c r="I48" s="90">
        <v>2</v>
      </c>
      <c r="J48" s="17">
        <f t="shared" si="5"/>
        <v>2</v>
      </c>
      <c r="K48" s="11">
        <f t="shared" si="6"/>
        <v>0</v>
      </c>
      <c r="L48" s="11">
        <f t="shared" si="7"/>
        <v>3</v>
      </c>
      <c r="O48" s="51" t="s">
        <v>36</v>
      </c>
      <c r="P48" s="52">
        <f>SUMIF($D$8:$D$55,$O48,$G$8:$G$55)+SUMIF($F$8:$F$55,$O48,$I$8:$I$55)</f>
        <v>1</v>
      </c>
      <c r="Q48" s="52">
        <f>SUMIF($D$8:$D$55,$O48,$I$8:$I$55)+SUMIF($F$8:$F$55,$O48,$G$8:$G$55)</f>
        <v>8</v>
      </c>
      <c r="R48" s="52">
        <f>P48-Q48</f>
        <v>-7</v>
      </c>
      <c r="S48" s="53">
        <f>SUMIF($D$8:$D$55,$O48,$K$8:$K$55)+SUMIF($F$8:$F$55,$O48,$L$8:$L$55)</f>
        <v>0</v>
      </c>
      <c r="T48" s="96" t="s">
        <v>80</v>
      </c>
      <c r="U48" s="40"/>
      <c r="V48" s="40" t="str">
        <f>O48</f>
        <v>Verenigde Staten</v>
      </c>
      <c r="W48" s="40" t="s">
        <v>80</v>
      </c>
      <c r="Y48" s="109">
        <f t="shared" si="8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5</v>
      </c>
      <c r="AG48" s="108">
        <f t="shared" si="0"/>
        <v>0</v>
      </c>
      <c r="AH48" s="108">
        <f t="shared" si="1"/>
        <v>0</v>
      </c>
      <c r="AI48" s="108">
        <f t="shared" si="10"/>
        <v>0</v>
      </c>
      <c r="AJ48" s="108">
        <f t="shared" si="2"/>
        <v>0</v>
      </c>
      <c r="AK48" s="108">
        <f t="shared" si="3"/>
        <v>5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18">
        <v>42</v>
      </c>
      <c r="C49" s="19">
        <v>41815</v>
      </c>
      <c r="D49" s="20" t="s">
        <v>30</v>
      </c>
      <c r="E49" s="21" t="s">
        <v>9</v>
      </c>
      <c r="F49" s="30" t="s">
        <v>33</v>
      </c>
      <c r="G49" s="86">
        <v>1</v>
      </c>
      <c r="H49" s="21" t="s">
        <v>9</v>
      </c>
      <c r="I49" s="91">
        <v>0</v>
      </c>
      <c r="J49" s="23">
        <f t="shared" si="5"/>
        <v>1</v>
      </c>
      <c r="K49" s="11">
        <f t="shared" si="6"/>
        <v>3</v>
      </c>
      <c r="L49" s="11">
        <f t="shared" si="7"/>
        <v>0</v>
      </c>
      <c r="O49" s="40"/>
      <c r="P49" s="41"/>
      <c r="Q49" s="41"/>
      <c r="R49" s="41"/>
      <c r="S49" s="41"/>
      <c r="T49" s="41"/>
      <c r="U49" s="40"/>
      <c r="V49" s="40"/>
      <c r="W49" s="40"/>
      <c r="Y49" s="109">
        <f t="shared" si="8"/>
        <v>5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5</v>
      </c>
      <c r="AG49" s="108">
        <f t="shared" si="0"/>
        <v>0</v>
      </c>
      <c r="AH49" s="108">
        <f t="shared" si="1"/>
        <v>0</v>
      </c>
      <c r="AI49" s="108">
        <f t="shared" si="10"/>
        <v>0</v>
      </c>
      <c r="AJ49" s="108">
        <f t="shared" si="2"/>
        <v>5</v>
      </c>
      <c r="AK49" s="108">
        <f t="shared" si="3"/>
        <v>0</v>
      </c>
      <c r="AL49" s="108">
        <f t="shared" si="4"/>
        <v>0</v>
      </c>
      <c r="AN49" s="40"/>
      <c r="AO49" s="41"/>
    </row>
    <row r="50" spans="2:54" ht="15.75" thickBot="1">
      <c r="B50" s="18">
        <v>43</v>
      </c>
      <c r="C50" s="19">
        <v>41815</v>
      </c>
      <c r="D50" s="20" t="s">
        <v>28</v>
      </c>
      <c r="E50" s="21" t="s">
        <v>9</v>
      </c>
      <c r="F50" s="30" t="s">
        <v>25</v>
      </c>
      <c r="G50" s="86">
        <v>0</v>
      </c>
      <c r="H50" s="21" t="s">
        <v>9</v>
      </c>
      <c r="I50" s="91">
        <v>2</v>
      </c>
      <c r="J50" s="23">
        <f t="shared" si="5"/>
        <v>2</v>
      </c>
      <c r="K50" s="11">
        <f t="shared" si="6"/>
        <v>0</v>
      </c>
      <c r="L50" s="11">
        <f t="shared" si="7"/>
        <v>3</v>
      </c>
      <c r="O50" s="72" t="s">
        <v>81</v>
      </c>
      <c r="P50" s="73" t="s">
        <v>42</v>
      </c>
      <c r="Q50" s="73" t="s">
        <v>43</v>
      </c>
      <c r="R50" s="74" t="s">
        <v>44</v>
      </c>
      <c r="S50" s="75" t="s">
        <v>45</v>
      </c>
      <c r="T50" s="76" t="s">
        <v>46</v>
      </c>
      <c r="U50" s="40"/>
      <c r="V50" s="40"/>
      <c r="W50" s="40"/>
      <c r="Y50" s="109">
        <f t="shared" si="8"/>
        <v>6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6</v>
      </c>
      <c r="AG50" s="108">
        <f t="shared" si="0"/>
        <v>1</v>
      </c>
      <c r="AH50" s="108">
        <f t="shared" si="1"/>
        <v>0</v>
      </c>
      <c r="AI50" s="108">
        <f t="shared" si="10"/>
        <v>0</v>
      </c>
      <c r="AJ50" s="108">
        <f t="shared" si="2"/>
        <v>0</v>
      </c>
      <c r="AK50" s="108">
        <f t="shared" si="3"/>
        <v>5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24">
        <v>44</v>
      </c>
      <c r="C51" s="25">
        <v>41815</v>
      </c>
      <c r="D51" s="26" t="s">
        <v>26</v>
      </c>
      <c r="E51" s="27" t="s">
        <v>9</v>
      </c>
      <c r="F51" s="28" t="s">
        <v>27</v>
      </c>
      <c r="G51" s="87">
        <v>1</v>
      </c>
      <c r="H51" s="27" t="s">
        <v>9</v>
      </c>
      <c r="I51" s="92">
        <v>2</v>
      </c>
      <c r="J51" s="29">
        <f t="shared" si="5"/>
        <v>2</v>
      </c>
      <c r="K51" s="11">
        <f t="shared" si="6"/>
        <v>0</v>
      </c>
      <c r="L51" s="11">
        <f>IF(I51="","",IF($G51&lt;$I51,3,IF($G51=$I51,1,0)))</f>
        <v>3</v>
      </c>
      <c r="O51" s="44" t="s">
        <v>37</v>
      </c>
      <c r="P51" s="45">
        <f>SUMIF($D$8:$D$55,$O51,$G$8:$G$55)+SUMIF($F$8:$F$55,$O51,$I$8:$I$55)</f>
        <v>5</v>
      </c>
      <c r="Q51" s="45">
        <f>SUMIF($D$8:$D$55,$O51,$I$8:$I$55)+SUMIF($F$8:$F$55,$O51,$G$8:$G$55)</f>
        <v>2</v>
      </c>
      <c r="R51" s="46">
        <f>P51-Q51</f>
        <v>3</v>
      </c>
      <c r="S51" s="47">
        <f>SUMIF($D$8:$D$55,$O51,$K$8:$K$55)+SUMIF($F$8:$F$55,$O51,$L$8:$L$55)</f>
        <v>7</v>
      </c>
      <c r="T51" s="94" t="s">
        <v>82</v>
      </c>
      <c r="U51" s="40"/>
      <c r="V51" s="40" t="str">
        <f>O51</f>
        <v>België</v>
      </c>
      <c r="W51" s="40" t="s">
        <v>82</v>
      </c>
      <c r="Y51" s="109">
        <f t="shared" si="8"/>
        <v>0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0</v>
      </c>
      <c r="AG51" s="108">
        <f t="shared" si="0"/>
        <v>0</v>
      </c>
      <c r="AH51" s="108">
        <f t="shared" si="1"/>
        <v>0</v>
      </c>
      <c r="AI51" s="108">
        <f t="shared" si="10"/>
        <v>0</v>
      </c>
      <c r="AJ51" s="108">
        <f t="shared" si="2"/>
        <v>0</v>
      </c>
      <c r="AK51" s="108">
        <f t="shared" si="3"/>
        <v>0</v>
      </c>
      <c r="AL51" s="108">
        <f t="shared" si="4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18">
        <v>45</v>
      </c>
      <c r="C52" s="19">
        <v>41816</v>
      </c>
      <c r="D52" s="20" t="s">
        <v>36</v>
      </c>
      <c r="E52" s="21" t="s">
        <v>9</v>
      </c>
      <c r="F52" s="30" t="s">
        <v>31</v>
      </c>
      <c r="G52" s="86">
        <v>0</v>
      </c>
      <c r="H52" s="21" t="s">
        <v>9</v>
      </c>
      <c r="I52" s="91">
        <v>3</v>
      </c>
      <c r="J52" s="17">
        <f t="shared" si="5"/>
        <v>2</v>
      </c>
      <c r="K52" s="11">
        <f t="shared" si="6"/>
        <v>0</v>
      </c>
      <c r="L52" s="11">
        <f t="shared" si="7"/>
        <v>3</v>
      </c>
      <c r="O52" s="48" t="s">
        <v>38</v>
      </c>
      <c r="P52" s="49">
        <f>SUMIF($D$8:$D$55,$O52,$G$8:$G$55)+SUMIF($F$8:$F$55,$O52,$I$8:$I$55)</f>
        <v>2</v>
      </c>
      <c r="Q52" s="49">
        <f>SUMIF($D$8:$D$55,$O52,$I$8:$I$55)+SUMIF($F$8:$F$55,$O52,$G$8:$G$55)</f>
        <v>5</v>
      </c>
      <c r="R52" s="49">
        <f>P52-Q52</f>
        <v>-3</v>
      </c>
      <c r="S52" s="50">
        <f>SUMIF($D$8:$D$55,$O52,$K$8:$K$55)+SUMIF($F$8:$F$55,$O52,$L$8:$L$55)</f>
        <v>1</v>
      </c>
      <c r="T52" s="95" t="s">
        <v>85</v>
      </c>
      <c r="U52" s="40"/>
      <c r="V52" s="40" t="str">
        <f>O52</f>
        <v>Algerije</v>
      </c>
      <c r="W52" s="40" t="s">
        <v>83</v>
      </c>
      <c r="Y52" s="109">
        <f t="shared" si="8"/>
        <v>6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6</v>
      </c>
      <c r="AG52" s="108">
        <f t="shared" si="0"/>
        <v>1</v>
      </c>
      <c r="AH52" s="108">
        <f t="shared" si="1"/>
        <v>0</v>
      </c>
      <c r="AI52" s="108">
        <f t="shared" si="10"/>
        <v>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18">
        <v>46</v>
      </c>
      <c r="C53" s="19">
        <v>41816</v>
      </c>
      <c r="D53" s="20" t="s">
        <v>32</v>
      </c>
      <c r="E53" s="21" t="s">
        <v>9</v>
      </c>
      <c r="F53" s="30" t="s">
        <v>35</v>
      </c>
      <c r="G53" s="86">
        <v>2</v>
      </c>
      <c r="H53" s="21" t="s">
        <v>9</v>
      </c>
      <c r="I53" s="91">
        <v>1</v>
      </c>
      <c r="J53" s="23">
        <f t="shared" si="5"/>
        <v>1</v>
      </c>
      <c r="K53" s="11">
        <f t="shared" si="6"/>
        <v>3</v>
      </c>
      <c r="L53" s="11">
        <f t="shared" si="7"/>
        <v>0</v>
      </c>
      <c r="O53" s="48" t="s">
        <v>39</v>
      </c>
      <c r="P53" s="49">
        <f>SUMIF($D$8:$D$55,$O53,$G$8:$G$55)+SUMIF($F$8:$F$55,$O53,$I$8:$I$55)</f>
        <v>3</v>
      </c>
      <c r="Q53" s="49">
        <f>SUMIF($D$8:$D$55,$O53,$I$8:$I$55)+SUMIF($F$8:$F$55,$O53,$G$8:$G$55)</f>
        <v>2</v>
      </c>
      <c r="R53" s="49">
        <f>P53-Q53</f>
        <v>1</v>
      </c>
      <c r="S53" s="50">
        <f>SUMIF($D$8:$D$55,$O53,$K$8:$K$55)+SUMIF($F$8:$F$55,$O53,$L$8:$L$55)</f>
        <v>5</v>
      </c>
      <c r="T53" s="95" t="s">
        <v>83</v>
      </c>
      <c r="U53" s="40"/>
      <c r="V53" s="40" t="str">
        <f>O53</f>
        <v>Rusland</v>
      </c>
      <c r="W53" s="40" t="s">
        <v>84</v>
      </c>
      <c r="Y53" s="109">
        <f t="shared" si="8"/>
        <v>10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10</v>
      </c>
      <c r="AG53" s="108">
        <f t="shared" si="0"/>
        <v>1</v>
      </c>
      <c r="AH53" s="108">
        <f t="shared" si="1"/>
        <v>1</v>
      </c>
      <c r="AI53" s="108">
        <f t="shared" si="10"/>
        <v>10</v>
      </c>
      <c r="AJ53" s="108">
        <f t="shared" si="2"/>
        <v>5</v>
      </c>
      <c r="AK53" s="108">
        <f t="shared" si="3"/>
        <v>0</v>
      </c>
      <c r="AL53" s="108">
        <f t="shared" si="4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18">
        <v>47</v>
      </c>
      <c r="C54" s="19">
        <v>41816</v>
      </c>
      <c r="D54" s="20" t="s">
        <v>40</v>
      </c>
      <c r="E54" s="21" t="s">
        <v>9</v>
      </c>
      <c r="F54" s="30" t="s">
        <v>37</v>
      </c>
      <c r="G54" s="86">
        <v>1</v>
      </c>
      <c r="H54" s="21" t="s">
        <v>9</v>
      </c>
      <c r="I54" s="91">
        <v>2</v>
      </c>
      <c r="J54" s="23">
        <f t="shared" si="5"/>
        <v>2</v>
      </c>
      <c r="K54" s="11">
        <f t="shared" si="6"/>
        <v>0</v>
      </c>
      <c r="L54" s="11">
        <f t="shared" si="7"/>
        <v>3</v>
      </c>
      <c r="O54" s="51" t="s">
        <v>40</v>
      </c>
      <c r="P54" s="52">
        <f>SUMIF($D$8:$D$55,$O54,$G$8:$G$55)+SUMIF($F$8:$F$55,$O54,$I$8:$I$55)</f>
        <v>3</v>
      </c>
      <c r="Q54" s="52">
        <f>SUMIF($D$8:$D$55,$O54,$I$8:$I$55)+SUMIF($F$8:$F$55,$O54,$G$8:$G$55)</f>
        <v>4</v>
      </c>
      <c r="R54" s="52">
        <f>P54-Q54</f>
        <v>-1</v>
      </c>
      <c r="S54" s="53">
        <f>SUMIF($D$8:$D$55,$O54,$K$8:$K$55)+SUMIF($F$8:$F$55,$O54,$L$8:$L$55)</f>
        <v>3</v>
      </c>
      <c r="T54" s="96" t="s">
        <v>84</v>
      </c>
      <c r="U54" s="40"/>
      <c r="V54" s="40" t="str">
        <f>O54</f>
        <v>Zuid Korea</v>
      </c>
      <c r="W54" s="40" t="s">
        <v>85</v>
      </c>
      <c r="Y54" s="109">
        <f t="shared" si="8"/>
        <v>5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5</v>
      </c>
      <c r="AG54" s="108">
        <f t="shared" si="0"/>
        <v>0</v>
      </c>
      <c r="AH54" s="108">
        <f t="shared" si="1"/>
        <v>0</v>
      </c>
      <c r="AI54" s="108">
        <f t="shared" si="10"/>
        <v>0</v>
      </c>
      <c r="AJ54" s="108">
        <f t="shared" si="2"/>
        <v>0</v>
      </c>
      <c r="AK54" s="108">
        <f t="shared" si="3"/>
        <v>5</v>
      </c>
      <c r="AL54" s="108">
        <f t="shared" si="4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3">
        <v>48</v>
      </c>
      <c r="C55" s="34">
        <v>41816</v>
      </c>
      <c r="D55" s="35" t="s">
        <v>38</v>
      </c>
      <c r="E55" s="36" t="s">
        <v>9</v>
      </c>
      <c r="F55" s="37" t="s">
        <v>39</v>
      </c>
      <c r="G55" s="88">
        <v>1</v>
      </c>
      <c r="H55" s="36" t="s">
        <v>9</v>
      </c>
      <c r="I55" s="93">
        <v>1</v>
      </c>
      <c r="J55" s="38">
        <f t="shared" si="5"/>
        <v>3</v>
      </c>
      <c r="K55" s="11">
        <f t="shared" si="6"/>
        <v>1</v>
      </c>
      <c r="L55" s="11">
        <f t="shared" si="7"/>
        <v>1</v>
      </c>
      <c r="O55" s="40"/>
      <c r="P55" s="41"/>
      <c r="Q55" s="41"/>
      <c r="R55" s="41"/>
      <c r="S55" s="41"/>
      <c r="T55" s="41"/>
      <c r="U55" s="40"/>
      <c r="V55" s="40"/>
      <c r="W55" s="40"/>
      <c r="Y55" s="109">
        <f t="shared" si="8"/>
        <v>10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10</v>
      </c>
      <c r="AG55" s="108">
        <f t="shared" si="0"/>
        <v>1</v>
      </c>
      <c r="AH55" s="108">
        <f t="shared" si="1"/>
        <v>1</v>
      </c>
      <c r="AI55" s="108">
        <f t="shared" si="10"/>
        <v>10</v>
      </c>
      <c r="AJ55" s="108">
        <f t="shared" si="2"/>
        <v>0</v>
      </c>
      <c r="AK55" s="108">
        <f t="shared" si="3"/>
        <v>0</v>
      </c>
      <c r="AL55" s="108">
        <f t="shared" si="4"/>
        <v>5</v>
      </c>
    </row>
    <row r="56" spans="2:54" ht="15.75" thickBot="1">
      <c r="B56" s="1"/>
      <c r="C56" s="39"/>
      <c r="D56" s="40"/>
      <c r="E56" s="1"/>
      <c r="F56" s="40"/>
      <c r="G56" s="1"/>
      <c r="H56" s="1"/>
      <c r="I56" s="1"/>
      <c r="J56" s="1"/>
      <c r="K56" s="1"/>
      <c r="L56" s="1"/>
      <c r="M56" s="1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195"/>
      <c r="K57" s="1"/>
      <c r="L57" s="1"/>
      <c r="M57" s="1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78" t="s">
        <v>1</v>
      </c>
      <c r="C58" s="79" t="s">
        <v>2</v>
      </c>
      <c r="D58" s="187" t="s">
        <v>3</v>
      </c>
      <c r="E58" s="81"/>
      <c r="F58" s="194" t="s">
        <v>4</v>
      </c>
      <c r="G58" s="867" t="s">
        <v>5</v>
      </c>
      <c r="H58" s="868"/>
      <c r="I58" s="869"/>
      <c r="J58" s="83" t="s">
        <v>6</v>
      </c>
      <c r="K58" s="1"/>
      <c r="L58" s="1"/>
      <c r="M58" s="1"/>
      <c r="O58" s="135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12">
        <v>49</v>
      </c>
      <c r="C59" s="189">
        <v>41818</v>
      </c>
      <c r="D59" s="153" t="str">
        <f>IF(ISERROR(Z59),K59,Z59)</f>
        <v>Brazilië</v>
      </c>
      <c r="E59" s="15" t="s">
        <v>9</v>
      </c>
      <c r="F59" s="56" t="str">
        <f>IF(ISERROR(AA59),L59,AA59)</f>
        <v>Chili</v>
      </c>
      <c r="G59" s="85">
        <v>2</v>
      </c>
      <c r="H59" s="15" t="s">
        <v>9</v>
      </c>
      <c r="I59" s="97">
        <v>0</v>
      </c>
      <c r="J59" s="98">
        <v>1</v>
      </c>
      <c r="K59" s="57" t="s">
        <v>48</v>
      </c>
      <c r="L59" s="57" t="s">
        <v>53</v>
      </c>
      <c r="M59" s="57">
        <v>1</v>
      </c>
      <c r="O59" s="135">
        <v>2</v>
      </c>
      <c r="P59" s="877" t="s">
        <v>220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3">AF59</f>
        <v>0</v>
      </c>
      <c r="Z59" t="str">
        <f t="shared" ref="Z59:AA65" si="14">IF(K59=""," ",VLOOKUP(K59,$T$9:$V$54,3,FALSE))</f>
        <v>Brazilië</v>
      </c>
      <c r="AA59" t="str">
        <f t="shared" si="14"/>
        <v>Chili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0</v>
      </c>
      <c r="AG59" s="108">
        <f t="shared" ref="AG59:AG66" si="16">IF(AC59="",0,(IF(G59=AC59,1,0)))</f>
        <v>0</v>
      </c>
      <c r="AH59" s="108">
        <f t="shared" ref="AH59:AH66" si="17">IF(AD59="",0,(IF(I59=AD59,1,0)))</f>
        <v>0</v>
      </c>
      <c r="AI59" s="108">
        <f t="shared" ref="AI59:AI66" si="18">IF(AND(AG59=1,AH59=1),10,0)</f>
        <v>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24">
        <v>50</v>
      </c>
      <c r="C60" s="190">
        <v>41818</v>
      </c>
      <c r="D60" s="154" t="str">
        <f t="shared" ref="D60:D66" si="23">IF(ISERROR(Z60),K60,Z60)</f>
        <v>Ivoorkust</v>
      </c>
      <c r="E60" s="27" t="s">
        <v>9</v>
      </c>
      <c r="F60" s="59" t="str">
        <f t="shared" ref="F60:F66" si="24">IF(ISERROR(AA60),L60,AA60)</f>
        <v>Uruguay</v>
      </c>
      <c r="G60" s="87">
        <v>1</v>
      </c>
      <c r="H60" s="27" t="s">
        <v>9</v>
      </c>
      <c r="I60" s="99">
        <v>2</v>
      </c>
      <c r="J60" s="100">
        <v>2</v>
      </c>
      <c r="K60" s="57" t="s">
        <v>57</v>
      </c>
      <c r="L60" s="57" t="s">
        <v>63</v>
      </c>
      <c r="M60" s="57">
        <v>2</v>
      </c>
      <c r="O60" s="135">
        <v>3</v>
      </c>
      <c r="P60" s="877" t="s">
        <v>225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3"/>
        <v>0</v>
      </c>
      <c r="Z60" t="str">
        <f t="shared" si="14"/>
        <v>Ivoorkust</v>
      </c>
      <c r="AA60" t="str">
        <f t="shared" si="14"/>
        <v>Uruguay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0</v>
      </c>
      <c r="AG60" s="108">
        <f t="shared" si="16"/>
        <v>0</v>
      </c>
      <c r="AH60" s="108">
        <f t="shared" si="17"/>
        <v>0</v>
      </c>
      <c r="AI60" s="108">
        <f t="shared" si="18"/>
        <v>0</v>
      </c>
      <c r="AJ60" s="108">
        <f t="shared" si="19"/>
        <v>0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2"/>
        <v>3</v>
      </c>
    </row>
    <row r="61" spans="2:54">
      <c r="B61" s="12">
        <v>51</v>
      </c>
      <c r="C61" s="189">
        <v>41819</v>
      </c>
      <c r="D61" s="188" t="str">
        <f t="shared" si="23"/>
        <v>Spanje</v>
      </c>
      <c r="E61" s="15" t="s">
        <v>9</v>
      </c>
      <c r="F61" s="56" t="str">
        <f t="shared" si="24"/>
        <v>Kroatië</v>
      </c>
      <c r="G61" s="85">
        <v>3</v>
      </c>
      <c r="H61" s="15" t="s">
        <v>9</v>
      </c>
      <c r="I61" s="97">
        <v>1</v>
      </c>
      <c r="J61" s="98">
        <v>1</v>
      </c>
      <c r="K61" s="57" t="s">
        <v>52</v>
      </c>
      <c r="L61" s="57" t="s">
        <v>49</v>
      </c>
      <c r="M61" s="57"/>
      <c r="O61" s="135">
        <v>4</v>
      </c>
      <c r="P61" s="877" t="s">
        <v>211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3"/>
        <v>6</v>
      </c>
      <c r="Z61" t="str">
        <f t="shared" si="14"/>
        <v>Spanje</v>
      </c>
      <c r="AA61" t="str">
        <f t="shared" si="14"/>
        <v>Kroatië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6</v>
      </c>
      <c r="AG61" s="108">
        <f t="shared" si="16"/>
        <v>0</v>
      </c>
      <c r="AH61" s="108">
        <f t="shared" si="17"/>
        <v>1</v>
      </c>
      <c r="AI61" s="108">
        <f t="shared" si="18"/>
        <v>0</v>
      </c>
      <c r="AJ61" s="108">
        <f t="shared" si="19"/>
        <v>5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3</v>
      </c>
      <c r="BB61" s="139">
        <f t="shared" si="22"/>
        <v>3</v>
      </c>
    </row>
    <row r="62" spans="2:54">
      <c r="B62" s="24">
        <v>52</v>
      </c>
      <c r="C62" s="190">
        <v>41819</v>
      </c>
      <c r="D62" s="188" t="str">
        <f t="shared" si="23"/>
        <v>Italië</v>
      </c>
      <c r="E62" s="27" t="s">
        <v>9</v>
      </c>
      <c r="F62" s="59" t="str">
        <f t="shared" si="24"/>
        <v>Colombia</v>
      </c>
      <c r="G62" s="87">
        <v>1</v>
      </c>
      <c r="H62" s="27" t="s">
        <v>9</v>
      </c>
      <c r="I62" s="99">
        <v>0</v>
      </c>
      <c r="J62" s="100">
        <v>1</v>
      </c>
      <c r="K62" s="57" t="s">
        <v>62</v>
      </c>
      <c r="L62" s="57" t="s">
        <v>58</v>
      </c>
      <c r="M62" s="57"/>
      <c r="O62" s="135">
        <v>5</v>
      </c>
      <c r="P62" s="877" t="s">
        <v>234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3"/>
        <v>1</v>
      </c>
      <c r="Z62" t="str">
        <f t="shared" si="14"/>
        <v>Italië</v>
      </c>
      <c r="AA62" t="str">
        <f t="shared" si="14"/>
        <v>Colombia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1</v>
      </c>
      <c r="AG62" s="108">
        <f t="shared" si="16"/>
        <v>1</v>
      </c>
      <c r="AH62" s="108">
        <f t="shared" si="17"/>
        <v>0</v>
      </c>
      <c r="AI62" s="108">
        <f t="shared" si="18"/>
        <v>0</v>
      </c>
      <c r="AJ62" s="108">
        <f t="shared" si="19"/>
        <v>0</v>
      </c>
      <c r="AK62" s="108">
        <f t="shared" si="20"/>
        <v>0</v>
      </c>
      <c r="AL62" s="108">
        <f t="shared" si="21"/>
        <v>0</v>
      </c>
      <c r="AZ62" s="138" t="str">
        <f>Uitslag!P62</f>
        <v>Bruno Martins Indi (v)</v>
      </c>
      <c r="BA62" s="140">
        <f t="shared" si="12"/>
        <v>0</v>
      </c>
      <c r="BB62" s="139">
        <f t="shared" si="22"/>
        <v>0</v>
      </c>
    </row>
    <row r="63" spans="2:54">
      <c r="B63" s="12">
        <v>53</v>
      </c>
      <c r="C63" s="189">
        <v>41820</v>
      </c>
      <c r="D63" s="153" t="str">
        <f t="shared" si="23"/>
        <v>Frankrijk</v>
      </c>
      <c r="E63" s="15" t="s">
        <v>9</v>
      </c>
      <c r="F63" s="56" t="str">
        <f t="shared" si="24"/>
        <v>Nigeria</v>
      </c>
      <c r="G63" s="85">
        <v>2</v>
      </c>
      <c r="H63" s="15" t="s">
        <v>9</v>
      </c>
      <c r="I63" s="97">
        <v>1</v>
      </c>
      <c r="J63" s="98">
        <v>1</v>
      </c>
      <c r="K63" s="57" t="s">
        <v>67</v>
      </c>
      <c r="L63" s="57" t="s">
        <v>73</v>
      </c>
      <c r="M63" s="57"/>
      <c r="O63" s="135">
        <v>6</v>
      </c>
      <c r="P63" s="877" t="s">
        <v>212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3"/>
        <v>6</v>
      </c>
      <c r="Z63" t="str">
        <f t="shared" si="14"/>
        <v>Frankrijk</v>
      </c>
      <c r="AA63" t="str">
        <f t="shared" si="14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6</v>
      </c>
      <c r="AG63" s="108">
        <f t="shared" si="16"/>
        <v>1</v>
      </c>
      <c r="AH63" s="108">
        <f t="shared" si="17"/>
        <v>0</v>
      </c>
      <c r="AI63" s="108">
        <f t="shared" si="18"/>
        <v>0</v>
      </c>
      <c r="AJ63" s="108">
        <f t="shared" si="19"/>
        <v>5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3</v>
      </c>
      <c r="BB63" s="139">
        <f t="shared" si="22"/>
        <v>3</v>
      </c>
    </row>
    <row r="64" spans="2:54">
      <c r="B64" s="24">
        <v>54</v>
      </c>
      <c r="C64" s="190">
        <v>41820</v>
      </c>
      <c r="D64" s="154" t="str">
        <f t="shared" si="23"/>
        <v>Duitsland</v>
      </c>
      <c r="E64" s="27" t="s">
        <v>9</v>
      </c>
      <c r="F64" s="59" t="str">
        <f t="shared" si="24"/>
        <v>Rusland</v>
      </c>
      <c r="G64" s="87">
        <v>2</v>
      </c>
      <c r="H64" s="27" t="s">
        <v>9</v>
      </c>
      <c r="I64" s="99">
        <v>0</v>
      </c>
      <c r="J64" s="100">
        <v>1</v>
      </c>
      <c r="K64" s="57" t="s">
        <v>77</v>
      </c>
      <c r="L64" s="57" t="s">
        <v>83</v>
      </c>
      <c r="M64" s="57"/>
      <c r="O64" s="135">
        <v>7</v>
      </c>
      <c r="P64" s="877" t="s">
        <v>213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3"/>
        <v>1</v>
      </c>
      <c r="Z64" t="str">
        <f t="shared" si="14"/>
        <v>Duitsland</v>
      </c>
      <c r="AA64" t="str">
        <f t="shared" si="14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1</v>
      </c>
      <c r="AG64" s="108">
        <f t="shared" si="16"/>
        <v>0</v>
      </c>
      <c r="AH64" s="108">
        <f t="shared" si="17"/>
        <v>1</v>
      </c>
      <c r="AI64" s="108">
        <f t="shared" si="18"/>
        <v>0</v>
      </c>
      <c r="AJ64" s="108">
        <f t="shared" si="19"/>
        <v>0</v>
      </c>
      <c r="AK64" s="108">
        <f t="shared" si="20"/>
        <v>0</v>
      </c>
      <c r="AL64" s="108">
        <f t="shared" si="21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2"/>
        <v>3</v>
      </c>
    </row>
    <row r="65" spans="2:54">
      <c r="B65" s="18">
        <v>55</v>
      </c>
      <c r="C65" s="191">
        <v>41821</v>
      </c>
      <c r="D65" s="153" t="str">
        <f t="shared" si="23"/>
        <v>Argentinië</v>
      </c>
      <c r="E65" s="21" t="s">
        <v>9</v>
      </c>
      <c r="F65" s="60" t="str">
        <f t="shared" si="24"/>
        <v>Ecuador</v>
      </c>
      <c r="G65" s="86">
        <v>2</v>
      </c>
      <c r="H65" s="21" t="s">
        <v>9</v>
      </c>
      <c r="I65" s="101">
        <v>1</v>
      </c>
      <c r="J65" s="102">
        <v>1</v>
      </c>
      <c r="K65" s="57" t="s">
        <v>72</v>
      </c>
      <c r="L65" s="57" t="s">
        <v>68</v>
      </c>
      <c r="M65" s="57"/>
      <c r="O65" s="135">
        <v>8</v>
      </c>
      <c r="P65" s="877" t="s">
        <v>229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3"/>
        <v>0</v>
      </c>
      <c r="Z65" t="str">
        <f t="shared" si="14"/>
        <v>Argentinië</v>
      </c>
      <c r="AA65" t="str">
        <f t="shared" si="14"/>
        <v>Ecuador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0</v>
      </c>
      <c r="AG65" s="108">
        <f t="shared" si="16"/>
        <v>0</v>
      </c>
      <c r="AH65" s="108">
        <f t="shared" si="17"/>
        <v>0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0</v>
      </c>
      <c r="AZ65" s="138" t="str">
        <f>Uitslag!P65</f>
        <v>Nigel de Jong (m)</v>
      </c>
      <c r="BA65" s="140">
        <f t="shared" si="12"/>
        <v>0</v>
      </c>
      <c r="BB65" s="139">
        <f t="shared" si="22"/>
        <v>0</v>
      </c>
    </row>
    <row r="66" spans="2:54" ht="15.75" thickBot="1">
      <c r="B66" s="33">
        <v>56</v>
      </c>
      <c r="C66" s="186">
        <v>41821</v>
      </c>
      <c r="D66" s="155" t="str">
        <f t="shared" si="23"/>
        <v>België</v>
      </c>
      <c r="E66" s="36" t="s">
        <v>9</v>
      </c>
      <c r="F66" s="62" t="str">
        <f t="shared" si="24"/>
        <v>Portugal</v>
      </c>
      <c r="G66" s="88">
        <v>2</v>
      </c>
      <c r="H66" s="36" t="s">
        <v>9</v>
      </c>
      <c r="I66" s="103">
        <v>3</v>
      </c>
      <c r="J66" s="104">
        <v>2</v>
      </c>
      <c r="K66" s="57" t="s">
        <v>82</v>
      </c>
      <c r="L66" s="57" t="s">
        <v>78</v>
      </c>
      <c r="M66" s="57"/>
      <c r="O66" s="135">
        <v>9</v>
      </c>
      <c r="P66" s="877" t="s">
        <v>214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3"/>
        <v>0</v>
      </c>
      <c r="Z66" t="str">
        <f>IF(K66=""," ",VLOOKUP(K66,$T$9:$V$54,3,FALSE))</f>
        <v>België</v>
      </c>
      <c r="AA66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0</v>
      </c>
      <c r="AG66" s="108">
        <f t="shared" si="16"/>
        <v>0</v>
      </c>
      <c r="AH66" s="108">
        <f t="shared" si="17"/>
        <v>0</v>
      </c>
      <c r="AI66" s="108">
        <f t="shared" si="18"/>
        <v>0</v>
      </c>
      <c r="AJ66" s="108">
        <f t="shared" si="19"/>
        <v>0</v>
      </c>
      <c r="AK66" s="108">
        <f t="shared" si="20"/>
        <v>0</v>
      </c>
      <c r="AL66" s="108">
        <f t="shared" si="21"/>
        <v>0</v>
      </c>
      <c r="AZ66" s="138" t="str">
        <f>Uitslag!P66</f>
        <v>Jonathan de Guzman (m)</v>
      </c>
      <c r="BA66" s="140">
        <f t="shared" si="12"/>
        <v>3</v>
      </c>
      <c r="BB66" s="139">
        <f t="shared" si="22"/>
        <v>3</v>
      </c>
    </row>
    <row r="67" spans="2:54" ht="15.75" thickBot="1">
      <c r="B67" s="1"/>
      <c r="C67" s="39"/>
      <c r="D67" s="40"/>
      <c r="E67" s="1"/>
      <c r="F67" s="40"/>
      <c r="G67" s="1"/>
      <c r="H67" s="1"/>
      <c r="I67" s="1"/>
      <c r="J67" s="1"/>
      <c r="K67" s="1"/>
      <c r="L67" s="1"/>
      <c r="M67" s="1"/>
      <c r="O67" s="135">
        <v>10</v>
      </c>
      <c r="P67" s="877" t="s">
        <v>216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2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195"/>
      <c r="K68" s="1"/>
      <c r="L68" s="1"/>
      <c r="M68" s="1"/>
      <c r="O68" s="135">
        <v>11</v>
      </c>
      <c r="P68" s="877" t="s">
        <v>215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2"/>
        <v>3</v>
      </c>
    </row>
    <row r="69" spans="2:54">
      <c r="B69" s="78" t="s">
        <v>1</v>
      </c>
      <c r="C69" s="79" t="s">
        <v>2</v>
      </c>
      <c r="D69" s="193" t="s">
        <v>3</v>
      </c>
      <c r="E69" s="81"/>
      <c r="F69" s="194" t="s">
        <v>4</v>
      </c>
      <c r="G69" s="867" t="s">
        <v>5</v>
      </c>
      <c r="H69" s="868"/>
      <c r="I69" s="869"/>
      <c r="J69" s="83" t="s">
        <v>6</v>
      </c>
      <c r="K69" s="1"/>
      <c r="L69" s="1"/>
      <c r="M69" s="1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27</v>
      </c>
      <c r="BB69" s="139" t="str">
        <f>IF(AND(BA69&lt;&gt;"",BA69=33),15,"nvt")</f>
        <v>nvt</v>
      </c>
    </row>
    <row r="70" spans="2:54">
      <c r="B70" s="12">
        <v>57</v>
      </c>
      <c r="C70" s="13">
        <v>41824</v>
      </c>
      <c r="D70" s="55" t="str">
        <f>IF(J63="","Winnaar 53",IF(J63=1,D63,F63))</f>
        <v>Frankrijk</v>
      </c>
      <c r="E70" s="15" t="s">
        <v>9</v>
      </c>
      <c r="F70" s="56" t="str">
        <f>IF(J64="","Winnaar 54",IF(J64=1,D64,F64))</f>
        <v>Duitsland</v>
      </c>
      <c r="G70" s="85">
        <v>2</v>
      </c>
      <c r="H70" s="15" t="s">
        <v>9</v>
      </c>
      <c r="I70" s="97">
        <v>1</v>
      </c>
      <c r="J70" s="98">
        <v>1</v>
      </c>
      <c r="K70" s="1"/>
      <c r="L70" s="1"/>
      <c r="M70" s="1"/>
      <c r="V70" t="s">
        <v>133</v>
      </c>
      <c r="W70" t="s">
        <v>126</v>
      </c>
      <c r="X70" t="str">
        <f t="shared" si="11"/>
        <v>Karim Rekik (v)</v>
      </c>
      <c r="Y70" s="109">
        <f>AF70</f>
        <v>1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1</v>
      </c>
      <c r="AG70" s="108">
        <f>IF(AC70="",0,(IF(G70=AC70,1,0)))</f>
        <v>0</v>
      </c>
      <c r="AH70" s="108">
        <f>IF(AD70="",0,(IF(I70=AD70,1,0)))</f>
        <v>1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0</v>
      </c>
      <c r="AL70" s="108">
        <f>IF(AND(G70=I70,AC70=AD70),5,0)</f>
        <v>0</v>
      </c>
    </row>
    <row r="71" spans="2:54">
      <c r="B71" s="24">
        <v>58</v>
      </c>
      <c r="C71" s="25">
        <v>41824</v>
      </c>
      <c r="D71" s="58" t="str">
        <f>IF(J59="","Winnaar 49",IF(J59=1,D59,F59))</f>
        <v>Brazilië</v>
      </c>
      <c r="E71" s="27" t="s">
        <v>9</v>
      </c>
      <c r="F71" s="59" t="str">
        <f>IF(J60="","Winnaar 50",IF(J60=1,D60,F60))</f>
        <v>Uruguay</v>
      </c>
      <c r="G71" s="87">
        <v>3</v>
      </c>
      <c r="H71" s="27" t="s">
        <v>9</v>
      </c>
      <c r="I71" s="99">
        <v>2</v>
      </c>
      <c r="J71" s="100">
        <v>1</v>
      </c>
      <c r="K71" s="1"/>
      <c r="L71" s="1"/>
      <c r="M71" s="1"/>
      <c r="V71" t="s">
        <v>133</v>
      </c>
      <c r="W71" t="s">
        <v>194</v>
      </c>
      <c r="X71" t="str">
        <f t="shared" si="11"/>
        <v>Ron Vlaar (v)</v>
      </c>
      <c r="Y71" s="109">
        <f>AF71</f>
        <v>5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5</v>
      </c>
      <c r="AG71" s="108">
        <f>IF(AC71="",0,(IF(G71=AC71,1,0)))</f>
        <v>0</v>
      </c>
      <c r="AH71" s="108">
        <f>IF(AD71="",0,(IF(I71=AD71,1,0)))</f>
        <v>0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12">
        <v>59</v>
      </c>
      <c r="C72" s="13">
        <v>41825</v>
      </c>
      <c r="D72" s="55" t="str">
        <f>IF(J65="","Winnaar 55",IF(J65=1,D65,F65))</f>
        <v>Argentinië</v>
      </c>
      <c r="E72" s="15" t="s">
        <v>9</v>
      </c>
      <c r="F72" s="56" t="str">
        <f>IF(J66="","Winnaar 56",IF(J66=1,D66,F66))</f>
        <v>Portugal</v>
      </c>
      <c r="G72" s="85">
        <v>2</v>
      </c>
      <c r="H72" s="15" t="s">
        <v>9</v>
      </c>
      <c r="I72" s="97">
        <v>0</v>
      </c>
      <c r="J72" s="98">
        <v>1</v>
      </c>
      <c r="K72" s="1"/>
      <c r="L72" s="1"/>
      <c r="M72" s="1"/>
      <c r="V72" t="s">
        <v>133</v>
      </c>
      <c r="W72" t="s">
        <v>195</v>
      </c>
      <c r="X72" t="str">
        <f t="shared" si="11"/>
        <v>John Heitinga (v)</v>
      </c>
      <c r="Y72" s="109">
        <f>AF72</f>
        <v>6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6</v>
      </c>
      <c r="AG72" s="108">
        <f>IF(AC72="",0,(IF(G72=AC72,1,0)))</f>
        <v>0</v>
      </c>
      <c r="AH72" s="108">
        <f>IF(AD72="",0,(IF(I72=AD72,1,0)))</f>
        <v>1</v>
      </c>
      <c r="AI72" s="108">
        <f>IF(AND(AG72=1,AH72=1),10,0)</f>
        <v>0</v>
      </c>
      <c r="AJ72" s="108">
        <f>IF(AND(G72&gt;I72,AC72&gt;AD72),5,0)</f>
        <v>5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3">
        <v>60</v>
      </c>
      <c r="C73" s="34">
        <v>41825</v>
      </c>
      <c r="D73" s="61" t="str">
        <f>IF(J61="","Winnaar 51",IF(J61=1,D61,F61))</f>
        <v>Spanje</v>
      </c>
      <c r="E73" s="36" t="s">
        <v>9</v>
      </c>
      <c r="F73" s="62" t="str">
        <f>IF(J62="","Winnaar 52",IF(J62=1,D62,F62))</f>
        <v>Italië</v>
      </c>
      <c r="G73" s="88">
        <v>1</v>
      </c>
      <c r="H73" s="36" t="s">
        <v>9</v>
      </c>
      <c r="I73" s="103">
        <v>2</v>
      </c>
      <c r="J73" s="104">
        <v>2</v>
      </c>
      <c r="K73" s="1"/>
      <c r="L73" s="1"/>
      <c r="M73" s="1"/>
      <c r="V73" t="s">
        <v>133</v>
      </c>
      <c r="W73" t="s">
        <v>196</v>
      </c>
      <c r="X73" t="str">
        <f t="shared" si="11"/>
        <v>Urby Emanuelson (v)</v>
      </c>
      <c r="Y73" s="109">
        <f>AF73</f>
        <v>0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0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1"/>
      <c r="C74" s="39"/>
      <c r="D74" s="40"/>
      <c r="E74" s="1"/>
      <c r="F74" s="40"/>
      <c r="G74" s="1"/>
      <c r="H74" s="1"/>
      <c r="I74" s="1"/>
      <c r="J74" s="1"/>
      <c r="K74" s="1"/>
      <c r="L74" s="1"/>
      <c r="M74" s="1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195"/>
      <c r="K75" s="1"/>
      <c r="L75" s="1"/>
      <c r="M75" s="1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78" t="s">
        <v>1</v>
      </c>
      <c r="C76" s="79" t="s">
        <v>2</v>
      </c>
      <c r="D76" s="193" t="s">
        <v>3</v>
      </c>
      <c r="E76" s="81"/>
      <c r="F76" s="194" t="s">
        <v>4</v>
      </c>
      <c r="G76" s="867" t="s">
        <v>5</v>
      </c>
      <c r="H76" s="868"/>
      <c r="I76" s="869"/>
      <c r="J76" s="83" t="s">
        <v>6</v>
      </c>
      <c r="K76" s="1"/>
      <c r="L76" s="1"/>
      <c r="M76" s="1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12">
        <v>61</v>
      </c>
      <c r="C77" s="13">
        <v>41828</v>
      </c>
      <c r="D77" s="55" t="str">
        <f>IF(J70="","Winnaar 57",IF(J70=1,D70,F70))</f>
        <v>Frankrijk</v>
      </c>
      <c r="E77" s="15" t="s">
        <v>9</v>
      </c>
      <c r="F77" s="56" t="str">
        <f>IF(J71="","Winnaar 58",IF(J71=1,D71,F71))</f>
        <v>Brazilië</v>
      </c>
      <c r="G77" s="85">
        <v>0</v>
      </c>
      <c r="H77" s="15" t="s">
        <v>9</v>
      </c>
      <c r="I77" s="97">
        <v>2</v>
      </c>
      <c r="J77" s="98">
        <v>2</v>
      </c>
      <c r="K77" s="1"/>
      <c r="L77" s="1"/>
      <c r="M77" s="1"/>
      <c r="V77" t="s">
        <v>134</v>
      </c>
      <c r="W77" t="s">
        <v>203</v>
      </c>
      <c r="X77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3">
        <v>62</v>
      </c>
      <c r="C78" s="34">
        <v>41829</v>
      </c>
      <c r="D78" s="61" t="str">
        <f>IF(J72="","Winnaar 59",IF(J72=1,D72,F72))</f>
        <v>Argentinië</v>
      </c>
      <c r="E78" s="36" t="s">
        <v>9</v>
      </c>
      <c r="F78" s="62" t="str">
        <f>IF(J73="","Winnaar 60",IF(J73=1,D73,F73))</f>
        <v>Italië</v>
      </c>
      <c r="G78" s="88">
        <v>2</v>
      </c>
      <c r="H78" s="36" t="s">
        <v>9</v>
      </c>
      <c r="I78" s="103">
        <v>1</v>
      </c>
      <c r="J78" s="104">
        <v>1</v>
      </c>
      <c r="K78" s="1"/>
      <c r="L78" s="1"/>
      <c r="M78" s="1"/>
      <c r="V78" t="s">
        <v>134</v>
      </c>
      <c r="W78" t="s">
        <v>199</v>
      </c>
      <c r="X78" t="str">
        <f t="shared" si="11"/>
        <v>Leroy Fer (m)</v>
      </c>
      <c r="Y78" s="109">
        <f>AF78</f>
        <v>0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0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1"/>
      <c r="C79" s="39"/>
      <c r="D79" s="40"/>
      <c r="E79" s="1"/>
      <c r="F79" s="40"/>
      <c r="G79" s="1"/>
      <c r="H79" s="1"/>
      <c r="I79" s="1"/>
      <c r="J79" s="1"/>
      <c r="K79" s="1"/>
      <c r="L79" s="1"/>
      <c r="M79" s="1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195"/>
      <c r="K80" s="1"/>
      <c r="L80" s="1"/>
      <c r="M80" s="1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78" t="s">
        <v>1</v>
      </c>
      <c r="C81" s="79" t="s">
        <v>2</v>
      </c>
      <c r="D81" s="193" t="s">
        <v>3</v>
      </c>
      <c r="E81" s="81"/>
      <c r="F81" s="194" t="s">
        <v>4</v>
      </c>
      <c r="G81" s="867" t="s">
        <v>5</v>
      </c>
      <c r="H81" s="868"/>
      <c r="I81" s="869"/>
      <c r="J81" s="83" t="s">
        <v>6</v>
      </c>
      <c r="K81" s="1"/>
      <c r="L81" s="1"/>
      <c r="M81" s="1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2">
        <v>63</v>
      </c>
      <c r="C82" s="63">
        <v>41832</v>
      </c>
      <c r="D82" s="64" t="str">
        <f>IF(J77="","Verliezer 61",IF(J77=1,F77,D77))</f>
        <v>Frankrijk</v>
      </c>
      <c r="E82" s="3" t="s">
        <v>9</v>
      </c>
      <c r="F82" s="65" t="str">
        <f>IF(J78="","Verliezer 62",IF(J78=1,F78,D78))</f>
        <v>Italië</v>
      </c>
      <c r="G82" s="105">
        <v>1</v>
      </c>
      <c r="H82" s="3" t="s">
        <v>9</v>
      </c>
      <c r="I82" s="106">
        <v>0</v>
      </c>
      <c r="J82" s="107">
        <v>1</v>
      </c>
      <c r="K82" s="1"/>
      <c r="L82" s="1"/>
      <c r="M82" s="1"/>
      <c r="V82" t="s">
        <v>134</v>
      </c>
      <c r="W82" t="s">
        <v>125</v>
      </c>
      <c r="X8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1"/>
      <c r="C83" s="39"/>
      <c r="D83" s="40"/>
      <c r="E83" s="1"/>
      <c r="F83" s="40"/>
      <c r="G83" s="1"/>
      <c r="H83" s="1"/>
      <c r="I83" s="1"/>
      <c r="J83" s="1"/>
      <c r="K83" s="1"/>
      <c r="L83" s="1"/>
      <c r="M83" s="1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195"/>
      <c r="K84" s="1"/>
      <c r="L84" s="1"/>
      <c r="M84" s="1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78" t="s">
        <v>1</v>
      </c>
      <c r="C85" s="79" t="s">
        <v>2</v>
      </c>
      <c r="D85" s="193" t="s">
        <v>3</v>
      </c>
      <c r="E85" s="81"/>
      <c r="F85" s="194" t="s">
        <v>4</v>
      </c>
      <c r="G85" s="867" t="s">
        <v>5</v>
      </c>
      <c r="H85" s="868"/>
      <c r="I85" s="869"/>
      <c r="J85" s="83" t="s">
        <v>6</v>
      </c>
      <c r="K85" s="1"/>
      <c r="L85" s="1"/>
      <c r="M85" s="1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2">
        <v>64</v>
      </c>
      <c r="C86" s="63">
        <v>41833</v>
      </c>
      <c r="D86" s="64" t="str">
        <f>IF(J77="","Winnaar 61",IF(J77=1,D77,F77))</f>
        <v>Brazilië</v>
      </c>
      <c r="E86" s="3" t="s">
        <v>9</v>
      </c>
      <c r="F86" s="65" t="str">
        <f>IF(J78="","Winnaar 62",IF(J78=1,D78,F78))</f>
        <v>Argentinië</v>
      </c>
      <c r="G86" s="105">
        <v>1</v>
      </c>
      <c r="H86" s="3" t="s">
        <v>9</v>
      </c>
      <c r="I86" s="106">
        <v>2</v>
      </c>
      <c r="J86" s="107">
        <v>2</v>
      </c>
      <c r="K86" s="1"/>
      <c r="L86" s="1"/>
      <c r="M86" s="1"/>
      <c r="V86" t="s">
        <v>134</v>
      </c>
      <c r="W86" t="s">
        <v>139</v>
      </c>
      <c r="X86" t="str">
        <f t="shared" si="11"/>
        <v>Nigel de Jong (m)</v>
      </c>
      <c r="Y86" s="109">
        <f>AF86</f>
        <v>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0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Argentinië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15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15</v>
      </c>
      <c r="AV89">
        <f>IF(AR89=0,0,IF(E89=AR89,50,0))</f>
        <v>0</v>
      </c>
      <c r="AW89">
        <f>IF(E89=0,0,IF(OR(E89=AR90),15,0))</f>
        <v>15</v>
      </c>
      <c r="AX89">
        <f>IF(E89=0,0,IF(OR(E89=AR91,E89=AR92),5,0))</f>
        <v>0</v>
      </c>
    </row>
    <row r="90" spans="2:50">
      <c r="C90" s="870">
        <v>2</v>
      </c>
      <c r="D90" s="871"/>
      <c r="E90" s="872" t="str">
        <f>IF(J86=2,D86,IF(J86=1,F86,"Wie wordt 2de?"))</f>
        <v>Brazilië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5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5</v>
      </c>
      <c r="AV90">
        <f>IF(AR90=0,0,IF(AR90=E90,25,0))</f>
        <v>0</v>
      </c>
      <c r="AW90">
        <f>IF(E90=0,0,IF(OR(E90=AR89,),15,0))</f>
        <v>0</v>
      </c>
      <c r="AX90">
        <f>IF(E90=0,0,IF(OR(E90=AR91,E90=AR92),5,0))</f>
        <v>5</v>
      </c>
    </row>
    <row r="91" spans="2:50">
      <c r="C91" s="870">
        <v>3</v>
      </c>
      <c r="D91" s="871"/>
      <c r="E91" s="872" t="str">
        <f>IF(J82=1,D82,IF(J82=2,F82,"Wie wordt 3de?"))</f>
        <v>Frankrijk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0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0</v>
      </c>
      <c r="AV91">
        <f>IF(AR91=0,0,IF(AR91=E91,15,0))</f>
        <v>0</v>
      </c>
      <c r="AW91">
        <f>IF(E91=0,0,IF(OR(E91=AR92),10,0))</f>
        <v>0</v>
      </c>
      <c r="AX91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Italië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0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0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20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conditionalFormatting sqref="AO9:AO12 AO15:AO18 AO21:AO24 AO27:AO30 AO33:AO36 AO39:AO42 AO45:AO48 AO51:AO54">
    <cfRule type="cellIs" dxfId="242" priority="3" operator="equal">
      <formula>10</formula>
    </cfRule>
  </conditionalFormatting>
  <conditionalFormatting sqref="P58:T58">
    <cfRule type="duplicateValues" dxfId="241" priority="2"/>
  </conditionalFormatting>
  <conditionalFormatting sqref="P58:T68">
    <cfRule type="duplicateValues" dxfId="240" priority="1"/>
  </conditionalFormatting>
  <dataValidations count="10">
    <dataValidation type="list" allowBlank="1" showInputMessage="1" showErrorMessage="1" sqref="P58:P68">
      <formula1>$X$58:$X$98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51:T54">
      <formula1>$W$51:$W$54</formula1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B1:BB98"/>
  <sheetViews>
    <sheetView topLeftCell="A43" zoomScale="70" zoomScaleNormal="70" workbookViewId="0">
      <selection activeCell="J66" sqref="J66"/>
    </sheetView>
  </sheetViews>
  <sheetFormatPr defaultRowHeight="15" outlineLevelCol="2"/>
  <cols>
    <col min="1" max="1" width="3.42578125" customWidth="1"/>
    <col min="2" max="2" width="3.5703125" bestFit="1" customWidth="1"/>
    <col min="3" max="3" width="11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182" t="s">
        <v>244</v>
      </c>
      <c r="E3" s="145"/>
      <c r="F3" s="145"/>
      <c r="N3" t="str">
        <f>D3</f>
        <v>Carlione (HUC)</v>
      </c>
      <c r="O3" s="144">
        <f>SUM(P3:S3)</f>
        <v>430</v>
      </c>
      <c r="P3" s="109">
        <f>SUM(Y8:Y86)</f>
        <v>210</v>
      </c>
      <c r="Q3" s="109">
        <f>SUM(AM4:AM55)</f>
        <v>180</v>
      </c>
      <c r="R3" s="109">
        <f>SUM(AP89:AP92)</f>
        <v>10</v>
      </c>
      <c r="S3" s="109">
        <f>SUM(BB58:BB69)</f>
        <v>30</v>
      </c>
      <c r="T3" s="109">
        <f>COUNTIF(AF8:AF86,10)</f>
        <v>6</v>
      </c>
      <c r="U3" s="109" t="str">
        <f>E89</f>
        <v>Nederland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1"/>
      <c r="L6" s="1"/>
      <c r="O6" s="40"/>
      <c r="P6" s="41"/>
      <c r="Q6" s="41"/>
      <c r="R6" s="41"/>
      <c r="S6" s="41"/>
      <c r="T6" s="41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66" t="s">
        <v>1</v>
      </c>
      <c r="C7" s="67" t="s">
        <v>2</v>
      </c>
      <c r="D7" s="196" t="s">
        <v>3</v>
      </c>
      <c r="E7" s="69"/>
      <c r="F7" s="197" t="s">
        <v>4</v>
      </c>
      <c r="G7" s="880" t="s">
        <v>5</v>
      </c>
      <c r="H7" s="881"/>
      <c r="I7" s="882"/>
      <c r="J7" s="71" t="s">
        <v>6</v>
      </c>
      <c r="K7" s="4" t="s">
        <v>7</v>
      </c>
      <c r="L7" s="4" t="s">
        <v>7</v>
      </c>
      <c r="O7" s="1"/>
      <c r="P7" s="41"/>
      <c r="Q7" s="41"/>
      <c r="R7" s="41"/>
      <c r="S7" s="41"/>
      <c r="T7" s="41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5">
        <v>1</v>
      </c>
      <c r="C8" s="6">
        <v>41802</v>
      </c>
      <c r="D8" s="7" t="s">
        <v>8</v>
      </c>
      <c r="E8" s="8" t="s">
        <v>9</v>
      </c>
      <c r="F8" s="9" t="s">
        <v>10</v>
      </c>
      <c r="G8" s="84">
        <v>2</v>
      </c>
      <c r="H8" s="8" t="s">
        <v>9</v>
      </c>
      <c r="I8" s="192">
        <v>0</v>
      </c>
      <c r="J8" s="10">
        <f>IF(I8="","",IF(G8&gt;I8,1,IF(G8&lt;I8,2,3)))</f>
        <v>1</v>
      </c>
      <c r="K8" s="11">
        <f>IF(I8="","",IF($G8&gt;$I8,3,IF($G8=$I8,1,0)))</f>
        <v>3</v>
      </c>
      <c r="L8" s="11">
        <f>IF(I8="","",IF($G8&lt;$I8,3,IF($G8=$I8,1,0)))</f>
        <v>0</v>
      </c>
      <c r="O8" s="72" t="s">
        <v>41</v>
      </c>
      <c r="P8" s="73" t="s">
        <v>42</v>
      </c>
      <c r="Q8" s="73" t="s">
        <v>43</v>
      </c>
      <c r="R8" s="74" t="s">
        <v>44</v>
      </c>
      <c r="S8" s="75" t="s">
        <v>45</v>
      </c>
      <c r="T8" s="76" t="s">
        <v>46</v>
      </c>
      <c r="U8" s="40"/>
      <c r="V8" s="40"/>
      <c r="W8" s="40"/>
      <c r="Y8" s="109">
        <f>AF8</f>
        <v>5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5</v>
      </c>
      <c r="AG8" s="108">
        <f t="shared" ref="AG8:AG55" si="0">IF(AC8="",0,(IF(G8=AC8,1,0)))</f>
        <v>0</v>
      </c>
      <c r="AH8" s="108">
        <f t="shared" ref="AH8:AH55" si="1">IF(AD8="",0,(IF(I8=AD8,1,0)))</f>
        <v>0</v>
      </c>
      <c r="AI8" s="108">
        <f>IF(AND(AG8=1,AH8=1),10,0)</f>
        <v>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12">
        <v>2</v>
      </c>
      <c r="C9" s="13">
        <v>41803</v>
      </c>
      <c r="D9" s="14" t="s">
        <v>11</v>
      </c>
      <c r="E9" s="15" t="s">
        <v>9</v>
      </c>
      <c r="F9" s="16" t="s">
        <v>12</v>
      </c>
      <c r="G9" s="85">
        <v>1</v>
      </c>
      <c r="H9" s="15" t="s">
        <v>9</v>
      </c>
      <c r="I9" s="90">
        <v>0</v>
      </c>
      <c r="J9" s="17">
        <f t="shared" ref="J9:J55" si="5">IF(I9="","",IF(G9&gt;I9,1,IF(G9&lt;I9,2,3)))</f>
        <v>1</v>
      </c>
      <c r="K9" s="11">
        <f t="shared" ref="K9:K55" si="6">IF(I9="","",IF($G9&gt;$I9,3,IF($G9=$I9,1,0)))</f>
        <v>3</v>
      </c>
      <c r="L9" s="11">
        <f t="shared" ref="L9:L55" si="7">IF(I9="","",IF($G9&lt;$I9,3,IF($G9=$I9,1,0)))</f>
        <v>0</v>
      </c>
      <c r="O9" s="44" t="s">
        <v>8</v>
      </c>
      <c r="P9" s="45">
        <f>SUMIF($D$8:$D$55,$O9,$G$8:$G$55)+SUMIF($F$8:$F$55,$O9,$I$8:$I$55)</f>
        <v>6</v>
      </c>
      <c r="Q9" s="45">
        <f>SUMIF($D$8:$D$55,$O9,$I$8:$I$55)+SUMIF($F$8:$F$55,$O9,$G$8:$G$55)</f>
        <v>0</v>
      </c>
      <c r="R9" s="46">
        <f>P9-Q9</f>
        <v>6</v>
      </c>
      <c r="S9" s="47">
        <f>SUMIF($D$8:$D$55,$O9,$K$8:$K$55)+SUMIF($F$8:$F$55,$O9,$L$8:$L$55)</f>
        <v>9</v>
      </c>
      <c r="T9" s="94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10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10</v>
      </c>
      <c r="AG9" s="108">
        <f t="shared" si="0"/>
        <v>1</v>
      </c>
      <c r="AH9" s="108">
        <f t="shared" si="1"/>
        <v>1</v>
      </c>
      <c r="AI9" s="108">
        <f t="shared" ref="AI9:AI55" si="10">IF(AND(AG9=1,AH9=1),10,0)</f>
        <v>10</v>
      </c>
      <c r="AJ9" s="108">
        <f t="shared" si="2"/>
        <v>5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18">
        <v>3</v>
      </c>
      <c r="C10" s="19">
        <v>41803</v>
      </c>
      <c r="D10" s="20" t="s">
        <v>13</v>
      </c>
      <c r="E10" s="21" t="s">
        <v>9</v>
      </c>
      <c r="F10" s="22" t="s">
        <v>14</v>
      </c>
      <c r="G10" s="86">
        <v>1</v>
      </c>
      <c r="H10" s="21" t="s">
        <v>9</v>
      </c>
      <c r="I10" s="91">
        <v>1</v>
      </c>
      <c r="J10" s="23">
        <f t="shared" si="5"/>
        <v>3</v>
      </c>
      <c r="K10" s="11">
        <f t="shared" si="6"/>
        <v>1</v>
      </c>
      <c r="L10" s="11">
        <f t="shared" si="7"/>
        <v>1</v>
      </c>
      <c r="O10" s="48" t="s">
        <v>10</v>
      </c>
      <c r="P10" s="49">
        <f>SUMIF($D$8:$D$55,$O10,$G$8:$G$55)+SUMIF($F$8:$F$55,$O10,$I$8:$I$55)</f>
        <v>3</v>
      </c>
      <c r="Q10" s="49">
        <f>SUMIF($D$8:$D$55,$O10,$I$8:$I$55)+SUMIF($F$8:$F$55,$O10,$G$8:$G$55)</f>
        <v>7</v>
      </c>
      <c r="R10" s="49">
        <f>P10-Q10</f>
        <v>-4</v>
      </c>
      <c r="S10" s="50">
        <f>SUMIF($D$8:$D$55,$O10,$K$8:$K$55)+SUMIF($F$8:$F$55,$O10,$L$8:$L$55)</f>
        <v>1</v>
      </c>
      <c r="T10" s="95" t="s">
        <v>47</v>
      </c>
      <c r="U10" s="40"/>
      <c r="V10" s="40" t="str">
        <f>O10</f>
        <v>Kroatië</v>
      </c>
      <c r="W10" s="40" t="s">
        <v>49</v>
      </c>
      <c r="Y10" s="109">
        <f t="shared" si="8"/>
        <v>1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1</v>
      </c>
      <c r="AG10" s="108">
        <f t="shared" si="0"/>
        <v>1</v>
      </c>
      <c r="AH10" s="108">
        <f t="shared" si="1"/>
        <v>0</v>
      </c>
      <c r="AI10" s="108">
        <f t="shared" si="10"/>
        <v>0</v>
      </c>
      <c r="AJ10" s="108">
        <f t="shared" si="2"/>
        <v>0</v>
      </c>
      <c r="AK10" s="108">
        <f t="shared" si="3"/>
        <v>0</v>
      </c>
      <c r="AL10" s="108">
        <f t="shared" si="4"/>
        <v>0</v>
      </c>
      <c r="AM10" s="120">
        <f>AO10</f>
        <v>10</v>
      </c>
      <c r="AN10" s="117" t="s">
        <v>10</v>
      </c>
      <c r="AO10" s="115">
        <f>IF(Uitslag!T10="",0,IF(T10=Uitslag!T10,10,0))</f>
        <v>10</v>
      </c>
    </row>
    <row r="11" spans="2:54" ht="15.75" thickBot="1">
      <c r="B11" s="24">
        <v>4</v>
      </c>
      <c r="C11" s="25">
        <v>41803</v>
      </c>
      <c r="D11" s="26" t="s">
        <v>15</v>
      </c>
      <c r="E11" s="27" t="s">
        <v>9</v>
      </c>
      <c r="F11" s="28" t="s">
        <v>16</v>
      </c>
      <c r="G11" s="87">
        <v>3</v>
      </c>
      <c r="H11" s="27" t="s">
        <v>9</v>
      </c>
      <c r="I11" s="92">
        <v>0</v>
      </c>
      <c r="J11" s="29">
        <f t="shared" si="5"/>
        <v>1</v>
      </c>
      <c r="K11" s="11">
        <f t="shared" si="6"/>
        <v>3</v>
      </c>
      <c r="L11" s="11">
        <f t="shared" si="7"/>
        <v>0</v>
      </c>
      <c r="O11" s="48" t="s">
        <v>11</v>
      </c>
      <c r="P11" s="49">
        <f>SUMIF($D$8:$D$55,$O11,$G$8:$G$55)+SUMIF($F$8:$F$55,$O11,$I$8:$I$55)</f>
        <v>4</v>
      </c>
      <c r="Q11" s="49">
        <f>SUMIF($D$8:$D$55,$O11,$I$8:$I$55)+SUMIF($F$8:$F$55,$O11,$G$8:$G$55)</f>
        <v>2</v>
      </c>
      <c r="R11" s="49">
        <f>P11-Q11</f>
        <v>2</v>
      </c>
      <c r="S11" s="50">
        <f>SUMIF($D$8:$D$55,$O11,$K$8:$K$55)+SUMIF($F$8:$F$55,$O11,$L$8:$L$55)</f>
        <v>6</v>
      </c>
      <c r="T11" s="95" t="s">
        <v>49</v>
      </c>
      <c r="U11" s="40"/>
      <c r="V11" s="40" t="str">
        <f>O11</f>
        <v>Mexico</v>
      </c>
      <c r="W11" s="40" t="s">
        <v>47</v>
      </c>
      <c r="Y11" s="109">
        <f t="shared" si="8"/>
        <v>6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6</v>
      </c>
      <c r="AG11" s="108">
        <f t="shared" si="0"/>
        <v>1</v>
      </c>
      <c r="AH11" s="108">
        <f t="shared" si="1"/>
        <v>0</v>
      </c>
      <c r="AI11" s="108">
        <f t="shared" si="10"/>
        <v>0</v>
      </c>
      <c r="AJ11" s="108">
        <f t="shared" si="2"/>
        <v>5</v>
      </c>
      <c r="AK11" s="108">
        <f t="shared" si="3"/>
        <v>0</v>
      </c>
      <c r="AL11" s="108">
        <f t="shared" si="4"/>
        <v>0</v>
      </c>
      <c r="AM11" s="120">
        <f>AO11</f>
        <v>10</v>
      </c>
      <c r="AN11" s="117" t="s">
        <v>11</v>
      </c>
      <c r="AO11" s="115">
        <f>IF(Uitslag!T11="",0,IF(T11=Uitslag!T11,10,0))</f>
        <v>10</v>
      </c>
    </row>
    <row r="12" spans="2:54" ht="15.75" thickBot="1">
      <c r="B12" s="12">
        <v>5</v>
      </c>
      <c r="C12" s="13">
        <v>41804</v>
      </c>
      <c r="D12" s="14" t="s">
        <v>17</v>
      </c>
      <c r="E12" s="15" t="s">
        <v>9</v>
      </c>
      <c r="F12" s="16" t="s">
        <v>18</v>
      </c>
      <c r="G12" s="85">
        <v>2</v>
      </c>
      <c r="H12" s="15" t="s">
        <v>9</v>
      </c>
      <c r="I12" s="90">
        <v>1</v>
      </c>
      <c r="J12" s="17">
        <f t="shared" si="5"/>
        <v>1</v>
      </c>
      <c r="K12" s="11">
        <f t="shared" si="6"/>
        <v>3</v>
      </c>
      <c r="L12" s="11">
        <f t="shared" si="7"/>
        <v>0</v>
      </c>
      <c r="O12" s="51" t="s">
        <v>12</v>
      </c>
      <c r="P12" s="52">
        <f>SUMIF($D$8:$D$55,$O12,$G$8:$G$55)+SUMIF($F$8:$F$55,$O12,$I$8:$I$55)</f>
        <v>2</v>
      </c>
      <c r="Q12" s="52">
        <f>SUMIF($D$8:$D$55,$O12,$I$8:$I$55)+SUMIF($F$8:$F$55,$O12,$G$8:$G$55)</f>
        <v>6</v>
      </c>
      <c r="R12" s="52">
        <f>P12-Q12</f>
        <v>-4</v>
      </c>
      <c r="S12" s="53">
        <f>SUMIF($D$8:$D$55,$O12,$K$8:$K$55)+SUMIF($F$8:$F$55,$O12,$L$8:$L$55)</f>
        <v>1</v>
      </c>
      <c r="T12" s="96" t="s">
        <v>50</v>
      </c>
      <c r="U12" s="40"/>
      <c r="V12" s="40" t="str">
        <f>O12</f>
        <v>Kameroen</v>
      </c>
      <c r="W12" s="40" t="s">
        <v>50</v>
      </c>
      <c r="Y12" s="109">
        <f t="shared" si="8"/>
        <v>5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5</v>
      </c>
      <c r="AG12" s="108">
        <f t="shared" si="0"/>
        <v>0</v>
      </c>
      <c r="AH12" s="108">
        <f t="shared" si="1"/>
        <v>0</v>
      </c>
      <c r="AI12" s="108">
        <f t="shared" si="10"/>
        <v>0</v>
      </c>
      <c r="AJ12" s="108">
        <f t="shared" si="2"/>
        <v>5</v>
      </c>
      <c r="AK12" s="108">
        <f t="shared" si="3"/>
        <v>0</v>
      </c>
      <c r="AL12" s="108">
        <f t="shared" si="4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18">
        <v>6</v>
      </c>
      <c r="C13" s="19">
        <v>41804</v>
      </c>
      <c r="D13" s="20" t="s">
        <v>19</v>
      </c>
      <c r="E13" s="21" t="s">
        <v>9</v>
      </c>
      <c r="F13" s="30" t="s">
        <v>20</v>
      </c>
      <c r="G13" s="86">
        <v>0</v>
      </c>
      <c r="H13" s="21" t="s">
        <v>9</v>
      </c>
      <c r="I13" s="91">
        <v>0</v>
      </c>
      <c r="J13" s="23">
        <f t="shared" si="5"/>
        <v>3</v>
      </c>
      <c r="K13" s="11">
        <f t="shared" si="6"/>
        <v>1</v>
      </c>
      <c r="L13" s="11">
        <f t="shared" si="7"/>
        <v>1</v>
      </c>
      <c r="O13" s="40"/>
      <c r="P13" s="41"/>
      <c r="Q13" s="41"/>
      <c r="R13" s="41"/>
      <c r="S13" s="41"/>
      <c r="T13" s="41"/>
      <c r="U13" s="40"/>
      <c r="V13" s="40"/>
      <c r="W13" s="40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0"/>
        <v>0</v>
      </c>
      <c r="AH13" s="108">
        <f t="shared" si="1"/>
        <v>0</v>
      </c>
      <c r="AI13" s="108">
        <f t="shared" si="10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40"/>
      <c r="AO13" s="41"/>
    </row>
    <row r="14" spans="2:54" ht="15.75" thickBot="1">
      <c r="B14" s="18">
        <v>7</v>
      </c>
      <c r="C14" s="19">
        <v>41804</v>
      </c>
      <c r="D14" s="20" t="s">
        <v>21</v>
      </c>
      <c r="E14" s="21" t="s">
        <v>9</v>
      </c>
      <c r="F14" s="30" t="s">
        <v>22</v>
      </c>
      <c r="G14" s="86">
        <v>2</v>
      </c>
      <c r="H14" s="21" t="s">
        <v>9</v>
      </c>
      <c r="I14" s="91">
        <v>2</v>
      </c>
      <c r="J14" s="23">
        <f t="shared" si="5"/>
        <v>3</v>
      </c>
      <c r="K14" s="11">
        <f t="shared" si="6"/>
        <v>1</v>
      </c>
      <c r="L14" s="11">
        <f t="shared" si="7"/>
        <v>1</v>
      </c>
      <c r="O14" s="72" t="s">
        <v>51</v>
      </c>
      <c r="P14" s="73" t="s">
        <v>42</v>
      </c>
      <c r="Q14" s="73" t="s">
        <v>43</v>
      </c>
      <c r="R14" s="74" t="s">
        <v>44</v>
      </c>
      <c r="S14" s="75" t="s">
        <v>45</v>
      </c>
      <c r="T14" s="76" t="s">
        <v>46</v>
      </c>
      <c r="U14" s="40"/>
      <c r="V14" s="40"/>
      <c r="W14" s="40"/>
      <c r="Y14" s="109">
        <f t="shared" si="8"/>
        <v>1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</v>
      </c>
      <c r="AG14" s="108">
        <f t="shared" si="0"/>
        <v>0</v>
      </c>
      <c r="AH14" s="108">
        <f t="shared" si="1"/>
        <v>1</v>
      </c>
      <c r="AI14" s="108">
        <f t="shared" si="10"/>
        <v>0</v>
      </c>
      <c r="AJ14" s="108">
        <f t="shared" si="2"/>
        <v>0</v>
      </c>
      <c r="AK14" s="108">
        <f t="shared" si="3"/>
        <v>0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24">
        <v>8</v>
      </c>
      <c r="C15" s="25">
        <v>41804</v>
      </c>
      <c r="D15" s="26" t="s">
        <v>23</v>
      </c>
      <c r="E15" s="27" t="s">
        <v>9</v>
      </c>
      <c r="F15" s="28" t="s">
        <v>24</v>
      </c>
      <c r="G15" s="87">
        <v>0</v>
      </c>
      <c r="H15" s="27" t="s">
        <v>9</v>
      </c>
      <c r="I15" s="92">
        <v>2</v>
      </c>
      <c r="J15" s="29">
        <f t="shared" si="5"/>
        <v>2</v>
      </c>
      <c r="K15" s="11">
        <f t="shared" si="6"/>
        <v>0</v>
      </c>
      <c r="L15" s="11">
        <f t="shared" si="7"/>
        <v>3</v>
      </c>
      <c r="O15" s="44" t="s">
        <v>13</v>
      </c>
      <c r="P15" s="45">
        <f>SUMIF($D$8:$D$55,$O15,$G$8:$G$55)+SUMIF($F$8:$F$55,$O15,$I$8:$I$55)</f>
        <v>5</v>
      </c>
      <c r="Q15" s="45">
        <f>SUMIF($D$8:$D$55,$O15,$I$8:$I$55)+SUMIF($F$8:$F$55,$O15,$G$8:$G$55)</f>
        <v>3</v>
      </c>
      <c r="R15" s="46">
        <f>P15-Q15</f>
        <v>2</v>
      </c>
      <c r="S15" s="47">
        <f>SUMIF($D$8:$D$55,$O15,$K$8:$K$55)+SUMIF($F$8:$F$55,$O15,$L$8:$L$55)</f>
        <v>4</v>
      </c>
      <c r="T15" s="94" t="s">
        <v>54</v>
      </c>
      <c r="U15" s="40"/>
      <c r="V15" s="40" t="str">
        <f>O15</f>
        <v>Spanje</v>
      </c>
      <c r="W15" s="40" t="s">
        <v>52</v>
      </c>
      <c r="Y15" s="109">
        <f t="shared" si="8"/>
        <v>0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0</v>
      </c>
      <c r="AG15" s="108">
        <f t="shared" si="0"/>
        <v>0</v>
      </c>
      <c r="AH15" s="108">
        <f t="shared" si="1"/>
        <v>0</v>
      </c>
      <c r="AI15" s="108">
        <f t="shared" si="10"/>
        <v>0</v>
      </c>
      <c r="AJ15" s="108">
        <f t="shared" si="2"/>
        <v>0</v>
      </c>
      <c r="AK15" s="108">
        <f t="shared" si="3"/>
        <v>0</v>
      </c>
      <c r="AL15" s="108">
        <f t="shared" si="4"/>
        <v>0</v>
      </c>
      <c r="AM15" s="120">
        <f>AO15</f>
        <v>10</v>
      </c>
      <c r="AN15" s="116" t="s">
        <v>13</v>
      </c>
      <c r="AO15" s="115">
        <f>IF(Uitslag!T15="",0,IF(T15=Uitslag!T15,10,0))</f>
        <v>10</v>
      </c>
    </row>
    <row r="16" spans="2:54" ht="15.75" thickBot="1">
      <c r="B16" s="12">
        <v>9</v>
      </c>
      <c r="C16" s="13">
        <v>41805</v>
      </c>
      <c r="D16" s="14" t="s">
        <v>25</v>
      </c>
      <c r="E16" s="15" t="s">
        <v>9</v>
      </c>
      <c r="F16" s="16" t="s">
        <v>26</v>
      </c>
      <c r="G16" s="85">
        <v>0</v>
      </c>
      <c r="H16" s="15" t="s">
        <v>9</v>
      </c>
      <c r="I16" s="90">
        <v>1</v>
      </c>
      <c r="J16" s="17">
        <f t="shared" si="5"/>
        <v>2</v>
      </c>
      <c r="K16" s="11">
        <f t="shared" si="6"/>
        <v>0</v>
      </c>
      <c r="L16" s="11">
        <f t="shared" si="7"/>
        <v>3</v>
      </c>
      <c r="O16" s="54" t="s">
        <v>14</v>
      </c>
      <c r="P16" s="49">
        <f>SUMIF($D$8:$D$55,$O16,$G$8:$G$55)+SUMIF($F$8:$F$55,$O16,$I$8:$I$55)</f>
        <v>5</v>
      </c>
      <c r="Q16" s="49">
        <f>SUMIF($D$8:$D$55,$O16,$I$8:$I$55)+SUMIF($F$8:$F$55,$O16,$G$8:$G$55)</f>
        <v>1</v>
      </c>
      <c r="R16" s="49">
        <f>P16-Q16</f>
        <v>4</v>
      </c>
      <c r="S16" s="50">
        <f>SUMIF($D$8:$D$55,$O16,$K$8:$K$55)+SUMIF($F$8:$F$55,$O16,$L$8:$L$55)</f>
        <v>7</v>
      </c>
      <c r="T16" s="95" t="s">
        <v>52</v>
      </c>
      <c r="U16" s="40"/>
      <c r="V16" s="40" t="str">
        <f>O16</f>
        <v>Nederland</v>
      </c>
      <c r="W16" s="40" t="s">
        <v>53</v>
      </c>
      <c r="Y16" s="109">
        <f t="shared" si="8"/>
        <v>1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1</v>
      </c>
      <c r="AG16" s="108">
        <f t="shared" si="0"/>
        <v>0</v>
      </c>
      <c r="AH16" s="108">
        <f t="shared" si="1"/>
        <v>1</v>
      </c>
      <c r="AI16" s="108">
        <f t="shared" si="10"/>
        <v>0</v>
      </c>
      <c r="AJ16" s="108">
        <f t="shared" si="2"/>
        <v>0</v>
      </c>
      <c r="AK16" s="108">
        <f t="shared" si="3"/>
        <v>0</v>
      </c>
      <c r="AL16" s="108">
        <f t="shared" si="4"/>
        <v>0</v>
      </c>
      <c r="AM16" s="120">
        <f>AO16</f>
        <v>10</v>
      </c>
      <c r="AN16" s="119" t="s">
        <v>14</v>
      </c>
      <c r="AO16" s="115">
        <f>IF(Uitslag!T16="",0,IF(T16=Uitslag!T16,10,0))</f>
        <v>10</v>
      </c>
    </row>
    <row r="17" spans="2:41" ht="15.75" thickBot="1">
      <c r="B17" s="18">
        <v>10</v>
      </c>
      <c r="C17" s="19">
        <v>41805</v>
      </c>
      <c r="D17" s="20" t="s">
        <v>27</v>
      </c>
      <c r="E17" s="21" t="s">
        <v>9</v>
      </c>
      <c r="F17" s="30" t="s">
        <v>28</v>
      </c>
      <c r="G17" s="86">
        <v>2</v>
      </c>
      <c r="H17" s="21" t="s">
        <v>9</v>
      </c>
      <c r="I17" s="91">
        <v>1</v>
      </c>
      <c r="J17" s="23">
        <f t="shared" si="5"/>
        <v>1</v>
      </c>
      <c r="K17" s="11">
        <f t="shared" si="6"/>
        <v>3</v>
      </c>
      <c r="L17" s="11">
        <f t="shared" si="7"/>
        <v>0</v>
      </c>
      <c r="O17" s="48" t="s">
        <v>15</v>
      </c>
      <c r="P17" s="49">
        <f>SUMIF($D$8:$D$55,$O17,$G$8:$G$55)+SUMIF($F$8:$F$55,$O17,$I$8:$I$55)</f>
        <v>4</v>
      </c>
      <c r="Q17" s="49">
        <f>SUMIF($D$8:$D$55,$O17,$I$8:$I$55)+SUMIF($F$8:$F$55,$O17,$G$8:$G$55)</f>
        <v>1</v>
      </c>
      <c r="R17" s="49">
        <f>P17-Q17</f>
        <v>3</v>
      </c>
      <c r="S17" s="50">
        <f>SUMIF($D$8:$D$55,$O17,$K$8:$K$55)+SUMIF($F$8:$F$55,$O17,$L$8:$L$55)</f>
        <v>6</v>
      </c>
      <c r="T17" s="95" t="s">
        <v>53</v>
      </c>
      <c r="U17" s="40"/>
      <c r="V17" s="40" t="str">
        <f>O17</f>
        <v>Chili</v>
      </c>
      <c r="W17" s="40" t="s">
        <v>54</v>
      </c>
      <c r="Y17" s="109">
        <f t="shared" si="8"/>
        <v>5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5</v>
      </c>
      <c r="AG17" s="108">
        <f t="shared" si="0"/>
        <v>0</v>
      </c>
      <c r="AH17" s="108">
        <f t="shared" si="1"/>
        <v>0</v>
      </c>
      <c r="AI17" s="108">
        <f t="shared" si="10"/>
        <v>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10</v>
      </c>
      <c r="AN17" s="117" t="s">
        <v>15</v>
      </c>
      <c r="AO17" s="115">
        <f>IF(Uitslag!T17="",0,IF(T17=Uitslag!T17,10,0))</f>
        <v>10</v>
      </c>
    </row>
    <row r="18" spans="2:41" ht="15.75" thickBot="1">
      <c r="B18" s="24">
        <v>11</v>
      </c>
      <c r="C18" s="25">
        <v>41805</v>
      </c>
      <c r="D18" s="26" t="s">
        <v>29</v>
      </c>
      <c r="E18" s="27" t="s">
        <v>9</v>
      </c>
      <c r="F18" s="28" t="s">
        <v>30</v>
      </c>
      <c r="G18" s="87">
        <v>3</v>
      </c>
      <c r="H18" s="27" t="s">
        <v>9</v>
      </c>
      <c r="I18" s="92">
        <v>0</v>
      </c>
      <c r="J18" s="29">
        <f t="shared" si="5"/>
        <v>1</v>
      </c>
      <c r="K18" s="11">
        <f t="shared" si="6"/>
        <v>3</v>
      </c>
      <c r="L18" s="11">
        <f t="shared" si="7"/>
        <v>0</v>
      </c>
      <c r="O18" s="51" t="s">
        <v>16</v>
      </c>
      <c r="P18" s="52">
        <f>SUMIF($D$8:$D$55,$O18,$G$8:$G$55)+SUMIF($F$8:$F$55,$O18,$I$8:$I$55)</f>
        <v>1</v>
      </c>
      <c r="Q18" s="52">
        <f>SUMIF($D$8:$D$55,$O18,$I$8:$I$55)+SUMIF($F$8:$F$55,$O18,$G$8:$G$55)</f>
        <v>10</v>
      </c>
      <c r="R18" s="52">
        <f>P18-Q18</f>
        <v>-9</v>
      </c>
      <c r="S18" s="53">
        <f>SUMIF($D$8:$D$55,$O18,$K$8:$K$55)+SUMIF($F$8:$F$55,$O18,$L$8:$L$55)</f>
        <v>0</v>
      </c>
      <c r="T18" s="96" t="s">
        <v>55</v>
      </c>
      <c r="U18" s="40"/>
      <c r="V18" s="40" t="str">
        <f>O18</f>
        <v>Australië</v>
      </c>
      <c r="W18" s="40" t="s">
        <v>55</v>
      </c>
      <c r="Y18" s="109">
        <f t="shared" si="8"/>
        <v>5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5</v>
      </c>
      <c r="AG18" s="108">
        <f t="shared" si="0"/>
        <v>0</v>
      </c>
      <c r="AH18" s="108">
        <f t="shared" si="1"/>
        <v>0</v>
      </c>
      <c r="AI18" s="108">
        <f t="shared" si="10"/>
        <v>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12">
        <v>12</v>
      </c>
      <c r="C19" s="13">
        <v>41806</v>
      </c>
      <c r="D19" s="14" t="s">
        <v>31</v>
      </c>
      <c r="E19" s="15" t="s">
        <v>9</v>
      </c>
      <c r="F19" s="16" t="s">
        <v>32</v>
      </c>
      <c r="G19" s="85">
        <v>1</v>
      </c>
      <c r="H19" s="15" t="s">
        <v>9</v>
      </c>
      <c r="I19" s="90">
        <v>1</v>
      </c>
      <c r="J19" s="17">
        <f t="shared" si="5"/>
        <v>3</v>
      </c>
      <c r="K19" s="11">
        <f t="shared" si="6"/>
        <v>1</v>
      </c>
      <c r="L19" s="11">
        <f t="shared" si="7"/>
        <v>1</v>
      </c>
      <c r="O19" s="40"/>
      <c r="P19" s="41"/>
      <c r="Q19" s="41"/>
      <c r="R19" s="41"/>
      <c r="S19" s="41"/>
      <c r="T19" s="41"/>
      <c r="U19" s="40"/>
      <c r="V19" s="40"/>
      <c r="W19" s="40"/>
      <c r="Y19" s="109">
        <f t="shared" si="8"/>
        <v>0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0</v>
      </c>
      <c r="AG19" s="108">
        <f t="shared" si="0"/>
        <v>0</v>
      </c>
      <c r="AH19" s="108">
        <f t="shared" si="1"/>
        <v>0</v>
      </c>
      <c r="AI19" s="108">
        <f t="shared" si="10"/>
        <v>0</v>
      </c>
      <c r="AJ19" s="108">
        <f t="shared" si="2"/>
        <v>0</v>
      </c>
      <c r="AK19" s="108">
        <f t="shared" si="3"/>
        <v>0</v>
      </c>
      <c r="AL19" s="108">
        <f t="shared" si="4"/>
        <v>0</v>
      </c>
      <c r="AN19" s="40"/>
      <c r="AO19" s="41"/>
    </row>
    <row r="20" spans="2:41" ht="15.75" thickBot="1">
      <c r="B20" s="18">
        <v>13</v>
      </c>
      <c r="C20" s="19">
        <v>41806</v>
      </c>
      <c r="D20" s="20" t="s">
        <v>33</v>
      </c>
      <c r="E20" s="21" t="s">
        <v>9</v>
      </c>
      <c r="F20" s="30" t="s">
        <v>34</v>
      </c>
      <c r="G20" s="86">
        <v>0</v>
      </c>
      <c r="H20" s="21" t="s">
        <v>9</v>
      </c>
      <c r="I20" s="91">
        <v>2</v>
      </c>
      <c r="J20" s="23">
        <f t="shared" si="5"/>
        <v>2</v>
      </c>
      <c r="K20" s="11">
        <f t="shared" si="6"/>
        <v>0</v>
      </c>
      <c r="L20" s="11">
        <f t="shared" si="7"/>
        <v>3</v>
      </c>
      <c r="O20" s="72" t="s">
        <v>56</v>
      </c>
      <c r="P20" s="73" t="s">
        <v>42</v>
      </c>
      <c r="Q20" s="73" t="s">
        <v>43</v>
      </c>
      <c r="R20" s="74" t="s">
        <v>44</v>
      </c>
      <c r="S20" s="75" t="s">
        <v>45</v>
      </c>
      <c r="T20" s="76" t="s">
        <v>46</v>
      </c>
      <c r="U20" s="40"/>
      <c r="V20" s="40"/>
      <c r="W20" s="40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0"/>
        <v>1</v>
      </c>
      <c r="AH20" s="108">
        <f t="shared" si="1"/>
        <v>0</v>
      </c>
      <c r="AI20" s="108">
        <f t="shared" si="10"/>
        <v>0</v>
      </c>
      <c r="AJ20" s="108">
        <f t="shared" si="2"/>
        <v>0</v>
      </c>
      <c r="AK20" s="108">
        <f t="shared" si="3"/>
        <v>0</v>
      </c>
      <c r="AL20" s="108">
        <f t="shared" si="4"/>
        <v>0</v>
      </c>
      <c r="AN20" s="42" t="s">
        <v>56</v>
      </c>
      <c r="AO20" s="43" t="s">
        <v>46</v>
      </c>
    </row>
    <row r="21" spans="2:41" ht="15.75" thickBot="1">
      <c r="B21" s="24">
        <v>14</v>
      </c>
      <c r="C21" s="25">
        <v>41806</v>
      </c>
      <c r="D21" s="26" t="s">
        <v>35</v>
      </c>
      <c r="E21" s="27" t="s">
        <v>9</v>
      </c>
      <c r="F21" s="28" t="s">
        <v>36</v>
      </c>
      <c r="G21" s="87">
        <v>0</v>
      </c>
      <c r="H21" s="27" t="s">
        <v>9</v>
      </c>
      <c r="I21" s="92">
        <v>0</v>
      </c>
      <c r="J21" s="29">
        <f t="shared" si="5"/>
        <v>3</v>
      </c>
      <c r="K21" s="11">
        <f t="shared" si="6"/>
        <v>1</v>
      </c>
      <c r="L21" s="11">
        <f t="shared" si="7"/>
        <v>1</v>
      </c>
      <c r="O21" s="44" t="s">
        <v>17</v>
      </c>
      <c r="P21" s="45">
        <f>SUMIF($D$8:$D$55,$O21,$G$8:$G$55)+SUMIF($F$8:$F$55,$O21,$I$8:$I$55)</f>
        <v>5</v>
      </c>
      <c r="Q21" s="45">
        <f>SUMIF($D$8:$D$55,$O21,$I$8:$I$55)+SUMIF($F$8:$F$55,$O21,$G$8:$G$55)</f>
        <v>3</v>
      </c>
      <c r="R21" s="46">
        <f>P21-Q21</f>
        <v>2</v>
      </c>
      <c r="S21" s="47">
        <f>SUMIF($D$8:$D$55,$O21,$K$8:$K$55)+SUMIF($F$8:$F$55,$O21,$L$8:$L$55)</f>
        <v>6</v>
      </c>
      <c r="T21" s="94" t="s">
        <v>58</v>
      </c>
      <c r="U21" s="40"/>
      <c r="V21" s="40" t="str">
        <f>O21</f>
        <v>Colombia</v>
      </c>
      <c r="W21" s="40" t="s">
        <v>57</v>
      </c>
      <c r="Y21" s="109">
        <f t="shared" si="8"/>
        <v>0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0</v>
      </c>
      <c r="AG21" s="108">
        <f t="shared" si="0"/>
        <v>0</v>
      </c>
      <c r="AH21" s="108">
        <f t="shared" si="1"/>
        <v>0</v>
      </c>
      <c r="AI21" s="108">
        <f t="shared" si="10"/>
        <v>0</v>
      </c>
      <c r="AJ21" s="108">
        <f t="shared" si="2"/>
        <v>0</v>
      </c>
      <c r="AK21" s="108">
        <f t="shared" si="3"/>
        <v>0</v>
      </c>
      <c r="AL21" s="108">
        <f t="shared" si="4"/>
        <v>0</v>
      </c>
      <c r="AM21" s="120">
        <f>AO21</f>
        <v>0</v>
      </c>
      <c r="AN21" s="116" t="s">
        <v>17</v>
      </c>
      <c r="AO21" s="115">
        <f>IF(Uitslag!T21="",0,IF(T21=Uitslag!T21,10,0))</f>
        <v>0</v>
      </c>
    </row>
    <row r="22" spans="2:41" ht="15.75" thickBot="1">
      <c r="B22" s="12">
        <v>15</v>
      </c>
      <c r="C22" s="13">
        <v>41807</v>
      </c>
      <c r="D22" s="14" t="s">
        <v>37</v>
      </c>
      <c r="E22" s="15" t="s">
        <v>9</v>
      </c>
      <c r="F22" s="16" t="s">
        <v>38</v>
      </c>
      <c r="G22" s="85">
        <v>4</v>
      </c>
      <c r="H22" s="15" t="s">
        <v>9</v>
      </c>
      <c r="I22" s="90">
        <v>0</v>
      </c>
      <c r="J22" s="17">
        <f t="shared" si="5"/>
        <v>1</v>
      </c>
      <c r="K22" s="11">
        <f t="shared" si="6"/>
        <v>3</v>
      </c>
      <c r="L22" s="11">
        <f t="shared" si="7"/>
        <v>0</v>
      </c>
      <c r="O22" s="48" t="s">
        <v>18</v>
      </c>
      <c r="P22" s="49">
        <f>SUMIF($D$8:$D$55,$O22,$G$8:$G$55)+SUMIF($F$8:$F$55,$O22,$I$8:$I$55)</f>
        <v>2</v>
      </c>
      <c r="Q22" s="49">
        <f>SUMIF($D$8:$D$55,$O22,$I$8:$I$55)+SUMIF($F$8:$F$55,$O22,$G$8:$G$55)</f>
        <v>7</v>
      </c>
      <c r="R22" s="49">
        <f>P22-Q22</f>
        <v>-5</v>
      </c>
      <c r="S22" s="50">
        <f>SUMIF($D$8:$D$55,$O22,$K$8:$K$55)+SUMIF($F$8:$F$55,$O22,$L$8:$L$55)</f>
        <v>0</v>
      </c>
      <c r="T22" s="95" t="s">
        <v>60</v>
      </c>
      <c r="U22" s="40"/>
      <c r="V22" s="40" t="str">
        <f>O22</f>
        <v>Griekenland</v>
      </c>
      <c r="W22" s="40" t="s">
        <v>58</v>
      </c>
      <c r="Y22" s="109">
        <f t="shared" si="8"/>
        <v>5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5</v>
      </c>
      <c r="AG22" s="108">
        <f t="shared" si="0"/>
        <v>0</v>
      </c>
      <c r="AH22" s="108">
        <f t="shared" si="1"/>
        <v>0</v>
      </c>
      <c r="AI22" s="108">
        <f t="shared" si="10"/>
        <v>0</v>
      </c>
      <c r="AJ22" s="108">
        <f t="shared" si="2"/>
        <v>5</v>
      </c>
      <c r="AK22" s="108">
        <f t="shared" si="3"/>
        <v>0</v>
      </c>
      <c r="AL22" s="108">
        <f t="shared" si="4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18">
        <v>16</v>
      </c>
      <c r="C23" s="19">
        <v>41807</v>
      </c>
      <c r="D23" s="20" t="s">
        <v>8</v>
      </c>
      <c r="E23" s="21" t="s">
        <v>9</v>
      </c>
      <c r="F23" s="30" t="s">
        <v>11</v>
      </c>
      <c r="G23" s="86">
        <v>1</v>
      </c>
      <c r="H23" s="21" t="s">
        <v>9</v>
      </c>
      <c r="I23" s="91">
        <v>0</v>
      </c>
      <c r="J23" s="23">
        <f t="shared" si="5"/>
        <v>1</v>
      </c>
      <c r="K23" s="11">
        <f t="shared" si="6"/>
        <v>3</v>
      </c>
      <c r="L23" s="11">
        <f t="shared" si="7"/>
        <v>0</v>
      </c>
      <c r="O23" s="48" t="s">
        <v>23</v>
      </c>
      <c r="P23" s="49">
        <f>SUMIF($D$8:$D$55,$O23,$G$8:$G$55)+SUMIF($F$8:$F$55,$O23,$I$8:$I$55)</f>
        <v>2</v>
      </c>
      <c r="Q23" s="49">
        <f>SUMIF($D$8:$D$55,$O23,$I$8:$I$55)+SUMIF($F$8:$F$55,$O23,$G$8:$G$55)</f>
        <v>5</v>
      </c>
      <c r="R23" s="49">
        <f>P23-Q23</f>
        <v>-3</v>
      </c>
      <c r="S23" s="50">
        <f>SUMIF($D$8:$D$55,$O23,$K$8:$K$55)+SUMIF($F$8:$F$55,$O23,$L$8:$L$55)</f>
        <v>3</v>
      </c>
      <c r="T23" s="95" t="s">
        <v>59</v>
      </c>
      <c r="U23" s="40"/>
      <c r="V23" s="40" t="str">
        <f>O23</f>
        <v>Ivoorkust</v>
      </c>
      <c r="W23" s="40" t="s">
        <v>59</v>
      </c>
      <c r="Y23" s="109">
        <f t="shared" si="8"/>
        <v>1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1</v>
      </c>
      <c r="AG23" s="108">
        <f t="shared" si="0"/>
        <v>0</v>
      </c>
      <c r="AH23" s="108">
        <f t="shared" si="1"/>
        <v>1</v>
      </c>
      <c r="AI23" s="108">
        <f t="shared" si="10"/>
        <v>0</v>
      </c>
      <c r="AJ23" s="108">
        <f t="shared" si="2"/>
        <v>0</v>
      </c>
      <c r="AK23" s="108">
        <f t="shared" si="3"/>
        <v>0</v>
      </c>
      <c r="AL23" s="108">
        <f t="shared" si="4"/>
        <v>0</v>
      </c>
      <c r="AM23" s="120">
        <f>AO23</f>
        <v>10</v>
      </c>
      <c r="AN23" s="117" t="s">
        <v>23</v>
      </c>
      <c r="AO23" s="115">
        <f>IF(Uitslag!T23="",0,IF(T23=Uitslag!T23,10,0))</f>
        <v>10</v>
      </c>
    </row>
    <row r="24" spans="2:41" ht="15.75" thickBot="1">
      <c r="B24" s="24">
        <v>17</v>
      </c>
      <c r="C24" s="25">
        <v>41807</v>
      </c>
      <c r="D24" s="26" t="s">
        <v>39</v>
      </c>
      <c r="E24" s="27" t="s">
        <v>9</v>
      </c>
      <c r="F24" s="28" t="s">
        <v>40</v>
      </c>
      <c r="G24" s="87">
        <v>0</v>
      </c>
      <c r="H24" s="27" t="s">
        <v>9</v>
      </c>
      <c r="I24" s="92">
        <v>2</v>
      </c>
      <c r="J24" s="29">
        <f t="shared" si="5"/>
        <v>2</v>
      </c>
      <c r="K24" s="11">
        <f t="shared" si="6"/>
        <v>0</v>
      </c>
      <c r="L24" s="11">
        <f t="shared" si="7"/>
        <v>3</v>
      </c>
      <c r="O24" s="51" t="s">
        <v>24</v>
      </c>
      <c r="P24" s="52">
        <f>SUMIF($D$8:$D$55,$O24,$G$8:$G$55)+SUMIF($F$8:$F$55,$O24,$I$8:$I$55)</f>
        <v>7</v>
      </c>
      <c r="Q24" s="52">
        <f>SUMIF($D$8:$D$55,$O24,$I$8:$I$55)+SUMIF($F$8:$F$55,$O24,$G$8:$G$55)</f>
        <v>1</v>
      </c>
      <c r="R24" s="52">
        <f>P24-Q24</f>
        <v>6</v>
      </c>
      <c r="S24" s="53">
        <f>SUMIF($D$8:$D$55,$O24,$K$8:$K$55)+SUMIF($F$8:$F$55,$O24,$L$8:$L$55)</f>
        <v>9</v>
      </c>
      <c r="T24" s="96" t="s">
        <v>57</v>
      </c>
      <c r="U24" s="40"/>
      <c r="V24" s="40" t="str">
        <f>O24</f>
        <v>Japan</v>
      </c>
      <c r="W24" s="40" t="s">
        <v>60</v>
      </c>
      <c r="Y24" s="109">
        <f t="shared" si="8"/>
        <v>0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0</v>
      </c>
      <c r="AG24" s="108">
        <f t="shared" si="0"/>
        <v>0</v>
      </c>
      <c r="AH24" s="108">
        <f t="shared" si="1"/>
        <v>0</v>
      </c>
      <c r="AI24" s="108">
        <f t="shared" si="10"/>
        <v>0</v>
      </c>
      <c r="AJ24" s="108">
        <f t="shared" si="2"/>
        <v>0</v>
      </c>
      <c r="AK24" s="108">
        <f t="shared" si="3"/>
        <v>0</v>
      </c>
      <c r="AL24" s="108">
        <f t="shared" si="4"/>
        <v>0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12">
        <v>18</v>
      </c>
      <c r="C25" s="13">
        <v>41808</v>
      </c>
      <c r="D25" s="14" t="s">
        <v>16</v>
      </c>
      <c r="E25" s="15" t="s">
        <v>9</v>
      </c>
      <c r="F25" s="31" t="s">
        <v>14</v>
      </c>
      <c r="G25" s="85">
        <v>0</v>
      </c>
      <c r="H25" s="15" t="s">
        <v>9</v>
      </c>
      <c r="I25" s="90">
        <v>3</v>
      </c>
      <c r="J25" s="17">
        <f t="shared" si="5"/>
        <v>2</v>
      </c>
      <c r="K25" s="11">
        <f t="shared" si="6"/>
        <v>0</v>
      </c>
      <c r="L25" s="11">
        <f t="shared" si="7"/>
        <v>3</v>
      </c>
      <c r="O25" s="40"/>
      <c r="P25" s="41"/>
      <c r="Q25" s="41"/>
      <c r="R25" s="41"/>
      <c r="S25" s="41"/>
      <c r="T25" s="41"/>
      <c r="U25" s="40"/>
      <c r="V25" s="40"/>
      <c r="W25" s="40"/>
      <c r="Y25" s="109">
        <f t="shared" si="8"/>
        <v>6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6</v>
      </c>
      <c r="AG25" s="108">
        <f t="shared" si="0"/>
        <v>0</v>
      </c>
      <c r="AH25" s="108">
        <f t="shared" si="1"/>
        <v>1</v>
      </c>
      <c r="AI25" s="108">
        <f t="shared" si="10"/>
        <v>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40"/>
      <c r="AO25" s="41"/>
    </row>
    <row r="26" spans="2:41" ht="15.75" thickBot="1">
      <c r="B26" s="18">
        <v>19</v>
      </c>
      <c r="C26" s="19">
        <v>41808</v>
      </c>
      <c r="D26" s="20" t="s">
        <v>13</v>
      </c>
      <c r="E26" s="21" t="s">
        <v>9</v>
      </c>
      <c r="F26" s="30" t="s">
        <v>15</v>
      </c>
      <c r="G26" s="86">
        <v>0</v>
      </c>
      <c r="H26" s="21" t="s">
        <v>9</v>
      </c>
      <c r="I26" s="91">
        <v>1</v>
      </c>
      <c r="J26" s="23">
        <f t="shared" si="5"/>
        <v>2</v>
      </c>
      <c r="K26" s="11">
        <f t="shared" si="6"/>
        <v>0</v>
      </c>
      <c r="L26" s="11">
        <f t="shared" si="7"/>
        <v>3</v>
      </c>
      <c r="O26" s="72" t="s">
        <v>61</v>
      </c>
      <c r="P26" s="73" t="s">
        <v>42</v>
      </c>
      <c r="Q26" s="73" t="s">
        <v>43</v>
      </c>
      <c r="R26" s="74" t="s">
        <v>44</v>
      </c>
      <c r="S26" s="75" t="s">
        <v>45</v>
      </c>
      <c r="T26" s="76" t="s">
        <v>46</v>
      </c>
      <c r="U26" s="40"/>
      <c r="V26" s="40"/>
      <c r="W26" s="40"/>
      <c r="Y26" s="109">
        <f t="shared" si="8"/>
        <v>6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6</v>
      </c>
      <c r="AG26" s="108">
        <f t="shared" si="0"/>
        <v>1</v>
      </c>
      <c r="AH26" s="108">
        <f t="shared" si="1"/>
        <v>0</v>
      </c>
      <c r="AI26" s="108">
        <f t="shared" si="10"/>
        <v>0</v>
      </c>
      <c r="AJ26" s="108">
        <f t="shared" si="2"/>
        <v>0</v>
      </c>
      <c r="AK26" s="108">
        <f t="shared" si="3"/>
        <v>5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24">
        <v>20</v>
      </c>
      <c r="C27" s="25">
        <v>41808</v>
      </c>
      <c r="D27" s="26" t="s">
        <v>12</v>
      </c>
      <c r="E27" s="27" t="s">
        <v>9</v>
      </c>
      <c r="F27" s="28" t="s">
        <v>10</v>
      </c>
      <c r="G27" s="87">
        <v>2</v>
      </c>
      <c r="H27" s="27" t="s">
        <v>9</v>
      </c>
      <c r="I27" s="92">
        <v>2</v>
      </c>
      <c r="J27" s="29">
        <f t="shared" si="5"/>
        <v>3</v>
      </c>
      <c r="K27" s="11">
        <f t="shared" si="6"/>
        <v>1</v>
      </c>
      <c r="L27" s="11">
        <f t="shared" si="7"/>
        <v>1</v>
      </c>
      <c r="O27" s="44" t="s">
        <v>19</v>
      </c>
      <c r="P27" s="45">
        <f>SUMIF($D$8:$D$55,$O27,$G$8:$G$55)+SUMIF($F$8:$F$55,$O27,$I$8:$I$55)</f>
        <v>2</v>
      </c>
      <c r="Q27" s="45">
        <f>SUMIF($D$8:$D$55,$O27,$I$8:$I$55)+SUMIF($F$8:$F$55,$O27,$G$8:$G$55)</f>
        <v>3</v>
      </c>
      <c r="R27" s="46">
        <f>P27-Q27</f>
        <v>-1</v>
      </c>
      <c r="S27" s="47">
        <f>SUMIF($D$8:$D$55,$O27,$K$8:$K$55)+SUMIF($F$8:$F$55,$O27,$L$8:$L$55)</f>
        <v>2</v>
      </c>
      <c r="T27" s="94" t="s">
        <v>65</v>
      </c>
      <c r="U27" s="40"/>
      <c r="V27" s="40" t="str">
        <f>O27</f>
        <v>Uruguay</v>
      </c>
      <c r="W27" s="40" t="s">
        <v>62</v>
      </c>
      <c r="Y27" s="109">
        <f t="shared" si="8"/>
        <v>0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0</v>
      </c>
      <c r="AG27" s="108">
        <f t="shared" si="0"/>
        <v>0</v>
      </c>
      <c r="AH27" s="108">
        <f t="shared" si="1"/>
        <v>0</v>
      </c>
      <c r="AI27" s="108">
        <f t="shared" si="10"/>
        <v>0</v>
      </c>
      <c r="AJ27" s="108">
        <f t="shared" si="2"/>
        <v>0</v>
      </c>
      <c r="AK27" s="108">
        <f t="shared" si="3"/>
        <v>0</v>
      </c>
      <c r="AL27" s="108">
        <f t="shared" si="4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12">
        <v>21</v>
      </c>
      <c r="C28" s="13">
        <v>41809</v>
      </c>
      <c r="D28" s="14" t="s">
        <v>17</v>
      </c>
      <c r="E28" s="15" t="s">
        <v>9</v>
      </c>
      <c r="F28" s="16" t="s">
        <v>23</v>
      </c>
      <c r="G28" s="85">
        <v>3</v>
      </c>
      <c r="H28" s="15" t="s">
        <v>9</v>
      </c>
      <c r="I28" s="90">
        <v>1</v>
      </c>
      <c r="J28" s="17">
        <f t="shared" si="5"/>
        <v>1</v>
      </c>
      <c r="K28" s="11">
        <f t="shared" si="6"/>
        <v>3</v>
      </c>
      <c r="L28" s="11">
        <f t="shared" si="7"/>
        <v>0</v>
      </c>
      <c r="O28" s="48" t="s">
        <v>20</v>
      </c>
      <c r="P28" s="49">
        <f>SUMIF($D$8:$D$55,$O28,$G$8:$G$55)+SUMIF($F$8:$F$55,$O28,$I$8:$I$55)</f>
        <v>2</v>
      </c>
      <c r="Q28" s="49">
        <f>SUMIF($D$8:$D$55,$O28,$I$8:$I$55)+SUMIF($F$8:$F$55,$O28,$G$8:$G$55)</f>
        <v>1</v>
      </c>
      <c r="R28" s="49">
        <f>P28-Q28</f>
        <v>1</v>
      </c>
      <c r="S28" s="50">
        <f>SUMIF($D$8:$D$55,$O28,$K$8:$K$55)+SUMIF($F$8:$F$55,$O28,$L$8:$L$55)</f>
        <v>5</v>
      </c>
      <c r="T28" s="95" t="s">
        <v>62</v>
      </c>
      <c r="U28" s="40"/>
      <c r="V28" s="40" t="str">
        <f>O28</f>
        <v>Costa Rica</v>
      </c>
      <c r="W28" s="40" t="s">
        <v>63</v>
      </c>
      <c r="Y28" s="109">
        <f t="shared" si="8"/>
        <v>6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6</v>
      </c>
      <c r="AG28" s="108">
        <f t="shared" si="0"/>
        <v>0</v>
      </c>
      <c r="AH28" s="108">
        <f t="shared" si="1"/>
        <v>1</v>
      </c>
      <c r="AI28" s="108">
        <f t="shared" si="10"/>
        <v>0</v>
      </c>
      <c r="AJ28" s="108">
        <f t="shared" si="2"/>
        <v>5</v>
      </c>
      <c r="AK28" s="108">
        <f t="shared" si="3"/>
        <v>0</v>
      </c>
      <c r="AL28" s="108">
        <f t="shared" si="4"/>
        <v>0</v>
      </c>
      <c r="AM28" s="120">
        <f>AO28</f>
        <v>10</v>
      </c>
      <c r="AN28" s="117" t="s">
        <v>20</v>
      </c>
      <c r="AO28" s="115">
        <f>IF(Uitslag!T28="",0,IF(T28=Uitslag!T28,10,0))</f>
        <v>10</v>
      </c>
    </row>
    <row r="29" spans="2:41" ht="15.75" thickBot="1">
      <c r="B29" s="18">
        <v>22</v>
      </c>
      <c r="C29" s="19">
        <v>41809</v>
      </c>
      <c r="D29" s="20" t="s">
        <v>19</v>
      </c>
      <c r="E29" s="21" t="s">
        <v>9</v>
      </c>
      <c r="F29" s="30" t="s">
        <v>21</v>
      </c>
      <c r="G29" s="86">
        <v>1</v>
      </c>
      <c r="H29" s="21" t="s">
        <v>9</v>
      </c>
      <c r="I29" s="91">
        <v>2</v>
      </c>
      <c r="J29" s="23">
        <f t="shared" si="5"/>
        <v>2</v>
      </c>
      <c r="K29" s="11">
        <f t="shared" si="6"/>
        <v>0</v>
      </c>
      <c r="L29" s="11">
        <f t="shared" si="7"/>
        <v>3</v>
      </c>
      <c r="O29" s="48" t="s">
        <v>21</v>
      </c>
      <c r="P29" s="49">
        <f>SUMIF($D$8:$D$55,$O29,$G$8:$G$55)+SUMIF($F$8:$F$55,$O29,$I$8:$I$55)</f>
        <v>5</v>
      </c>
      <c r="Q29" s="49">
        <f>SUMIF($D$8:$D$55,$O29,$I$8:$I$55)+SUMIF($F$8:$F$55,$O29,$G$8:$G$55)</f>
        <v>5</v>
      </c>
      <c r="R29" s="49">
        <f>P29-Q29</f>
        <v>0</v>
      </c>
      <c r="S29" s="50">
        <f>SUMIF($D$8:$D$55,$O29,$K$8:$K$55)+SUMIF($F$8:$F$55,$O29,$L$8:$L$55)</f>
        <v>4</v>
      </c>
      <c r="T29" s="95" t="s">
        <v>63</v>
      </c>
      <c r="U29" s="40"/>
      <c r="V29" s="40" t="str">
        <f>O29</f>
        <v>Engeland</v>
      </c>
      <c r="W29" s="40" t="s">
        <v>64</v>
      </c>
      <c r="Y29" s="109">
        <f t="shared" si="8"/>
        <v>0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0</v>
      </c>
      <c r="AG29" s="108">
        <f t="shared" si="0"/>
        <v>0</v>
      </c>
      <c r="AH29" s="108">
        <f t="shared" si="1"/>
        <v>0</v>
      </c>
      <c r="AI29" s="108">
        <f t="shared" si="10"/>
        <v>0</v>
      </c>
      <c r="AJ29" s="108">
        <f t="shared" si="2"/>
        <v>0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24">
        <v>23</v>
      </c>
      <c r="C30" s="25">
        <v>41809</v>
      </c>
      <c r="D30" s="26" t="s">
        <v>24</v>
      </c>
      <c r="E30" s="27" t="s">
        <v>9</v>
      </c>
      <c r="F30" s="28" t="s">
        <v>18</v>
      </c>
      <c r="G30" s="87">
        <v>4</v>
      </c>
      <c r="H30" s="27" t="s">
        <v>9</v>
      </c>
      <c r="I30" s="92">
        <v>1</v>
      </c>
      <c r="J30" s="29">
        <f t="shared" si="5"/>
        <v>1</v>
      </c>
      <c r="K30" s="11">
        <f t="shared" si="6"/>
        <v>3</v>
      </c>
      <c r="L30" s="11">
        <f t="shared" si="7"/>
        <v>0</v>
      </c>
      <c r="O30" s="51" t="s">
        <v>22</v>
      </c>
      <c r="P30" s="52">
        <f>SUMIF($D$8:$D$55,$O30,$G$8:$G$55)+SUMIF($F$8:$F$55,$O30,$I$8:$I$55)</f>
        <v>3</v>
      </c>
      <c r="Q30" s="52">
        <f>SUMIF($D$8:$D$55,$O30,$I$8:$I$55)+SUMIF($F$8:$F$55,$O30,$G$8:$G$55)</f>
        <v>3</v>
      </c>
      <c r="R30" s="52">
        <f>P30-Q30</f>
        <v>0</v>
      </c>
      <c r="S30" s="53">
        <f>SUMIF($D$8:$D$55,$O30,$K$8:$K$55)+SUMIF($F$8:$F$55,$O30,$L$8:$L$55)</f>
        <v>3</v>
      </c>
      <c r="T30" s="96" t="s">
        <v>64</v>
      </c>
      <c r="U30" s="40"/>
      <c r="V30" s="40" t="str">
        <f>O30</f>
        <v>Italië</v>
      </c>
      <c r="W30" s="40" t="s">
        <v>65</v>
      </c>
      <c r="Y30" s="109">
        <f t="shared" si="8"/>
        <v>0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0</v>
      </c>
      <c r="AG30" s="108">
        <f t="shared" si="0"/>
        <v>0</v>
      </c>
      <c r="AH30" s="108">
        <f t="shared" si="1"/>
        <v>0</v>
      </c>
      <c r="AI30" s="108">
        <f t="shared" si="10"/>
        <v>0</v>
      </c>
      <c r="AJ30" s="108">
        <f t="shared" si="2"/>
        <v>0</v>
      </c>
      <c r="AK30" s="108">
        <f t="shared" si="3"/>
        <v>0</v>
      </c>
      <c r="AL30" s="108">
        <f t="shared" si="4"/>
        <v>0</v>
      </c>
      <c r="AM30" s="120">
        <f>AO30</f>
        <v>10</v>
      </c>
      <c r="AN30" s="118" t="s">
        <v>22</v>
      </c>
      <c r="AO30" s="115">
        <f>IF(Uitslag!T30="",0,IF(T30=Uitslag!T30,10,0))</f>
        <v>10</v>
      </c>
    </row>
    <row r="31" spans="2:41" ht="15.75" thickBot="1">
      <c r="B31" s="12">
        <v>24</v>
      </c>
      <c r="C31" s="13">
        <v>41810</v>
      </c>
      <c r="D31" s="14" t="s">
        <v>22</v>
      </c>
      <c r="E31" s="15" t="s">
        <v>9</v>
      </c>
      <c r="F31" s="16" t="s">
        <v>20</v>
      </c>
      <c r="G31" s="85">
        <v>0</v>
      </c>
      <c r="H31" s="15" t="s">
        <v>9</v>
      </c>
      <c r="I31" s="90">
        <v>0</v>
      </c>
      <c r="J31" s="17">
        <f t="shared" si="5"/>
        <v>3</v>
      </c>
      <c r="K31" s="11">
        <f t="shared" si="6"/>
        <v>1</v>
      </c>
      <c r="L31" s="11">
        <f t="shared" si="7"/>
        <v>1</v>
      </c>
      <c r="O31" s="40"/>
      <c r="P31" s="41"/>
      <c r="Q31" s="41"/>
      <c r="R31" s="41"/>
      <c r="S31" s="41"/>
      <c r="T31" s="41"/>
      <c r="U31" s="40"/>
      <c r="V31" s="40"/>
      <c r="W31" s="40"/>
      <c r="Y31" s="109">
        <f t="shared" si="8"/>
        <v>1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1</v>
      </c>
      <c r="AG31" s="108">
        <f t="shared" si="0"/>
        <v>1</v>
      </c>
      <c r="AH31" s="108">
        <f t="shared" si="1"/>
        <v>0</v>
      </c>
      <c r="AI31" s="108">
        <f t="shared" si="10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40"/>
      <c r="AO31" s="41"/>
    </row>
    <row r="32" spans="2:41" ht="15.75" thickBot="1">
      <c r="B32" s="18">
        <v>25</v>
      </c>
      <c r="C32" s="19">
        <v>41810</v>
      </c>
      <c r="D32" s="20" t="s">
        <v>25</v>
      </c>
      <c r="E32" s="21" t="s">
        <v>9</v>
      </c>
      <c r="F32" s="30" t="s">
        <v>27</v>
      </c>
      <c r="G32" s="86">
        <v>1</v>
      </c>
      <c r="H32" s="21" t="s">
        <v>9</v>
      </c>
      <c r="I32" s="91">
        <v>3</v>
      </c>
      <c r="J32" s="23">
        <f t="shared" si="5"/>
        <v>2</v>
      </c>
      <c r="K32" s="11">
        <f t="shared" si="6"/>
        <v>0</v>
      </c>
      <c r="L32" s="11">
        <f t="shared" si="7"/>
        <v>3</v>
      </c>
      <c r="O32" s="72" t="s">
        <v>66</v>
      </c>
      <c r="P32" s="73" t="s">
        <v>42</v>
      </c>
      <c r="Q32" s="73" t="s">
        <v>43</v>
      </c>
      <c r="R32" s="74" t="s">
        <v>44</v>
      </c>
      <c r="S32" s="75" t="s">
        <v>45</v>
      </c>
      <c r="T32" s="76" t="s">
        <v>46</v>
      </c>
      <c r="U32" s="40"/>
      <c r="V32" s="40"/>
      <c r="W32" s="40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0"/>
        <v>0</v>
      </c>
      <c r="AH32" s="108">
        <f t="shared" si="1"/>
        <v>0</v>
      </c>
      <c r="AI32" s="108">
        <f t="shared" si="10"/>
        <v>0</v>
      </c>
      <c r="AJ32" s="108">
        <f t="shared" si="2"/>
        <v>0</v>
      </c>
      <c r="AK32" s="108">
        <f t="shared" si="3"/>
        <v>5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24">
        <v>26</v>
      </c>
      <c r="C33" s="25">
        <v>41810</v>
      </c>
      <c r="D33" s="26" t="s">
        <v>28</v>
      </c>
      <c r="E33" s="27" t="s">
        <v>9</v>
      </c>
      <c r="F33" s="28" t="s">
        <v>26</v>
      </c>
      <c r="G33" s="87">
        <v>0</v>
      </c>
      <c r="H33" s="27" t="s">
        <v>9</v>
      </c>
      <c r="I33" s="92">
        <v>0</v>
      </c>
      <c r="J33" s="29">
        <f t="shared" si="5"/>
        <v>3</v>
      </c>
      <c r="K33" s="11">
        <f t="shared" si="6"/>
        <v>1</v>
      </c>
      <c r="L33" s="11">
        <f t="shared" si="7"/>
        <v>1</v>
      </c>
      <c r="O33" s="44" t="s">
        <v>25</v>
      </c>
      <c r="P33" s="45">
        <f>SUMIF($D$8:$D$55,$O33,$G$8:$G$55)+SUMIF($F$8:$F$55,$O33,$I$8:$I$55)</f>
        <v>3</v>
      </c>
      <c r="Q33" s="45">
        <f>SUMIF($D$8:$D$55,$O33,$I$8:$I$55)+SUMIF($F$8:$F$55,$O33,$G$8:$G$55)</f>
        <v>4</v>
      </c>
      <c r="R33" s="46">
        <f>P33-Q33</f>
        <v>-1</v>
      </c>
      <c r="S33" s="47">
        <f>SUMIF($D$8:$D$55,$O33,$K$8:$K$55)+SUMIF($F$8:$F$55,$O33,$L$8:$L$55)</f>
        <v>3</v>
      </c>
      <c r="T33" s="94" t="s">
        <v>69</v>
      </c>
      <c r="U33" s="40"/>
      <c r="V33" s="40" t="str">
        <f>O33</f>
        <v>Zwitserland</v>
      </c>
      <c r="W33" s="40" t="s">
        <v>67</v>
      </c>
      <c r="Y33" s="109">
        <f t="shared" si="8"/>
        <v>0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0</v>
      </c>
      <c r="AG33" s="108">
        <f t="shared" si="0"/>
        <v>0</v>
      </c>
      <c r="AH33" s="108">
        <f t="shared" si="1"/>
        <v>0</v>
      </c>
      <c r="AI33" s="108">
        <f t="shared" si="10"/>
        <v>0</v>
      </c>
      <c r="AJ33" s="108">
        <f t="shared" si="2"/>
        <v>0</v>
      </c>
      <c r="AK33" s="108">
        <f t="shared" si="3"/>
        <v>0</v>
      </c>
      <c r="AL33" s="108">
        <f t="shared" si="4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12">
        <v>27</v>
      </c>
      <c r="C34" s="13">
        <v>41811</v>
      </c>
      <c r="D34" s="14" t="s">
        <v>29</v>
      </c>
      <c r="E34" s="15" t="s">
        <v>9</v>
      </c>
      <c r="F34" s="16" t="s">
        <v>33</v>
      </c>
      <c r="G34" s="85">
        <v>1</v>
      </c>
      <c r="H34" s="15" t="s">
        <v>9</v>
      </c>
      <c r="I34" s="90">
        <v>0</v>
      </c>
      <c r="J34" s="17">
        <f t="shared" si="5"/>
        <v>1</v>
      </c>
      <c r="K34" s="11">
        <f t="shared" si="6"/>
        <v>3</v>
      </c>
      <c r="L34" s="11">
        <f t="shared" si="7"/>
        <v>0</v>
      </c>
      <c r="O34" s="48" t="s">
        <v>26</v>
      </c>
      <c r="P34" s="49">
        <f>SUMIF($D$8:$D$55,$O34,$G$8:$G$55)+SUMIF($F$8:$F$55,$O34,$I$8:$I$55)</f>
        <v>3</v>
      </c>
      <c r="Q34" s="49">
        <f>SUMIF($D$8:$D$55,$O34,$I$8:$I$55)+SUMIF($F$8:$F$55,$O34,$G$8:$G$55)</f>
        <v>1</v>
      </c>
      <c r="R34" s="49">
        <f>P34-Q34</f>
        <v>2</v>
      </c>
      <c r="S34" s="50">
        <f>SUMIF($D$8:$D$55,$O34,$K$8:$K$55)+SUMIF($F$8:$F$55,$O34,$L$8:$L$55)</f>
        <v>7</v>
      </c>
      <c r="T34" s="95" t="s">
        <v>67</v>
      </c>
      <c r="U34" s="40"/>
      <c r="V34" s="40" t="str">
        <f>O34</f>
        <v>Ecuador</v>
      </c>
      <c r="W34" s="40" t="s">
        <v>68</v>
      </c>
      <c r="Y34" s="109">
        <f t="shared" si="8"/>
        <v>10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10</v>
      </c>
      <c r="AG34" s="108">
        <f t="shared" si="0"/>
        <v>1</v>
      </c>
      <c r="AH34" s="108">
        <f t="shared" si="1"/>
        <v>1</v>
      </c>
      <c r="AI34" s="108">
        <f t="shared" si="10"/>
        <v>10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18">
        <v>28</v>
      </c>
      <c r="C35" s="19">
        <v>41811</v>
      </c>
      <c r="D35" s="20" t="s">
        <v>31</v>
      </c>
      <c r="E35" s="21" t="s">
        <v>9</v>
      </c>
      <c r="F35" s="30" t="s">
        <v>35</v>
      </c>
      <c r="G35" s="86">
        <v>2</v>
      </c>
      <c r="H35" s="21" t="s">
        <v>9</v>
      </c>
      <c r="I35" s="91">
        <v>0</v>
      </c>
      <c r="J35" s="23">
        <f t="shared" si="5"/>
        <v>1</v>
      </c>
      <c r="K35" s="11">
        <f t="shared" si="6"/>
        <v>3</v>
      </c>
      <c r="L35" s="11">
        <f t="shared" si="7"/>
        <v>0</v>
      </c>
      <c r="O35" s="48" t="s">
        <v>27</v>
      </c>
      <c r="P35" s="49">
        <f>SUMIF($D$8:$D$55,$O35,$G$8:$G$55)+SUMIF($F$8:$F$55,$O35,$I$8:$I$55)</f>
        <v>6</v>
      </c>
      <c r="Q35" s="49">
        <f>SUMIF($D$8:$D$55,$O35,$I$8:$I$55)+SUMIF($F$8:$F$55,$O35,$G$8:$G$55)</f>
        <v>4</v>
      </c>
      <c r="R35" s="49">
        <f>P35-Q35</f>
        <v>2</v>
      </c>
      <c r="S35" s="50">
        <f>SUMIF($D$8:$D$55,$O35,$K$8:$K$55)+SUMIF($F$8:$F$55,$O35,$L$8:$L$55)</f>
        <v>6</v>
      </c>
      <c r="T35" s="95" t="s">
        <v>68</v>
      </c>
      <c r="U35" s="40"/>
      <c r="V35" s="40" t="str">
        <f>O35</f>
        <v>Frankrijk</v>
      </c>
      <c r="W35" s="40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0"/>
        <v>1</v>
      </c>
      <c r="AH35" s="108">
        <f t="shared" si="1"/>
        <v>0</v>
      </c>
      <c r="AI35" s="108">
        <f t="shared" si="10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0</v>
      </c>
      <c r="AN35" s="117" t="s">
        <v>27</v>
      </c>
      <c r="AO35" s="115">
        <f>IF(Uitslag!T35="",0,IF(T35=Uitslag!T35,10,0))</f>
        <v>0</v>
      </c>
    </row>
    <row r="36" spans="2:41" ht="15.75" thickBot="1">
      <c r="B36" s="24">
        <v>29</v>
      </c>
      <c r="C36" s="25">
        <v>41811</v>
      </c>
      <c r="D36" s="26" t="s">
        <v>34</v>
      </c>
      <c r="E36" s="27" t="s">
        <v>9</v>
      </c>
      <c r="F36" s="28" t="s">
        <v>30</v>
      </c>
      <c r="G36" s="87">
        <v>1</v>
      </c>
      <c r="H36" s="27" t="s">
        <v>9</v>
      </c>
      <c r="I36" s="92">
        <v>0</v>
      </c>
      <c r="J36" s="29">
        <f t="shared" si="5"/>
        <v>1</v>
      </c>
      <c r="K36" s="11">
        <f t="shared" si="6"/>
        <v>3</v>
      </c>
      <c r="L36" s="11">
        <f t="shared" si="7"/>
        <v>0</v>
      </c>
      <c r="O36" s="51" t="s">
        <v>28</v>
      </c>
      <c r="P36" s="52">
        <f>SUMIF($D$8:$D$55,$O36,$G$8:$G$55)+SUMIF($F$8:$F$55,$O36,$I$8:$I$55)</f>
        <v>1</v>
      </c>
      <c r="Q36" s="52">
        <f>SUMIF($D$8:$D$55,$O36,$I$8:$I$55)+SUMIF($F$8:$F$55,$O36,$G$8:$G$55)</f>
        <v>4</v>
      </c>
      <c r="R36" s="52">
        <f>P36-Q36</f>
        <v>-3</v>
      </c>
      <c r="S36" s="53">
        <f>SUMIF($D$8:$D$55,$O36,$K$8:$K$55)+SUMIF($F$8:$F$55,$O36,$L$8:$L$55)</f>
        <v>1</v>
      </c>
      <c r="T36" s="96" t="s">
        <v>70</v>
      </c>
      <c r="U36" s="40"/>
      <c r="V36" s="40" t="str">
        <f>O36</f>
        <v>Honduras</v>
      </c>
      <c r="W36" s="40" t="s">
        <v>70</v>
      </c>
      <c r="Y36" s="109">
        <f t="shared" si="8"/>
        <v>10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10</v>
      </c>
      <c r="AG36" s="108">
        <f t="shared" si="0"/>
        <v>1</v>
      </c>
      <c r="AH36" s="108">
        <f t="shared" si="1"/>
        <v>1</v>
      </c>
      <c r="AI36" s="108">
        <f t="shared" si="10"/>
        <v>10</v>
      </c>
      <c r="AJ36" s="108">
        <f t="shared" si="2"/>
        <v>5</v>
      </c>
      <c r="AK36" s="108">
        <f t="shared" si="3"/>
        <v>0</v>
      </c>
      <c r="AL36" s="108">
        <f t="shared" si="4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12">
        <v>30</v>
      </c>
      <c r="C37" s="13">
        <v>41812</v>
      </c>
      <c r="D37" s="14" t="s">
        <v>37</v>
      </c>
      <c r="E37" s="15" t="s">
        <v>9</v>
      </c>
      <c r="F37" s="16" t="s">
        <v>39</v>
      </c>
      <c r="G37" s="85">
        <v>3</v>
      </c>
      <c r="H37" s="15" t="s">
        <v>9</v>
      </c>
      <c r="I37" s="90">
        <v>1</v>
      </c>
      <c r="J37" s="17">
        <f t="shared" si="5"/>
        <v>1</v>
      </c>
      <c r="K37" s="11">
        <f t="shared" si="6"/>
        <v>3</v>
      </c>
      <c r="L37" s="11">
        <f t="shared" si="7"/>
        <v>0</v>
      </c>
      <c r="O37" s="40"/>
      <c r="P37" s="41"/>
      <c r="Q37" s="41"/>
      <c r="R37" s="41"/>
      <c r="S37" s="41"/>
      <c r="T37" s="41"/>
      <c r="U37" s="40"/>
      <c r="V37" s="40"/>
      <c r="W37" s="40"/>
      <c r="Y37" s="109">
        <f t="shared" si="8"/>
        <v>5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5</v>
      </c>
      <c r="AG37" s="108">
        <f t="shared" si="0"/>
        <v>0</v>
      </c>
      <c r="AH37" s="108">
        <f t="shared" si="1"/>
        <v>0</v>
      </c>
      <c r="AI37" s="108">
        <f t="shared" si="10"/>
        <v>0</v>
      </c>
      <c r="AJ37" s="108">
        <f t="shared" si="2"/>
        <v>5</v>
      </c>
      <c r="AK37" s="108">
        <f t="shared" si="3"/>
        <v>0</v>
      </c>
      <c r="AL37" s="108">
        <f t="shared" si="4"/>
        <v>0</v>
      </c>
      <c r="AN37" s="40"/>
      <c r="AO37" s="41"/>
    </row>
    <row r="38" spans="2:41" ht="15.75" thickBot="1">
      <c r="B38" s="18">
        <v>31</v>
      </c>
      <c r="C38" s="19">
        <v>41812</v>
      </c>
      <c r="D38" s="20" t="s">
        <v>40</v>
      </c>
      <c r="E38" s="21" t="s">
        <v>9</v>
      </c>
      <c r="F38" s="30" t="s">
        <v>38</v>
      </c>
      <c r="G38" s="86">
        <v>2</v>
      </c>
      <c r="H38" s="21" t="s">
        <v>9</v>
      </c>
      <c r="I38" s="91">
        <v>0</v>
      </c>
      <c r="J38" s="23">
        <f t="shared" si="5"/>
        <v>1</v>
      </c>
      <c r="K38" s="11">
        <f t="shared" si="6"/>
        <v>3</v>
      </c>
      <c r="L38" s="11">
        <f t="shared" si="7"/>
        <v>0</v>
      </c>
      <c r="O38" s="72" t="s">
        <v>71</v>
      </c>
      <c r="P38" s="73" t="s">
        <v>42</v>
      </c>
      <c r="Q38" s="73" t="s">
        <v>43</v>
      </c>
      <c r="R38" s="74" t="s">
        <v>44</v>
      </c>
      <c r="S38" s="75" t="s">
        <v>45</v>
      </c>
      <c r="T38" s="76" t="s">
        <v>46</v>
      </c>
      <c r="U38" s="40"/>
      <c r="V38" s="40"/>
      <c r="W38" s="40"/>
      <c r="Y38" s="109">
        <f t="shared" si="8"/>
        <v>1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1</v>
      </c>
      <c r="AG38" s="108">
        <f t="shared" si="0"/>
        <v>1</v>
      </c>
      <c r="AH38" s="108">
        <f t="shared" si="1"/>
        <v>0</v>
      </c>
      <c r="AI38" s="108">
        <f t="shared" si="10"/>
        <v>0</v>
      </c>
      <c r="AJ38" s="108">
        <f t="shared" si="2"/>
        <v>0</v>
      </c>
      <c r="AK38" s="108">
        <f t="shared" si="3"/>
        <v>0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24">
        <v>32</v>
      </c>
      <c r="C39" s="25">
        <v>41812</v>
      </c>
      <c r="D39" s="26" t="s">
        <v>36</v>
      </c>
      <c r="E39" s="27" t="s">
        <v>9</v>
      </c>
      <c r="F39" s="28" t="s">
        <v>32</v>
      </c>
      <c r="G39" s="87">
        <v>0</v>
      </c>
      <c r="H39" s="27" t="s">
        <v>9</v>
      </c>
      <c r="I39" s="92">
        <v>3</v>
      </c>
      <c r="J39" s="29">
        <f t="shared" si="5"/>
        <v>2</v>
      </c>
      <c r="K39" s="11">
        <f t="shared" si="6"/>
        <v>0</v>
      </c>
      <c r="L39" s="11">
        <f t="shared" si="7"/>
        <v>3</v>
      </c>
      <c r="O39" s="44" t="s">
        <v>29</v>
      </c>
      <c r="P39" s="45">
        <f>SUMIF($D$8:$D$55,$O39,$G$8:$G$55)+SUMIF($F$8:$F$55,$O39,$I$8:$I$55)</f>
        <v>5</v>
      </c>
      <c r="Q39" s="45">
        <f>SUMIF($D$8:$D$55,$O39,$I$8:$I$55)+SUMIF($F$8:$F$55,$O39,$G$8:$G$55)</f>
        <v>1</v>
      </c>
      <c r="R39" s="46">
        <f>P39-Q39</f>
        <v>4</v>
      </c>
      <c r="S39" s="47">
        <f>SUMIF($D$8:$D$55,$O39,$K$8:$K$55)+SUMIF($F$8:$F$55,$O39,$L$8:$L$55)</f>
        <v>7</v>
      </c>
      <c r="T39" s="94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0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0</v>
      </c>
      <c r="AG39" s="108">
        <f t="shared" si="0"/>
        <v>0</v>
      </c>
      <c r="AH39" s="108">
        <f t="shared" si="1"/>
        <v>0</v>
      </c>
      <c r="AI39" s="108">
        <f t="shared" si="10"/>
        <v>0</v>
      </c>
      <c r="AJ39" s="108">
        <f t="shared" si="2"/>
        <v>0</v>
      </c>
      <c r="AK39" s="108">
        <f t="shared" si="3"/>
        <v>0</v>
      </c>
      <c r="AL39" s="108">
        <f t="shared" si="4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12">
        <v>33</v>
      </c>
      <c r="C40" s="13">
        <v>41813</v>
      </c>
      <c r="D40" s="14" t="s">
        <v>16</v>
      </c>
      <c r="E40" s="15" t="s">
        <v>9</v>
      </c>
      <c r="F40" s="16" t="s">
        <v>13</v>
      </c>
      <c r="G40" s="85">
        <v>1</v>
      </c>
      <c r="H40" s="15" t="s">
        <v>9</v>
      </c>
      <c r="I40" s="90">
        <v>4</v>
      </c>
      <c r="J40" s="17">
        <f t="shared" si="5"/>
        <v>2</v>
      </c>
      <c r="K40" s="11">
        <f t="shared" si="6"/>
        <v>0</v>
      </c>
      <c r="L40" s="11">
        <f t="shared" si="7"/>
        <v>3</v>
      </c>
      <c r="O40" s="48" t="s">
        <v>30</v>
      </c>
      <c r="P40" s="49">
        <f>SUMIF($D$8:$D$55,$O40,$G$8:$G$55)+SUMIF($F$8:$F$55,$O40,$I$8:$I$55)</f>
        <v>2</v>
      </c>
      <c r="Q40" s="49">
        <f>SUMIF($D$8:$D$55,$O40,$I$8:$I$55)+SUMIF($F$8:$F$55,$O40,$G$8:$G$55)</f>
        <v>4</v>
      </c>
      <c r="R40" s="49">
        <f>P40-Q40</f>
        <v>-2</v>
      </c>
      <c r="S40" s="50">
        <f>SUMIF($D$8:$D$55,$O40,$K$8:$K$55)+SUMIF($F$8:$F$55,$O40,$L$8:$L$55)</f>
        <v>3</v>
      </c>
      <c r="T40" s="95" t="s">
        <v>74</v>
      </c>
      <c r="U40" s="40"/>
      <c r="V40" s="40" t="str">
        <f>O40</f>
        <v>Bosnië H.</v>
      </c>
      <c r="W40" s="40" t="s">
        <v>73</v>
      </c>
      <c r="Y40" s="109">
        <f t="shared" si="8"/>
        <v>5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5</v>
      </c>
      <c r="AG40" s="108">
        <f t="shared" si="0"/>
        <v>0</v>
      </c>
      <c r="AH40" s="108">
        <f t="shared" si="1"/>
        <v>0</v>
      </c>
      <c r="AI40" s="108">
        <f t="shared" si="10"/>
        <v>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18">
        <v>34</v>
      </c>
      <c r="C41" s="19">
        <v>41813</v>
      </c>
      <c r="D41" s="32" t="s">
        <v>14</v>
      </c>
      <c r="E41" s="21" t="s">
        <v>9</v>
      </c>
      <c r="F41" s="30" t="s">
        <v>15</v>
      </c>
      <c r="G41" s="86">
        <v>1</v>
      </c>
      <c r="H41" s="21" t="s">
        <v>9</v>
      </c>
      <c r="I41" s="91">
        <v>0</v>
      </c>
      <c r="J41" s="23">
        <f t="shared" si="5"/>
        <v>1</v>
      </c>
      <c r="K41" s="11">
        <f t="shared" si="6"/>
        <v>3</v>
      </c>
      <c r="L41" s="11">
        <f t="shared" si="7"/>
        <v>0</v>
      </c>
      <c r="O41" s="48" t="s">
        <v>33</v>
      </c>
      <c r="P41" s="49">
        <f>SUMIF($D$8:$D$55,$O41,$G$8:$G$55)+SUMIF($F$8:$F$55,$O41,$I$8:$I$55)</f>
        <v>0</v>
      </c>
      <c r="Q41" s="49">
        <f>SUMIF($D$8:$D$55,$O41,$I$8:$I$55)+SUMIF($F$8:$F$55,$O41,$G$8:$G$55)</f>
        <v>5</v>
      </c>
      <c r="R41" s="49">
        <f>P41-Q41</f>
        <v>-5</v>
      </c>
      <c r="S41" s="50">
        <f>SUMIF($D$8:$D$55,$O41,$K$8:$K$55)+SUMIF($F$8:$F$55,$O41,$L$8:$L$55)</f>
        <v>0</v>
      </c>
      <c r="T41" s="95" t="s">
        <v>75</v>
      </c>
      <c r="U41" s="40"/>
      <c r="V41" s="40" t="str">
        <f>O41</f>
        <v>Iran</v>
      </c>
      <c r="W41" s="40" t="s">
        <v>74</v>
      </c>
      <c r="Y41" s="109">
        <f t="shared" si="8"/>
        <v>6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6</v>
      </c>
      <c r="AG41" s="108">
        <f t="shared" si="0"/>
        <v>0</v>
      </c>
      <c r="AH41" s="108">
        <f t="shared" si="1"/>
        <v>1</v>
      </c>
      <c r="AI41" s="108">
        <f t="shared" si="10"/>
        <v>0</v>
      </c>
      <c r="AJ41" s="108">
        <f t="shared" si="2"/>
        <v>5</v>
      </c>
      <c r="AK41" s="108">
        <f t="shared" si="3"/>
        <v>0</v>
      </c>
      <c r="AL41" s="108">
        <f t="shared" si="4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18">
        <v>35</v>
      </c>
      <c r="C42" s="19">
        <v>41813</v>
      </c>
      <c r="D42" s="20" t="s">
        <v>12</v>
      </c>
      <c r="E42" s="21" t="s">
        <v>9</v>
      </c>
      <c r="F42" s="30" t="s">
        <v>8</v>
      </c>
      <c r="G42" s="86">
        <v>0</v>
      </c>
      <c r="H42" s="21" t="s">
        <v>9</v>
      </c>
      <c r="I42" s="91">
        <v>3</v>
      </c>
      <c r="J42" s="23">
        <f t="shared" si="5"/>
        <v>2</v>
      </c>
      <c r="K42" s="11">
        <f t="shared" si="6"/>
        <v>0</v>
      </c>
      <c r="L42" s="11">
        <f t="shared" si="7"/>
        <v>3</v>
      </c>
      <c r="O42" s="51" t="s">
        <v>34</v>
      </c>
      <c r="P42" s="52">
        <f>SUMIF($D$8:$D$55,$O42,$G$8:$G$55)+SUMIF($F$8:$F$55,$O42,$I$8:$I$55)</f>
        <v>4</v>
      </c>
      <c r="Q42" s="52">
        <f>SUMIF($D$8:$D$55,$O42,$I$8:$I$55)+SUMIF($F$8:$F$55,$O42,$G$8:$G$55)</f>
        <v>1</v>
      </c>
      <c r="R42" s="52">
        <f>P42-Q42</f>
        <v>3</v>
      </c>
      <c r="S42" s="53">
        <f>SUMIF($D$8:$D$55,$O42,$K$8:$K$55)+SUMIF($F$8:$F$55,$O42,$L$8:$L$55)</f>
        <v>7</v>
      </c>
      <c r="T42" s="96" t="s">
        <v>73</v>
      </c>
      <c r="U42" s="40"/>
      <c r="V42" s="40" t="str">
        <f>O42</f>
        <v>Nigeria</v>
      </c>
      <c r="W42" s="40" t="s">
        <v>75</v>
      </c>
      <c r="Y42" s="109">
        <f t="shared" si="8"/>
        <v>5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5</v>
      </c>
      <c r="AG42" s="108">
        <f t="shared" si="0"/>
        <v>0</v>
      </c>
      <c r="AH42" s="108">
        <f t="shared" si="1"/>
        <v>0</v>
      </c>
      <c r="AI42" s="108">
        <f t="shared" si="10"/>
        <v>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24">
        <v>36</v>
      </c>
      <c r="C43" s="25">
        <v>41813</v>
      </c>
      <c r="D43" s="26" t="s">
        <v>10</v>
      </c>
      <c r="E43" s="27" t="s">
        <v>9</v>
      </c>
      <c r="F43" s="28" t="s">
        <v>11</v>
      </c>
      <c r="G43" s="87">
        <v>1</v>
      </c>
      <c r="H43" s="27" t="s">
        <v>9</v>
      </c>
      <c r="I43" s="92">
        <v>3</v>
      </c>
      <c r="J43" s="29">
        <f t="shared" si="5"/>
        <v>2</v>
      </c>
      <c r="K43" s="11">
        <f t="shared" si="6"/>
        <v>0</v>
      </c>
      <c r="L43" s="11">
        <f t="shared" si="7"/>
        <v>3</v>
      </c>
      <c r="O43" s="40"/>
      <c r="P43" s="41"/>
      <c r="Q43" s="41"/>
      <c r="R43" s="41"/>
      <c r="S43" s="41"/>
      <c r="T43" s="41"/>
      <c r="U43" s="40"/>
      <c r="V43" s="40"/>
      <c r="W43" s="40"/>
      <c r="Y43" s="109">
        <f t="shared" si="8"/>
        <v>10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10</v>
      </c>
      <c r="AG43" s="108">
        <f t="shared" si="0"/>
        <v>1</v>
      </c>
      <c r="AH43" s="108">
        <f t="shared" si="1"/>
        <v>1</v>
      </c>
      <c r="AI43" s="108">
        <f t="shared" si="10"/>
        <v>10</v>
      </c>
      <c r="AJ43" s="108">
        <f t="shared" si="2"/>
        <v>0</v>
      </c>
      <c r="AK43" s="108">
        <f t="shared" si="3"/>
        <v>5</v>
      </c>
      <c r="AL43" s="108">
        <f t="shared" si="4"/>
        <v>0</v>
      </c>
      <c r="AN43" s="40"/>
      <c r="AO43" s="41"/>
    </row>
    <row r="44" spans="2:41" ht="15.75" thickBot="1">
      <c r="B44" s="12">
        <v>37</v>
      </c>
      <c r="C44" s="13">
        <v>41814</v>
      </c>
      <c r="D44" s="14" t="s">
        <v>22</v>
      </c>
      <c r="E44" s="15" t="s">
        <v>9</v>
      </c>
      <c r="F44" s="16" t="s">
        <v>19</v>
      </c>
      <c r="G44" s="85">
        <v>1</v>
      </c>
      <c r="H44" s="15" t="s">
        <v>9</v>
      </c>
      <c r="I44" s="90">
        <v>1</v>
      </c>
      <c r="J44" s="17">
        <f t="shared" si="5"/>
        <v>3</v>
      </c>
      <c r="K44" s="11">
        <f t="shared" si="6"/>
        <v>1</v>
      </c>
      <c r="L44" s="11">
        <f t="shared" si="7"/>
        <v>1</v>
      </c>
      <c r="O44" s="72" t="s">
        <v>76</v>
      </c>
      <c r="P44" s="73" t="s">
        <v>42</v>
      </c>
      <c r="Q44" s="73" t="s">
        <v>43</v>
      </c>
      <c r="R44" s="74" t="s">
        <v>44</v>
      </c>
      <c r="S44" s="75" t="s">
        <v>45</v>
      </c>
      <c r="T44" s="76" t="s">
        <v>46</v>
      </c>
      <c r="U44" s="40"/>
      <c r="V44" s="40"/>
      <c r="W44" s="40"/>
      <c r="Y44" s="109">
        <f t="shared" si="8"/>
        <v>1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1</v>
      </c>
      <c r="AG44" s="108">
        <f t="shared" si="0"/>
        <v>0</v>
      </c>
      <c r="AH44" s="108">
        <f t="shared" si="1"/>
        <v>1</v>
      </c>
      <c r="AI44" s="108">
        <f t="shared" si="10"/>
        <v>0</v>
      </c>
      <c r="AJ44" s="108">
        <f t="shared" si="2"/>
        <v>0</v>
      </c>
      <c r="AK44" s="108">
        <f t="shared" si="3"/>
        <v>0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18">
        <v>38</v>
      </c>
      <c r="C45" s="19">
        <v>41814</v>
      </c>
      <c r="D45" s="20" t="s">
        <v>20</v>
      </c>
      <c r="E45" s="21" t="s">
        <v>9</v>
      </c>
      <c r="F45" s="30" t="s">
        <v>21</v>
      </c>
      <c r="G45" s="86">
        <v>2</v>
      </c>
      <c r="H45" s="21" t="s">
        <v>9</v>
      </c>
      <c r="I45" s="91">
        <v>1</v>
      </c>
      <c r="J45" s="23">
        <f t="shared" si="5"/>
        <v>1</v>
      </c>
      <c r="K45" s="11">
        <f t="shared" si="6"/>
        <v>3</v>
      </c>
      <c r="L45" s="11">
        <f t="shared" si="7"/>
        <v>0</v>
      </c>
      <c r="O45" s="44" t="s">
        <v>31</v>
      </c>
      <c r="P45" s="45">
        <f>SUMIF($D$8:$D$55,$O45,$G$8:$G$55)+SUMIF($F$8:$F$55,$O45,$I$8:$I$55)</f>
        <v>5</v>
      </c>
      <c r="Q45" s="45">
        <f>SUMIF($D$8:$D$55,$O45,$I$8:$I$55)+SUMIF($F$8:$F$55,$O45,$G$8:$G$55)</f>
        <v>1</v>
      </c>
      <c r="R45" s="46">
        <f>P45-Q45</f>
        <v>4</v>
      </c>
      <c r="S45" s="47">
        <f>SUMIF($D$8:$D$55,$O45,$K$8:$K$55)+SUMIF($F$8:$F$55,$O45,$L$8:$L$55)</f>
        <v>7</v>
      </c>
      <c r="T45" s="94" t="s">
        <v>78</v>
      </c>
      <c r="U45" s="40"/>
      <c r="V45" s="40" t="str">
        <f>O45</f>
        <v>Duitsland</v>
      </c>
      <c r="W45" s="40" t="s">
        <v>77</v>
      </c>
      <c r="Y45" s="109">
        <f t="shared" si="8"/>
        <v>0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0</v>
      </c>
      <c r="AG45" s="108">
        <f t="shared" si="0"/>
        <v>0</v>
      </c>
      <c r="AH45" s="108">
        <f t="shared" si="1"/>
        <v>0</v>
      </c>
      <c r="AI45" s="108">
        <f t="shared" si="10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0</v>
      </c>
      <c r="AN45" s="116" t="s">
        <v>31</v>
      </c>
      <c r="AO45" s="115">
        <f>IF(Uitslag!T45="",0,IF(T45=Uitslag!T45,10,0))</f>
        <v>0</v>
      </c>
    </row>
    <row r="46" spans="2:41" ht="15.75" thickBot="1">
      <c r="B46" s="18">
        <v>39</v>
      </c>
      <c r="C46" s="19">
        <v>41814</v>
      </c>
      <c r="D46" s="20" t="s">
        <v>24</v>
      </c>
      <c r="E46" s="21" t="s">
        <v>9</v>
      </c>
      <c r="F46" s="30" t="s">
        <v>17</v>
      </c>
      <c r="G46" s="86">
        <v>1</v>
      </c>
      <c r="H46" s="21" t="s">
        <v>9</v>
      </c>
      <c r="I46" s="91">
        <v>0</v>
      </c>
      <c r="J46" s="23">
        <f t="shared" si="5"/>
        <v>1</v>
      </c>
      <c r="K46" s="11">
        <f t="shared" si="6"/>
        <v>3</v>
      </c>
      <c r="L46" s="11">
        <f t="shared" si="7"/>
        <v>0</v>
      </c>
      <c r="O46" s="48" t="s">
        <v>32</v>
      </c>
      <c r="P46" s="49">
        <f>SUMIF($D$8:$D$55,$O46,$G$8:$G$55)+SUMIF($F$8:$F$55,$O46,$I$8:$I$55)</f>
        <v>5</v>
      </c>
      <c r="Q46" s="49">
        <f>SUMIF($D$8:$D$55,$O46,$I$8:$I$55)+SUMIF($F$8:$F$55,$O46,$G$8:$G$55)</f>
        <v>1</v>
      </c>
      <c r="R46" s="49">
        <f>P46-Q46</f>
        <v>4</v>
      </c>
      <c r="S46" s="50">
        <f>SUMIF($D$8:$D$55,$O46,$K$8:$K$55)+SUMIF($F$8:$F$55,$O46,$L$8:$L$55)</f>
        <v>7</v>
      </c>
      <c r="T46" s="95" t="s">
        <v>77</v>
      </c>
      <c r="U46" s="40"/>
      <c r="V46" s="40" t="str">
        <f>O46</f>
        <v>Portugal</v>
      </c>
      <c r="W46" s="40" t="s">
        <v>78</v>
      </c>
      <c r="Y46" s="109">
        <f t="shared" si="8"/>
        <v>1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1</v>
      </c>
      <c r="AG46" s="108">
        <f t="shared" si="0"/>
        <v>1</v>
      </c>
      <c r="AH46" s="108">
        <f t="shared" si="1"/>
        <v>0</v>
      </c>
      <c r="AI46" s="108">
        <f t="shared" si="10"/>
        <v>0</v>
      </c>
      <c r="AJ46" s="108">
        <f t="shared" si="2"/>
        <v>0</v>
      </c>
      <c r="AK46" s="108">
        <f t="shared" si="3"/>
        <v>0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24">
        <v>40</v>
      </c>
      <c r="C47" s="25">
        <v>41814</v>
      </c>
      <c r="D47" s="26" t="s">
        <v>18</v>
      </c>
      <c r="E47" s="27" t="s">
        <v>9</v>
      </c>
      <c r="F47" s="28" t="s">
        <v>23</v>
      </c>
      <c r="G47" s="87">
        <v>0</v>
      </c>
      <c r="H47" s="27" t="s">
        <v>9</v>
      </c>
      <c r="I47" s="92">
        <v>1</v>
      </c>
      <c r="J47" s="29">
        <f t="shared" si="5"/>
        <v>2</v>
      </c>
      <c r="K47" s="11">
        <f t="shared" si="6"/>
        <v>0</v>
      </c>
      <c r="L47" s="11">
        <f t="shared" si="7"/>
        <v>3</v>
      </c>
      <c r="O47" s="48" t="s">
        <v>35</v>
      </c>
      <c r="P47" s="49">
        <f>SUMIF($D$8:$D$55,$O47,$G$8:$G$55)+SUMIF($F$8:$F$55,$O47,$I$8:$I$55)</f>
        <v>0</v>
      </c>
      <c r="Q47" s="49">
        <f>SUMIF($D$8:$D$55,$O47,$I$8:$I$55)+SUMIF($F$8:$F$55,$O47,$G$8:$G$55)</f>
        <v>3</v>
      </c>
      <c r="R47" s="49">
        <f>P47-Q47</f>
        <v>-3</v>
      </c>
      <c r="S47" s="50">
        <f>SUMIF($D$8:$D$55,$O47,$K$8:$K$55)+SUMIF($F$8:$F$55,$O47,$L$8:$L$55)</f>
        <v>1</v>
      </c>
      <c r="T47" s="95" t="s">
        <v>79</v>
      </c>
      <c r="U47" s="40"/>
      <c r="V47" s="40" t="str">
        <f>O47</f>
        <v>Ghana</v>
      </c>
      <c r="W47" s="40" t="s">
        <v>79</v>
      </c>
      <c r="Y47" s="109">
        <f t="shared" si="8"/>
        <v>1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1</v>
      </c>
      <c r="AG47" s="108">
        <f t="shared" si="0"/>
        <v>0</v>
      </c>
      <c r="AH47" s="108">
        <f t="shared" si="1"/>
        <v>1</v>
      </c>
      <c r="AI47" s="108">
        <f t="shared" si="10"/>
        <v>0</v>
      </c>
      <c r="AJ47" s="108">
        <f t="shared" si="2"/>
        <v>0</v>
      </c>
      <c r="AK47" s="108">
        <f t="shared" si="3"/>
        <v>0</v>
      </c>
      <c r="AL47" s="108">
        <f t="shared" si="4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12">
        <v>41</v>
      </c>
      <c r="C48" s="13">
        <v>41815</v>
      </c>
      <c r="D48" s="14" t="s">
        <v>34</v>
      </c>
      <c r="E48" s="15" t="s">
        <v>9</v>
      </c>
      <c r="F48" s="16" t="s">
        <v>29</v>
      </c>
      <c r="G48" s="85">
        <v>1</v>
      </c>
      <c r="H48" s="15" t="s">
        <v>9</v>
      </c>
      <c r="I48" s="90">
        <v>1</v>
      </c>
      <c r="J48" s="17">
        <f t="shared" si="5"/>
        <v>3</v>
      </c>
      <c r="K48" s="11">
        <f t="shared" si="6"/>
        <v>1</v>
      </c>
      <c r="L48" s="11">
        <f t="shared" si="7"/>
        <v>1</v>
      </c>
      <c r="O48" s="51" t="s">
        <v>36</v>
      </c>
      <c r="P48" s="52">
        <f>SUMIF($D$8:$D$55,$O48,$G$8:$G$55)+SUMIF($F$8:$F$55,$O48,$I$8:$I$55)</f>
        <v>0</v>
      </c>
      <c r="Q48" s="52">
        <f>SUMIF($D$8:$D$55,$O48,$I$8:$I$55)+SUMIF($F$8:$F$55,$O48,$G$8:$G$55)</f>
        <v>5</v>
      </c>
      <c r="R48" s="52">
        <f>P48-Q48</f>
        <v>-5</v>
      </c>
      <c r="S48" s="53">
        <f>SUMIF($D$8:$D$55,$O48,$K$8:$K$55)+SUMIF($F$8:$F$55,$O48,$L$8:$L$55)</f>
        <v>1</v>
      </c>
      <c r="T48" s="96" t="s">
        <v>80</v>
      </c>
      <c r="U48" s="40"/>
      <c r="V48" s="40" t="str">
        <f>O48</f>
        <v>Verenigde Staten</v>
      </c>
      <c r="W48" s="40" t="s">
        <v>80</v>
      </c>
      <c r="Y48" s="109">
        <f t="shared" si="8"/>
        <v>0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0</v>
      </c>
      <c r="AG48" s="108">
        <f t="shared" si="0"/>
        <v>0</v>
      </c>
      <c r="AH48" s="108">
        <f t="shared" si="1"/>
        <v>0</v>
      </c>
      <c r="AI48" s="108">
        <f t="shared" si="10"/>
        <v>0</v>
      </c>
      <c r="AJ48" s="108">
        <f t="shared" si="2"/>
        <v>0</v>
      </c>
      <c r="AK48" s="108">
        <f t="shared" si="3"/>
        <v>0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18">
        <v>42</v>
      </c>
      <c r="C49" s="19">
        <v>41815</v>
      </c>
      <c r="D49" s="20" t="s">
        <v>30</v>
      </c>
      <c r="E49" s="21" t="s">
        <v>9</v>
      </c>
      <c r="F49" s="30" t="s">
        <v>33</v>
      </c>
      <c r="G49" s="86">
        <v>2</v>
      </c>
      <c r="H49" s="21" t="s">
        <v>9</v>
      </c>
      <c r="I49" s="91">
        <v>0</v>
      </c>
      <c r="J49" s="23">
        <f t="shared" si="5"/>
        <v>1</v>
      </c>
      <c r="K49" s="11">
        <f t="shared" si="6"/>
        <v>3</v>
      </c>
      <c r="L49" s="11">
        <f t="shared" si="7"/>
        <v>0</v>
      </c>
      <c r="O49" s="40"/>
      <c r="P49" s="41"/>
      <c r="Q49" s="41"/>
      <c r="R49" s="41"/>
      <c r="S49" s="41"/>
      <c r="T49" s="41"/>
      <c r="U49" s="40"/>
      <c r="V49" s="40"/>
      <c r="W49" s="40"/>
      <c r="Y49" s="109">
        <f t="shared" si="8"/>
        <v>5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5</v>
      </c>
      <c r="AG49" s="108">
        <f t="shared" si="0"/>
        <v>0</v>
      </c>
      <c r="AH49" s="108">
        <f t="shared" si="1"/>
        <v>0</v>
      </c>
      <c r="AI49" s="108">
        <f t="shared" si="10"/>
        <v>0</v>
      </c>
      <c r="AJ49" s="108">
        <f t="shared" si="2"/>
        <v>5</v>
      </c>
      <c r="AK49" s="108">
        <f t="shared" si="3"/>
        <v>0</v>
      </c>
      <c r="AL49" s="108">
        <f t="shared" si="4"/>
        <v>0</v>
      </c>
      <c r="AN49" s="40"/>
      <c r="AO49" s="41"/>
    </row>
    <row r="50" spans="2:54" ht="15.75" thickBot="1">
      <c r="B50" s="18">
        <v>43</v>
      </c>
      <c r="C50" s="19">
        <v>41815</v>
      </c>
      <c r="D50" s="20" t="s">
        <v>28</v>
      </c>
      <c r="E50" s="21" t="s">
        <v>9</v>
      </c>
      <c r="F50" s="30" t="s">
        <v>25</v>
      </c>
      <c r="G50" s="86">
        <v>0</v>
      </c>
      <c r="H50" s="21" t="s">
        <v>9</v>
      </c>
      <c r="I50" s="91">
        <v>2</v>
      </c>
      <c r="J50" s="23">
        <f t="shared" si="5"/>
        <v>2</v>
      </c>
      <c r="K50" s="11">
        <f t="shared" si="6"/>
        <v>0</v>
      </c>
      <c r="L50" s="11">
        <f t="shared" si="7"/>
        <v>3</v>
      </c>
      <c r="O50" s="72" t="s">
        <v>81</v>
      </c>
      <c r="P50" s="73" t="s">
        <v>42</v>
      </c>
      <c r="Q50" s="73" t="s">
        <v>43</v>
      </c>
      <c r="R50" s="74" t="s">
        <v>44</v>
      </c>
      <c r="S50" s="75" t="s">
        <v>45</v>
      </c>
      <c r="T50" s="76" t="s">
        <v>46</v>
      </c>
      <c r="U50" s="40"/>
      <c r="V50" s="40"/>
      <c r="W50" s="40"/>
      <c r="Y50" s="109">
        <f t="shared" si="8"/>
        <v>6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6</v>
      </c>
      <c r="AG50" s="108">
        <f t="shared" si="0"/>
        <v>1</v>
      </c>
      <c r="AH50" s="108">
        <f t="shared" si="1"/>
        <v>0</v>
      </c>
      <c r="AI50" s="108">
        <f t="shared" si="10"/>
        <v>0</v>
      </c>
      <c r="AJ50" s="108">
        <f t="shared" si="2"/>
        <v>0</v>
      </c>
      <c r="AK50" s="108">
        <f t="shared" si="3"/>
        <v>5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24">
        <v>44</v>
      </c>
      <c r="C51" s="25">
        <v>41815</v>
      </c>
      <c r="D51" s="26" t="s">
        <v>26</v>
      </c>
      <c r="E51" s="27" t="s">
        <v>9</v>
      </c>
      <c r="F51" s="28" t="s">
        <v>27</v>
      </c>
      <c r="G51" s="87">
        <v>2</v>
      </c>
      <c r="H51" s="27" t="s">
        <v>9</v>
      </c>
      <c r="I51" s="92">
        <v>1</v>
      </c>
      <c r="J51" s="29">
        <f t="shared" si="5"/>
        <v>1</v>
      </c>
      <c r="K51" s="11">
        <f t="shared" si="6"/>
        <v>3</v>
      </c>
      <c r="L51" s="11">
        <f>IF(I51="","",IF($G51&lt;$I51,3,IF($G51=$I51,1,0)))</f>
        <v>0</v>
      </c>
      <c r="O51" s="44" t="s">
        <v>37</v>
      </c>
      <c r="P51" s="45">
        <f>SUMIF($D$8:$D$55,$O51,$G$8:$G$55)+SUMIF($F$8:$F$55,$O51,$I$8:$I$55)</f>
        <v>10</v>
      </c>
      <c r="Q51" s="45">
        <f>SUMIF($D$8:$D$55,$O51,$I$8:$I$55)+SUMIF($F$8:$F$55,$O51,$G$8:$G$55)</f>
        <v>1</v>
      </c>
      <c r="R51" s="46">
        <f>P51-Q51</f>
        <v>9</v>
      </c>
      <c r="S51" s="47">
        <f>SUMIF($D$8:$D$55,$O51,$K$8:$K$55)+SUMIF($F$8:$F$55,$O51,$L$8:$L$55)</f>
        <v>9</v>
      </c>
      <c r="T51" s="94" t="s">
        <v>82</v>
      </c>
      <c r="U51" s="40"/>
      <c r="V51" s="40" t="str">
        <f>O51</f>
        <v>België</v>
      </c>
      <c r="W51" s="40" t="s">
        <v>82</v>
      </c>
      <c r="Y51" s="109">
        <f t="shared" si="8"/>
        <v>0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0</v>
      </c>
      <c r="AG51" s="108">
        <f t="shared" si="0"/>
        <v>0</v>
      </c>
      <c r="AH51" s="108">
        <f t="shared" si="1"/>
        <v>0</v>
      </c>
      <c r="AI51" s="108">
        <f t="shared" si="10"/>
        <v>0</v>
      </c>
      <c r="AJ51" s="108">
        <f t="shared" si="2"/>
        <v>0</v>
      </c>
      <c r="AK51" s="108">
        <f t="shared" si="3"/>
        <v>0</v>
      </c>
      <c r="AL51" s="108">
        <f t="shared" si="4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18">
        <v>45</v>
      </c>
      <c r="C52" s="19">
        <v>41816</v>
      </c>
      <c r="D52" s="20" t="s">
        <v>36</v>
      </c>
      <c r="E52" s="21" t="s">
        <v>9</v>
      </c>
      <c r="F52" s="30" t="s">
        <v>31</v>
      </c>
      <c r="G52" s="86">
        <v>0</v>
      </c>
      <c r="H52" s="21" t="s">
        <v>9</v>
      </c>
      <c r="I52" s="91">
        <v>2</v>
      </c>
      <c r="J52" s="17">
        <f t="shared" si="5"/>
        <v>2</v>
      </c>
      <c r="K52" s="11">
        <f t="shared" si="6"/>
        <v>0</v>
      </c>
      <c r="L52" s="11">
        <f t="shared" si="7"/>
        <v>3</v>
      </c>
      <c r="O52" s="48" t="s">
        <v>38</v>
      </c>
      <c r="P52" s="49">
        <f>SUMIF($D$8:$D$55,$O52,$G$8:$G$55)+SUMIF($F$8:$F$55,$O52,$I$8:$I$55)</f>
        <v>0</v>
      </c>
      <c r="Q52" s="49">
        <f>SUMIF($D$8:$D$55,$O52,$I$8:$I$55)+SUMIF($F$8:$F$55,$O52,$G$8:$G$55)</f>
        <v>7</v>
      </c>
      <c r="R52" s="49">
        <f>P52-Q52</f>
        <v>-7</v>
      </c>
      <c r="S52" s="50">
        <f>SUMIF($D$8:$D$55,$O52,$K$8:$K$55)+SUMIF($F$8:$F$55,$O52,$L$8:$L$55)</f>
        <v>0</v>
      </c>
      <c r="T52" s="95" t="s">
        <v>85</v>
      </c>
      <c r="U52" s="40"/>
      <c r="V52" s="40" t="str">
        <f>O52</f>
        <v>Algerije</v>
      </c>
      <c r="W52" s="40" t="s">
        <v>83</v>
      </c>
      <c r="Y52" s="109">
        <f t="shared" si="8"/>
        <v>6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6</v>
      </c>
      <c r="AG52" s="108">
        <f t="shared" si="0"/>
        <v>1</v>
      </c>
      <c r="AH52" s="108">
        <f t="shared" si="1"/>
        <v>0</v>
      </c>
      <c r="AI52" s="108">
        <f t="shared" si="10"/>
        <v>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18">
        <v>46</v>
      </c>
      <c r="C53" s="19">
        <v>41816</v>
      </c>
      <c r="D53" s="20" t="s">
        <v>32</v>
      </c>
      <c r="E53" s="21" t="s">
        <v>9</v>
      </c>
      <c r="F53" s="30" t="s">
        <v>35</v>
      </c>
      <c r="G53" s="86">
        <v>1</v>
      </c>
      <c r="H53" s="21" t="s">
        <v>9</v>
      </c>
      <c r="I53" s="91">
        <v>0</v>
      </c>
      <c r="J53" s="23">
        <f t="shared" si="5"/>
        <v>1</v>
      </c>
      <c r="K53" s="11">
        <f t="shared" si="6"/>
        <v>3</v>
      </c>
      <c r="L53" s="11">
        <f t="shared" si="7"/>
        <v>0</v>
      </c>
      <c r="O53" s="48" t="s">
        <v>39</v>
      </c>
      <c r="P53" s="49">
        <f>SUMIF($D$8:$D$55,$O53,$G$8:$G$55)+SUMIF($F$8:$F$55,$O53,$I$8:$I$55)</f>
        <v>2</v>
      </c>
      <c r="Q53" s="49">
        <f>SUMIF($D$8:$D$55,$O53,$I$8:$I$55)+SUMIF($F$8:$F$55,$O53,$G$8:$G$55)</f>
        <v>5</v>
      </c>
      <c r="R53" s="49">
        <f>P53-Q53</f>
        <v>-3</v>
      </c>
      <c r="S53" s="50">
        <f>SUMIF($D$8:$D$55,$O53,$K$8:$K$55)+SUMIF($F$8:$F$55,$O53,$L$8:$L$55)</f>
        <v>3</v>
      </c>
      <c r="T53" s="95" t="s">
        <v>84</v>
      </c>
      <c r="U53" s="40"/>
      <c r="V53" s="40" t="str">
        <f>O53</f>
        <v>Rusland</v>
      </c>
      <c r="W53" s="40" t="s">
        <v>84</v>
      </c>
      <c r="Y53" s="109">
        <f t="shared" si="8"/>
        <v>5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5</v>
      </c>
      <c r="AG53" s="108">
        <f t="shared" si="0"/>
        <v>0</v>
      </c>
      <c r="AH53" s="108">
        <f t="shared" si="1"/>
        <v>0</v>
      </c>
      <c r="AI53" s="108">
        <f t="shared" si="10"/>
        <v>0</v>
      </c>
      <c r="AJ53" s="108">
        <f t="shared" si="2"/>
        <v>5</v>
      </c>
      <c r="AK53" s="108">
        <f t="shared" si="3"/>
        <v>0</v>
      </c>
      <c r="AL53" s="108">
        <f t="shared" si="4"/>
        <v>0</v>
      </c>
      <c r="AM53" s="120">
        <f>AO53</f>
        <v>10</v>
      </c>
      <c r="AN53" s="117" t="s">
        <v>39</v>
      </c>
      <c r="AO53" s="115">
        <f>IF(Uitslag!T53="",0,IF(T53=Uitslag!T53,10,0))</f>
        <v>10</v>
      </c>
    </row>
    <row r="54" spans="2:54" ht="15.75" thickBot="1">
      <c r="B54" s="18">
        <v>47</v>
      </c>
      <c r="C54" s="19">
        <v>41816</v>
      </c>
      <c r="D54" s="20" t="s">
        <v>40</v>
      </c>
      <c r="E54" s="21" t="s">
        <v>9</v>
      </c>
      <c r="F54" s="30" t="s">
        <v>37</v>
      </c>
      <c r="G54" s="86">
        <v>0</v>
      </c>
      <c r="H54" s="21" t="s">
        <v>9</v>
      </c>
      <c r="I54" s="91">
        <v>3</v>
      </c>
      <c r="J54" s="23">
        <f t="shared" si="5"/>
        <v>2</v>
      </c>
      <c r="K54" s="11">
        <f t="shared" si="6"/>
        <v>0</v>
      </c>
      <c r="L54" s="11">
        <f t="shared" si="7"/>
        <v>3</v>
      </c>
      <c r="O54" s="51" t="s">
        <v>40</v>
      </c>
      <c r="P54" s="52">
        <f>SUMIF($D$8:$D$55,$O54,$G$8:$G$55)+SUMIF($F$8:$F$55,$O54,$I$8:$I$55)</f>
        <v>4</v>
      </c>
      <c r="Q54" s="52">
        <f>SUMIF($D$8:$D$55,$O54,$I$8:$I$55)+SUMIF($F$8:$F$55,$O54,$G$8:$G$55)</f>
        <v>3</v>
      </c>
      <c r="R54" s="52">
        <f>P54-Q54</f>
        <v>1</v>
      </c>
      <c r="S54" s="53">
        <f>SUMIF($D$8:$D$55,$O54,$K$8:$K$55)+SUMIF($F$8:$F$55,$O54,$L$8:$L$55)</f>
        <v>6</v>
      </c>
      <c r="T54" s="96" t="s">
        <v>83</v>
      </c>
      <c r="U54" s="40"/>
      <c r="V54" s="40" t="str">
        <f>O54</f>
        <v>Zuid Korea</v>
      </c>
      <c r="W54" s="40" t="s">
        <v>85</v>
      </c>
      <c r="Y54" s="109">
        <f t="shared" si="8"/>
        <v>6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6</v>
      </c>
      <c r="AG54" s="108">
        <f t="shared" si="0"/>
        <v>1</v>
      </c>
      <c r="AH54" s="108">
        <f t="shared" si="1"/>
        <v>0</v>
      </c>
      <c r="AI54" s="108">
        <f t="shared" si="10"/>
        <v>0</v>
      </c>
      <c r="AJ54" s="108">
        <f t="shared" si="2"/>
        <v>0</v>
      </c>
      <c r="AK54" s="108">
        <f t="shared" si="3"/>
        <v>5</v>
      </c>
      <c r="AL54" s="108">
        <f t="shared" si="4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3">
        <v>48</v>
      </c>
      <c r="C55" s="34">
        <v>41816</v>
      </c>
      <c r="D55" s="35" t="s">
        <v>38</v>
      </c>
      <c r="E55" s="36" t="s">
        <v>9</v>
      </c>
      <c r="F55" s="37" t="s">
        <v>39</v>
      </c>
      <c r="G55" s="88">
        <v>0</v>
      </c>
      <c r="H55" s="36" t="s">
        <v>9</v>
      </c>
      <c r="I55" s="93">
        <v>1</v>
      </c>
      <c r="J55" s="38">
        <f t="shared" si="5"/>
        <v>2</v>
      </c>
      <c r="K55" s="11">
        <f t="shared" si="6"/>
        <v>0</v>
      </c>
      <c r="L55" s="11">
        <f t="shared" si="7"/>
        <v>3</v>
      </c>
      <c r="O55" s="40"/>
      <c r="P55" s="41"/>
      <c r="Q55" s="41"/>
      <c r="R55" s="41"/>
      <c r="S55" s="41"/>
      <c r="T55" s="41"/>
      <c r="U55" s="40"/>
      <c r="V55" s="40"/>
      <c r="W55" s="40"/>
      <c r="Y55" s="109">
        <f t="shared" si="8"/>
        <v>1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</v>
      </c>
      <c r="AG55" s="108">
        <f t="shared" si="0"/>
        <v>0</v>
      </c>
      <c r="AH55" s="108">
        <f t="shared" si="1"/>
        <v>1</v>
      </c>
      <c r="AI55" s="108">
        <f t="shared" si="10"/>
        <v>0</v>
      </c>
      <c r="AJ55" s="108">
        <f t="shared" si="2"/>
        <v>0</v>
      </c>
      <c r="AK55" s="108">
        <f t="shared" si="3"/>
        <v>0</v>
      </c>
      <c r="AL55" s="108">
        <f t="shared" si="4"/>
        <v>0</v>
      </c>
    </row>
    <row r="56" spans="2:54" ht="15.75" thickBot="1">
      <c r="B56" s="1"/>
      <c r="C56" s="39"/>
      <c r="D56" s="40"/>
      <c r="E56" s="1"/>
      <c r="F56" s="40"/>
      <c r="G56" s="1"/>
      <c r="H56" s="1"/>
      <c r="I56" s="1"/>
      <c r="J56" s="1"/>
      <c r="K56" s="1"/>
      <c r="L56" s="1"/>
      <c r="M56" s="1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195"/>
      <c r="K57" s="1"/>
      <c r="L57" s="1"/>
      <c r="M57" s="1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78" t="s">
        <v>1</v>
      </c>
      <c r="C58" s="79" t="s">
        <v>2</v>
      </c>
      <c r="D58" s="187" t="s">
        <v>3</v>
      </c>
      <c r="E58" s="81"/>
      <c r="F58" s="194" t="s">
        <v>4</v>
      </c>
      <c r="G58" s="867" t="s">
        <v>5</v>
      </c>
      <c r="H58" s="868"/>
      <c r="I58" s="869"/>
      <c r="J58" s="83" t="s">
        <v>6</v>
      </c>
      <c r="K58" s="1"/>
      <c r="L58" s="1"/>
      <c r="M58" s="1"/>
      <c r="O58" s="135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12">
        <v>49</v>
      </c>
      <c r="C59" s="189">
        <v>41818</v>
      </c>
      <c r="D59" s="153" t="str">
        <f>IF(ISERROR(Z59),K59,Z59)</f>
        <v>Brazilië</v>
      </c>
      <c r="E59" s="15" t="s">
        <v>9</v>
      </c>
      <c r="F59" s="56" t="str">
        <f>IF(ISERROR(AA59),L59,AA59)</f>
        <v>Chili</v>
      </c>
      <c r="G59" s="85">
        <v>1</v>
      </c>
      <c r="H59" s="15" t="s">
        <v>9</v>
      </c>
      <c r="I59" s="97">
        <v>0</v>
      </c>
      <c r="J59" s="98">
        <v>1</v>
      </c>
      <c r="K59" s="57" t="s">
        <v>48</v>
      </c>
      <c r="L59" s="57" t="s">
        <v>53</v>
      </c>
      <c r="M59" s="57">
        <v>1</v>
      </c>
      <c r="O59" s="135">
        <v>2</v>
      </c>
      <c r="P59" s="877" t="s">
        <v>209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3">AF59</f>
        <v>1</v>
      </c>
      <c r="Z59" t="str">
        <f t="shared" ref="Z59:AA65" si="14">IF(K59=""," ",VLOOKUP(K59,$T$9:$V$54,3,FALSE))</f>
        <v>Brazilië</v>
      </c>
      <c r="AA59" t="str">
        <f t="shared" si="14"/>
        <v>Chili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1</v>
      </c>
      <c r="AG59" s="108">
        <f t="shared" ref="AG59:AG66" si="16">IF(AC59="",0,(IF(G59=AC59,1,0)))</f>
        <v>1</v>
      </c>
      <c r="AH59" s="108">
        <f t="shared" ref="AH59:AH66" si="17">IF(AD59="",0,(IF(I59=AD59,1,0)))</f>
        <v>0</v>
      </c>
      <c r="AI59" s="108">
        <f t="shared" ref="AI59:AI66" si="18">IF(AND(AG59=1,AH59=1),10,0)</f>
        <v>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24">
        <v>50</v>
      </c>
      <c r="C60" s="190">
        <v>41818</v>
      </c>
      <c r="D60" s="154" t="str">
        <f t="shared" ref="D60:D66" si="23">IF(ISERROR(Z60),K60,Z60)</f>
        <v>Japan</v>
      </c>
      <c r="E60" s="27" t="s">
        <v>9</v>
      </c>
      <c r="F60" s="59" t="str">
        <f t="shared" ref="F60:F66" si="24">IF(ISERROR(AA60),L60,AA60)</f>
        <v>Engeland</v>
      </c>
      <c r="G60" s="87">
        <v>2</v>
      </c>
      <c r="H60" s="27" t="s">
        <v>9</v>
      </c>
      <c r="I60" s="99">
        <v>1</v>
      </c>
      <c r="J60" s="100">
        <v>1</v>
      </c>
      <c r="K60" s="57" t="s">
        <v>57</v>
      </c>
      <c r="L60" s="57" t="s">
        <v>63</v>
      </c>
      <c r="M60" s="57">
        <v>2</v>
      </c>
      <c r="O60" s="135">
        <v>3</v>
      </c>
      <c r="P60" s="877" t="s">
        <v>225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3"/>
        <v>6</v>
      </c>
      <c r="Z60" t="str">
        <f t="shared" si="14"/>
        <v>Japan</v>
      </c>
      <c r="AA60" t="str">
        <f t="shared" si="14"/>
        <v>Engeland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6</v>
      </c>
      <c r="AG60" s="108">
        <f t="shared" si="16"/>
        <v>1</v>
      </c>
      <c r="AH60" s="108">
        <f t="shared" si="17"/>
        <v>0</v>
      </c>
      <c r="AI60" s="108">
        <f t="shared" si="18"/>
        <v>0</v>
      </c>
      <c r="AJ60" s="108">
        <f t="shared" si="19"/>
        <v>5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2"/>
        <v>3</v>
      </c>
    </row>
    <row r="61" spans="2:54">
      <c r="B61" s="12">
        <v>51</v>
      </c>
      <c r="C61" s="189">
        <v>41819</v>
      </c>
      <c r="D61" s="188" t="str">
        <f t="shared" si="23"/>
        <v>Nederland</v>
      </c>
      <c r="E61" s="15" t="s">
        <v>9</v>
      </c>
      <c r="F61" s="56" t="str">
        <f t="shared" si="24"/>
        <v>Mexico</v>
      </c>
      <c r="G61" s="85">
        <v>1</v>
      </c>
      <c r="H61" s="15" t="s">
        <v>9</v>
      </c>
      <c r="I61" s="97">
        <v>0</v>
      </c>
      <c r="J61" s="98">
        <v>1</v>
      </c>
      <c r="K61" s="57" t="s">
        <v>52</v>
      </c>
      <c r="L61" s="57" t="s">
        <v>49</v>
      </c>
      <c r="M61" s="57"/>
      <c r="O61" s="135">
        <v>4</v>
      </c>
      <c r="P61" s="877" t="s">
        <v>212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3"/>
        <v>5</v>
      </c>
      <c r="Z61" t="str">
        <f t="shared" si="14"/>
        <v>Nederland</v>
      </c>
      <c r="AA61" t="str">
        <f t="shared" si="14"/>
        <v>Mexico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5</v>
      </c>
      <c r="AG61" s="108">
        <f t="shared" si="16"/>
        <v>0</v>
      </c>
      <c r="AH61" s="108">
        <f t="shared" si="17"/>
        <v>0</v>
      </c>
      <c r="AI61" s="108">
        <f t="shared" si="18"/>
        <v>0</v>
      </c>
      <c r="AJ61" s="108">
        <f t="shared" si="19"/>
        <v>5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3</v>
      </c>
      <c r="BB61" s="139">
        <f t="shared" si="22"/>
        <v>3</v>
      </c>
    </row>
    <row r="62" spans="2:54">
      <c r="B62" s="24">
        <v>52</v>
      </c>
      <c r="C62" s="190">
        <v>41819</v>
      </c>
      <c r="D62" s="188" t="str">
        <f t="shared" si="23"/>
        <v>Costa Rica</v>
      </c>
      <c r="E62" s="27" t="s">
        <v>9</v>
      </c>
      <c r="F62" s="59" t="str">
        <f t="shared" si="24"/>
        <v>Colombia</v>
      </c>
      <c r="G62" s="87">
        <v>0</v>
      </c>
      <c r="H62" s="27" t="s">
        <v>9</v>
      </c>
      <c r="I62" s="99">
        <v>0</v>
      </c>
      <c r="J62" s="100">
        <v>1</v>
      </c>
      <c r="K62" s="57" t="s">
        <v>62</v>
      </c>
      <c r="L62" s="57" t="s">
        <v>58</v>
      </c>
      <c r="M62" s="57"/>
      <c r="O62" s="135">
        <v>5</v>
      </c>
      <c r="P62" s="877" t="s">
        <v>221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3"/>
        <v>5</v>
      </c>
      <c r="Z62" t="str">
        <f t="shared" si="14"/>
        <v>Costa Rica</v>
      </c>
      <c r="AA62" t="str">
        <f t="shared" si="14"/>
        <v>Colombia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5</v>
      </c>
      <c r="AG62" s="108">
        <f t="shared" si="16"/>
        <v>0</v>
      </c>
      <c r="AH62" s="108">
        <f t="shared" si="17"/>
        <v>0</v>
      </c>
      <c r="AI62" s="108">
        <f t="shared" si="18"/>
        <v>0</v>
      </c>
      <c r="AJ62" s="108">
        <f t="shared" si="19"/>
        <v>0</v>
      </c>
      <c r="AK62" s="108">
        <f t="shared" si="20"/>
        <v>0</v>
      </c>
      <c r="AL62" s="108">
        <f t="shared" si="21"/>
        <v>5</v>
      </c>
      <c r="AZ62" s="138" t="str">
        <f>Uitslag!P62</f>
        <v>Bruno Martins Indi (v)</v>
      </c>
      <c r="BA62" s="140">
        <f t="shared" si="12"/>
        <v>0</v>
      </c>
      <c r="BB62" s="139">
        <f t="shared" si="22"/>
        <v>0</v>
      </c>
    </row>
    <row r="63" spans="2:54">
      <c r="B63" s="12">
        <v>53</v>
      </c>
      <c r="C63" s="189">
        <v>41820</v>
      </c>
      <c r="D63" s="153" t="str">
        <f t="shared" si="23"/>
        <v>Ecuador</v>
      </c>
      <c r="E63" s="15" t="s">
        <v>9</v>
      </c>
      <c r="F63" s="56" t="str">
        <f t="shared" si="24"/>
        <v>Nigeria</v>
      </c>
      <c r="G63" s="85">
        <v>0</v>
      </c>
      <c r="H63" s="15" t="s">
        <v>9</v>
      </c>
      <c r="I63" s="97">
        <v>2</v>
      </c>
      <c r="J63" s="98">
        <v>2</v>
      </c>
      <c r="K63" s="57" t="s">
        <v>67</v>
      </c>
      <c r="L63" s="57" t="s">
        <v>73</v>
      </c>
      <c r="M63" s="57"/>
      <c r="O63" s="135">
        <v>6</v>
      </c>
      <c r="P63" s="877" t="s">
        <v>214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3"/>
        <v>0</v>
      </c>
      <c r="Z63" t="str">
        <f t="shared" si="14"/>
        <v>Ecuador</v>
      </c>
      <c r="AA63" t="str">
        <f t="shared" si="14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0</v>
      </c>
      <c r="AG63" s="108">
        <f t="shared" si="16"/>
        <v>0</v>
      </c>
      <c r="AH63" s="108">
        <f t="shared" si="17"/>
        <v>0</v>
      </c>
      <c r="AI63" s="108">
        <f t="shared" si="18"/>
        <v>0</v>
      </c>
      <c r="AJ63" s="108">
        <f t="shared" si="19"/>
        <v>0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3</v>
      </c>
      <c r="BB63" s="139">
        <f t="shared" si="22"/>
        <v>3</v>
      </c>
    </row>
    <row r="64" spans="2:54">
      <c r="B64" s="24">
        <v>54</v>
      </c>
      <c r="C64" s="190">
        <v>41820</v>
      </c>
      <c r="D64" s="154" t="str">
        <f t="shared" si="23"/>
        <v>Portugal</v>
      </c>
      <c r="E64" s="27" t="s">
        <v>9</v>
      </c>
      <c r="F64" s="59" t="str">
        <f t="shared" si="24"/>
        <v>Zuid Korea</v>
      </c>
      <c r="G64" s="87">
        <v>3</v>
      </c>
      <c r="H64" s="27" t="s">
        <v>9</v>
      </c>
      <c r="I64" s="99">
        <v>1</v>
      </c>
      <c r="J64" s="100">
        <v>1</v>
      </c>
      <c r="K64" s="57" t="s">
        <v>77</v>
      </c>
      <c r="L64" s="57" t="s">
        <v>83</v>
      </c>
      <c r="M64" s="57"/>
      <c r="O64" s="135">
        <v>7</v>
      </c>
      <c r="P64" s="877" t="s">
        <v>226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3"/>
        <v>0</v>
      </c>
      <c r="Z64" t="str">
        <f t="shared" si="14"/>
        <v>Portugal</v>
      </c>
      <c r="AA64" t="str">
        <f t="shared" si="14"/>
        <v>Zuid Korea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0</v>
      </c>
      <c r="AG64" s="108">
        <f t="shared" si="16"/>
        <v>0</v>
      </c>
      <c r="AH64" s="108">
        <f t="shared" si="17"/>
        <v>0</v>
      </c>
      <c r="AI64" s="108">
        <f t="shared" si="18"/>
        <v>0</v>
      </c>
      <c r="AJ64" s="108">
        <f t="shared" si="19"/>
        <v>0</v>
      </c>
      <c r="AK64" s="108">
        <f t="shared" si="20"/>
        <v>0</v>
      </c>
      <c r="AL64" s="108">
        <f t="shared" si="21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2"/>
        <v>3</v>
      </c>
    </row>
    <row r="65" spans="2:54">
      <c r="B65" s="18">
        <v>55</v>
      </c>
      <c r="C65" s="191">
        <v>41821</v>
      </c>
      <c r="D65" s="153" t="str">
        <f t="shared" si="23"/>
        <v>Argentinië</v>
      </c>
      <c r="E65" s="21" t="s">
        <v>9</v>
      </c>
      <c r="F65" s="60" t="str">
        <f t="shared" si="24"/>
        <v>Frankrijk</v>
      </c>
      <c r="G65" s="86">
        <v>1</v>
      </c>
      <c r="H65" s="21" t="s">
        <v>9</v>
      </c>
      <c r="I65" s="101">
        <v>1</v>
      </c>
      <c r="J65" s="102">
        <v>1</v>
      </c>
      <c r="K65" s="57" t="s">
        <v>72</v>
      </c>
      <c r="L65" s="57" t="s">
        <v>68</v>
      </c>
      <c r="M65" s="57"/>
      <c r="O65" s="135">
        <v>8</v>
      </c>
      <c r="P65" s="877" t="s">
        <v>216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3"/>
        <v>5</v>
      </c>
      <c r="Z65" t="str">
        <f t="shared" si="14"/>
        <v>Argentinië</v>
      </c>
      <c r="AA65" t="str">
        <f t="shared" si="14"/>
        <v>Frankrijk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5</v>
      </c>
      <c r="AG65" s="108">
        <f t="shared" si="16"/>
        <v>0</v>
      </c>
      <c r="AH65" s="108">
        <f t="shared" si="17"/>
        <v>0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5</v>
      </c>
      <c r="AZ65" s="138" t="str">
        <f>Uitslag!P65</f>
        <v>Nigel de Jong (m)</v>
      </c>
      <c r="BA65" s="140">
        <f t="shared" si="12"/>
        <v>3</v>
      </c>
      <c r="BB65" s="139">
        <f t="shared" si="22"/>
        <v>3</v>
      </c>
    </row>
    <row r="66" spans="2:54" ht="15.75" thickBot="1">
      <c r="B66" s="33">
        <v>56</v>
      </c>
      <c r="C66" s="186">
        <v>41821</v>
      </c>
      <c r="D66" s="155" t="str">
        <f t="shared" si="23"/>
        <v>België</v>
      </c>
      <c r="E66" s="36" t="s">
        <v>9</v>
      </c>
      <c r="F66" s="62" t="str">
        <f t="shared" si="24"/>
        <v>Duitsland</v>
      </c>
      <c r="G66" s="88">
        <v>2</v>
      </c>
      <c r="H66" s="36" t="s">
        <v>9</v>
      </c>
      <c r="I66" s="103">
        <v>1</v>
      </c>
      <c r="J66" s="104">
        <v>1</v>
      </c>
      <c r="K66" s="57" t="s">
        <v>82</v>
      </c>
      <c r="L66" s="57" t="s">
        <v>78</v>
      </c>
      <c r="M66" s="57"/>
      <c r="O66" s="135">
        <v>9</v>
      </c>
      <c r="P66" s="877" t="s">
        <v>215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3"/>
        <v>0</v>
      </c>
      <c r="Z66" t="str">
        <f>IF(K66=""," ",VLOOKUP(K66,$T$9:$V$54,3,FALSE))</f>
        <v>België</v>
      </c>
      <c r="AA66" t="str">
        <f>IF(L66=""," ",VLOOKUP(L66,$T$9:$V$54,3,FALSE))</f>
        <v>Duitsland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0</v>
      </c>
      <c r="AG66" s="108">
        <f t="shared" si="16"/>
        <v>0</v>
      </c>
      <c r="AH66" s="108">
        <f t="shared" si="17"/>
        <v>0</v>
      </c>
      <c r="AI66" s="108">
        <f t="shared" si="18"/>
        <v>0</v>
      </c>
      <c r="AJ66" s="108">
        <f t="shared" si="19"/>
        <v>0</v>
      </c>
      <c r="AK66" s="108">
        <f t="shared" si="20"/>
        <v>0</v>
      </c>
      <c r="AL66" s="108">
        <f t="shared" si="21"/>
        <v>0</v>
      </c>
      <c r="AZ66" s="138" t="str">
        <f>Uitslag!P66</f>
        <v>Jonathan de Guzman (m)</v>
      </c>
      <c r="BA66" s="140">
        <f t="shared" si="12"/>
        <v>3</v>
      </c>
      <c r="BB66" s="139">
        <f t="shared" si="22"/>
        <v>3</v>
      </c>
    </row>
    <row r="67" spans="2:54" ht="15.75" thickBot="1">
      <c r="B67" s="1"/>
      <c r="C67" s="39"/>
      <c r="D67" s="40"/>
      <c r="E67" s="1"/>
      <c r="F67" s="40"/>
      <c r="G67" s="1"/>
      <c r="H67" s="1"/>
      <c r="I67" s="1"/>
      <c r="J67" s="1"/>
      <c r="K67" s="1"/>
      <c r="L67" s="1"/>
      <c r="M67" s="1"/>
      <c r="O67" s="135">
        <v>10</v>
      </c>
      <c r="P67" s="877" t="s">
        <v>213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2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195"/>
      <c r="K68" s="1"/>
      <c r="L68" s="1"/>
      <c r="M68" s="1"/>
      <c r="O68" s="135">
        <v>11</v>
      </c>
      <c r="P68" s="877" t="s">
        <v>211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2"/>
        <v>3</v>
      </c>
    </row>
    <row r="69" spans="2:54">
      <c r="B69" s="78" t="s">
        <v>1</v>
      </c>
      <c r="C69" s="79" t="s">
        <v>2</v>
      </c>
      <c r="D69" s="193" t="s">
        <v>3</v>
      </c>
      <c r="E69" s="81"/>
      <c r="F69" s="194" t="s">
        <v>4</v>
      </c>
      <c r="G69" s="867" t="s">
        <v>5</v>
      </c>
      <c r="H69" s="868"/>
      <c r="I69" s="869"/>
      <c r="J69" s="83" t="s">
        <v>6</v>
      </c>
      <c r="K69" s="1"/>
      <c r="L69" s="1"/>
      <c r="M69" s="1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30</v>
      </c>
      <c r="BB69" s="139" t="str">
        <f>IF(AND(BA69&lt;&gt;"",BA69=33),15,"nvt")</f>
        <v>nvt</v>
      </c>
    </row>
    <row r="70" spans="2:54">
      <c r="B70" s="12">
        <v>57</v>
      </c>
      <c r="C70" s="13">
        <v>41824</v>
      </c>
      <c r="D70" s="55" t="str">
        <f>IF(J63="","Winnaar 53",IF(J63=1,D63,F63))</f>
        <v>Nigeria</v>
      </c>
      <c r="E70" s="15" t="s">
        <v>9</v>
      </c>
      <c r="F70" s="56" t="str">
        <f>IF(J64="","Winnaar 54",IF(J64=1,D64,F64))</f>
        <v>Portugal</v>
      </c>
      <c r="G70" s="85">
        <v>0</v>
      </c>
      <c r="H70" s="15" t="s">
        <v>9</v>
      </c>
      <c r="I70" s="97">
        <v>0</v>
      </c>
      <c r="J70" s="98">
        <v>2</v>
      </c>
      <c r="K70" s="1"/>
      <c r="L70" s="1"/>
      <c r="M70" s="1"/>
      <c r="V70" t="s">
        <v>133</v>
      </c>
      <c r="W70" t="s">
        <v>126</v>
      </c>
      <c r="X70" t="str">
        <f t="shared" si="11"/>
        <v>Karim Rekik (v)</v>
      </c>
      <c r="Y70" s="109">
        <f>AF70</f>
        <v>1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1</v>
      </c>
      <c r="AG70" s="108">
        <f>IF(AC70="",0,(IF(G70=AC70,1,0)))</f>
        <v>1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0</v>
      </c>
      <c r="AL70" s="108">
        <f>IF(AND(G70=I70,AC70=AD70),5,0)</f>
        <v>0</v>
      </c>
    </row>
    <row r="71" spans="2:54">
      <c r="B71" s="24">
        <v>58</v>
      </c>
      <c r="C71" s="25">
        <v>41824</v>
      </c>
      <c r="D71" s="58" t="str">
        <f>IF(J59="","Winnaar 49",IF(J59=1,D59,F59))</f>
        <v>Brazilië</v>
      </c>
      <c r="E71" s="27" t="s">
        <v>9</v>
      </c>
      <c r="F71" s="59" t="str">
        <f>IF(J60="","Winnaar 50",IF(J60=1,D60,F60))</f>
        <v>Japan</v>
      </c>
      <c r="G71" s="87">
        <v>2</v>
      </c>
      <c r="H71" s="27" t="s">
        <v>9</v>
      </c>
      <c r="I71" s="99">
        <v>1</v>
      </c>
      <c r="J71" s="100">
        <v>1</v>
      </c>
      <c r="K71" s="1"/>
      <c r="L71" s="1"/>
      <c r="M71" s="1"/>
      <c r="V71" t="s">
        <v>133</v>
      </c>
      <c r="W71" t="s">
        <v>194</v>
      </c>
      <c r="X71" t="str">
        <f t="shared" si="11"/>
        <v>Ron Vlaar (v)</v>
      </c>
      <c r="Y71" s="109">
        <f>AF71</f>
        <v>10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10</v>
      </c>
      <c r="AG71" s="108">
        <f>IF(AC71="",0,(IF(G71=AC71,1,0)))</f>
        <v>1</v>
      </c>
      <c r="AH71" s="108">
        <f>IF(AD71="",0,(IF(I71=AD71,1,0)))</f>
        <v>1</v>
      </c>
      <c r="AI71" s="108">
        <f>IF(AND(AG71=1,AH71=1),10,0)</f>
        <v>10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12">
        <v>59</v>
      </c>
      <c r="C72" s="13">
        <v>41825</v>
      </c>
      <c r="D72" s="55" t="str">
        <f>IF(J65="","Winnaar 55",IF(J65=1,D65,F65))</f>
        <v>Argentinië</v>
      </c>
      <c r="E72" s="15" t="s">
        <v>9</v>
      </c>
      <c r="F72" s="56" t="str">
        <f>IF(J66="","Winnaar 56",IF(J66=1,D66,F66))</f>
        <v>België</v>
      </c>
      <c r="G72" s="85">
        <v>0</v>
      </c>
      <c r="H72" s="15" t="s">
        <v>9</v>
      </c>
      <c r="I72" s="97">
        <v>1</v>
      </c>
      <c r="J72" s="98">
        <v>2</v>
      </c>
      <c r="K72" s="1"/>
      <c r="L72" s="1"/>
      <c r="M72" s="1"/>
      <c r="V72" t="s">
        <v>133</v>
      </c>
      <c r="W72" t="s">
        <v>195</v>
      </c>
      <c r="X72" t="str">
        <f t="shared" si="11"/>
        <v>John Heitinga (v)</v>
      </c>
      <c r="Y72" s="109">
        <f>AF72</f>
        <v>0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0</v>
      </c>
      <c r="AG72" s="108">
        <f>IF(AC72="",0,(IF(G72=AC72,1,0)))</f>
        <v>0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0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3">
        <v>60</v>
      </c>
      <c r="C73" s="34">
        <v>41825</v>
      </c>
      <c r="D73" s="61" t="str">
        <f>IF(J61="","Winnaar 51",IF(J61=1,D61,F61))</f>
        <v>Nederland</v>
      </c>
      <c r="E73" s="36" t="s">
        <v>9</v>
      </c>
      <c r="F73" s="62" t="str">
        <f>IF(J62="","Winnaar 52",IF(J62=1,D62,F62))</f>
        <v>Costa Rica</v>
      </c>
      <c r="G73" s="88">
        <v>2</v>
      </c>
      <c r="H73" s="36" t="s">
        <v>9</v>
      </c>
      <c r="I73" s="103">
        <v>0</v>
      </c>
      <c r="J73" s="104">
        <v>1</v>
      </c>
      <c r="K73" s="1"/>
      <c r="L73" s="1"/>
      <c r="M73" s="1"/>
      <c r="V73" t="s">
        <v>133</v>
      </c>
      <c r="W73" t="s">
        <v>196</v>
      </c>
      <c r="X73" t="str">
        <f t="shared" si="11"/>
        <v>Urby Emanuelson (v)</v>
      </c>
      <c r="Y73" s="109">
        <f>AF73</f>
        <v>1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1</v>
      </c>
      <c r="AG73" s="108">
        <f>IF(AC73="",0,(IF(G73=AC73,1,0)))</f>
        <v>0</v>
      </c>
      <c r="AH73" s="108">
        <f>IF(AD73="",0,(IF(I73=AD73,1,0)))</f>
        <v>1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1"/>
      <c r="C74" s="39"/>
      <c r="D74" s="40"/>
      <c r="E74" s="1"/>
      <c r="F74" s="40"/>
      <c r="G74" s="1"/>
      <c r="H74" s="1"/>
      <c r="I74" s="1"/>
      <c r="J74" s="1"/>
      <c r="K74" s="1"/>
      <c r="L74" s="1"/>
      <c r="M74" s="1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195"/>
      <c r="K75" s="1"/>
      <c r="L75" s="1"/>
      <c r="M75" s="1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78" t="s">
        <v>1</v>
      </c>
      <c r="C76" s="79" t="s">
        <v>2</v>
      </c>
      <c r="D76" s="193" t="s">
        <v>3</v>
      </c>
      <c r="E76" s="81"/>
      <c r="F76" s="194" t="s">
        <v>4</v>
      </c>
      <c r="G76" s="867" t="s">
        <v>5</v>
      </c>
      <c r="H76" s="868"/>
      <c r="I76" s="869"/>
      <c r="J76" s="83" t="s">
        <v>6</v>
      </c>
      <c r="K76" s="1"/>
      <c r="L76" s="1"/>
      <c r="M76" s="1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12">
        <v>61</v>
      </c>
      <c r="C77" s="13">
        <v>41828</v>
      </c>
      <c r="D77" s="55" t="str">
        <f>IF(J70="","Winnaar 57",IF(J70=1,D70,F70))</f>
        <v>Portugal</v>
      </c>
      <c r="E77" s="15" t="s">
        <v>9</v>
      </c>
      <c r="F77" s="56" t="str">
        <f>IF(J71="","Winnaar 58",IF(J71=1,D71,F71))</f>
        <v>Brazilië</v>
      </c>
      <c r="G77" s="85">
        <v>1</v>
      </c>
      <c r="H77" s="15" t="s">
        <v>9</v>
      </c>
      <c r="I77" s="97">
        <v>2</v>
      </c>
      <c r="J77" s="98">
        <v>2</v>
      </c>
      <c r="K77" s="1"/>
      <c r="L77" s="1"/>
      <c r="M77" s="1"/>
      <c r="V77" t="s">
        <v>134</v>
      </c>
      <c r="W77" t="s">
        <v>203</v>
      </c>
      <c r="X77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3">
        <v>62</v>
      </c>
      <c r="C78" s="34">
        <v>41829</v>
      </c>
      <c r="D78" s="61" t="str">
        <f>IF(J72="","Winnaar 59",IF(J72=1,D72,F72))</f>
        <v>België</v>
      </c>
      <c r="E78" s="36" t="s">
        <v>9</v>
      </c>
      <c r="F78" s="62" t="str">
        <f>IF(J73="","Winnaar 60",IF(J73=1,D73,F73))</f>
        <v>Nederland</v>
      </c>
      <c r="G78" s="88">
        <v>1</v>
      </c>
      <c r="H78" s="36" t="s">
        <v>9</v>
      </c>
      <c r="I78" s="103">
        <v>1</v>
      </c>
      <c r="J78" s="104">
        <v>2</v>
      </c>
      <c r="K78" s="1"/>
      <c r="L78" s="1"/>
      <c r="M78" s="1"/>
      <c r="V78" t="s">
        <v>134</v>
      </c>
      <c r="W78" t="s">
        <v>199</v>
      </c>
      <c r="X78" t="str">
        <f t="shared" si="11"/>
        <v>Leroy Fer (m)</v>
      </c>
      <c r="Y78" s="109">
        <f>AF78</f>
        <v>5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5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5</v>
      </c>
    </row>
    <row r="79" spans="2:54" ht="15.75" thickBot="1">
      <c r="B79" s="1"/>
      <c r="C79" s="39"/>
      <c r="D79" s="40"/>
      <c r="E79" s="1"/>
      <c r="F79" s="40"/>
      <c r="G79" s="1"/>
      <c r="H79" s="1"/>
      <c r="I79" s="1"/>
      <c r="J79" s="1"/>
      <c r="K79" s="1"/>
      <c r="L79" s="1"/>
      <c r="M79" s="1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195"/>
      <c r="K80" s="1"/>
      <c r="L80" s="1"/>
      <c r="M80" s="1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78" t="s">
        <v>1</v>
      </c>
      <c r="C81" s="79" t="s">
        <v>2</v>
      </c>
      <c r="D81" s="193" t="s">
        <v>3</v>
      </c>
      <c r="E81" s="81"/>
      <c r="F81" s="194" t="s">
        <v>4</v>
      </c>
      <c r="G81" s="867" t="s">
        <v>5</v>
      </c>
      <c r="H81" s="868"/>
      <c r="I81" s="869"/>
      <c r="J81" s="83" t="s">
        <v>6</v>
      </c>
      <c r="K81" s="1"/>
      <c r="L81" s="1"/>
      <c r="M81" s="1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2">
        <v>63</v>
      </c>
      <c r="C82" s="63">
        <v>41832</v>
      </c>
      <c r="D82" s="64" t="str">
        <f>IF(J77="","Verliezer 61",IF(J77=1,F77,D77))</f>
        <v>Portugal</v>
      </c>
      <c r="E82" s="3" t="s">
        <v>9</v>
      </c>
      <c r="F82" s="65" t="str">
        <f>IF(J78="","Verliezer 62",IF(J78=1,F78,D78))</f>
        <v>België</v>
      </c>
      <c r="G82" s="105">
        <v>0</v>
      </c>
      <c r="H82" s="3" t="s">
        <v>9</v>
      </c>
      <c r="I82" s="106">
        <v>1</v>
      </c>
      <c r="J82" s="107">
        <v>2</v>
      </c>
      <c r="K82" s="1"/>
      <c r="L82" s="1"/>
      <c r="M82" s="1"/>
      <c r="V82" t="s">
        <v>134</v>
      </c>
      <c r="W82" t="s">
        <v>125</v>
      </c>
      <c r="X82" t="str">
        <f t="shared" si="11"/>
        <v>Georginio Wijnaldum (m)</v>
      </c>
      <c r="Y82" s="109">
        <f>AF82</f>
        <v>6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6</v>
      </c>
      <c r="AG82" s="108">
        <f>IF(AC82="",0,(IF(G82=AC82,1,0)))</f>
        <v>1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5</v>
      </c>
      <c r="AL82" s="108">
        <f>IF(AND(G82=I82,AC82=AD82),5,0)</f>
        <v>0</v>
      </c>
    </row>
    <row r="83" spans="2:50" ht="15.75" thickBot="1">
      <c r="B83" s="1"/>
      <c r="C83" s="39"/>
      <c r="D83" s="40"/>
      <c r="E83" s="1"/>
      <c r="F83" s="40"/>
      <c r="G83" s="1"/>
      <c r="H83" s="1"/>
      <c r="I83" s="1"/>
      <c r="J83" s="1"/>
      <c r="K83" s="1"/>
      <c r="L83" s="1"/>
      <c r="M83" s="1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195"/>
      <c r="K84" s="1"/>
      <c r="L84" s="1"/>
      <c r="M84" s="1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78" t="s">
        <v>1</v>
      </c>
      <c r="C85" s="79" t="s">
        <v>2</v>
      </c>
      <c r="D85" s="193" t="s">
        <v>3</v>
      </c>
      <c r="E85" s="81"/>
      <c r="F85" s="194" t="s">
        <v>4</v>
      </c>
      <c r="G85" s="867" t="s">
        <v>5</v>
      </c>
      <c r="H85" s="868"/>
      <c r="I85" s="869"/>
      <c r="J85" s="83" t="s">
        <v>6</v>
      </c>
      <c r="K85" s="1"/>
      <c r="L85" s="1"/>
      <c r="M85" s="1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2">
        <v>64</v>
      </c>
      <c r="C86" s="63">
        <v>41833</v>
      </c>
      <c r="D86" s="64" t="str">
        <f>IF(J77="","Winnaar 61",IF(J77=1,D77,F77))</f>
        <v>Brazilië</v>
      </c>
      <c r="E86" s="3" t="s">
        <v>9</v>
      </c>
      <c r="F86" s="65" t="str">
        <f>IF(J78="","Winnaar 62",IF(J78=1,D78,F78))</f>
        <v>Nederland</v>
      </c>
      <c r="G86" s="105">
        <v>0</v>
      </c>
      <c r="H86" s="3" t="s">
        <v>9</v>
      </c>
      <c r="I86" s="106">
        <v>0</v>
      </c>
      <c r="J86" s="107">
        <v>2</v>
      </c>
      <c r="K86" s="1"/>
      <c r="L86" s="1"/>
      <c r="M86" s="1"/>
      <c r="V86" t="s">
        <v>134</v>
      </c>
      <c r="W86" t="s">
        <v>139</v>
      </c>
      <c r="X86" t="str">
        <f t="shared" si="11"/>
        <v>Nigel de Jong (m)</v>
      </c>
      <c r="Y86" s="109">
        <f>AF86</f>
        <v>10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10</v>
      </c>
      <c r="AG86" s="108">
        <f>IF(AC86="",0,(IF(G86=AC86,1,0)))</f>
        <v>1</v>
      </c>
      <c r="AH86" s="108">
        <f>IF(AD86="",0,(IF(I86=AD86,1,0)))</f>
        <v>1</v>
      </c>
      <c r="AI86" s="108">
        <f>IF(AND(AG86=1,AH86=1),10,0)</f>
        <v>10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5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Nederland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5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5</v>
      </c>
      <c r="AV89">
        <f>IF(AR89=0,0,IF(E89=AR89,50,0))</f>
        <v>0</v>
      </c>
      <c r="AW89">
        <f>IF(E89=0,0,IF(OR(E89=AR90),15,0))</f>
        <v>0</v>
      </c>
      <c r="AX89">
        <f>IF(E89=0,0,IF(OR(E89=AR91,E89=AR92),5,0))</f>
        <v>5</v>
      </c>
    </row>
    <row r="90" spans="2:50">
      <c r="C90" s="870">
        <v>2</v>
      </c>
      <c r="D90" s="871"/>
      <c r="E90" s="872" t="str">
        <f>IF(J86=2,D86,IF(J86=1,F86,"Wie wordt 2de?"))</f>
        <v>Brazilië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5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5</v>
      </c>
      <c r="AV90">
        <f>IF(AR90=0,0,IF(AR90=E90,25,0))</f>
        <v>0</v>
      </c>
      <c r="AW90">
        <f>IF(E90=0,0,IF(OR(E90=AR89,),15,0))</f>
        <v>0</v>
      </c>
      <c r="AX90">
        <f>IF(E90=0,0,IF(OR(E90=AR91,E90=AR92),5,0))</f>
        <v>5</v>
      </c>
    </row>
    <row r="91" spans="2:50">
      <c r="C91" s="870">
        <v>3</v>
      </c>
      <c r="D91" s="871"/>
      <c r="E91" s="872" t="str">
        <f>IF(J82=1,D82,IF(J82=2,F82,"Wie wordt 3de?"))</f>
        <v>België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0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0</v>
      </c>
      <c r="AV91">
        <f>IF(AR91=0,0,IF(AR91=E91,15,0))</f>
        <v>0</v>
      </c>
      <c r="AW91">
        <f>IF(E91=0,0,IF(OR(E91=AR92),10,0))</f>
        <v>0</v>
      </c>
      <c r="AX91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Portugal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0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0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10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conditionalFormatting sqref="AO9:AO12 AO15:AO18 AO21:AO24 AO27:AO30 AO33:AO36 AO39:AO42 AO45:AO48 AO51:AO54">
    <cfRule type="cellIs" dxfId="239" priority="3" operator="equal">
      <formula>10</formula>
    </cfRule>
  </conditionalFormatting>
  <conditionalFormatting sqref="P58:T58">
    <cfRule type="duplicateValues" dxfId="238" priority="2"/>
  </conditionalFormatting>
  <conditionalFormatting sqref="P58:T68">
    <cfRule type="duplicateValues" dxfId="237" priority="1"/>
  </conditionalFormatting>
  <dataValidations count="10">
    <dataValidation type="list" allowBlank="1" showInputMessage="1" showErrorMessage="1" sqref="P58:P68">
      <formula1>$X$58:$X$98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51:T54">
      <formula1>$W$51:$W$54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B1:BB98"/>
  <sheetViews>
    <sheetView topLeftCell="A40" zoomScale="70" zoomScaleNormal="70" workbookViewId="0">
      <selection activeCell="P58" sqref="P58:T68"/>
    </sheetView>
  </sheetViews>
  <sheetFormatPr defaultRowHeight="15" outlineLevelCol="2"/>
  <cols>
    <col min="1" max="1" width="3.42578125" customWidth="1"/>
    <col min="2" max="2" width="3.5703125" bestFit="1" customWidth="1"/>
    <col min="3" max="3" width="11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145" t="s">
        <v>245</v>
      </c>
      <c r="E3" s="145"/>
      <c r="F3" s="145"/>
      <c r="N3" t="str">
        <f>D3</f>
        <v>Jochem</v>
      </c>
      <c r="O3" s="144">
        <f>SUM(P3:S3)</f>
        <v>390</v>
      </c>
      <c r="P3" s="109">
        <f>SUM(Y8:Y86)</f>
        <v>235</v>
      </c>
      <c r="Q3" s="109">
        <f>SUM(AM4:AM55)</f>
        <v>120</v>
      </c>
      <c r="R3" s="109">
        <f>SUM(AP89:AP92)</f>
        <v>5</v>
      </c>
      <c r="S3" s="109">
        <f>SUM(BB58:BB69)</f>
        <v>30</v>
      </c>
      <c r="T3" s="109">
        <f>COUNTIF(AF8:AF86,10)</f>
        <v>6</v>
      </c>
      <c r="U3" s="109" t="str">
        <f>E89</f>
        <v>Brazilië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1"/>
      <c r="L6" s="1"/>
      <c r="O6" s="40"/>
      <c r="P6" s="41"/>
      <c r="Q6" s="41"/>
      <c r="R6" s="41"/>
      <c r="S6" s="41"/>
      <c r="T6" s="41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66" t="s">
        <v>1</v>
      </c>
      <c r="C7" s="67" t="s">
        <v>2</v>
      </c>
      <c r="D7" s="196" t="s">
        <v>3</v>
      </c>
      <c r="E7" s="69"/>
      <c r="F7" s="197" t="s">
        <v>4</v>
      </c>
      <c r="G7" s="880" t="s">
        <v>5</v>
      </c>
      <c r="H7" s="881"/>
      <c r="I7" s="882"/>
      <c r="J7" s="71" t="s">
        <v>6</v>
      </c>
      <c r="K7" s="4" t="s">
        <v>7</v>
      </c>
      <c r="L7" s="4" t="s">
        <v>7</v>
      </c>
      <c r="O7" s="1"/>
      <c r="P7" s="41"/>
      <c r="Q7" s="41"/>
      <c r="R7" s="41"/>
      <c r="S7" s="41"/>
      <c r="T7" s="41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5">
        <v>1</v>
      </c>
      <c r="C8" s="6">
        <v>41802</v>
      </c>
      <c r="D8" s="7" t="s">
        <v>8</v>
      </c>
      <c r="E8" s="8" t="s">
        <v>9</v>
      </c>
      <c r="F8" s="9" t="s">
        <v>10</v>
      </c>
      <c r="G8" s="84">
        <v>2</v>
      </c>
      <c r="H8" s="8" t="s">
        <v>9</v>
      </c>
      <c r="I8" s="192">
        <v>1</v>
      </c>
      <c r="J8" s="10">
        <f t="shared" ref="J8:J55" si="0">IF(I8="","",IF(G8&gt;I8,1,IF(G8&lt;I8,2,3)))</f>
        <v>1</v>
      </c>
      <c r="K8" s="11">
        <f t="shared" ref="K8:K55" si="1">IF(I8="","",IF($G8&gt;$I8,3,IF($G8=$I8,1,0)))</f>
        <v>3</v>
      </c>
      <c r="L8" s="11">
        <f t="shared" ref="L8:L55" si="2">IF(I8="","",IF($G8&lt;$I8,3,IF($G8=$I8,1,0)))</f>
        <v>0</v>
      </c>
      <c r="O8" s="72" t="s">
        <v>41</v>
      </c>
      <c r="P8" s="73" t="s">
        <v>42</v>
      </c>
      <c r="Q8" s="73" t="s">
        <v>43</v>
      </c>
      <c r="R8" s="74" t="s">
        <v>44</v>
      </c>
      <c r="S8" s="75" t="s">
        <v>45</v>
      </c>
      <c r="T8" s="76" t="s">
        <v>46</v>
      </c>
      <c r="U8" s="40"/>
      <c r="V8" s="40"/>
      <c r="W8" s="40"/>
      <c r="Y8" s="109">
        <f>AF8</f>
        <v>6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6</v>
      </c>
      <c r="AG8" s="108">
        <f t="shared" ref="AG8:AG55" si="3">IF(AC8="",0,(IF(G8=AC8,1,0)))</f>
        <v>0</v>
      </c>
      <c r="AH8" s="108">
        <f t="shared" ref="AH8:AH55" si="4">IF(AD8="",0,(IF(I8=AD8,1,0)))</f>
        <v>1</v>
      </c>
      <c r="AI8" s="108">
        <f>IF(AND(AG8=1,AH8=1),10,0)</f>
        <v>0</v>
      </c>
      <c r="AJ8" s="108">
        <f t="shared" ref="AJ8:AJ55" si="5">IF(AND(G8&gt;I8,AC8&gt;AD8),5,0)</f>
        <v>5</v>
      </c>
      <c r="AK8" s="108">
        <f t="shared" ref="AK8:AK55" si="6">IF(AND(G8&lt;I8,AC8&lt;AD8),5,0)</f>
        <v>0</v>
      </c>
      <c r="AL8" s="108">
        <f t="shared" ref="AL8:AL55" si="7">IF(AND(G8=I8,AC8=AD8),5,0)</f>
        <v>0</v>
      </c>
      <c r="AN8" s="42" t="s">
        <v>41</v>
      </c>
      <c r="AO8" s="43" t="s">
        <v>46</v>
      </c>
    </row>
    <row r="9" spans="2:54" ht="15.75" thickBot="1">
      <c r="B9" s="12">
        <v>2</v>
      </c>
      <c r="C9" s="13">
        <v>41803</v>
      </c>
      <c r="D9" s="14" t="s">
        <v>11</v>
      </c>
      <c r="E9" s="15" t="s">
        <v>9</v>
      </c>
      <c r="F9" s="16" t="s">
        <v>12</v>
      </c>
      <c r="G9" s="85">
        <v>3</v>
      </c>
      <c r="H9" s="15" t="s">
        <v>9</v>
      </c>
      <c r="I9" s="90">
        <v>0</v>
      </c>
      <c r="J9" s="17">
        <f t="shared" si="0"/>
        <v>1</v>
      </c>
      <c r="K9" s="11">
        <f t="shared" si="1"/>
        <v>3</v>
      </c>
      <c r="L9" s="11">
        <f t="shared" si="2"/>
        <v>0</v>
      </c>
      <c r="O9" s="44" t="s">
        <v>8</v>
      </c>
      <c r="P9" s="45">
        <f>SUMIF($D$8:$D$55,$O9,$G$8:$G$55)+SUMIF($F$8:$F$55,$O9,$I$8:$I$55)</f>
        <v>7</v>
      </c>
      <c r="Q9" s="45">
        <f>SUMIF($D$8:$D$55,$O9,$I$8:$I$55)+SUMIF($F$8:$F$55,$O9,$G$8:$G$55)</f>
        <v>1</v>
      </c>
      <c r="R9" s="46">
        <f>P9-Q9</f>
        <v>6</v>
      </c>
      <c r="S9" s="47">
        <f>SUMIF($D$8:$D$55,$O9,$K$8:$K$55)+SUMIF($F$8:$F$55,$O9,$L$8:$L$55)</f>
        <v>9</v>
      </c>
      <c r="T9" s="94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6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6</v>
      </c>
      <c r="AG9" s="108">
        <f t="shared" si="3"/>
        <v>0</v>
      </c>
      <c r="AH9" s="108">
        <f t="shared" si="4"/>
        <v>1</v>
      </c>
      <c r="AI9" s="108">
        <f t="shared" ref="AI9:AI55" si="10">IF(AND(AG9=1,AH9=1),10,0)</f>
        <v>0</v>
      </c>
      <c r="AJ9" s="108">
        <f t="shared" si="5"/>
        <v>5</v>
      </c>
      <c r="AK9" s="108">
        <f t="shared" si="6"/>
        <v>0</v>
      </c>
      <c r="AL9" s="108">
        <f t="shared" si="7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18">
        <v>3</v>
      </c>
      <c r="C10" s="19">
        <v>41803</v>
      </c>
      <c r="D10" s="20" t="s">
        <v>13</v>
      </c>
      <c r="E10" s="21" t="s">
        <v>9</v>
      </c>
      <c r="F10" s="22" t="s">
        <v>14</v>
      </c>
      <c r="G10" s="86">
        <v>1</v>
      </c>
      <c r="H10" s="21" t="s">
        <v>9</v>
      </c>
      <c r="I10" s="91">
        <v>1</v>
      </c>
      <c r="J10" s="23">
        <f t="shared" si="0"/>
        <v>3</v>
      </c>
      <c r="K10" s="11">
        <f t="shared" si="1"/>
        <v>1</v>
      </c>
      <c r="L10" s="11">
        <f t="shared" si="2"/>
        <v>1</v>
      </c>
      <c r="O10" s="48" t="s">
        <v>10</v>
      </c>
      <c r="P10" s="49">
        <f>SUMIF($D$8:$D$55,$O10,$G$8:$G$55)+SUMIF($F$8:$F$55,$O10,$I$8:$I$55)</f>
        <v>5</v>
      </c>
      <c r="Q10" s="49">
        <f>SUMIF($D$8:$D$55,$O10,$I$8:$I$55)+SUMIF($F$8:$F$55,$O10,$G$8:$G$55)</f>
        <v>4</v>
      </c>
      <c r="R10" s="49">
        <f>P10-Q10</f>
        <v>1</v>
      </c>
      <c r="S10" s="50">
        <f>SUMIF($D$8:$D$55,$O10,$K$8:$K$55)+SUMIF($F$8:$F$55,$O10,$L$8:$L$55)</f>
        <v>4</v>
      </c>
      <c r="T10" s="95" t="s">
        <v>49</v>
      </c>
      <c r="U10" s="40"/>
      <c r="V10" s="40" t="str">
        <f>O10</f>
        <v>Kroatië</v>
      </c>
      <c r="W10" s="40" t="s">
        <v>49</v>
      </c>
      <c r="Y10" s="109">
        <f t="shared" si="8"/>
        <v>1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1</v>
      </c>
      <c r="AG10" s="108">
        <f t="shared" si="3"/>
        <v>1</v>
      </c>
      <c r="AH10" s="108">
        <f t="shared" si="4"/>
        <v>0</v>
      </c>
      <c r="AI10" s="108">
        <f t="shared" si="10"/>
        <v>0</v>
      </c>
      <c r="AJ10" s="108">
        <f t="shared" si="5"/>
        <v>0</v>
      </c>
      <c r="AK10" s="108">
        <f t="shared" si="6"/>
        <v>0</v>
      </c>
      <c r="AL10" s="108">
        <f t="shared" si="7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24">
        <v>4</v>
      </c>
      <c r="C11" s="25">
        <v>41803</v>
      </c>
      <c r="D11" s="26" t="s">
        <v>15</v>
      </c>
      <c r="E11" s="27" t="s">
        <v>9</v>
      </c>
      <c r="F11" s="28" t="s">
        <v>16</v>
      </c>
      <c r="G11" s="87">
        <v>1</v>
      </c>
      <c r="H11" s="27" t="s">
        <v>9</v>
      </c>
      <c r="I11" s="92">
        <v>0</v>
      </c>
      <c r="J11" s="29">
        <f t="shared" si="0"/>
        <v>1</v>
      </c>
      <c r="K11" s="11">
        <f t="shared" si="1"/>
        <v>3</v>
      </c>
      <c r="L11" s="11">
        <f t="shared" si="2"/>
        <v>0</v>
      </c>
      <c r="O11" s="48" t="s">
        <v>11</v>
      </c>
      <c r="P11" s="49">
        <f>SUMIF($D$8:$D$55,$O11,$G$8:$G$55)+SUMIF($F$8:$F$55,$O11,$I$8:$I$55)</f>
        <v>5</v>
      </c>
      <c r="Q11" s="49">
        <f>SUMIF($D$8:$D$55,$O11,$I$8:$I$55)+SUMIF($F$8:$F$55,$O11,$G$8:$G$55)</f>
        <v>5</v>
      </c>
      <c r="R11" s="49">
        <f>P11-Q11</f>
        <v>0</v>
      </c>
      <c r="S11" s="50">
        <f>SUMIF($D$8:$D$55,$O11,$K$8:$K$55)+SUMIF($F$8:$F$55,$O11,$L$8:$L$55)</f>
        <v>4</v>
      </c>
      <c r="T11" s="95" t="s">
        <v>47</v>
      </c>
      <c r="U11" s="40"/>
      <c r="V11" s="40" t="str">
        <f>O11</f>
        <v>Mexico</v>
      </c>
      <c r="W11" s="40" t="s">
        <v>47</v>
      </c>
      <c r="Y11" s="109">
        <f t="shared" si="8"/>
        <v>5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5</v>
      </c>
      <c r="AG11" s="108">
        <f t="shared" si="3"/>
        <v>0</v>
      </c>
      <c r="AH11" s="108">
        <f t="shared" si="4"/>
        <v>0</v>
      </c>
      <c r="AI11" s="108">
        <f t="shared" si="10"/>
        <v>0</v>
      </c>
      <c r="AJ11" s="108">
        <f t="shared" si="5"/>
        <v>5</v>
      </c>
      <c r="AK11" s="108">
        <f t="shared" si="6"/>
        <v>0</v>
      </c>
      <c r="AL11" s="108">
        <f t="shared" si="7"/>
        <v>0</v>
      </c>
      <c r="AM11" s="120">
        <f>AO11</f>
        <v>0</v>
      </c>
      <c r="AN11" s="117" t="s">
        <v>11</v>
      </c>
      <c r="AO11" s="115">
        <f>IF(Uitslag!T11="",0,IF(T11=Uitslag!T11,10,0))</f>
        <v>0</v>
      </c>
    </row>
    <row r="12" spans="2:54" ht="15.75" thickBot="1">
      <c r="B12" s="12">
        <v>5</v>
      </c>
      <c r="C12" s="13">
        <v>41804</v>
      </c>
      <c r="D12" s="14" t="s">
        <v>17</v>
      </c>
      <c r="E12" s="15" t="s">
        <v>9</v>
      </c>
      <c r="F12" s="16" t="s">
        <v>18</v>
      </c>
      <c r="G12" s="85">
        <v>2</v>
      </c>
      <c r="H12" s="15" t="s">
        <v>9</v>
      </c>
      <c r="I12" s="90">
        <v>1</v>
      </c>
      <c r="J12" s="17">
        <f t="shared" si="0"/>
        <v>1</v>
      </c>
      <c r="K12" s="11">
        <f t="shared" si="1"/>
        <v>3</v>
      </c>
      <c r="L12" s="11">
        <f t="shared" si="2"/>
        <v>0</v>
      </c>
      <c r="O12" s="51" t="s">
        <v>12</v>
      </c>
      <c r="P12" s="52">
        <f>SUMIF($D$8:$D$55,$O12,$G$8:$G$55)+SUMIF($F$8:$F$55,$O12,$I$8:$I$55)</f>
        <v>0</v>
      </c>
      <c r="Q12" s="52">
        <f>SUMIF($D$8:$D$55,$O12,$I$8:$I$55)+SUMIF($F$8:$F$55,$O12,$G$8:$G$55)</f>
        <v>7</v>
      </c>
      <c r="R12" s="52">
        <f>P12-Q12</f>
        <v>-7</v>
      </c>
      <c r="S12" s="53">
        <f>SUMIF($D$8:$D$55,$O12,$K$8:$K$55)+SUMIF($F$8:$F$55,$O12,$L$8:$L$55)</f>
        <v>0</v>
      </c>
      <c r="T12" s="96" t="s">
        <v>50</v>
      </c>
      <c r="U12" s="40"/>
      <c r="V12" s="40" t="str">
        <f>O12</f>
        <v>Kameroen</v>
      </c>
      <c r="W12" s="40" t="s">
        <v>50</v>
      </c>
      <c r="Y12" s="109">
        <f t="shared" si="8"/>
        <v>5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5</v>
      </c>
      <c r="AG12" s="108">
        <f t="shared" si="3"/>
        <v>0</v>
      </c>
      <c r="AH12" s="108">
        <f t="shared" si="4"/>
        <v>0</v>
      </c>
      <c r="AI12" s="108">
        <f t="shared" si="10"/>
        <v>0</v>
      </c>
      <c r="AJ12" s="108">
        <f t="shared" si="5"/>
        <v>5</v>
      </c>
      <c r="AK12" s="108">
        <f t="shared" si="6"/>
        <v>0</v>
      </c>
      <c r="AL12" s="108">
        <f t="shared" si="7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18">
        <v>6</v>
      </c>
      <c r="C13" s="19">
        <v>41804</v>
      </c>
      <c r="D13" s="20" t="s">
        <v>19</v>
      </c>
      <c r="E13" s="21" t="s">
        <v>9</v>
      </c>
      <c r="F13" s="30" t="s">
        <v>20</v>
      </c>
      <c r="G13" s="86">
        <v>2</v>
      </c>
      <c r="H13" s="21" t="s">
        <v>9</v>
      </c>
      <c r="I13" s="91">
        <v>2</v>
      </c>
      <c r="J13" s="23">
        <f t="shared" si="0"/>
        <v>3</v>
      </c>
      <c r="K13" s="11">
        <f t="shared" si="1"/>
        <v>1</v>
      </c>
      <c r="L13" s="11">
        <f t="shared" si="2"/>
        <v>1</v>
      </c>
      <c r="O13" s="40"/>
      <c r="P13" s="41"/>
      <c r="Q13" s="41"/>
      <c r="R13" s="41"/>
      <c r="S13" s="41"/>
      <c r="T13" s="41"/>
      <c r="U13" s="40"/>
      <c r="V13" s="40"/>
      <c r="W13" s="40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3"/>
        <v>0</v>
      </c>
      <c r="AH13" s="108">
        <f t="shared" si="4"/>
        <v>0</v>
      </c>
      <c r="AI13" s="108">
        <f t="shared" si="10"/>
        <v>0</v>
      </c>
      <c r="AJ13" s="108">
        <f t="shared" si="5"/>
        <v>0</v>
      </c>
      <c r="AK13" s="108">
        <f t="shared" si="6"/>
        <v>0</v>
      </c>
      <c r="AL13" s="108">
        <f t="shared" si="7"/>
        <v>0</v>
      </c>
      <c r="AN13" s="40"/>
      <c r="AO13" s="41"/>
    </row>
    <row r="14" spans="2:54" ht="15.75" thickBot="1">
      <c r="B14" s="18">
        <v>7</v>
      </c>
      <c r="C14" s="19">
        <v>41804</v>
      </c>
      <c r="D14" s="20" t="s">
        <v>21</v>
      </c>
      <c r="E14" s="21" t="s">
        <v>9</v>
      </c>
      <c r="F14" s="30" t="s">
        <v>22</v>
      </c>
      <c r="G14" s="86">
        <v>1</v>
      </c>
      <c r="H14" s="21" t="s">
        <v>9</v>
      </c>
      <c r="I14" s="91">
        <v>0</v>
      </c>
      <c r="J14" s="23">
        <f t="shared" si="0"/>
        <v>1</v>
      </c>
      <c r="K14" s="11">
        <f t="shared" si="1"/>
        <v>3</v>
      </c>
      <c r="L14" s="11">
        <f t="shared" si="2"/>
        <v>0</v>
      </c>
      <c r="O14" s="72" t="s">
        <v>51</v>
      </c>
      <c r="P14" s="73" t="s">
        <v>42</v>
      </c>
      <c r="Q14" s="73" t="s">
        <v>43</v>
      </c>
      <c r="R14" s="74" t="s">
        <v>44</v>
      </c>
      <c r="S14" s="75" t="s">
        <v>45</v>
      </c>
      <c r="T14" s="76" t="s">
        <v>46</v>
      </c>
      <c r="U14" s="40"/>
      <c r="V14" s="40"/>
      <c r="W14" s="40"/>
      <c r="Y14" s="109">
        <f t="shared" si="8"/>
        <v>1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</v>
      </c>
      <c r="AG14" s="108">
        <f t="shared" si="3"/>
        <v>1</v>
      </c>
      <c r="AH14" s="108">
        <f t="shared" si="4"/>
        <v>0</v>
      </c>
      <c r="AI14" s="108">
        <f t="shared" si="10"/>
        <v>0</v>
      </c>
      <c r="AJ14" s="108">
        <f t="shared" si="5"/>
        <v>0</v>
      </c>
      <c r="AK14" s="108">
        <f t="shared" si="6"/>
        <v>0</v>
      </c>
      <c r="AL14" s="108">
        <f t="shared" si="7"/>
        <v>0</v>
      </c>
      <c r="AN14" s="42" t="s">
        <v>51</v>
      </c>
      <c r="AO14" s="43" t="s">
        <v>46</v>
      </c>
    </row>
    <row r="15" spans="2:54" ht="15.75" thickBot="1">
      <c r="B15" s="24">
        <v>8</v>
      </c>
      <c r="C15" s="25">
        <v>41804</v>
      </c>
      <c r="D15" s="26" t="s">
        <v>23</v>
      </c>
      <c r="E15" s="27" t="s">
        <v>9</v>
      </c>
      <c r="F15" s="28" t="s">
        <v>24</v>
      </c>
      <c r="G15" s="87">
        <v>1</v>
      </c>
      <c r="H15" s="27" t="s">
        <v>9</v>
      </c>
      <c r="I15" s="92">
        <v>1</v>
      </c>
      <c r="J15" s="29">
        <f t="shared" si="0"/>
        <v>3</v>
      </c>
      <c r="K15" s="11">
        <f t="shared" si="1"/>
        <v>1</v>
      </c>
      <c r="L15" s="11">
        <f t="shared" si="2"/>
        <v>1</v>
      </c>
      <c r="O15" s="44" t="s">
        <v>13</v>
      </c>
      <c r="P15" s="45">
        <f>SUMIF($D$8:$D$55,$O15,$G$8:$G$55)+SUMIF($F$8:$F$55,$O15,$I$8:$I$55)</f>
        <v>7</v>
      </c>
      <c r="Q15" s="45">
        <f>SUMIF($D$8:$D$55,$O15,$I$8:$I$55)+SUMIF($F$8:$F$55,$O15,$G$8:$G$55)</f>
        <v>3</v>
      </c>
      <c r="R15" s="46">
        <f>P15-Q15</f>
        <v>4</v>
      </c>
      <c r="S15" s="47">
        <f>SUMIF($D$8:$D$55,$O15,$K$8:$K$55)+SUMIF($F$8:$F$55,$O15,$L$8:$L$55)</f>
        <v>7</v>
      </c>
      <c r="T15" s="94" t="s">
        <v>52</v>
      </c>
      <c r="U15" s="40"/>
      <c r="V15" s="40" t="str">
        <f>O15</f>
        <v>Spanje</v>
      </c>
      <c r="W15" s="40" t="s">
        <v>52</v>
      </c>
      <c r="Y15" s="109">
        <f t="shared" si="8"/>
        <v>1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1</v>
      </c>
      <c r="AG15" s="108">
        <f t="shared" si="3"/>
        <v>0</v>
      </c>
      <c r="AH15" s="108">
        <f t="shared" si="4"/>
        <v>1</v>
      </c>
      <c r="AI15" s="108">
        <f t="shared" si="10"/>
        <v>0</v>
      </c>
      <c r="AJ15" s="108">
        <f t="shared" si="5"/>
        <v>0</v>
      </c>
      <c r="AK15" s="108">
        <f t="shared" si="6"/>
        <v>0</v>
      </c>
      <c r="AL15" s="108">
        <f t="shared" si="7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12">
        <v>9</v>
      </c>
      <c r="C16" s="13">
        <v>41805</v>
      </c>
      <c r="D16" s="14" t="s">
        <v>25</v>
      </c>
      <c r="E16" s="15" t="s">
        <v>9</v>
      </c>
      <c r="F16" s="16" t="s">
        <v>26</v>
      </c>
      <c r="G16" s="85">
        <v>1</v>
      </c>
      <c r="H16" s="15" t="s">
        <v>9</v>
      </c>
      <c r="I16" s="90">
        <v>2</v>
      </c>
      <c r="J16" s="17">
        <f t="shared" si="0"/>
        <v>2</v>
      </c>
      <c r="K16" s="11">
        <f t="shared" si="1"/>
        <v>0</v>
      </c>
      <c r="L16" s="11">
        <f t="shared" si="2"/>
        <v>3</v>
      </c>
      <c r="O16" s="54" t="s">
        <v>14</v>
      </c>
      <c r="P16" s="49">
        <f>SUMIF($D$8:$D$55,$O16,$G$8:$G$55)+SUMIF($F$8:$F$55,$O16,$I$8:$I$55)</f>
        <v>4</v>
      </c>
      <c r="Q16" s="49">
        <f>SUMIF($D$8:$D$55,$O16,$I$8:$I$55)+SUMIF($F$8:$F$55,$O16,$G$8:$G$55)</f>
        <v>1</v>
      </c>
      <c r="R16" s="49">
        <f>P16-Q16</f>
        <v>3</v>
      </c>
      <c r="S16" s="50">
        <f>SUMIF($D$8:$D$55,$O16,$K$8:$K$55)+SUMIF($F$8:$F$55,$O16,$L$8:$L$55)</f>
        <v>5</v>
      </c>
      <c r="T16" s="95" t="s">
        <v>53</v>
      </c>
      <c r="U16" s="40"/>
      <c r="V16" s="40" t="str">
        <f>O16</f>
        <v>Nederland</v>
      </c>
      <c r="W16" s="40" t="s">
        <v>53</v>
      </c>
      <c r="Y16" s="109">
        <f t="shared" si="8"/>
        <v>0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0</v>
      </c>
      <c r="AG16" s="108">
        <f t="shared" si="3"/>
        <v>0</v>
      </c>
      <c r="AH16" s="108">
        <f t="shared" si="4"/>
        <v>0</v>
      </c>
      <c r="AI16" s="108">
        <f t="shared" si="10"/>
        <v>0</v>
      </c>
      <c r="AJ16" s="108">
        <f t="shared" si="5"/>
        <v>0</v>
      </c>
      <c r="AK16" s="108">
        <f t="shared" si="6"/>
        <v>0</v>
      </c>
      <c r="AL16" s="108">
        <f t="shared" si="7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18">
        <v>10</v>
      </c>
      <c r="C17" s="19">
        <v>41805</v>
      </c>
      <c r="D17" s="20" t="s">
        <v>27</v>
      </c>
      <c r="E17" s="21" t="s">
        <v>9</v>
      </c>
      <c r="F17" s="30" t="s">
        <v>28</v>
      </c>
      <c r="G17" s="86">
        <v>1</v>
      </c>
      <c r="H17" s="21" t="s">
        <v>9</v>
      </c>
      <c r="I17" s="91">
        <v>1</v>
      </c>
      <c r="J17" s="23">
        <f t="shared" si="0"/>
        <v>3</v>
      </c>
      <c r="K17" s="11">
        <f t="shared" si="1"/>
        <v>1</v>
      </c>
      <c r="L17" s="11">
        <f t="shared" si="2"/>
        <v>1</v>
      </c>
      <c r="O17" s="48" t="s">
        <v>15</v>
      </c>
      <c r="P17" s="49">
        <f>SUMIF($D$8:$D$55,$O17,$G$8:$G$55)+SUMIF($F$8:$F$55,$O17,$I$8:$I$55)</f>
        <v>2</v>
      </c>
      <c r="Q17" s="49">
        <f>SUMIF($D$8:$D$55,$O17,$I$8:$I$55)+SUMIF($F$8:$F$55,$O17,$G$8:$G$55)</f>
        <v>2</v>
      </c>
      <c r="R17" s="49">
        <f>P17-Q17</f>
        <v>0</v>
      </c>
      <c r="S17" s="50">
        <f>SUMIF($D$8:$D$55,$O17,$K$8:$K$55)+SUMIF($F$8:$F$55,$O17,$L$8:$L$55)</f>
        <v>4</v>
      </c>
      <c r="T17" s="95" t="s">
        <v>54</v>
      </c>
      <c r="U17" s="40"/>
      <c r="V17" s="40" t="str">
        <f>O17</f>
        <v>Chili</v>
      </c>
      <c r="W17" s="40" t="s">
        <v>54</v>
      </c>
      <c r="Y17" s="109">
        <f t="shared" si="8"/>
        <v>0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0</v>
      </c>
      <c r="AG17" s="108">
        <f t="shared" si="3"/>
        <v>0</v>
      </c>
      <c r="AH17" s="108">
        <f t="shared" si="4"/>
        <v>0</v>
      </c>
      <c r="AI17" s="108">
        <f t="shared" si="10"/>
        <v>0</v>
      </c>
      <c r="AJ17" s="108">
        <f t="shared" si="5"/>
        <v>0</v>
      </c>
      <c r="AK17" s="108">
        <f t="shared" si="6"/>
        <v>0</v>
      </c>
      <c r="AL17" s="108">
        <f t="shared" si="7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24">
        <v>11</v>
      </c>
      <c r="C18" s="25">
        <v>41805</v>
      </c>
      <c r="D18" s="26" t="s">
        <v>29</v>
      </c>
      <c r="E18" s="27" t="s">
        <v>9</v>
      </c>
      <c r="F18" s="28" t="s">
        <v>30</v>
      </c>
      <c r="G18" s="87">
        <v>3</v>
      </c>
      <c r="H18" s="27" t="s">
        <v>9</v>
      </c>
      <c r="I18" s="92">
        <v>0</v>
      </c>
      <c r="J18" s="29">
        <f t="shared" si="0"/>
        <v>1</v>
      </c>
      <c r="K18" s="11">
        <f t="shared" si="1"/>
        <v>3</v>
      </c>
      <c r="L18" s="11">
        <f t="shared" si="2"/>
        <v>0</v>
      </c>
      <c r="O18" s="51" t="s">
        <v>16</v>
      </c>
      <c r="P18" s="52">
        <f>SUMIF($D$8:$D$55,$O18,$G$8:$G$55)+SUMIF($F$8:$F$55,$O18,$I$8:$I$55)</f>
        <v>1</v>
      </c>
      <c r="Q18" s="52">
        <f>SUMIF($D$8:$D$55,$O18,$I$8:$I$55)+SUMIF($F$8:$F$55,$O18,$G$8:$G$55)</f>
        <v>8</v>
      </c>
      <c r="R18" s="52">
        <f>P18-Q18</f>
        <v>-7</v>
      </c>
      <c r="S18" s="53">
        <f>SUMIF($D$8:$D$55,$O18,$K$8:$K$55)+SUMIF($F$8:$F$55,$O18,$L$8:$L$55)</f>
        <v>0</v>
      </c>
      <c r="T18" s="96" t="s">
        <v>55</v>
      </c>
      <c r="U18" s="40"/>
      <c r="V18" s="40" t="str">
        <f>O18</f>
        <v>Australië</v>
      </c>
      <c r="W18" s="40" t="s">
        <v>55</v>
      </c>
      <c r="Y18" s="109">
        <f t="shared" si="8"/>
        <v>5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5</v>
      </c>
      <c r="AG18" s="108">
        <f t="shared" si="3"/>
        <v>0</v>
      </c>
      <c r="AH18" s="108">
        <f t="shared" si="4"/>
        <v>0</v>
      </c>
      <c r="AI18" s="108">
        <f t="shared" si="10"/>
        <v>0</v>
      </c>
      <c r="AJ18" s="108">
        <f t="shared" si="5"/>
        <v>5</v>
      </c>
      <c r="AK18" s="108">
        <f t="shared" si="6"/>
        <v>0</v>
      </c>
      <c r="AL18" s="108">
        <f t="shared" si="7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12">
        <v>12</v>
      </c>
      <c r="C19" s="13">
        <v>41806</v>
      </c>
      <c r="D19" s="14" t="s">
        <v>31</v>
      </c>
      <c r="E19" s="15" t="s">
        <v>9</v>
      </c>
      <c r="F19" s="16" t="s">
        <v>32</v>
      </c>
      <c r="G19" s="85">
        <v>3</v>
      </c>
      <c r="H19" s="15" t="s">
        <v>9</v>
      </c>
      <c r="I19" s="90">
        <v>0</v>
      </c>
      <c r="J19" s="17">
        <f t="shared" si="0"/>
        <v>1</v>
      </c>
      <c r="K19" s="11">
        <f t="shared" si="1"/>
        <v>3</v>
      </c>
      <c r="L19" s="11">
        <f t="shared" si="2"/>
        <v>0</v>
      </c>
      <c r="O19" s="40"/>
      <c r="P19" s="41"/>
      <c r="Q19" s="41"/>
      <c r="R19" s="41"/>
      <c r="S19" s="41"/>
      <c r="T19" s="41"/>
      <c r="U19" s="40"/>
      <c r="V19" s="40"/>
      <c r="W19" s="40"/>
      <c r="Y19" s="109">
        <f t="shared" si="8"/>
        <v>6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6</v>
      </c>
      <c r="AG19" s="108">
        <f t="shared" si="3"/>
        <v>0</v>
      </c>
      <c r="AH19" s="108">
        <f t="shared" si="4"/>
        <v>1</v>
      </c>
      <c r="AI19" s="108">
        <f t="shared" si="10"/>
        <v>0</v>
      </c>
      <c r="AJ19" s="108">
        <f t="shared" si="5"/>
        <v>5</v>
      </c>
      <c r="AK19" s="108">
        <f t="shared" si="6"/>
        <v>0</v>
      </c>
      <c r="AL19" s="108">
        <f t="shared" si="7"/>
        <v>0</v>
      </c>
      <c r="AN19" s="40"/>
      <c r="AO19" s="41"/>
    </row>
    <row r="20" spans="2:41" ht="15.75" thickBot="1">
      <c r="B20" s="18">
        <v>13</v>
      </c>
      <c r="C20" s="19">
        <v>41806</v>
      </c>
      <c r="D20" s="20" t="s">
        <v>33</v>
      </c>
      <c r="E20" s="21" t="s">
        <v>9</v>
      </c>
      <c r="F20" s="30" t="s">
        <v>34</v>
      </c>
      <c r="G20" s="86">
        <v>2</v>
      </c>
      <c r="H20" s="21" t="s">
        <v>9</v>
      </c>
      <c r="I20" s="91">
        <v>2</v>
      </c>
      <c r="J20" s="23">
        <f t="shared" si="0"/>
        <v>3</v>
      </c>
      <c r="K20" s="11">
        <f t="shared" si="1"/>
        <v>1</v>
      </c>
      <c r="L20" s="11">
        <f t="shared" si="2"/>
        <v>1</v>
      </c>
      <c r="O20" s="72" t="s">
        <v>56</v>
      </c>
      <c r="P20" s="73" t="s">
        <v>42</v>
      </c>
      <c r="Q20" s="73" t="s">
        <v>43</v>
      </c>
      <c r="R20" s="74" t="s">
        <v>44</v>
      </c>
      <c r="S20" s="75" t="s">
        <v>45</v>
      </c>
      <c r="T20" s="76" t="s">
        <v>46</v>
      </c>
      <c r="U20" s="40"/>
      <c r="V20" s="40"/>
      <c r="W20" s="40"/>
      <c r="Y20" s="109">
        <f t="shared" si="8"/>
        <v>5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5</v>
      </c>
      <c r="AG20" s="108">
        <f t="shared" si="3"/>
        <v>0</v>
      </c>
      <c r="AH20" s="108">
        <f t="shared" si="4"/>
        <v>0</v>
      </c>
      <c r="AI20" s="108">
        <f t="shared" si="10"/>
        <v>0</v>
      </c>
      <c r="AJ20" s="108">
        <f t="shared" si="5"/>
        <v>0</v>
      </c>
      <c r="AK20" s="108">
        <f t="shared" si="6"/>
        <v>0</v>
      </c>
      <c r="AL20" s="108">
        <f t="shared" si="7"/>
        <v>5</v>
      </c>
      <c r="AN20" s="42" t="s">
        <v>56</v>
      </c>
      <c r="AO20" s="43" t="s">
        <v>46</v>
      </c>
    </row>
    <row r="21" spans="2:41" ht="15.75" thickBot="1">
      <c r="B21" s="24">
        <v>14</v>
      </c>
      <c r="C21" s="25">
        <v>41806</v>
      </c>
      <c r="D21" s="26" t="s">
        <v>35</v>
      </c>
      <c r="E21" s="27" t="s">
        <v>9</v>
      </c>
      <c r="F21" s="28" t="s">
        <v>36</v>
      </c>
      <c r="G21" s="87">
        <v>0</v>
      </c>
      <c r="H21" s="27" t="s">
        <v>9</v>
      </c>
      <c r="I21" s="92">
        <v>0</v>
      </c>
      <c r="J21" s="29">
        <f t="shared" si="0"/>
        <v>3</v>
      </c>
      <c r="K21" s="11">
        <f t="shared" si="1"/>
        <v>1</v>
      </c>
      <c r="L21" s="11">
        <f t="shared" si="2"/>
        <v>1</v>
      </c>
      <c r="O21" s="44" t="s">
        <v>17</v>
      </c>
      <c r="P21" s="45">
        <f>SUMIF($D$8:$D$55,$O21,$G$8:$G$55)+SUMIF($F$8:$F$55,$O21,$I$8:$I$55)</f>
        <v>5</v>
      </c>
      <c r="Q21" s="45">
        <f>SUMIF($D$8:$D$55,$O21,$I$8:$I$55)+SUMIF($F$8:$F$55,$O21,$G$8:$G$55)</f>
        <v>1</v>
      </c>
      <c r="R21" s="46">
        <f>P21-Q21</f>
        <v>4</v>
      </c>
      <c r="S21" s="47">
        <f>SUMIF($D$8:$D$55,$O21,$K$8:$K$55)+SUMIF($F$8:$F$55,$O21,$L$8:$L$55)</f>
        <v>9</v>
      </c>
      <c r="T21" s="94" t="s">
        <v>58</v>
      </c>
      <c r="U21" s="40"/>
      <c r="V21" s="40" t="str">
        <f>O21</f>
        <v>Colombia</v>
      </c>
      <c r="W21" s="40" t="s">
        <v>57</v>
      </c>
      <c r="Y21" s="109">
        <f t="shared" si="8"/>
        <v>0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0</v>
      </c>
      <c r="AG21" s="108">
        <f t="shared" si="3"/>
        <v>0</v>
      </c>
      <c r="AH21" s="108">
        <f t="shared" si="4"/>
        <v>0</v>
      </c>
      <c r="AI21" s="108">
        <f t="shared" si="10"/>
        <v>0</v>
      </c>
      <c r="AJ21" s="108">
        <f t="shared" si="5"/>
        <v>0</v>
      </c>
      <c r="AK21" s="108">
        <f t="shared" si="6"/>
        <v>0</v>
      </c>
      <c r="AL21" s="108">
        <f t="shared" si="7"/>
        <v>0</v>
      </c>
      <c r="AM21" s="120">
        <f>AO21</f>
        <v>0</v>
      </c>
      <c r="AN21" s="116" t="s">
        <v>17</v>
      </c>
      <c r="AO21" s="115">
        <f>IF(Uitslag!T21="",0,IF(T21=Uitslag!T21,10,0))</f>
        <v>0</v>
      </c>
    </row>
    <row r="22" spans="2:41" ht="15.75" thickBot="1">
      <c r="B22" s="12">
        <v>15</v>
      </c>
      <c r="C22" s="13">
        <v>41807</v>
      </c>
      <c r="D22" s="14" t="s">
        <v>37</v>
      </c>
      <c r="E22" s="15" t="s">
        <v>9</v>
      </c>
      <c r="F22" s="16" t="s">
        <v>38</v>
      </c>
      <c r="G22" s="85">
        <v>2</v>
      </c>
      <c r="H22" s="15" t="s">
        <v>9</v>
      </c>
      <c r="I22" s="90">
        <v>0</v>
      </c>
      <c r="J22" s="17">
        <f t="shared" si="0"/>
        <v>1</v>
      </c>
      <c r="K22" s="11">
        <f t="shared" si="1"/>
        <v>3</v>
      </c>
      <c r="L22" s="11">
        <f t="shared" si="2"/>
        <v>0</v>
      </c>
      <c r="O22" s="48" t="s">
        <v>18</v>
      </c>
      <c r="P22" s="49">
        <f>SUMIF($D$8:$D$55,$O22,$G$8:$G$55)+SUMIF($F$8:$F$55,$O22,$I$8:$I$55)</f>
        <v>2</v>
      </c>
      <c r="Q22" s="49">
        <f>SUMIF($D$8:$D$55,$O22,$I$8:$I$55)+SUMIF($F$8:$F$55,$O22,$G$8:$G$55)</f>
        <v>5</v>
      </c>
      <c r="R22" s="49">
        <f>P22-Q22</f>
        <v>-3</v>
      </c>
      <c r="S22" s="50">
        <f>SUMIF($D$8:$D$55,$O22,$K$8:$K$55)+SUMIF($F$8:$F$55,$O22,$L$8:$L$55)</f>
        <v>1</v>
      </c>
      <c r="T22" s="95" t="s">
        <v>60</v>
      </c>
      <c r="U22" s="40"/>
      <c r="V22" s="40" t="str">
        <f>O22</f>
        <v>Griekenland</v>
      </c>
      <c r="W22" s="40" t="s">
        <v>58</v>
      </c>
      <c r="Y22" s="109">
        <f t="shared" si="8"/>
        <v>6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6</v>
      </c>
      <c r="AG22" s="108">
        <f t="shared" si="3"/>
        <v>1</v>
      </c>
      <c r="AH22" s="108">
        <f t="shared" si="4"/>
        <v>0</v>
      </c>
      <c r="AI22" s="108">
        <f t="shared" si="10"/>
        <v>0</v>
      </c>
      <c r="AJ22" s="108">
        <f t="shared" si="5"/>
        <v>5</v>
      </c>
      <c r="AK22" s="108">
        <f t="shared" si="6"/>
        <v>0</v>
      </c>
      <c r="AL22" s="108">
        <f t="shared" si="7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18">
        <v>16</v>
      </c>
      <c r="C23" s="19">
        <v>41807</v>
      </c>
      <c r="D23" s="20" t="s">
        <v>8</v>
      </c>
      <c r="E23" s="21" t="s">
        <v>9</v>
      </c>
      <c r="F23" s="30" t="s">
        <v>11</v>
      </c>
      <c r="G23" s="86">
        <v>3</v>
      </c>
      <c r="H23" s="21" t="s">
        <v>9</v>
      </c>
      <c r="I23" s="91">
        <v>0</v>
      </c>
      <c r="J23" s="23">
        <f t="shared" si="0"/>
        <v>1</v>
      </c>
      <c r="K23" s="11">
        <f t="shared" si="1"/>
        <v>3</v>
      </c>
      <c r="L23" s="11">
        <f t="shared" si="2"/>
        <v>0</v>
      </c>
      <c r="O23" s="48" t="s">
        <v>23</v>
      </c>
      <c r="P23" s="49">
        <f>SUMIF($D$8:$D$55,$O23,$G$8:$G$55)+SUMIF($F$8:$F$55,$O23,$I$8:$I$55)</f>
        <v>4</v>
      </c>
      <c r="Q23" s="49">
        <f>SUMIF($D$8:$D$55,$O23,$I$8:$I$55)+SUMIF($F$8:$F$55,$O23,$G$8:$G$55)</f>
        <v>4</v>
      </c>
      <c r="R23" s="49">
        <f>P23-Q23</f>
        <v>0</v>
      </c>
      <c r="S23" s="50">
        <f>SUMIF($D$8:$D$55,$O23,$K$8:$K$55)+SUMIF($F$8:$F$55,$O23,$L$8:$L$55)</f>
        <v>4</v>
      </c>
      <c r="T23" s="95" t="s">
        <v>57</v>
      </c>
      <c r="U23" s="40"/>
      <c r="V23" s="40" t="str">
        <f>O23</f>
        <v>Ivoorkust</v>
      </c>
      <c r="W23" s="40" t="s">
        <v>59</v>
      </c>
      <c r="Y23" s="109">
        <f t="shared" si="8"/>
        <v>1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1</v>
      </c>
      <c r="AG23" s="108">
        <f t="shared" si="3"/>
        <v>0</v>
      </c>
      <c r="AH23" s="108">
        <f t="shared" si="4"/>
        <v>1</v>
      </c>
      <c r="AI23" s="108">
        <f t="shared" si="10"/>
        <v>0</v>
      </c>
      <c r="AJ23" s="108">
        <f t="shared" si="5"/>
        <v>0</v>
      </c>
      <c r="AK23" s="108">
        <f t="shared" si="6"/>
        <v>0</v>
      </c>
      <c r="AL23" s="108">
        <f t="shared" si="7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24">
        <v>17</v>
      </c>
      <c r="C24" s="25">
        <v>41807</v>
      </c>
      <c r="D24" s="26" t="s">
        <v>39</v>
      </c>
      <c r="E24" s="27" t="s">
        <v>9</v>
      </c>
      <c r="F24" s="28" t="s">
        <v>40</v>
      </c>
      <c r="G24" s="87">
        <v>1</v>
      </c>
      <c r="H24" s="27" t="s">
        <v>9</v>
      </c>
      <c r="I24" s="92">
        <v>1</v>
      </c>
      <c r="J24" s="29">
        <f t="shared" si="0"/>
        <v>3</v>
      </c>
      <c r="K24" s="11">
        <f t="shared" si="1"/>
        <v>1</v>
      </c>
      <c r="L24" s="11">
        <f t="shared" si="2"/>
        <v>1</v>
      </c>
      <c r="O24" s="51" t="s">
        <v>24</v>
      </c>
      <c r="P24" s="52">
        <f>SUMIF($D$8:$D$55,$O24,$G$8:$G$55)+SUMIF($F$8:$F$55,$O24,$I$8:$I$55)</f>
        <v>1</v>
      </c>
      <c r="Q24" s="52">
        <f>SUMIF($D$8:$D$55,$O24,$I$8:$I$55)+SUMIF($F$8:$F$55,$O24,$G$8:$G$55)</f>
        <v>2</v>
      </c>
      <c r="R24" s="52">
        <f>P24-Q24</f>
        <v>-1</v>
      </c>
      <c r="S24" s="53">
        <f>SUMIF($D$8:$D$55,$O24,$K$8:$K$55)+SUMIF($F$8:$F$55,$O24,$L$8:$L$55)</f>
        <v>2</v>
      </c>
      <c r="T24" s="96" t="s">
        <v>59</v>
      </c>
      <c r="U24" s="40"/>
      <c r="V24" s="40" t="str">
        <f>O24</f>
        <v>Japan</v>
      </c>
      <c r="W24" s="40" t="s">
        <v>60</v>
      </c>
      <c r="Y24" s="109">
        <f t="shared" si="8"/>
        <v>10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10</v>
      </c>
      <c r="AG24" s="108">
        <f t="shared" si="3"/>
        <v>1</v>
      </c>
      <c r="AH24" s="108">
        <f t="shared" si="4"/>
        <v>1</v>
      </c>
      <c r="AI24" s="108">
        <f t="shared" si="10"/>
        <v>10</v>
      </c>
      <c r="AJ24" s="108">
        <f t="shared" si="5"/>
        <v>0</v>
      </c>
      <c r="AK24" s="108">
        <f t="shared" si="6"/>
        <v>0</v>
      </c>
      <c r="AL24" s="108">
        <f t="shared" si="7"/>
        <v>5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12">
        <v>18</v>
      </c>
      <c r="C25" s="13">
        <v>41808</v>
      </c>
      <c r="D25" s="14" t="s">
        <v>16</v>
      </c>
      <c r="E25" s="15" t="s">
        <v>9</v>
      </c>
      <c r="F25" s="31" t="s">
        <v>14</v>
      </c>
      <c r="G25" s="85">
        <v>0</v>
      </c>
      <c r="H25" s="15" t="s">
        <v>9</v>
      </c>
      <c r="I25" s="90">
        <v>3</v>
      </c>
      <c r="J25" s="17">
        <f t="shared" si="0"/>
        <v>2</v>
      </c>
      <c r="K25" s="11">
        <f t="shared" si="1"/>
        <v>0</v>
      </c>
      <c r="L25" s="11">
        <f t="shared" si="2"/>
        <v>3</v>
      </c>
      <c r="O25" s="40"/>
      <c r="P25" s="41"/>
      <c r="Q25" s="41"/>
      <c r="R25" s="41"/>
      <c r="S25" s="41"/>
      <c r="T25" s="41"/>
      <c r="U25" s="40"/>
      <c r="V25" s="40"/>
      <c r="W25" s="40"/>
      <c r="Y25" s="109">
        <f t="shared" si="8"/>
        <v>6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6</v>
      </c>
      <c r="AG25" s="108">
        <f t="shared" si="3"/>
        <v>0</v>
      </c>
      <c r="AH25" s="108">
        <f t="shared" si="4"/>
        <v>1</v>
      </c>
      <c r="AI25" s="108">
        <f t="shared" si="10"/>
        <v>0</v>
      </c>
      <c r="AJ25" s="108">
        <f t="shared" si="5"/>
        <v>0</v>
      </c>
      <c r="AK25" s="108">
        <f t="shared" si="6"/>
        <v>5</v>
      </c>
      <c r="AL25" s="108">
        <f t="shared" si="7"/>
        <v>0</v>
      </c>
      <c r="AN25" s="40"/>
      <c r="AO25" s="41"/>
    </row>
    <row r="26" spans="2:41" ht="15.75" thickBot="1">
      <c r="B26" s="18">
        <v>19</v>
      </c>
      <c r="C26" s="19">
        <v>41808</v>
      </c>
      <c r="D26" s="20" t="s">
        <v>13</v>
      </c>
      <c r="E26" s="21" t="s">
        <v>9</v>
      </c>
      <c r="F26" s="30" t="s">
        <v>15</v>
      </c>
      <c r="G26" s="86">
        <v>2</v>
      </c>
      <c r="H26" s="21" t="s">
        <v>9</v>
      </c>
      <c r="I26" s="91">
        <v>1</v>
      </c>
      <c r="J26" s="23">
        <f t="shared" si="0"/>
        <v>1</v>
      </c>
      <c r="K26" s="11">
        <f t="shared" si="1"/>
        <v>3</v>
      </c>
      <c r="L26" s="11">
        <f t="shared" si="2"/>
        <v>0</v>
      </c>
      <c r="O26" s="72" t="s">
        <v>61</v>
      </c>
      <c r="P26" s="73" t="s">
        <v>42</v>
      </c>
      <c r="Q26" s="73" t="s">
        <v>43</v>
      </c>
      <c r="R26" s="74" t="s">
        <v>44</v>
      </c>
      <c r="S26" s="75" t="s">
        <v>45</v>
      </c>
      <c r="T26" s="76" t="s">
        <v>46</v>
      </c>
      <c r="U26" s="40"/>
      <c r="V26" s="40"/>
      <c r="W26" s="40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3"/>
        <v>0</v>
      </c>
      <c r="AH26" s="108">
        <f t="shared" si="4"/>
        <v>0</v>
      </c>
      <c r="AI26" s="108">
        <f t="shared" si="10"/>
        <v>0</v>
      </c>
      <c r="AJ26" s="108">
        <f t="shared" si="5"/>
        <v>0</v>
      </c>
      <c r="AK26" s="108">
        <f t="shared" si="6"/>
        <v>0</v>
      </c>
      <c r="AL26" s="108">
        <f t="shared" si="7"/>
        <v>0</v>
      </c>
      <c r="AN26" s="42" t="s">
        <v>61</v>
      </c>
      <c r="AO26" s="43" t="s">
        <v>46</v>
      </c>
    </row>
    <row r="27" spans="2:41" ht="15.75" thickBot="1">
      <c r="B27" s="24">
        <v>20</v>
      </c>
      <c r="C27" s="25">
        <v>41808</v>
      </c>
      <c r="D27" s="26" t="s">
        <v>12</v>
      </c>
      <c r="E27" s="27" t="s">
        <v>9</v>
      </c>
      <c r="F27" s="28" t="s">
        <v>10</v>
      </c>
      <c r="G27" s="87">
        <v>0</v>
      </c>
      <c r="H27" s="27" t="s">
        <v>9</v>
      </c>
      <c r="I27" s="92">
        <v>2</v>
      </c>
      <c r="J27" s="29">
        <f t="shared" si="0"/>
        <v>2</v>
      </c>
      <c r="K27" s="11">
        <f t="shared" si="1"/>
        <v>0</v>
      </c>
      <c r="L27" s="11">
        <f t="shared" si="2"/>
        <v>3</v>
      </c>
      <c r="O27" s="44" t="s">
        <v>19</v>
      </c>
      <c r="P27" s="45">
        <f>SUMIF($D$8:$D$55,$O27,$G$8:$G$55)+SUMIF($F$8:$F$55,$O27,$I$8:$I$55)</f>
        <v>8</v>
      </c>
      <c r="Q27" s="45">
        <f>SUMIF($D$8:$D$55,$O27,$I$8:$I$55)+SUMIF($F$8:$F$55,$O27,$G$8:$G$55)</f>
        <v>4</v>
      </c>
      <c r="R27" s="46">
        <f>P27-Q27</f>
        <v>4</v>
      </c>
      <c r="S27" s="47">
        <f>SUMIF($D$8:$D$55,$O27,$K$8:$K$55)+SUMIF($F$8:$F$55,$O27,$L$8:$L$55)</f>
        <v>7</v>
      </c>
      <c r="T27" s="94" t="s">
        <v>62</v>
      </c>
      <c r="U27" s="40"/>
      <c r="V27" s="40" t="str">
        <f>O27</f>
        <v>Uruguay</v>
      </c>
      <c r="W27" s="40" t="s">
        <v>62</v>
      </c>
      <c r="Y27" s="109">
        <f t="shared" si="8"/>
        <v>6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6</v>
      </c>
      <c r="AG27" s="108">
        <f t="shared" si="3"/>
        <v>1</v>
      </c>
      <c r="AH27" s="108">
        <f t="shared" si="4"/>
        <v>0</v>
      </c>
      <c r="AI27" s="108">
        <f t="shared" si="10"/>
        <v>0</v>
      </c>
      <c r="AJ27" s="108">
        <f t="shared" si="5"/>
        <v>0</v>
      </c>
      <c r="AK27" s="108">
        <f t="shared" si="6"/>
        <v>5</v>
      </c>
      <c r="AL27" s="108">
        <f t="shared" si="7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12">
        <v>21</v>
      </c>
      <c r="C28" s="13">
        <v>41809</v>
      </c>
      <c r="D28" s="14" t="s">
        <v>17</v>
      </c>
      <c r="E28" s="15" t="s">
        <v>9</v>
      </c>
      <c r="F28" s="16" t="s">
        <v>23</v>
      </c>
      <c r="G28" s="85">
        <v>2</v>
      </c>
      <c r="H28" s="15" t="s">
        <v>9</v>
      </c>
      <c r="I28" s="90">
        <v>0</v>
      </c>
      <c r="J28" s="17">
        <f t="shared" si="0"/>
        <v>1</v>
      </c>
      <c r="K28" s="11">
        <f t="shared" si="1"/>
        <v>3</v>
      </c>
      <c r="L28" s="11">
        <f t="shared" si="2"/>
        <v>0</v>
      </c>
      <c r="O28" s="48" t="s">
        <v>20</v>
      </c>
      <c r="P28" s="49">
        <f>SUMIF($D$8:$D$55,$O28,$G$8:$G$55)+SUMIF($F$8:$F$55,$O28,$I$8:$I$55)</f>
        <v>5</v>
      </c>
      <c r="Q28" s="49">
        <f>SUMIF($D$8:$D$55,$O28,$I$8:$I$55)+SUMIF($F$8:$F$55,$O28,$G$8:$G$55)</f>
        <v>3</v>
      </c>
      <c r="R28" s="49">
        <f>P28-Q28</f>
        <v>2</v>
      </c>
      <c r="S28" s="50">
        <f>SUMIF($D$8:$D$55,$O28,$K$8:$K$55)+SUMIF($F$8:$F$55,$O28,$L$8:$L$55)</f>
        <v>5</v>
      </c>
      <c r="T28" s="95" t="s">
        <v>65</v>
      </c>
      <c r="U28" s="40"/>
      <c r="V28" s="40" t="str">
        <f>O28</f>
        <v>Costa Rica</v>
      </c>
      <c r="W28" s="40" t="s">
        <v>63</v>
      </c>
      <c r="Y28" s="109">
        <f t="shared" si="8"/>
        <v>6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6</v>
      </c>
      <c r="AG28" s="108">
        <f t="shared" si="3"/>
        <v>1</v>
      </c>
      <c r="AH28" s="108">
        <f t="shared" si="4"/>
        <v>0</v>
      </c>
      <c r="AI28" s="108">
        <f t="shared" si="10"/>
        <v>0</v>
      </c>
      <c r="AJ28" s="108">
        <f t="shared" si="5"/>
        <v>5</v>
      </c>
      <c r="AK28" s="108">
        <f t="shared" si="6"/>
        <v>0</v>
      </c>
      <c r="AL28" s="108">
        <f t="shared" si="7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18">
        <v>22</v>
      </c>
      <c r="C29" s="19">
        <v>41809</v>
      </c>
      <c r="D29" s="20" t="s">
        <v>19</v>
      </c>
      <c r="E29" s="21" t="s">
        <v>9</v>
      </c>
      <c r="F29" s="30" t="s">
        <v>21</v>
      </c>
      <c r="G29" s="86">
        <v>3</v>
      </c>
      <c r="H29" s="21" t="s">
        <v>9</v>
      </c>
      <c r="I29" s="91">
        <v>1</v>
      </c>
      <c r="J29" s="23">
        <f t="shared" si="0"/>
        <v>1</v>
      </c>
      <c r="K29" s="11">
        <f t="shared" si="1"/>
        <v>3</v>
      </c>
      <c r="L29" s="11">
        <f t="shared" si="2"/>
        <v>0</v>
      </c>
      <c r="O29" s="48" t="s">
        <v>21</v>
      </c>
      <c r="P29" s="49">
        <f>SUMIF($D$8:$D$55,$O29,$G$8:$G$55)+SUMIF($F$8:$F$55,$O29,$I$8:$I$55)</f>
        <v>3</v>
      </c>
      <c r="Q29" s="49">
        <f>SUMIF($D$8:$D$55,$O29,$I$8:$I$55)+SUMIF($F$8:$F$55,$O29,$G$8:$G$55)</f>
        <v>4</v>
      </c>
      <c r="R29" s="49">
        <f>P29-Q29</f>
        <v>-1</v>
      </c>
      <c r="S29" s="50">
        <f>SUMIF($D$8:$D$55,$O29,$K$8:$K$55)+SUMIF($F$8:$F$55,$O29,$L$8:$L$55)</f>
        <v>4</v>
      </c>
      <c r="T29" s="95" t="s">
        <v>63</v>
      </c>
      <c r="U29" s="40"/>
      <c r="V29" s="40" t="str">
        <f>O29</f>
        <v>Engeland</v>
      </c>
      <c r="W29" s="40" t="s">
        <v>64</v>
      </c>
      <c r="Y29" s="109">
        <f t="shared" si="8"/>
        <v>6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6</v>
      </c>
      <c r="AG29" s="108">
        <f t="shared" si="3"/>
        <v>0</v>
      </c>
      <c r="AH29" s="108">
        <f t="shared" si="4"/>
        <v>1</v>
      </c>
      <c r="AI29" s="108">
        <f t="shared" si="10"/>
        <v>0</v>
      </c>
      <c r="AJ29" s="108">
        <f t="shared" si="5"/>
        <v>5</v>
      </c>
      <c r="AK29" s="108">
        <f t="shared" si="6"/>
        <v>0</v>
      </c>
      <c r="AL29" s="108">
        <f t="shared" si="7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24">
        <v>23</v>
      </c>
      <c r="C30" s="25">
        <v>41809</v>
      </c>
      <c r="D30" s="26" t="s">
        <v>24</v>
      </c>
      <c r="E30" s="27" t="s">
        <v>9</v>
      </c>
      <c r="F30" s="28" t="s">
        <v>18</v>
      </c>
      <c r="G30" s="87">
        <v>0</v>
      </c>
      <c r="H30" s="27" t="s">
        <v>9</v>
      </c>
      <c r="I30" s="92">
        <v>0</v>
      </c>
      <c r="J30" s="29">
        <f t="shared" si="0"/>
        <v>3</v>
      </c>
      <c r="K30" s="11">
        <f t="shared" si="1"/>
        <v>1</v>
      </c>
      <c r="L30" s="11">
        <f t="shared" si="2"/>
        <v>1</v>
      </c>
      <c r="O30" s="51" t="s">
        <v>22</v>
      </c>
      <c r="P30" s="52">
        <f>SUMIF($D$8:$D$55,$O30,$G$8:$G$55)+SUMIF($F$8:$F$55,$O30,$I$8:$I$55)</f>
        <v>1</v>
      </c>
      <c r="Q30" s="52">
        <f>SUMIF($D$8:$D$55,$O30,$I$8:$I$55)+SUMIF($F$8:$F$55,$O30,$G$8:$G$55)</f>
        <v>6</v>
      </c>
      <c r="R30" s="52">
        <f>P30-Q30</f>
        <v>-5</v>
      </c>
      <c r="S30" s="53">
        <f>SUMIF($D$8:$D$55,$O30,$K$8:$K$55)+SUMIF($F$8:$F$55,$O30,$L$8:$L$55)</f>
        <v>0</v>
      </c>
      <c r="T30" s="96" t="s">
        <v>64</v>
      </c>
      <c r="U30" s="40"/>
      <c r="V30" s="40" t="str">
        <f>O30</f>
        <v>Italië</v>
      </c>
      <c r="W30" s="40" t="s">
        <v>65</v>
      </c>
      <c r="Y30" s="109">
        <f t="shared" si="8"/>
        <v>10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10</v>
      </c>
      <c r="AG30" s="108">
        <f t="shared" si="3"/>
        <v>1</v>
      </c>
      <c r="AH30" s="108">
        <f t="shared" si="4"/>
        <v>1</v>
      </c>
      <c r="AI30" s="108">
        <f t="shared" si="10"/>
        <v>10</v>
      </c>
      <c r="AJ30" s="108">
        <f t="shared" si="5"/>
        <v>0</v>
      </c>
      <c r="AK30" s="108">
        <f t="shared" si="6"/>
        <v>0</v>
      </c>
      <c r="AL30" s="108">
        <f t="shared" si="7"/>
        <v>5</v>
      </c>
      <c r="AM30" s="120">
        <f>AO30</f>
        <v>10</v>
      </c>
      <c r="AN30" s="118" t="s">
        <v>22</v>
      </c>
      <c r="AO30" s="115">
        <f>IF(Uitslag!T30="",0,IF(T30=Uitslag!T30,10,0))</f>
        <v>10</v>
      </c>
    </row>
    <row r="31" spans="2:41" ht="15.75" thickBot="1">
      <c r="B31" s="12">
        <v>24</v>
      </c>
      <c r="C31" s="13">
        <v>41810</v>
      </c>
      <c r="D31" s="14" t="s">
        <v>22</v>
      </c>
      <c r="E31" s="15" t="s">
        <v>9</v>
      </c>
      <c r="F31" s="16" t="s">
        <v>20</v>
      </c>
      <c r="G31" s="85">
        <v>0</v>
      </c>
      <c r="H31" s="15" t="s">
        <v>9</v>
      </c>
      <c r="I31" s="90">
        <v>2</v>
      </c>
      <c r="J31" s="17">
        <f t="shared" si="0"/>
        <v>2</v>
      </c>
      <c r="K31" s="11">
        <f t="shared" si="1"/>
        <v>0</v>
      </c>
      <c r="L31" s="11">
        <f t="shared" si="2"/>
        <v>3</v>
      </c>
      <c r="O31" s="40"/>
      <c r="P31" s="41"/>
      <c r="Q31" s="41"/>
      <c r="R31" s="41"/>
      <c r="S31" s="41"/>
      <c r="T31" s="41"/>
      <c r="U31" s="40"/>
      <c r="V31" s="40"/>
      <c r="W31" s="40"/>
      <c r="Y31" s="109">
        <f t="shared" si="8"/>
        <v>6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6</v>
      </c>
      <c r="AG31" s="108">
        <f t="shared" si="3"/>
        <v>1</v>
      </c>
      <c r="AH31" s="108">
        <f t="shared" si="4"/>
        <v>0</v>
      </c>
      <c r="AI31" s="108">
        <f t="shared" si="10"/>
        <v>0</v>
      </c>
      <c r="AJ31" s="108">
        <f t="shared" si="5"/>
        <v>0</v>
      </c>
      <c r="AK31" s="108">
        <f t="shared" si="6"/>
        <v>5</v>
      </c>
      <c r="AL31" s="108">
        <f t="shared" si="7"/>
        <v>0</v>
      </c>
      <c r="AN31" s="40"/>
      <c r="AO31" s="41"/>
    </row>
    <row r="32" spans="2:41" ht="15.75" thickBot="1">
      <c r="B32" s="18">
        <v>25</v>
      </c>
      <c r="C32" s="19">
        <v>41810</v>
      </c>
      <c r="D32" s="20" t="s">
        <v>25</v>
      </c>
      <c r="E32" s="21" t="s">
        <v>9</v>
      </c>
      <c r="F32" s="30" t="s">
        <v>27</v>
      </c>
      <c r="G32" s="86">
        <v>2</v>
      </c>
      <c r="H32" s="21" t="s">
        <v>9</v>
      </c>
      <c r="I32" s="91">
        <v>4</v>
      </c>
      <c r="J32" s="23">
        <f t="shared" si="0"/>
        <v>2</v>
      </c>
      <c r="K32" s="11">
        <f t="shared" si="1"/>
        <v>0</v>
      </c>
      <c r="L32" s="11">
        <f t="shared" si="2"/>
        <v>3</v>
      </c>
      <c r="O32" s="72" t="s">
        <v>66</v>
      </c>
      <c r="P32" s="73" t="s">
        <v>42</v>
      </c>
      <c r="Q32" s="73" t="s">
        <v>43</v>
      </c>
      <c r="R32" s="74" t="s">
        <v>44</v>
      </c>
      <c r="S32" s="75" t="s">
        <v>45</v>
      </c>
      <c r="T32" s="76" t="s">
        <v>46</v>
      </c>
      <c r="U32" s="40"/>
      <c r="V32" s="40"/>
      <c r="W32" s="40"/>
      <c r="Y32" s="109">
        <f t="shared" si="8"/>
        <v>6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6</v>
      </c>
      <c r="AG32" s="108">
        <f t="shared" si="3"/>
        <v>1</v>
      </c>
      <c r="AH32" s="108">
        <f t="shared" si="4"/>
        <v>0</v>
      </c>
      <c r="AI32" s="108">
        <f t="shared" si="10"/>
        <v>0</v>
      </c>
      <c r="AJ32" s="108">
        <f t="shared" si="5"/>
        <v>0</v>
      </c>
      <c r="AK32" s="108">
        <f t="shared" si="6"/>
        <v>5</v>
      </c>
      <c r="AL32" s="108">
        <f t="shared" si="7"/>
        <v>0</v>
      </c>
      <c r="AN32" s="42" t="s">
        <v>66</v>
      </c>
      <c r="AO32" s="43" t="s">
        <v>46</v>
      </c>
    </row>
    <row r="33" spans="2:41" ht="15.75" thickBot="1">
      <c r="B33" s="24">
        <v>26</v>
      </c>
      <c r="C33" s="25">
        <v>41810</v>
      </c>
      <c r="D33" s="26" t="s">
        <v>28</v>
      </c>
      <c r="E33" s="27" t="s">
        <v>9</v>
      </c>
      <c r="F33" s="28" t="s">
        <v>26</v>
      </c>
      <c r="G33" s="87">
        <v>1</v>
      </c>
      <c r="H33" s="27" t="s">
        <v>9</v>
      </c>
      <c r="I33" s="92">
        <v>1</v>
      </c>
      <c r="J33" s="29">
        <f t="shared" si="0"/>
        <v>3</v>
      </c>
      <c r="K33" s="11">
        <f t="shared" si="1"/>
        <v>1</v>
      </c>
      <c r="L33" s="11">
        <f t="shared" si="2"/>
        <v>1</v>
      </c>
      <c r="O33" s="44" t="s">
        <v>25</v>
      </c>
      <c r="P33" s="45">
        <f>SUMIF($D$8:$D$55,$O33,$G$8:$G$55)+SUMIF($F$8:$F$55,$O33,$I$8:$I$55)</f>
        <v>4</v>
      </c>
      <c r="Q33" s="45">
        <f>SUMIF($D$8:$D$55,$O33,$I$8:$I$55)+SUMIF($F$8:$F$55,$O33,$G$8:$G$55)</f>
        <v>6</v>
      </c>
      <c r="R33" s="46">
        <f>P33-Q33</f>
        <v>-2</v>
      </c>
      <c r="S33" s="47">
        <f>SUMIF($D$8:$D$55,$O33,$K$8:$K$55)+SUMIF($F$8:$F$55,$O33,$L$8:$L$55)</f>
        <v>3</v>
      </c>
      <c r="T33" s="94" t="s">
        <v>70</v>
      </c>
      <c r="U33" s="40"/>
      <c r="V33" s="40" t="str">
        <f>O33</f>
        <v>Zwitserland</v>
      </c>
      <c r="W33" s="40" t="s">
        <v>67</v>
      </c>
      <c r="Y33" s="109">
        <f t="shared" si="8"/>
        <v>1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1</v>
      </c>
      <c r="AG33" s="108">
        <f t="shared" si="3"/>
        <v>1</v>
      </c>
      <c r="AH33" s="108">
        <f t="shared" si="4"/>
        <v>0</v>
      </c>
      <c r="AI33" s="108">
        <f t="shared" si="10"/>
        <v>0</v>
      </c>
      <c r="AJ33" s="108">
        <f t="shared" si="5"/>
        <v>0</v>
      </c>
      <c r="AK33" s="108">
        <f t="shared" si="6"/>
        <v>0</v>
      </c>
      <c r="AL33" s="108">
        <f t="shared" si="7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12">
        <v>27</v>
      </c>
      <c r="C34" s="13">
        <v>41811</v>
      </c>
      <c r="D34" s="14" t="s">
        <v>29</v>
      </c>
      <c r="E34" s="15" t="s">
        <v>9</v>
      </c>
      <c r="F34" s="16" t="s">
        <v>33</v>
      </c>
      <c r="G34" s="85">
        <v>4</v>
      </c>
      <c r="H34" s="15" t="s">
        <v>9</v>
      </c>
      <c r="I34" s="90">
        <v>1</v>
      </c>
      <c r="J34" s="17">
        <f t="shared" si="0"/>
        <v>1</v>
      </c>
      <c r="K34" s="11">
        <f t="shared" si="1"/>
        <v>3</v>
      </c>
      <c r="L34" s="11">
        <f t="shared" si="2"/>
        <v>0</v>
      </c>
      <c r="O34" s="48" t="s">
        <v>26</v>
      </c>
      <c r="P34" s="49">
        <f>SUMIF($D$8:$D$55,$O34,$G$8:$G$55)+SUMIF($F$8:$F$55,$O34,$I$8:$I$55)</f>
        <v>4</v>
      </c>
      <c r="Q34" s="49">
        <f>SUMIF($D$8:$D$55,$O34,$I$8:$I$55)+SUMIF($F$8:$F$55,$O34,$G$8:$G$55)</f>
        <v>3</v>
      </c>
      <c r="R34" s="49">
        <f>P34-Q34</f>
        <v>1</v>
      </c>
      <c r="S34" s="50">
        <f>SUMIF($D$8:$D$55,$O34,$K$8:$K$55)+SUMIF($F$8:$F$55,$O34,$L$8:$L$55)</f>
        <v>5</v>
      </c>
      <c r="T34" s="95" t="s">
        <v>68</v>
      </c>
      <c r="U34" s="40"/>
      <c r="V34" s="40" t="str">
        <f>O34</f>
        <v>Ecuador</v>
      </c>
      <c r="W34" s="40" t="s">
        <v>68</v>
      </c>
      <c r="Y34" s="109">
        <f t="shared" si="8"/>
        <v>5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5</v>
      </c>
      <c r="AG34" s="108">
        <f t="shared" si="3"/>
        <v>0</v>
      </c>
      <c r="AH34" s="108">
        <f t="shared" si="4"/>
        <v>0</v>
      </c>
      <c r="AI34" s="108">
        <f t="shared" si="10"/>
        <v>0</v>
      </c>
      <c r="AJ34" s="108">
        <f t="shared" si="5"/>
        <v>5</v>
      </c>
      <c r="AK34" s="108">
        <f t="shared" si="6"/>
        <v>0</v>
      </c>
      <c r="AL34" s="108">
        <f t="shared" si="7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18">
        <v>28</v>
      </c>
      <c r="C35" s="19">
        <v>41811</v>
      </c>
      <c r="D35" s="20" t="s">
        <v>31</v>
      </c>
      <c r="E35" s="21" t="s">
        <v>9</v>
      </c>
      <c r="F35" s="30" t="s">
        <v>35</v>
      </c>
      <c r="G35" s="86">
        <v>2</v>
      </c>
      <c r="H35" s="21" t="s">
        <v>9</v>
      </c>
      <c r="I35" s="91">
        <v>1</v>
      </c>
      <c r="J35" s="23">
        <f t="shared" si="0"/>
        <v>1</v>
      </c>
      <c r="K35" s="11">
        <f t="shared" si="1"/>
        <v>3</v>
      </c>
      <c r="L35" s="11">
        <f t="shared" si="2"/>
        <v>0</v>
      </c>
      <c r="O35" s="48" t="s">
        <v>27</v>
      </c>
      <c r="P35" s="49">
        <f>SUMIF($D$8:$D$55,$O35,$G$8:$G$55)+SUMIF($F$8:$F$55,$O35,$I$8:$I$55)</f>
        <v>6</v>
      </c>
      <c r="Q35" s="49">
        <f>SUMIF($D$8:$D$55,$O35,$I$8:$I$55)+SUMIF($F$8:$F$55,$O35,$G$8:$G$55)</f>
        <v>4</v>
      </c>
      <c r="R35" s="49">
        <f>P35-Q35</f>
        <v>2</v>
      </c>
      <c r="S35" s="50">
        <f>SUMIF($D$8:$D$55,$O35,$K$8:$K$55)+SUMIF($F$8:$F$55,$O35,$L$8:$L$55)</f>
        <v>5</v>
      </c>
      <c r="T35" s="95" t="s">
        <v>67</v>
      </c>
      <c r="U35" s="40"/>
      <c r="V35" s="40" t="str">
        <f>O35</f>
        <v>Frankrijk</v>
      </c>
      <c r="W35" s="40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3"/>
        <v>1</v>
      </c>
      <c r="AH35" s="108">
        <f t="shared" si="4"/>
        <v>0</v>
      </c>
      <c r="AI35" s="108">
        <f t="shared" si="10"/>
        <v>0</v>
      </c>
      <c r="AJ35" s="108">
        <f t="shared" si="5"/>
        <v>0</v>
      </c>
      <c r="AK35" s="108">
        <f t="shared" si="6"/>
        <v>0</v>
      </c>
      <c r="AL35" s="108">
        <f t="shared" si="7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24">
        <v>29</v>
      </c>
      <c r="C36" s="25">
        <v>41811</v>
      </c>
      <c r="D36" s="26" t="s">
        <v>34</v>
      </c>
      <c r="E36" s="27" t="s">
        <v>9</v>
      </c>
      <c r="F36" s="28" t="s">
        <v>30</v>
      </c>
      <c r="G36" s="87">
        <v>1</v>
      </c>
      <c r="H36" s="27" t="s">
        <v>9</v>
      </c>
      <c r="I36" s="92">
        <v>0</v>
      </c>
      <c r="J36" s="29">
        <f t="shared" si="0"/>
        <v>1</v>
      </c>
      <c r="K36" s="11">
        <f t="shared" si="1"/>
        <v>3</v>
      </c>
      <c r="L36" s="11">
        <f t="shared" si="2"/>
        <v>0</v>
      </c>
      <c r="O36" s="51" t="s">
        <v>28</v>
      </c>
      <c r="P36" s="52">
        <f>SUMIF($D$8:$D$55,$O36,$G$8:$G$55)+SUMIF($F$8:$F$55,$O36,$I$8:$I$55)</f>
        <v>2</v>
      </c>
      <c r="Q36" s="52">
        <f>SUMIF($D$8:$D$55,$O36,$I$8:$I$55)+SUMIF($F$8:$F$55,$O36,$G$8:$G$55)</f>
        <v>3</v>
      </c>
      <c r="R36" s="52">
        <f>P36-Q36</f>
        <v>-1</v>
      </c>
      <c r="S36" s="53">
        <f>SUMIF($D$8:$D$55,$O36,$K$8:$K$55)+SUMIF($F$8:$F$55,$O36,$L$8:$L$55)</f>
        <v>2</v>
      </c>
      <c r="T36" s="96" t="s">
        <v>69</v>
      </c>
      <c r="U36" s="40"/>
      <c r="V36" s="40" t="str">
        <f>O36</f>
        <v>Honduras</v>
      </c>
      <c r="W36" s="40" t="s">
        <v>70</v>
      </c>
      <c r="Y36" s="109">
        <f t="shared" si="8"/>
        <v>10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10</v>
      </c>
      <c r="AG36" s="108">
        <f t="shared" si="3"/>
        <v>1</v>
      </c>
      <c r="AH36" s="108">
        <f t="shared" si="4"/>
        <v>1</v>
      </c>
      <c r="AI36" s="108">
        <f t="shared" si="10"/>
        <v>10</v>
      </c>
      <c r="AJ36" s="108">
        <f t="shared" si="5"/>
        <v>5</v>
      </c>
      <c r="AK36" s="108">
        <f t="shared" si="6"/>
        <v>0</v>
      </c>
      <c r="AL36" s="108">
        <f t="shared" si="7"/>
        <v>0</v>
      </c>
      <c r="AM36" s="120">
        <f>AO36</f>
        <v>0</v>
      </c>
      <c r="AN36" s="118" t="s">
        <v>28</v>
      </c>
      <c r="AO36" s="115">
        <f>IF(Uitslag!T36="",0,IF(T36=Uitslag!T36,10,0))</f>
        <v>0</v>
      </c>
    </row>
    <row r="37" spans="2:41" ht="15.75" thickBot="1">
      <c r="B37" s="12">
        <v>30</v>
      </c>
      <c r="C37" s="13">
        <v>41812</v>
      </c>
      <c r="D37" s="14" t="s">
        <v>37</v>
      </c>
      <c r="E37" s="15" t="s">
        <v>9</v>
      </c>
      <c r="F37" s="16" t="s">
        <v>39</v>
      </c>
      <c r="G37" s="85">
        <v>2</v>
      </c>
      <c r="H37" s="15" t="s">
        <v>9</v>
      </c>
      <c r="I37" s="90">
        <v>0</v>
      </c>
      <c r="J37" s="17">
        <f t="shared" si="0"/>
        <v>1</v>
      </c>
      <c r="K37" s="11">
        <f t="shared" si="1"/>
        <v>3</v>
      </c>
      <c r="L37" s="11">
        <f t="shared" si="2"/>
        <v>0</v>
      </c>
      <c r="O37" s="40"/>
      <c r="P37" s="41"/>
      <c r="Q37" s="41"/>
      <c r="R37" s="41"/>
      <c r="S37" s="41"/>
      <c r="T37" s="41"/>
      <c r="U37" s="40"/>
      <c r="V37" s="40"/>
      <c r="W37" s="40"/>
      <c r="Y37" s="109">
        <f t="shared" si="8"/>
        <v>6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6</v>
      </c>
      <c r="AG37" s="108">
        <f t="shared" si="3"/>
        <v>0</v>
      </c>
      <c r="AH37" s="108">
        <f t="shared" si="4"/>
        <v>1</v>
      </c>
      <c r="AI37" s="108">
        <f t="shared" si="10"/>
        <v>0</v>
      </c>
      <c r="AJ37" s="108">
        <f t="shared" si="5"/>
        <v>5</v>
      </c>
      <c r="AK37" s="108">
        <f t="shared" si="6"/>
        <v>0</v>
      </c>
      <c r="AL37" s="108">
        <f t="shared" si="7"/>
        <v>0</v>
      </c>
      <c r="AN37" s="40"/>
      <c r="AO37" s="41"/>
    </row>
    <row r="38" spans="2:41" ht="15.75" thickBot="1">
      <c r="B38" s="18">
        <v>31</v>
      </c>
      <c r="C38" s="19">
        <v>41812</v>
      </c>
      <c r="D38" s="20" t="s">
        <v>40</v>
      </c>
      <c r="E38" s="21" t="s">
        <v>9</v>
      </c>
      <c r="F38" s="30" t="s">
        <v>38</v>
      </c>
      <c r="G38" s="86">
        <v>2</v>
      </c>
      <c r="H38" s="21" t="s">
        <v>9</v>
      </c>
      <c r="I38" s="91">
        <v>1</v>
      </c>
      <c r="J38" s="23">
        <f t="shared" si="0"/>
        <v>1</v>
      </c>
      <c r="K38" s="11">
        <f t="shared" si="1"/>
        <v>3</v>
      </c>
      <c r="L38" s="11">
        <f t="shared" si="2"/>
        <v>0</v>
      </c>
      <c r="O38" s="72" t="s">
        <v>71</v>
      </c>
      <c r="P38" s="73" t="s">
        <v>42</v>
      </c>
      <c r="Q38" s="73" t="s">
        <v>43</v>
      </c>
      <c r="R38" s="74" t="s">
        <v>44</v>
      </c>
      <c r="S38" s="75" t="s">
        <v>45</v>
      </c>
      <c r="T38" s="76" t="s">
        <v>46</v>
      </c>
      <c r="U38" s="40"/>
      <c r="V38" s="40"/>
      <c r="W38" s="40"/>
      <c r="Y38" s="109">
        <f t="shared" si="8"/>
        <v>1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1</v>
      </c>
      <c r="AG38" s="108">
        <f t="shared" si="3"/>
        <v>1</v>
      </c>
      <c r="AH38" s="108">
        <f t="shared" si="4"/>
        <v>0</v>
      </c>
      <c r="AI38" s="108">
        <f t="shared" si="10"/>
        <v>0</v>
      </c>
      <c r="AJ38" s="108">
        <f t="shared" si="5"/>
        <v>0</v>
      </c>
      <c r="AK38" s="108">
        <f t="shared" si="6"/>
        <v>0</v>
      </c>
      <c r="AL38" s="108">
        <f t="shared" si="7"/>
        <v>0</v>
      </c>
      <c r="AN38" s="42" t="s">
        <v>71</v>
      </c>
      <c r="AO38" s="43" t="s">
        <v>46</v>
      </c>
    </row>
    <row r="39" spans="2:41" ht="15.75" thickBot="1">
      <c r="B39" s="24">
        <v>32</v>
      </c>
      <c r="C39" s="25">
        <v>41812</v>
      </c>
      <c r="D39" s="26" t="s">
        <v>36</v>
      </c>
      <c r="E39" s="27" t="s">
        <v>9</v>
      </c>
      <c r="F39" s="28" t="s">
        <v>32</v>
      </c>
      <c r="G39" s="87">
        <v>0</v>
      </c>
      <c r="H39" s="27" t="s">
        <v>9</v>
      </c>
      <c r="I39" s="92">
        <v>2</v>
      </c>
      <c r="J39" s="29">
        <f t="shared" si="0"/>
        <v>2</v>
      </c>
      <c r="K39" s="11">
        <f t="shared" si="1"/>
        <v>0</v>
      </c>
      <c r="L39" s="11">
        <f t="shared" si="2"/>
        <v>3</v>
      </c>
      <c r="O39" s="44" t="s">
        <v>29</v>
      </c>
      <c r="P39" s="45">
        <f>SUMIF($D$8:$D$55,$O39,$G$8:$G$55)+SUMIF($F$8:$F$55,$O39,$I$8:$I$55)</f>
        <v>10</v>
      </c>
      <c r="Q39" s="45">
        <f>SUMIF($D$8:$D$55,$O39,$I$8:$I$55)+SUMIF($F$8:$F$55,$O39,$G$8:$G$55)</f>
        <v>3</v>
      </c>
      <c r="R39" s="46">
        <f>P39-Q39</f>
        <v>7</v>
      </c>
      <c r="S39" s="47">
        <f>SUMIF($D$8:$D$55,$O39,$K$8:$K$55)+SUMIF($F$8:$F$55,$O39,$L$8:$L$55)</f>
        <v>9</v>
      </c>
      <c r="T39" s="94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1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1</v>
      </c>
      <c r="AG39" s="108">
        <f t="shared" si="3"/>
        <v>0</v>
      </c>
      <c r="AH39" s="108">
        <f t="shared" si="4"/>
        <v>1</v>
      </c>
      <c r="AI39" s="108">
        <f t="shared" si="10"/>
        <v>0</v>
      </c>
      <c r="AJ39" s="108">
        <f t="shared" si="5"/>
        <v>0</v>
      </c>
      <c r="AK39" s="108">
        <f t="shared" si="6"/>
        <v>0</v>
      </c>
      <c r="AL39" s="108">
        <f t="shared" si="7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12">
        <v>33</v>
      </c>
      <c r="C40" s="13">
        <v>41813</v>
      </c>
      <c r="D40" s="14" t="s">
        <v>16</v>
      </c>
      <c r="E40" s="15" t="s">
        <v>9</v>
      </c>
      <c r="F40" s="16" t="s">
        <v>13</v>
      </c>
      <c r="G40" s="85">
        <v>1</v>
      </c>
      <c r="H40" s="15" t="s">
        <v>9</v>
      </c>
      <c r="I40" s="90">
        <v>4</v>
      </c>
      <c r="J40" s="17">
        <f t="shared" si="0"/>
        <v>2</v>
      </c>
      <c r="K40" s="11">
        <f t="shared" si="1"/>
        <v>0</v>
      </c>
      <c r="L40" s="11">
        <f t="shared" si="2"/>
        <v>3</v>
      </c>
      <c r="O40" s="48" t="s">
        <v>30</v>
      </c>
      <c r="P40" s="49">
        <f>SUMIF($D$8:$D$55,$O40,$G$8:$G$55)+SUMIF($F$8:$F$55,$O40,$I$8:$I$55)</f>
        <v>2</v>
      </c>
      <c r="Q40" s="49">
        <f>SUMIF($D$8:$D$55,$O40,$I$8:$I$55)+SUMIF($F$8:$F$55,$O40,$G$8:$G$55)</f>
        <v>4</v>
      </c>
      <c r="R40" s="49">
        <f>P40-Q40</f>
        <v>-2</v>
      </c>
      <c r="S40" s="50">
        <f>SUMIF($D$8:$D$55,$O40,$K$8:$K$55)+SUMIF($F$8:$F$55,$O40,$L$8:$L$55)</f>
        <v>3</v>
      </c>
      <c r="T40" s="95" t="s">
        <v>74</v>
      </c>
      <c r="U40" s="40"/>
      <c r="V40" s="40" t="str">
        <f>O40</f>
        <v>Bosnië H.</v>
      </c>
      <c r="W40" s="40" t="s">
        <v>73</v>
      </c>
      <c r="Y40" s="109">
        <f t="shared" si="8"/>
        <v>5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5</v>
      </c>
      <c r="AG40" s="108">
        <f t="shared" si="3"/>
        <v>0</v>
      </c>
      <c r="AH40" s="108">
        <f t="shared" si="4"/>
        <v>0</v>
      </c>
      <c r="AI40" s="108">
        <f t="shared" si="10"/>
        <v>0</v>
      </c>
      <c r="AJ40" s="108">
        <f t="shared" si="5"/>
        <v>0</v>
      </c>
      <c r="AK40" s="108">
        <f t="shared" si="6"/>
        <v>5</v>
      </c>
      <c r="AL40" s="108">
        <f t="shared" si="7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18">
        <v>34</v>
      </c>
      <c r="C41" s="19">
        <v>41813</v>
      </c>
      <c r="D41" s="32" t="s">
        <v>14</v>
      </c>
      <c r="E41" s="21" t="s">
        <v>9</v>
      </c>
      <c r="F41" s="30" t="s">
        <v>15</v>
      </c>
      <c r="G41" s="86">
        <v>0</v>
      </c>
      <c r="H41" s="21" t="s">
        <v>9</v>
      </c>
      <c r="I41" s="91">
        <v>0</v>
      </c>
      <c r="J41" s="23">
        <f t="shared" si="0"/>
        <v>3</v>
      </c>
      <c r="K41" s="11">
        <f t="shared" si="1"/>
        <v>1</v>
      </c>
      <c r="L41" s="11">
        <f t="shared" si="2"/>
        <v>1</v>
      </c>
      <c r="O41" s="48" t="s">
        <v>33</v>
      </c>
      <c r="P41" s="49">
        <f>SUMIF($D$8:$D$55,$O41,$G$8:$G$55)+SUMIF($F$8:$F$55,$O41,$I$8:$I$55)</f>
        <v>3</v>
      </c>
      <c r="Q41" s="49">
        <f>SUMIF($D$8:$D$55,$O41,$I$8:$I$55)+SUMIF($F$8:$F$55,$O41,$G$8:$G$55)</f>
        <v>8</v>
      </c>
      <c r="R41" s="49">
        <f>P41-Q41</f>
        <v>-5</v>
      </c>
      <c r="S41" s="50">
        <f>SUMIF($D$8:$D$55,$O41,$K$8:$K$55)+SUMIF($F$8:$F$55,$O41,$L$8:$L$55)</f>
        <v>1</v>
      </c>
      <c r="T41" s="95" t="s">
        <v>75</v>
      </c>
      <c r="U41" s="40"/>
      <c r="V41" s="40" t="str">
        <f>O41</f>
        <v>Iran</v>
      </c>
      <c r="W41" s="40" t="s">
        <v>74</v>
      </c>
      <c r="Y41" s="109">
        <f t="shared" si="8"/>
        <v>1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1</v>
      </c>
      <c r="AG41" s="108">
        <f t="shared" si="3"/>
        <v>0</v>
      </c>
      <c r="AH41" s="108">
        <f t="shared" si="4"/>
        <v>1</v>
      </c>
      <c r="AI41" s="108">
        <f t="shared" si="10"/>
        <v>0</v>
      </c>
      <c r="AJ41" s="108">
        <f t="shared" si="5"/>
        <v>0</v>
      </c>
      <c r="AK41" s="108">
        <f t="shared" si="6"/>
        <v>0</v>
      </c>
      <c r="AL41" s="108">
        <f t="shared" si="7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18">
        <v>35</v>
      </c>
      <c r="C42" s="19">
        <v>41813</v>
      </c>
      <c r="D42" s="20" t="s">
        <v>12</v>
      </c>
      <c r="E42" s="21" t="s">
        <v>9</v>
      </c>
      <c r="F42" s="30" t="s">
        <v>8</v>
      </c>
      <c r="G42" s="86">
        <v>0</v>
      </c>
      <c r="H42" s="21" t="s">
        <v>9</v>
      </c>
      <c r="I42" s="91">
        <v>2</v>
      </c>
      <c r="J42" s="23">
        <f t="shared" si="0"/>
        <v>2</v>
      </c>
      <c r="K42" s="11">
        <f t="shared" si="1"/>
        <v>0</v>
      </c>
      <c r="L42" s="11">
        <f t="shared" si="2"/>
        <v>3</v>
      </c>
      <c r="O42" s="51" t="s">
        <v>34</v>
      </c>
      <c r="P42" s="52">
        <f>SUMIF($D$8:$D$55,$O42,$G$8:$G$55)+SUMIF($F$8:$F$55,$O42,$I$8:$I$55)</f>
        <v>5</v>
      </c>
      <c r="Q42" s="52">
        <f>SUMIF($D$8:$D$55,$O42,$I$8:$I$55)+SUMIF($F$8:$F$55,$O42,$G$8:$G$55)</f>
        <v>5</v>
      </c>
      <c r="R42" s="52">
        <f>P42-Q42</f>
        <v>0</v>
      </c>
      <c r="S42" s="53">
        <f>SUMIF($D$8:$D$55,$O42,$K$8:$K$55)+SUMIF($F$8:$F$55,$O42,$L$8:$L$55)</f>
        <v>4</v>
      </c>
      <c r="T42" s="96" t="s">
        <v>73</v>
      </c>
      <c r="U42" s="40"/>
      <c r="V42" s="40" t="str">
        <f>O42</f>
        <v>Nigeria</v>
      </c>
      <c r="W42" s="40" t="s">
        <v>75</v>
      </c>
      <c r="Y42" s="109">
        <f t="shared" si="8"/>
        <v>5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5</v>
      </c>
      <c r="AG42" s="108">
        <f t="shared" si="3"/>
        <v>0</v>
      </c>
      <c r="AH42" s="108">
        <f t="shared" si="4"/>
        <v>0</v>
      </c>
      <c r="AI42" s="108">
        <f t="shared" si="10"/>
        <v>0</v>
      </c>
      <c r="AJ42" s="108">
        <f t="shared" si="5"/>
        <v>0</v>
      </c>
      <c r="AK42" s="108">
        <f t="shared" si="6"/>
        <v>5</v>
      </c>
      <c r="AL42" s="108">
        <f t="shared" si="7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24">
        <v>36</v>
      </c>
      <c r="C43" s="25">
        <v>41813</v>
      </c>
      <c r="D43" s="26" t="s">
        <v>10</v>
      </c>
      <c r="E43" s="27" t="s">
        <v>9</v>
      </c>
      <c r="F43" s="28" t="s">
        <v>11</v>
      </c>
      <c r="G43" s="87">
        <v>2</v>
      </c>
      <c r="H43" s="27" t="s">
        <v>9</v>
      </c>
      <c r="I43" s="92">
        <v>2</v>
      </c>
      <c r="J43" s="29">
        <f t="shared" si="0"/>
        <v>3</v>
      </c>
      <c r="K43" s="11">
        <f t="shared" si="1"/>
        <v>1</v>
      </c>
      <c r="L43" s="11">
        <f t="shared" si="2"/>
        <v>1</v>
      </c>
      <c r="O43" s="40"/>
      <c r="P43" s="41"/>
      <c r="Q43" s="41"/>
      <c r="R43" s="41"/>
      <c r="S43" s="41"/>
      <c r="T43" s="41"/>
      <c r="U43" s="40"/>
      <c r="V43" s="40"/>
      <c r="W43" s="40"/>
      <c r="Y43" s="109">
        <f t="shared" si="8"/>
        <v>0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0</v>
      </c>
      <c r="AG43" s="108">
        <f t="shared" si="3"/>
        <v>0</v>
      </c>
      <c r="AH43" s="108">
        <f t="shared" si="4"/>
        <v>0</v>
      </c>
      <c r="AI43" s="108">
        <f t="shared" si="10"/>
        <v>0</v>
      </c>
      <c r="AJ43" s="108">
        <f t="shared" si="5"/>
        <v>0</v>
      </c>
      <c r="AK43" s="108">
        <f t="shared" si="6"/>
        <v>0</v>
      </c>
      <c r="AL43" s="108">
        <f t="shared" si="7"/>
        <v>0</v>
      </c>
      <c r="AN43" s="40"/>
      <c r="AO43" s="41"/>
    </row>
    <row r="44" spans="2:41" ht="15.75" thickBot="1">
      <c r="B44" s="12">
        <v>37</v>
      </c>
      <c r="C44" s="13">
        <v>41814</v>
      </c>
      <c r="D44" s="14" t="s">
        <v>22</v>
      </c>
      <c r="E44" s="15" t="s">
        <v>9</v>
      </c>
      <c r="F44" s="16" t="s">
        <v>19</v>
      </c>
      <c r="G44" s="85">
        <v>1</v>
      </c>
      <c r="H44" s="15" t="s">
        <v>9</v>
      </c>
      <c r="I44" s="90">
        <v>3</v>
      </c>
      <c r="J44" s="17">
        <f t="shared" si="0"/>
        <v>2</v>
      </c>
      <c r="K44" s="11">
        <f t="shared" si="1"/>
        <v>0</v>
      </c>
      <c r="L44" s="11">
        <f t="shared" si="2"/>
        <v>3</v>
      </c>
      <c r="O44" s="72" t="s">
        <v>76</v>
      </c>
      <c r="P44" s="73" t="s">
        <v>42</v>
      </c>
      <c r="Q44" s="73" t="s">
        <v>43</v>
      </c>
      <c r="R44" s="74" t="s">
        <v>44</v>
      </c>
      <c r="S44" s="75" t="s">
        <v>45</v>
      </c>
      <c r="T44" s="76" t="s">
        <v>46</v>
      </c>
      <c r="U44" s="40"/>
      <c r="V44" s="40"/>
      <c r="W44" s="40"/>
      <c r="Y44" s="109">
        <f t="shared" si="8"/>
        <v>5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5</v>
      </c>
      <c r="AG44" s="108">
        <f t="shared" si="3"/>
        <v>0</v>
      </c>
      <c r="AH44" s="108">
        <f t="shared" si="4"/>
        <v>0</v>
      </c>
      <c r="AI44" s="108">
        <f t="shared" si="10"/>
        <v>0</v>
      </c>
      <c r="AJ44" s="108">
        <f t="shared" si="5"/>
        <v>0</v>
      </c>
      <c r="AK44" s="108">
        <f t="shared" si="6"/>
        <v>5</v>
      </c>
      <c r="AL44" s="108">
        <f t="shared" si="7"/>
        <v>0</v>
      </c>
      <c r="AN44" s="42" t="s">
        <v>76</v>
      </c>
      <c r="AO44" s="43" t="s">
        <v>46</v>
      </c>
    </row>
    <row r="45" spans="2:41" ht="15.75" thickBot="1">
      <c r="B45" s="18">
        <v>38</v>
      </c>
      <c r="C45" s="19">
        <v>41814</v>
      </c>
      <c r="D45" s="20" t="s">
        <v>20</v>
      </c>
      <c r="E45" s="21" t="s">
        <v>9</v>
      </c>
      <c r="F45" s="30" t="s">
        <v>21</v>
      </c>
      <c r="G45" s="86">
        <v>1</v>
      </c>
      <c r="H45" s="21" t="s">
        <v>9</v>
      </c>
      <c r="I45" s="91">
        <v>1</v>
      </c>
      <c r="J45" s="23">
        <f t="shared" si="0"/>
        <v>3</v>
      </c>
      <c r="K45" s="11">
        <f t="shared" si="1"/>
        <v>1</v>
      </c>
      <c r="L45" s="11">
        <f t="shared" si="2"/>
        <v>1</v>
      </c>
      <c r="O45" s="44" t="s">
        <v>31</v>
      </c>
      <c r="P45" s="45">
        <f>SUMIF($D$8:$D$55,$O45,$G$8:$G$55)+SUMIF($F$8:$F$55,$O45,$I$8:$I$55)</f>
        <v>6</v>
      </c>
      <c r="Q45" s="45">
        <f>SUMIF($D$8:$D$55,$O45,$I$8:$I$55)+SUMIF($F$8:$F$55,$O45,$G$8:$G$55)</f>
        <v>2</v>
      </c>
      <c r="R45" s="46">
        <f>P45-Q45</f>
        <v>4</v>
      </c>
      <c r="S45" s="47">
        <f>SUMIF($D$8:$D$55,$O45,$K$8:$K$55)+SUMIF($F$8:$F$55,$O45,$L$8:$L$55)</f>
        <v>7</v>
      </c>
      <c r="T45" s="94" t="s">
        <v>77</v>
      </c>
      <c r="U45" s="40"/>
      <c r="V45" s="40" t="str">
        <f>O45</f>
        <v>Duitsland</v>
      </c>
      <c r="W45" s="40" t="s">
        <v>77</v>
      </c>
      <c r="Y45" s="109">
        <f t="shared" si="8"/>
        <v>5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5</v>
      </c>
      <c r="AG45" s="108">
        <f t="shared" si="3"/>
        <v>0</v>
      </c>
      <c r="AH45" s="108">
        <f t="shared" si="4"/>
        <v>0</v>
      </c>
      <c r="AI45" s="108">
        <f t="shared" si="10"/>
        <v>0</v>
      </c>
      <c r="AJ45" s="108">
        <f t="shared" si="5"/>
        <v>0</v>
      </c>
      <c r="AK45" s="108">
        <f t="shared" si="6"/>
        <v>0</v>
      </c>
      <c r="AL45" s="108">
        <f t="shared" si="7"/>
        <v>5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18">
        <v>39</v>
      </c>
      <c r="C46" s="19">
        <v>41814</v>
      </c>
      <c r="D46" s="20" t="s">
        <v>24</v>
      </c>
      <c r="E46" s="21" t="s">
        <v>9</v>
      </c>
      <c r="F46" s="30" t="s">
        <v>17</v>
      </c>
      <c r="G46" s="86">
        <v>0</v>
      </c>
      <c r="H46" s="21" t="s">
        <v>9</v>
      </c>
      <c r="I46" s="91">
        <v>1</v>
      </c>
      <c r="J46" s="23">
        <f t="shared" si="0"/>
        <v>2</v>
      </c>
      <c r="K46" s="11">
        <f t="shared" si="1"/>
        <v>0</v>
      </c>
      <c r="L46" s="11">
        <f t="shared" si="2"/>
        <v>3</v>
      </c>
      <c r="O46" s="48" t="s">
        <v>32</v>
      </c>
      <c r="P46" s="49">
        <f>SUMIF($D$8:$D$55,$O46,$G$8:$G$55)+SUMIF($F$8:$F$55,$O46,$I$8:$I$55)</f>
        <v>4</v>
      </c>
      <c r="Q46" s="49">
        <f>SUMIF($D$8:$D$55,$O46,$I$8:$I$55)+SUMIF($F$8:$F$55,$O46,$G$8:$G$55)</f>
        <v>5</v>
      </c>
      <c r="R46" s="49">
        <f>P46-Q46</f>
        <v>-1</v>
      </c>
      <c r="S46" s="50">
        <f>SUMIF($D$8:$D$55,$O46,$K$8:$K$55)+SUMIF($F$8:$F$55,$O46,$L$8:$L$55)</f>
        <v>4</v>
      </c>
      <c r="T46" s="95" t="s">
        <v>79</v>
      </c>
      <c r="U46" s="40"/>
      <c r="V46" s="40" t="str">
        <f>O46</f>
        <v>Portugal</v>
      </c>
      <c r="W46" s="40" t="s">
        <v>78</v>
      </c>
      <c r="Y46" s="109">
        <f t="shared" si="8"/>
        <v>5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5</v>
      </c>
      <c r="AG46" s="108">
        <f t="shared" si="3"/>
        <v>0</v>
      </c>
      <c r="AH46" s="108">
        <f t="shared" si="4"/>
        <v>0</v>
      </c>
      <c r="AI46" s="108">
        <f t="shared" si="10"/>
        <v>0</v>
      </c>
      <c r="AJ46" s="108">
        <f t="shared" si="5"/>
        <v>0</v>
      </c>
      <c r="AK46" s="108">
        <f t="shared" si="6"/>
        <v>5</v>
      </c>
      <c r="AL46" s="108">
        <f t="shared" si="7"/>
        <v>0</v>
      </c>
      <c r="AM46" s="120">
        <f>AO46</f>
        <v>10</v>
      </c>
      <c r="AN46" s="117" t="s">
        <v>32</v>
      </c>
      <c r="AO46" s="115">
        <f>IF(Uitslag!T46="",0,IF(T46=Uitslag!T46,10,0))</f>
        <v>10</v>
      </c>
    </row>
    <row r="47" spans="2:41" ht="15.75" thickBot="1">
      <c r="B47" s="24">
        <v>40</v>
      </c>
      <c r="C47" s="25">
        <v>41814</v>
      </c>
      <c r="D47" s="26" t="s">
        <v>18</v>
      </c>
      <c r="E47" s="27" t="s">
        <v>9</v>
      </c>
      <c r="F47" s="28" t="s">
        <v>23</v>
      </c>
      <c r="G47" s="87">
        <v>1</v>
      </c>
      <c r="H47" s="27" t="s">
        <v>9</v>
      </c>
      <c r="I47" s="92">
        <v>3</v>
      </c>
      <c r="J47" s="29">
        <f t="shared" si="0"/>
        <v>2</v>
      </c>
      <c r="K47" s="11">
        <f t="shared" si="1"/>
        <v>0</v>
      </c>
      <c r="L47" s="11">
        <f t="shared" si="2"/>
        <v>3</v>
      </c>
      <c r="O47" s="48" t="s">
        <v>35</v>
      </c>
      <c r="P47" s="49">
        <f>SUMIF($D$8:$D$55,$O47,$G$8:$G$55)+SUMIF($F$8:$F$55,$O47,$I$8:$I$55)</f>
        <v>3</v>
      </c>
      <c r="Q47" s="49">
        <f>SUMIF($D$8:$D$55,$O47,$I$8:$I$55)+SUMIF($F$8:$F$55,$O47,$G$8:$G$55)</f>
        <v>4</v>
      </c>
      <c r="R47" s="49">
        <f>P47-Q47</f>
        <v>-1</v>
      </c>
      <c r="S47" s="50">
        <f>SUMIF($D$8:$D$55,$O47,$K$8:$K$55)+SUMIF($F$8:$F$55,$O47,$L$8:$L$55)</f>
        <v>2</v>
      </c>
      <c r="T47" s="95" t="s">
        <v>78</v>
      </c>
      <c r="U47" s="40"/>
      <c r="V47" s="40" t="str">
        <f>O47</f>
        <v>Ghana</v>
      </c>
      <c r="W47" s="40" t="s">
        <v>79</v>
      </c>
      <c r="Y47" s="109">
        <f t="shared" si="8"/>
        <v>0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0</v>
      </c>
      <c r="AG47" s="108">
        <f t="shared" si="3"/>
        <v>0</v>
      </c>
      <c r="AH47" s="108">
        <f t="shared" si="4"/>
        <v>0</v>
      </c>
      <c r="AI47" s="108">
        <f t="shared" si="10"/>
        <v>0</v>
      </c>
      <c r="AJ47" s="108">
        <f t="shared" si="5"/>
        <v>0</v>
      </c>
      <c r="AK47" s="108">
        <f t="shared" si="6"/>
        <v>0</v>
      </c>
      <c r="AL47" s="108">
        <f t="shared" si="7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12">
        <v>41</v>
      </c>
      <c r="C48" s="13">
        <v>41815</v>
      </c>
      <c r="D48" s="14" t="s">
        <v>34</v>
      </c>
      <c r="E48" s="15" t="s">
        <v>9</v>
      </c>
      <c r="F48" s="16" t="s">
        <v>29</v>
      </c>
      <c r="G48" s="85">
        <v>2</v>
      </c>
      <c r="H48" s="15" t="s">
        <v>9</v>
      </c>
      <c r="I48" s="90">
        <v>3</v>
      </c>
      <c r="J48" s="17">
        <f t="shared" si="0"/>
        <v>2</v>
      </c>
      <c r="K48" s="11">
        <f t="shared" si="1"/>
        <v>0</v>
      </c>
      <c r="L48" s="11">
        <f t="shared" si="2"/>
        <v>3</v>
      </c>
      <c r="O48" s="51" t="s">
        <v>36</v>
      </c>
      <c r="P48" s="52">
        <f>SUMIF($D$8:$D$55,$O48,$G$8:$G$55)+SUMIF($F$8:$F$55,$O48,$I$8:$I$55)</f>
        <v>1</v>
      </c>
      <c r="Q48" s="52">
        <f>SUMIF($D$8:$D$55,$O48,$I$8:$I$55)+SUMIF($F$8:$F$55,$O48,$G$8:$G$55)</f>
        <v>3</v>
      </c>
      <c r="R48" s="52">
        <f>P48-Q48</f>
        <v>-2</v>
      </c>
      <c r="S48" s="53">
        <f>SUMIF($D$8:$D$55,$O48,$K$8:$K$55)+SUMIF($F$8:$F$55,$O48,$L$8:$L$55)</f>
        <v>2</v>
      </c>
      <c r="T48" s="96" t="s">
        <v>80</v>
      </c>
      <c r="U48" s="40"/>
      <c r="V48" s="40" t="str">
        <f>O48</f>
        <v>Verenigde Staten</v>
      </c>
      <c r="W48" s="40" t="s">
        <v>80</v>
      </c>
      <c r="Y48" s="109">
        <f t="shared" si="8"/>
        <v>10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10</v>
      </c>
      <c r="AG48" s="108">
        <f t="shared" si="3"/>
        <v>1</v>
      </c>
      <c r="AH48" s="108">
        <f t="shared" si="4"/>
        <v>1</v>
      </c>
      <c r="AI48" s="108">
        <f t="shared" si="10"/>
        <v>10</v>
      </c>
      <c r="AJ48" s="108">
        <f t="shared" si="5"/>
        <v>0</v>
      </c>
      <c r="AK48" s="108">
        <f t="shared" si="6"/>
        <v>5</v>
      </c>
      <c r="AL48" s="108">
        <f t="shared" si="7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18">
        <v>42</v>
      </c>
      <c r="C49" s="19">
        <v>41815</v>
      </c>
      <c r="D49" s="20" t="s">
        <v>30</v>
      </c>
      <c r="E49" s="21" t="s">
        <v>9</v>
      </c>
      <c r="F49" s="30" t="s">
        <v>33</v>
      </c>
      <c r="G49" s="86">
        <v>2</v>
      </c>
      <c r="H49" s="21" t="s">
        <v>9</v>
      </c>
      <c r="I49" s="91">
        <v>0</v>
      </c>
      <c r="J49" s="23">
        <f t="shared" si="0"/>
        <v>1</v>
      </c>
      <c r="K49" s="11">
        <f t="shared" si="1"/>
        <v>3</v>
      </c>
      <c r="L49" s="11">
        <f t="shared" si="2"/>
        <v>0</v>
      </c>
      <c r="O49" s="40"/>
      <c r="P49" s="41"/>
      <c r="Q49" s="41"/>
      <c r="R49" s="41"/>
      <c r="S49" s="41"/>
      <c r="T49" s="41"/>
      <c r="U49" s="40"/>
      <c r="V49" s="40"/>
      <c r="W49" s="40"/>
      <c r="Y49" s="109">
        <f t="shared" si="8"/>
        <v>5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5</v>
      </c>
      <c r="AG49" s="108">
        <f t="shared" si="3"/>
        <v>0</v>
      </c>
      <c r="AH49" s="108">
        <f t="shared" si="4"/>
        <v>0</v>
      </c>
      <c r="AI49" s="108">
        <f t="shared" si="10"/>
        <v>0</v>
      </c>
      <c r="AJ49" s="108">
        <f t="shared" si="5"/>
        <v>5</v>
      </c>
      <c r="AK49" s="108">
        <f t="shared" si="6"/>
        <v>0</v>
      </c>
      <c r="AL49" s="108">
        <f t="shared" si="7"/>
        <v>0</v>
      </c>
      <c r="AN49" s="40"/>
      <c r="AO49" s="41"/>
    </row>
    <row r="50" spans="2:54" ht="15.75" thickBot="1">
      <c r="B50" s="18">
        <v>43</v>
      </c>
      <c r="C50" s="19">
        <v>41815</v>
      </c>
      <c r="D50" s="20" t="s">
        <v>28</v>
      </c>
      <c r="E50" s="21" t="s">
        <v>9</v>
      </c>
      <c r="F50" s="30" t="s">
        <v>25</v>
      </c>
      <c r="G50" s="86">
        <v>0</v>
      </c>
      <c r="H50" s="21" t="s">
        <v>9</v>
      </c>
      <c r="I50" s="91">
        <v>1</v>
      </c>
      <c r="J50" s="23">
        <f t="shared" si="0"/>
        <v>2</v>
      </c>
      <c r="K50" s="11">
        <f t="shared" si="1"/>
        <v>0</v>
      </c>
      <c r="L50" s="11">
        <f t="shared" si="2"/>
        <v>3</v>
      </c>
      <c r="O50" s="72" t="s">
        <v>81</v>
      </c>
      <c r="P50" s="73" t="s">
        <v>42</v>
      </c>
      <c r="Q50" s="73" t="s">
        <v>43</v>
      </c>
      <c r="R50" s="74" t="s">
        <v>44</v>
      </c>
      <c r="S50" s="75" t="s">
        <v>45</v>
      </c>
      <c r="T50" s="76" t="s">
        <v>46</v>
      </c>
      <c r="U50" s="40"/>
      <c r="V50" s="40"/>
      <c r="W50" s="40"/>
      <c r="Y50" s="109">
        <f t="shared" si="8"/>
        <v>6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6</v>
      </c>
      <c r="AG50" s="108">
        <f t="shared" si="3"/>
        <v>1</v>
      </c>
      <c r="AH50" s="108">
        <f t="shared" si="4"/>
        <v>0</v>
      </c>
      <c r="AI50" s="108">
        <f t="shared" si="10"/>
        <v>0</v>
      </c>
      <c r="AJ50" s="108">
        <f t="shared" si="5"/>
        <v>0</v>
      </c>
      <c r="AK50" s="108">
        <f t="shared" si="6"/>
        <v>5</v>
      </c>
      <c r="AL50" s="108">
        <f t="shared" si="7"/>
        <v>0</v>
      </c>
      <c r="AN50" s="42" t="s">
        <v>81</v>
      </c>
      <c r="AO50" s="43" t="s">
        <v>46</v>
      </c>
    </row>
    <row r="51" spans="2:54" ht="15.75" thickBot="1">
      <c r="B51" s="24">
        <v>44</v>
      </c>
      <c r="C51" s="25">
        <v>41815</v>
      </c>
      <c r="D51" s="26" t="s">
        <v>26</v>
      </c>
      <c r="E51" s="27" t="s">
        <v>9</v>
      </c>
      <c r="F51" s="28" t="s">
        <v>27</v>
      </c>
      <c r="G51" s="87">
        <v>1</v>
      </c>
      <c r="H51" s="27" t="s">
        <v>9</v>
      </c>
      <c r="I51" s="92">
        <v>1</v>
      </c>
      <c r="J51" s="29">
        <f t="shared" si="0"/>
        <v>3</v>
      </c>
      <c r="K51" s="11">
        <f t="shared" si="1"/>
        <v>1</v>
      </c>
      <c r="L51" s="11">
        <f t="shared" si="2"/>
        <v>1</v>
      </c>
      <c r="O51" s="44" t="s">
        <v>37</v>
      </c>
      <c r="P51" s="45">
        <f>SUMIF($D$8:$D$55,$O51,$G$8:$G$55)+SUMIF($F$8:$F$55,$O51,$I$8:$I$55)</f>
        <v>7</v>
      </c>
      <c r="Q51" s="45">
        <f>SUMIF($D$8:$D$55,$O51,$I$8:$I$55)+SUMIF($F$8:$F$55,$O51,$G$8:$G$55)</f>
        <v>0</v>
      </c>
      <c r="R51" s="46">
        <f>P51-Q51</f>
        <v>7</v>
      </c>
      <c r="S51" s="47">
        <f>SUMIF($D$8:$D$55,$O51,$K$8:$K$55)+SUMIF($F$8:$F$55,$O51,$L$8:$L$55)</f>
        <v>9</v>
      </c>
      <c r="T51" s="94" t="s">
        <v>82</v>
      </c>
      <c r="U51" s="40"/>
      <c r="V51" s="40" t="str">
        <f>O51</f>
        <v>België</v>
      </c>
      <c r="W51" s="40" t="s">
        <v>82</v>
      </c>
      <c r="Y51" s="109">
        <f t="shared" si="8"/>
        <v>5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5</v>
      </c>
      <c r="AG51" s="108">
        <f t="shared" si="3"/>
        <v>0</v>
      </c>
      <c r="AH51" s="108">
        <f t="shared" si="4"/>
        <v>0</v>
      </c>
      <c r="AI51" s="108">
        <f t="shared" si="10"/>
        <v>0</v>
      </c>
      <c r="AJ51" s="108">
        <f t="shared" si="5"/>
        <v>0</v>
      </c>
      <c r="AK51" s="108">
        <f t="shared" si="6"/>
        <v>0</v>
      </c>
      <c r="AL51" s="108">
        <f t="shared" si="7"/>
        <v>5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18">
        <v>45</v>
      </c>
      <c r="C52" s="19">
        <v>41816</v>
      </c>
      <c r="D52" s="20" t="s">
        <v>36</v>
      </c>
      <c r="E52" s="21" t="s">
        <v>9</v>
      </c>
      <c r="F52" s="30" t="s">
        <v>31</v>
      </c>
      <c r="G52" s="86">
        <v>1</v>
      </c>
      <c r="H52" s="21" t="s">
        <v>9</v>
      </c>
      <c r="I52" s="91">
        <v>1</v>
      </c>
      <c r="J52" s="17">
        <f t="shared" si="0"/>
        <v>3</v>
      </c>
      <c r="K52" s="11">
        <f t="shared" si="1"/>
        <v>1</v>
      </c>
      <c r="L52" s="11">
        <f t="shared" si="2"/>
        <v>1</v>
      </c>
      <c r="O52" s="48" t="s">
        <v>38</v>
      </c>
      <c r="P52" s="49">
        <f>SUMIF($D$8:$D$55,$O52,$G$8:$G$55)+SUMIF($F$8:$F$55,$O52,$I$8:$I$55)</f>
        <v>1</v>
      </c>
      <c r="Q52" s="49">
        <f>SUMIF($D$8:$D$55,$O52,$I$8:$I$55)+SUMIF($F$8:$F$55,$O52,$G$8:$G$55)</f>
        <v>5</v>
      </c>
      <c r="R52" s="49">
        <f>P52-Q52</f>
        <v>-4</v>
      </c>
      <c r="S52" s="50">
        <f>SUMIF($D$8:$D$55,$O52,$K$8:$K$55)+SUMIF($F$8:$F$55,$O52,$L$8:$L$55)</f>
        <v>0</v>
      </c>
      <c r="T52" s="95" t="s">
        <v>85</v>
      </c>
      <c r="U52" s="40"/>
      <c r="V52" s="40" t="str">
        <f>O52</f>
        <v>Algerije</v>
      </c>
      <c r="W52" s="40" t="s">
        <v>83</v>
      </c>
      <c r="Y52" s="109">
        <f t="shared" si="8"/>
        <v>1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1</v>
      </c>
      <c r="AG52" s="108">
        <f t="shared" si="3"/>
        <v>0</v>
      </c>
      <c r="AH52" s="108">
        <f t="shared" si="4"/>
        <v>1</v>
      </c>
      <c r="AI52" s="108">
        <f t="shared" si="10"/>
        <v>0</v>
      </c>
      <c r="AJ52" s="108">
        <f t="shared" si="5"/>
        <v>0</v>
      </c>
      <c r="AK52" s="108">
        <f t="shared" si="6"/>
        <v>0</v>
      </c>
      <c r="AL52" s="108">
        <f t="shared" si="7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18">
        <v>46</v>
      </c>
      <c r="C53" s="19">
        <v>41816</v>
      </c>
      <c r="D53" s="20" t="s">
        <v>32</v>
      </c>
      <c r="E53" s="21" t="s">
        <v>9</v>
      </c>
      <c r="F53" s="30" t="s">
        <v>35</v>
      </c>
      <c r="G53" s="86">
        <v>2</v>
      </c>
      <c r="H53" s="21" t="s">
        <v>9</v>
      </c>
      <c r="I53" s="91">
        <v>2</v>
      </c>
      <c r="J53" s="23">
        <f t="shared" si="0"/>
        <v>3</v>
      </c>
      <c r="K53" s="11">
        <f t="shared" si="1"/>
        <v>1</v>
      </c>
      <c r="L53" s="11">
        <f t="shared" si="2"/>
        <v>1</v>
      </c>
      <c r="O53" s="48" t="s">
        <v>39</v>
      </c>
      <c r="P53" s="49">
        <f>SUMIF($D$8:$D$55,$O53,$G$8:$G$55)+SUMIF($F$8:$F$55,$O53,$I$8:$I$55)</f>
        <v>2</v>
      </c>
      <c r="Q53" s="49">
        <f>SUMIF($D$8:$D$55,$O53,$I$8:$I$55)+SUMIF($F$8:$F$55,$O53,$G$8:$G$55)</f>
        <v>3</v>
      </c>
      <c r="R53" s="49">
        <f>P53-Q53</f>
        <v>-1</v>
      </c>
      <c r="S53" s="50">
        <f>SUMIF($D$8:$D$55,$O53,$K$8:$K$55)+SUMIF($F$8:$F$55,$O53,$L$8:$L$55)</f>
        <v>4</v>
      </c>
      <c r="T53" s="95" t="s">
        <v>83</v>
      </c>
      <c r="U53" s="40"/>
      <c r="V53" s="40" t="str">
        <f>O53</f>
        <v>Rusland</v>
      </c>
      <c r="W53" s="40" t="s">
        <v>84</v>
      </c>
      <c r="Y53" s="109">
        <f t="shared" si="8"/>
        <v>1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1</v>
      </c>
      <c r="AG53" s="108">
        <f t="shared" si="3"/>
        <v>1</v>
      </c>
      <c r="AH53" s="108">
        <f t="shared" si="4"/>
        <v>0</v>
      </c>
      <c r="AI53" s="108">
        <f t="shared" si="10"/>
        <v>0</v>
      </c>
      <c r="AJ53" s="108">
        <f t="shared" si="5"/>
        <v>0</v>
      </c>
      <c r="AK53" s="108">
        <f t="shared" si="6"/>
        <v>0</v>
      </c>
      <c r="AL53" s="108">
        <f t="shared" si="7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18">
        <v>47</v>
      </c>
      <c r="C54" s="19">
        <v>41816</v>
      </c>
      <c r="D54" s="20" t="s">
        <v>40</v>
      </c>
      <c r="E54" s="21" t="s">
        <v>9</v>
      </c>
      <c r="F54" s="30" t="s">
        <v>37</v>
      </c>
      <c r="G54" s="86">
        <v>0</v>
      </c>
      <c r="H54" s="21" t="s">
        <v>9</v>
      </c>
      <c r="I54" s="91">
        <v>3</v>
      </c>
      <c r="J54" s="23">
        <f t="shared" si="0"/>
        <v>2</v>
      </c>
      <c r="K54" s="11">
        <f t="shared" si="1"/>
        <v>0</v>
      </c>
      <c r="L54" s="11">
        <f t="shared" si="2"/>
        <v>3</v>
      </c>
      <c r="O54" s="51" t="s">
        <v>40</v>
      </c>
      <c r="P54" s="52">
        <f>SUMIF($D$8:$D$55,$O54,$G$8:$G$55)+SUMIF($F$8:$F$55,$O54,$I$8:$I$55)</f>
        <v>3</v>
      </c>
      <c r="Q54" s="52">
        <f>SUMIF($D$8:$D$55,$O54,$I$8:$I$55)+SUMIF($F$8:$F$55,$O54,$G$8:$G$55)</f>
        <v>5</v>
      </c>
      <c r="R54" s="52">
        <f>P54-Q54</f>
        <v>-2</v>
      </c>
      <c r="S54" s="53">
        <f>SUMIF($D$8:$D$55,$O54,$K$8:$K$55)+SUMIF($F$8:$F$55,$O54,$L$8:$L$55)</f>
        <v>4</v>
      </c>
      <c r="T54" s="96" t="s">
        <v>84</v>
      </c>
      <c r="U54" s="40"/>
      <c r="V54" s="40" t="str">
        <f>O54</f>
        <v>Zuid Korea</v>
      </c>
      <c r="W54" s="40" t="s">
        <v>85</v>
      </c>
      <c r="Y54" s="109">
        <f t="shared" si="8"/>
        <v>6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6</v>
      </c>
      <c r="AG54" s="108">
        <f t="shared" si="3"/>
        <v>1</v>
      </c>
      <c r="AH54" s="108">
        <f t="shared" si="4"/>
        <v>0</v>
      </c>
      <c r="AI54" s="108">
        <f t="shared" si="10"/>
        <v>0</v>
      </c>
      <c r="AJ54" s="108">
        <f t="shared" si="5"/>
        <v>0</v>
      </c>
      <c r="AK54" s="108">
        <f t="shared" si="6"/>
        <v>5</v>
      </c>
      <c r="AL54" s="108">
        <f t="shared" si="7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3">
        <v>48</v>
      </c>
      <c r="C55" s="34">
        <v>41816</v>
      </c>
      <c r="D55" s="35" t="s">
        <v>38</v>
      </c>
      <c r="E55" s="36" t="s">
        <v>9</v>
      </c>
      <c r="F55" s="37" t="s">
        <v>39</v>
      </c>
      <c r="G55" s="88">
        <v>0</v>
      </c>
      <c r="H55" s="36" t="s">
        <v>9</v>
      </c>
      <c r="I55" s="93">
        <v>1</v>
      </c>
      <c r="J55" s="38">
        <f t="shared" si="0"/>
        <v>2</v>
      </c>
      <c r="K55" s="11">
        <f t="shared" si="1"/>
        <v>0</v>
      </c>
      <c r="L55" s="11">
        <f t="shared" si="2"/>
        <v>3</v>
      </c>
      <c r="O55" s="40"/>
      <c r="P55" s="41"/>
      <c r="Q55" s="41"/>
      <c r="R55" s="41"/>
      <c r="S55" s="41"/>
      <c r="T55" s="41"/>
      <c r="U55" s="40"/>
      <c r="V55" s="40"/>
      <c r="W55" s="40"/>
      <c r="Y55" s="109">
        <f t="shared" si="8"/>
        <v>1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</v>
      </c>
      <c r="AG55" s="108">
        <f t="shared" si="3"/>
        <v>0</v>
      </c>
      <c r="AH55" s="108">
        <f t="shared" si="4"/>
        <v>1</v>
      </c>
      <c r="AI55" s="108">
        <f t="shared" si="10"/>
        <v>0</v>
      </c>
      <c r="AJ55" s="108">
        <f t="shared" si="5"/>
        <v>0</v>
      </c>
      <c r="AK55" s="108">
        <f t="shared" si="6"/>
        <v>0</v>
      </c>
      <c r="AL55" s="108">
        <f t="shared" si="7"/>
        <v>0</v>
      </c>
    </row>
    <row r="56" spans="2:54" ht="15.75" thickBot="1">
      <c r="B56" s="1"/>
      <c r="C56" s="39"/>
      <c r="D56" s="40"/>
      <c r="E56" s="1"/>
      <c r="F56" s="40"/>
      <c r="G56" s="1"/>
      <c r="H56" s="1"/>
      <c r="I56" s="1"/>
      <c r="J56" s="1"/>
      <c r="K56" s="1"/>
      <c r="L56" s="1"/>
      <c r="M56" s="1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195"/>
      <c r="K57" s="1"/>
      <c r="L57" s="1"/>
      <c r="M57" s="1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78" t="s">
        <v>1</v>
      </c>
      <c r="C58" s="79" t="s">
        <v>2</v>
      </c>
      <c r="D58" s="187" t="s">
        <v>3</v>
      </c>
      <c r="E58" s="81"/>
      <c r="F58" s="194" t="s">
        <v>4</v>
      </c>
      <c r="G58" s="867" t="s">
        <v>5</v>
      </c>
      <c r="H58" s="868"/>
      <c r="I58" s="869"/>
      <c r="J58" s="83" t="s">
        <v>6</v>
      </c>
      <c r="K58" s="1"/>
      <c r="L58" s="1"/>
      <c r="M58" s="1"/>
      <c r="O58" s="135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12">
        <v>49</v>
      </c>
      <c r="C59" s="189">
        <v>41818</v>
      </c>
      <c r="D59" s="153" t="str">
        <f t="shared" ref="D59:D66" si="13">IF(ISERROR(Z59),K59,Z59)</f>
        <v>Brazilië</v>
      </c>
      <c r="E59" s="15" t="s">
        <v>9</v>
      </c>
      <c r="F59" s="56" t="str">
        <f t="shared" ref="F59:F66" si="14">IF(ISERROR(AA59),L59,AA59)</f>
        <v>Nederland</v>
      </c>
      <c r="G59" s="85">
        <v>2</v>
      </c>
      <c r="H59" s="15" t="s">
        <v>9</v>
      </c>
      <c r="I59" s="97">
        <v>0</v>
      </c>
      <c r="J59" s="98">
        <v>1</v>
      </c>
      <c r="K59" s="57" t="s">
        <v>48</v>
      </c>
      <c r="L59" s="57" t="s">
        <v>53</v>
      </c>
      <c r="M59" s="57">
        <v>1</v>
      </c>
      <c r="O59" s="135">
        <v>2</v>
      </c>
      <c r="P59" s="877" t="s">
        <v>220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5">AF59</f>
        <v>0</v>
      </c>
      <c r="Z59" t="str">
        <f t="shared" ref="Z59:AA65" si="16">IF(K59=""," ",VLOOKUP(K59,$T$9:$V$54,3,FALSE))</f>
        <v>Brazilië</v>
      </c>
      <c r="AA59" t="str">
        <f t="shared" si="16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7">IF(OR(AC59="",AD59=""),0,(IF(SUM(AG59:AL59)&gt;10,10,SUM(AG59:AL59))))</f>
        <v>0</v>
      </c>
      <c r="AG59" s="108">
        <f t="shared" ref="AG59:AG66" si="18">IF(AC59="",0,(IF(G59=AC59,1,0)))</f>
        <v>0</v>
      </c>
      <c r="AH59" s="108">
        <f t="shared" ref="AH59:AH66" si="19">IF(AD59="",0,(IF(I59=AD59,1,0)))</f>
        <v>0</v>
      </c>
      <c r="AI59" s="108">
        <f t="shared" ref="AI59:AI66" si="20">IF(AND(AG59=1,AH59=1),10,0)</f>
        <v>0</v>
      </c>
      <c r="AJ59" s="108">
        <f t="shared" ref="AJ59:AJ66" si="21">IF(AND(G59&gt;I59,AC59&gt;AD59),5,0)</f>
        <v>0</v>
      </c>
      <c r="AK59" s="108">
        <f t="shared" ref="AK59:AK66" si="22">IF(AND(G59&lt;I59,AC59&lt;AD59),5,0)</f>
        <v>0</v>
      </c>
      <c r="AL59" s="108">
        <f t="shared" ref="AL59:AL66" si="23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4">BA59</f>
        <v>3</v>
      </c>
    </row>
    <row r="60" spans="2:54">
      <c r="B60" s="24">
        <v>50</v>
      </c>
      <c r="C60" s="190">
        <v>41818</v>
      </c>
      <c r="D60" s="154" t="str">
        <f t="shared" si="13"/>
        <v>Ivoorkust</v>
      </c>
      <c r="E60" s="27" t="s">
        <v>9</v>
      </c>
      <c r="F60" s="59" t="str">
        <f t="shared" si="14"/>
        <v>Engeland</v>
      </c>
      <c r="G60" s="87">
        <v>1</v>
      </c>
      <c r="H60" s="27" t="s">
        <v>9</v>
      </c>
      <c r="I60" s="99">
        <v>1</v>
      </c>
      <c r="J60" s="100">
        <v>1</v>
      </c>
      <c r="K60" s="57" t="s">
        <v>57</v>
      </c>
      <c r="L60" s="57" t="s">
        <v>63</v>
      </c>
      <c r="M60" s="57">
        <v>2</v>
      </c>
      <c r="O60" s="135">
        <v>3</v>
      </c>
      <c r="P60" s="877" t="s">
        <v>225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5"/>
        <v>0</v>
      </c>
      <c r="Z60" t="str">
        <f t="shared" si="16"/>
        <v>Ivoorkust</v>
      </c>
      <c r="AA60" t="str">
        <f t="shared" si="16"/>
        <v>Engeland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7"/>
        <v>0</v>
      </c>
      <c r="AG60" s="108">
        <f t="shared" si="18"/>
        <v>0</v>
      </c>
      <c r="AH60" s="108">
        <f t="shared" si="19"/>
        <v>0</v>
      </c>
      <c r="AI60" s="108">
        <f t="shared" si="20"/>
        <v>0</v>
      </c>
      <c r="AJ60" s="108">
        <f t="shared" si="21"/>
        <v>0</v>
      </c>
      <c r="AK60" s="108">
        <f t="shared" si="22"/>
        <v>0</v>
      </c>
      <c r="AL60" s="108">
        <f t="shared" si="23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4"/>
        <v>3</v>
      </c>
    </row>
    <row r="61" spans="2:54">
      <c r="B61" s="12">
        <v>51</v>
      </c>
      <c r="C61" s="189">
        <v>41819</v>
      </c>
      <c r="D61" s="188" t="str">
        <f t="shared" si="13"/>
        <v>Spanje</v>
      </c>
      <c r="E61" s="15" t="s">
        <v>9</v>
      </c>
      <c r="F61" s="56" t="str">
        <f t="shared" si="14"/>
        <v>Kroatië</v>
      </c>
      <c r="G61" s="85">
        <v>2</v>
      </c>
      <c r="H61" s="15" t="s">
        <v>9</v>
      </c>
      <c r="I61" s="97">
        <v>1</v>
      </c>
      <c r="J61" s="98">
        <v>1</v>
      </c>
      <c r="K61" s="57" t="s">
        <v>52</v>
      </c>
      <c r="L61" s="57" t="s">
        <v>49</v>
      </c>
      <c r="M61" s="57"/>
      <c r="O61" s="135">
        <v>4</v>
      </c>
      <c r="P61" s="877" t="s">
        <v>234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5"/>
        <v>10</v>
      </c>
      <c r="Z61" t="str">
        <f t="shared" si="16"/>
        <v>Spanje</v>
      </c>
      <c r="AA61" t="str">
        <f t="shared" si="16"/>
        <v>Kroatië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7"/>
        <v>10</v>
      </c>
      <c r="AG61" s="108">
        <f t="shared" si="18"/>
        <v>1</v>
      </c>
      <c r="AH61" s="108">
        <f t="shared" si="19"/>
        <v>1</v>
      </c>
      <c r="AI61" s="108">
        <f t="shared" si="20"/>
        <v>10</v>
      </c>
      <c r="AJ61" s="108">
        <f t="shared" si="21"/>
        <v>5</v>
      </c>
      <c r="AK61" s="108">
        <f t="shared" si="22"/>
        <v>0</v>
      </c>
      <c r="AL61" s="108">
        <f t="shared" si="23"/>
        <v>0</v>
      </c>
      <c r="AZ61" s="138" t="str">
        <f>Uitslag!P61</f>
        <v>Ron Vlaar (v)</v>
      </c>
      <c r="BA61" s="140">
        <f t="shared" si="12"/>
        <v>0</v>
      </c>
      <c r="BB61" s="139">
        <f t="shared" si="24"/>
        <v>0</v>
      </c>
    </row>
    <row r="62" spans="2:54">
      <c r="B62" s="24">
        <v>52</v>
      </c>
      <c r="C62" s="190">
        <v>41819</v>
      </c>
      <c r="D62" s="188" t="str">
        <f t="shared" si="13"/>
        <v>Uruguay</v>
      </c>
      <c r="E62" s="27" t="s">
        <v>9</v>
      </c>
      <c r="F62" s="59" t="str">
        <f t="shared" si="14"/>
        <v>Colombia</v>
      </c>
      <c r="G62" s="87">
        <v>2</v>
      </c>
      <c r="H62" s="27" t="s">
        <v>9</v>
      </c>
      <c r="I62" s="99">
        <v>2</v>
      </c>
      <c r="J62" s="100">
        <v>1</v>
      </c>
      <c r="K62" s="57" t="s">
        <v>62</v>
      </c>
      <c r="L62" s="57" t="s">
        <v>58</v>
      </c>
      <c r="M62" s="57"/>
      <c r="O62" s="135">
        <v>5</v>
      </c>
      <c r="P62" s="877" t="s">
        <v>209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5"/>
        <v>5</v>
      </c>
      <c r="Z62" t="str">
        <f t="shared" si="16"/>
        <v>Uruguay</v>
      </c>
      <c r="AA62" t="str">
        <f t="shared" si="16"/>
        <v>Colombia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7"/>
        <v>5</v>
      </c>
      <c r="AG62" s="108">
        <f t="shared" si="18"/>
        <v>0</v>
      </c>
      <c r="AH62" s="108">
        <f t="shared" si="19"/>
        <v>0</v>
      </c>
      <c r="AI62" s="108">
        <f t="shared" si="20"/>
        <v>0</v>
      </c>
      <c r="AJ62" s="108">
        <f t="shared" si="21"/>
        <v>0</v>
      </c>
      <c r="AK62" s="108">
        <f t="shared" si="22"/>
        <v>0</v>
      </c>
      <c r="AL62" s="108">
        <f t="shared" si="23"/>
        <v>5</v>
      </c>
      <c r="AZ62" s="138" t="str">
        <f>Uitslag!P62</f>
        <v>Bruno Martins Indi (v)</v>
      </c>
      <c r="BA62" s="140">
        <f t="shared" si="12"/>
        <v>3</v>
      </c>
      <c r="BB62" s="139">
        <f t="shared" si="24"/>
        <v>3</v>
      </c>
    </row>
    <row r="63" spans="2:54">
      <c r="B63" s="12">
        <v>53</v>
      </c>
      <c r="C63" s="189">
        <v>41820</v>
      </c>
      <c r="D63" s="153" t="str">
        <f t="shared" si="13"/>
        <v>Frankrijk</v>
      </c>
      <c r="E63" s="15" t="s">
        <v>9</v>
      </c>
      <c r="F63" s="56" t="str">
        <f t="shared" si="14"/>
        <v>Nigeria</v>
      </c>
      <c r="G63" s="85">
        <v>1</v>
      </c>
      <c r="H63" s="15" t="s">
        <v>9</v>
      </c>
      <c r="I63" s="97">
        <v>0</v>
      </c>
      <c r="J63" s="98">
        <v>1</v>
      </c>
      <c r="K63" s="57" t="s">
        <v>67</v>
      </c>
      <c r="L63" s="57" t="s">
        <v>73</v>
      </c>
      <c r="M63" s="57"/>
      <c r="O63" s="135">
        <v>6</v>
      </c>
      <c r="P63" s="877" t="s">
        <v>212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5"/>
        <v>6</v>
      </c>
      <c r="Z63" t="str">
        <f t="shared" si="16"/>
        <v>Frankrijk</v>
      </c>
      <c r="AA63" t="str">
        <f t="shared" si="16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7"/>
        <v>6</v>
      </c>
      <c r="AG63" s="108">
        <f t="shared" si="18"/>
        <v>0</v>
      </c>
      <c r="AH63" s="108">
        <f t="shared" si="19"/>
        <v>1</v>
      </c>
      <c r="AI63" s="108">
        <f t="shared" si="20"/>
        <v>0</v>
      </c>
      <c r="AJ63" s="108">
        <f t="shared" si="21"/>
        <v>5</v>
      </c>
      <c r="AK63" s="108">
        <f t="shared" si="22"/>
        <v>0</v>
      </c>
      <c r="AL63" s="108">
        <f t="shared" si="23"/>
        <v>0</v>
      </c>
      <c r="AZ63" s="138" t="str">
        <f>Uitslag!P63</f>
        <v>Daley Blind (v)</v>
      </c>
      <c r="BA63" s="140">
        <f t="shared" si="12"/>
        <v>3</v>
      </c>
      <c r="BB63" s="139">
        <f t="shared" si="24"/>
        <v>3</v>
      </c>
    </row>
    <row r="64" spans="2:54">
      <c r="B64" s="24">
        <v>54</v>
      </c>
      <c r="C64" s="190">
        <v>41820</v>
      </c>
      <c r="D64" s="154" t="str">
        <f t="shared" si="13"/>
        <v>Duitsland</v>
      </c>
      <c r="E64" s="27" t="s">
        <v>9</v>
      </c>
      <c r="F64" s="59" t="str">
        <f t="shared" si="14"/>
        <v>Rusland</v>
      </c>
      <c r="G64" s="87">
        <v>2</v>
      </c>
      <c r="H64" s="27" t="s">
        <v>9</v>
      </c>
      <c r="I64" s="99">
        <v>2</v>
      </c>
      <c r="J64" s="100">
        <v>2</v>
      </c>
      <c r="K64" s="57" t="s">
        <v>77</v>
      </c>
      <c r="L64" s="57" t="s">
        <v>83</v>
      </c>
      <c r="M64" s="57"/>
      <c r="O64" s="135">
        <v>7</v>
      </c>
      <c r="P64" s="877" t="s">
        <v>226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5"/>
        <v>5</v>
      </c>
      <c r="Z64" t="str">
        <f t="shared" si="16"/>
        <v>Duitsland</v>
      </c>
      <c r="AA64" t="str">
        <f t="shared" si="16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7"/>
        <v>5</v>
      </c>
      <c r="AG64" s="108">
        <f t="shared" si="18"/>
        <v>0</v>
      </c>
      <c r="AH64" s="108">
        <f t="shared" si="19"/>
        <v>0</v>
      </c>
      <c r="AI64" s="108">
        <f t="shared" si="20"/>
        <v>0</v>
      </c>
      <c r="AJ64" s="108">
        <f t="shared" si="21"/>
        <v>0</v>
      </c>
      <c r="AK64" s="108">
        <f t="shared" si="22"/>
        <v>0</v>
      </c>
      <c r="AL64" s="108">
        <f t="shared" si="23"/>
        <v>5</v>
      </c>
      <c r="AZ64" s="138" t="str">
        <f>Uitslag!P64</f>
        <v>Wesley Sneijder (m)</v>
      </c>
      <c r="BA64" s="140">
        <f t="shared" si="12"/>
        <v>3</v>
      </c>
      <c r="BB64" s="139">
        <f t="shared" si="24"/>
        <v>3</v>
      </c>
    </row>
    <row r="65" spans="2:54">
      <c r="B65" s="18">
        <v>55</v>
      </c>
      <c r="C65" s="191">
        <v>41821</v>
      </c>
      <c r="D65" s="153" t="str">
        <f t="shared" si="13"/>
        <v>Argentinië</v>
      </c>
      <c r="E65" s="21" t="s">
        <v>9</v>
      </c>
      <c r="F65" s="60" t="str">
        <f t="shared" si="14"/>
        <v>Ecuador</v>
      </c>
      <c r="G65" s="86">
        <v>0</v>
      </c>
      <c r="H65" s="21" t="s">
        <v>9</v>
      </c>
      <c r="I65" s="101">
        <v>0</v>
      </c>
      <c r="J65" s="102">
        <v>1</v>
      </c>
      <c r="K65" s="57" t="s">
        <v>72</v>
      </c>
      <c r="L65" s="57" t="s">
        <v>68</v>
      </c>
      <c r="M65" s="57"/>
      <c r="O65" s="135">
        <v>8</v>
      </c>
      <c r="P65" s="877" t="s">
        <v>213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5"/>
        <v>10</v>
      </c>
      <c r="Z65" t="str">
        <f t="shared" si="16"/>
        <v>Argentinië</v>
      </c>
      <c r="AA65" t="str">
        <f t="shared" si="16"/>
        <v>Ecuador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7"/>
        <v>10</v>
      </c>
      <c r="AG65" s="108">
        <f t="shared" si="18"/>
        <v>1</v>
      </c>
      <c r="AH65" s="108">
        <f t="shared" si="19"/>
        <v>1</v>
      </c>
      <c r="AI65" s="108">
        <f t="shared" si="20"/>
        <v>10</v>
      </c>
      <c r="AJ65" s="108">
        <f t="shared" si="21"/>
        <v>0</v>
      </c>
      <c r="AK65" s="108">
        <f t="shared" si="22"/>
        <v>0</v>
      </c>
      <c r="AL65" s="108">
        <f t="shared" si="23"/>
        <v>5</v>
      </c>
      <c r="AZ65" s="138" t="str">
        <f>Uitslag!P65</f>
        <v>Nigel de Jong (m)</v>
      </c>
      <c r="BA65" s="140">
        <f t="shared" si="12"/>
        <v>3</v>
      </c>
      <c r="BB65" s="139">
        <f t="shared" si="24"/>
        <v>3</v>
      </c>
    </row>
    <row r="66" spans="2:54" ht="15.75" thickBot="1">
      <c r="B66" s="33">
        <v>56</v>
      </c>
      <c r="C66" s="186">
        <v>41821</v>
      </c>
      <c r="D66" s="155" t="str">
        <f t="shared" si="13"/>
        <v>België</v>
      </c>
      <c r="E66" s="36" t="s">
        <v>9</v>
      </c>
      <c r="F66" s="62" t="str">
        <f t="shared" si="14"/>
        <v>Ghana</v>
      </c>
      <c r="G66" s="88">
        <v>3</v>
      </c>
      <c r="H66" s="36" t="s">
        <v>9</v>
      </c>
      <c r="I66" s="103">
        <v>1</v>
      </c>
      <c r="J66" s="104">
        <v>1</v>
      </c>
      <c r="K66" s="57" t="s">
        <v>82</v>
      </c>
      <c r="L66" s="57" t="s">
        <v>78</v>
      </c>
      <c r="M66" s="57"/>
      <c r="O66" s="135">
        <v>9</v>
      </c>
      <c r="P66" s="877" t="s">
        <v>214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5"/>
        <v>0</v>
      </c>
      <c r="Z66" t="str">
        <f>IF(K66=""," ",VLOOKUP(K66,$T$9:$V$54,3,FALSE))</f>
        <v>België</v>
      </c>
      <c r="AA66" t="str">
        <f>IF(L66=""," ",VLOOKUP(L66,$T$9:$V$54,3,FALSE))</f>
        <v>Ghana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7"/>
        <v>0</v>
      </c>
      <c r="AG66" s="108">
        <f t="shared" si="18"/>
        <v>0</v>
      </c>
      <c r="AH66" s="108">
        <f t="shared" si="19"/>
        <v>0</v>
      </c>
      <c r="AI66" s="108">
        <f t="shared" si="20"/>
        <v>0</v>
      </c>
      <c r="AJ66" s="108">
        <f t="shared" si="21"/>
        <v>0</v>
      </c>
      <c r="AK66" s="108">
        <f t="shared" si="22"/>
        <v>0</v>
      </c>
      <c r="AL66" s="108">
        <f t="shared" si="23"/>
        <v>0</v>
      </c>
      <c r="AZ66" s="138" t="str">
        <f>Uitslag!P66</f>
        <v>Jonathan de Guzman (m)</v>
      </c>
      <c r="BA66" s="140">
        <f t="shared" si="12"/>
        <v>3</v>
      </c>
      <c r="BB66" s="139">
        <f t="shared" si="24"/>
        <v>3</v>
      </c>
    </row>
    <row r="67" spans="2:54" ht="15.75" thickBot="1">
      <c r="B67" s="1"/>
      <c r="C67" s="39"/>
      <c r="D67" s="40"/>
      <c r="E67" s="1"/>
      <c r="F67" s="40"/>
      <c r="G67" s="1"/>
      <c r="H67" s="1"/>
      <c r="I67" s="1"/>
      <c r="J67" s="1"/>
      <c r="K67" s="1"/>
      <c r="L67" s="1"/>
      <c r="M67" s="1"/>
      <c r="O67" s="135">
        <v>10</v>
      </c>
      <c r="P67" s="877" t="s">
        <v>216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4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195"/>
      <c r="K68" s="1"/>
      <c r="L68" s="1"/>
      <c r="M68" s="1"/>
      <c r="O68" s="135">
        <v>11</v>
      </c>
      <c r="P68" s="877" t="s">
        <v>215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4"/>
        <v>3</v>
      </c>
    </row>
    <row r="69" spans="2:54">
      <c r="B69" s="78" t="s">
        <v>1</v>
      </c>
      <c r="C69" s="79" t="s">
        <v>2</v>
      </c>
      <c r="D69" s="193" t="s">
        <v>3</v>
      </c>
      <c r="E69" s="81"/>
      <c r="F69" s="194" t="s">
        <v>4</v>
      </c>
      <c r="G69" s="867" t="s">
        <v>5</v>
      </c>
      <c r="H69" s="868"/>
      <c r="I69" s="869"/>
      <c r="J69" s="83" t="s">
        <v>6</v>
      </c>
      <c r="K69" s="1"/>
      <c r="L69" s="1"/>
      <c r="M69" s="1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30</v>
      </c>
      <c r="BB69" s="139" t="str">
        <f>IF(AND(BA69&lt;&gt;"",BA69=33),15,"nvt")</f>
        <v>nvt</v>
      </c>
    </row>
    <row r="70" spans="2:54">
      <c r="B70" s="12">
        <v>57</v>
      </c>
      <c r="C70" s="13">
        <v>41824</v>
      </c>
      <c r="D70" s="55" t="str">
        <f>IF(J63="","Winnaar 53",IF(J63=1,D63,F63))</f>
        <v>Frankrijk</v>
      </c>
      <c r="E70" s="15" t="s">
        <v>9</v>
      </c>
      <c r="F70" s="56" t="str">
        <f>IF(J64="","Winnaar 54",IF(J64=1,D64,F64))</f>
        <v>Rusland</v>
      </c>
      <c r="G70" s="85">
        <v>2</v>
      </c>
      <c r="H70" s="15" t="s">
        <v>9</v>
      </c>
      <c r="I70" s="97">
        <v>0</v>
      </c>
      <c r="J70" s="98">
        <v>1</v>
      </c>
      <c r="K70" s="1"/>
      <c r="L70" s="1"/>
      <c r="M70" s="1"/>
      <c r="V70" t="s">
        <v>133</v>
      </c>
      <c r="W70" t="s">
        <v>126</v>
      </c>
      <c r="X70" t="str">
        <f t="shared" si="11"/>
        <v>Karim Rekik (v)</v>
      </c>
      <c r="Y70" s="109">
        <f>AF70</f>
        <v>0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0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0</v>
      </c>
      <c r="AL70" s="108">
        <f>IF(AND(G70=I70,AC70=AD70),5,0)</f>
        <v>0</v>
      </c>
    </row>
    <row r="71" spans="2:54">
      <c r="B71" s="24">
        <v>58</v>
      </c>
      <c r="C71" s="25">
        <v>41824</v>
      </c>
      <c r="D71" s="58" t="str">
        <f>IF(J59="","Winnaar 49",IF(J59=1,D59,F59))</f>
        <v>Brazilië</v>
      </c>
      <c r="E71" s="27" t="s">
        <v>9</v>
      </c>
      <c r="F71" s="59" t="str">
        <f>IF(J60="","Winnaar 50",IF(J60=1,D60,F60))</f>
        <v>Ivoorkust</v>
      </c>
      <c r="G71" s="87">
        <v>3</v>
      </c>
      <c r="H71" s="27" t="s">
        <v>9</v>
      </c>
      <c r="I71" s="99">
        <v>1</v>
      </c>
      <c r="J71" s="100">
        <v>1</v>
      </c>
      <c r="K71" s="1"/>
      <c r="L71" s="1"/>
      <c r="M71" s="1"/>
      <c r="V71" t="s">
        <v>133</v>
      </c>
      <c r="W71" t="s">
        <v>194</v>
      </c>
      <c r="X71" t="str">
        <f t="shared" si="11"/>
        <v>Ron Vlaar (v)</v>
      </c>
      <c r="Y71" s="109">
        <f>AF71</f>
        <v>6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6</v>
      </c>
      <c r="AG71" s="108">
        <f>IF(AC71="",0,(IF(G71=AC71,1,0)))</f>
        <v>0</v>
      </c>
      <c r="AH71" s="108">
        <f>IF(AD71="",0,(IF(I71=AD71,1,0)))</f>
        <v>1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12">
        <v>59</v>
      </c>
      <c r="C72" s="13">
        <v>41825</v>
      </c>
      <c r="D72" s="55" t="str">
        <f>IF(J65="","Winnaar 55",IF(J65=1,D65,F65))</f>
        <v>Argentinië</v>
      </c>
      <c r="E72" s="15" t="s">
        <v>9</v>
      </c>
      <c r="F72" s="56" t="str">
        <f>IF(J66="","Winnaar 56",IF(J66=1,D66,F66))</f>
        <v>België</v>
      </c>
      <c r="G72" s="85">
        <v>2</v>
      </c>
      <c r="H72" s="15" t="s">
        <v>9</v>
      </c>
      <c r="I72" s="97">
        <v>3</v>
      </c>
      <c r="J72" s="98">
        <v>2</v>
      </c>
      <c r="K72" s="1"/>
      <c r="L72" s="1"/>
      <c r="M72" s="1"/>
      <c r="V72" t="s">
        <v>133</v>
      </c>
      <c r="W72" t="s">
        <v>195</v>
      </c>
      <c r="X72" t="str">
        <f t="shared" si="11"/>
        <v>John Heitinga (v)</v>
      </c>
      <c r="Y72" s="109">
        <f>AF72</f>
        <v>0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0</v>
      </c>
      <c r="AG72" s="108">
        <f>IF(AC72="",0,(IF(G72=AC72,1,0)))</f>
        <v>0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0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3">
        <v>60</v>
      </c>
      <c r="C73" s="34">
        <v>41825</v>
      </c>
      <c r="D73" s="61" t="str">
        <f>IF(J61="","Winnaar 51",IF(J61=1,D61,F61))</f>
        <v>Spanje</v>
      </c>
      <c r="E73" s="36" t="s">
        <v>9</v>
      </c>
      <c r="F73" s="62" t="str">
        <f>IF(J62="","Winnaar 52",IF(J62=1,D62,F62))</f>
        <v>Uruguay</v>
      </c>
      <c r="G73" s="88">
        <v>1</v>
      </c>
      <c r="H73" s="36" t="s">
        <v>9</v>
      </c>
      <c r="I73" s="103">
        <v>2</v>
      </c>
      <c r="J73" s="104">
        <v>2</v>
      </c>
      <c r="K73" s="1"/>
      <c r="L73" s="1"/>
      <c r="M73" s="1"/>
      <c r="V73" t="s">
        <v>133</v>
      </c>
      <c r="W73" t="s">
        <v>196</v>
      </c>
      <c r="X73" t="str">
        <f t="shared" si="11"/>
        <v>Urby Emanuelson (v)</v>
      </c>
      <c r="Y73" s="109">
        <f>AF73</f>
        <v>0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0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1"/>
      <c r="C74" s="39"/>
      <c r="D74" s="40"/>
      <c r="E74" s="1"/>
      <c r="F74" s="40"/>
      <c r="G74" s="1"/>
      <c r="H74" s="1"/>
      <c r="I74" s="1"/>
      <c r="J74" s="1"/>
      <c r="K74" s="1"/>
      <c r="L74" s="1"/>
      <c r="M74" s="1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195"/>
      <c r="K75" s="1"/>
      <c r="L75" s="1"/>
      <c r="M75" s="1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78" t="s">
        <v>1</v>
      </c>
      <c r="C76" s="79" t="s">
        <v>2</v>
      </c>
      <c r="D76" s="193" t="s">
        <v>3</v>
      </c>
      <c r="E76" s="81"/>
      <c r="F76" s="194" t="s">
        <v>4</v>
      </c>
      <c r="G76" s="867" t="s">
        <v>5</v>
      </c>
      <c r="H76" s="868"/>
      <c r="I76" s="869"/>
      <c r="J76" s="83" t="s">
        <v>6</v>
      </c>
      <c r="K76" s="1"/>
      <c r="L76" s="1"/>
      <c r="M76" s="1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12">
        <v>61</v>
      </c>
      <c r="C77" s="13">
        <v>41828</v>
      </c>
      <c r="D77" s="55" t="str">
        <f>IF(J70="","Winnaar 57",IF(J70=1,D70,F70))</f>
        <v>Frankrijk</v>
      </c>
      <c r="E77" s="15" t="s">
        <v>9</v>
      </c>
      <c r="F77" s="56" t="str">
        <f>IF(J71="","Winnaar 58",IF(J71=1,D71,F71))</f>
        <v>Brazilië</v>
      </c>
      <c r="G77" s="85">
        <v>1</v>
      </c>
      <c r="H77" s="15" t="s">
        <v>9</v>
      </c>
      <c r="I77" s="97">
        <v>1</v>
      </c>
      <c r="J77" s="98">
        <v>2</v>
      </c>
      <c r="K77" s="1"/>
      <c r="L77" s="1"/>
      <c r="M77" s="1"/>
      <c r="V77" t="s">
        <v>134</v>
      </c>
      <c r="W77" t="s">
        <v>203</v>
      </c>
      <c r="X77" t="str">
        <f t="shared" si="11"/>
        <v>Marco van Ginkel (m)</v>
      </c>
      <c r="Y77" s="109">
        <f>AF77</f>
        <v>1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1</v>
      </c>
      <c r="AG77" s="108">
        <f>IF(AC77="",0,(IF(G77=AC77,1,0)))</f>
        <v>0</v>
      </c>
      <c r="AH77" s="108">
        <f>IF(AD77="",0,(IF(I77=AD77,1,0)))</f>
        <v>1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3">
        <v>62</v>
      </c>
      <c r="C78" s="34">
        <v>41829</v>
      </c>
      <c r="D78" s="61" t="str">
        <f>IF(J72="","Winnaar 59",IF(J72=1,D72,F72))</f>
        <v>België</v>
      </c>
      <c r="E78" s="36" t="s">
        <v>9</v>
      </c>
      <c r="F78" s="62" t="str">
        <f>IF(J73="","Winnaar 60",IF(J73=1,D73,F73))</f>
        <v>Uruguay</v>
      </c>
      <c r="G78" s="88">
        <v>2</v>
      </c>
      <c r="H78" s="36" t="s">
        <v>9</v>
      </c>
      <c r="I78" s="103">
        <v>0</v>
      </c>
      <c r="J78" s="104">
        <v>1</v>
      </c>
      <c r="K78" s="1"/>
      <c r="L78" s="1"/>
      <c r="M78" s="1"/>
      <c r="V78" t="s">
        <v>134</v>
      </c>
      <c r="W78" t="s">
        <v>199</v>
      </c>
      <c r="X78" t="str">
        <f t="shared" si="11"/>
        <v>Leroy Fer (m)</v>
      </c>
      <c r="Y78" s="109">
        <f>AF78</f>
        <v>1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1</v>
      </c>
      <c r="AG78" s="108">
        <f>IF(AC78="",0,(IF(G78=AC78,1,0)))</f>
        <v>0</v>
      </c>
      <c r="AH78" s="108">
        <f>IF(AD78="",0,(IF(I78=AD78,1,0)))</f>
        <v>1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1"/>
      <c r="C79" s="39"/>
      <c r="D79" s="40"/>
      <c r="E79" s="1"/>
      <c r="F79" s="40"/>
      <c r="G79" s="1"/>
      <c r="H79" s="1"/>
      <c r="I79" s="1"/>
      <c r="J79" s="1"/>
      <c r="K79" s="1"/>
      <c r="L79" s="1"/>
      <c r="M79" s="1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195"/>
      <c r="K80" s="1"/>
      <c r="L80" s="1"/>
      <c r="M80" s="1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78" t="s">
        <v>1</v>
      </c>
      <c r="C81" s="79" t="s">
        <v>2</v>
      </c>
      <c r="D81" s="193" t="s">
        <v>3</v>
      </c>
      <c r="E81" s="81"/>
      <c r="F81" s="194" t="s">
        <v>4</v>
      </c>
      <c r="G81" s="867" t="s">
        <v>5</v>
      </c>
      <c r="H81" s="868"/>
      <c r="I81" s="869"/>
      <c r="J81" s="83" t="s">
        <v>6</v>
      </c>
      <c r="K81" s="1"/>
      <c r="L81" s="1"/>
      <c r="M81" s="1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2">
        <v>63</v>
      </c>
      <c r="C82" s="63">
        <v>41832</v>
      </c>
      <c r="D82" s="64" t="str">
        <f>IF(J77="","Verliezer 61",IF(J77=1,F77,D77))</f>
        <v>Frankrijk</v>
      </c>
      <c r="E82" s="3" t="s">
        <v>9</v>
      </c>
      <c r="F82" s="65" t="str">
        <f>IF(J78="","Verliezer 62",IF(J78=1,F78,D78))</f>
        <v>Uruguay</v>
      </c>
      <c r="G82" s="105">
        <v>1</v>
      </c>
      <c r="H82" s="3" t="s">
        <v>9</v>
      </c>
      <c r="I82" s="106">
        <v>0</v>
      </c>
      <c r="J82" s="107">
        <v>1</v>
      </c>
      <c r="K82" s="1"/>
      <c r="L82" s="1"/>
      <c r="M82" s="1"/>
      <c r="V82" t="s">
        <v>134</v>
      </c>
      <c r="W82" t="s">
        <v>125</v>
      </c>
      <c r="X8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1"/>
      <c r="C83" s="39"/>
      <c r="D83" s="40"/>
      <c r="E83" s="1"/>
      <c r="F83" s="40"/>
      <c r="G83" s="1"/>
      <c r="H83" s="1"/>
      <c r="I83" s="1"/>
      <c r="J83" s="1"/>
      <c r="K83" s="1"/>
      <c r="L83" s="1"/>
      <c r="M83" s="1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195"/>
      <c r="K84" s="1"/>
      <c r="L84" s="1"/>
      <c r="M84" s="1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78" t="s">
        <v>1</v>
      </c>
      <c r="C85" s="79" t="s">
        <v>2</v>
      </c>
      <c r="D85" s="193" t="s">
        <v>3</v>
      </c>
      <c r="E85" s="81"/>
      <c r="F85" s="194" t="s">
        <v>4</v>
      </c>
      <c r="G85" s="867" t="s">
        <v>5</v>
      </c>
      <c r="H85" s="868"/>
      <c r="I85" s="869"/>
      <c r="J85" s="83" t="s">
        <v>6</v>
      </c>
      <c r="K85" s="1"/>
      <c r="L85" s="1"/>
      <c r="M85" s="1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2">
        <v>64</v>
      </c>
      <c r="C86" s="63">
        <v>41833</v>
      </c>
      <c r="D86" s="64" t="str">
        <f>IF(J77="","Winnaar 61",IF(J77=1,D77,F77))</f>
        <v>Brazilië</v>
      </c>
      <c r="E86" s="3" t="s">
        <v>9</v>
      </c>
      <c r="F86" s="65" t="str">
        <f>IF(J78="","Winnaar 62",IF(J78=1,D78,F78))</f>
        <v>België</v>
      </c>
      <c r="G86" s="105">
        <v>2</v>
      </c>
      <c r="H86" s="3" t="s">
        <v>9</v>
      </c>
      <c r="I86" s="106">
        <v>0</v>
      </c>
      <c r="J86" s="107">
        <v>1</v>
      </c>
      <c r="K86" s="1"/>
      <c r="L86" s="1"/>
      <c r="M86" s="1"/>
      <c r="V86" t="s">
        <v>134</v>
      </c>
      <c r="W86" t="s">
        <v>139</v>
      </c>
      <c r="X86" t="str">
        <f t="shared" si="11"/>
        <v>Nigel de Jong (m)</v>
      </c>
      <c r="Y86" s="109">
        <f>AF86</f>
        <v>1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1</v>
      </c>
      <c r="AG86" s="108">
        <f>IF(AC86="",0,(IF(G86=AC86,1,0)))</f>
        <v>0</v>
      </c>
      <c r="AH86" s="108">
        <f>IF(AD86="",0,(IF(I86=AD86,1,0)))</f>
        <v>1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Brazilië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5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5</v>
      </c>
      <c r="AV89">
        <f>IF(AR89=0,0,IF(E89=AR89,50,0))</f>
        <v>0</v>
      </c>
      <c r="AW89">
        <f>IF(E89=0,0,IF(OR(E89=AR90),15,0))</f>
        <v>0</v>
      </c>
      <c r="AX89">
        <f>IF(E89=0,0,IF(OR(E89=AR91,E89=AR92),5,0))</f>
        <v>5</v>
      </c>
    </row>
    <row r="90" spans="2:50">
      <c r="C90" s="870">
        <v>2</v>
      </c>
      <c r="D90" s="871"/>
      <c r="E90" s="872" t="str">
        <f>IF(J86=2,D86,IF(J86=1,F86,"Wie wordt 2de?"))</f>
        <v>België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0</v>
      </c>
      <c r="AV90">
        <f>IF(AR90=0,0,IF(AR90=E90,25,0))</f>
        <v>0</v>
      </c>
      <c r="AW90">
        <f>IF(E90=0,0,IF(OR(E90=AR89,),15,0))</f>
        <v>0</v>
      </c>
      <c r="AX90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Frankrijk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0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0</v>
      </c>
      <c r="AV91">
        <f>IF(AR91=0,0,IF(AR91=E91,15,0))</f>
        <v>0</v>
      </c>
      <c r="AW91">
        <f>IF(E91=0,0,IF(OR(E91=AR92),10,0))</f>
        <v>0</v>
      </c>
      <c r="AX91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Uruguay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0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0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5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conditionalFormatting sqref="AO9:AO12 AO15:AO18 AO21:AO24 AO27:AO30 AO33:AO36 AO39:AO42 AO45:AO48 AO51:AO54">
    <cfRule type="cellIs" dxfId="236" priority="3" operator="equal">
      <formula>10</formula>
    </cfRule>
  </conditionalFormatting>
  <conditionalFormatting sqref="P58:T58">
    <cfRule type="duplicateValues" dxfId="235" priority="2"/>
  </conditionalFormatting>
  <conditionalFormatting sqref="P58:T68">
    <cfRule type="duplicateValues" dxfId="234" priority="1"/>
  </conditionalFormatting>
  <dataValidations count="10">
    <dataValidation type="list" allowBlank="1" showInputMessage="1" showErrorMessage="1" sqref="P58:P68">
      <formula1>$X$58:$X$98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51:T54">
      <formula1>$W$51:$W$54</formula1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B1:BB98"/>
  <sheetViews>
    <sheetView topLeftCell="A46" zoomScale="70" zoomScaleNormal="70" workbookViewId="0">
      <selection activeCell="P58" sqref="P58:T68"/>
    </sheetView>
  </sheetViews>
  <sheetFormatPr defaultRowHeight="15" outlineLevelCol="2"/>
  <cols>
    <col min="1" max="1" width="3.42578125" customWidth="1"/>
    <col min="2" max="2" width="3.5703125" bestFit="1" customWidth="1"/>
    <col min="3" max="3" width="11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145" t="s">
        <v>246</v>
      </c>
      <c r="E3" s="145"/>
      <c r="F3" s="145"/>
      <c r="N3" t="str">
        <f>D3</f>
        <v>Mariëlle de K.</v>
      </c>
      <c r="O3" s="144">
        <f>SUM(P3:S3)</f>
        <v>306</v>
      </c>
      <c r="P3" s="109">
        <f>SUM(Y8:Y86)</f>
        <v>174</v>
      </c>
      <c r="Q3" s="109">
        <f>SUM(AM4:AM55)</f>
        <v>90</v>
      </c>
      <c r="R3" s="109">
        <f>SUM(AP89:AP92)</f>
        <v>15</v>
      </c>
      <c r="S3" s="109">
        <f>SUM(BB58:BB69)</f>
        <v>27</v>
      </c>
      <c r="T3" s="109">
        <f>COUNTIF(AF8:AF86,10)</f>
        <v>5</v>
      </c>
      <c r="U3" s="109" t="str">
        <f>E89</f>
        <v>Portugal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1"/>
      <c r="L6" s="1"/>
      <c r="O6" s="40"/>
      <c r="P6" s="41"/>
      <c r="Q6" s="41"/>
      <c r="R6" s="41"/>
      <c r="S6" s="41"/>
      <c r="T6" s="41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66" t="s">
        <v>1</v>
      </c>
      <c r="C7" s="67" t="s">
        <v>2</v>
      </c>
      <c r="D7" s="196" t="s">
        <v>3</v>
      </c>
      <c r="E7" s="69"/>
      <c r="F7" s="197" t="s">
        <v>4</v>
      </c>
      <c r="G7" s="880" t="s">
        <v>5</v>
      </c>
      <c r="H7" s="881"/>
      <c r="I7" s="882"/>
      <c r="J7" s="71" t="s">
        <v>6</v>
      </c>
      <c r="K7" s="4" t="s">
        <v>7</v>
      </c>
      <c r="L7" s="4" t="s">
        <v>7</v>
      </c>
      <c r="O7" s="1"/>
      <c r="P7" s="41"/>
      <c r="Q7" s="41"/>
      <c r="R7" s="41"/>
      <c r="S7" s="41"/>
      <c r="T7" s="41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5">
        <v>1</v>
      </c>
      <c r="C8" s="6">
        <v>41802</v>
      </c>
      <c r="D8" s="7" t="s">
        <v>8</v>
      </c>
      <c r="E8" s="8" t="s">
        <v>9</v>
      </c>
      <c r="F8" s="9" t="s">
        <v>10</v>
      </c>
      <c r="G8" s="84">
        <v>2</v>
      </c>
      <c r="H8" s="8" t="s">
        <v>9</v>
      </c>
      <c r="I8" s="192">
        <v>1</v>
      </c>
      <c r="J8" s="10">
        <f t="shared" ref="J8:J55" si="0">IF(I8="","",IF(G8&gt;I8,1,IF(G8&lt;I8,2,3)))</f>
        <v>1</v>
      </c>
      <c r="K8" s="11">
        <f t="shared" ref="K8:K55" si="1">IF(I8="","",IF($G8&gt;$I8,3,IF($G8=$I8,1,0)))</f>
        <v>3</v>
      </c>
      <c r="L8" s="11">
        <f t="shared" ref="L8:L55" si="2">IF(I8="","",IF($G8&lt;$I8,3,IF($G8=$I8,1,0)))</f>
        <v>0</v>
      </c>
      <c r="O8" s="72" t="s">
        <v>41</v>
      </c>
      <c r="P8" s="73" t="s">
        <v>42</v>
      </c>
      <c r="Q8" s="73" t="s">
        <v>43</v>
      </c>
      <c r="R8" s="74" t="s">
        <v>44</v>
      </c>
      <c r="S8" s="75" t="s">
        <v>45</v>
      </c>
      <c r="T8" s="76" t="s">
        <v>46</v>
      </c>
      <c r="U8" s="40"/>
      <c r="V8" s="40"/>
      <c r="W8" s="40"/>
      <c r="Y8" s="109">
        <f>AF8</f>
        <v>6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6</v>
      </c>
      <c r="AG8" s="108">
        <f t="shared" ref="AG8:AG55" si="3">IF(AC8="",0,(IF(G8=AC8,1,0)))</f>
        <v>0</v>
      </c>
      <c r="AH8" s="108">
        <f t="shared" ref="AH8:AH55" si="4">IF(AD8="",0,(IF(I8=AD8,1,0)))</f>
        <v>1</v>
      </c>
      <c r="AI8" s="108">
        <f>IF(AND(AG8=1,AH8=1),10,0)</f>
        <v>0</v>
      </c>
      <c r="AJ8" s="108">
        <f t="shared" ref="AJ8:AJ55" si="5">IF(AND(G8&gt;I8,AC8&gt;AD8),5,0)</f>
        <v>5</v>
      </c>
      <c r="AK8" s="108">
        <f t="shared" ref="AK8:AK55" si="6">IF(AND(G8&lt;I8,AC8&lt;AD8),5,0)</f>
        <v>0</v>
      </c>
      <c r="AL8" s="108">
        <f t="shared" ref="AL8:AL55" si="7">IF(AND(G8=I8,AC8=AD8),5,0)</f>
        <v>0</v>
      </c>
      <c r="AN8" s="42" t="s">
        <v>41</v>
      </c>
      <c r="AO8" s="43" t="s">
        <v>46</v>
      </c>
    </row>
    <row r="9" spans="2:54" ht="15.75" thickBot="1">
      <c r="B9" s="12">
        <v>2</v>
      </c>
      <c r="C9" s="13">
        <v>41803</v>
      </c>
      <c r="D9" s="14" t="s">
        <v>11</v>
      </c>
      <c r="E9" s="15" t="s">
        <v>9</v>
      </c>
      <c r="F9" s="16" t="s">
        <v>12</v>
      </c>
      <c r="G9" s="85">
        <v>0</v>
      </c>
      <c r="H9" s="15" t="s">
        <v>9</v>
      </c>
      <c r="I9" s="90">
        <v>1</v>
      </c>
      <c r="J9" s="17">
        <f t="shared" si="0"/>
        <v>2</v>
      </c>
      <c r="K9" s="11">
        <f t="shared" si="1"/>
        <v>0</v>
      </c>
      <c r="L9" s="11">
        <f t="shared" si="2"/>
        <v>3</v>
      </c>
      <c r="O9" s="44" t="s">
        <v>8</v>
      </c>
      <c r="P9" s="45">
        <f>SUMIF($D$8:$D$55,$O9,$G$8:$G$55)+SUMIF($F$8:$F$55,$O9,$I$8:$I$55)</f>
        <v>6</v>
      </c>
      <c r="Q9" s="45">
        <f>SUMIF($D$8:$D$55,$O9,$I$8:$I$55)+SUMIF($F$8:$F$55,$O9,$G$8:$G$55)</f>
        <v>3</v>
      </c>
      <c r="R9" s="46">
        <f>P9-Q9</f>
        <v>3</v>
      </c>
      <c r="S9" s="47">
        <f>SUMIF($D$8:$D$55,$O9,$K$8:$K$55)+SUMIF($F$8:$F$55,$O9,$L$8:$L$55)</f>
        <v>7</v>
      </c>
      <c r="T9" s="94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0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0</v>
      </c>
      <c r="AG9" s="108">
        <f t="shared" si="3"/>
        <v>0</v>
      </c>
      <c r="AH9" s="108">
        <f t="shared" si="4"/>
        <v>0</v>
      </c>
      <c r="AI9" s="108">
        <f t="shared" ref="AI9:AI55" si="10">IF(AND(AG9=1,AH9=1),10,0)</f>
        <v>0</v>
      </c>
      <c r="AJ9" s="108">
        <f t="shared" si="5"/>
        <v>0</v>
      </c>
      <c r="AK9" s="108">
        <f t="shared" si="6"/>
        <v>0</v>
      </c>
      <c r="AL9" s="108">
        <f t="shared" si="7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18">
        <v>3</v>
      </c>
      <c r="C10" s="19">
        <v>41803</v>
      </c>
      <c r="D10" s="20" t="s">
        <v>13</v>
      </c>
      <c r="E10" s="21" t="s">
        <v>9</v>
      </c>
      <c r="F10" s="22" t="s">
        <v>14</v>
      </c>
      <c r="G10" s="86">
        <v>1</v>
      </c>
      <c r="H10" s="21" t="s">
        <v>9</v>
      </c>
      <c r="I10" s="91">
        <v>1</v>
      </c>
      <c r="J10" s="23">
        <f t="shared" si="0"/>
        <v>3</v>
      </c>
      <c r="K10" s="11">
        <f t="shared" si="1"/>
        <v>1</v>
      </c>
      <c r="L10" s="11">
        <f t="shared" si="2"/>
        <v>1</v>
      </c>
      <c r="O10" s="48" t="s">
        <v>10</v>
      </c>
      <c r="P10" s="49">
        <f>SUMIF($D$8:$D$55,$O10,$G$8:$G$55)+SUMIF($F$8:$F$55,$O10,$I$8:$I$55)</f>
        <v>5</v>
      </c>
      <c r="Q10" s="49">
        <f>SUMIF($D$8:$D$55,$O10,$I$8:$I$55)+SUMIF($F$8:$F$55,$O10,$G$8:$G$55)</f>
        <v>5</v>
      </c>
      <c r="R10" s="49">
        <f>P10-Q10</f>
        <v>0</v>
      </c>
      <c r="S10" s="50">
        <f>SUMIF($D$8:$D$55,$O10,$K$8:$K$55)+SUMIF($F$8:$F$55,$O10,$L$8:$L$55)</f>
        <v>4</v>
      </c>
      <c r="T10" s="95" t="s">
        <v>47</v>
      </c>
      <c r="U10" s="40"/>
      <c r="V10" s="40" t="str">
        <f>O10</f>
        <v>Kroatië</v>
      </c>
      <c r="W10" s="40" t="s">
        <v>49</v>
      </c>
      <c r="Y10" s="109">
        <f t="shared" si="8"/>
        <v>1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1</v>
      </c>
      <c r="AG10" s="108">
        <f t="shared" si="3"/>
        <v>1</v>
      </c>
      <c r="AH10" s="108">
        <f t="shared" si="4"/>
        <v>0</v>
      </c>
      <c r="AI10" s="108">
        <f t="shared" si="10"/>
        <v>0</v>
      </c>
      <c r="AJ10" s="108">
        <f t="shared" si="5"/>
        <v>0</v>
      </c>
      <c r="AK10" s="108">
        <f t="shared" si="6"/>
        <v>0</v>
      </c>
      <c r="AL10" s="108">
        <f t="shared" si="7"/>
        <v>0</v>
      </c>
      <c r="AM10" s="120">
        <f>AO10</f>
        <v>10</v>
      </c>
      <c r="AN10" s="117" t="s">
        <v>10</v>
      </c>
      <c r="AO10" s="115">
        <f>IF(Uitslag!T10="",0,IF(T10=Uitslag!T10,10,0))</f>
        <v>10</v>
      </c>
    </row>
    <row r="11" spans="2:54" ht="15.75" thickBot="1">
      <c r="B11" s="24">
        <v>4</v>
      </c>
      <c r="C11" s="25">
        <v>41803</v>
      </c>
      <c r="D11" s="26" t="s">
        <v>15</v>
      </c>
      <c r="E11" s="27" t="s">
        <v>9</v>
      </c>
      <c r="F11" s="28" t="s">
        <v>16</v>
      </c>
      <c r="G11" s="87">
        <v>0</v>
      </c>
      <c r="H11" s="27" t="s">
        <v>9</v>
      </c>
      <c r="I11" s="92">
        <v>1</v>
      </c>
      <c r="J11" s="29">
        <f t="shared" si="0"/>
        <v>2</v>
      </c>
      <c r="K11" s="11">
        <f t="shared" si="1"/>
        <v>0</v>
      </c>
      <c r="L11" s="11">
        <f t="shared" si="2"/>
        <v>3</v>
      </c>
      <c r="O11" s="48" t="s">
        <v>11</v>
      </c>
      <c r="P11" s="49">
        <f>SUMIF($D$8:$D$55,$O11,$G$8:$G$55)+SUMIF($F$8:$F$55,$O11,$I$8:$I$55)</f>
        <v>1</v>
      </c>
      <c r="Q11" s="49">
        <f>SUMIF($D$8:$D$55,$O11,$I$8:$I$55)+SUMIF($F$8:$F$55,$O11,$G$8:$G$55)</f>
        <v>5</v>
      </c>
      <c r="R11" s="49">
        <f>P11-Q11</f>
        <v>-4</v>
      </c>
      <c r="S11" s="50">
        <f>SUMIF($D$8:$D$55,$O11,$K$8:$K$55)+SUMIF($F$8:$F$55,$O11,$L$8:$L$55)</f>
        <v>0</v>
      </c>
      <c r="T11" s="95" t="s">
        <v>50</v>
      </c>
      <c r="U11" s="40"/>
      <c r="V11" s="40" t="str">
        <f>O11</f>
        <v>Mexico</v>
      </c>
      <c r="W11" s="40" t="s">
        <v>47</v>
      </c>
      <c r="Y11" s="109">
        <f t="shared" si="8"/>
        <v>1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1</v>
      </c>
      <c r="AG11" s="108">
        <f t="shared" si="3"/>
        <v>0</v>
      </c>
      <c r="AH11" s="108">
        <f t="shared" si="4"/>
        <v>1</v>
      </c>
      <c r="AI11" s="108">
        <f t="shared" si="10"/>
        <v>0</v>
      </c>
      <c r="AJ11" s="108">
        <f t="shared" si="5"/>
        <v>0</v>
      </c>
      <c r="AK11" s="108">
        <f t="shared" si="6"/>
        <v>0</v>
      </c>
      <c r="AL11" s="108">
        <f t="shared" si="7"/>
        <v>0</v>
      </c>
      <c r="AM11" s="120">
        <f>AO11</f>
        <v>0</v>
      </c>
      <c r="AN11" s="117" t="s">
        <v>11</v>
      </c>
      <c r="AO11" s="115">
        <f>IF(Uitslag!T11="",0,IF(T11=Uitslag!T11,10,0))</f>
        <v>0</v>
      </c>
    </row>
    <row r="12" spans="2:54" ht="15.75" thickBot="1">
      <c r="B12" s="12">
        <v>5</v>
      </c>
      <c r="C12" s="13">
        <v>41804</v>
      </c>
      <c r="D12" s="14" t="s">
        <v>17</v>
      </c>
      <c r="E12" s="15" t="s">
        <v>9</v>
      </c>
      <c r="F12" s="16" t="s">
        <v>18</v>
      </c>
      <c r="G12" s="85">
        <v>2</v>
      </c>
      <c r="H12" s="15" t="s">
        <v>9</v>
      </c>
      <c r="I12" s="90">
        <v>1</v>
      </c>
      <c r="J12" s="17">
        <f t="shared" si="0"/>
        <v>1</v>
      </c>
      <c r="K12" s="11">
        <f t="shared" si="1"/>
        <v>3</v>
      </c>
      <c r="L12" s="11">
        <f t="shared" si="2"/>
        <v>0</v>
      </c>
      <c r="O12" s="51" t="s">
        <v>12</v>
      </c>
      <c r="P12" s="52">
        <f>SUMIF($D$8:$D$55,$O12,$G$8:$G$55)+SUMIF($F$8:$F$55,$O12,$I$8:$I$55)</f>
        <v>5</v>
      </c>
      <c r="Q12" s="52">
        <f>SUMIF($D$8:$D$55,$O12,$I$8:$I$55)+SUMIF($F$8:$F$55,$O12,$G$8:$G$55)</f>
        <v>4</v>
      </c>
      <c r="R12" s="52">
        <f>P12-Q12</f>
        <v>1</v>
      </c>
      <c r="S12" s="53">
        <f>SUMIF($D$8:$D$55,$O12,$K$8:$K$55)+SUMIF($F$8:$F$55,$O12,$L$8:$L$55)</f>
        <v>5</v>
      </c>
      <c r="T12" s="96" t="s">
        <v>49</v>
      </c>
      <c r="U12" s="40"/>
      <c r="V12" s="40" t="str">
        <f>O12</f>
        <v>Kameroen</v>
      </c>
      <c r="W12" s="40" t="s">
        <v>50</v>
      </c>
      <c r="Y12" s="109">
        <f t="shared" si="8"/>
        <v>5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5</v>
      </c>
      <c r="AG12" s="108">
        <f t="shared" si="3"/>
        <v>0</v>
      </c>
      <c r="AH12" s="108">
        <f t="shared" si="4"/>
        <v>0</v>
      </c>
      <c r="AI12" s="108">
        <f t="shared" si="10"/>
        <v>0</v>
      </c>
      <c r="AJ12" s="108">
        <f t="shared" si="5"/>
        <v>5</v>
      </c>
      <c r="AK12" s="108">
        <f t="shared" si="6"/>
        <v>0</v>
      </c>
      <c r="AL12" s="108">
        <f t="shared" si="7"/>
        <v>0</v>
      </c>
      <c r="AM12" s="120">
        <f>AO12</f>
        <v>0</v>
      </c>
      <c r="AN12" s="118" t="s">
        <v>12</v>
      </c>
      <c r="AO12" s="115">
        <f>IF(Uitslag!T12="",0,IF(T12=Uitslag!T12,10,0))</f>
        <v>0</v>
      </c>
    </row>
    <row r="13" spans="2:54" ht="15.75" thickBot="1">
      <c r="B13" s="18">
        <v>6</v>
      </c>
      <c r="C13" s="19">
        <v>41804</v>
      </c>
      <c r="D13" s="20" t="s">
        <v>19</v>
      </c>
      <c r="E13" s="21" t="s">
        <v>9</v>
      </c>
      <c r="F13" s="30" t="s">
        <v>20</v>
      </c>
      <c r="G13" s="86">
        <v>2</v>
      </c>
      <c r="H13" s="21" t="s">
        <v>9</v>
      </c>
      <c r="I13" s="91">
        <v>2</v>
      </c>
      <c r="J13" s="23">
        <f t="shared" si="0"/>
        <v>3</v>
      </c>
      <c r="K13" s="11">
        <f t="shared" si="1"/>
        <v>1</v>
      </c>
      <c r="L13" s="11">
        <f t="shared" si="2"/>
        <v>1</v>
      </c>
      <c r="O13" s="40"/>
      <c r="P13" s="41"/>
      <c r="Q13" s="41"/>
      <c r="R13" s="41"/>
      <c r="S13" s="41"/>
      <c r="T13" s="41"/>
      <c r="U13" s="40"/>
      <c r="V13" s="40"/>
      <c r="W13" s="40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3"/>
        <v>0</v>
      </c>
      <c r="AH13" s="108">
        <f t="shared" si="4"/>
        <v>0</v>
      </c>
      <c r="AI13" s="108">
        <f t="shared" si="10"/>
        <v>0</v>
      </c>
      <c r="AJ13" s="108">
        <f t="shared" si="5"/>
        <v>0</v>
      </c>
      <c r="AK13" s="108">
        <f t="shared" si="6"/>
        <v>0</v>
      </c>
      <c r="AL13" s="108">
        <f t="shared" si="7"/>
        <v>0</v>
      </c>
      <c r="AN13" s="40"/>
      <c r="AO13" s="41"/>
    </row>
    <row r="14" spans="2:54" ht="15.75" thickBot="1">
      <c r="B14" s="18">
        <v>7</v>
      </c>
      <c r="C14" s="19">
        <v>41804</v>
      </c>
      <c r="D14" s="20" t="s">
        <v>21</v>
      </c>
      <c r="E14" s="21" t="s">
        <v>9</v>
      </c>
      <c r="F14" s="30" t="s">
        <v>22</v>
      </c>
      <c r="G14" s="86">
        <v>1</v>
      </c>
      <c r="H14" s="21" t="s">
        <v>9</v>
      </c>
      <c r="I14" s="91">
        <v>1</v>
      </c>
      <c r="J14" s="23">
        <f t="shared" si="0"/>
        <v>3</v>
      </c>
      <c r="K14" s="11">
        <f t="shared" si="1"/>
        <v>1</v>
      </c>
      <c r="L14" s="11">
        <f t="shared" si="2"/>
        <v>1</v>
      </c>
      <c r="O14" s="72" t="s">
        <v>51</v>
      </c>
      <c r="P14" s="73" t="s">
        <v>42</v>
      </c>
      <c r="Q14" s="73" t="s">
        <v>43</v>
      </c>
      <c r="R14" s="74" t="s">
        <v>44</v>
      </c>
      <c r="S14" s="75" t="s">
        <v>45</v>
      </c>
      <c r="T14" s="76" t="s">
        <v>46</v>
      </c>
      <c r="U14" s="40"/>
      <c r="V14" s="40"/>
      <c r="W14" s="40"/>
      <c r="Y14" s="109">
        <f t="shared" si="8"/>
        <v>1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</v>
      </c>
      <c r="AG14" s="108">
        <f t="shared" si="3"/>
        <v>1</v>
      </c>
      <c r="AH14" s="108">
        <f t="shared" si="4"/>
        <v>0</v>
      </c>
      <c r="AI14" s="108">
        <f t="shared" si="10"/>
        <v>0</v>
      </c>
      <c r="AJ14" s="108">
        <f t="shared" si="5"/>
        <v>0</v>
      </c>
      <c r="AK14" s="108">
        <f t="shared" si="6"/>
        <v>0</v>
      </c>
      <c r="AL14" s="108">
        <f t="shared" si="7"/>
        <v>0</v>
      </c>
      <c r="AN14" s="42" t="s">
        <v>51</v>
      </c>
      <c r="AO14" s="43" t="s">
        <v>46</v>
      </c>
    </row>
    <row r="15" spans="2:54" ht="15.75" thickBot="1">
      <c r="B15" s="24">
        <v>8</v>
      </c>
      <c r="C15" s="25">
        <v>41804</v>
      </c>
      <c r="D15" s="26" t="s">
        <v>23</v>
      </c>
      <c r="E15" s="27" t="s">
        <v>9</v>
      </c>
      <c r="F15" s="28" t="s">
        <v>24</v>
      </c>
      <c r="G15" s="87">
        <v>3</v>
      </c>
      <c r="H15" s="27" t="s">
        <v>9</v>
      </c>
      <c r="I15" s="92">
        <v>0</v>
      </c>
      <c r="J15" s="29">
        <f t="shared" si="0"/>
        <v>1</v>
      </c>
      <c r="K15" s="11">
        <f t="shared" si="1"/>
        <v>3</v>
      </c>
      <c r="L15" s="11">
        <f t="shared" si="2"/>
        <v>0</v>
      </c>
      <c r="O15" s="44" t="s">
        <v>13</v>
      </c>
      <c r="P15" s="45">
        <f>SUMIF($D$8:$D$55,$O15,$G$8:$G$55)+SUMIF($F$8:$F$55,$O15,$I$8:$I$55)</f>
        <v>7</v>
      </c>
      <c r="Q15" s="45">
        <f>SUMIF($D$8:$D$55,$O15,$I$8:$I$55)+SUMIF($F$8:$F$55,$O15,$G$8:$G$55)</f>
        <v>3</v>
      </c>
      <c r="R15" s="46">
        <f>P15-Q15</f>
        <v>4</v>
      </c>
      <c r="S15" s="47">
        <f>SUMIF($D$8:$D$55,$O15,$K$8:$K$55)+SUMIF($F$8:$F$55,$O15,$L$8:$L$55)</f>
        <v>7</v>
      </c>
      <c r="T15" s="94" t="s">
        <v>52</v>
      </c>
      <c r="U15" s="40"/>
      <c r="V15" s="40" t="str">
        <f>O15</f>
        <v>Spanje</v>
      </c>
      <c r="W15" s="40" t="s">
        <v>52</v>
      </c>
      <c r="Y15" s="109">
        <f t="shared" si="8"/>
        <v>5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5</v>
      </c>
      <c r="AG15" s="108">
        <f t="shared" si="3"/>
        <v>0</v>
      </c>
      <c r="AH15" s="108">
        <f t="shared" si="4"/>
        <v>0</v>
      </c>
      <c r="AI15" s="108">
        <f t="shared" si="10"/>
        <v>0</v>
      </c>
      <c r="AJ15" s="108">
        <f t="shared" si="5"/>
        <v>5</v>
      </c>
      <c r="AK15" s="108">
        <f t="shared" si="6"/>
        <v>0</v>
      </c>
      <c r="AL15" s="108">
        <f t="shared" si="7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12">
        <v>9</v>
      </c>
      <c r="C16" s="13">
        <v>41805</v>
      </c>
      <c r="D16" s="14" t="s">
        <v>25</v>
      </c>
      <c r="E16" s="15" t="s">
        <v>9</v>
      </c>
      <c r="F16" s="16" t="s">
        <v>26</v>
      </c>
      <c r="G16" s="85">
        <v>1</v>
      </c>
      <c r="H16" s="15" t="s">
        <v>9</v>
      </c>
      <c r="I16" s="90">
        <v>2</v>
      </c>
      <c r="J16" s="17">
        <f t="shared" si="0"/>
        <v>2</v>
      </c>
      <c r="K16" s="11">
        <f t="shared" si="1"/>
        <v>0</v>
      </c>
      <c r="L16" s="11">
        <f t="shared" si="2"/>
        <v>3</v>
      </c>
      <c r="O16" s="54" t="s">
        <v>14</v>
      </c>
      <c r="P16" s="49">
        <f>SUMIF($D$8:$D$55,$O16,$G$8:$G$55)+SUMIF($F$8:$F$55,$O16,$I$8:$I$55)</f>
        <v>5</v>
      </c>
      <c r="Q16" s="49">
        <f>SUMIF($D$8:$D$55,$O16,$I$8:$I$55)+SUMIF($F$8:$F$55,$O16,$G$8:$G$55)</f>
        <v>3</v>
      </c>
      <c r="R16" s="49">
        <f>P16-Q16</f>
        <v>2</v>
      </c>
      <c r="S16" s="50">
        <f>SUMIF($D$8:$D$55,$O16,$K$8:$K$55)+SUMIF($F$8:$F$55,$O16,$L$8:$L$55)</f>
        <v>7</v>
      </c>
      <c r="T16" s="95" t="s">
        <v>53</v>
      </c>
      <c r="U16" s="40"/>
      <c r="V16" s="40" t="str">
        <f>O16</f>
        <v>Nederland</v>
      </c>
      <c r="W16" s="40" t="s">
        <v>53</v>
      </c>
      <c r="Y16" s="109">
        <f t="shared" si="8"/>
        <v>0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0</v>
      </c>
      <c r="AG16" s="108">
        <f t="shared" si="3"/>
        <v>0</v>
      </c>
      <c r="AH16" s="108">
        <f t="shared" si="4"/>
        <v>0</v>
      </c>
      <c r="AI16" s="108">
        <f t="shared" si="10"/>
        <v>0</v>
      </c>
      <c r="AJ16" s="108">
        <f t="shared" si="5"/>
        <v>0</v>
      </c>
      <c r="AK16" s="108">
        <f t="shared" si="6"/>
        <v>0</v>
      </c>
      <c r="AL16" s="108">
        <f t="shared" si="7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18">
        <v>10</v>
      </c>
      <c r="C17" s="19">
        <v>41805</v>
      </c>
      <c r="D17" s="20" t="s">
        <v>27</v>
      </c>
      <c r="E17" s="21" t="s">
        <v>9</v>
      </c>
      <c r="F17" s="30" t="s">
        <v>28</v>
      </c>
      <c r="G17" s="86">
        <v>2</v>
      </c>
      <c r="H17" s="21" t="s">
        <v>9</v>
      </c>
      <c r="I17" s="91">
        <v>0</v>
      </c>
      <c r="J17" s="23">
        <f t="shared" si="0"/>
        <v>1</v>
      </c>
      <c r="K17" s="11">
        <f t="shared" si="1"/>
        <v>3</v>
      </c>
      <c r="L17" s="11">
        <f t="shared" si="2"/>
        <v>0</v>
      </c>
      <c r="O17" s="48" t="s">
        <v>15</v>
      </c>
      <c r="P17" s="49">
        <f>SUMIF($D$8:$D$55,$O17,$G$8:$G$55)+SUMIF($F$8:$F$55,$O17,$I$8:$I$55)</f>
        <v>1</v>
      </c>
      <c r="Q17" s="49">
        <f>SUMIF($D$8:$D$55,$O17,$I$8:$I$55)+SUMIF($F$8:$F$55,$O17,$G$8:$G$55)</f>
        <v>6</v>
      </c>
      <c r="R17" s="49">
        <f>P17-Q17</f>
        <v>-5</v>
      </c>
      <c r="S17" s="50">
        <f>SUMIF($D$8:$D$55,$O17,$K$8:$K$55)+SUMIF($F$8:$F$55,$O17,$L$8:$L$55)</f>
        <v>0</v>
      </c>
      <c r="T17" s="95" t="s">
        <v>55</v>
      </c>
      <c r="U17" s="40"/>
      <c r="V17" s="40" t="str">
        <f>O17</f>
        <v>Chili</v>
      </c>
      <c r="W17" s="40" t="s">
        <v>54</v>
      </c>
      <c r="Y17" s="109">
        <f t="shared" si="8"/>
        <v>6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6</v>
      </c>
      <c r="AG17" s="108">
        <f t="shared" si="3"/>
        <v>0</v>
      </c>
      <c r="AH17" s="108">
        <f t="shared" si="4"/>
        <v>1</v>
      </c>
      <c r="AI17" s="108">
        <f t="shared" si="10"/>
        <v>0</v>
      </c>
      <c r="AJ17" s="108">
        <f t="shared" si="5"/>
        <v>5</v>
      </c>
      <c r="AK17" s="108">
        <f t="shared" si="6"/>
        <v>0</v>
      </c>
      <c r="AL17" s="108">
        <f t="shared" si="7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24">
        <v>11</v>
      </c>
      <c r="C18" s="25">
        <v>41805</v>
      </c>
      <c r="D18" s="26" t="s">
        <v>29</v>
      </c>
      <c r="E18" s="27" t="s">
        <v>9</v>
      </c>
      <c r="F18" s="28" t="s">
        <v>30</v>
      </c>
      <c r="G18" s="87">
        <v>2</v>
      </c>
      <c r="H18" s="27" t="s">
        <v>9</v>
      </c>
      <c r="I18" s="92">
        <v>0</v>
      </c>
      <c r="J18" s="29">
        <f t="shared" si="0"/>
        <v>1</v>
      </c>
      <c r="K18" s="11">
        <f t="shared" si="1"/>
        <v>3</v>
      </c>
      <c r="L18" s="11">
        <f t="shared" si="2"/>
        <v>0</v>
      </c>
      <c r="O18" s="51" t="s">
        <v>16</v>
      </c>
      <c r="P18" s="52">
        <f>SUMIF($D$8:$D$55,$O18,$G$8:$G$55)+SUMIF($F$8:$F$55,$O18,$I$8:$I$55)</f>
        <v>4</v>
      </c>
      <c r="Q18" s="52">
        <f>SUMIF($D$8:$D$55,$O18,$I$8:$I$55)+SUMIF($F$8:$F$55,$O18,$G$8:$G$55)</f>
        <v>5</v>
      </c>
      <c r="R18" s="52">
        <f>P18-Q18</f>
        <v>-1</v>
      </c>
      <c r="S18" s="53">
        <f>SUMIF($D$8:$D$55,$O18,$K$8:$K$55)+SUMIF($F$8:$F$55,$O18,$L$8:$L$55)</f>
        <v>3</v>
      </c>
      <c r="T18" s="96" t="s">
        <v>54</v>
      </c>
      <c r="U18" s="40"/>
      <c r="V18" s="40" t="str">
        <f>O18</f>
        <v>Australië</v>
      </c>
      <c r="W18" s="40" t="s">
        <v>55</v>
      </c>
      <c r="Y18" s="109">
        <f t="shared" si="8"/>
        <v>6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6</v>
      </c>
      <c r="AG18" s="108">
        <f t="shared" si="3"/>
        <v>1</v>
      </c>
      <c r="AH18" s="108">
        <f t="shared" si="4"/>
        <v>0</v>
      </c>
      <c r="AI18" s="108">
        <f t="shared" si="10"/>
        <v>0</v>
      </c>
      <c r="AJ18" s="108">
        <f t="shared" si="5"/>
        <v>5</v>
      </c>
      <c r="AK18" s="108">
        <f t="shared" si="6"/>
        <v>0</v>
      </c>
      <c r="AL18" s="108">
        <f t="shared" si="7"/>
        <v>0</v>
      </c>
      <c r="AM18" s="120">
        <f>AO18</f>
        <v>0</v>
      </c>
      <c r="AN18" s="118" t="s">
        <v>16</v>
      </c>
      <c r="AO18" s="115">
        <f>IF(Uitslag!T18="",0,IF(T18=Uitslag!T18,10,0))</f>
        <v>0</v>
      </c>
    </row>
    <row r="19" spans="2:41" ht="15.75" thickBot="1">
      <c r="B19" s="12">
        <v>12</v>
      </c>
      <c r="C19" s="13">
        <v>41806</v>
      </c>
      <c r="D19" s="14" t="s">
        <v>31</v>
      </c>
      <c r="E19" s="15" t="s">
        <v>9</v>
      </c>
      <c r="F19" s="16" t="s">
        <v>32</v>
      </c>
      <c r="G19" s="85">
        <v>2</v>
      </c>
      <c r="H19" s="15" t="s">
        <v>9</v>
      </c>
      <c r="I19" s="90">
        <v>2</v>
      </c>
      <c r="J19" s="17">
        <f t="shared" si="0"/>
        <v>3</v>
      </c>
      <c r="K19" s="11">
        <f t="shared" si="1"/>
        <v>1</v>
      </c>
      <c r="L19" s="11">
        <f t="shared" si="2"/>
        <v>1</v>
      </c>
      <c r="O19" s="40"/>
      <c r="P19" s="41"/>
      <c r="Q19" s="41"/>
      <c r="R19" s="41"/>
      <c r="S19" s="41"/>
      <c r="T19" s="41"/>
      <c r="U19" s="40"/>
      <c r="V19" s="40"/>
      <c r="W19" s="40"/>
      <c r="Y19" s="109">
        <f t="shared" si="8"/>
        <v>0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0</v>
      </c>
      <c r="AG19" s="108">
        <f t="shared" si="3"/>
        <v>0</v>
      </c>
      <c r="AH19" s="108">
        <f t="shared" si="4"/>
        <v>0</v>
      </c>
      <c r="AI19" s="108">
        <f t="shared" si="10"/>
        <v>0</v>
      </c>
      <c r="AJ19" s="108">
        <f t="shared" si="5"/>
        <v>0</v>
      </c>
      <c r="AK19" s="108">
        <f t="shared" si="6"/>
        <v>0</v>
      </c>
      <c r="AL19" s="108">
        <f t="shared" si="7"/>
        <v>0</v>
      </c>
      <c r="AN19" s="40"/>
      <c r="AO19" s="41"/>
    </row>
    <row r="20" spans="2:41" ht="15.75" thickBot="1">
      <c r="B20" s="18">
        <v>13</v>
      </c>
      <c r="C20" s="19">
        <v>41806</v>
      </c>
      <c r="D20" s="20" t="s">
        <v>33</v>
      </c>
      <c r="E20" s="21" t="s">
        <v>9</v>
      </c>
      <c r="F20" s="30" t="s">
        <v>34</v>
      </c>
      <c r="G20" s="86">
        <v>0</v>
      </c>
      <c r="H20" s="21" t="s">
        <v>9</v>
      </c>
      <c r="I20" s="91">
        <v>2</v>
      </c>
      <c r="J20" s="23">
        <f t="shared" si="0"/>
        <v>2</v>
      </c>
      <c r="K20" s="11">
        <f t="shared" si="1"/>
        <v>0</v>
      </c>
      <c r="L20" s="11">
        <f t="shared" si="2"/>
        <v>3</v>
      </c>
      <c r="O20" s="72" t="s">
        <v>56</v>
      </c>
      <c r="P20" s="73" t="s">
        <v>42</v>
      </c>
      <c r="Q20" s="73" t="s">
        <v>43</v>
      </c>
      <c r="R20" s="74" t="s">
        <v>44</v>
      </c>
      <c r="S20" s="75" t="s">
        <v>45</v>
      </c>
      <c r="T20" s="76" t="s">
        <v>46</v>
      </c>
      <c r="U20" s="40"/>
      <c r="V20" s="40"/>
      <c r="W20" s="40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3"/>
        <v>1</v>
      </c>
      <c r="AH20" s="108">
        <f t="shared" si="4"/>
        <v>0</v>
      </c>
      <c r="AI20" s="108">
        <f t="shared" si="10"/>
        <v>0</v>
      </c>
      <c r="AJ20" s="108">
        <f t="shared" si="5"/>
        <v>0</v>
      </c>
      <c r="AK20" s="108">
        <f t="shared" si="6"/>
        <v>0</v>
      </c>
      <c r="AL20" s="108">
        <f t="shared" si="7"/>
        <v>0</v>
      </c>
      <c r="AN20" s="42" t="s">
        <v>56</v>
      </c>
      <c r="AO20" s="43" t="s">
        <v>46</v>
      </c>
    </row>
    <row r="21" spans="2:41" ht="15.75" thickBot="1">
      <c r="B21" s="24">
        <v>14</v>
      </c>
      <c r="C21" s="25">
        <v>41806</v>
      </c>
      <c r="D21" s="26" t="s">
        <v>35</v>
      </c>
      <c r="E21" s="27" t="s">
        <v>9</v>
      </c>
      <c r="F21" s="28" t="s">
        <v>36</v>
      </c>
      <c r="G21" s="87">
        <v>1</v>
      </c>
      <c r="H21" s="27" t="s">
        <v>9</v>
      </c>
      <c r="I21" s="92">
        <v>0</v>
      </c>
      <c r="J21" s="29">
        <f t="shared" si="0"/>
        <v>1</v>
      </c>
      <c r="K21" s="11">
        <f t="shared" si="1"/>
        <v>3</v>
      </c>
      <c r="L21" s="11">
        <f t="shared" si="2"/>
        <v>0</v>
      </c>
      <c r="O21" s="44" t="s">
        <v>17</v>
      </c>
      <c r="P21" s="45">
        <f>SUMIF($D$8:$D$55,$O21,$G$8:$G$55)+SUMIF($F$8:$F$55,$O21,$I$8:$I$55)</f>
        <v>4</v>
      </c>
      <c r="Q21" s="45">
        <f>SUMIF($D$8:$D$55,$O21,$I$8:$I$55)+SUMIF($F$8:$F$55,$O21,$G$8:$G$55)</f>
        <v>3</v>
      </c>
      <c r="R21" s="46">
        <f>P21-Q21</f>
        <v>1</v>
      </c>
      <c r="S21" s="47">
        <f>SUMIF($D$8:$D$55,$O21,$K$8:$K$55)+SUMIF($F$8:$F$55,$O21,$L$8:$L$55)</f>
        <v>6</v>
      </c>
      <c r="T21" s="94" t="s">
        <v>58</v>
      </c>
      <c r="U21" s="40"/>
      <c r="V21" s="40" t="str">
        <f>O21</f>
        <v>Colombia</v>
      </c>
      <c r="W21" s="40" t="s">
        <v>57</v>
      </c>
      <c r="Y21" s="109">
        <f t="shared" si="8"/>
        <v>1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1</v>
      </c>
      <c r="AG21" s="108">
        <f t="shared" si="3"/>
        <v>1</v>
      </c>
      <c r="AH21" s="108">
        <f t="shared" si="4"/>
        <v>0</v>
      </c>
      <c r="AI21" s="108">
        <f t="shared" si="10"/>
        <v>0</v>
      </c>
      <c r="AJ21" s="108">
        <f t="shared" si="5"/>
        <v>0</v>
      </c>
      <c r="AK21" s="108">
        <f t="shared" si="6"/>
        <v>0</v>
      </c>
      <c r="AL21" s="108">
        <f t="shared" si="7"/>
        <v>0</v>
      </c>
      <c r="AM21" s="120">
        <f>AO21</f>
        <v>0</v>
      </c>
      <c r="AN21" s="116" t="s">
        <v>17</v>
      </c>
      <c r="AO21" s="115">
        <f>IF(Uitslag!T21="",0,IF(T21=Uitslag!T21,10,0))</f>
        <v>0</v>
      </c>
    </row>
    <row r="22" spans="2:41" ht="15.75" thickBot="1">
      <c r="B22" s="12">
        <v>15</v>
      </c>
      <c r="C22" s="13">
        <v>41807</v>
      </c>
      <c r="D22" s="14" t="s">
        <v>37</v>
      </c>
      <c r="E22" s="15" t="s">
        <v>9</v>
      </c>
      <c r="F22" s="16" t="s">
        <v>38</v>
      </c>
      <c r="G22" s="85">
        <v>1</v>
      </c>
      <c r="H22" s="15" t="s">
        <v>9</v>
      </c>
      <c r="I22" s="90">
        <v>0</v>
      </c>
      <c r="J22" s="17">
        <f t="shared" si="0"/>
        <v>1</v>
      </c>
      <c r="K22" s="11">
        <f t="shared" si="1"/>
        <v>3</v>
      </c>
      <c r="L22" s="11">
        <f t="shared" si="2"/>
        <v>0</v>
      </c>
      <c r="O22" s="48" t="s">
        <v>18</v>
      </c>
      <c r="P22" s="49">
        <f>SUMIF($D$8:$D$55,$O22,$G$8:$G$55)+SUMIF($F$8:$F$55,$O22,$I$8:$I$55)</f>
        <v>2</v>
      </c>
      <c r="Q22" s="49">
        <f>SUMIF($D$8:$D$55,$O22,$I$8:$I$55)+SUMIF($F$8:$F$55,$O22,$G$8:$G$55)</f>
        <v>5</v>
      </c>
      <c r="R22" s="49">
        <f>P22-Q22</f>
        <v>-3</v>
      </c>
      <c r="S22" s="50">
        <f>SUMIF($D$8:$D$55,$O22,$K$8:$K$55)+SUMIF($F$8:$F$55,$O22,$L$8:$L$55)</f>
        <v>1</v>
      </c>
      <c r="T22" s="95" t="s">
        <v>59</v>
      </c>
      <c r="U22" s="40"/>
      <c r="V22" s="40" t="str">
        <f>O22</f>
        <v>Griekenland</v>
      </c>
      <c r="W22" s="40" t="s">
        <v>58</v>
      </c>
      <c r="Y22" s="109">
        <f t="shared" si="8"/>
        <v>5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5</v>
      </c>
      <c r="AG22" s="108">
        <f t="shared" si="3"/>
        <v>0</v>
      </c>
      <c r="AH22" s="108">
        <f t="shared" si="4"/>
        <v>0</v>
      </c>
      <c r="AI22" s="108">
        <f t="shared" si="10"/>
        <v>0</v>
      </c>
      <c r="AJ22" s="108">
        <f t="shared" si="5"/>
        <v>5</v>
      </c>
      <c r="AK22" s="108">
        <f t="shared" si="6"/>
        <v>0</v>
      </c>
      <c r="AL22" s="108">
        <f t="shared" si="7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18">
        <v>16</v>
      </c>
      <c r="C23" s="19">
        <v>41807</v>
      </c>
      <c r="D23" s="20" t="s">
        <v>8</v>
      </c>
      <c r="E23" s="21" t="s">
        <v>9</v>
      </c>
      <c r="F23" s="30" t="s">
        <v>11</v>
      </c>
      <c r="G23" s="86">
        <v>2</v>
      </c>
      <c r="H23" s="21" t="s">
        <v>9</v>
      </c>
      <c r="I23" s="91">
        <v>0</v>
      </c>
      <c r="J23" s="23">
        <f t="shared" si="0"/>
        <v>1</v>
      </c>
      <c r="K23" s="11">
        <f t="shared" si="1"/>
        <v>3</v>
      </c>
      <c r="L23" s="11">
        <f t="shared" si="2"/>
        <v>0</v>
      </c>
      <c r="O23" s="48" t="s">
        <v>23</v>
      </c>
      <c r="P23" s="49">
        <f>SUMIF($D$8:$D$55,$O23,$G$8:$G$55)+SUMIF($F$8:$F$55,$O23,$I$8:$I$55)</f>
        <v>8</v>
      </c>
      <c r="Q23" s="49">
        <f>SUMIF($D$8:$D$55,$O23,$I$8:$I$55)+SUMIF($F$8:$F$55,$O23,$G$8:$G$55)</f>
        <v>2</v>
      </c>
      <c r="R23" s="49">
        <f>P23-Q23</f>
        <v>6</v>
      </c>
      <c r="S23" s="50">
        <f>SUMIF($D$8:$D$55,$O23,$K$8:$K$55)+SUMIF($F$8:$F$55,$O23,$L$8:$L$55)</f>
        <v>9</v>
      </c>
      <c r="T23" s="95" t="s">
        <v>57</v>
      </c>
      <c r="U23" s="40"/>
      <c r="V23" s="40" t="str">
        <f>O23</f>
        <v>Ivoorkust</v>
      </c>
      <c r="W23" s="40" t="s">
        <v>59</v>
      </c>
      <c r="Y23" s="109">
        <f t="shared" si="8"/>
        <v>1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1</v>
      </c>
      <c r="AG23" s="108">
        <f t="shared" si="3"/>
        <v>0</v>
      </c>
      <c r="AH23" s="108">
        <f t="shared" si="4"/>
        <v>1</v>
      </c>
      <c r="AI23" s="108">
        <f t="shared" si="10"/>
        <v>0</v>
      </c>
      <c r="AJ23" s="108">
        <f t="shared" si="5"/>
        <v>0</v>
      </c>
      <c r="AK23" s="108">
        <f t="shared" si="6"/>
        <v>0</v>
      </c>
      <c r="AL23" s="108">
        <f t="shared" si="7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24">
        <v>17</v>
      </c>
      <c r="C24" s="25">
        <v>41807</v>
      </c>
      <c r="D24" s="26" t="s">
        <v>39</v>
      </c>
      <c r="E24" s="27" t="s">
        <v>9</v>
      </c>
      <c r="F24" s="28" t="s">
        <v>40</v>
      </c>
      <c r="G24" s="87">
        <v>2</v>
      </c>
      <c r="H24" s="27" t="s">
        <v>9</v>
      </c>
      <c r="I24" s="92">
        <v>1</v>
      </c>
      <c r="J24" s="29">
        <f t="shared" si="0"/>
        <v>1</v>
      </c>
      <c r="K24" s="11">
        <f t="shared" si="1"/>
        <v>3</v>
      </c>
      <c r="L24" s="11">
        <f t="shared" si="2"/>
        <v>0</v>
      </c>
      <c r="O24" s="51" t="s">
        <v>24</v>
      </c>
      <c r="P24" s="52">
        <f>SUMIF($D$8:$D$55,$O24,$G$8:$G$55)+SUMIF($F$8:$F$55,$O24,$I$8:$I$55)</f>
        <v>0</v>
      </c>
      <c r="Q24" s="52">
        <f>SUMIF($D$8:$D$55,$O24,$I$8:$I$55)+SUMIF($F$8:$F$55,$O24,$G$8:$G$55)</f>
        <v>4</v>
      </c>
      <c r="R24" s="52">
        <f>P24-Q24</f>
        <v>-4</v>
      </c>
      <c r="S24" s="53">
        <f>SUMIF($D$8:$D$55,$O24,$K$8:$K$55)+SUMIF($F$8:$F$55,$O24,$L$8:$L$55)</f>
        <v>1</v>
      </c>
      <c r="T24" s="96" t="s">
        <v>60</v>
      </c>
      <c r="U24" s="40"/>
      <c r="V24" s="40" t="str">
        <f>O24</f>
        <v>Japan</v>
      </c>
      <c r="W24" s="40" t="s">
        <v>60</v>
      </c>
      <c r="Y24" s="109">
        <f t="shared" si="8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</v>
      </c>
      <c r="AG24" s="108">
        <f t="shared" si="3"/>
        <v>0</v>
      </c>
      <c r="AH24" s="108">
        <f t="shared" si="4"/>
        <v>1</v>
      </c>
      <c r="AI24" s="108">
        <f t="shared" si="10"/>
        <v>0</v>
      </c>
      <c r="AJ24" s="108">
        <f t="shared" si="5"/>
        <v>0</v>
      </c>
      <c r="AK24" s="108">
        <f t="shared" si="6"/>
        <v>0</v>
      </c>
      <c r="AL24" s="108">
        <f t="shared" si="7"/>
        <v>0</v>
      </c>
      <c r="AM24" s="120">
        <f>AO24</f>
        <v>10</v>
      </c>
      <c r="AN24" s="118" t="s">
        <v>24</v>
      </c>
      <c r="AO24" s="115">
        <f>IF(Uitslag!T24="",0,IF(T24=Uitslag!T24,10,0))</f>
        <v>10</v>
      </c>
    </row>
    <row r="25" spans="2:41" ht="15.75" thickBot="1">
      <c r="B25" s="12">
        <v>18</v>
      </c>
      <c r="C25" s="13">
        <v>41808</v>
      </c>
      <c r="D25" s="14" t="s">
        <v>16</v>
      </c>
      <c r="E25" s="15" t="s">
        <v>9</v>
      </c>
      <c r="F25" s="31" t="s">
        <v>14</v>
      </c>
      <c r="G25" s="85">
        <v>1</v>
      </c>
      <c r="H25" s="15" t="s">
        <v>9</v>
      </c>
      <c r="I25" s="90">
        <v>2</v>
      </c>
      <c r="J25" s="17">
        <f t="shared" si="0"/>
        <v>2</v>
      </c>
      <c r="K25" s="11">
        <f t="shared" si="1"/>
        <v>0</v>
      </c>
      <c r="L25" s="11">
        <f t="shared" si="2"/>
        <v>3</v>
      </c>
      <c r="O25" s="40"/>
      <c r="P25" s="41"/>
      <c r="Q25" s="41"/>
      <c r="R25" s="41"/>
      <c r="S25" s="41"/>
      <c r="T25" s="41"/>
      <c r="U25" s="40"/>
      <c r="V25" s="40"/>
      <c r="W25" s="40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3"/>
        <v>0</v>
      </c>
      <c r="AH25" s="108">
        <f t="shared" si="4"/>
        <v>0</v>
      </c>
      <c r="AI25" s="108">
        <f t="shared" si="10"/>
        <v>0</v>
      </c>
      <c r="AJ25" s="108">
        <f t="shared" si="5"/>
        <v>0</v>
      </c>
      <c r="AK25" s="108">
        <f t="shared" si="6"/>
        <v>5</v>
      </c>
      <c r="AL25" s="108">
        <f t="shared" si="7"/>
        <v>0</v>
      </c>
      <c r="AN25" s="40"/>
      <c r="AO25" s="41"/>
    </row>
    <row r="26" spans="2:41" ht="15.75" thickBot="1">
      <c r="B26" s="18">
        <v>19</v>
      </c>
      <c r="C26" s="19">
        <v>41808</v>
      </c>
      <c r="D26" s="20" t="s">
        <v>13</v>
      </c>
      <c r="E26" s="21" t="s">
        <v>9</v>
      </c>
      <c r="F26" s="30" t="s">
        <v>15</v>
      </c>
      <c r="G26" s="86">
        <v>3</v>
      </c>
      <c r="H26" s="21" t="s">
        <v>9</v>
      </c>
      <c r="I26" s="91">
        <v>0</v>
      </c>
      <c r="J26" s="23">
        <f t="shared" si="0"/>
        <v>1</v>
      </c>
      <c r="K26" s="11">
        <f t="shared" si="1"/>
        <v>3</v>
      </c>
      <c r="L26" s="11">
        <f t="shared" si="2"/>
        <v>0</v>
      </c>
      <c r="O26" s="72" t="s">
        <v>61</v>
      </c>
      <c r="P26" s="73" t="s">
        <v>42</v>
      </c>
      <c r="Q26" s="73" t="s">
        <v>43</v>
      </c>
      <c r="R26" s="74" t="s">
        <v>44</v>
      </c>
      <c r="S26" s="75" t="s">
        <v>45</v>
      </c>
      <c r="T26" s="76" t="s">
        <v>46</v>
      </c>
      <c r="U26" s="40"/>
      <c r="V26" s="40"/>
      <c r="W26" s="40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3"/>
        <v>0</v>
      </c>
      <c r="AH26" s="108">
        <f t="shared" si="4"/>
        <v>0</v>
      </c>
      <c r="AI26" s="108">
        <f t="shared" si="10"/>
        <v>0</v>
      </c>
      <c r="AJ26" s="108">
        <f t="shared" si="5"/>
        <v>0</v>
      </c>
      <c r="AK26" s="108">
        <f t="shared" si="6"/>
        <v>0</v>
      </c>
      <c r="AL26" s="108">
        <f t="shared" si="7"/>
        <v>0</v>
      </c>
      <c r="AN26" s="42" t="s">
        <v>61</v>
      </c>
      <c r="AO26" s="43" t="s">
        <v>46</v>
      </c>
    </row>
    <row r="27" spans="2:41" ht="15.75" thickBot="1">
      <c r="B27" s="24">
        <v>20</v>
      </c>
      <c r="C27" s="25">
        <v>41808</v>
      </c>
      <c r="D27" s="26" t="s">
        <v>12</v>
      </c>
      <c r="E27" s="27" t="s">
        <v>9</v>
      </c>
      <c r="F27" s="28" t="s">
        <v>10</v>
      </c>
      <c r="G27" s="87">
        <v>2</v>
      </c>
      <c r="H27" s="27" t="s">
        <v>9</v>
      </c>
      <c r="I27" s="92">
        <v>2</v>
      </c>
      <c r="J27" s="29">
        <f t="shared" si="0"/>
        <v>3</v>
      </c>
      <c r="K27" s="11">
        <f t="shared" si="1"/>
        <v>1</v>
      </c>
      <c r="L27" s="11">
        <f t="shared" si="2"/>
        <v>1</v>
      </c>
      <c r="O27" s="44" t="s">
        <v>19</v>
      </c>
      <c r="P27" s="45">
        <f>SUMIF($D$8:$D$55,$O27,$G$8:$G$55)+SUMIF($F$8:$F$55,$O27,$I$8:$I$55)</f>
        <v>3</v>
      </c>
      <c r="Q27" s="45">
        <f>SUMIF($D$8:$D$55,$O27,$I$8:$I$55)+SUMIF($F$8:$F$55,$O27,$G$8:$G$55)</f>
        <v>6</v>
      </c>
      <c r="R27" s="46">
        <f>P27-Q27</f>
        <v>-3</v>
      </c>
      <c r="S27" s="47">
        <f>SUMIF($D$8:$D$55,$O27,$K$8:$K$55)+SUMIF($F$8:$F$55,$O27,$L$8:$L$55)</f>
        <v>1</v>
      </c>
      <c r="T27" s="94" t="s">
        <v>64</v>
      </c>
      <c r="U27" s="40"/>
      <c r="V27" s="40" t="str">
        <f>O27</f>
        <v>Uruguay</v>
      </c>
      <c r="W27" s="40" t="s">
        <v>62</v>
      </c>
      <c r="Y27" s="109">
        <f t="shared" si="8"/>
        <v>0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0</v>
      </c>
      <c r="AG27" s="108">
        <f t="shared" si="3"/>
        <v>0</v>
      </c>
      <c r="AH27" s="108">
        <f t="shared" si="4"/>
        <v>0</v>
      </c>
      <c r="AI27" s="108">
        <f t="shared" si="10"/>
        <v>0</v>
      </c>
      <c r="AJ27" s="108">
        <f t="shared" si="5"/>
        <v>0</v>
      </c>
      <c r="AK27" s="108">
        <f t="shared" si="6"/>
        <v>0</v>
      </c>
      <c r="AL27" s="108">
        <f t="shared" si="7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12">
        <v>21</v>
      </c>
      <c r="C28" s="13">
        <v>41809</v>
      </c>
      <c r="D28" s="14" t="s">
        <v>17</v>
      </c>
      <c r="E28" s="15" t="s">
        <v>9</v>
      </c>
      <c r="F28" s="16" t="s">
        <v>23</v>
      </c>
      <c r="G28" s="85">
        <v>1</v>
      </c>
      <c r="H28" s="15" t="s">
        <v>9</v>
      </c>
      <c r="I28" s="90">
        <v>2</v>
      </c>
      <c r="J28" s="17">
        <f t="shared" si="0"/>
        <v>2</v>
      </c>
      <c r="K28" s="11">
        <f t="shared" si="1"/>
        <v>0</v>
      </c>
      <c r="L28" s="11">
        <f t="shared" si="2"/>
        <v>3</v>
      </c>
      <c r="O28" s="48" t="s">
        <v>20</v>
      </c>
      <c r="P28" s="49">
        <f>SUMIF($D$8:$D$55,$O28,$G$8:$G$55)+SUMIF($F$8:$F$55,$O28,$I$8:$I$55)</f>
        <v>3</v>
      </c>
      <c r="Q28" s="49">
        <f>SUMIF($D$8:$D$55,$O28,$I$8:$I$55)+SUMIF($F$8:$F$55,$O28,$G$8:$G$55)</f>
        <v>6</v>
      </c>
      <c r="R28" s="49">
        <f>P28-Q28</f>
        <v>-3</v>
      </c>
      <c r="S28" s="50">
        <f>SUMIF($D$8:$D$55,$O28,$K$8:$K$55)+SUMIF($F$8:$F$55,$O28,$L$8:$L$55)</f>
        <v>1</v>
      </c>
      <c r="T28" s="95" t="s">
        <v>65</v>
      </c>
      <c r="U28" s="40"/>
      <c r="V28" s="40" t="str">
        <f>O28</f>
        <v>Costa Rica</v>
      </c>
      <c r="W28" s="40" t="s">
        <v>63</v>
      </c>
      <c r="Y28" s="109">
        <f t="shared" si="8"/>
        <v>0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0</v>
      </c>
      <c r="AG28" s="108">
        <f t="shared" si="3"/>
        <v>0</v>
      </c>
      <c r="AH28" s="108">
        <f t="shared" si="4"/>
        <v>0</v>
      </c>
      <c r="AI28" s="108">
        <f t="shared" si="10"/>
        <v>0</v>
      </c>
      <c r="AJ28" s="108">
        <f t="shared" si="5"/>
        <v>0</v>
      </c>
      <c r="AK28" s="108">
        <f t="shared" si="6"/>
        <v>0</v>
      </c>
      <c r="AL28" s="108">
        <f t="shared" si="7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18">
        <v>22</v>
      </c>
      <c r="C29" s="19">
        <v>41809</v>
      </c>
      <c r="D29" s="20" t="s">
        <v>19</v>
      </c>
      <c r="E29" s="21" t="s">
        <v>9</v>
      </c>
      <c r="F29" s="30" t="s">
        <v>21</v>
      </c>
      <c r="G29" s="86">
        <v>1</v>
      </c>
      <c r="H29" s="21" t="s">
        <v>9</v>
      </c>
      <c r="I29" s="91">
        <v>3</v>
      </c>
      <c r="J29" s="23">
        <f t="shared" si="0"/>
        <v>2</v>
      </c>
      <c r="K29" s="11">
        <f t="shared" si="1"/>
        <v>0</v>
      </c>
      <c r="L29" s="11">
        <f t="shared" si="2"/>
        <v>3</v>
      </c>
      <c r="O29" s="48" t="s">
        <v>21</v>
      </c>
      <c r="P29" s="49">
        <f>SUMIF($D$8:$D$55,$O29,$G$8:$G$55)+SUMIF($F$8:$F$55,$O29,$I$8:$I$55)</f>
        <v>6</v>
      </c>
      <c r="Q29" s="49">
        <f>SUMIF($D$8:$D$55,$O29,$I$8:$I$55)+SUMIF($F$8:$F$55,$O29,$G$8:$G$55)</f>
        <v>2</v>
      </c>
      <c r="R29" s="49">
        <f>P29-Q29</f>
        <v>4</v>
      </c>
      <c r="S29" s="50">
        <f>SUMIF($D$8:$D$55,$O29,$K$8:$K$55)+SUMIF($F$8:$F$55,$O29,$L$8:$L$55)</f>
        <v>7</v>
      </c>
      <c r="T29" s="95" t="s">
        <v>62</v>
      </c>
      <c r="U29" s="40"/>
      <c r="V29" s="40" t="str">
        <f>O29</f>
        <v>Engeland</v>
      </c>
      <c r="W29" s="40" t="s">
        <v>64</v>
      </c>
      <c r="Y29" s="109">
        <f t="shared" si="8"/>
        <v>0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0</v>
      </c>
      <c r="AG29" s="108">
        <f t="shared" si="3"/>
        <v>0</v>
      </c>
      <c r="AH29" s="108">
        <f t="shared" si="4"/>
        <v>0</v>
      </c>
      <c r="AI29" s="108">
        <f t="shared" si="10"/>
        <v>0</v>
      </c>
      <c r="AJ29" s="108">
        <f t="shared" si="5"/>
        <v>0</v>
      </c>
      <c r="AK29" s="108">
        <f t="shared" si="6"/>
        <v>0</v>
      </c>
      <c r="AL29" s="108">
        <f t="shared" si="7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24">
        <v>23</v>
      </c>
      <c r="C30" s="25">
        <v>41809</v>
      </c>
      <c r="D30" s="26" t="s">
        <v>24</v>
      </c>
      <c r="E30" s="27" t="s">
        <v>9</v>
      </c>
      <c r="F30" s="28" t="s">
        <v>18</v>
      </c>
      <c r="G30" s="87">
        <v>0</v>
      </c>
      <c r="H30" s="27" t="s">
        <v>9</v>
      </c>
      <c r="I30" s="92">
        <v>0</v>
      </c>
      <c r="J30" s="29">
        <f t="shared" si="0"/>
        <v>3</v>
      </c>
      <c r="K30" s="11">
        <f t="shared" si="1"/>
        <v>1</v>
      </c>
      <c r="L30" s="11">
        <f t="shared" si="2"/>
        <v>1</v>
      </c>
      <c r="O30" s="51" t="s">
        <v>22</v>
      </c>
      <c r="P30" s="52">
        <f>SUMIF($D$8:$D$55,$O30,$G$8:$G$55)+SUMIF($F$8:$F$55,$O30,$I$8:$I$55)</f>
        <v>4</v>
      </c>
      <c r="Q30" s="52">
        <f>SUMIF($D$8:$D$55,$O30,$I$8:$I$55)+SUMIF($F$8:$F$55,$O30,$G$8:$G$55)</f>
        <v>2</v>
      </c>
      <c r="R30" s="52">
        <f>P30-Q30</f>
        <v>2</v>
      </c>
      <c r="S30" s="53">
        <f>SUMIF($D$8:$D$55,$O30,$K$8:$K$55)+SUMIF($F$8:$F$55,$O30,$L$8:$L$55)</f>
        <v>7</v>
      </c>
      <c r="T30" s="96" t="s">
        <v>63</v>
      </c>
      <c r="U30" s="40"/>
      <c r="V30" s="40" t="str">
        <f>O30</f>
        <v>Italië</v>
      </c>
      <c r="W30" s="40" t="s">
        <v>65</v>
      </c>
      <c r="Y30" s="109">
        <f t="shared" si="8"/>
        <v>10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10</v>
      </c>
      <c r="AG30" s="108">
        <f t="shared" si="3"/>
        <v>1</v>
      </c>
      <c r="AH30" s="108">
        <f t="shared" si="4"/>
        <v>1</v>
      </c>
      <c r="AI30" s="108">
        <f t="shared" si="10"/>
        <v>10</v>
      </c>
      <c r="AJ30" s="108">
        <f t="shared" si="5"/>
        <v>0</v>
      </c>
      <c r="AK30" s="108">
        <f t="shared" si="6"/>
        <v>0</v>
      </c>
      <c r="AL30" s="108">
        <f t="shared" si="7"/>
        <v>5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12">
        <v>24</v>
      </c>
      <c r="C31" s="13">
        <v>41810</v>
      </c>
      <c r="D31" s="14" t="s">
        <v>22</v>
      </c>
      <c r="E31" s="15" t="s">
        <v>9</v>
      </c>
      <c r="F31" s="16" t="s">
        <v>20</v>
      </c>
      <c r="G31" s="85">
        <v>2</v>
      </c>
      <c r="H31" s="15" t="s">
        <v>9</v>
      </c>
      <c r="I31" s="90">
        <v>1</v>
      </c>
      <c r="J31" s="17">
        <f t="shared" si="0"/>
        <v>1</v>
      </c>
      <c r="K31" s="11">
        <f t="shared" si="1"/>
        <v>3</v>
      </c>
      <c r="L31" s="11">
        <f t="shared" si="2"/>
        <v>0</v>
      </c>
      <c r="O31" s="40"/>
      <c r="P31" s="41"/>
      <c r="Q31" s="41"/>
      <c r="R31" s="41"/>
      <c r="S31" s="41"/>
      <c r="T31" s="41"/>
      <c r="U31" s="40"/>
      <c r="V31" s="40"/>
      <c r="W31" s="40"/>
      <c r="Y31" s="109">
        <f t="shared" si="8"/>
        <v>1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1</v>
      </c>
      <c r="AG31" s="108">
        <f t="shared" si="3"/>
        <v>0</v>
      </c>
      <c r="AH31" s="108">
        <f t="shared" si="4"/>
        <v>1</v>
      </c>
      <c r="AI31" s="108">
        <f t="shared" si="10"/>
        <v>0</v>
      </c>
      <c r="AJ31" s="108">
        <f t="shared" si="5"/>
        <v>0</v>
      </c>
      <c r="AK31" s="108">
        <f t="shared" si="6"/>
        <v>0</v>
      </c>
      <c r="AL31" s="108">
        <f t="shared" si="7"/>
        <v>0</v>
      </c>
      <c r="AN31" s="40"/>
      <c r="AO31" s="41"/>
    </row>
    <row r="32" spans="2:41" ht="15.75" thickBot="1">
      <c r="B32" s="18">
        <v>25</v>
      </c>
      <c r="C32" s="19">
        <v>41810</v>
      </c>
      <c r="D32" s="20" t="s">
        <v>25</v>
      </c>
      <c r="E32" s="21" t="s">
        <v>9</v>
      </c>
      <c r="F32" s="30" t="s">
        <v>27</v>
      </c>
      <c r="G32" s="86">
        <v>0</v>
      </c>
      <c r="H32" s="21" t="s">
        <v>9</v>
      </c>
      <c r="I32" s="91">
        <v>2</v>
      </c>
      <c r="J32" s="23">
        <f t="shared" si="0"/>
        <v>2</v>
      </c>
      <c r="K32" s="11">
        <f t="shared" si="1"/>
        <v>0</v>
      </c>
      <c r="L32" s="11">
        <f t="shared" si="2"/>
        <v>3</v>
      </c>
      <c r="O32" s="72" t="s">
        <v>66</v>
      </c>
      <c r="P32" s="73" t="s">
        <v>42</v>
      </c>
      <c r="Q32" s="73" t="s">
        <v>43</v>
      </c>
      <c r="R32" s="74" t="s">
        <v>44</v>
      </c>
      <c r="S32" s="75" t="s">
        <v>45</v>
      </c>
      <c r="T32" s="76" t="s">
        <v>46</v>
      </c>
      <c r="U32" s="40"/>
      <c r="V32" s="40"/>
      <c r="W32" s="40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3"/>
        <v>0</v>
      </c>
      <c r="AH32" s="108">
        <f t="shared" si="4"/>
        <v>0</v>
      </c>
      <c r="AI32" s="108">
        <f t="shared" si="10"/>
        <v>0</v>
      </c>
      <c r="AJ32" s="108">
        <f t="shared" si="5"/>
        <v>0</v>
      </c>
      <c r="AK32" s="108">
        <f t="shared" si="6"/>
        <v>5</v>
      </c>
      <c r="AL32" s="108">
        <f t="shared" si="7"/>
        <v>0</v>
      </c>
      <c r="AN32" s="42" t="s">
        <v>66</v>
      </c>
      <c r="AO32" s="43" t="s">
        <v>46</v>
      </c>
    </row>
    <row r="33" spans="2:41" ht="15.75" thickBot="1">
      <c r="B33" s="24">
        <v>26</v>
      </c>
      <c r="C33" s="25">
        <v>41810</v>
      </c>
      <c r="D33" s="26" t="s">
        <v>28</v>
      </c>
      <c r="E33" s="27" t="s">
        <v>9</v>
      </c>
      <c r="F33" s="28" t="s">
        <v>26</v>
      </c>
      <c r="G33" s="87">
        <v>1</v>
      </c>
      <c r="H33" s="27" t="s">
        <v>9</v>
      </c>
      <c r="I33" s="92">
        <v>2</v>
      </c>
      <c r="J33" s="29">
        <f t="shared" si="0"/>
        <v>2</v>
      </c>
      <c r="K33" s="11">
        <f t="shared" si="1"/>
        <v>0</v>
      </c>
      <c r="L33" s="11">
        <f t="shared" si="2"/>
        <v>3</v>
      </c>
      <c r="O33" s="44" t="s">
        <v>25</v>
      </c>
      <c r="P33" s="45">
        <f>SUMIF($D$8:$D$55,$O33,$G$8:$G$55)+SUMIF($F$8:$F$55,$O33,$I$8:$I$55)</f>
        <v>1</v>
      </c>
      <c r="Q33" s="45">
        <f>SUMIF($D$8:$D$55,$O33,$I$8:$I$55)+SUMIF($F$8:$F$55,$O33,$G$8:$G$55)</f>
        <v>5</v>
      </c>
      <c r="R33" s="46">
        <f>P33-Q33</f>
        <v>-4</v>
      </c>
      <c r="S33" s="47">
        <f>SUMIF($D$8:$D$55,$O33,$K$8:$K$55)+SUMIF($F$8:$F$55,$O33,$L$8:$L$55)</f>
        <v>0</v>
      </c>
      <c r="T33" s="94" t="s">
        <v>70</v>
      </c>
      <c r="U33" s="40"/>
      <c r="V33" s="40" t="str">
        <f>O33</f>
        <v>Zwitserland</v>
      </c>
      <c r="W33" s="40" t="s">
        <v>67</v>
      </c>
      <c r="Y33" s="109">
        <f t="shared" si="8"/>
        <v>10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10</v>
      </c>
      <c r="AG33" s="108">
        <f t="shared" si="3"/>
        <v>1</v>
      </c>
      <c r="AH33" s="108">
        <f t="shared" si="4"/>
        <v>1</v>
      </c>
      <c r="AI33" s="108">
        <f t="shared" si="10"/>
        <v>10</v>
      </c>
      <c r="AJ33" s="108">
        <f t="shared" si="5"/>
        <v>0</v>
      </c>
      <c r="AK33" s="108">
        <f t="shared" si="6"/>
        <v>5</v>
      </c>
      <c r="AL33" s="108">
        <f t="shared" si="7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12">
        <v>27</v>
      </c>
      <c r="C34" s="13">
        <v>41811</v>
      </c>
      <c r="D34" s="14" t="s">
        <v>29</v>
      </c>
      <c r="E34" s="15" t="s">
        <v>9</v>
      </c>
      <c r="F34" s="16" t="s">
        <v>33</v>
      </c>
      <c r="G34" s="85">
        <v>3</v>
      </c>
      <c r="H34" s="15" t="s">
        <v>9</v>
      </c>
      <c r="I34" s="90">
        <v>0</v>
      </c>
      <c r="J34" s="17">
        <f t="shared" si="0"/>
        <v>1</v>
      </c>
      <c r="K34" s="11">
        <f t="shared" si="1"/>
        <v>3</v>
      </c>
      <c r="L34" s="11">
        <f t="shared" si="2"/>
        <v>0</v>
      </c>
      <c r="O34" s="48" t="s">
        <v>26</v>
      </c>
      <c r="P34" s="49">
        <f>SUMIF($D$8:$D$55,$O34,$G$8:$G$55)+SUMIF($F$8:$F$55,$O34,$I$8:$I$55)</f>
        <v>5</v>
      </c>
      <c r="Q34" s="49">
        <f>SUMIF($D$8:$D$55,$O34,$I$8:$I$55)+SUMIF($F$8:$F$55,$O34,$G$8:$G$55)</f>
        <v>5</v>
      </c>
      <c r="R34" s="49">
        <f>P34-Q34</f>
        <v>0</v>
      </c>
      <c r="S34" s="50">
        <f>SUMIF($D$8:$D$55,$O34,$K$8:$K$55)+SUMIF($F$8:$F$55,$O34,$L$8:$L$55)</f>
        <v>6</v>
      </c>
      <c r="T34" s="95" t="s">
        <v>68</v>
      </c>
      <c r="U34" s="40"/>
      <c r="V34" s="40" t="str">
        <f>O34</f>
        <v>Ecuador</v>
      </c>
      <c r="W34" s="40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3"/>
        <v>0</v>
      </c>
      <c r="AH34" s="108">
        <f t="shared" si="4"/>
        <v>1</v>
      </c>
      <c r="AI34" s="108">
        <f t="shared" si="10"/>
        <v>0</v>
      </c>
      <c r="AJ34" s="108">
        <f t="shared" si="5"/>
        <v>5</v>
      </c>
      <c r="AK34" s="108">
        <f t="shared" si="6"/>
        <v>0</v>
      </c>
      <c r="AL34" s="108">
        <f t="shared" si="7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18">
        <v>28</v>
      </c>
      <c r="C35" s="19">
        <v>41811</v>
      </c>
      <c r="D35" s="20" t="s">
        <v>31</v>
      </c>
      <c r="E35" s="21" t="s">
        <v>9</v>
      </c>
      <c r="F35" s="30" t="s">
        <v>35</v>
      </c>
      <c r="G35" s="86">
        <v>2</v>
      </c>
      <c r="H35" s="21" t="s">
        <v>9</v>
      </c>
      <c r="I35" s="91">
        <v>1</v>
      </c>
      <c r="J35" s="23">
        <f t="shared" si="0"/>
        <v>1</v>
      </c>
      <c r="K35" s="11">
        <f t="shared" si="1"/>
        <v>3</v>
      </c>
      <c r="L35" s="11">
        <f t="shared" si="2"/>
        <v>0</v>
      </c>
      <c r="O35" s="48" t="s">
        <v>27</v>
      </c>
      <c r="P35" s="49">
        <f>SUMIF($D$8:$D$55,$O35,$G$8:$G$55)+SUMIF($F$8:$F$55,$O35,$I$8:$I$55)</f>
        <v>7</v>
      </c>
      <c r="Q35" s="49">
        <f>SUMIF($D$8:$D$55,$O35,$I$8:$I$55)+SUMIF($F$8:$F$55,$O35,$G$8:$G$55)</f>
        <v>1</v>
      </c>
      <c r="R35" s="49">
        <f>P35-Q35</f>
        <v>6</v>
      </c>
      <c r="S35" s="50">
        <f>SUMIF($D$8:$D$55,$O35,$K$8:$K$55)+SUMIF($F$8:$F$55,$O35,$L$8:$L$55)</f>
        <v>9</v>
      </c>
      <c r="T35" s="95" t="s">
        <v>67</v>
      </c>
      <c r="U35" s="40"/>
      <c r="V35" s="40" t="str">
        <f>O35</f>
        <v>Frankrijk</v>
      </c>
      <c r="W35" s="40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3"/>
        <v>1</v>
      </c>
      <c r="AH35" s="108">
        <f t="shared" si="4"/>
        <v>0</v>
      </c>
      <c r="AI35" s="108">
        <f t="shared" si="10"/>
        <v>0</v>
      </c>
      <c r="AJ35" s="108">
        <f t="shared" si="5"/>
        <v>0</v>
      </c>
      <c r="AK35" s="108">
        <f t="shared" si="6"/>
        <v>0</v>
      </c>
      <c r="AL35" s="108">
        <f t="shared" si="7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24">
        <v>29</v>
      </c>
      <c r="C36" s="25">
        <v>41811</v>
      </c>
      <c r="D36" s="26" t="s">
        <v>34</v>
      </c>
      <c r="E36" s="27" t="s">
        <v>9</v>
      </c>
      <c r="F36" s="28" t="s">
        <v>30</v>
      </c>
      <c r="G36" s="87">
        <v>1</v>
      </c>
      <c r="H36" s="27" t="s">
        <v>9</v>
      </c>
      <c r="I36" s="92">
        <v>0</v>
      </c>
      <c r="J36" s="29">
        <f t="shared" si="0"/>
        <v>1</v>
      </c>
      <c r="K36" s="11">
        <f t="shared" si="1"/>
        <v>3</v>
      </c>
      <c r="L36" s="11">
        <f t="shared" si="2"/>
        <v>0</v>
      </c>
      <c r="O36" s="51" t="s">
        <v>28</v>
      </c>
      <c r="P36" s="52">
        <f>SUMIF($D$8:$D$55,$O36,$G$8:$G$55)+SUMIF($F$8:$F$55,$O36,$I$8:$I$55)</f>
        <v>2</v>
      </c>
      <c r="Q36" s="52">
        <f>SUMIF($D$8:$D$55,$O36,$I$8:$I$55)+SUMIF($F$8:$F$55,$O36,$G$8:$G$55)</f>
        <v>4</v>
      </c>
      <c r="R36" s="52">
        <f>P36-Q36</f>
        <v>-2</v>
      </c>
      <c r="S36" s="53">
        <f>SUMIF($D$8:$D$55,$O36,$K$8:$K$55)+SUMIF($F$8:$F$55,$O36,$L$8:$L$55)</f>
        <v>3</v>
      </c>
      <c r="T36" s="96" t="s">
        <v>69</v>
      </c>
      <c r="U36" s="40"/>
      <c r="V36" s="40" t="str">
        <f>O36</f>
        <v>Honduras</v>
      </c>
      <c r="W36" s="40" t="s">
        <v>70</v>
      </c>
      <c r="Y36" s="109">
        <f t="shared" si="8"/>
        <v>10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10</v>
      </c>
      <c r="AG36" s="108">
        <f t="shared" si="3"/>
        <v>1</v>
      </c>
      <c r="AH36" s="108">
        <f t="shared" si="4"/>
        <v>1</v>
      </c>
      <c r="AI36" s="108">
        <f t="shared" si="10"/>
        <v>10</v>
      </c>
      <c r="AJ36" s="108">
        <f t="shared" si="5"/>
        <v>5</v>
      </c>
      <c r="AK36" s="108">
        <f t="shared" si="6"/>
        <v>0</v>
      </c>
      <c r="AL36" s="108">
        <f t="shared" si="7"/>
        <v>0</v>
      </c>
      <c r="AM36" s="120">
        <f>AO36</f>
        <v>0</v>
      </c>
      <c r="AN36" s="118" t="s">
        <v>28</v>
      </c>
      <c r="AO36" s="115">
        <f>IF(Uitslag!T36="",0,IF(T36=Uitslag!T36,10,0))</f>
        <v>0</v>
      </c>
    </row>
    <row r="37" spans="2:41" ht="15.75" thickBot="1">
      <c r="B37" s="12">
        <v>30</v>
      </c>
      <c r="C37" s="13">
        <v>41812</v>
      </c>
      <c r="D37" s="14" t="s">
        <v>37</v>
      </c>
      <c r="E37" s="15" t="s">
        <v>9</v>
      </c>
      <c r="F37" s="16" t="s">
        <v>39</v>
      </c>
      <c r="G37" s="85">
        <v>1</v>
      </c>
      <c r="H37" s="15" t="s">
        <v>9</v>
      </c>
      <c r="I37" s="90">
        <v>2</v>
      </c>
      <c r="J37" s="17">
        <f t="shared" si="0"/>
        <v>2</v>
      </c>
      <c r="K37" s="11">
        <f t="shared" si="1"/>
        <v>0</v>
      </c>
      <c r="L37" s="11">
        <f t="shared" si="2"/>
        <v>3</v>
      </c>
      <c r="O37" s="40"/>
      <c r="P37" s="41"/>
      <c r="Q37" s="41"/>
      <c r="R37" s="41"/>
      <c r="S37" s="41"/>
      <c r="T37" s="41"/>
      <c r="U37" s="40"/>
      <c r="V37" s="40"/>
      <c r="W37" s="40"/>
      <c r="Y37" s="109">
        <f t="shared" si="8"/>
        <v>1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1</v>
      </c>
      <c r="AG37" s="108">
        <f t="shared" si="3"/>
        <v>1</v>
      </c>
      <c r="AH37" s="108">
        <f t="shared" si="4"/>
        <v>0</v>
      </c>
      <c r="AI37" s="108">
        <f t="shared" si="10"/>
        <v>0</v>
      </c>
      <c r="AJ37" s="108">
        <f t="shared" si="5"/>
        <v>0</v>
      </c>
      <c r="AK37" s="108">
        <f t="shared" si="6"/>
        <v>0</v>
      </c>
      <c r="AL37" s="108">
        <f t="shared" si="7"/>
        <v>0</v>
      </c>
      <c r="AN37" s="40"/>
      <c r="AO37" s="41"/>
    </row>
    <row r="38" spans="2:41" ht="15.75" thickBot="1">
      <c r="B38" s="18">
        <v>31</v>
      </c>
      <c r="C38" s="19">
        <v>41812</v>
      </c>
      <c r="D38" s="20" t="s">
        <v>40</v>
      </c>
      <c r="E38" s="21" t="s">
        <v>9</v>
      </c>
      <c r="F38" s="30" t="s">
        <v>38</v>
      </c>
      <c r="G38" s="86">
        <v>1</v>
      </c>
      <c r="H38" s="21" t="s">
        <v>9</v>
      </c>
      <c r="I38" s="91">
        <v>1</v>
      </c>
      <c r="J38" s="23">
        <f t="shared" si="0"/>
        <v>3</v>
      </c>
      <c r="K38" s="11">
        <f t="shared" si="1"/>
        <v>1</v>
      </c>
      <c r="L38" s="11">
        <f t="shared" si="2"/>
        <v>1</v>
      </c>
      <c r="O38" s="72" t="s">
        <v>71</v>
      </c>
      <c r="P38" s="73" t="s">
        <v>42</v>
      </c>
      <c r="Q38" s="73" t="s">
        <v>43</v>
      </c>
      <c r="R38" s="74" t="s">
        <v>44</v>
      </c>
      <c r="S38" s="75" t="s">
        <v>45</v>
      </c>
      <c r="T38" s="76" t="s">
        <v>46</v>
      </c>
      <c r="U38" s="40"/>
      <c r="V38" s="40"/>
      <c r="W38" s="40"/>
      <c r="Y38" s="109">
        <f t="shared" si="8"/>
        <v>0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0</v>
      </c>
      <c r="AG38" s="108">
        <f t="shared" si="3"/>
        <v>0</v>
      </c>
      <c r="AH38" s="108">
        <f t="shared" si="4"/>
        <v>0</v>
      </c>
      <c r="AI38" s="108">
        <f t="shared" si="10"/>
        <v>0</v>
      </c>
      <c r="AJ38" s="108">
        <f t="shared" si="5"/>
        <v>0</v>
      </c>
      <c r="AK38" s="108">
        <f t="shared" si="6"/>
        <v>0</v>
      </c>
      <c r="AL38" s="108">
        <f t="shared" si="7"/>
        <v>0</v>
      </c>
      <c r="AN38" s="42" t="s">
        <v>71</v>
      </c>
      <c r="AO38" s="43" t="s">
        <v>46</v>
      </c>
    </row>
    <row r="39" spans="2:41" ht="15.75" thickBot="1">
      <c r="B39" s="24">
        <v>32</v>
      </c>
      <c r="C39" s="25">
        <v>41812</v>
      </c>
      <c r="D39" s="26" t="s">
        <v>36</v>
      </c>
      <c r="E39" s="27" t="s">
        <v>9</v>
      </c>
      <c r="F39" s="28" t="s">
        <v>32</v>
      </c>
      <c r="G39" s="87">
        <v>1</v>
      </c>
      <c r="H39" s="27" t="s">
        <v>9</v>
      </c>
      <c r="I39" s="92">
        <v>3</v>
      </c>
      <c r="J39" s="29">
        <f t="shared" si="0"/>
        <v>2</v>
      </c>
      <c r="K39" s="11">
        <f t="shared" si="1"/>
        <v>0</v>
      </c>
      <c r="L39" s="11">
        <f t="shared" si="2"/>
        <v>3</v>
      </c>
      <c r="O39" s="44" t="s">
        <v>29</v>
      </c>
      <c r="P39" s="45">
        <f>SUMIF($D$8:$D$55,$O39,$G$8:$G$55)+SUMIF($F$8:$F$55,$O39,$I$8:$I$55)</f>
        <v>6</v>
      </c>
      <c r="Q39" s="45">
        <f>SUMIF($D$8:$D$55,$O39,$I$8:$I$55)+SUMIF($F$8:$F$55,$O39,$G$8:$G$55)</f>
        <v>1</v>
      </c>
      <c r="R39" s="46">
        <f>P39-Q39</f>
        <v>5</v>
      </c>
      <c r="S39" s="47">
        <f>SUMIF($D$8:$D$55,$O39,$K$8:$K$55)+SUMIF($F$8:$F$55,$O39,$L$8:$L$55)</f>
        <v>7</v>
      </c>
      <c r="T39" s="94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0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0</v>
      </c>
      <c r="AG39" s="108">
        <f t="shared" si="3"/>
        <v>0</v>
      </c>
      <c r="AH39" s="108">
        <f t="shared" si="4"/>
        <v>0</v>
      </c>
      <c r="AI39" s="108">
        <f t="shared" si="10"/>
        <v>0</v>
      </c>
      <c r="AJ39" s="108">
        <f t="shared" si="5"/>
        <v>0</v>
      </c>
      <c r="AK39" s="108">
        <f t="shared" si="6"/>
        <v>0</v>
      </c>
      <c r="AL39" s="108">
        <f t="shared" si="7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12">
        <v>33</v>
      </c>
      <c r="C40" s="13">
        <v>41813</v>
      </c>
      <c r="D40" s="14" t="s">
        <v>16</v>
      </c>
      <c r="E40" s="15" t="s">
        <v>9</v>
      </c>
      <c r="F40" s="16" t="s">
        <v>13</v>
      </c>
      <c r="G40" s="85">
        <v>2</v>
      </c>
      <c r="H40" s="15" t="s">
        <v>9</v>
      </c>
      <c r="I40" s="90">
        <v>3</v>
      </c>
      <c r="J40" s="17">
        <f t="shared" si="0"/>
        <v>2</v>
      </c>
      <c r="K40" s="11">
        <f t="shared" si="1"/>
        <v>0</v>
      </c>
      <c r="L40" s="11">
        <f t="shared" si="2"/>
        <v>3</v>
      </c>
      <c r="O40" s="48" t="s">
        <v>30</v>
      </c>
      <c r="P40" s="49">
        <f>SUMIF($D$8:$D$55,$O40,$G$8:$G$55)+SUMIF($F$8:$F$55,$O40,$I$8:$I$55)</f>
        <v>1</v>
      </c>
      <c r="Q40" s="49">
        <f>SUMIF($D$8:$D$55,$O40,$I$8:$I$55)+SUMIF($F$8:$F$55,$O40,$G$8:$G$55)</f>
        <v>3</v>
      </c>
      <c r="R40" s="49">
        <f>P40-Q40</f>
        <v>-2</v>
      </c>
      <c r="S40" s="50">
        <f>SUMIF($D$8:$D$55,$O40,$K$8:$K$55)+SUMIF($F$8:$F$55,$O40,$L$8:$L$55)</f>
        <v>3</v>
      </c>
      <c r="T40" s="95" t="s">
        <v>74</v>
      </c>
      <c r="U40" s="40"/>
      <c r="V40" s="40" t="str">
        <f>O40</f>
        <v>Bosnië H.</v>
      </c>
      <c r="W40" s="40" t="s">
        <v>73</v>
      </c>
      <c r="Y40" s="109">
        <f t="shared" si="8"/>
        <v>6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6</v>
      </c>
      <c r="AG40" s="108">
        <f t="shared" si="3"/>
        <v>0</v>
      </c>
      <c r="AH40" s="108">
        <f t="shared" si="4"/>
        <v>1</v>
      </c>
      <c r="AI40" s="108">
        <f t="shared" si="10"/>
        <v>0</v>
      </c>
      <c r="AJ40" s="108">
        <f t="shared" si="5"/>
        <v>0</v>
      </c>
      <c r="AK40" s="108">
        <f t="shared" si="6"/>
        <v>5</v>
      </c>
      <c r="AL40" s="108">
        <f t="shared" si="7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18">
        <v>34</v>
      </c>
      <c r="C41" s="19">
        <v>41813</v>
      </c>
      <c r="D41" s="32" t="s">
        <v>14</v>
      </c>
      <c r="E41" s="21" t="s">
        <v>9</v>
      </c>
      <c r="F41" s="30" t="s">
        <v>15</v>
      </c>
      <c r="G41" s="86">
        <v>2</v>
      </c>
      <c r="H41" s="21" t="s">
        <v>9</v>
      </c>
      <c r="I41" s="91">
        <v>1</v>
      </c>
      <c r="J41" s="23">
        <f t="shared" si="0"/>
        <v>1</v>
      </c>
      <c r="K41" s="11">
        <f t="shared" si="1"/>
        <v>3</v>
      </c>
      <c r="L41" s="11">
        <f t="shared" si="2"/>
        <v>0</v>
      </c>
      <c r="O41" s="48" t="s">
        <v>33</v>
      </c>
      <c r="P41" s="49">
        <f>SUMIF($D$8:$D$55,$O41,$G$8:$G$55)+SUMIF($F$8:$F$55,$O41,$I$8:$I$55)</f>
        <v>0</v>
      </c>
      <c r="Q41" s="49">
        <f>SUMIF($D$8:$D$55,$O41,$I$8:$I$55)+SUMIF($F$8:$F$55,$O41,$G$8:$G$55)</f>
        <v>6</v>
      </c>
      <c r="R41" s="49">
        <f>P41-Q41</f>
        <v>-6</v>
      </c>
      <c r="S41" s="50">
        <f>SUMIF($D$8:$D$55,$O41,$K$8:$K$55)+SUMIF($F$8:$F$55,$O41,$L$8:$L$55)</f>
        <v>0</v>
      </c>
      <c r="T41" s="95" t="s">
        <v>75</v>
      </c>
      <c r="U41" s="40"/>
      <c r="V41" s="40" t="str">
        <f>O41</f>
        <v>Iran</v>
      </c>
      <c r="W41" s="40" t="s">
        <v>74</v>
      </c>
      <c r="Y41" s="109">
        <f t="shared" si="8"/>
        <v>6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6</v>
      </c>
      <c r="AG41" s="108">
        <f t="shared" si="3"/>
        <v>1</v>
      </c>
      <c r="AH41" s="108">
        <f t="shared" si="4"/>
        <v>0</v>
      </c>
      <c r="AI41" s="108">
        <f t="shared" si="10"/>
        <v>0</v>
      </c>
      <c r="AJ41" s="108">
        <f t="shared" si="5"/>
        <v>5</v>
      </c>
      <c r="AK41" s="108">
        <f t="shared" si="6"/>
        <v>0</v>
      </c>
      <c r="AL41" s="108">
        <f t="shared" si="7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18">
        <v>35</v>
      </c>
      <c r="C42" s="19">
        <v>41813</v>
      </c>
      <c r="D42" s="20" t="s">
        <v>12</v>
      </c>
      <c r="E42" s="21" t="s">
        <v>9</v>
      </c>
      <c r="F42" s="30" t="s">
        <v>8</v>
      </c>
      <c r="G42" s="86">
        <v>2</v>
      </c>
      <c r="H42" s="21" t="s">
        <v>9</v>
      </c>
      <c r="I42" s="91">
        <v>2</v>
      </c>
      <c r="J42" s="23">
        <f t="shared" si="0"/>
        <v>3</v>
      </c>
      <c r="K42" s="11">
        <f t="shared" si="1"/>
        <v>1</v>
      </c>
      <c r="L42" s="11">
        <f t="shared" si="2"/>
        <v>1</v>
      </c>
      <c r="O42" s="51" t="s">
        <v>34</v>
      </c>
      <c r="P42" s="52">
        <f>SUMIF($D$8:$D$55,$O42,$G$8:$G$55)+SUMIF($F$8:$F$55,$O42,$I$8:$I$55)</f>
        <v>4</v>
      </c>
      <c r="Q42" s="52">
        <f>SUMIF($D$8:$D$55,$O42,$I$8:$I$55)+SUMIF($F$8:$F$55,$O42,$G$8:$G$55)</f>
        <v>1</v>
      </c>
      <c r="R42" s="52">
        <f>P42-Q42</f>
        <v>3</v>
      </c>
      <c r="S42" s="53">
        <f>SUMIF($D$8:$D$55,$O42,$K$8:$K$55)+SUMIF($F$8:$F$55,$O42,$L$8:$L$55)</f>
        <v>7</v>
      </c>
      <c r="T42" s="96" t="s">
        <v>73</v>
      </c>
      <c r="U42" s="40"/>
      <c r="V42" s="40" t="str">
        <f>O42</f>
        <v>Nigeria</v>
      </c>
      <c r="W42" s="40" t="s">
        <v>75</v>
      </c>
      <c r="Y42" s="109">
        <f t="shared" si="8"/>
        <v>0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0</v>
      </c>
      <c r="AG42" s="108">
        <f t="shared" si="3"/>
        <v>0</v>
      </c>
      <c r="AH42" s="108">
        <f t="shared" si="4"/>
        <v>0</v>
      </c>
      <c r="AI42" s="108">
        <f t="shared" si="10"/>
        <v>0</v>
      </c>
      <c r="AJ42" s="108">
        <f t="shared" si="5"/>
        <v>0</v>
      </c>
      <c r="AK42" s="108">
        <f t="shared" si="6"/>
        <v>0</v>
      </c>
      <c r="AL42" s="108">
        <f t="shared" si="7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24">
        <v>36</v>
      </c>
      <c r="C43" s="25">
        <v>41813</v>
      </c>
      <c r="D43" s="26" t="s">
        <v>10</v>
      </c>
      <c r="E43" s="27" t="s">
        <v>9</v>
      </c>
      <c r="F43" s="28" t="s">
        <v>11</v>
      </c>
      <c r="G43" s="87">
        <v>2</v>
      </c>
      <c r="H43" s="27" t="s">
        <v>9</v>
      </c>
      <c r="I43" s="92">
        <v>1</v>
      </c>
      <c r="J43" s="29">
        <f t="shared" si="0"/>
        <v>1</v>
      </c>
      <c r="K43" s="11">
        <f t="shared" si="1"/>
        <v>3</v>
      </c>
      <c r="L43" s="11">
        <f t="shared" si="2"/>
        <v>0</v>
      </c>
      <c r="O43" s="40"/>
      <c r="P43" s="41"/>
      <c r="Q43" s="41"/>
      <c r="R43" s="41"/>
      <c r="S43" s="41"/>
      <c r="T43" s="41"/>
      <c r="U43" s="40"/>
      <c r="V43" s="40"/>
      <c r="W43" s="40"/>
      <c r="Y43" s="109">
        <f t="shared" si="8"/>
        <v>0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0</v>
      </c>
      <c r="AG43" s="108">
        <f t="shared" si="3"/>
        <v>0</v>
      </c>
      <c r="AH43" s="108">
        <f t="shared" si="4"/>
        <v>0</v>
      </c>
      <c r="AI43" s="108">
        <f t="shared" si="10"/>
        <v>0</v>
      </c>
      <c r="AJ43" s="108">
        <f t="shared" si="5"/>
        <v>0</v>
      </c>
      <c r="AK43" s="108">
        <f t="shared" si="6"/>
        <v>0</v>
      </c>
      <c r="AL43" s="108">
        <f t="shared" si="7"/>
        <v>0</v>
      </c>
      <c r="AN43" s="40"/>
      <c r="AO43" s="41"/>
    </row>
    <row r="44" spans="2:41" ht="15.75" thickBot="1">
      <c r="B44" s="12">
        <v>37</v>
      </c>
      <c r="C44" s="13">
        <v>41814</v>
      </c>
      <c r="D44" s="14" t="s">
        <v>22</v>
      </c>
      <c r="E44" s="15" t="s">
        <v>9</v>
      </c>
      <c r="F44" s="16" t="s">
        <v>19</v>
      </c>
      <c r="G44" s="85">
        <v>1</v>
      </c>
      <c r="H44" s="15" t="s">
        <v>9</v>
      </c>
      <c r="I44" s="90">
        <v>0</v>
      </c>
      <c r="J44" s="17">
        <f t="shared" si="0"/>
        <v>1</v>
      </c>
      <c r="K44" s="11">
        <f t="shared" si="1"/>
        <v>3</v>
      </c>
      <c r="L44" s="11">
        <f t="shared" si="2"/>
        <v>0</v>
      </c>
      <c r="O44" s="72" t="s">
        <v>76</v>
      </c>
      <c r="P44" s="73" t="s">
        <v>42</v>
      </c>
      <c r="Q44" s="73" t="s">
        <v>43</v>
      </c>
      <c r="R44" s="74" t="s">
        <v>44</v>
      </c>
      <c r="S44" s="75" t="s">
        <v>45</v>
      </c>
      <c r="T44" s="76" t="s">
        <v>46</v>
      </c>
      <c r="U44" s="40"/>
      <c r="V44" s="40"/>
      <c r="W44" s="40"/>
      <c r="Y44" s="109">
        <f t="shared" si="8"/>
        <v>0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0</v>
      </c>
      <c r="AG44" s="108">
        <f t="shared" si="3"/>
        <v>0</v>
      </c>
      <c r="AH44" s="108">
        <f t="shared" si="4"/>
        <v>0</v>
      </c>
      <c r="AI44" s="108">
        <f t="shared" si="10"/>
        <v>0</v>
      </c>
      <c r="AJ44" s="108">
        <f t="shared" si="5"/>
        <v>0</v>
      </c>
      <c r="AK44" s="108">
        <f t="shared" si="6"/>
        <v>0</v>
      </c>
      <c r="AL44" s="108">
        <f t="shared" si="7"/>
        <v>0</v>
      </c>
      <c r="AN44" s="42" t="s">
        <v>76</v>
      </c>
      <c r="AO44" s="43" t="s">
        <v>46</v>
      </c>
    </row>
    <row r="45" spans="2:41" ht="15.75" thickBot="1">
      <c r="B45" s="18">
        <v>38</v>
      </c>
      <c r="C45" s="19">
        <v>41814</v>
      </c>
      <c r="D45" s="20" t="s">
        <v>20</v>
      </c>
      <c r="E45" s="21" t="s">
        <v>9</v>
      </c>
      <c r="F45" s="30" t="s">
        <v>21</v>
      </c>
      <c r="G45" s="86">
        <v>0</v>
      </c>
      <c r="H45" s="21" t="s">
        <v>9</v>
      </c>
      <c r="I45" s="91">
        <v>2</v>
      </c>
      <c r="J45" s="23">
        <f t="shared" si="0"/>
        <v>2</v>
      </c>
      <c r="K45" s="11">
        <f t="shared" si="1"/>
        <v>0</v>
      </c>
      <c r="L45" s="11">
        <f t="shared" si="2"/>
        <v>3</v>
      </c>
      <c r="O45" s="44" t="s">
        <v>31</v>
      </c>
      <c r="P45" s="45">
        <f>SUMIF($D$8:$D$55,$O45,$G$8:$G$55)+SUMIF($F$8:$F$55,$O45,$I$8:$I$55)</f>
        <v>5</v>
      </c>
      <c r="Q45" s="45">
        <f>SUMIF($D$8:$D$55,$O45,$I$8:$I$55)+SUMIF($F$8:$F$55,$O45,$G$8:$G$55)</f>
        <v>3</v>
      </c>
      <c r="R45" s="46">
        <f>P45-Q45</f>
        <v>2</v>
      </c>
      <c r="S45" s="47">
        <f>SUMIF($D$8:$D$55,$O45,$K$8:$K$55)+SUMIF($F$8:$F$55,$O45,$L$8:$L$55)</f>
        <v>7</v>
      </c>
      <c r="T45" s="94" t="s">
        <v>78</v>
      </c>
      <c r="U45" s="40"/>
      <c r="V45" s="40" t="str">
        <f>O45</f>
        <v>Duitsland</v>
      </c>
      <c r="W45" s="40" t="s">
        <v>77</v>
      </c>
      <c r="Y45" s="109">
        <f t="shared" si="8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1</v>
      </c>
      <c r="AG45" s="108">
        <f t="shared" si="3"/>
        <v>1</v>
      </c>
      <c r="AH45" s="108">
        <f t="shared" si="4"/>
        <v>0</v>
      </c>
      <c r="AI45" s="108">
        <f t="shared" si="10"/>
        <v>0</v>
      </c>
      <c r="AJ45" s="108">
        <f t="shared" si="5"/>
        <v>0</v>
      </c>
      <c r="AK45" s="108">
        <f t="shared" si="6"/>
        <v>0</v>
      </c>
      <c r="AL45" s="108">
        <f t="shared" si="7"/>
        <v>0</v>
      </c>
      <c r="AM45" s="120">
        <f>AO45</f>
        <v>0</v>
      </c>
      <c r="AN45" s="116" t="s">
        <v>31</v>
      </c>
      <c r="AO45" s="115">
        <f>IF(Uitslag!T45="",0,IF(T45=Uitslag!T45,10,0))</f>
        <v>0</v>
      </c>
    </row>
    <row r="46" spans="2:41" ht="15.75" thickBot="1">
      <c r="B46" s="18">
        <v>39</v>
      </c>
      <c r="C46" s="19">
        <v>41814</v>
      </c>
      <c r="D46" s="20" t="s">
        <v>24</v>
      </c>
      <c r="E46" s="21" t="s">
        <v>9</v>
      </c>
      <c r="F46" s="30" t="s">
        <v>17</v>
      </c>
      <c r="G46" s="86">
        <v>0</v>
      </c>
      <c r="H46" s="21" t="s">
        <v>9</v>
      </c>
      <c r="I46" s="91">
        <v>1</v>
      </c>
      <c r="J46" s="23">
        <f t="shared" si="0"/>
        <v>2</v>
      </c>
      <c r="K46" s="11">
        <f t="shared" si="1"/>
        <v>0</v>
      </c>
      <c r="L46" s="11">
        <f t="shared" si="2"/>
        <v>3</v>
      </c>
      <c r="O46" s="48" t="s">
        <v>32</v>
      </c>
      <c r="P46" s="49">
        <f>SUMIF($D$8:$D$55,$O46,$G$8:$G$55)+SUMIF($F$8:$F$55,$O46,$I$8:$I$55)</f>
        <v>7</v>
      </c>
      <c r="Q46" s="49">
        <f>SUMIF($D$8:$D$55,$O46,$I$8:$I$55)+SUMIF($F$8:$F$55,$O46,$G$8:$G$55)</f>
        <v>4</v>
      </c>
      <c r="R46" s="49">
        <f>P46-Q46</f>
        <v>3</v>
      </c>
      <c r="S46" s="50">
        <f>SUMIF($D$8:$D$55,$O46,$K$8:$K$55)+SUMIF($F$8:$F$55,$O46,$L$8:$L$55)</f>
        <v>7</v>
      </c>
      <c r="T46" s="95" t="s">
        <v>77</v>
      </c>
      <c r="U46" s="40"/>
      <c r="V46" s="40" t="str">
        <f>O46</f>
        <v>Portugal</v>
      </c>
      <c r="W46" s="40" t="s">
        <v>78</v>
      </c>
      <c r="Y46" s="109">
        <f t="shared" si="8"/>
        <v>5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5</v>
      </c>
      <c r="AG46" s="108">
        <f t="shared" si="3"/>
        <v>0</v>
      </c>
      <c r="AH46" s="108">
        <f t="shared" si="4"/>
        <v>0</v>
      </c>
      <c r="AI46" s="108">
        <f t="shared" si="10"/>
        <v>0</v>
      </c>
      <c r="AJ46" s="108">
        <f t="shared" si="5"/>
        <v>0</v>
      </c>
      <c r="AK46" s="108">
        <f t="shared" si="6"/>
        <v>5</v>
      </c>
      <c r="AL46" s="108">
        <f t="shared" si="7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24">
        <v>40</v>
      </c>
      <c r="C47" s="25">
        <v>41814</v>
      </c>
      <c r="D47" s="26" t="s">
        <v>18</v>
      </c>
      <c r="E47" s="27" t="s">
        <v>9</v>
      </c>
      <c r="F47" s="28" t="s">
        <v>23</v>
      </c>
      <c r="G47" s="87">
        <v>1</v>
      </c>
      <c r="H47" s="27" t="s">
        <v>9</v>
      </c>
      <c r="I47" s="92">
        <v>3</v>
      </c>
      <c r="J47" s="29">
        <f t="shared" si="0"/>
        <v>2</v>
      </c>
      <c r="K47" s="11">
        <f t="shared" si="1"/>
        <v>0</v>
      </c>
      <c r="L47" s="11">
        <f t="shared" si="2"/>
        <v>3</v>
      </c>
      <c r="O47" s="48" t="s">
        <v>35</v>
      </c>
      <c r="P47" s="49">
        <f>SUMIF($D$8:$D$55,$O47,$G$8:$G$55)+SUMIF($F$8:$F$55,$O47,$I$8:$I$55)</f>
        <v>3</v>
      </c>
      <c r="Q47" s="49">
        <f>SUMIF($D$8:$D$55,$O47,$I$8:$I$55)+SUMIF($F$8:$F$55,$O47,$G$8:$G$55)</f>
        <v>4</v>
      </c>
      <c r="R47" s="49">
        <f>P47-Q47</f>
        <v>-1</v>
      </c>
      <c r="S47" s="50">
        <f>SUMIF($D$8:$D$55,$O47,$K$8:$K$55)+SUMIF($F$8:$F$55,$O47,$L$8:$L$55)</f>
        <v>3</v>
      </c>
      <c r="T47" s="95" t="s">
        <v>79</v>
      </c>
      <c r="U47" s="40"/>
      <c r="V47" s="40" t="str">
        <f>O47</f>
        <v>Ghana</v>
      </c>
      <c r="W47" s="40" t="s">
        <v>79</v>
      </c>
      <c r="Y47" s="109">
        <f t="shared" si="8"/>
        <v>0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0</v>
      </c>
      <c r="AG47" s="108">
        <f t="shared" si="3"/>
        <v>0</v>
      </c>
      <c r="AH47" s="108">
        <f t="shared" si="4"/>
        <v>0</v>
      </c>
      <c r="AI47" s="108">
        <f t="shared" si="10"/>
        <v>0</v>
      </c>
      <c r="AJ47" s="108">
        <f t="shared" si="5"/>
        <v>0</v>
      </c>
      <c r="AK47" s="108">
        <f t="shared" si="6"/>
        <v>0</v>
      </c>
      <c r="AL47" s="108">
        <f t="shared" si="7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12">
        <v>41</v>
      </c>
      <c r="C48" s="13">
        <v>41815</v>
      </c>
      <c r="D48" s="14" t="s">
        <v>34</v>
      </c>
      <c r="E48" s="15" t="s">
        <v>9</v>
      </c>
      <c r="F48" s="16" t="s">
        <v>29</v>
      </c>
      <c r="G48" s="85">
        <v>1</v>
      </c>
      <c r="H48" s="15" t="s">
        <v>9</v>
      </c>
      <c r="I48" s="90">
        <v>1</v>
      </c>
      <c r="J48" s="17">
        <f t="shared" si="0"/>
        <v>3</v>
      </c>
      <c r="K48" s="11">
        <f t="shared" si="1"/>
        <v>1</v>
      </c>
      <c r="L48" s="11">
        <f t="shared" si="2"/>
        <v>1</v>
      </c>
      <c r="O48" s="51" t="s">
        <v>36</v>
      </c>
      <c r="P48" s="52">
        <f>SUMIF($D$8:$D$55,$O48,$G$8:$G$55)+SUMIF($F$8:$F$55,$O48,$I$8:$I$55)</f>
        <v>1</v>
      </c>
      <c r="Q48" s="52">
        <f>SUMIF($D$8:$D$55,$O48,$I$8:$I$55)+SUMIF($F$8:$F$55,$O48,$G$8:$G$55)</f>
        <v>5</v>
      </c>
      <c r="R48" s="52">
        <f>P48-Q48</f>
        <v>-4</v>
      </c>
      <c r="S48" s="53">
        <f>SUMIF($D$8:$D$55,$O48,$K$8:$K$55)+SUMIF($F$8:$F$55,$O48,$L$8:$L$55)</f>
        <v>0</v>
      </c>
      <c r="T48" s="96" t="s">
        <v>80</v>
      </c>
      <c r="U48" s="40"/>
      <c r="V48" s="40" t="str">
        <f>O48</f>
        <v>Verenigde Staten</v>
      </c>
      <c r="W48" s="40" t="s">
        <v>80</v>
      </c>
      <c r="Y48" s="109">
        <f t="shared" si="8"/>
        <v>0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0</v>
      </c>
      <c r="AG48" s="108">
        <f t="shared" si="3"/>
        <v>0</v>
      </c>
      <c r="AH48" s="108">
        <f t="shared" si="4"/>
        <v>0</v>
      </c>
      <c r="AI48" s="108">
        <f t="shared" si="10"/>
        <v>0</v>
      </c>
      <c r="AJ48" s="108">
        <f t="shared" si="5"/>
        <v>0</v>
      </c>
      <c r="AK48" s="108">
        <f t="shared" si="6"/>
        <v>0</v>
      </c>
      <c r="AL48" s="108">
        <f t="shared" si="7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18">
        <v>42</v>
      </c>
      <c r="C49" s="19">
        <v>41815</v>
      </c>
      <c r="D49" s="20" t="s">
        <v>30</v>
      </c>
      <c r="E49" s="21" t="s">
        <v>9</v>
      </c>
      <c r="F49" s="30" t="s">
        <v>33</v>
      </c>
      <c r="G49" s="86">
        <v>1</v>
      </c>
      <c r="H49" s="21" t="s">
        <v>9</v>
      </c>
      <c r="I49" s="91">
        <v>0</v>
      </c>
      <c r="J49" s="23">
        <f t="shared" si="0"/>
        <v>1</v>
      </c>
      <c r="K49" s="11">
        <f t="shared" si="1"/>
        <v>3</v>
      </c>
      <c r="L49" s="11">
        <f t="shared" si="2"/>
        <v>0</v>
      </c>
      <c r="O49" s="40"/>
      <c r="P49" s="41"/>
      <c r="Q49" s="41"/>
      <c r="R49" s="41"/>
      <c r="S49" s="41"/>
      <c r="T49" s="41"/>
      <c r="U49" s="40"/>
      <c r="V49" s="40"/>
      <c r="W49" s="40"/>
      <c r="Y49" s="109">
        <f t="shared" si="8"/>
        <v>5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5</v>
      </c>
      <c r="AG49" s="108">
        <f t="shared" si="3"/>
        <v>0</v>
      </c>
      <c r="AH49" s="108">
        <f t="shared" si="4"/>
        <v>0</v>
      </c>
      <c r="AI49" s="108">
        <f t="shared" si="10"/>
        <v>0</v>
      </c>
      <c r="AJ49" s="108">
        <f t="shared" si="5"/>
        <v>5</v>
      </c>
      <c r="AK49" s="108">
        <f t="shared" si="6"/>
        <v>0</v>
      </c>
      <c r="AL49" s="108">
        <f t="shared" si="7"/>
        <v>0</v>
      </c>
      <c r="AN49" s="40"/>
      <c r="AO49" s="41"/>
    </row>
    <row r="50" spans="2:54" ht="15.75" thickBot="1">
      <c r="B50" s="18">
        <v>43</v>
      </c>
      <c r="C50" s="19">
        <v>41815</v>
      </c>
      <c r="D50" s="20" t="s">
        <v>28</v>
      </c>
      <c r="E50" s="21" t="s">
        <v>9</v>
      </c>
      <c r="F50" s="30" t="s">
        <v>25</v>
      </c>
      <c r="G50" s="86">
        <v>1</v>
      </c>
      <c r="H50" s="21" t="s">
        <v>9</v>
      </c>
      <c r="I50" s="91">
        <v>0</v>
      </c>
      <c r="J50" s="23">
        <f t="shared" si="0"/>
        <v>1</v>
      </c>
      <c r="K50" s="11">
        <f t="shared" si="1"/>
        <v>3</v>
      </c>
      <c r="L50" s="11">
        <f t="shared" si="2"/>
        <v>0</v>
      </c>
      <c r="O50" s="72" t="s">
        <v>81</v>
      </c>
      <c r="P50" s="73" t="s">
        <v>42</v>
      </c>
      <c r="Q50" s="73" t="s">
        <v>43</v>
      </c>
      <c r="R50" s="74" t="s">
        <v>44</v>
      </c>
      <c r="S50" s="75" t="s">
        <v>45</v>
      </c>
      <c r="T50" s="76" t="s">
        <v>46</v>
      </c>
      <c r="U50" s="40"/>
      <c r="V50" s="40"/>
      <c r="W50" s="40"/>
      <c r="Y50" s="109">
        <f t="shared" si="8"/>
        <v>0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0</v>
      </c>
      <c r="AG50" s="108">
        <f t="shared" si="3"/>
        <v>0</v>
      </c>
      <c r="AH50" s="108">
        <f t="shared" si="4"/>
        <v>0</v>
      </c>
      <c r="AI50" s="108">
        <f t="shared" si="10"/>
        <v>0</v>
      </c>
      <c r="AJ50" s="108">
        <f t="shared" si="5"/>
        <v>0</v>
      </c>
      <c r="AK50" s="108">
        <f t="shared" si="6"/>
        <v>0</v>
      </c>
      <c r="AL50" s="108">
        <f t="shared" si="7"/>
        <v>0</v>
      </c>
      <c r="AN50" s="42" t="s">
        <v>81</v>
      </c>
      <c r="AO50" s="43" t="s">
        <v>46</v>
      </c>
    </row>
    <row r="51" spans="2:54" ht="15.75" thickBot="1">
      <c r="B51" s="24">
        <v>44</v>
      </c>
      <c r="C51" s="25">
        <v>41815</v>
      </c>
      <c r="D51" s="26" t="s">
        <v>26</v>
      </c>
      <c r="E51" s="27" t="s">
        <v>9</v>
      </c>
      <c r="F51" s="28" t="s">
        <v>27</v>
      </c>
      <c r="G51" s="87">
        <v>1</v>
      </c>
      <c r="H51" s="27" t="s">
        <v>9</v>
      </c>
      <c r="I51" s="92">
        <v>3</v>
      </c>
      <c r="J51" s="29">
        <f t="shared" si="0"/>
        <v>2</v>
      </c>
      <c r="K51" s="11">
        <f t="shared" si="1"/>
        <v>0</v>
      </c>
      <c r="L51" s="11">
        <f t="shared" si="2"/>
        <v>3</v>
      </c>
      <c r="O51" s="44" t="s">
        <v>37</v>
      </c>
      <c r="P51" s="45">
        <f>SUMIF($D$8:$D$55,$O51,$G$8:$G$55)+SUMIF($F$8:$F$55,$O51,$I$8:$I$55)</f>
        <v>4</v>
      </c>
      <c r="Q51" s="45">
        <f>SUMIF($D$8:$D$55,$O51,$I$8:$I$55)+SUMIF($F$8:$F$55,$O51,$G$8:$G$55)</f>
        <v>3</v>
      </c>
      <c r="R51" s="46">
        <f>P51-Q51</f>
        <v>1</v>
      </c>
      <c r="S51" s="47">
        <f>SUMIF($D$8:$D$55,$O51,$K$8:$K$55)+SUMIF($F$8:$F$55,$O51,$L$8:$L$55)</f>
        <v>6</v>
      </c>
      <c r="T51" s="94" t="s">
        <v>83</v>
      </c>
      <c r="U51" s="40"/>
      <c r="V51" s="40" t="str">
        <f>O51</f>
        <v>België</v>
      </c>
      <c r="W51" s="40" t="s">
        <v>82</v>
      </c>
      <c r="Y51" s="109">
        <f t="shared" si="8"/>
        <v>0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0</v>
      </c>
      <c r="AG51" s="108">
        <f t="shared" si="3"/>
        <v>0</v>
      </c>
      <c r="AH51" s="108">
        <f t="shared" si="4"/>
        <v>0</v>
      </c>
      <c r="AI51" s="108">
        <f t="shared" si="10"/>
        <v>0</v>
      </c>
      <c r="AJ51" s="108">
        <f t="shared" si="5"/>
        <v>0</v>
      </c>
      <c r="AK51" s="108">
        <f t="shared" si="6"/>
        <v>0</v>
      </c>
      <c r="AL51" s="108">
        <f t="shared" si="7"/>
        <v>0</v>
      </c>
      <c r="AM51" s="120">
        <f>AO51</f>
        <v>0</v>
      </c>
      <c r="AN51" s="116" t="s">
        <v>37</v>
      </c>
      <c r="AO51" s="115">
        <f>IF(Uitslag!T51="",0,IF(T51=Uitslag!T51,10,0))</f>
        <v>0</v>
      </c>
    </row>
    <row r="52" spans="2:54" ht="15.75" thickBot="1">
      <c r="B52" s="18">
        <v>45</v>
      </c>
      <c r="C52" s="19">
        <v>41816</v>
      </c>
      <c r="D52" s="20" t="s">
        <v>36</v>
      </c>
      <c r="E52" s="21" t="s">
        <v>9</v>
      </c>
      <c r="F52" s="30" t="s">
        <v>31</v>
      </c>
      <c r="G52" s="86">
        <v>0</v>
      </c>
      <c r="H52" s="21" t="s">
        <v>9</v>
      </c>
      <c r="I52" s="91">
        <v>1</v>
      </c>
      <c r="J52" s="17">
        <f t="shared" si="0"/>
        <v>2</v>
      </c>
      <c r="K52" s="11">
        <f t="shared" si="1"/>
        <v>0</v>
      </c>
      <c r="L52" s="11">
        <f t="shared" si="2"/>
        <v>3</v>
      </c>
      <c r="O52" s="48" t="s">
        <v>38</v>
      </c>
      <c r="P52" s="49">
        <f>SUMIF($D$8:$D$55,$O52,$G$8:$G$55)+SUMIF($F$8:$F$55,$O52,$I$8:$I$55)</f>
        <v>3</v>
      </c>
      <c r="Q52" s="49">
        <f>SUMIF($D$8:$D$55,$O52,$I$8:$I$55)+SUMIF($F$8:$F$55,$O52,$G$8:$G$55)</f>
        <v>5</v>
      </c>
      <c r="R52" s="49">
        <f>P52-Q52</f>
        <v>-2</v>
      </c>
      <c r="S52" s="50">
        <f>SUMIF($D$8:$D$55,$O52,$K$8:$K$55)+SUMIF($F$8:$F$55,$O52,$L$8:$L$55)</f>
        <v>1</v>
      </c>
      <c r="T52" s="95" t="s">
        <v>84</v>
      </c>
      <c r="U52" s="40"/>
      <c r="V52" s="40" t="str">
        <f>O52</f>
        <v>Algerije</v>
      </c>
      <c r="W52" s="40" t="s">
        <v>83</v>
      </c>
      <c r="Y52" s="109">
        <f t="shared" si="8"/>
        <v>10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10</v>
      </c>
      <c r="AG52" s="108">
        <f t="shared" si="3"/>
        <v>1</v>
      </c>
      <c r="AH52" s="108">
        <f t="shared" si="4"/>
        <v>1</v>
      </c>
      <c r="AI52" s="108">
        <f t="shared" si="10"/>
        <v>10</v>
      </c>
      <c r="AJ52" s="108">
        <f t="shared" si="5"/>
        <v>0</v>
      </c>
      <c r="AK52" s="108">
        <f t="shared" si="6"/>
        <v>5</v>
      </c>
      <c r="AL52" s="108">
        <f t="shared" si="7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18">
        <v>46</v>
      </c>
      <c r="C53" s="19">
        <v>41816</v>
      </c>
      <c r="D53" s="20" t="s">
        <v>32</v>
      </c>
      <c r="E53" s="21" t="s">
        <v>9</v>
      </c>
      <c r="F53" s="30" t="s">
        <v>35</v>
      </c>
      <c r="G53" s="86">
        <v>2</v>
      </c>
      <c r="H53" s="21" t="s">
        <v>9</v>
      </c>
      <c r="I53" s="91">
        <v>1</v>
      </c>
      <c r="J53" s="23">
        <f t="shared" si="0"/>
        <v>1</v>
      </c>
      <c r="K53" s="11">
        <f t="shared" si="1"/>
        <v>3</v>
      </c>
      <c r="L53" s="11">
        <f t="shared" si="2"/>
        <v>0</v>
      </c>
      <c r="O53" s="48" t="s">
        <v>39</v>
      </c>
      <c r="P53" s="49">
        <f>SUMIF($D$8:$D$55,$O53,$G$8:$G$55)+SUMIF($F$8:$F$55,$O53,$I$8:$I$55)</f>
        <v>7</v>
      </c>
      <c r="Q53" s="49">
        <f>SUMIF($D$8:$D$55,$O53,$I$8:$I$55)+SUMIF($F$8:$F$55,$O53,$G$8:$G$55)</f>
        <v>4</v>
      </c>
      <c r="R53" s="49">
        <f>P53-Q53</f>
        <v>3</v>
      </c>
      <c r="S53" s="50">
        <f>SUMIF($D$8:$D$55,$O53,$K$8:$K$55)+SUMIF($F$8:$F$55,$O53,$L$8:$L$55)</f>
        <v>9</v>
      </c>
      <c r="T53" s="95" t="s">
        <v>82</v>
      </c>
      <c r="U53" s="40"/>
      <c r="V53" s="40" t="str">
        <f>O53</f>
        <v>Rusland</v>
      </c>
      <c r="W53" s="40" t="s">
        <v>84</v>
      </c>
      <c r="Y53" s="109">
        <f t="shared" si="8"/>
        <v>10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10</v>
      </c>
      <c r="AG53" s="108">
        <f t="shared" si="3"/>
        <v>1</v>
      </c>
      <c r="AH53" s="108">
        <f t="shared" si="4"/>
        <v>1</v>
      </c>
      <c r="AI53" s="108">
        <f t="shared" si="10"/>
        <v>10</v>
      </c>
      <c r="AJ53" s="108">
        <f t="shared" si="5"/>
        <v>5</v>
      </c>
      <c r="AK53" s="108">
        <f t="shared" si="6"/>
        <v>0</v>
      </c>
      <c r="AL53" s="108">
        <f t="shared" si="7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18">
        <v>47</v>
      </c>
      <c r="C54" s="19">
        <v>41816</v>
      </c>
      <c r="D54" s="20" t="s">
        <v>40</v>
      </c>
      <c r="E54" s="21" t="s">
        <v>9</v>
      </c>
      <c r="F54" s="30" t="s">
        <v>37</v>
      </c>
      <c r="G54" s="86">
        <v>1</v>
      </c>
      <c r="H54" s="21" t="s">
        <v>9</v>
      </c>
      <c r="I54" s="91">
        <v>2</v>
      </c>
      <c r="J54" s="23">
        <f t="shared" si="0"/>
        <v>2</v>
      </c>
      <c r="K54" s="11">
        <f t="shared" si="1"/>
        <v>0</v>
      </c>
      <c r="L54" s="11">
        <f t="shared" si="2"/>
        <v>3</v>
      </c>
      <c r="O54" s="51" t="s">
        <v>40</v>
      </c>
      <c r="P54" s="52">
        <f>SUMIF($D$8:$D$55,$O54,$G$8:$G$55)+SUMIF($F$8:$F$55,$O54,$I$8:$I$55)</f>
        <v>3</v>
      </c>
      <c r="Q54" s="52">
        <f>SUMIF($D$8:$D$55,$O54,$I$8:$I$55)+SUMIF($F$8:$F$55,$O54,$G$8:$G$55)</f>
        <v>5</v>
      </c>
      <c r="R54" s="52">
        <f>P54-Q54</f>
        <v>-2</v>
      </c>
      <c r="S54" s="53">
        <f>SUMIF($D$8:$D$55,$O54,$K$8:$K$55)+SUMIF($F$8:$F$55,$O54,$L$8:$L$55)</f>
        <v>1</v>
      </c>
      <c r="T54" s="96" t="s">
        <v>85</v>
      </c>
      <c r="U54" s="40"/>
      <c r="V54" s="40" t="str">
        <f>O54</f>
        <v>Zuid Korea</v>
      </c>
      <c r="W54" s="40" t="s">
        <v>85</v>
      </c>
      <c r="Y54" s="109">
        <f t="shared" si="8"/>
        <v>5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5</v>
      </c>
      <c r="AG54" s="108">
        <f t="shared" si="3"/>
        <v>0</v>
      </c>
      <c r="AH54" s="108">
        <f t="shared" si="4"/>
        <v>0</v>
      </c>
      <c r="AI54" s="108">
        <f t="shared" si="10"/>
        <v>0</v>
      </c>
      <c r="AJ54" s="108">
        <f t="shared" si="5"/>
        <v>0</v>
      </c>
      <c r="AK54" s="108">
        <f t="shared" si="6"/>
        <v>5</v>
      </c>
      <c r="AL54" s="108">
        <f t="shared" si="7"/>
        <v>0</v>
      </c>
      <c r="AM54" s="120">
        <f>AO54</f>
        <v>10</v>
      </c>
      <c r="AN54" s="118" t="s">
        <v>40</v>
      </c>
      <c r="AO54" s="115">
        <f>IF(Uitslag!T54="",0,IF(T54=Uitslag!T54,10,0))</f>
        <v>10</v>
      </c>
    </row>
    <row r="55" spans="2:54" ht="15.75" thickBot="1">
      <c r="B55" s="33">
        <v>48</v>
      </c>
      <c r="C55" s="34">
        <v>41816</v>
      </c>
      <c r="D55" s="35" t="s">
        <v>38</v>
      </c>
      <c r="E55" s="36" t="s">
        <v>9</v>
      </c>
      <c r="F55" s="37" t="s">
        <v>39</v>
      </c>
      <c r="G55" s="88">
        <v>2</v>
      </c>
      <c r="H55" s="36" t="s">
        <v>9</v>
      </c>
      <c r="I55" s="93">
        <v>3</v>
      </c>
      <c r="J55" s="38">
        <f t="shared" si="0"/>
        <v>2</v>
      </c>
      <c r="K55" s="11">
        <f t="shared" si="1"/>
        <v>0</v>
      </c>
      <c r="L55" s="11">
        <f t="shared" si="2"/>
        <v>3</v>
      </c>
      <c r="O55" s="40"/>
      <c r="P55" s="41"/>
      <c r="Q55" s="41"/>
      <c r="R55" s="41"/>
      <c r="S55" s="41"/>
      <c r="T55" s="41"/>
      <c r="U55" s="40"/>
      <c r="V55" s="40"/>
      <c r="W55" s="40"/>
      <c r="Y55" s="109">
        <f t="shared" si="8"/>
        <v>0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0</v>
      </c>
      <c r="AG55" s="108">
        <f t="shared" si="3"/>
        <v>0</v>
      </c>
      <c r="AH55" s="108">
        <f t="shared" si="4"/>
        <v>0</v>
      </c>
      <c r="AI55" s="108">
        <f t="shared" si="10"/>
        <v>0</v>
      </c>
      <c r="AJ55" s="108">
        <f t="shared" si="5"/>
        <v>0</v>
      </c>
      <c r="AK55" s="108">
        <f t="shared" si="6"/>
        <v>0</v>
      </c>
      <c r="AL55" s="108">
        <f t="shared" si="7"/>
        <v>0</v>
      </c>
    </row>
    <row r="56" spans="2:54" ht="15.75" thickBot="1">
      <c r="B56" s="1"/>
      <c r="C56" s="39"/>
      <c r="D56" s="40"/>
      <c r="E56" s="1"/>
      <c r="F56" s="40"/>
      <c r="G56" s="1"/>
      <c r="H56" s="1"/>
      <c r="I56" s="1"/>
      <c r="J56" s="1"/>
      <c r="K56" s="1"/>
      <c r="L56" s="1"/>
      <c r="M56" s="1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195"/>
      <c r="K57" s="1"/>
      <c r="L57" s="1"/>
      <c r="M57" s="1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78" t="s">
        <v>1</v>
      </c>
      <c r="C58" s="79" t="s">
        <v>2</v>
      </c>
      <c r="D58" s="187" t="s">
        <v>3</v>
      </c>
      <c r="E58" s="81"/>
      <c r="F58" s="194" t="s">
        <v>4</v>
      </c>
      <c r="G58" s="867" t="s">
        <v>5</v>
      </c>
      <c r="H58" s="868"/>
      <c r="I58" s="869"/>
      <c r="J58" s="83" t="s">
        <v>6</v>
      </c>
      <c r="K58" s="1"/>
      <c r="L58" s="1"/>
      <c r="M58" s="1"/>
      <c r="O58" s="135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12">
        <v>49</v>
      </c>
      <c r="C59" s="189">
        <v>41818</v>
      </c>
      <c r="D59" s="153" t="str">
        <f t="shared" ref="D59:D66" si="13">IF(ISERROR(Z59),K59,Z59)</f>
        <v>Brazilië</v>
      </c>
      <c r="E59" s="15" t="s">
        <v>9</v>
      </c>
      <c r="F59" s="56" t="str">
        <f t="shared" ref="F59:F66" si="14">IF(ISERROR(AA59),L59,AA59)</f>
        <v>Nederland</v>
      </c>
      <c r="G59" s="85">
        <v>2</v>
      </c>
      <c r="H59" s="15" t="s">
        <v>9</v>
      </c>
      <c r="I59" s="97">
        <v>0</v>
      </c>
      <c r="J59" s="98">
        <v>1</v>
      </c>
      <c r="K59" s="57" t="s">
        <v>48</v>
      </c>
      <c r="L59" s="57" t="s">
        <v>53</v>
      </c>
      <c r="M59" s="57">
        <v>1</v>
      </c>
      <c r="O59" s="135">
        <v>2</v>
      </c>
      <c r="P59" s="877" t="s">
        <v>220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5">AF59</f>
        <v>0</v>
      </c>
      <c r="Z59" t="str">
        <f t="shared" ref="Z59:AA65" si="16">IF(K59=""," ",VLOOKUP(K59,$T$9:$V$54,3,FALSE))</f>
        <v>Brazilië</v>
      </c>
      <c r="AA59" t="str">
        <f t="shared" si="16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7">IF(OR(AC59="",AD59=""),0,(IF(SUM(AG59:AL59)&gt;10,10,SUM(AG59:AL59))))</f>
        <v>0</v>
      </c>
      <c r="AG59" s="108">
        <f t="shared" ref="AG59:AG66" si="18">IF(AC59="",0,(IF(G59=AC59,1,0)))</f>
        <v>0</v>
      </c>
      <c r="AH59" s="108">
        <f t="shared" ref="AH59:AH66" si="19">IF(AD59="",0,(IF(I59=AD59,1,0)))</f>
        <v>0</v>
      </c>
      <c r="AI59" s="108">
        <f t="shared" ref="AI59:AI66" si="20">IF(AND(AG59=1,AH59=1),10,0)</f>
        <v>0</v>
      </c>
      <c r="AJ59" s="108">
        <f t="shared" ref="AJ59:AJ66" si="21">IF(AND(G59&gt;I59,AC59&gt;AD59),5,0)</f>
        <v>0</v>
      </c>
      <c r="AK59" s="108">
        <f t="shared" ref="AK59:AK66" si="22">IF(AND(G59&lt;I59,AC59&lt;AD59),5,0)</f>
        <v>0</v>
      </c>
      <c r="AL59" s="108">
        <f t="shared" ref="AL59:AL66" si="23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4">BA59</f>
        <v>3</v>
      </c>
    </row>
    <row r="60" spans="2:54">
      <c r="B60" s="24">
        <v>50</v>
      </c>
      <c r="C60" s="190">
        <v>41818</v>
      </c>
      <c r="D60" s="154" t="str">
        <f t="shared" si="13"/>
        <v>Ivoorkust</v>
      </c>
      <c r="E60" s="27" t="s">
        <v>9</v>
      </c>
      <c r="F60" s="59" t="str">
        <f t="shared" si="14"/>
        <v>Italië</v>
      </c>
      <c r="G60" s="87">
        <v>2</v>
      </c>
      <c r="H60" s="27" t="s">
        <v>9</v>
      </c>
      <c r="I60" s="99">
        <v>1</v>
      </c>
      <c r="J60" s="100">
        <v>1</v>
      </c>
      <c r="K60" s="57" t="s">
        <v>57</v>
      </c>
      <c r="L60" s="57" t="s">
        <v>63</v>
      </c>
      <c r="M60" s="57">
        <v>2</v>
      </c>
      <c r="O60" s="135">
        <v>3</v>
      </c>
      <c r="P60" s="877" t="s">
        <v>209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5"/>
        <v>6</v>
      </c>
      <c r="Z60" t="str">
        <f t="shared" si="16"/>
        <v>Ivoorkust</v>
      </c>
      <c r="AA60" t="str">
        <f t="shared" si="16"/>
        <v>Italië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7"/>
        <v>6</v>
      </c>
      <c r="AG60" s="108">
        <f t="shared" si="18"/>
        <v>1</v>
      </c>
      <c r="AH60" s="108">
        <f t="shared" si="19"/>
        <v>0</v>
      </c>
      <c r="AI60" s="108">
        <f t="shared" si="20"/>
        <v>0</v>
      </c>
      <c r="AJ60" s="108">
        <f t="shared" si="21"/>
        <v>5</v>
      </c>
      <c r="AK60" s="108">
        <f t="shared" si="22"/>
        <v>0</v>
      </c>
      <c r="AL60" s="108">
        <f t="shared" si="23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4"/>
        <v>3</v>
      </c>
    </row>
    <row r="61" spans="2:54">
      <c r="B61" s="12">
        <v>51</v>
      </c>
      <c r="C61" s="189">
        <v>41819</v>
      </c>
      <c r="D61" s="188" t="str">
        <f t="shared" si="13"/>
        <v>Spanje</v>
      </c>
      <c r="E61" s="15" t="s">
        <v>9</v>
      </c>
      <c r="F61" s="56" t="str">
        <f t="shared" si="14"/>
        <v>Kameroen</v>
      </c>
      <c r="G61" s="85">
        <v>3</v>
      </c>
      <c r="H61" s="15" t="s">
        <v>9</v>
      </c>
      <c r="I61" s="97">
        <v>1</v>
      </c>
      <c r="J61" s="98">
        <v>1</v>
      </c>
      <c r="K61" s="57" t="s">
        <v>52</v>
      </c>
      <c r="L61" s="57" t="s">
        <v>49</v>
      </c>
      <c r="M61" s="57"/>
      <c r="O61" s="135">
        <v>4</v>
      </c>
      <c r="P61" s="877" t="s">
        <v>211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5"/>
        <v>6</v>
      </c>
      <c r="Z61" t="str">
        <f t="shared" si="16"/>
        <v>Spanje</v>
      </c>
      <c r="AA61" t="str">
        <f t="shared" si="16"/>
        <v>Kameroen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7"/>
        <v>6</v>
      </c>
      <c r="AG61" s="108">
        <f t="shared" si="18"/>
        <v>0</v>
      </c>
      <c r="AH61" s="108">
        <f t="shared" si="19"/>
        <v>1</v>
      </c>
      <c r="AI61" s="108">
        <f t="shared" si="20"/>
        <v>0</v>
      </c>
      <c r="AJ61" s="108">
        <f t="shared" si="21"/>
        <v>5</v>
      </c>
      <c r="AK61" s="108">
        <f t="shared" si="22"/>
        <v>0</v>
      </c>
      <c r="AL61" s="108">
        <f t="shared" si="23"/>
        <v>0</v>
      </c>
      <c r="AZ61" s="138" t="str">
        <f>Uitslag!P61</f>
        <v>Ron Vlaar (v)</v>
      </c>
      <c r="BA61" s="140">
        <f t="shared" si="12"/>
        <v>3</v>
      </c>
      <c r="BB61" s="139">
        <f t="shared" si="24"/>
        <v>3</v>
      </c>
    </row>
    <row r="62" spans="2:54">
      <c r="B62" s="24">
        <v>52</v>
      </c>
      <c r="C62" s="190">
        <v>41819</v>
      </c>
      <c r="D62" s="188" t="str">
        <f t="shared" si="13"/>
        <v>Engeland</v>
      </c>
      <c r="E62" s="27" t="s">
        <v>9</v>
      </c>
      <c r="F62" s="59" t="str">
        <f t="shared" si="14"/>
        <v>Colombia</v>
      </c>
      <c r="G62" s="87">
        <v>1</v>
      </c>
      <c r="H62" s="27" t="s">
        <v>9</v>
      </c>
      <c r="I62" s="99">
        <v>0</v>
      </c>
      <c r="J62" s="100">
        <v>1</v>
      </c>
      <c r="K62" s="57" t="s">
        <v>62</v>
      </c>
      <c r="L62" s="57" t="s">
        <v>58</v>
      </c>
      <c r="M62" s="57"/>
      <c r="O62" s="135">
        <v>5</v>
      </c>
      <c r="P62" s="877" t="s">
        <v>229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5"/>
        <v>1</v>
      </c>
      <c r="Z62" t="str">
        <f t="shared" si="16"/>
        <v>Engeland</v>
      </c>
      <c r="AA62" t="str">
        <f t="shared" si="16"/>
        <v>Colombia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7"/>
        <v>1</v>
      </c>
      <c r="AG62" s="108">
        <f t="shared" si="18"/>
        <v>1</v>
      </c>
      <c r="AH62" s="108">
        <f t="shared" si="19"/>
        <v>0</v>
      </c>
      <c r="AI62" s="108">
        <f t="shared" si="20"/>
        <v>0</v>
      </c>
      <c r="AJ62" s="108">
        <f t="shared" si="21"/>
        <v>0</v>
      </c>
      <c r="AK62" s="108">
        <f t="shared" si="22"/>
        <v>0</v>
      </c>
      <c r="AL62" s="108">
        <f t="shared" si="23"/>
        <v>0</v>
      </c>
      <c r="AZ62" s="138" t="str">
        <f>Uitslag!P62</f>
        <v>Bruno Martins Indi (v)</v>
      </c>
      <c r="BA62" s="140">
        <f t="shared" si="12"/>
        <v>0</v>
      </c>
      <c r="BB62" s="139">
        <f t="shared" si="24"/>
        <v>0</v>
      </c>
    </row>
    <row r="63" spans="2:54">
      <c r="B63" s="12">
        <v>53</v>
      </c>
      <c r="C63" s="189">
        <v>41820</v>
      </c>
      <c r="D63" s="153" t="str">
        <f t="shared" si="13"/>
        <v>Frankrijk</v>
      </c>
      <c r="E63" s="15" t="s">
        <v>9</v>
      </c>
      <c r="F63" s="56" t="str">
        <f t="shared" si="14"/>
        <v>Nigeria</v>
      </c>
      <c r="G63" s="85">
        <v>2</v>
      </c>
      <c r="H63" s="15" t="s">
        <v>9</v>
      </c>
      <c r="I63" s="97">
        <v>3</v>
      </c>
      <c r="J63" s="98">
        <v>2</v>
      </c>
      <c r="K63" s="57" t="s">
        <v>67</v>
      </c>
      <c r="L63" s="57" t="s">
        <v>73</v>
      </c>
      <c r="M63" s="57"/>
      <c r="O63" s="135">
        <v>6</v>
      </c>
      <c r="P63" s="877" t="s">
        <v>214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5"/>
        <v>1</v>
      </c>
      <c r="Z63" t="str">
        <f t="shared" si="16"/>
        <v>Frankrijk</v>
      </c>
      <c r="AA63" t="str">
        <f t="shared" si="16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7"/>
        <v>1</v>
      </c>
      <c r="AG63" s="108">
        <f t="shared" si="18"/>
        <v>1</v>
      </c>
      <c r="AH63" s="108">
        <f t="shared" si="19"/>
        <v>0</v>
      </c>
      <c r="AI63" s="108">
        <f t="shared" si="20"/>
        <v>0</v>
      </c>
      <c r="AJ63" s="108">
        <f t="shared" si="21"/>
        <v>0</v>
      </c>
      <c r="AK63" s="108">
        <f t="shared" si="22"/>
        <v>0</v>
      </c>
      <c r="AL63" s="108">
        <f t="shared" si="23"/>
        <v>0</v>
      </c>
      <c r="AZ63" s="138" t="str">
        <f>Uitslag!P63</f>
        <v>Daley Blind (v)</v>
      </c>
      <c r="BA63" s="140">
        <f t="shared" si="12"/>
        <v>3</v>
      </c>
      <c r="BB63" s="139">
        <f t="shared" si="24"/>
        <v>3</v>
      </c>
    </row>
    <row r="64" spans="2:54">
      <c r="B64" s="24">
        <v>54</v>
      </c>
      <c r="C64" s="190">
        <v>41820</v>
      </c>
      <c r="D64" s="154" t="str">
        <f t="shared" si="13"/>
        <v>Portugal</v>
      </c>
      <c r="E64" s="27" t="s">
        <v>9</v>
      </c>
      <c r="F64" s="59" t="str">
        <f t="shared" si="14"/>
        <v>België</v>
      </c>
      <c r="G64" s="87">
        <v>3</v>
      </c>
      <c r="H64" s="27" t="s">
        <v>9</v>
      </c>
      <c r="I64" s="99">
        <v>0</v>
      </c>
      <c r="J64" s="100">
        <v>1</v>
      </c>
      <c r="K64" s="57" t="s">
        <v>77</v>
      </c>
      <c r="L64" s="57" t="s">
        <v>83</v>
      </c>
      <c r="M64" s="57"/>
      <c r="O64" s="135">
        <v>7</v>
      </c>
      <c r="P64" s="877" t="s">
        <v>212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5"/>
        <v>1</v>
      </c>
      <c r="Z64" t="str">
        <f t="shared" si="16"/>
        <v>Portugal</v>
      </c>
      <c r="AA64" t="str">
        <f t="shared" si="16"/>
        <v>België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7"/>
        <v>1</v>
      </c>
      <c r="AG64" s="108">
        <f t="shared" si="18"/>
        <v>0</v>
      </c>
      <c r="AH64" s="108">
        <f t="shared" si="19"/>
        <v>1</v>
      </c>
      <c r="AI64" s="108">
        <f t="shared" si="20"/>
        <v>0</v>
      </c>
      <c r="AJ64" s="108">
        <f t="shared" si="21"/>
        <v>0</v>
      </c>
      <c r="AK64" s="108">
        <f t="shared" si="22"/>
        <v>0</v>
      </c>
      <c r="AL64" s="108">
        <f t="shared" si="23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4"/>
        <v>3</v>
      </c>
    </row>
    <row r="65" spans="2:54">
      <c r="B65" s="18">
        <v>55</v>
      </c>
      <c r="C65" s="191">
        <v>41821</v>
      </c>
      <c r="D65" s="153" t="str">
        <f t="shared" si="13"/>
        <v>Argentinië</v>
      </c>
      <c r="E65" s="21" t="s">
        <v>9</v>
      </c>
      <c r="F65" s="60" t="str">
        <f t="shared" si="14"/>
        <v>Ecuador</v>
      </c>
      <c r="G65" s="86">
        <v>2</v>
      </c>
      <c r="H65" s="21" t="s">
        <v>9</v>
      </c>
      <c r="I65" s="101">
        <v>2</v>
      </c>
      <c r="J65" s="102">
        <v>1</v>
      </c>
      <c r="K65" s="57" t="s">
        <v>72</v>
      </c>
      <c r="L65" s="57" t="s">
        <v>68</v>
      </c>
      <c r="M65" s="57"/>
      <c r="O65" s="135">
        <v>8</v>
      </c>
      <c r="P65" s="877" t="s">
        <v>213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5"/>
        <v>5</v>
      </c>
      <c r="Z65" t="str">
        <f t="shared" si="16"/>
        <v>Argentinië</v>
      </c>
      <c r="AA65" t="str">
        <f t="shared" si="16"/>
        <v>Ecuador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7"/>
        <v>5</v>
      </c>
      <c r="AG65" s="108">
        <f t="shared" si="18"/>
        <v>0</v>
      </c>
      <c r="AH65" s="108">
        <f t="shared" si="19"/>
        <v>0</v>
      </c>
      <c r="AI65" s="108">
        <f t="shared" si="20"/>
        <v>0</v>
      </c>
      <c r="AJ65" s="108">
        <f t="shared" si="21"/>
        <v>0</v>
      </c>
      <c r="AK65" s="108">
        <f t="shared" si="22"/>
        <v>0</v>
      </c>
      <c r="AL65" s="108">
        <f t="shared" si="23"/>
        <v>5</v>
      </c>
      <c r="AZ65" s="138" t="str">
        <f>Uitslag!P65</f>
        <v>Nigel de Jong (m)</v>
      </c>
      <c r="BA65" s="140">
        <f t="shared" si="12"/>
        <v>3</v>
      </c>
      <c r="BB65" s="139">
        <f t="shared" si="24"/>
        <v>3</v>
      </c>
    </row>
    <row r="66" spans="2:54" ht="15.75" thickBot="1">
      <c r="B66" s="33">
        <v>56</v>
      </c>
      <c r="C66" s="186">
        <v>41821</v>
      </c>
      <c r="D66" s="155" t="str">
        <f t="shared" si="13"/>
        <v>Rusland</v>
      </c>
      <c r="E66" s="36" t="s">
        <v>9</v>
      </c>
      <c r="F66" s="62" t="str">
        <f t="shared" si="14"/>
        <v>Duitsland</v>
      </c>
      <c r="G66" s="88">
        <v>1</v>
      </c>
      <c r="H66" s="36" t="s">
        <v>9</v>
      </c>
      <c r="I66" s="103">
        <v>2</v>
      </c>
      <c r="J66" s="104">
        <v>2</v>
      </c>
      <c r="K66" s="57" t="s">
        <v>82</v>
      </c>
      <c r="L66" s="57" t="s">
        <v>78</v>
      </c>
      <c r="M66" s="57"/>
      <c r="O66" s="135">
        <v>9</v>
      </c>
      <c r="P66" s="877" t="s">
        <v>240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5"/>
        <v>0</v>
      </c>
      <c r="Z66" t="str">
        <f>IF(K66=""," ",VLOOKUP(K66,$T$9:$V$54,3,FALSE))</f>
        <v>Rusland</v>
      </c>
      <c r="AA66" t="str">
        <f>IF(L66=""," ",VLOOKUP(L66,$T$9:$V$54,3,FALSE))</f>
        <v>Duitsland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7"/>
        <v>0</v>
      </c>
      <c r="AG66" s="108">
        <f t="shared" si="18"/>
        <v>0</v>
      </c>
      <c r="AH66" s="108">
        <f t="shared" si="19"/>
        <v>0</v>
      </c>
      <c r="AI66" s="108">
        <f t="shared" si="20"/>
        <v>0</v>
      </c>
      <c r="AJ66" s="108">
        <f t="shared" si="21"/>
        <v>0</v>
      </c>
      <c r="AK66" s="108">
        <f t="shared" si="22"/>
        <v>0</v>
      </c>
      <c r="AL66" s="108">
        <f t="shared" si="23"/>
        <v>0</v>
      </c>
      <c r="AZ66" s="138" t="str">
        <f>Uitslag!P66</f>
        <v>Jonathan de Guzman (m)</v>
      </c>
      <c r="BA66" s="140">
        <f t="shared" si="12"/>
        <v>0</v>
      </c>
      <c r="BB66" s="139">
        <f t="shared" si="24"/>
        <v>0</v>
      </c>
    </row>
    <row r="67" spans="2:54" ht="15.75" thickBot="1">
      <c r="B67" s="1"/>
      <c r="C67" s="39"/>
      <c r="D67" s="40"/>
      <c r="E67" s="1"/>
      <c r="F67" s="40"/>
      <c r="G67" s="1"/>
      <c r="H67" s="1"/>
      <c r="I67" s="1"/>
      <c r="J67" s="1"/>
      <c r="K67" s="1"/>
      <c r="L67" s="1"/>
      <c r="M67" s="1"/>
      <c r="O67" s="135">
        <v>10</v>
      </c>
      <c r="P67" s="877" t="s">
        <v>216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4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195"/>
      <c r="K68" s="1"/>
      <c r="L68" s="1"/>
      <c r="M68" s="1"/>
      <c r="O68" s="135">
        <v>11</v>
      </c>
      <c r="P68" s="877" t="s">
        <v>215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4"/>
        <v>3</v>
      </c>
    </row>
    <row r="69" spans="2:54">
      <c r="B69" s="78" t="s">
        <v>1</v>
      </c>
      <c r="C69" s="79" t="s">
        <v>2</v>
      </c>
      <c r="D69" s="193" t="s">
        <v>3</v>
      </c>
      <c r="E69" s="81"/>
      <c r="F69" s="194" t="s">
        <v>4</v>
      </c>
      <c r="G69" s="867" t="s">
        <v>5</v>
      </c>
      <c r="H69" s="868"/>
      <c r="I69" s="869"/>
      <c r="J69" s="83" t="s">
        <v>6</v>
      </c>
      <c r="K69" s="1"/>
      <c r="L69" s="1"/>
      <c r="M69" s="1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27</v>
      </c>
      <c r="BB69" s="139" t="str">
        <f>IF(AND(BA69&lt;&gt;"",BA69=33),15,"nvt")</f>
        <v>nvt</v>
      </c>
    </row>
    <row r="70" spans="2:54">
      <c r="B70" s="12">
        <v>57</v>
      </c>
      <c r="C70" s="13">
        <v>41824</v>
      </c>
      <c r="D70" s="55" t="str">
        <f>IF(J63="","Winnaar 53",IF(J63=1,D63,F63))</f>
        <v>Nigeria</v>
      </c>
      <c r="E70" s="15" t="s">
        <v>9</v>
      </c>
      <c r="F70" s="56" t="str">
        <f>IF(J64="","Winnaar 54",IF(J64=1,D64,F64))</f>
        <v>Portugal</v>
      </c>
      <c r="G70" s="85">
        <v>2</v>
      </c>
      <c r="H70" s="15" t="s">
        <v>9</v>
      </c>
      <c r="I70" s="97">
        <v>3</v>
      </c>
      <c r="J70" s="98">
        <v>2</v>
      </c>
      <c r="K70" s="1"/>
      <c r="L70" s="1"/>
      <c r="M70" s="1"/>
      <c r="V70" t="s">
        <v>133</v>
      </c>
      <c r="W70" t="s">
        <v>126</v>
      </c>
      <c r="X70" t="str">
        <f t="shared" si="11"/>
        <v>Karim Rekik (v)</v>
      </c>
      <c r="Y70" s="109">
        <f>AF70</f>
        <v>5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5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24">
        <v>58</v>
      </c>
      <c r="C71" s="25">
        <v>41824</v>
      </c>
      <c r="D71" s="58" t="str">
        <f>IF(J59="","Winnaar 49",IF(J59=1,D59,F59))</f>
        <v>Brazilië</v>
      </c>
      <c r="E71" s="27" t="s">
        <v>9</v>
      </c>
      <c r="F71" s="59" t="str">
        <f>IF(J60="","Winnaar 50",IF(J60=1,D60,F60))</f>
        <v>Ivoorkust</v>
      </c>
      <c r="G71" s="87">
        <v>2</v>
      </c>
      <c r="H71" s="27" t="s">
        <v>9</v>
      </c>
      <c r="I71" s="99">
        <v>2</v>
      </c>
      <c r="J71" s="100">
        <v>1</v>
      </c>
      <c r="K71" s="1"/>
      <c r="L71" s="1"/>
      <c r="M71" s="1"/>
      <c r="V71" t="s">
        <v>133</v>
      </c>
      <c r="W71" t="s">
        <v>194</v>
      </c>
      <c r="X71" t="str">
        <f t="shared" si="11"/>
        <v>Ron Vlaar (v)</v>
      </c>
      <c r="Y71" s="109">
        <f>AF71</f>
        <v>1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1</v>
      </c>
      <c r="AG71" s="108">
        <f>IF(AC71="",0,(IF(G71=AC71,1,0)))</f>
        <v>1</v>
      </c>
      <c r="AH71" s="108">
        <f>IF(AD71="",0,(IF(I71=AD71,1,0)))</f>
        <v>0</v>
      </c>
      <c r="AI71" s="108">
        <f>IF(AND(AG71=1,AH71=1),10,0)</f>
        <v>0</v>
      </c>
      <c r="AJ71" s="108">
        <f>IF(AND(G71&gt;I71,AC71&gt;AD71),5,0)</f>
        <v>0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12">
        <v>59</v>
      </c>
      <c r="C72" s="13">
        <v>41825</v>
      </c>
      <c r="D72" s="55" t="str">
        <f>IF(J65="","Winnaar 55",IF(J65=1,D65,F65))</f>
        <v>Argentinië</v>
      </c>
      <c r="E72" s="15" t="s">
        <v>9</v>
      </c>
      <c r="F72" s="56" t="str">
        <f>IF(J66="","Winnaar 56",IF(J66=1,D66,F66))</f>
        <v>Duitsland</v>
      </c>
      <c r="G72" s="85">
        <v>1</v>
      </c>
      <c r="H72" s="15" t="s">
        <v>9</v>
      </c>
      <c r="I72" s="97">
        <v>1</v>
      </c>
      <c r="J72" s="98">
        <v>2</v>
      </c>
      <c r="K72" s="1"/>
      <c r="L72" s="1"/>
      <c r="M72" s="1"/>
      <c r="V72" t="s">
        <v>133</v>
      </c>
      <c r="W72" t="s">
        <v>195</v>
      </c>
      <c r="X72" t="str">
        <f t="shared" si="11"/>
        <v>John Heitinga (v)</v>
      </c>
      <c r="Y72" s="109">
        <f>AF72</f>
        <v>1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1</v>
      </c>
      <c r="AG72" s="108">
        <f>IF(AC72="",0,(IF(G72=AC72,1,0)))</f>
        <v>1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0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3">
        <v>60</v>
      </c>
      <c r="C73" s="34">
        <v>41825</v>
      </c>
      <c r="D73" s="61" t="str">
        <f>IF(J61="","Winnaar 51",IF(J61=1,D61,F61))</f>
        <v>Spanje</v>
      </c>
      <c r="E73" s="36" t="s">
        <v>9</v>
      </c>
      <c r="F73" s="62" t="str">
        <f>IF(J62="","Winnaar 52",IF(J62=1,D62,F62))</f>
        <v>Engeland</v>
      </c>
      <c r="G73" s="88">
        <v>2</v>
      </c>
      <c r="H73" s="36" t="s">
        <v>9</v>
      </c>
      <c r="I73" s="103">
        <v>1</v>
      </c>
      <c r="J73" s="104">
        <v>1</v>
      </c>
      <c r="K73" s="1"/>
      <c r="L73" s="1"/>
      <c r="M73" s="1"/>
      <c r="V73" t="s">
        <v>133</v>
      </c>
      <c r="W73" t="s">
        <v>196</v>
      </c>
      <c r="X73" t="str">
        <f t="shared" si="11"/>
        <v>Urby Emanuelson (v)</v>
      </c>
      <c r="Y73" s="109">
        <f>AF73</f>
        <v>0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0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1"/>
      <c r="C74" s="39"/>
      <c r="D74" s="40"/>
      <c r="E74" s="1"/>
      <c r="F74" s="40"/>
      <c r="G74" s="1"/>
      <c r="H74" s="1"/>
      <c r="I74" s="1"/>
      <c r="J74" s="1"/>
      <c r="K74" s="1"/>
      <c r="L74" s="1"/>
      <c r="M74" s="1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195"/>
      <c r="K75" s="1"/>
      <c r="L75" s="1"/>
      <c r="M75" s="1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78" t="s">
        <v>1</v>
      </c>
      <c r="C76" s="79" t="s">
        <v>2</v>
      </c>
      <c r="D76" s="193" t="s">
        <v>3</v>
      </c>
      <c r="E76" s="81"/>
      <c r="F76" s="194" t="s">
        <v>4</v>
      </c>
      <c r="G76" s="867" t="s">
        <v>5</v>
      </c>
      <c r="H76" s="868"/>
      <c r="I76" s="869"/>
      <c r="J76" s="83" t="s">
        <v>6</v>
      </c>
      <c r="K76" s="1"/>
      <c r="L76" s="1"/>
      <c r="M76" s="1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12">
        <v>61</v>
      </c>
      <c r="C77" s="13">
        <v>41828</v>
      </c>
      <c r="D77" s="55" t="str">
        <f>IF(J70="","Winnaar 57",IF(J70=1,D70,F70))</f>
        <v>Portugal</v>
      </c>
      <c r="E77" s="15" t="s">
        <v>9</v>
      </c>
      <c r="F77" s="56" t="str">
        <f>IF(J71="","Winnaar 58",IF(J71=1,D71,F71))</f>
        <v>Brazilië</v>
      </c>
      <c r="G77" s="85">
        <v>1</v>
      </c>
      <c r="H77" s="15" t="s">
        <v>9</v>
      </c>
      <c r="I77" s="97">
        <v>0</v>
      </c>
      <c r="J77" s="98">
        <v>1</v>
      </c>
      <c r="K77" s="1"/>
      <c r="L77" s="1"/>
      <c r="M77" s="1"/>
      <c r="V77" t="s">
        <v>134</v>
      </c>
      <c r="W77" t="s">
        <v>203</v>
      </c>
      <c r="X77" t="str">
        <f t="shared" si="11"/>
        <v>Marco van Ginkel (m)</v>
      </c>
      <c r="Y77" s="109">
        <f>AF77</f>
        <v>5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5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5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3">
        <v>62</v>
      </c>
      <c r="C78" s="34">
        <v>41829</v>
      </c>
      <c r="D78" s="61" t="str">
        <f>IF(J72="","Winnaar 59",IF(J72=1,D72,F72))</f>
        <v>Duitsland</v>
      </c>
      <c r="E78" s="36" t="s">
        <v>9</v>
      </c>
      <c r="F78" s="62" t="str">
        <f>IF(J73="","Winnaar 60",IF(J73=1,D73,F73))</f>
        <v>Spanje</v>
      </c>
      <c r="G78" s="88">
        <v>1</v>
      </c>
      <c r="H78" s="36" t="s">
        <v>9</v>
      </c>
      <c r="I78" s="103">
        <v>1</v>
      </c>
      <c r="J78" s="104">
        <v>2</v>
      </c>
      <c r="K78" s="1"/>
      <c r="L78" s="1"/>
      <c r="M78" s="1"/>
      <c r="V78" t="s">
        <v>134</v>
      </c>
      <c r="W78" t="s">
        <v>199</v>
      </c>
      <c r="X78" t="str">
        <f t="shared" si="11"/>
        <v>Leroy Fer (m)</v>
      </c>
      <c r="Y78" s="109">
        <f>AF78</f>
        <v>5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5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5</v>
      </c>
    </row>
    <row r="79" spans="2:54" ht="15.75" thickBot="1">
      <c r="B79" s="1"/>
      <c r="C79" s="39"/>
      <c r="D79" s="40"/>
      <c r="E79" s="1"/>
      <c r="F79" s="40"/>
      <c r="G79" s="1"/>
      <c r="H79" s="1"/>
      <c r="I79" s="1"/>
      <c r="J79" s="1"/>
      <c r="K79" s="1"/>
      <c r="L79" s="1"/>
      <c r="M79" s="1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195"/>
      <c r="K80" s="1"/>
      <c r="L80" s="1"/>
      <c r="M80" s="1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78" t="s">
        <v>1</v>
      </c>
      <c r="C81" s="79" t="s">
        <v>2</v>
      </c>
      <c r="D81" s="193" t="s">
        <v>3</v>
      </c>
      <c r="E81" s="81"/>
      <c r="F81" s="194" t="s">
        <v>4</v>
      </c>
      <c r="G81" s="867" t="s">
        <v>5</v>
      </c>
      <c r="H81" s="868"/>
      <c r="I81" s="869"/>
      <c r="J81" s="83" t="s">
        <v>6</v>
      </c>
      <c r="K81" s="1"/>
      <c r="L81" s="1"/>
      <c r="M81" s="1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2">
        <v>63</v>
      </c>
      <c r="C82" s="63">
        <v>41832</v>
      </c>
      <c r="D82" s="64" t="str">
        <f>IF(J77="","Verliezer 61",IF(J77=1,F77,D77))</f>
        <v>Brazilië</v>
      </c>
      <c r="E82" s="3" t="s">
        <v>9</v>
      </c>
      <c r="F82" s="65" t="str">
        <f>IF(J78="","Verliezer 62",IF(J78=1,F78,D78))</f>
        <v>Duitsland</v>
      </c>
      <c r="G82" s="105">
        <v>2</v>
      </c>
      <c r="H82" s="3" t="s">
        <v>9</v>
      </c>
      <c r="I82" s="106">
        <v>1</v>
      </c>
      <c r="J82" s="107">
        <v>1</v>
      </c>
      <c r="K82" s="1"/>
      <c r="L82" s="1"/>
      <c r="M82" s="1"/>
      <c r="V82" t="s">
        <v>134</v>
      </c>
      <c r="W82" t="s">
        <v>125</v>
      </c>
      <c r="X8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1"/>
      <c r="C83" s="39"/>
      <c r="D83" s="40"/>
      <c r="E83" s="1"/>
      <c r="F83" s="40"/>
      <c r="G83" s="1"/>
      <c r="H83" s="1"/>
      <c r="I83" s="1"/>
      <c r="J83" s="1"/>
      <c r="K83" s="1"/>
      <c r="L83" s="1"/>
      <c r="M83" s="1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195"/>
      <c r="K84" s="1"/>
      <c r="L84" s="1"/>
      <c r="M84" s="1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78" t="s">
        <v>1</v>
      </c>
      <c r="C85" s="79" t="s">
        <v>2</v>
      </c>
      <c r="D85" s="193" t="s">
        <v>3</v>
      </c>
      <c r="E85" s="81"/>
      <c r="F85" s="194" t="s">
        <v>4</v>
      </c>
      <c r="G85" s="867" t="s">
        <v>5</v>
      </c>
      <c r="H85" s="868"/>
      <c r="I85" s="869"/>
      <c r="J85" s="83" t="s">
        <v>6</v>
      </c>
      <c r="K85" s="1"/>
      <c r="L85" s="1"/>
      <c r="M85" s="1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2">
        <v>64</v>
      </c>
      <c r="C86" s="63">
        <v>41833</v>
      </c>
      <c r="D86" s="64" t="str">
        <f>IF(J77="","Winnaar 61",IF(J77=1,D77,F77))</f>
        <v>Portugal</v>
      </c>
      <c r="E86" s="3" t="s">
        <v>9</v>
      </c>
      <c r="F86" s="65" t="str">
        <f>IF(J78="","Winnaar 62",IF(J78=1,D78,F78))</f>
        <v>Spanje</v>
      </c>
      <c r="G86" s="105">
        <v>3</v>
      </c>
      <c r="H86" s="3" t="s">
        <v>9</v>
      </c>
      <c r="I86" s="106">
        <v>1</v>
      </c>
      <c r="J86" s="107">
        <v>1</v>
      </c>
      <c r="K86" s="1"/>
      <c r="L86" s="1"/>
      <c r="M86" s="1"/>
      <c r="V86" t="s">
        <v>134</v>
      </c>
      <c r="W86" t="s">
        <v>139</v>
      </c>
      <c r="X86" t="str">
        <f t="shared" si="11"/>
        <v>Nigel de Jong (m)</v>
      </c>
      <c r="Y86" s="109">
        <f>AF86</f>
        <v>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0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Portugal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0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0</v>
      </c>
      <c r="AV89">
        <f>IF(AR89=0,0,IF(E89=AR89,50,0))</f>
        <v>0</v>
      </c>
      <c r="AW89">
        <f>IF(E89=0,0,IF(OR(E89=AR90),15,0))</f>
        <v>0</v>
      </c>
      <c r="AX89">
        <f>IF(E89=0,0,IF(OR(E89=AR91,E89=AR92),5,0))</f>
        <v>0</v>
      </c>
    </row>
    <row r="90" spans="2:50">
      <c r="C90" s="870">
        <v>2</v>
      </c>
      <c r="D90" s="871"/>
      <c r="E90" s="872" t="str">
        <f>IF(J86=2,D86,IF(J86=1,F86,"Wie wordt 2de?"))</f>
        <v>Spanje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0</v>
      </c>
      <c r="AV90">
        <f>IF(AR90=0,0,IF(AR90=E90,25,0))</f>
        <v>0</v>
      </c>
      <c r="AW90">
        <f>IF(E90=0,0,IF(OR(E90=AR89,),15,0))</f>
        <v>0</v>
      </c>
      <c r="AX90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Brazilië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10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10</v>
      </c>
      <c r="AV91">
        <f>IF(AR91=0,0,IF(AR91=E91,15,0))</f>
        <v>0</v>
      </c>
      <c r="AW91">
        <f>IF(E91=0,0,IF(OR(E91=AR92),10,0))</f>
        <v>10</v>
      </c>
      <c r="AX91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Duitsland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5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5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5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15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conditionalFormatting sqref="AO9:AO12 AO15:AO18 AO21:AO24 AO27:AO30 AO33:AO36 AO39:AO42 AO45:AO48 AO51:AO54">
    <cfRule type="cellIs" dxfId="233" priority="3" operator="equal">
      <formula>10</formula>
    </cfRule>
  </conditionalFormatting>
  <conditionalFormatting sqref="P58:T58">
    <cfRule type="duplicateValues" dxfId="232" priority="2"/>
  </conditionalFormatting>
  <conditionalFormatting sqref="P58:T68">
    <cfRule type="duplicateValues" dxfId="231" priority="1"/>
  </conditionalFormatting>
  <dataValidations count="10">
    <dataValidation type="list" allowBlank="1" showInputMessage="1" showErrorMessage="1" sqref="P58:P68">
      <formula1>$X$58:$X$98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51:T54">
      <formula1>$W$51:$W$54</formula1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B1:BB98"/>
  <sheetViews>
    <sheetView topLeftCell="A40" zoomScale="70" zoomScaleNormal="70" workbookViewId="0">
      <selection activeCell="P58" sqref="P58:T68"/>
    </sheetView>
  </sheetViews>
  <sheetFormatPr defaultRowHeight="15" outlineLevelCol="2"/>
  <cols>
    <col min="1" max="1" width="3.42578125" customWidth="1"/>
    <col min="2" max="2" width="3.5703125" bestFit="1" customWidth="1"/>
    <col min="3" max="3" width="11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145" t="s">
        <v>247</v>
      </c>
      <c r="E3" s="145"/>
      <c r="F3" s="145"/>
      <c r="N3" t="str">
        <f>D3</f>
        <v>Marcel B.</v>
      </c>
      <c r="O3" s="144">
        <f>SUM(P3:S3)</f>
        <v>369</v>
      </c>
      <c r="P3" s="109">
        <f>SUM(Y8:Y86)</f>
        <v>182</v>
      </c>
      <c r="Q3" s="109">
        <f>SUM(AM4:AM55)</f>
        <v>100</v>
      </c>
      <c r="R3" s="109">
        <f>SUM(AP89:AP92)</f>
        <v>60</v>
      </c>
      <c r="S3" s="109">
        <f>SUM(BB58:BB69)</f>
        <v>27</v>
      </c>
      <c r="T3" s="109">
        <f>COUNTIF(AF8:AF86,10)</f>
        <v>5</v>
      </c>
      <c r="U3" s="109" t="str">
        <f>E89</f>
        <v>Duitsland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1"/>
      <c r="L6" s="1"/>
      <c r="O6" s="40"/>
      <c r="P6" s="41"/>
      <c r="Q6" s="41"/>
      <c r="R6" s="41"/>
      <c r="S6" s="41"/>
      <c r="T6" s="41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66" t="s">
        <v>1</v>
      </c>
      <c r="C7" s="67" t="s">
        <v>2</v>
      </c>
      <c r="D7" s="196" t="s">
        <v>3</v>
      </c>
      <c r="E7" s="69"/>
      <c r="F7" s="197" t="s">
        <v>4</v>
      </c>
      <c r="G7" s="880" t="s">
        <v>5</v>
      </c>
      <c r="H7" s="881"/>
      <c r="I7" s="882"/>
      <c r="J7" s="71" t="s">
        <v>6</v>
      </c>
      <c r="K7" s="4" t="s">
        <v>7</v>
      </c>
      <c r="L7" s="4" t="s">
        <v>7</v>
      </c>
      <c r="O7" s="1"/>
      <c r="P7" s="41"/>
      <c r="Q7" s="41"/>
      <c r="R7" s="41"/>
      <c r="S7" s="41"/>
      <c r="T7" s="41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5">
        <v>1</v>
      </c>
      <c r="C8" s="6">
        <v>41802</v>
      </c>
      <c r="D8" s="7" t="s">
        <v>8</v>
      </c>
      <c r="E8" s="8" t="s">
        <v>9</v>
      </c>
      <c r="F8" s="9" t="s">
        <v>10</v>
      </c>
      <c r="G8" s="84">
        <v>1</v>
      </c>
      <c r="H8" s="8" t="s">
        <v>9</v>
      </c>
      <c r="I8" s="192">
        <v>0</v>
      </c>
      <c r="J8" s="10">
        <f t="shared" ref="J8:J55" si="0">IF(I8="","",IF(G8&gt;I8,1,IF(G8&lt;I8,2,3)))</f>
        <v>1</v>
      </c>
      <c r="K8" s="11">
        <f t="shared" ref="K8:K55" si="1">IF(I8="","",IF($G8&gt;$I8,3,IF($G8=$I8,1,0)))</f>
        <v>3</v>
      </c>
      <c r="L8" s="11">
        <f t="shared" ref="L8:L55" si="2">IF(I8="","",IF($G8&lt;$I8,3,IF($G8=$I8,1,0)))</f>
        <v>0</v>
      </c>
      <c r="O8" s="72" t="s">
        <v>41</v>
      </c>
      <c r="P8" s="73" t="s">
        <v>42</v>
      </c>
      <c r="Q8" s="73" t="s">
        <v>43</v>
      </c>
      <c r="R8" s="74" t="s">
        <v>44</v>
      </c>
      <c r="S8" s="75" t="s">
        <v>45</v>
      </c>
      <c r="T8" s="76" t="s">
        <v>46</v>
      </c>
      <c r="U8" s="40"/>
      <c r="V8" s="40"/>
      <c r="W8" s="40"/>
      <c r="Y8" s="109">
        <f>AF8</f>
        <v>5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5</v>
      </c>
      <c r="AG8" s="108">
        <f t="shared" ref="AG8:AG55" si="3">IF(AC8="",0,(IF(G8=AC8,1,0)))</f>
        <v>0</v>
      </c>
      <c r="AH8" s="108">
        <f t="shared" ref="AH8:AH55" si="4">IF(AD8="",0,(IF(I8=AD8,1,0)))</f>
        <v>0</v>
      </c>
      <c r="AI8" s="108">
        <f>IF(AND(AG8=1,AH8=1),10,0)</f>
        <v>0</v>
      </c>
      <c r="AJ8" s="108">
        <f t="shared" ref="AJ8:AJ55" si="5">IF(AND(G8&gt;I8,AC8&gt;AD8),5,0)</f>
        <v>5</v>
      </c>
      <c r="AK8" s="108">
        <f t="shared" ref="AK8:AK55" si="6">IF(AND(G8&lt;I8,AC8&lt;AD8),5,0)</f>
        <v>0</v>
      </c>
      <c r="AL8" s="108">
        <f t="shared" ref="AL8:AL55" si="7">IF(AND(G8=I8,AC8=AD8),5,0)</f>
        <v>0</v>
      </c>
      <c r="AN8" s="42" t="s">
        <v>41</v>
      </c>
      <c r="AO8" s="43" t="s">
        <v>46</v>
      </c>
    </row>
    <row r="9" spans="2:54" ht="15.75" thickBot="1">
      <c r="B9" s="12">
        <v>2</v>
      </c>
      <c r="C9" s="13">
        <v>41803</v>
      </c>
      <c r="D9" s="14" t="s">
        <v>11</v>
      </c>
      <c r="E9" s="15" t="s">
        <v>9</v>
      </c>
      <c r="F9" s="16" t="s">
        <v>12</v>
      </c>
      <c r="G9" s="85">
        <v>0</v>
      </c>
      <c r="H9" s="15" t="s">
        <v>9</v>
      </c>
      <c r="I9" s="90">
        <v>1</v>
      </c>
      <c r="J9" s="17">
        <f t="shared" si="0"/>
        <v>2</v>
      </c>
      <c r="K9" s="11">
        <f t="shared" si="1"/>
        <v>0</v>
      </c>
      <c r="L9" s="11">
        <f t="shared" si="2"/>
        <v>3</v>
      </c>
      <c r="O9" s="44" t="s">
        <v>8</v>
      </c>
      <c r="P9" s="45">
        <f>SUMIF($D$8:$D$55,$O9,$G$8:$G$55)+SUMIF($F$8:$F$55,$O9,$I$8:$I$55)</f>
        <v>5</v>
      </c>
      <c r="Q9" s="45">
        <f>SUMIF($D$8:$D$55,$O9,$I$8:$I$55)+SUMIF($F$8:$F$55,$O9,$G$8:$G$55)</f>
        <v>2</v>
      </c>
      <c r="R9" s="46">
        <f>P9-Q9</f>
        <v>3</v>
      </c>
      <c r="S9" s="47">
        <f>SUMIF($D$8:$D$55,$O9,$K$8:$K$55)+SUMIF($F$8:$F$55,$O9,$L$8:$L$55)</f>
        <v>9</v>
      </c>
      <c r="T9" s="94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0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0</v>
      </c>
      <c r="AG9" s="108">
        <f t="shared" si="3"/>
        <v>0</v>
      </c>
      <c r="AH9" s="108">
        <f t="shared" si="4"/>
        <v>0</v>
      </c>
      <c r="AI9" s="108">
        <f t="shared" ref="AI9:AI55" si="10">IF(AND(AG9=1,AH9=1),10,0)</f>
        <v>0</v>
      </c>
      <c r="AJ9" s="108">
        <f t="shared" si="5"/>
        <v>0</v>
      </c>
      <c r="AK9" s="108">
        <f t="shared" si="6"/>
        <v>0</v>
      </c>
      <c r="AL9" s="108">
        <f t="shared" si="7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18">
        <v>3</v>
      </c>
      <c r="C10" s="19">
        <v>41803</v>
      </c>
      <c r="D10" s="20" t="s">
        <v>13</v>
      </c>
      <c r="E10" s="21" t="s">
        <v>9</v>
      </c>
      <c r="F10" s="22" t="s">
        <v>14</v>
      </c>
      <c r="G10" s="86">
        <v>1</v>
      </c>
      <c r="H10" s="21" t="s">
        <v>9</v>
      </c>
      <c r="I10" s="91">
        <v>0</v>
      </c>
      <c r="J10" s="23">
        <f t="shared" si="0"/>
        <v>1</v>
      </c>
      <c r="K10" s="11">
        <f t="shared" si="1"/>
        <v>3</v>
      </c>
      <c r="L10" s="11">
        <f t="shared" si="2"/>
        <v>0</v>
      </c>
      <c r="O10" s="48" t="s">
        <v>10</v>
      </c>
      <c r="P10" s="49">
        <f>SUMIF($D$8:$D$55,$O10,$G$8:$G$55)+SUMIF($F$8:$F$55,$O10,$I$8:$I$55)</f>
        <v>2</v>
      </c>
      <c r="Q10" s="49">
        <f>SUMIF($D$8:$D$55,$O10,$I$8:$I$55)+SUMIF($F$8:$F$55,$O10,$G$8:$G$55)</f>
        <v>3</v>
      </c>
      <c r="R10" s="49">
        <f>P10-Q10</f>
        <v>-1</v>
      </c>
      <c r="S10" s="50">
        <f>SUMIF($D$8:$D$55,$O10,$K$8:$K$55)+SUMIF($F$8:$F$55,$O10,$L$8:$L$55)</f>
        <v>2</v>
      </c>
      <c r="T10" s="95" t="s">
        <v>47</v>
      </c>
      <c r="U10" s="40"/>
      <c r="V10" s="40" t="str">
        <f>O10</f>
        <v>Kroatië</v>
      </c>
      <c r="W10" s="40" t="s">
        <v>49</v>
      </c>
      <c r="Y10" s="109">
        <f t="shared" si="8"/>
        <v>1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1</v>
      </c>
      <c r="AG10" s="108">
        <f t="shared" si="3"/>
        <v>1</v>
      </c>
      <c r="AH10" s="108">
        <f t="shared" si="4"/>
        <v>0</v>
      </c>
      <c r="AI10" s="108">
        <f t="shared" si="10"/>
        <v>0</v>
      </c>
      <c r="AJ10" s="108">
        <f t="shared" si="5"/>
        <v>0</v>
      </c>
      <c r="AK10" s="108">
        <f t="shared" si="6"/>
        <v>0</v>
      </c>
      <c r="AL10" s="108">
        <f t="shared" si="7"/>
        <v>0</v>
      </c>
      <c r="AM10" s="120">
        <f>AO10</f>
        <v>10</v>
      </c>
      <c r="AN10" s="117" t="s">
        <v>10</v>
      </c>
      <c r="AO10" s="115">
        <f>IF(Uitslag!T10="",0,IF(T10=Uitslag!T10,10,0))</f>
        <v>10</v>
      </c>
    </row>
    <row r="11" spans="2:54" ht="15.75" thickBot="1">
      <c r="B11" s="24">
        <v>4</v>
      </c>
      <c r="C11" s="25">
        <v>41803</v>
      </c>
      <c r="D11" s="26" t="s">
        <v>15</v>
      </c>
      <c r="E11" s="27" t="s">
        <v>9</v>
      </c>
      <c r="F11" s="28" t="s">
        <v>16</v>
      </c>
      <c r="G11" s="87">
        <v>1</v>
      </c>
      <c r="H11" s="27" t="s">
        <v>9</v>
      </c>
      <c r="I11" s="92">
        <v>1</v>
      </c>
      <c r="J11" s="29">
        <f t="shared" si="0"/>
        <v>3</v>
      </c>
      <c r="K11" s="11">
        <f t="shared" si="1"/>
        <v>1</v>
      </c>
      <c r="L11" s="11">
        <f t="shared" si="2"/>
        <v>1</v>
      </c>
      <c r="O11" s="48" t="s">
        <v>11</v>
      </c>
      <c r="P11" s="49">
        <f>SUMIF($D$8:$D$55,$O11,$G$8:$G$55)+SUMIF($F$8:$F$55,$O11,$I$8:$I$55)</f>
        <v>2</v>
      </c>
      <c r="Q11" s="49">
        <f>SUMIF($D$8:$D$55,$O11,$I$8:$I$55)+SUMIF($F$8:$F$55,$O11,$G$8:$G$55)</f>
        <v>4</v>
      </c>
      <c r="R11" s="49">
        <f>P11-Q11</f>
        <v>-2</v>
      </c>
      <c r="S11" s="50">
        <f>SUMIF($D$8:$D$55,$O11,$K$8:$K$55)+SUMIF($F$8:$F$55,$O11,$L$8:$L$55)</f>
        <v>1</v>
      </c>
      <c r="T11" s="95" t="s">
        <v>50</v>
      </c>
      <c r="U11" s="40"/>
      <c r="V11" s="40" t="str">
        <f>O11</f>
        <v>Mexico</v>
      </c>
      <c r="W11" s="40" t="s">
        <v>47</v>
      </c>
      <c r="Y11" s="109">
        <f t="shared" si="8"/>
        <v>1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1</v>
      </c>
      <c r="AG11" s="108">
        <f t="shared" si="3"/>
        <v>0</v>
      </c>
      <c r="AH11" s="108">
        <f t="shared" si="4"/>
        <v>1</v>
      </c>
      <c r="AI11" s="108">
        <f t="shared" si="10"/>
        <v>0</v>
      </c>
      <c r="AJ11" s="108">
        <f t="shared" si="5"/>
        <v>0</v>
      </c>
      <c r="AK11" s="108">
        <f t="shared" si="6"/>
        <v>0</v>
      </c>
      <c r="AL11" s="108">
        <f t="shared" si="7"/>
        <v>0</v>
      </c>
      <c r="AM11" s="120">
        <f>AO11</f>
        <v>0</v>
      </c>
      <c r="AN11" s="117" t="s">
        <v>11</v>
      </c>
      <c r="AO11" s="115">
        <f>IF(Uitslag!T11="",0,IF(T11=Uitslag!T11,10,0))</f>
        <v>0</v>
      </c>
    </row>
    <row r="12" spans="2:54" ht="15.75" thickBot="1">
      <c r="B12" s="12">
        <v>5</v>
      </c>
      <c r="C12" s="13">
        <v>41804</v>
      </c>
      <c r="D12" s="14" t="s">
        <v>17</v>
      </c>
      <c r="E12" s="15" t="s">
        <v>9</v>
      </c>
      <c r="F12" s="16" t="s">
        <v>18</v>
      </c>
      <c r="G12" s="85">
        <v>1</v>
      </c>
      <c r="H12" s="15" t="s">
        <v>9</v>
      </c>
      <c r="I12" s="90">
        <v>0</v>
      </c>
      <c r="J12" s="17">
        <f t="shared" si="0"/>
        <v>1</v>
      </c>
      <c r="K12" s="11">
        <f t="shared" si="1"/>
        <v>3</v>
      </c>
      <c r="L12" s="11">
        <f t="shared" si="2"/>
        <v>0</v>
      </c>
      <c r="O12" s="51" t="s">
        <v>12</v>
      </c>
      <c r="P12" s="52">
        <f>SUMIF($D$8:$D$55,$O12,$G$8:$G$55)+SUMIF($F$8:$F$55,$O12,$I$8:$I$55)</f>
        <v>3</v>
      </c>
      <c r="Q12" s="52">
        <f>SUMIF($D$8:$D$55,$O12,$I$8:$I$55)+SUMIF($F$8:$F$55,$O12,$G$8:$G$55)</f>
        <v>3</v>
      </c>
      <c r="R12" s="52">
        <f>P12-Q12</f>
        <v>0</v>
      </c>
      <c r="S12" s="53">
        <f>SUMIF($D$8:$D$55,$O12,$K$8:$K$55)+SUMIF($F$8:$F$55,$O12,$L$8:$L$55)</f>
        <v>4</v>
      </c>
      <c r="T12" s="96" t="s">
        <v>49</v>
      </c>
      <c r="U12" s="40"/>
      <c r="V12" s="40" t="str">
        <f>O12</f>
        <v>Kameroen</v>
      </c>
      <c r="W12" s="40" t="s">
        <v>50</v>
      </c>
      <c r="Y12" s="109">
        <f t="shared" si="8"/>
        <v>6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6</v>
      </c>
      <c r="AG12" s="108">
        <f t="shared" si="3"/>
        <v>0</v>
      </c>
      <c r="AH12" s="108">
        <f t="shared" si="4"/>
        <v>1</v>
      </c>
      <c r="AI12" s="108">
        <f t="shared" si="10"/>
        <v>0</v>
      </c>
      <c r="AJ12" s="108">
        <f t="shared" si="5"/>
        <v>5</v>
      </c>
      <c r="AK12" s="108">
        <f t="shared" si="6"/>
        <v>0</v>
      </c>
      <c r="AL12" s="108">
        <f t="shared" si="7"/>
        <v>0</v>
      </c>
      <c r="AM12" s="120">
        <f>AO12</f>
        <v>0</v>
      </c>
      <c r="AN12" s="118" t="s">
        <v>12</v>
      </c>
      <c r="AO12" s="115">
        <f>IF(Uitslag!T12="",0,IF(T12=Uitslag!T12,10,0))</f>
        <v>0</v>
      </c>
    </row>
    <row r="13" spans="2:54" ht="15.75" thickBot="1">
      <c r="B13" s="18">
        <v>6</v>
      </c>
      <c r="C13" s="19">
        <v>41804</v>
      </c>
      <c r="D13" s="20" t="s">
        <v>19</v>
      </c>
      <c r="E13" s="21" t="s">
        <v>9</v>
      </c>
      <c r="F13" s="30" t="s">
        <v>20</v>
      </c>
      <c r="G13" s="86">
        <v>3</v>
      </c>
      <c r="H13" s="21" t="s">
        <v>9</v>
      </c>
      <c r="I13" s="91">
        <v>0</v>
      </c>
      <c r="J13" s="23">
        <f t="shared" si="0"/>
        <v>1</v>
      </c>
      <c r="K13" s="11">
        <f t="shared" si="1"/>
        <v>3</v>
      </c>
      <c r="L13" s="11">
        <f t="shared" si="2"/>
        <v>0</v>
      </c>
      <c r="O13" s="40"/>
      <c r="P13" s="41"/>
      <c r="Q13" s="41"/>
      <c r="R13" s="41"/>
      <c r="S13" s="41"/>
      <c r="T13" s="41"/>
      <c r="U13" s="40"/>
      <c r="V13" s="40"/>
      <c r="W13" s="40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3"/>
        <v>0</v>
      </c>
      <c r="AH13" s="108">
        <f t="shared" si="4"/>
        <v>0</v>
      </c>
      <c r="AI13" s="108">
        <f t="shared" si="10"/>
        <v>0</v>
      </c>
      <c r="AJ13" s="108">
        <f t="shared" si="5"/>
        <v>0</v>
      </c>
      <c r="AK13" s="108">
        <f t="shared" si="6"/>
        <v>0</v>
      </c>
      <c r="AL13" s="108">
        <f t="shared" si="7"/>
        <v>0</v>
      </c>
      <c r="AN13" s="40"/>
      <c r="AO13" s="41"/>
    </row>
    <row r="14" spans="2:54" ht="15.75" thickBot="1">
      <c r="B14" s="18">
        <v>7</v>
      </c>
      <c r="C14" s="19">
        <v>41804</v>
      </c>
      <c r="D14" s="20" t="s">
        <v>21</v>
      </c>
      <c r="E14" s="21" t="s">
        <v>9</v>
      </c>
      <c r="F14" s="30" t="s">
        <v>22</v>
      </c>
      <c r="G14" s="86">
        <v>1</v>
      </c>
      <c r="H14" s="21" t="s">
        <v>9</v>
      </c>
      <c r="I14" s="91">
        <v>1</v>
      </c>
      <c r="J14" s="23">
        <f t="shared" si="0"/>
        <v>3</v>
      </c>
      <c r="K14" s="11">
        <f t="shared" si="1"/>
        <v>1</v>
      </c>
      <c r="L14" s="11">
        <f t="shared" si="2"/>
        <v>1</v>
      </c>
      <c r="O14" s="72" t="s">
        <v>51</v>
      </c>
      <c r="P14" s="73" t="s">
        <v>42</v>
      </c>
      <c r="Q14" s="73" t="s">
        <v>43</v>
      </c>
      <c r="R14" s="74" t="s">
        <v>44</v>
      </c>
      <c r="S14" s="75" t="s">
        <v>45</v>
      </c>
      <c r="T14" s="76" t="s">
        <v>46</v>
      </c>
      <c r="U14" s="40"/>
      <c r="V14" s="40"/>
      <c r="W14" s="40"/>
      <c r="Y14" s="109">
        <f t="shared" si="8"/>
        <v>1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</v>
      </c>
      <c r="AG14" s="108">
        <f t="shared" si="3"/>
        <v>1</v>
      </c>
      <c r="AH14" s="108">
        <f t="shared" si="4"/>
        <v>0</v>
      </c>
      <c r="AI14" s="108">
        <f t="shared" si="10"/>
        <v>0</v>
      </c>
      <c r="AJ14" s="108">
        <f t="shared" si="5"/>
        <v>0</v>
      </c>
      <c r="AK14" s="108">
        <f t="shared" si="6"/>
        <v>0</v>
      </c>
      <c r="AL14" s="108">
        <f t="shared" si="7"/>
        <v>0</v>
      </c>
      <c r="AN14" s="42" t="s">
        <v>51</v>
      </c>
      <c r="AO14" s="43" t="s">
        <v>46</v>
      </c>
    </row>
    <row r="15" spans="2:54" ht="15.75" thickBot="1">
      <c r="B15" s="24">
        <v>8</v>
      </c>
      <c r="C15" s="25">
        <v>41804</v>
      </c>
      <c r="D15" s="26" t="s">
        <v>23</v>
      </c>
      <c r="E15" s="27" t="s">
        <v>9</v>
      </c>
      <c r="F15" s="28" t="s">
        <v>24</v>
      </c>
      <c r="G15" s="87">
        <v>2</v>
      </c>
      <c r="H15" s="27" t="s">
        <v>9</v>
      </c>
      <c r="I15" s="92">
        <v>0</v>
      </c>
      <c r="J15" s="29">
        <f t="shared" si="0"/>
        <v>1</v>
      </c>
      <c r="K15" s="11">
        <f t="shared" si="1"/>
        <v>3</v>
      </c>
      <c r="L15" s="11">
        <f t="shared" si="2"/>
        <v>0</v>
      </c>
      <c r="O15" s="44" t="s">
        <v>13</v>
      </c>
      <c r="P15" s="45">
        <f>SUMIF($D$8:$D$55,$O15,$G$8:$G$55)+SUMIF($F$8:$F$55,$O15,$I$8:$I$55)</f>
        <v>5</v>
      </c>
      <c r="Q15" s="45">
        <f>SUMIF($D$8:$D$55,$O15,$I$8:$I$55)+SUMIF($F$8:$F$55,$O15,$G$8:$G$55)</f>
        <v>3</v>
      </c>
      <c r="R15" s="46">
        <f>P15-Q15</f>
        <v>2</v>
      </c>
      <c r="S15" s="47">
        <f>SUMIF($D$8:$D$55,$O15,$K$8:$K$55)+SUMIF($F$8:$F$55,$O15,$L$8:$L$55)</f>
        <v>7</v>
      </c>
      <c r="T15" s="94" t="s">
        <v>52</v>
      </c>
      <c r="U15" s="40"/>
      <c r="V15" s="40" t="str">
        <f>O15</f>
        <v>Spanje</v>
      </c>
      <c r="W15" s="40" t="s">
        <v>52</v>
      </c>
      <c r="Y15" s="109">
        <f t="shared" si="8"/>
        <v>6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6</v>
      </c>
      <c r="AG15" s="108">
        <f t="shared" si="3"/>
        <v>1</v>
      </c>
      <c r="AH15" s="108">
        <f t="shared" si="4"/>
        <v>0</v>
      </c>
      <c r="AI15" s="108">
        <f t="shared" si="10"/>
        <v>0</v>
      </c>
      <c r="AJ15" s="108">
        <f t="shared" si="5"/>
        <v>5</v>
      </c>
      <c r="AK15" s="108">
        <f t="shared" si="6"/>
        <v>0</v>
      </c>
      <c r="AL15" s="108">
        <f t="shared" si="7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12">
        <v>9</v>
      </c>
      <c r="C16" s="13">
        <v>41805</v>
      </c>
      <c r="D16" s="14" t="s">
        <v>25</v>
      </c>
      <c r="E16" s="15" t="s">
        <v>9</v>
      </c>
      <c r="F16" s="16" t="s">
        <v>26</v>
      </c>
      <c r="G16" s="85">
        <v>0</v>
      </c>
      <c r="H16" s="15" t="s">
        <v>9</v>
      </c>
      <c r="I16" s="90">
        <v>1</v>
      </c>
      <c r="J16" s="17">
        <f t="shared" si="0"/>
        <v>2</v>
      </c>
      <c r="K16" s="11">
        <f t="shared" si="1"/>
        <v>0</v>
      </c>
      <c r="L16" s="11">
        <f t="shared" si="2"/>
        <v>3</v>
      </c>
      <c r="O16" s="54" t="s">
        <v>14</v>
      </c>
      <c r="P16" s="49">
        <f>SUMIF($D$8:$D$55,$O16,$G$8:$G$55)+SUMIF($F$8:$F$55,$O16,$I$8:$I$55)</f>
        <v>2</v>
      </c>
      <c r="Q16" s="49">
        <f>SUMIF($D$8:$D$55,$O16,$I$8:$I$55)+SUMIF($F$8:$F$55,$O16,$G$8:$G$55)</f>
        <v>3</v>
      </c>
      <c r="R16" s="49">
        <f>P16-Q16</f>
        <v>-1</v>
      </c>
      <c r="S16" s="50">
        <f>SUMIF($D$8:$D$55,$O16,$K$8:$K$55)+SUMIF($F$8:$F$55,$O16,$L$8:$L$55)</f>
        <v>2</v>
      </c>
      <c r="T16" s="95" t="s">
        <v>54</v>
      </c>
      <c r="U16" s="40"/>
      <c r="V16" s="40" t="str">
        <f>O16</f>
        <v>Nederland</v>
      </c>
      <c r="W16" s="40" t="s">
        <v>53</v>
      </c>
      <c r="Y16" s="109">
        <f t="shared" si="8"/>
        <v>1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1</v>
      </c>
      <c r="AG16" s="108">
        <f t="shared" si="3"/>
        <v>0</v>
      </c>
      <c r="AH16" s="108">
        <f t="shared" si="4"/>
        <v>1</v>
      </c>
      <c r="AI16" s="108">
        <f t="shared" si="10"/>
        <v>0</v>
      </c>
      <c r="AJ16" s="108">
        <f t="shared" si="5"/>
        <v>0</v>
      </c>
      <c r="AK16" s="108">
        <f t="shared" si="6"/>
        <v>0</v>
      </c>
      <c r="AL16" s="108">
        <f t="shared" si="7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18">
        <v>10</v>
      </c>
      <c r="C17" s="19">
        <v>41805</v>
      </c>
      <c r="D17" s="20" t="s">
        <v>27</v>
      </c>
      <c r="E17" s="21" t="s">
        <v>9</v>
      </c>
      <c r="F17" s="30" t="s">
        <v>28</v>
      </c>
      <c r="G17" s="86">
        <v>1</v>
      </c>
      <c r="H17" s="21" t="s">
        <v>9</v>
      </c>
      <c r="I17" s="91">
        <v>0</v>
      </c>
      <c r="J17" s="23">
        <f t="shared" si="0"/>
        <v>1</v>
      </c>
      <c r="K17" s="11">
        <f t="shared" si="1"/>
        <v>3</v>
      </c>
      <c r="L17" s="11">
        <f t="shared" si="2"/>
        <v>0</v>
      </c>
      <c r="O17" s="48" t="s">
        <v>15</v>
      </c>
      <c r="P17" s="49">
        <f>SUMIF($D$8:$D$55,$O17,$G$8:$G$55)+SUMIF($F$8:$F$55,$O17,$I$8:$I$55)</f>
        <v>4</v>
      </c>
      <c r="Q17" s="49">
        <f>SUMIF($D$8:$D$55,$O17,$I$8:$I$55)+SUMIF($F$8:$F$55,$O17,$G$8:$G$55)</f>
        <v>4</v>
      </c>
      <c r="R17" s="49">
        <f>P17-Q17</f>
        <v>0</v>
      </c>
      <c r="S17" s="50">
        <f>SUMIF($D$8:$D$55,$O17,$K$8:$K$55)+SUMIF($F$8:$F$55,$O17,$L$8:$L$55)</f>
        <v>3</v>
      </c>
      <c r="T17" s="95" t="s">
        <v>53</v>
      </c>
      <c r="U17" s="40"/>
      <c r="V17" s="40" t="str">
        <f>O17</f>
        <v>Chili</v>
      </c>
      <c r="W17" s="40" t="s">
        <v>54</v>
      </c>
      <c r="Y17" s="109">
        <f t="shared" si="8"/>
        <v>6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6</v>
      </c>
      <c r="AG17" s="108">
        <f t="shared" si="3"/>
        <v>0</v>
      </c>
      <c r="AH17" s="108">
        <f t="shared" si="4"/>
        <v>1</v>
      </c>
      <c r="AI17" s="108">
        <f t="shared" si="10"/>
        <v>0</v>
      </c>
      <c r="AJ17" s="108">
        <f t="shared" si="5"/>
        <v>5</v>
      </c>
      <c r="AK17" s="108">
        <f t="shared" si="6"/>
        <v>0</v>
      </c>
      <c r="AL17" s="108">
        <f t="shared" si="7"/>
        <v>0</v>
      </c>
      <c r="AM17" s="120">
        <f>AO17</f>
        <v>10</v>
      </c>
      <c r="AN17" s="117" t="s">
        <v>15</v>
      </c>
      <c r="AO17" s="115">
        <f>IF(Uitslag!T17="",0,IF(T17=Uitslag!T17,10,0))</f>
        <v>10</v>
      </c>
    </row>
    <row r="18" spans="2:41" ht="15.75" thickBot="1">
      <c r="B18" s="24">
        <v>11</v>
      </c>
      <c r="C18" s="25">
        <v>41805</v>
      </c>
      <c r="D18" s="26" t="s">
        <v>29</v>
      </c>
      <c r="E18" s="27" t="s">
        <v>9</v>
      </c>
      <c r="F18" s="28" t="s">
        <v>30</v>
      </c>
      <c r="G18" s="87">
        <v>2</v>
      </c>
      <c r="H18" s="27" t="s">
        <v>9</v>
      </c>
      <c r="I18" s="92">
        <v>0</v>
      </c>
      <c r="J18" s="29">
        <f t="shared" si="0"/>
        <v>1</v>
      </c>
      <c r="K18" s="11">
        <f t="shared" si="1"/>
        <v>3</v>
      </c>
      <c r="L18" s="11">
        <f t="shared" si="2"/>
        <v>0</v>
      </c>
      <c r="O18" s="51" t="s">
        <v>16</v>
      </c>
      <c r="P18" s="52">
        <f>SUMIF($D$8:$D$55,$O18,$G$8:$G$55)+SUMIF($F$8:$F$55,$O18,$I$8:$I$55)</f>
        <v>3</v>
      </c>
      <c r="Q18" s="52">
        <f>SUMIF($D$8:$D$55,$O18,$I$8:$I$55)+SUMIF($F$8:$F$55,$O18,$G$8:$G$55)</f>
        <v>4</v>
      </c>
      <c r="R18" s="52">
        <f>P18-Q18</f>
        <v>-1</v>
      </c>
      <c r="S18" s="53">
        <f>SUMIF($D$8:$D$55,$O18,$K$8:$K$55)+SUMIF($F$8:$F$55,$O18,$L$8:$L$55)</f>
        <v>2</v>
      </c>
      <c r="T18" s="96" t="s">
        <v>55</v>
      </c>
      <c r="U18" s="40"/>
      <c r="V18" s="40" t="str">
        <f>O18</f>
        <v>Australië</v>
      </c>
      <c r="W18" s="40" t="s">
        <v>55</v>
      </c>
      <c r="Y18" s="109">
        <f t="shared" si="8"/>
        <v>6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6</v>
      </c>
      <c r="AG18" s="108">
        <f t="shared" si="3"/>
        <v>1</v>
      </c>
      <c r="AH18" s="108">
        <f t="shared" si="4"/>
        <v>0</v>
      </c>
      <c r="AI18" s="108">
        <f t="shared" si="10"/>
        <v>0</v>
      </c>
      <c r="AJ18" s="108">
        <f t="shared" si="5"/>
        <v>5</v>
      </c>
      <c r="AK18" s="108">
        <f t="shared" si="6"/>
        <v>0</v>
      </c>
      <c r="AL18" s="108">
        <f t="shared" si="7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12">
        <v>12</v>
      </c>
      <c r="C19" s="13">
        <v>41806</v>
      </c>
      <c r="D19" s="14" t="s">
        <v>31</v>
      </c>
      <c r="E19" s="15" t="s">
        <v>9</v>
      </c>
      <c r="F19" s="16" t="s">
        <v>32</v>
      </c>
      <c r="G19" s="85">
        <v>2</v>
      </c>
      <c r="H19" s="15" t="s">
        <v>9</v>
      </c>
      <c r="I19" s="90">
        <v>1</v>
      </c>
      <c r="J19" s="17">
        <f t="shared" si="0"/>
        <v>1</v>
      </c>
      <c r="K19" s="11">
        <f t="shared" si="1"/>
        <v>3</v>
      </c>
      <c r="L19" s="11">
        <f t="shared" si="2"/>
        <v>0</v>
      </c>
      <c r="O19" s="40"/>
      <c r="P19" s="41"/>
      <c r="Q19" s="41"/>
      <c r="R19" s="41"/>
      <c r="S19" s="41"/>
      <c r="T19" s="41"/>
      <c r="U19" s="40"/>
      <c r="V19" s="40"/>
      <c r="W19" s="40"/>
      <c r="Y19" s="109">
        <f t="shared" si="8"/>
        <v>5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5</v>
      </c>
      <c r="AG19" s="108">
        <f t="shared" si="3"/>
        <v>0</v>
      </c>
      <c r="AH19" s="108">
        <f t="shared" si="4"/>
        <v>0</v>
      </c>
      <c r="AI19" s="108">
        <f t="shared" si="10"/>
        <v>0</v>
      </c>
      <c r="AJ19" s="108">
        <f t="shared" si="5"/>
        <v>5</v>
      </c>
      <c r="AK19" s="108">
        <f t="shared" si="6"/>
        <v>0</v>
      </c>
      <c r="AL19" s="108">
        <f t="shared" si="7"/>
        <v>0</v>
      </c>
      <c r="AN19" s="40"/>
      <c r="AO19" s="41"/>
    </row>
    <row r="20" spans="2:41" ht="15.75" thickBot="1">
      <c r="B20" s="18">
        <v>13</v>
      </c>
      <c r="C20" s="19">
        <v>41806</v>
      </c>
      <c r="D20" s="20" t="s">
        <v>33</v>
      </c>
      <c r="E20" s="21" t="s">
        <v>9</v>
      </c>
      <c r="F20" s="30" t="s">
        <v>34</v>
      </c>
      <c r="G20" s="86">
        <v>0</v>
      </c>
      <c r="H20" s="21" t="s">
        <v>9</v>
      </c>
      <c r="I20" s="91">
        <v>3</v>
      </c>
      <c r="J20" s="23">
        <f t="shared" si="0"/>
        <v>2</v>
      </c>
      <c r="K20" s="11">
        <f t="shared" si="1"/>
        <v>0</v>
      </c>
      <c r="L20" s="11">
        <f t="shared" si="2"/>
        <v>3</v>
      </c>
      <c r="O20" s="72" t="s">
        <v>56</v>
      </c>
      <c r="P20" s="73" t="s">
        <v>42</v>
      </c>
      <c r="Q20" s="73" t="s">
        <v>43</v>
      </c>
      <c r="R20" s="74" t="s">
        <v>44</v>
      </c>
      <c r="S20" s="75" t="s">
        <v>45</v>
      </c>
      <c r="T20" s="76" t="s">
        <v>46</v>
      </c>
      <c r="U20" s="40"/>
      <c r="V20" s="40"/>
      <c r="W20" s="40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3"/>
        <v>1</v>
      </c>
      <c r="AH20" s="108">
        <f t="shared" si="4"/>
        <v>0</v>
      </c>
      <c r="AI20" s="108">
        <f t="shared" si="10"/>
        <v>0</v>
      </c>
      <c r="AJ20" s="108">
        <f t="shared" si="5"/>
        <v>0</v>
      </c>
      <c r="AK20" s="108">
        <f t="shared" si="6"/>
        <v>0</v>
      </c>
      <c r="AL20" s="108">
        <f t="shared" si="7"/>
        <v>0</v>
      </c>
      <c r="AN20" s="42" t="s">
        <v>56</v>
      </c>
      <c r="AO20" s="43" t="s">
        <v>46</v>
      </c>
    </row>
    <row r="21" spans="2:41" ht="15.75" thickBot="1">
      <c r="B21" s="24">
        <v>14</v>
      </c>
      <c r="C21" s="25">
        <v>41806</v>
      </c>
      <c r="D21" s="26" t="s">
        <v>35</v>
      </c>
      <c r="E21" s="27" t="s">
        <v>9</v>
      </c>
      <c r="F21" s="28" t="s">
        <v>36</v>
      </c>
      <c r="G21" s="87">
        <v>2</v>
      </c>
      <c r="H21" s="27" t="s">
        <v>9</v>
      </c>
      <c r="I21" s="92">
        <v>1</v>
      </c>
      <c r="J21" s="29">
        <f t="shared" si="0"/>
        <v>1</v>
      </c>
      <c r="K21" s="11">
        <f t="shared" si="1"/>
        <v>3</v>
      </c>
      <c r="L21" s="11">
        <f t="shared" si="2"/>
        <v>0</v>
      </c>
      <c r="O21" s="44" t="s">
        <v>17</v>
      </c>
      <c r="P21" s="45">
        <f>SUMIF($D$8:$D$55,$O21,$G$8:$G$55)+SUMIF($F$8:$F$55,$O21,$I$8:$I$55)</f>
        <v>3</v>
      </c>
      <c r="Q21" s="45">
        <f>SUMIF($D$8:$D$55,$O21,$I$8:$I$55)+SUMIF($F$8:$F$55,$O21,$G$8:$G$55)</f>
        <v>2</v>
      </c>
      <c r="R21" s="46">
        <f>P21-Q21</f>
        <v>1</v>
      </c>
      <c r="S21" s="47">
        <f>SUMIF($D$8:$D$55,$O21,$K$8:$K$55)+SUMIF($F$8:$F$55,$O21,$L$8:$L$55)</f>
        <v>5</v>
      </c>
      <c r="T21" s="94" t="s">
        <v>58</v>
      </c>
      <c r="U21" s="40"/>
      <c r="V21" s="40" t="str">
        <f>O21</f>
        <v>Colombia</v>
      </c>
      <c r="W21" s="40" t="s">
        <v>57</v>
      </c>
      <c r="Y21" s="109">
        <f t="shared" si="8"/>
        <v>0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0</v>
      </c>
      <c r="AG21" s="108">
        <f t="shared" si="3"/>
        <v>0</v>
      </c>
      <c r="AH21" s="108">
        <f t="shared" si="4"/>
        <v>0</v>
      </c>
      <c r="AI21" s="108">
        <f t="shared" si="10"/>
        <v>0</v>
      </c>
      <c r="AJ21" s="108">
        <f t="shared" si="5"/>
        <v>0</v>
      </c>
      <c r="AK21" s="108">
        <f t="shared" si="6"/>
        <v>0</v>
      </c>
      <c r="AL21" s="108">
        <f t="shared" si="7"/>
        <v>0</v>
      </c>
      <c r="AM21" s="120">
        <f>AO21</f>
        <v>0</v>
      </c>
      <c r="AN21" s="116" t="s">
        <v>17</v>
      </c>
      <c r="AO21" s="115">
        <f>IF(Uitslag!T21="",0,IF(T21=Uitslag!T21,10,0))</f>
        <v>0</v>
      </c>
    </row>
    <row r="22" spans="2:41" ht="15.75" thickBot="1">
      <c r="B22" s="12">
        <v>15</v>
      </c>
      <c r="C22" s="13">
        <v>41807</v>
      </c>
      <c r="D22" s="14" t="s">
        <v>37</v>
      </c>
      <c r="E22" s="15" t="s">
        <v>9</v>
      </c>
      <c r="F22" s="16" t="s">
        <v>38</v>
      </c>
      <c r="G22" s="85">
        <v>1</v>
      </c>
      <c r="H22" s="15" t="s">
        <v>9</v>
      </c>
      <c r="I22" s="90">
        <v>0</v>
      </c>
      <c r="J22" s="17">
        <f t="shared" si="0"/>
        <v>1</v>
      </c>
      <c r="K22" s="11">
        <f t="shared" si="1"/>
        <v>3</v>
      </c>
      <c r="L22" s="11">
        <f t="shared" si="2"/>
        <v>0</v>
      </c>
      <c r="O22" s="48" t="s">
        <v>18</v>
      </c>
      <c r="P22" s="49">
        <f>SUMIF($D$8:$D$55,$O22,$G$8:$G$55)+SUMIF($F$8:$F$55,$O22,$I$8:$I$55)</f>
        <v>2</v>
      </c>
      <c r="Q22" s="49">
        <f>SUMIF($D$8:$D$55,$O22,$I$8:$I$55)+SUMIF($F$8:$F$55,$O22,$G$8:$G$55)</f>
        <v>4</v>
      </c>
      <c r="R22" s="49">
        <f>P22-Q22</f>
        <v>-2</v>
      </c>
      <c r="S22" s="50">
        <f>SUMIF($D$8:$D$55,$O22,$K$8:$K$55)+SUMIF($F$8:$F$55,$O22,$L$8:$L$55)</f>
        <v>1</v>
      </c>
      <c r="T22" s="95" t="s">
        <v>60</v>
      </c>
      <c r="U22" s="40"/>
      <c r="V22" s="40" t="str">
        <f>O22</f>
        <v>Griekenland</v>
      </c>
      <c r="W22" s="40" t="s">
        <v>58</v>
      </c>
      <c r="Y22" s="109">
        <f t="shared" si="8"/>
        <v>5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5</v>
      </c>
      <c r="AG22" s="108">
        <f t="shared" si="3"/>
        <v>0</v>
      </c>
      <c r="AH22" s="108">
        <f t="shared" si="4"/>
        <v>0</v>
      </c>
      <c r="AI22" s="108">
        <f t="shared" si="10"/>
        <v>0</v>
      </c>
      <c r="AJ22" s="108">
        <f t="shared" si="5"/>
        <v>5</v>
      </c>
      <c r="AK22" s="108">
        <f t="shared" si="6"/>
        <v>0</v>
      </c>
      <c r="AL22" s="108">
        <f t="shared" si="7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18">
        <v>16</v>
      </c>
      <c r="C23" s="19">
        <v>41807</v>
      </c>
      <c r="D23" s="20" t="s">
        <v>8</v>
      </c>
      <c r="E23" s="21" t="s">
        <v>9</v>
      </c>
      <c r="F23" s="30" t="s">
        <v>11</v>
      </c>
      <c r="G23" s="86">
        <v>2</v>
      </c>
      <c r="H23" s="21" t="s">
        <v>9</v>
      </c>
      <c r="I23" s="91">
        <v>1</v>
      </c>
      <c r="J23" s="23">
        <f t="shared" si="0"/>
        <v>1</v>
      </c>
      <c r="K23" s="11">
        <f t="shared" si="1"/>
        <v>3</v>
      </c>
      <c r="L23" s="11">
        <f t="shared" si="2"/>
        <v>0</v>
      </c>
      <c r="O23" s="48" t="s">
        <v>23</v>
      </c>
      <c r="P23" s="49">
        <f>SUMIF($D$8:$D$55,$O23,$G$8:$G$55)+SUMIF($F$8:$F$55,$O23,$I$8:$I$55)</f>
        <v>5</v>
      </c>
      <c r="Q23" s="49">
        <f>SUMIF($D$8:$D$55,$O23,$I$8:$I$55)+SUMIF($F$8:$F$55,$O23,$G$8:$G$55)</f>
        <v>2</v>
      </c>
      <c r="R23" s="49">
        <f>P23-Q23</f>
        <v>3</v>
      </c>
      <c r="S23" s="50">
        <f>SUMIF($D$8:$D$55,$O23,$K$8:$K$55)+SUMIF($F$8:$F$55,$O23,$L$8:$L$55)</f>
        <v>7</v>
      </c>
      <c r="T23" s="95" t="s">
        <v>57</v>
      </c>
      <c r="U23" s="40"/>
      <c r="V23" s="40" t="str">
        <f>O23</f>
        <v>Ivoorkust</v>
      </c>
      <c r="W23" s="40" t="s">
        <v>59</v>
      </c>
      <c r="Y23" s="109">
        <f t="shared" si="8"/>
        <v>0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0</v>
      </c>
      <c r="AG23" s="108">
        <f t="shared" si="3"/>
        <v>0</v>
      </c>
      <c r="AH23" s="108">
        <f t="shared" si="4"/>
        <v>0</v>
      </c>
      <c r="AI23" s="108">
        <f t="shared" si="10"/>
        <v>0</v>
      </c>
      <c r="AJ23" s="108">
        <f t="shared" si="5"/>
        <v>0</v>
      </c>
      <c r="AK23" s="108">
        <f t="shared" si="6"/>
        <v>0</v>
      </c>
      <c r="AL23" s="108">
        <f t="shared" si="7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24">
        <v>17</v>
      </c>
      <c r="C24" s="25">
        <v>41807</v>
      </c>
      <c r="D24" s="26" t="s">
        <v>39</v>
      </c>
      <c r="E24" s="27" t="s">
        <v>9</v>
      </c>
      <c r="F24" s="28" t="s">
        <v>40</v>
      </c>
      <c r="G24" s="87">
        <v>1</v>
      </c>
      <c r="H24" s="27" t="s">
        <v>9</v>
      </c>
      <c r="I24" s="92">
        <v>0</v>
      </c>
      <c r="J24" s="29">
        <f t="shared" si="0"/>
        <v>1</v>
      </c>
      <c r="K24" s="11">
        <f t="shared" si="1"/>
        <v>3</v>
      </c>
      <c r="L24" s="11">
        <f t="shared" si="2"/>
        <v>0</v>
      </c>
      <c r="O24" s="51" t="s">
        <v>24</v>
      </c>
      <c r="P24" s="52">
        <f>SUMIF($D$8:$D$55,$O24,$G$8:$G$55)+SUMIF($F$8:$F$55,$O24,$I$8:$I$55)</f>
        <v>2</v>
      </c>
      <c r="Q24" s="52">
        <f>SUMIF($D$8:$D$55,$O24,$I$8:$I$55)+SUMIF($F$8:$F$55,$O24,$G$8:$G$55)</f>
        <v>4</v>
      </c>
      <c r="R24" s="52">
        <f>P24-Q24</f>
        <v>-2</v>
      </c>
      <c r="S24" s="53">
        <f>SUMIF($D$8:$D$55,$O24,$K$8:$K$55)+SUMIF($F$8:$F$55,$O24,$L$8:$L$55)</f>
        <v>2</v>
      </c>
      <c r="T24" s="96" t="s">
        <v>59</v>
      </c>
      <c r="U24" s="40"/>
      <c r="V24" s="40" t="str">
        <f>O24</f>
        <v>Japan</v>
      </c>
      <c r="W24" s="40" t="s">
        <v>60</v>
      </c>
      <c r="Y24" s="109">
        <f t="shared" si="8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</v>
      </c>
      <c r="AG24" s="108">
        <f t="shared" si="3"/>
        <v>1</v>
      </c>
      <c r="AH24" s="108">
        <f t="shared" si="4"/>
        <v>0</v>
      </c>
      <c r="AI24" s="108">
        <f t="shared" si="10"/>
        <v>0</v>
      </c>
      <c r="AJ24" s="108">
        <f t="shared" si="5"/>
        <v>0</v>
      </c>
      <c r="AK24" s="108">
        <f t="shared" si="6"/>
        <v>0</v>
      </c>
      <c r="AL24" s="108">
        <f t="shared" si="7"/>
        <v>0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12">
        <v>18</v>
      </c>
      <c r="C25" s="13">
        <v>41808</v>
      </c>
      <c r="D25" s="14" t="s">
        <v>16</v>
      </c>
      <c r="E25" s="15" t="s">
        <v>9</v>
      </c>
      <c r="F25" s="31" t="s">
        <v>14</v>
      </c>
      <c r="G25" s="85">
        <v>1</v>
      </c>
      <c r="H25" s="15" t="s">
        <v>9</v>
      </c>
      <c r="I25" s="90">
        <v>1</v>
      </c>
      <c r="J25" s="17">
        <f t="shared" si="0"/>
        <v>3</v>
      </c>
      <c r="K25" s="11">
        <f t="shared" si="1"/>
        <v>1</v>
      </c>
      <c r="L25" s="11">
        <f t="shared" si="2"/>
        <v>1</v>
      </c>
      <c r="O25" s="40"/>
      <c r="P25" s="41"/>
      <c r="Q25" s="41"/>
      <c r="R25" s="41"/>
      <c r="S25" s="41"/>
      <c r="T25" s="41"/>
      <c r="U25" s="40"/>
      <c r="V25" s="40"/>
      <c r="W25" s="40"/>
      <c r="Y25" s="109">
        <f t="shared" si="8"/>
        <v>0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0</v>
      </c>
      <c r="AG25" s="108">
        <f t="shared" si="3"/>
        <v>0</v>
      </c>
      <c r="AH25" s="108">
        <f t="shared" si="4"/>
        <v>0</v>
      </c>
      <c r="AI25" s="108">
        <f t="shared" si="10"/>
        <v>0</v>
      </c>
      <c r="AJ25" s="108">
        <f t="shared" si="5"/>
        <v>0</v>
      </c>
      <c r="AK25" s="108">
        <f t="shared" si="6"/>
        <v>0</v>
      </c>
      <c r="AL25" s="108">
        <f t="shared" si="7"/>
        <v>0</v>
      </c>
      <c r="AN25" s="40"/>
      <c r="AO25" s="41"/>
    </row>
    <row r="26" spans="2:41" ht="15.75" thickBot="1">
      <c r="B26" s="18">
        <v>19</v>
      </c>
      <c r="C26" s="19">
        <v>41808</v>
      </c>
      <c r="D26" s="20" t="s">
        <v>13</v>
      </c>
      <c r="E26" s="21" t="s">
        <v>9</v>
      </c>
      <c r="F26" s="30" t="s">
        <v>15</v>
      </c>
      <c r="G26" s="86">
        <v>2</v>
      </c>
      <c r="H26" s="21" t="s">
        <v>9</v>
      </c>
      <c r="I26" s="91">
        <v>2</v>
      </c>
      <c r="J26" s="23">
        <f t="shared" si="0"/>
        <v>3</v>
      </c>
      <c r="K26" s="11">
        <f t="shared" si="1"/>
        <v>1</v>
      </c>
      <c r="L26" s="11">
        <f t="shared" si="2"/>
        <v>1</v>
      </c>
      <c r="O26" s="72" t="s">
        <v>61</v>
      </c>
      <c r="P26" s="73" t="s">
        <v>42</v>
      </c>
      <c r="Q26" s="73" t="s">
        <v>43</v>
      </c>
      <c r="R26" s="74" t="s">
        <v>44</v>
      </c>
      <c r="S26" s="75" t="s">
        <v>45</v>
      </c>
      <c r="T26" s="76" t="s">
        <v>46</v>
      </c>
      <c r="U26" s="40"/>
      <c r="V26" s="40"/>
      <c r="W26" s="40"/>
      <c r="Y26" s="109">
        <f t="shared" si="8"/>
        <v>1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1</v>
      </c>
      <c r="AG26" s="108">
        <f t="shared" si="3"/>
        <v>0</v>
      </c>
      <c r="AH26" s="108">
        <f t="shared" si="4"/>
        <v>1</v>
      </c>
      <c r="AI26" s="108">
        <f t="shared" si="10"/>
        <v>0</v>
      </c>
      <c r="AJ26" s="108">
        <f t="shared" si="5"/>
        <v>0</v>
      </c>
      <c r="AK26" s="108">
        <f t="shared" si="6"/>
        <v>0</v>
      </c>
      <c r="AL26" s="108">
        <f t="shared" si="7"/>
        <v>0</v>
      </c>
      <c r="AN26" s="42" t="s">
        <v>61</v>
      </c>
      <c r="AO26" s="43" t="s">
        <v>46</v>
      </c>
    </row>
    <row r="27" spans="2:41" ht="15.75" thickBot="1">
      <c r="B27" s="24">
        <v>20</v>
      </c>
      <c r="C27" s="25">
        <v>41808</v>
      </c>
      <c r="D27" s="26" t="s">
        <v>12</v>
      </c>
      <c r="E27" s="27" t="s">
        <v>9</v>
      </c>
      <c r="F27" s="28" t="s">
        <v>10</v>
      </c>
      <c r="G27" s="87">
        <v>1</v>
      </c>
      <c r="H27" s="27" t="s">
        <v>9</v>
      </c>
      <c r="I27" s="92">
        <v>1</v>
      </c>
      <c r="J27" s="29">
        <f t="shared" si="0"/>
        <v>3</v>
      </c>
      <c r="K27" s="11">
        <f t="shared" si="1"/>
        <v>1</v>
      </c>
      <c r="L27" s="11">
        <f t="shared" si="2"/>
        <v>1</v>
      </c>
      <c r="O27" s="44" t="s">
        <v>19</v>
      </c>
      <c r="P27" s="45">
        <f>SUMIF($D$8:$D$55,$O27,$G$8:$G$55)+SUMIF($F$8:$F$55,$O27,$I$8:$I$55)</f>
        <v>4</v>
      </c>
      <c r="Q27" s="45">
        <f>SUMIF($D$8:$D$55,$O27,$I$8:$I$55)+SUMIF($F$8:$F$55,$O27,$G$8:$G$55)</f>
        <v>2</v>
      </c>
      <c r="R27" s="46">
        <f>P27-Q27</f>
        <v>2</v>
      </c>
      <c r="S27" s="47">
        <f>SUMIF($D$8:$D$55,$O27,$K$8:$K$55)+SUMIF($F$8:$F$55,$O27,$L$8:$L$55)</f>
        <v>4</v>
      </c>
      <c r="T27" s="94" t="s">
        <v>64</v>
      </c>
      <c r="U27" s="40"/>
      <c r="V27" s="40" t="str">
        <f>O27</f>
        <v>Uruguay</v>
      </c>
      <c r="W27" s="40" t="s">
        <v>62</v>
      </c>
      <c r="Y27" s="109">
        <f t="shared" si="8"/>
        <v>0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0</v>
      </c>
      <c r="AG27" s="108">
        <f t="shared" si="3"/>
        <v>0</v>
      </c>
      <c r="AH27" s="108">
        <f t="shared" si="4"/>
        <v>0</v>
      </c>
      <c r="AI27" s="108">
        <f t="shared" si="10"/>
        <v>0</v>
      </c>
      <c r="AJ27" s="108">
        <f t="shared" si="5"/>
        <v>0</v>
      </c>
      <c r="AK27" s="108">
        <f t="shared" si="6"/>
        <v>0</v>
      </c>
      <c r="AL27" s="108">
        <f t="shared" si="7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12">
        <v>21</v>
      </c>
      <c r="C28" s="13">
        <v>41809</v>
      </c>
      <c r="D28" s="14" t="s">
        <v>17</v>
      </c>
      <c r="E28" s="15" t="s">
        <v>9</v>
      </c>
      <c r="F28" s="16" t="s">
        <v>23</v>
      </c>
      <c r="G28" s="85">
        <v>1</v>
      </c>
      <c r="H28" s="15" t="s">
        <v>9</v>
      </c>
      <c r="I28" s="90">
        <v>1</v>
      </c>
      <c r="J28" s="17">
        <f t="shared" si="0"/>
        <v>3</v>
      </c>
      <c r="K28" s="11">
        <f t="shared" si="1"/>
        <v>1</v>
      </c>
      <c r="L28" s="11">
        <f t="shared" si="2"/>
        <v>1</v>
      </c>
      <c r="O28" s="48" t="s">
        <v>20</v>
      </c>
      <c r="P28" s="49">
        <f>SUMIF($D$8:$D$55,$O28,$G$8:$G$55)+SUMIF($F$8:$F$55,$O28,$I$8:$I$55)</f>
        <v>0</v>
      </c>
      <c r="Q28" s="49">
        <f>SUMIF($D$8:$D$55,$O28,$I$8:$I$55)+SUMIF($F$8:$F$55,$O28,$G$8:$G$55)</f>
        <v>5</v>
      </c>
      <c r="R28" s="49">
        <f>P28-Q28</f>
        <v>-5</v>
      </c>
      <c r="S28" s="50">
        <f>SUMIF($D$8:$D$55,$O28,$K$8:$K$55)+SUMIF($F$8:$F$55,$O28,$L$8:$L$55)</f>
        <v>0</v>
      </c>
      <c r="T28" s="95" t="s">
        <v>65</v>
      </c>
      <c r="U28" s="40"/>
      <c r="V28" s="40" t="str">
        <f>O28</f>
        <v>Costa Rica</v>
      </c>
      <c r="W28" s="40" t="s">
        <v>63</v>
      </c>
      <c r="Y28" s="109">
        <f t="shared" si="8"/>
        <v>1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1</v>
      </c>
      <c r="AG28" s="108">
        <f t="shared" si="3"/>
        <v>0</v>
      </c>
      <c r="AH28" s="108">
        <f t="shared" si="4"/>
        <v>1</v>
      </c>
      <c r="AI28" s="108">
        <f t="shared" si="10"/>
        <v>0</v>
      </c>
      <c r="AJ28" s="108">
        <f t="shared" si="5"/>
        <v>0</v>
      </c>
      <c r="AK28" s="108">
        <f t="shared" si="6"/>
        <v>0</v>
      </c>
      <c r="AL28" s="108">
        <f t="shared" si="7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18">
        <v>22</v>
      </c>
      <c r="C29" s="19">
        <v>41809</v>
      </c>
      <c r="D29" s="20" t="s">
        <v>19</v>
      </c>
      <c r="E29" s="21" t="s">
        <v>9</v>
      </c>
      <c r="F29" s="30" t="s">
        <v>21</v>
      </c>
      <c r="G29" s="86">
        <v>1</v>
      </c>
      <c r="H29" s="21" t="s">
        <v>9</v>
      </c>
      <c r="I29" s="91">
        <v>1</v>
      </c>
      <c r="J29" s="23">
        <f t="shared" si="0"/>
        <v>3</v>
      </c>
      <c r="K29" s="11">
        <f t="shared" si="1"/>
        <v>1</v>
      </c>
      <c r="L29" s="11">
        <f t="shared" si="2"/>
        <v>1</v>
      </c>
      <c r="O29" s="48" t="s">
        <v>21</v>
      </c>
      <c r="P29" s="49">
        <f>SUMIF($D$8:$D$55,$O29,$G$8:$G$55)+SUMIF($F$8:$F$55,$O29,$I$8:$I$55)</f>
        <v>3</v>
      </c>
      <c r="Q29" s="49">
        <f>SUMIF($D$8:$D$55,$O29,$I$8:$I$55)+SUMIF($F$8:$F$55,$O29,$G$8:$G$55)</f>
        <v>2</v>
      </c>
      <c r="R29" s="49">
        <f>P29-Q29</f>
        <v>1</v>
      </c>
      <c r="S29" s="50">
        <f>SUMIF($D$8:$D$55,$O29,$K$8:$K$55)+SUMIF($F$8:$F$55,$O29,$L$8:$L$55)</f>
        <v>5</v>
      </c>
      <c r="T29" s="95" t="s">
        <v>63</v>
      </c>
      <c r="U29" s="40"/>
      <c r="V29" s="40" t="str">
        <f>O29</f>
        <v>Engeland</v>
      </c>
      <c r="W29" s="40" t="s">
        <v>64</v>
      </c>
      <c r="Y29" s="109">
        <f t="shared" si="8"/>
        <v>1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1</v>
      </c>
      <c r="AG29" s="108">
        <f t="shared" si="3"/>
        <v>0</v>
      </c>
      <c r="AH29" s="108">
        <f t="shared" si="4"/>
        <v>1</v>
      </c>
      <c r="AI29" s="108">
        <f t="shared" si="10"/>
        <v>0</v>
      </c>
      <c r="AJ29" s="108">
        <f t="shared" si="5"/>
        <v>0</v>
      </c>
      <c r="AK29" s="108">
        <f t="shared" si="6"/>
        <v>0</v>
      </c>
      <c r="AL29" s="108">
        <f t="shared" si="7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24">
        <v>23</v>
      </c>
      <c r="C30" s="25">
        <v>41809</v>
      </c>
      <c r="D30" s="26" t="s">
        <v>24</v>
      </c>
      <c r="E30" s="27" t="s">
        <v>9</v>
      </c>
      <c r="F30" s="28" t="s">
        <v>18</v>
      </c>
      <c r="G30" s="87">
        <v>1</v>
      </c>
      <c r="H30" s="27" t="s">
        <v>9</v>
      </c>
      <c r="I30" s="92">
        <v>1</v>
      </c>
      <c r="J30" s="29">
        <f t="shared" si="0"/>
        <v>3</v>
      </c>
      <c r="K30" s="11">
        <f t="shared" si="1"/>
        <v>1</v>
      </c>
      <c r="L30" s="11">
        <f t="shared" si="2"/>
        <v>1</v>
      </c>
      <c r="O30" s="51" t="s">
        <v>22</v>
      </c>
      <c r="P30" s="52">
        <f>SUMIF($D$8:$D$55,$O30,$G$8:$G$55)+SUMIF($F$8:$F$55,$O30,$I$8:$I$55)</f>
        <v>3</v>
      </c>
      <c r="Q30" s="52">
        <f>SUMIF($D$8:$D$55,$O30,$I$8:$I$55)+SUMIF($F$8:$F$55,$O30,$G$8:$G$55)</f>
        <v>1</v>
      </c>
      <c r="R30" s="52">
        <f>P30-Q30</f>
        <v>2</v>
      </c>
      <c r="S30" s="53">
        <f>SUMIF($D$8:$D$55,$O30,$K$8:$K$55)+SUMIF($F$8:$F$55,$O30,$L$8:$L$55)</f>
        <v>7</v>
      </c>
      <c r="T30" s="96" t="s">
        <v>62</v>
      </c>
      <c r="U30" s="40"/>
      <c r="V30" s="40" t="str">
        <f>O30</f>
        <v>Italië</v>
      </c>
      <c r="W30" s="40" t="s">
        <v>65</v>
      </c>
      <c r="Y30" s="109">
        <f t="shared" si="8"/>
        <v>5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5</v>
      </c>
      <c r="AG30" s="108">
        <f t="shared" si="3"/>
        <v>0</v>
      </c>
      <c r="AH30" s="108">
        <f t="shared" si="4"/>
        <v>0</v>
      </c>
      <c r="AI30" s="108">
        <f t="shared" si="10"/>
        <v>0</v>
      </c>
      <c r="AJ30" s="108">
        <f t="shared" si="5"/>
        <v>0</v>
      </c>
      <c r="AK30" s="108">
        <f t="shared" si="6"/>
        <v>0</v>
      </c>
      <c r="AL30" s="108">
        <f t="shared" si="7"/>
        <v>5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12">
        <v>24</v>
      </c>
      <c r="C31" s="13">
        <v>41810</v>
      </c>
      <c r="D31" s="14" t="s">
        <v>22</v>
      </c>
      <c r="E31" s="15" t="s">
        <v>9</v>
      </c>
      <c r="F31" s="16" t="s">
        <v>20</v>
      </c>
      <c r="G31" s="85">
        <v>1</v>
      </c>
      <c r="H31" s="15" t="s">
        <v>9</v>
      </c>
      <c r="I31" s="90">
        <v>0</v>
      </c>
      <c r="J31" s="17">
        <f t="shared" si="0"/>
        <v>1</v>
      </c>
      <c r="K31" s="11">
        <f t="shared" si="1"/>
        <v>3</v>
      </c>
      <c r="L31" s="11">
        <f t="shared" si="2"/>
        <v>0</v>
      </c>
      <c r="O31" s="40"/>
      <c r="P31" s="41"/>
      <c r="Q31" s="41"/>
      <c r="R31" s="41"/>
      <c r="S31" s="41"/>
      <c r="T31" s="41"/>
      <c r="U31" s="40"/>
      <c r="V31" s="40"/>
      <c r="W31" s="40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3"/>
        <v>0</v>
      </c>
      <c r="AH31" s="108">
        <f t="shared" si="4"/>
        <v>0</v>
      </c>
      <c r="AI31" s="108">
        <f t="shared" si="10"/>
        <v>0</v>
      </c>
      <c r="AJ31" s="108">
        <f t="shared" si="5"/>
        <v>0</v>
      </c>
      <c r="AK31" s="108">
        <f t="shared" si="6"/>
        <v>0</v>
      </c>
      <c r="AL31" s="108">
        <f t="shared" si="7"/>
        <v>0</v>
      </c>
      <c r="AN31" s="40"/>
      <c r="AO31" s="41"/>
    </row>
    <row r="32" spans="2:41" ht="15.75" thickBot="1">
      <c r="B32" s="18">
        <v>25</v>
      </c>
      <c r="C32" s="19">
        <v>41810</v>
      </c>
      <c r="D32" s="20" t="s">
        <v>25</v>
      </c>
      <c r="E32" s="21" t="s">
        <v>9</v>
      </c>
      <c r="F32" s="30" t="s">
        <v>27</v>
      </c>
      <c r="G32" s="86">
        <v>0</v>
      </c>
      <c r="H32" s="21" t="s">
        <v>9</v>
      </c>
      <c r="I32" s="91">
        <v>1</v>
      </c>
      <c r="J32" s="23">
        <f t="shared" si="0"/>
        <v>2</v>
      </c>
      <c r="K32" s="11">
        <f t="shared" si="1"/>
        <v>0</v>
      </c>
      <c r="L32" s="11">
        <f t="shared" si="2"/>
        <v>3</v>
      </c>
      <c r="O32" s="72" t="s">
        <v>66</v>
      </c>
      <c r="P32" s="73" t="s">
        <v>42</v>
      </c>
      <c r="Q32" s="73" t="s">
        <v>43</v>
      </c>
      <c r="R32" s="74" t="s">
        <v>44</v>
      </c>
      <c r="S32" s="75" t="s">
        <v>45</v>
      </c>
      <c r="T32" s="76" t="s">
        <v>46</v>
      </c>
      <c r="U32" s="40"/>
      <c r="V32" s="40"/>
      <c r="W32" s="40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3"/>
        <v>0</v>
      </c>
      <c r="AH32" s="108">
        <f t="shared" si="4"/>
        <v>0</v>
      </c>
      <c r="AI32" s="108">
        <f t="shared" si="10"/>
        <v>0</v>
      </c>
      <c r="AJ32" s="108">
        <f t="shared" si="5"/>
        <v>0</v>
      </c>
      <c r="AK32" s="108">
        <f t="shared" si="6"/>
        <v>5</v>
      </c>
      <c r="AL32" s="108">
        <f t="shared" si="7"/>
        <v>0</v>
      </c>
      <c r="AN32" s="42" t="s">
        <v>66</v>
      </c>
      <c r="AO32" s="43" t="s">
        <v>46</v>
      </c>
    </row>
    <row r="33" spans="2:41" ht="15.75" thickBot="1">
      <c r="B33" s="24">
        <v>26</v>
      </c>
      <c r="C33" s="25">
        <v>41810</v>
      </c>
      <c r="D33" s="26" t="s">
        <v>28</v>
      </c>
      <c r="E33" s="27" t="s">
        <v>9</v>
      </c>
      <c r="F33" s="28" t="s">
        <v>26</v>
      </c>
      <c r="G33" s="87">
        <v>0</v>
      </c>
      <c r="H33" s="27" t="s">
        <v>9</v>
      </c>
      <c r="I33" s="92">
        <v>1</v>
      </c>
      <c r="J33" s="29">
        <f t="shared" si="0"/>
        <v>2</v>
      </c>
      <c r="K33" s="11">
        <f t="shared" si="1"/>
        <v>0</v>
      </c>
      <c r="L33" s="11">
        <f t="shared" si="2"/>
        <v>3</v>
      </c>
      <c r="O33" s="44" t="s">
        <v>25</v>
      </c>
      <c r="P33" s="45">
        <f>SUMIF($D$8:$D$55,$O33,$G$8:$G$55)+SUMIF($F$8:$F$55,$O33,$I$8:$I$55)</f>
        <v>1</v>
      </c>
      <c r="Q33" s="45">
        <f>SUMIF($D$8:$D$55,$O33,$I$8:$I$55)+SUMIF($F$8:$F$55,$O33,$G$8:$G$55)</f>
        <v>2</v>
      </c>
      <c r="R33" s="46">
        <f>P33-Q33</f>
        <v>-1</v>
      </c>
      <c r="S33" s="47">
        <f>SUMIF($D$8:$D$55,$O33,$K$8:$K$55)+SUMIF($F$8:$F$55,$O33,$L$8:$L$55)</f>
        <v>3</v>
      </c>
      <c r="T33" s="94" t="s">
        <v>69</v>
      </c>
      <c r="U33" s="40"/>
      <c r="V33" s="40" t="str">
        <f>O33</f>
        <v>Zwitserland</v>
      </c>
      <c r="W33" s="40" t="s">
        <v>67</v>
      </c>
      <c r="Y33" s="109">
        <f t="shared" si="8"/>
        <v>5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5</v>
      </c>
      <c r="AG33" s="108">
        <f t="shared" si="3"/>
        <v>0</v>
      </c>
      <c r="AH33" s="108">
        <f t="shared" si="4"/>
        <v>0</v>
      </c>
      <c r="AI33" s="108">
        <f t="shared" si="10"/>
        <v>0</v>
      </c>
      <c r="AJ33" s="108">
        <f t="shared" si="5"/>
        <v>0</v>
      </c>
      <c r="AK33" s="108">
        <f t="shared" si="6"/>
        <v>5</v>
      </c>
      <c r="AL33" s="108">
        <f t="shared" si="7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12">
        <v>27</v>
      </c>
      <c r="C34" s="13">
        <v>41811</v>
      </c>
      <c r="D34" s="14" t="s">
        <v>29</v>
      </c>
      <c r="E34" s="15" t="s">
        <v>9</v>
      </c>
      <c r="F34" s="16" t="s">
        <v>33</v>
      </c>
      <c r="G34" s="85">
        <v>3</v>
      </c>
      <c r="H34" s="15" t="s">
        <v>9</v>
      </c>
      <c r="I34" s="90">
        <v>1</v>
      </c>
      <c r="J34" s="17">
        <f t="shared" si="0"/>
        <v>1</v>
      </c>
      <c r="K34" s="11">
        <f t="shared" si="1"/>
        <v>3</v>
      </c>
      <c r="L34" s="11">
        <f t="shared" si="2"/>
        <v>0</v>
      </c>
      <c r="O34" s="48" t="s">
        <v>26</v>
      </c>
      <c r="P34" s="49">
        <f>SUMIF($D$8:$D$55,$O34,$G$8:$G$55)+SUMIF($F$8:$F$55,$O34,$I$8:$I$55)</f>
        <v>2</v>
      </c>
      <c r="Q34" s="49">
        <f>SUMIF($D$8:$D$55,$O34,$I$8:$I$55)+SUMIF($F$8:$F$55,$O34,$G$8:$G$55)</f>
        <v>0</v>
      </c>
      <c r="R34" s="49">
        <f>P34-Q34</f>
        <v>2</v>
      </c>
      <c r="S34" s="50">
        <f>SUMIF($D$8:$D$55,$O34,$K$8:$K$55)+SUMIF($F$8:$F$55,$O34,$L$8:$L$55)</f>
        <v>7</v>
      </c>
      <c r="T34" s="95" t="s">
        <v>68</v>
      </c>
      <c r="U34" s="40"/>
      <c r="V34" s="40" t="str">
        <f>O34</f>
        <v>Ecuador</v>
      </c>
      <c r="W34" s="40" t="s">
        <v>68</v>
      </c>
      <c r="Y34" s="109">
        <f t="shared" si="8"/>
        <v>5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5</v>
      </c>
      <c r="AG34" s="108">
        <f t="shared" si="3"/>
        <v>0</v>
      </c>
      <c r="AH34" s="108">
        <f t="shared" si="4"/>
        <v>0</v>
      </c>
      <c r="AI34" s="108">
        <f t="shared" si="10"/>
        <v>0</v>
      </c>
      <c r="AJ34" s="108">
        <f t="shared" si="5"/>
        <v>5</v>
      </c>
      <c r="AK34" s="108">
        <f t="shared" si="6"/>
        <v>0</v>
      </c>
      <c r="AL34" s="108">
        <f t="shared" si="7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18">
        <v>28</v>
      </c>
      <c r="C35" s="19">
        <v>41811</v>
      </c>
      <c r="D35" s="20" t="s">
        <v>31</v>
      </c>
      <c r="E35" s="21" t="s">
        <v>9</v>
      </c>
      <c r="F35" s="30" t="s">
        <v>35</v>
      </c>
      <c r="G35" s="86">
        <v>1</v>
      </c>
      <c r="H35" s="21" t="s">
        <v>9</v>
      </c>
      <c r="I35" s="91">
        <v>1</v>
      </c>
      <c r="J35" s="23">
        <f t="shared" si="0"/>
        <v>3</v>
      </c>
      <c r="K35" s="11">
        <f t="shared" si="1"/>
        <v>1</v>
      </c>
      <c r="L35" s="11">
        <f t="shared" si="2"/>
        <v>1</v>
      </c>
      <c r="O35" s="48" t="s">
        <v>27</v>
      </c>
      <c r="P35" s="49">
        <f>SUMIF($D$8:$D$55,$O35,$G$8:$G$55)+SUMIF($F$8:$F$55,$O35,$I$8:$I$55)</f>
        <v>2</v>
      </c>
      <c r="Q35" s="49">
        <f>SUMIF($D$8:$D$55,$O35,$I$8:$I$55)+SUMIF($F$8:$F$55,$O35,$G$8:$G$55)</f>
        <v>0</v>
      </c>
      <c r="R35" s="49">
        <f>P35-Q35</f>
        <v>2</v>
      </c>
      <c r="S35" s="50">
        <f>SUMIF($D$8:$D$55,$O35,$K$8:$K$55)+SUMIF($F$8:$F$55,$O35,$L$8:$L$55)</f>
        <v>7</v>
      </c>
      <c r="T35" s="95" t="s">
        <v>67</v>
      </c>
      <c r="U35" s="40"/>
      <c r="V35" s="40" t="str">
        <f>O35</f>
        <v>Frankrijk</v>
      </c>
      <c r="W35" s="40" t="s">
        <v>69</v>
      </c>
      <c r="Y35" s="109">
        <f t="shared" si="8"/>
        <v>5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5</v>
      </c>
      <c r="AG35" s="108">
        <f t="shared" si="3"/>
        <v>0</v>
      </c>
      <c r="AH35" s="108">
        <f t="shared" si="4"/>
        <v>0</v>
      </c>
      <c r="AI35" s="108">
        <f t="shared" si="10"/>
        <v>0</v>
      </c>
      <c r="AJ35" s="108">
        <f t="shared" si="5"/>
        <v>0</v>
      </c>
      <c r="AK35" s="108">
        <f t="shared" si="6"/>
        <v>0</v>
      </c>
      <c r="AL35" s="108">
        <f t="shared" si="7"/>
        <v>5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24">
        <v>29</v>
      </c>
      <c r="C36" s="25">
        <v>41811</v>
      </c>
      <c r="D36" s="26" t="s">
        <v>34</v>
      </c>
      <c r="E36" s="27" t="s">
        <v>9</v>
      </c>
      <c r="F36" s="28" t="s">
        <v>30</v>
      </c>
      <c r="G36" s="87">
        <v>2</v>
      </c>
      <c r="H36" s="27" t="s">
        <v>9</v>
      </c>
      <c r="I36" s="92">
        <v>0</v>
      </c>
      <c r="J36" s="29">
        <f t="shared" si="0"/>
        <v>1</v>
      </c>
      <c r="K36" s="11">
        <f t="shared" si="1"/>
        <v>3</v>
      </c>
      <c r="L36" s="11">
        <f t="shared" si="2"/>
        <v>0</v>
      </c>
      <c r="O36" s="51" t="s">
        <v>28</v>
      </c>
      <c r="P36" s="52">
        <f>SUMIF($D$8:$D$55,$O36,$G$8:$G$55)+SUMIF($F$8:$F$55,$O36,$I$8:$I$55)</f>
        <v>0</v>
      </c>
      <c r="Q36" s="52">
        <f>SUMIF($D$8:$D$55,$O36,$I$8:$I$55)+SUMIF($F$8:$F$55,$O36,$G$8:$G$55)</f>
        <v>3</v>
      </c>
      <c r="R36" s="52">
        <f>P36-Q36</f>
        <v>-3</v>
      </c>
      <c r="S36" s="53">
        <f>SUMIF($D$8:$D$55,$O36,$K$8:$K$55)+SUMIF($F$8:$F$55,$O36,$L$8:$L$55)</f>
        <v>0</v>
      </c>
      <c r="T36" s="96" t="s">
        <v>70</v>
      </c>
      <c r="U36" s="40"/>
      <c r="V36" s="40" t="str">
        <f>O36</f>
        <v>Honduras</v>
      </c>
      <c r="W36" s="40" t="s">
        <v>70</v>
      </c>
      <c r="Y36" s="109">
        <f t="shared" si="8"/>
        <v>6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6</v>
      </c>
      <c r="AG36" s="108">
        <f t="shared" si="3"/>
        <v>0</v>
      </c>
      <c r="AH36" s="108">
        <f t="shared" si="4"/>
        <v>1</v>
      </c>
      <c r="AI36" s="108">
        <f t="shared" si="10"/>
        <v>0</v>
      </c>
      <c r="AJ36" s="108">
        <f t="shared" si="5"/>
        <v>5</v>
      </c>
      <c r="AK36" s="108">
        <f t="shared" si="6"/>
        <v>0</v>
      </c>
      <c r="AL36" s="108">
        <f t="shared" si="7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12">
        <v>30</v>
      </c>
      <c r="C37" s="13">
        <v>41812</v>
      </c>
      <c r="D37" s="14" t="s">
        <v>37</v>
      </c>
      <c r="E37" s="15" t="s">
        <v>9</v>
      </c>
      <c r="F37" s="16" t="s">
        <v>39</v>
      </c>
      <c r="G37" s="85">
        <v>1</v>
      </c>
      <c r="H37" s="15" t="s">
        <v>9</v>
      </c>
      <c r="I37" s="90">
        <v>1</v>
      </c>
      <c r="J37" s="17">
        <f t="shared" si="0"/>
        <v>3</v>
      </c>
      <c r="K37" s="11">
        <f t="shared" si="1"/>
        <v>1</v>
      </c>
      <c r="L37" s="11">
        <f t="shared" si="2"/>
        <v>1</v>
      </c>
      <c r="O37" s="40"/>
      <c r="P37" s="41"/>
      <c r="Q37" s="41"/>
      <c r="R37" s="41"/>
      <c r="S37" s="41"/>
      <c r="T37" s="41"/>
      <c r="U37" s="40"/>
      <c r="V37" s="40"/>
      <c r="W37" s="40"/>
      <c r="Y37" s="109">
        <f t="shared" si="8"/>
        <v>1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1</v>
      </c>
      <c r="AG37" s="108">
        <f t="shared" si="3"/>
        <v>1</v>
      </c>
      <c r="AH37" s="108">
        <f t="shared" si="4"/>
        <v>0</v>
      </c>
      <c r="AI37" s="108">
        <f t="shared" si="10"/>
        <v>0</v>
      </c>
      <c r="AJ37" s="108">
        <f t="shared" si="5"/>
        <v>0</v>
      </c>
      <c r="AK37" s="108">
        <f t="shared" si="6"/>
        <v>0</v>
      </c>
      <c r="AL37" s="108">
        <f t="shared" si="7"/>
        <v>0</v>
      </c>
      <c r="AN37" s="40"/>
      <c r="AO37" s="41"/>
    </row>
    <row r="38" spans="2:41" ht="15.75" thickBot="1">
      <c r="B38" s="18">
        <v>31</v>
      </c>
      <c r="C38" s="19">
        <v>41812</v>
      </c>
      <c r="D38" s="20" t="s">
        <v>40</v>
      </c>
      <c r="E38" s="21" t="s">
        <v>9</v>
      </c>
      <c r="F38" s="30" t="s">
        <v>38</v>
      </c>
      <c r="G38" s="86">
        <v>1</v>
      </c>
      <c r="H38" s="21" t="s">
        <v>9</v>
      </c>
      <c r="I38" s="91">
        <v>0</v>
      </c>
      <c r="J38" s="23">
        <f t="shared" si="0"/>
        <v>1</v>
      </c>
      <c r="K38" s="11">
        <f t="shared" si="1"/>
        <v>3</v>
      </c>
      <c r="L38" s="11">
        <f t="shared" si="2"/>
        <v>0</v>
      </c>
      <c r="O38" s="72" t="s">
        <v>71</v>
      </c>
      <c r="P38" s="73" t="s">
        <v>42</v>
      </c>
      <c r="Q38" s="73" t="s">
        <v>43</v>
      </c>
      <c r="R38" s="74" t="s">
        <v>44</v>
      </c>
      <c r="S38" s="75" t="s">
        <v>45</v>
      </c>
      <c r="T38" s="76" t="s">
        <v>46</v>
      </c>
      <c r="U38" s="40"/>
      <c r="V38" s="40"/>
      <c r="W38" s="40"/>
      <c r="Y38" s="109">
        <f t="shared" si="8"/>
        <v>0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0</v>
      </c>
      <c r="AG38" s="108">
        <f t="shared" si="3"/>
        <v>0</v>
      </c>
      <c r="AH38" s="108">
        <f t="shared" si="4"/>
        <v>0</v>
      </c>
      <c r="AI38" s="108">
        <f t="shared" si="10"/>
        <v>0</v>
      </c>
      <c r="AJ38" s="108">
        <f t="shared" si="5"/>
        <v>0</v>
      </c>
      <c r="AK38" s="108">
        <f t="shared" si="6"/>
        <v>0</v>
      </c>
      <c r="AL38" s="108">
        <f t="shared" si="7"/>
        <v>0</v>
      </c>
      <c r="AN38" s="42" t="s">
        <v>71</v>
      </c>
      <c r="AO38" s="43" t="s">
        <v>46</v>
      </c>
    </row>
    <row r="39" spans="2:41" ht="15.75" thickBot="1">
      <c r="B39" s="24">
        <v>32</v>
      </c>
      <c r="C39" s="25">
        <v>41812</v>
      </c>
      <c r="D39" s="26" t="s">
        <v>36</v>
      </c>
      <c r="E39" s="27" t="s">
        <v>9</v>
      </c>
      <c r="F39" s="28" t="s">
        <v>32</v>
      </c>
      <c r="G39" s="87">
        <v>0</v>
      </c>
      <c r="H39" s="27" t="s">
        <v>9</v>
      </c>
      <c r="I39" s="92">
        <v>2</v>
      </c>
      <c r="J39" s="29">
        <f t="shared" si="0"/>
        <v>2</v>
      </c>
      <c r="K39" s="11">
        <f t="shared" si="1"/>
        <v>0</v>
      </c>
      <c r="L39" s="11">
        <f t="shared" si="2"/>
        <v>3</v>
      </c>
      <c r="O39" s="44" t="s">
        <v>29</v>
      </c>
      <c r="P39" s="45">
        <f>SUMIF($D$8:$D$55,$O39,$G$8:$G$55)+SUMIF($F$8:$F$55,$O39,$I$8:$I$55)</f>
        <v>6</v>
      </c>
      <c r="Q39" s="45">
        <f>SUMIF($D$8:$D$55,$O39,$I$8:$I$55)+SUMIF($F$8:$F$55,$O39,$G$8:$G$55)</f>
        <v>2</v>
      </c>
      <c r="R39" s="46">
        <f>P39-Q39</f>
        <v>4</v>
      </c>
      <c r="S39" s="47">
        <f>SUMIF($D$8:$D$55,$O39,$K$8:$K$55)+SUMIF($F$8:$F$55,$O39,$L$8:$L$55)</f>
        <v>7</v>
      </c>
      <c r="T39" s="94" t="s">
        <v>73</v>
      </c>
      <c r="U39" s="40"/>
      <c r="V39" s="40" t="str">
        <f>O39</f>
        <v>Argentinië</v>
      </c>
      <c r="W39" s="40" t="s">
        <v>72</v>
      </c>
      <c r="Y39" s="109">
        <f t="shared" si="8"/>
        <v>1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1</v>
      </c>
      <c r="AG39" s="108">
        <f t="shared" si="3"/>
        <v>0</v>
      </c>
      <c r="AH39" s="108">
        <f t="shared" si="4"/>
        <v>1</v>
      </c>
      <c r="AI39" s="108">
        <f t="shared" si="10"/>
        <v>0</v>
      </c>
      <c r="AJ39" s="108">
        <f t="shared" si="5"/>
        <v>0</v>
      </c>
      <c r="AK39" s="108">
        <f t="shared" si="6"/>
        <v>0</v>
      </c>
      <c r="AL39" s="108">
        <f t="shared" si="7"/>
        <v>0</v>
      </c>
      <c r="AM39" s="120">
        <f>AO39</f>
        <v>0</v>
      </c>
      <c r="AN39" s="116" t="s">
        <v>29</v>
      </c>
      <c r="AO39" s="115">
        <f>IF(Uitslag!T39="",0,IF(T39=Uitslag!T39,10,0))</f>
        <v>0</v>
      </c>
    </row>
    <row r="40" spans="2:41" ht="15.75" thickBot="1">
      <c r="B40" s="12">
        <v>33</v>
      </c>
      <c r="C40" s="13">
        <v>41813</v>
      </c>
      <c r="D40" s="14" t="s">
        <v>16</v>
      </c>
      <c r="E40" s="15" t="s">
        <v>9</v>
      </c>
      <c r="F40" s="16" t="s">
        <v>13</v>
      </c>
      <c r="G40" s="85">
        <v>1</v>
      </c>
      <c r="H40" s="15" t="s">
        <v>9</v>
      </c>
      <c r="I40" s="90">
        <v>2</v>
      </c>
      <c r="J40" s="17">
        <f t="shared" si="0"/>
        <v>2</v>
      </c>
      <c r="K40" s="11">
        <f t="shared" si="1"/>
        <v>0</v>
      </c>
      <c r="L40" s="11">
        <f t="shared" si="2"/>
        <v>3</v>
      </c>
      <c r="O40" s="48" t="s">
        <v>30</v>
      </c>
      <c r="P40" s="49">
        <f>SUMIF($D$8:$D$55,$O40,$G$8:$G$55)+SUMIF($F$8:$F$55,$O40,$I$8:$I$55)</f>
        <v>2</v>
      </c>
      <c r="Q40" s="49">
        <f>SUMIF($D$8:$D$55,$O40,$I$8:$I$55)+SUMIF($F$8:$F$55,$O40,$G$8:$G$55)</f>
        <v>4</v>
      </c>
      <c r="R40" s="49">
        <f>P40-Q40</f>
        <v>-2</v>
      </c>
      <c r="S40" s="50">
        <f>SUMIF($D$8:$D$55,$O40,$K$8:$K$55)+SUMIF($F$8:$F$55,$O40,$L$8:$L$55)</f>
        <v>3</v>
      </c>
      <c r="T40" s="95" t="s">
        <v>74</v>
      </c>
      <c r="U40" s="40"/>
      <c r="V40" s="40" t="str">
        <f>O40</f>
        <v>Bosnië H.</v>
      </c>
      <c r="W40" s="40" t="s">
        <v>73</v>
      </c>
      <c r="Y40" s="109">
        <f t="shared" si="8"/>
        <v>5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5</v>
      </c>
      <c r="AG40" s="108">
        <f t="shared" si="3"/>
        <v>0</v>
      </c>
      <c r="AH40" s="108">
        <f t="shared" si="4"/>
        <v>0</v>
      </c>
      <c r="AI40" s="108">
        <f t="shared" si="10"/>
        <v>0</v>
      </c>
      <c r="AJ40" s="108">
        <f t="shared" si="5"/>
        <v>0</v>
      </c>
      <c r="AK40" s="108">
        <f t="shared" si="6"/>
        <v>5</v>
      </c>
      <c r="AL40" s="108">
        <f t="shared" si="7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18">
        <v>34</v>
      </c>
      <c r="C41" s="19">
        <v>41813</v>
      </c>
      <c r="D41" s="32" t="s">
        <v>14</v>
      </c>
      <c r="E41" s="21" t="s">
        <v>9</v>
      </c>
      <c r="F41" s="30" t="s">
        <v>15</v>
      </c>
      <c r="G41" s="86">
        <v>1</v>
      </c>
      <c r="H41" s="21" t="s">
        <v>9</v>
      </c>
      <c r="I41" s="91">
        <v>1</v>
      </c>
      <c r="J41" s="23">
        <f t="shared" si="0"/>
        <v>3</v>
      </c>
      <c r="K41" s="11">
        <f t="shared" si="1"/>
        <v>1</v>
      </c>
      <c r="L41" s="11">
        <f t="shared" si="2"/>
        <v>1</v>
      </c>
      <c r="O41" s="48" t="s">
        <v>33</v>
      </c>
      <c r="P41" s="49">
        <f>SUMIF($D$8:$D$55,$O41,$G$8:$G$55)+SUMIF($F$8:$F$55,$O41,$I$8:$I$55)</f>
        <v>1</v>
      </c>
      <c r="Q41" s="49">
        <f>SUMIF($D$8:$D$55,$O41,$I$8:$I$55)+SUMIF($F$8:$F$55,$O41,$G$8:$G$55)</f>
        <v>8</v>
      </c>
      <c r="R41" s="49">
        <f>P41-Q41</f>
        <v>-7</v>
      </c>
      <c r="S41" s="50">
        <f>SUMIF($D$8:$D$55,$O41,$K$8:$K$55)+SUMIF($F$8:$F$55,$O41,$L$8:$L$55)</f>
        <v>0</v>
      </c>
      <c r="T41" s="95" t="s">
        <v>75</v>
      </c>
      <c r="U41" s="40"/>
      <c r="V41" s="40" t="str">
        <f>O41</f>
        <v>Iran</v>
      </c>
      <c r="W41" s="40" t="s">
        <v>74</v>
      </c>
      <c r="Y41" s="109">
        <f t="shared" si="8"/>
        <v>0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0</v>
      </c>
      <c r="AG41" s="108">
        <f t="shared" si="3"/>
        <v>0</v>
      </c>
      <c r="AH41" s="108">
        <f t="shared" si="4"/>
        <v>0</v>
      </c>
      <c r="AI41" s="108">
        <f t="shared" si="10"/>
        <v>0</v>
      </c>
      <c r="AJ41" s="108">
        <f t="shared" si="5"/>
        <v>0</v>
      </c>
      <c r="AK41" s="108">
        <f t="shared" si="6"/>
        <v>0</v>
      </c>
      <c r="AL41" s="108">
        <f t="shared" si="7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18">
        <v>35</v>
      </c>
      <c r="C42" s="19">
        <v>41813</v>
      </c>
      <c r="D42" s="20" t="s">
        <v>12</v>
      </c>
      <c r="E42" s="21" t="s">
        <v>9</v>
      </c>
      <c r="F42" s="30" t="s">
        <v>8</v>
      </c>
      <c r="G42" s="86">
        <v>1</v>
      </c>
      <c r="H42" s="21" t="s">
        <v>9</v>
      </c>
      <c r="I42" s="91">
        <v>2</v>
      </c>
      <c r="J42" s="23">
        <f t="shared" si="0"/>
        <v>2</v>
      </c>
      <c r="K42" s="11">
        <f t="shared" si="1"/>
        <v>0</v>
      </c>
      <c r="L42" s="11">
        <f t="shared" si="2"/>
        <v>3</v>
      </c>
      <c r="O42" s="51" t="s">
        <v>34</v>
      </c>
      <c r="P42" s="52">
        <f>SUMIF($D$8:$D$55,$O42,$G$8:$G$55)+SUMIF($F$8:$F$55,$O42,$I$8:$I$55)</f>
        <v>6</v>
      </c>
      <c r="Q42" s="52">
        <f>SUMIF($D$8:$D$55,$O42,$I$8:$I$55)+SUMIF($F$8:$F$55,$O42,$G$8:$G$55)</f>
        <v>1</v>
      </c>
      <c r="R42" s="52">
        <f>P42-Q42</f>
        <v>5</v>
      </c>
      <c r="S42" s="53">
        <f>SUMIF($D$8:$D$55,$O42,$K$8:$K$55)+SUMIF($F$8:$F$55,$O42,$L$8:$L$55)</f>
        <v>7</v>
      </c>
      <c r="T42" s="96" t="s">
        <v>72</v>
      </c>
      <c r="U42" s="40"/>
      <c r="V42" s="40" t="str">
        <f>O42</f>
        <v>Nigeria</v>
      </c>
      <c r="W42" s="40" t="s">
        <v>75</v>
      </c>
      <c r="Y42" s="109">
        <f t="shared" si="8"/>
        <v>6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6</v>
      </c>
      <c r="AG42" s="108">
        <f t="shared" si="3"/>
        <v>1</v>
      </c>
      <c r="AH42" s="108">
        <f t="shared" si="4"/>
        <v>0</v>
      </c>
      <c r="AI42" s="108">
        <f t="shared" si="10"/>
        <v>0</v>
      </c>
      <c r="AJ42" s="108">
        <f t="shared" si="5"/>
        <v>0</v>
      </c>
      <c r="AK42" s="108">
        <f t="shared" si="6"/>
        <v>5</v>
      </c>
      <c r="AL42" s="108">
        <f t="shared" si="7"/>
        <v>0</v>
      </c>
      <c r="AM42" s="120">
        <f>AO42</f>
        <v>0</v>
      </c>
      <c r="AN42" s="118" t="s">
        <v>34</v>
      </c>
      <c r="AO42" s="115">
        <f>IF(Uitslag!T42="",0,IF(T42=Uitslag!T42,10,0))</f>
        <v>0</v>
      </c>
    </row>
    <row r="43" spans="2:41" ht="15.75" thickBot="1">
      <c r="B43" s="24">
        <v>36</v>
      </c>
      <c r="C43" s="25">
        <v>41813</v>
      </c>
      <c r="D43" s="26" t="s">
        <v>10</v>
      </c>
      <c r="E43" s="27" t="s">
        <v>9</v>
      </c>
      <c r="F43" s="28" t="s">
        <v>11</v>
      </c>
      <c r="G43" s="87">
        <v>1</v>
      </c>
      <c r="H43" s="27" t="s">
        <v>9</v>
      </c>
      <c r="I43" s="92">
        <v>1</v>
      </c>
      <c r="J43" s="29">
        <f t="shared" si="0"/>
        <v>3</v>
      </c>
      <c r="K43" s="11">
        <f t="shared" si="1"/>
        <v>1</v>
      </c>
      <c r="L43" s="11">
        <f t="shared" si="2"/>
        <v>1</v>
      </c>
      <c r="O43" s="40"/>
      <c r="P43" s="41"/>
      <c r="Q43" s="41"/>
      <c r="R43" s="41"/>
      <c r="S43" s="41"/>
      <c r="T43" s="41"/>
      <c r="U43" s="40"/>
      <c r="V43" s="40"/>
      <c r="W43" s="40"/>
      <c r="Y43" s="109">
        <f t="shared" si="8"/>
        <v>1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1</v>
      </c>
      <c r="AG43" s="108">
        <f t="shared" si="3"/>
        <v>1</v>
      </c>
      <c r="AH43" s="108">
        <f t="shared" si="4"/>
        <v>0</v>
      </c>
      <c r="AI43" s="108">
        <f t="shared" si="10"/>
        <v>0</v>
      </c>
      <c r="AJ43" s="108">
        <f t="shared" si="5"/>
        <v>0</v>
      </c>
      <c r="AK43" s="108">
        <f t="shared" si="6"/>
        <v>0</v>
      </c>
      <c r="AL43" s="108">
        <f t="shared" si="7"/>
        <v>0</v>
      </c>
      <c r="AN43" s="40"/>
      <c r="AO43" s="41"/>
    </row>
    <row r="44" spans="2:41" ht="15.75" thickBot="1">
      <c r="B44" s="12">
        <v>37</v>
      </c>
      <c r="C44" s="13">
        <v>41814</v>
      </c>
      <c r="D44" s="14" t="s">
        <v>22</v>
      </c>
      <c r="E44" s="15" t="s">
        <v>9</v>
      </c>
      <c r="F44" s="16" t="s">
        <v>19</v>
      </c>
      <c r="G44" s="85">
        <v>1</v>
      </c>
      <c r="H44" s="15" t="s">
        <v>9</v>
      </c>
      <c r="I44" s="90">
        <v>0</v>
      </c>
      <c r="J44" s="17">
        <f t="shared" si="0"/>
        <v>1</v>
      </c>
      <c r="K44" s="11">
        <f t="shared" si="1"/>
        <v>3</v>
      </c>
      <c r="L44" s="11">
        <f t="shared" si="2"/>
        <v>0</v>
      </c>
      <c r="O44" s="72" t="s">
        <v>76</v>
      </c>
      <c r="P44" s="73" t="s">
        <v>42</v>
      </c>
      <c r="Q44" s="73" t="s">
        <v>43</v>
      </c>
      <c r="R44" s="74" t="s">
        <v>44</v>
      </c>
      <c r="S44" s="75" t="s">
        <v>45</v>
      </c>
      <c r="T44" s="76" t="s">
        <v>46</v>
      </c>
      <c r="U44" s="40"/>
      <c r="V44" s="40"/>
      <c r="W44" s="40"/>
      <c r="Y44" s="109">
        <f t="shared" si="8"/>
        <v>0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0</v>
      </c>
      <c r="AG44" s="108">
        <f t="shared" si="3"/>
        <v>0</v>
      </c>
      <c r="AH44" s="108">
        <f t="shared" si="4"/>
        <v>0</v>
      </c>
      <c r="AI44" s="108">
        <f t="shared" si="10"/>
        <v>0</v>
      </c>
      <c r="AJ44" s="108">
        <f t="shared" si="5"/>
        <v>0</v>
      </c>
      <c r="AK44" s="108">
        <f t="shared" si="6"/>
        <v>0</v>
      </c>
      <c r="AL44" s="108">
        <f t="shared" si="7"/>
        <v>0</v>
      </c>
      <c r="AN44" s="42" t="s">
        <v>76</v>
      </c>
      <c r="AO44" s="43" t="s">
        <v>46</v>
      </c>
    </row>
    <row r="45" spans="2:41" ht="15.75" thickBot="1">
      <c r="B45" s="18">
        <v>38</v>
      </c>
      <c r="C45" s="19">
        <v>41814</v>
      </c>
      <c r="D45" s="20" t="s">
        <v>20</v>
      </c>
      <c r="E45" s="21" t="s">
        <v>9</v>
      </c>
      <c r="F45" s="30" t="s">
        <v>21</v>
      </c>
      <c r="G45" s="86">
        <v>0</v>
      </c>
      <c r="H45" s="21" t="s">
        <v>9</v>
      </c>
      <c r="I45" s="91">
        <v>1</v>
      </c>
      <c r="J45" s="23">
        <f t="shared" si="0"/>
        <v>2</v>
      </c>
      <c r="K45" s="11">
        <f t="shared" si="1"/>
        <v>0</v>
      </c>
      <c r="L45" s="11">
        <f t="shared" si="2"/>
        <v>3</v>
      </c>
      <c r="O45" s="44" t="s">
        <v>31</v>
      </c>
      <c r="P45" s="45">
        <f>SUMIF($D$8:$D$55,$O45,$G$8:$G$55)+SUMIF($F$8:$F$55,$O45,$I$8:$I$55)</f>
        <v>4</v>
      </c>
      <c r="Q45" s="45">
        <f>SUMIF($D$8:$D$55,$O45,$I$8:$I$55)+SUMIF($F$8:$F$55,$O45,$G$8:$G$55)</f>
        <v>2</v>
      </c>
      <c r="R45" s="46">
        <f>P45-Q45</f>
        <v>2</v>
      </c>
      <c r="S45" s="47">
        <f>SUMIF($D$8:$D$55,$O45,$K$8:$K$55)+SUMIF($F$8:$F$55,$O45,$L$8:$L$55)</f>
        <v>7</v>
      </c>
      <c r="T45" s="94" t="s">
        <v>77</v>
      </c>
      <c r="U45" s="40"/>
      <c r="V45" s="40" t="str">
        <f>O45</f>
        <v>Duitsland</v>
      </c>
      <c r="W45" s="40" t="s">
        <v>77</v>
      </c>
      <c r="Y45" s="109">
        <f t="shared" si="8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1</v>
      </c>
      <c r="AG45" s="108">
        <f t="shared" si="3"/>
        <v>1</v>
      </c>
      <c r="AH45" s="108">
        <f t="shared" si="4"/>
        <v>0</v>
      </c>
      <c r="AI45" s="108">
        <f t="shared" si="10"/>
        <v>0</v>
      </c>
      <c r="AJ45" s="108">
        <f t="shared" si="5"/>
        <v>0</v>
      </c>
      <c r="AK45" s="108">
        <f t="shared" si="6"/>
        <v>0</v>
      </c>
      <c r="AL45" s="108">
        <f t="shared" si="7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18">
        <v>39</v>
      </c>
      <c r="C46" s="19">
        <v>41814</v>
      </c>
      <c r="D46" s="20" t="s">
        <v>24</v>
      </c>
      <c r="E46" s="21" t="s">
        <v>9</v>
      </c>
      <c r="F46" s="30" t="s">
        <v>17</v>
      </c>
      <c r="G46" s="86">
        <v>1</v>
      </c>
      <c r="H46" s="21" t="s">
        <v>9</v>
      </c>
      <c r="I46" s="91">
        <v>1</v>
      </c>
      <c r="J46" s="23">
        <f t="shared" si="0"/>
        <v>3</v>
      </c>
      <c r="K46" s="11">
        <f t="shared" si="1"/>
        <v>1</v>
      </c>
      <c r="L46" s="11">
        <f t="shared" si="2"/>
        <v>1</v>
      </c>
      <c r="O46" s="48" t="s">
        <v>32</v>
      </c>
      <c r="P46" s="49">
        <f>SUMIF($D$8:$D$55,$O46,$G$8:$G$55)+SUMIF($F$8:$F$55,$O46,$I$8:$I$55)</f>
        <v>3</v>
      </c>
      <c r="Q46" s="49">
        <f>SUMIF($D$8:$D$55,$O46,$I$8:$I$55)+SUMIF($F$8:$F$55,$O46,$G$8:$G$55)</f>
        <v>2</v>
      </c>
      <c r="R46" s="49">
        <f>P46-Q46</f>
        <v>1</v>
      </c>
      <c r="S46" s="50">
        <f>SUMIF($D$8:$D$55,$O46,$K$8:$K$55)+SUMIF($F$8:$F$55,$O46,$L$8:$L$55)</f>
        <v>4</v>
      </c>
      <c r="T46" s="95" t="s">
        <v>79</v>
      </c>
      <c r="U46" s="40"/>
      <c r="V46" s="40" t="str">
        <f>O46</f>
        <v>Portugal</v>
      </c>
      <c r="W46" s="40" t="s">
        <v>78</v>
      </c>
      <c r="Y46" s="109">
        <f t="shared" si="8"/>
        <v>1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1</v>
      </c>
      <c r="AG46" s="108">
        <f t="shared" si="3"/>
        <v>1</v>
      </c>
      <c r="AH46" s="108">
        <f t="shared" si="4"/>
        <v>0</v>
      </c>
      <c r="AI46" s="108">
        <f t="shared" si="10"/>
        <v>0</v>
      </c>
      <c r="AJ46" s="108">
        <f t="shared" si="5"/>
        <v>0</v>
      </c>
      <c r="AK46" s="108">
        <f t="shared" si="6"/>
        <v>0</v>
      </c>
      <c r="AL46" s="108">
        <f t="shared" si="7"/>
        <v>0</v>
      </c>
      <c r="AM46" s="120">
        <f>AO46</f>
        <v>10</v>
      </c>
      <c r="AN46" s="117" t="s">
        <v>32</v>
      </c>
      <c r="AO46" s="115">
        <f>IF(Uitslag!T46="",0,IF(T46=Uitslag!T46,10,0))</f>
        <v>10</v>
      </c>
    </row>
    <row r="47" spans="2:41" ht="15.75" thickBot="1">
      <c r="B47" s="24">
        <v>40</v>
      </c>
      <c r="C47" s="25">
        <v>41814</v>
      </c>
      <c r="D47" s="26" t="s">
        <v>18</v>
      </c>
      <c r="E47" s="27" t="s">
        <v>9</v>
      </c>
      <c r="F47" s="28" t="s">
        <v>23</v>
      </c>
      <c r="G47" s="87">
        <v>1</v>
      </c>
      <c r="H47" s="27" t="s">
        <v>9</v>
      </c>
      <c r="I47" s="92">
        <v>2</v>
      </c>
      <c r="J47" s="29">
        <f t="shared" si="0"/>
        <v>2</v>
      </c>
      <c r="K47" s="11">
        <f t="shared" si="1"/>
        <v>0</v>
      </c>
      <c r="L47" s="11">
        <f t="shared" si="2"/>
        <v>3</v>
      </c>
      <c r="O47" s="48" t="s">
        <v>35</v>
      </c>
      <c r="P47" s="49">
        <f>SUMIF($D$8:$D$55,$O47,$G$8:$G$55)+SUMIF($F$8:$F$55,$O47,$I$8:$I$55)</f>
        <v>3</v>
      </c>
      <c r="Q47" s="49">
        <f>SUMIF($D$8:$D$55,$O47,$I$8:$I$55)+SUMIF($F$8:$F$55,$O47,$G$8:$G$55)</f>
        <v>2</v>
      </c>
      <c r="R47" s="49">
        <f>P47-Q47</f>
        <v>1</v>
      </c>
      <c r="S47" s="50">
        <f>SUMIF($D$8:$D$55,$O47,$K$8:$K$55)+SUMIF($F$8:$F$55,$O47,$L$8:$L$55)</f>
        <v>5</v>
      </c>
      <c r="T47" s="95" t="s">
        <v>78</v>
      </c>
      <c r="U47" s="40"/>
      <c r="V47" s="40" t="str">
        <f>O47</f>
        <v>Ghana</v>
      </c>
      <c r="W47" s="40" t="s">
        <v>79</v>
      </c>
      <c r="Y47" s="109">
        <f t="shared" si="8"/>
        <v>0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0</v>
      </c>
      <c r="AG47" s="108">
        <f t="shared" si="3"/>
        <v>0</v>
      </c>
      <c r="AH47" s="108">
        <f t="shared" si="4"/>
        <v>0</v>
      </c>
      <c r="AI47" s="108">
        <f t="shared" si="10"/>
        <v>0</v>
      </c>
      <c r="AJ47" s="108">
        <f t="shared" si="5"/>
        <v>0</v>
      </c>
      <c r="AK47" s="108">
        <f t="shared" si="6"/>
        <v>0</v>
      </c>
      <c r="AL47" s="108">
        <f t="shared" si="7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12">
        <v>41</v>
      </c>
      <c r="C48" s="13">
        <v>41815</v>
      </c>
      <c r="D48" s="14" t="s">
        <v>34</v>
      </c>
      <c r="E48" s="15" t="s">
        <v>9</v>
      </c>
      <c r="F48" s="16" t="s">
        <v>29</v>
      </c>
      <c r="G48" s="85">
        <v>1</v>
      </c>
      <c r="H48" s="15" t="s">
        <v>9</v>
      </c>
      <c r="I48" s="90">
        <v>1</v>
      </c>
      <c r="J48" s="17">
        <f t="shared" si="0"/>
        <v>3</v>
      </c>
      <c r="K48" s="11">
        <f t="shared" si="1"/>
        <v>1</v>
      </c>
      <c r="L48" s="11">
        <f t="shared" si="2"/>
        <v>1</v>
      </c>
      <c r="O48" s="51" t="s">
        <v>36</v>
      </c>
      <c r="P48" s="52">
        <f>SUMIF($D$8:$D$55,$O48,$G$8:$G$55)+SUMIF($F$8:$F$55,$O48,$I$8:$I$55)</f>
        <v>1</v>
      </c>
      <c r="Q48" s="52">
        <f>SUMIF($D$8:$D$55,$O48,$I$8:$I$55)+SUMIF($F$8:$F$55,$O48,$G$8:$G$55)</f>
        <v>5</v>
      </c>
      <c r="R48" s="52">
        <f>P48-Q48</f>
        <v>-4</v>
      </c>
      <c r="S48" s="53">
        <f>SUMIF($D$8:$D$55,$O48,$K$8:$K$55)+SUMIF($F$8:$F$55,$O48,$L$8:$L$55)</f>
        <v>0</v>
      </c>
      <c r="T48" s="96" t="s">
        <v>80</v>
      </c>
      <c r="U48" s="40"/>
      <c r="V48" s="40" t="str">
        <f>O48</f>
        <v>Verenigde Staten</v>
      </c>
      <c r="W48" s="40" t="s">
        <v>80</v>
      </c>
      <c r="Y48" s="109">
        <f t="shared" si="8"/>
        <v>0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0</v>
      </c>
      <c r="AG48" s="108">
        <f t="shared" si="3"/>
        <v>0</v>
      </c>
      <c r="AH48" s="108">
        <f t="shared" si="4"/>
        <v>0</v>
      </c>
      <c r="AI48" s="108">
        <f t="shared" si="10"/>
        <v>0</v>
      </c>
      <c r="AJ48" s="108">
        <f t="shared" si="5"/>
        <v>0</v>
      </c>
      <c r="AK48" s="108">
        <f t="shared" si="6"/>
        <v>0</v>
      </c>
      <c r="AL48" s="108">
        <f t="shared" si="7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18">
        <v>42</v>
      </c>
      <c r="C49" s="19">
        <v>41815</v>
      </c>
      <c r="D49" s="20" t="s">
        <v>30</v>
      </c>
      <c r="E49" s="21" t="s">
        <v>9</v>
      </c>
      <c r="F49" s="30" t="s">
        <v>33</v>
      </c>
      <c r="G49" s="86">
        <v>2</v>
      </c>
      <c r="H49" s="21" t="s">
        <v>9</v>
      </c>
      <c r="I49" s="91">
        <v>0</v>
      </c>
      <c r="J49" s="23">
        <f t="shared" si="0"/>
        <v>1</v>
      </c>
      <c r="K49" s="11">
        <f t="shared" si="1"/>
        <v>3</v>
      </c>
      <c r="L49" s="11">
        <f t="shared" si="2"/>
        <v>0</v>
      </c>
      <c r="O49" s="40"/>
      <c r="P49" s="41"/>
      <c r="Q49" s="41"/>
      <c r="R49" s="41"/>
      <c r="S49" s="41"/>
      <c r="T49" s="41"/>
      <c r="U49" s="40"/>
      <c r="V49" s="40"/>
      <c r="W49" s="40"/>
      <c r="Y49" s="109">
        <f t="shared" si="8"/>
        <v>5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5</v>
      </c>
      <c r="AG49" s="108">
        <f t="shared" si="3"/>
        <v>0</v>
      </c>
      <c r="AH49" s="108">
        <f t="shared" si="4"/>
        <v>0</v>
      </c>
      <c r="AI49" s="108">
        <f t="shared" si="10"/>
        <v>0</v>
      </c>
      <c r="AJ49" s="108">
        <f t="shared" si="5"/>
        <v>5</v>
      </c>
      <c r="AK49" s="108">
        <f t="shared" si="6"/>
        <v>0</v>
      </c>
      <c r="AL49" s="108">
        <f t="shared" si="7"/>
        <v>0</v>
      </c>
      <c r="AN49" s="40"/>
      <c r="AO49" s="41"/>
    </row>
    <row r="50" spans="2:54" ht="15.75" thickBot="1">
      <c r="B50" s="18">
        <v>43</v>
      </c>
      <c r="C50" s="19">
        <v>41815</v>
      </c>
      <c r="D50" s="20" t="s">
        <v>28</v>
      </c>
      <c r="E50" s="21" t="s">
        <v>9</v>
      </c>
      <c r="F50" s="30" t="s">
        <v>25</v>
      </c>
      <c r="G50" s="86">
        <v>0</v>
      </c>
      <c r="H50" s="21" t="s">
        <v>9</v>
      </c>
      <c r="I50" s="91">
        <v>1</v>
      </c>
      <c r="J50" s="23">
        <f t="shared" si="0"/>
        <v>2</v>
      </c>
      <c r="K50" s="11">
        <f t="shared" si="1"/>
        <v>0</v>
      </c>
      <c r="L50" s="11">
        <f t="shared" si="2"/>
        <v>3</v>
      </c>
      <c r="O50" s="72" t="s">
        <v>81</v>
      </c>
      <c r="P50" s="73" t="s">
        <v>42</v>
      </c>
      <c r="Q50" s="73" t="s">
        <v>43</v>
      </c>
      <c r="R50" s="74" t="s">
        <v>44</v>
      </c>
      <c r="S50" s="75" t="s">
        <v>45</v>
      </c>
      <c r="T50" s="76" t="s">
        <v>46</v>
      </c>
      <c r="U50" s="40"/>
      <c r="V50" s="40"/>
      <c r="W50" s="40"/>
      <c r="Y50" s="109">
        <f t="shared" si="8"/>
        <v>6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6</v>
      </c>
      <c r="AG50" s="108">
        <f t="shared" si="3"/>
        <v>1</v>
      </c>
      <c r="AH50" s="108">
        <f t="shared" si="4"/>
        <v>0</v>
      </c>
      <c r="AI50" s="108">
        <f t="shared" si="10"/>
        <v>0</v>
      </c>
      <c r="AJ50" s="108">
        <f t="shared" si="5"/>
        <v>0</v>
      </c>
      <c r="AK50" s="108">
        <f t="shared" si="6"/>
        <v>5</v>
      </c>
      <c r="AL50" s="108">
        <f t="shared" si="7"/>
        <v>0</v>
      </c>
      <c r="AN50" s="42" t="s">
        <v>81</v>
      </c>
      <c r="AO50" s="43" t="s">
        <v>46</v>
      </c>
    </row>
    <row r="51" spans="2:54" ht="15.75" thickBot="1">
      <c r="B51" s="24">
        <v>44</v>
      </c>
      <c r="C51" s="25">
        <v>41815</v>
      </c>
      <c r="D51" s="26" t="s">
        <v>26</v>
      </c>
      <c r="E51" s="27" t="s">
        <v>9</v>
      </c>
      <c r="F51" s="28" t="s">
        <v>27</v>
      </c>
      <c r="G51" s="87">
        <v>0</v>
      </c>
      <c r="H51" s="27" t="s">
        <v>9</v>
      </c>
      <c r="I51" s="92">
        <v>0</v>
      </c>
      <c r="J51" s="29">
        <f t="shared" si="0"/>
        <v>3</v>
      </c>
      <c r="K51" s="11">
        <f t="shared" si="1"/>
        <v>1</v>
      </c>
      <c r="L51" s="11">
        <f t="shared" si="2"/>
        <v>1</v>
      </c>
      <c r="O51" s="44" t="s">
        <v>37</v>
      </c>
      <c r="P51" s="45">
        <f>SUMIF($D$8:$D$55,$O51,$G$8:$G$55)+SUMIF($F$8:$F$55,$O51,$I$8:$I$55)</f>
        <v>3</v>
      </c>
      <c r="Q51" s="45">
        <f>SUMIF($D$8:$D$55,$O51,$I$8:$I$55)+SUMIF($F$8:$F$55,$O51,$G$8:$G$55)</f>
        <v>1</v>
      </c>
      <c r="R51" s="46">
        <f>P51-Q51</f>
        <v>2</v>
      </c>
      <c r="S51" s="47">
        <f>SUMIF($D$8:$D$55,$O51,$K$8:$K$55)+SUMIF($F$8:$F$55,$O51,$L$8:$L$55)</f>
        <v>7</v>
      </c>
      <c r="T51" s="94" t="s">
        <v>83</v>
      </c>
      <c r="U51" s="40"/>
      <c r="V51" s="40" t="str">
        <f>O51</f>
        <v>België</v>
      </c>
      <c r="W51" s="40" t="s">
        <v>82</v>
      </c>
      <c r="Y51" s="109">
        <f t="shared" si="8"/>
        <v>10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10</v>
      </c>
      <c r="AG51" s="108">
        <f t="shared" si="3"/>
        <v>1</v>
      </c>
      <c r="AH51" s="108">
        <f t="shared" si="4"/>
        <v>1</v>
      </c>
      <c r="AI51" s="108">
        <f t="shared" si="10"/>
        <v>10</v>
      </c>
      <c r="AJ51" s="108">
        <f t="shared" si="5"/>
        <v>0</v>
      </c>
      <c r="AK51" s="108">
        <f t="shared" si="6"/>
        <v>0</v>
      </c>
      <c r="AL51" s="108">
        <f t="shared" si="7"/>
        <v>5</v>
      </c>
      <c r="AM51" s="120">
        <f>AO51</f>
        <v>0</v>
      </c>
      <c r="AN51" s="116" t="s">
        <v>37</v>
      </c>
      <c r="AO51" s="115">
        <f>IF(Uitslag!T51="",0,IF(T51=Uitslag!T51,10,0))</f>
        <v>0</v>
      </c>
    </row>
    <row r="52" spans="2:54" ht="15.75" thickBot="1">
      <c r="B52" s="18">
        <v>45</v>
      </c>
      <c r="C52" s="19">
        <v>41816</v>
      </c>
      <c r="D52" s="20" t="s">
        <v>36</v>
      </c>
      <c r="E52" s="21" t="s">
        <v>9</v>
      </c>
      <c r="F52" s="30" t="s">
        <v>31</v>
      </c>
      <c r="G52" s="86">
        <v>0</v>
      </c>
      <c r="H52" s="21" t="s">
        <v>9</v>
      </c>
      <c r="I52" s="91">
        <v>1</v>
      </c>
      <c r="J52" s="17">
        <f t="shared" si="0"/>
        <v>2</v>
      </c>
      <c r="K52" s="11">
        <f t="shared" si="1"/>
        <v>0</v>
      </c>
      <c r="L52" s="11">
        <f t="shared" si="2"/>
        <v>3</v>
      </c>
      <c r="O52" s="48" t="s">
        <v>38</v>
      </c>
      <c r="P52" s="49">
        <f>SUMIF($D$8:$D$55,$O52,$G$8:$G$55)+SUMIF($F$8:$F$55,$O52,$I$8:$I$55)</f>
        <v>0</v>
      </c>
      <c r="Q52" s="49">
        <f>SUMIF($D$8:$D$55,$O52,$I$8:$I$55)+SUMIF($F$8:$F$55,$O52,$G$8:$G$55)</f>
        <v>4</v>
      </c>
      <c r="R52" s="49">
        <f>P52-Q52</f>
        <v>-4</v>
      </c>
      <c r="S52" s="50">
        <f>SUMIF($D$8:$D$55,$O52,$K$8:$K$55)+SUMIF($F$8:$F$55,$O52,$L$8:$L$55)</f>
        <v>0</v>
      </c>
      <c r="T52" s="95" t="s">
        <v>85</v>
      </c>
      <c r="U52" s="40"/>
      <c r="V52" s="40" t="str">
        <f>O52</f>
        <v>Algerije</v>
      </c>
      <c r="W52" s="40" t="s">
        <v>83</v>
      </c>
      <c r="Y52" s="109">
        <f t="shared" si="8"/>
        <v>10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10</v>
      </c>
      <c r="AG52" s="108">
        <f t="shared" si="3"/>
        <v>1</v>
      </c>
      <c r="AH52" s="108">
        <f t="shared" si="4"/>
        <v>1</v>
      </c>
      <c r="AI52" s="108">
        <f t="shared" si="10"/>
        <v>10</v>
      </c>
      <c r="AJ52" s="108">
        <f t="shared" si="5"/>
        <v>0</v>
      </c>
      <c r="AK52" s="108">
        <f t="shared" si="6"/>
        <v>5</v>
      </c>
      <c r="AL52" s="108">
        <f t="shared" si="7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18">
        <v>46</v>
      </c>
      <c r="C53" s="19">
        <v>41816</v>
      </c>
      <c r="D53" s="20" t="s">
        <v>32</v>
      </c>
      <c r="E53" s="21" t="s">
        <v>9</v>
      </c>
      <c r="F53" s="30" t="s">
        <v>35</v>
      </c>
      <c r="G53" s="86">
        <v>0</v>
      </c>
      <c r="H53" s="21" t="s">
        <v>9</v>
      </c>
      <c r="I53" s="91">
        <v>0</v>
      </c>
      <c r="J53" s="23">
        <f t="shared" si="0"/>
        <v>3</v>
      </c>
      <c r="K53" s="11">
        <f t="shared" si="1"/>
        <v>1</v>
      </c>
      <c r="L53" s="11">
        <f t="shared" si="2"/>
        <v>1</v>
      </c>
      <c r="O53" s="48" t="s">
        <v>39</v>
      </c>
      <c r="P53" s="49">
        <f>SUMIF($D$8:$D$55,$O53,$G$8:$G$55)+SUMIF($F$8:$F$55,$O53,$I$8:$I$55)</f>
        <v>4</v>
      </c>
      <c r="Q53" s="49">
        <f>SUMIF($D$8:$D$55,$O53,$I$8:$I$55)+SUMIF($F$8:$F$55,$O53,$G$8:$G$55)</f>
        <v>1</v>
      </c>
      <c r="R53" s="49">
        <f>P53-Q53</f>
        <v>3</v>
      </c>
      <c r="S53" s="50">
        <f>SUMIF($D$8:$D$55,$O53,$K$8:$K$55)+SUMIF($F$8:$F$55,$O53,$L$8:$L$55)</f>
        <v>7</v>
      </c>
      <c r="T53" s="95" t="s">
        <v>82</v>
      </c>
      <c r="U53" s="40"/>
      <c r="V53" s="40" t="str">
        <f>O53</f>
        <v>Rusland</v>
      </c>
      <c r="W53" s="40" t="s">
        <v>84</v>
      </c>
      <c r="Y53" s="109">
        <f t="shared" si="8"/>
        <v>0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0</v>
      </c>
      <c r="AG53" s="108">
        <f t="shared" si="3"/>
        <v>0</v>
      </c>
      <c r="AH53" s="108">
        <f t="shared" si="4"/>
        <v>0</v>
      </c>
      <c r="AI53" s="108">
        <f t="shared" si="10"/>
        <v>0</v>
      </c>
      <c r="AJ53" s="108">
        <f t="shared" si="5"/>
        <v>0</v>
      </c>
      <c r="AK53" s="108">
        <f t="shared" si="6"/>
        <v>0</v>
      </c>
      <c r="AL53" s="108">
        <f t="shared" si="7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18">
        <v>47</v>
      </c>
      <c r="C54" s="19">
        <v>41816</v>
      </c>
      <c r="D54" s="20" t="s">
        <v>40</v>
      </c>
      <c r="E54" s="21" t="s">
        <v>9</v>
      </c>
      <c r="F54" s="30" t="s">
        <v>37</v>
      </c>
      <c r="G54" s="86">
        <v>0</v>
      </c>
      <c r="H54" s="21" t="s">
        <v>9</v>
      </c>
      <c r="I54" s="91">
        <v>1</v>
      </c>
      <c r="J54" s="23">
        <f t="shared" si="0"/>
        <v>2</v>
      </c>
      <c r="K54" s="11">
        <f t="shared" si="1"/>
        <v>0</v>
      </c>
      <c r="L54" s="11">
        <f t="shared" si="2"/>
        <v>3</v>
      </c>
      <c r="O54" s="51" t="s">
        <v>40</v>
      </c>
      <c r="P54" s="52">
        <f>SUMIF($D$8:$D$55,$O54,$G$8:$G$55)+SUMIF($F$8:$F$55,$O54,$I$8:$I$55)</f>
        <v>1</v>
      </c>
      <c r="Q54" s="52">
        <f>SUMIF($D$8:$D$55,$O54,$I$8:$I$55)+SUMIF($F$8:$F$55,$O54,$G$8:$G$55)</f>
        <v>2</v>
      </c>
      <c r="R54" s="52">
        <f>P54-Q54</f>
        <v>-1</v>
      </c>
      <c r="S54" s="53">
        <f>SUMIF($D$8:$D$55,$O54,$K$8:$K$55)+SUMIF($F$8:$F$55,$O54,$L$8:$L$55)</f>
        <v>3</v>
      </c>
      <c r="T54" s="96" t="s">
        <v>84</v>
      </c>
      <c r="U54" s="40"/>
      <c r="V54" s="40" t="str">
        <f>O54</f>
        <v>Zuid Korea</v>
      </c>
      <c r="W54" s="40" t="s">
        <v>85</v>
      </c>
      <c r="Y54" s="109">
        <f t="shared" si="8"/>
        <v>10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10</v>
      </c>
      <c r="AG54" s="108">
        <f t="shared" si="3"/>
        <v>1</v>
      </c>
      <c r="AH54" s="108">
        <f t="shared" si="4"/>
        <v>1</v>
      </c>
      <c r="AI54" s="108">
        <f t="shared" si="10"/>
        <v>10</v>
      </c>
      <c r="AJ54" s="108">
        <f t="shared" si="5"/>
        <v>0</v>
      </c>
      <c r="AK54" s="108">
        <f t="shared" si="6"/>
        <v>5</v>
      </c>
      <c r="AL54" s="108">
        <f t="shared" si="7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3">
        <v>48</v>
      </c>
      <c r="C55" s="34">
        <v>41816</v>
      </c>
      <c r="D55" s="35" t="s">
        <v>38</v>
      </c>
      <c r="E55" s="36" t="s">
        <v>9</v>
      </c>
      <c r="F55" s="37" t="s">
        <v>39</v>
      </c>
      <c r="G55" s="88">
        <v>0</v>
      </c>
      <c r="H55" s="36" t="s">
        <v>9</v>
      </c>
      <c r="I55" s="93">
        <v>2</v>
      </c>
      <c r="J55" s="38">
        <f t="shared" si="0"/>
        <v>2</v>
      </c>
      <c r="K55" s="11">
        <f t="shared" si="1"/>
        <v>0</v>
      </c>
      <c r="L55" s="11">
        <f t="shared" si="2"/>
        <v>3</v>
      </c>
      <c r="O55" s="40"/>
      <c r="P55" s="41"/>
      <c r="Q55" s="41"/>
      <c r="R55" s="41"/>
      <c r="S55" s="41"/>
      <c r="T55" s="41"/>
      <c r="U55" s="40"/>
      <c r="V55" s="40"/>
      <c r="W55" s="40"/>
      <c r="Y55" s="109">
        <f t="shared" si="8"/>
        <v>0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0</v>
      </c>
      <c r="AG55" s="108">
        <f t="shared" si="3"/>
        <v>0</v>
      </c>
      <c r="AH55" s="108">
        <f t="shared" si="4"/>
        <v>0</v>
      </c>
      <c r="AI55" s="108">
        <f t="shared" si="10"/>
        <v>0</v>
      </c>
      <c r="AJ55" s="108">
        <f t="shared" si="5"/>
        <v>0</v>
      </c>
      <c r="AK55" s="108">
        <f t="shared" si="6"/>
        <v>0</v>
      </c>
      <c r="AL55" s="108">
        <f t="shared" si="7"/>
        <v>0</v>
      </c>
    </row>
    <row r="56" spans="2:54" ht="15.75" thickBot="1">
      <c r="B56" s="1"/>
      <c r="C56" s="39"/>
      <c r="D56" s="40"/>
      <c r="E56" s="1"/>
      <c r="F56" s="40"/>
      <c r="G56" s="1"/>
      <c r="H56" s="1"/>
      <c r="I56" s="1"/>
      <c r="J56" s="1"/>
      <c r="K56" s="1"/>
      <c r="L56" s="1"/>
      <c r="M56" s="1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195"/>
      <c r="K57" s="1"/>
      <c r="L57" s="1"/>
      <c r="M57" s="1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78" t="s">
        <v>1</v>
      </c>
      <c r="C58" s="79" t="s">
        <v>2</v>
      </c>
      <c r="D58" s="187" t="s">
        <v>3</v>
      </c>
      <c r="E58" s="81"/>
      <c r="F58" s="194" t="s">
        <v>4</v>
      </c>
      <c r="G58" s="867" t="s">
        <v>5</v>
      </c>
      <c r="H58" s="868"/>
      <c r="I58" s="869"/>
      <c r="J58" s="83" t="s">
        <v>6</v>
      </c>
      <c r="K58" s="1"/>
      <c r="L58" s="1"/>
      <c r="M58" s="1"/>
      <c r="O58" s="135">
        <v>1</v>
      </c>
      <c r="P58" s="877" t="s">
        <v>208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0</v>
      </c>
      <c r="BB58" s="139">
        <f>BA58</f>
        <v>0</v>
      </c>
    </row>
    <row r="59" spans="2:54">
      <c r="B59" s="12">
        <v>49</v>
      </c>
      <c r="C59" s="189">
        <v>41818</v>
      </c>
      <c r="D59" s="153" t="str">
        <f t="shared" ref="D59:D66" si="13">IF(ISERROR(Z59),K59,Z59)</f>
        <v>Brazilië</v>
      </c>
      <c r="E59" s="15" t="s">
        <v>9</v>
      </c>
      <c r="F59" s="56" t="str">
        <f t="shared" ref="F59:F66" si="14">IF(ISERROR(AA59),L59,AA59)</f>
        <v>Chili</v>
      </c>
      <c r="G59" s="85">
        <v>1</v>
      </c>
      <c r="H59" s="15" t="s">
        <v>9</v>
      </c>
      <c r="I59" s="97">
        <v>0</v>
      </c>
      <c r="J59" s="98">
        <v>1</v>
      </c>
      <c r="K59" s="57" t="s">
        <v>48</v>
      </c>
      <c r="L59" s="57" t="s">
        <v>53</v>
      </c>
      <c r="M59" s="57">
        <v>1</v>
      </c>
      <c r="O59" s="135">
        <v>2</v>
      </c>
      <c r="P59" s="877" t="s">
        <v>212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5">AF59</f>
        <v>1</v>
      </c>
      <c r="Z59" t="str">
        <f t="shared" ref="Z59:AA65" si="16">IF(K59=""," ",VLOOKUP(K59,$T$9:$V$54,3,FALSE))</f>
        <v>Brazilië</v>
      </c>
      <c r="AA59" t="str">
        <f t="shared" si="16"/>
        <v>Chili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7">IF(OR(AC59="",AD59=""),0,(IF(SUM(AG59:AL59)&gt;10,10,SUM(AG59:AL59))))</f>
        <v>1</v>
      </c>
      <c r="AG59" s="108">
        <f t="shared" ref="AG59:AG66" si="18">IF(AC59="",0,(IF(G59=AC59,1,0)))</f>
        <v>1</v>
      </c>
      <c r="AH59" s="108">
        <f t="shared" ref="AH59:AH66" si="19">IF(AD59="",0,(IF(I59=AD59,1,0)))</f>
        <v>0</v>
      </c>
      <c r="AI59" s="108">
        <f t="shared" ref="AI59:AI66" si="20">IF(AND(AG59=1,AH59=1),10,0)</f>
        <v>0</v>
      </c>
      <c r="AJ59" s="108">
        <f t="shared" ref="AJ59:AJ66" si="21">IF(AND(G59&gt;I59,AC59&gt;AD59),5,0)</f>
        <v>0</v>
      </c>
      <c r="AK59" s="108">
        <f t="shared" ref="AK59:AK66" si="22">IF(AND(G59&lt;I59,AC59&lt;AD59),5,0)</f>
        <v>0</v>
      </c>
      <c r="AL59" s="108">
        <f t="shared" ref="AL59:AL66" si="23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4">BA59</f>
        <v>3</v>
      </c>
    </row>
    <row r="60" spans="2:54">
      <c r="B60" s="24">
        <v>50</v>
      </c>
      <c r="C60" s="190">
        <v>41818</v>
      </c>
      <c r="D60" s="154" t="str">
        <f t="shared" si="13"/>
        <v>Ivoorkust</v>
      </c>
      <c r="E60" s="27" t="s">
        <v>9</v>
      </c>
      <c r="F60" s="59" t="str">
        <f t="shared" si="14"/>
        <v>Engeland</v>
      </c>
      <c r="G60" s="87">
        <v>1</v>
      </c>
      <c r="H60" s="27" t="s">
        <v>9</v>
      </c>
      <c r="I60" s="99">
        <v>1</v>
      </c>
      <c r="J60" s="100">
        <v>1</v>
      </c>
      <c r="K60" s="57" t="s">
        <v>57</v>
      </c>
      <c r="L60" s="57" t="s">
        <v>63</v>
      </c>
      <c r="M60" s="57">
        <v>2</v>
      </c>
      <c r="O60" s="135">
        <v>3</v>
      </c>
      <c r="P60" s="877" t="s">
        <v>220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5"/>
        <v>0</v>
      </c>
      <c r="Z60" t="str">
        <f t="shared" si="16"/>
        <v>Ivoorkust</v>
      </c>
      <c r="AA60" t="str">
        <f t="shared" si="16"/>
        <v>Engeland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7"/>
        <v>0</v>
      </c>
      <c r="AG60" s="108">
        <f t="shared" si="18"/>
        <v>0</v>
      </c>
      <c r="AH60" s="108">
        <f t="shared" si="19"/>
        <v>0</v>
      </c>
      <c r="AI60" s="108">
        <f t="shared" si="20"/>
        <v>0</v>
      </c>
      <c r="AJ60" s="108">
        <f t="shared" si="21"/>
        <v>0</v>
      </c>
      <c r="AK60" s="108">
        <f t="shared" si="22"/>
        <v>0</v>
      </c>
      <c r="AL60" s="108">
        <f t="shared" si="23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4"/>
        <v>3</v>
      </c>
    </row>
    <row r="61" spans="2:54">
      <c r="B61" s="12">
        <v>51</v>
      </c>
      <c r="C61" s="189">
        <v>41819</v>
      </c>
      <c r="D61" s="188" t="str">
        <f t="shared" si="13"/>
        <v>Spanje</v>
      </c>
      <c r="E61" s="15" t="s">
        <v>9</v>
      </c>
      <c r="F61" s="56" t="str">
        <f t="shared" si="14"/>
        <v>Kameroen</v>
      </c>
      <c r="G61" s="85">
        <v>1</v>
      </c>
      <c r="H61" s="15" t="s">
        <v>9</v>
      </c>
      <c r="I61" s="97">
        <v>0</v>
      </c>
      <c r="J61" s="98">
        <v>1</v>
      </c>
      <c r="K61" s="57" t="s">
        <v>52</v>
      </c>
      <c r="L61" s="57" t="s">
        <v>49</v>
      </c>
      <c r="M61" s="57"/>
      <c r="O61" s="135">
        <v>4</v>
      </c>
      <c r="P61" s="877" t="s">
        <v>225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5"/>
        <v>5</v>
      </c>
      <c r="Z61" t="str">
        <f t="shared" si="16"/>
        <v>Spanje</v>
      </c>
      <c r="AA61" t="str">
        <f t="shared" si="16"/>
        <v>Kameroen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7"/>
        <v>5</v>
      </c>
      <c r="AG61" s="108">
        <f t="shared" si="18"/>
        <v>0</v>
      </c>
      <c r="AH61" s="108">
        <f t="shared" si="19"/>
        <v>0</v>
      </c>
      <c r="AI61" s="108">
        <f t="shared" si="20"/>
        <v>0</v>
      </c>
      <c r="AJ61" s="108">
        <f t="shared" si="21"/>
        <v>5</v>
      </c>
      <c r="AK61" s="108">
        <f t="shared" si="22"/>
        <v>0</v>
      </c>
      <c r="AL61" s="108">
        <f t="shared" si="23"/>
        <v>0</v>
      </c>
      <c r="AZ61" s="138" t="str">
        <f>Uitslag!P61</f>
        <v>Ron Vlaar (v)</v>
      </c>
      <c r="BA61" s="140">
        <f t="shared" si="12"/>
        <v>3</v>
      </c>
      <c r="BB61" s="139">
        <f t="shared" si="24"/>
        <v>3</v>
      </c>
    </row>
    <row r="62" spans="2:54">
      <c r="B62" s="24">
        <v>52</v>
      </c>
      <c r="C62" s="190">
        <v>41819</v>
      </c>
      <c r="D62" s="188" t="str">
        <f t="shared" si="13"/>
        <v>Italië</v>
      </c>
      <c r="E62" s="27" t="s">
        <v>9</v>
      </c>
      <c r="F62" s="59" t="str">
        <f t="shared" si="14"/>
        <v>Colombia</v>
      </c>
      <c r="G62" s="87">
        <v>0</v>
      </c>
      <c r="H62" s="27" t="s">
        <v>9</v>
      </c>
      <c r="I62" s="99">
        <v>0</v>
      </c>
      <c r="J62" s="100">
        <v>1</v>
      </c>
      <c r="K62" s="57" t="s">
        <v>62</v>
      </c>
      <c r="L62" s="57" t="s">
        <v>58</v>
      </c>
      <c r="M62" s="57"/>
      <c r="O62" s="135">
        <v>5</v>
      </c>
      <c r="P62" s="877" t="s">
        <v>209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5"/>
        <v>5</v>
      </c>
      <c r="Z62" t="str">
        <f t="shared" si="16"/>
        <v>Italië</v>
      </c>
      <c r="AA62" t="str">
        <f t="shared" si="16"/>
        <v>Colombia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7"/>
        <v>5</v>
      </c>
      <c r="AG62" s="108">
        <f t="shared" si="18"/>
        <v>0</v>
      </c>
      <c r="AH62" s="108">
        <f t="shared" si="19"/>
        <v>0</v>
      </c>
      <c r="AI62" s="108">
        <f t="shared" si="20"/>
        <v>0</v>
      </c>
      <c r="AJ62" s="108">
        <f t="shared" si="21"/>
        <v>0</v>
      </c>
      <c r="AK62" s="108">
        <f t="shared" si="22"/>
        <v>0</v>
      </c>
      <c r="AL62" s="108">
        <f t="shared" si="23"/>
        <v>5</v>
      </c>
      <c r="AZ62" s="138" t="str">
        <f>Uitslag!P62</f>
        <v>Bruno Martins Indi (v)</v>
      </c>
      <c r="BA62" s="140">
        <f t="shared" si="12"/>
        <v>3</v>
      </c>
      <c r="BB62" s="139">
        <f t="shared" si="24"/>
        <v>3</v>
      </c>
    </row>
    <row r="63" spans="2:54">
      <c r="B63" s="12">
        <v>53</v>
      </c>
      <c r="C63" s="189">
        <v>41820</v>
      </c>
      <c r="D63" s="153" t="str">
        <f t="shared" si="13"/>
        <v>Frankrijk</v>
      </c>
      <c r="E63" s="15" t="s">
        <v>9</v>
      </c>
      <c r="F63" s="56" t="str">
        <f t="shared" si="14"/>
        <v>Argentinië</v>
      </c>
      <c r="G63" s="85">
        <v>1</v>
      </c>
      <c r="H63" s="15" t="s">
        <v>9</v>
      </c>
      <c r="I63" s="97">
        <v>2</v>
      </c>
      <c r="J63" s="98">
        <v>2</v>
      </c>
      <c r="K63" s="57" t="s">
        <v>67</v>
      </c>
      <c r="L63" s="57" t="s">
        <v>73</v>
      </c>
      <c r="M63" s="57"/>
      <c r="O63" s="135">
        <v>6</v>
      </c>
      <c r="P63" s="877" t="s">
        <v>229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5"/>
        <v>0</v>
      </c>
      <c r="Z63" t="str">
        <f t="shared" si="16"/>
        <v>Frankrijk</v>
      </c>
      <c r="AA63" t="str">
        <f t="shared" si="16"/>
        <v>Argentinië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7"/>
        <v>0</v>
      </c>
      <c r="AG63" s="108">
        <f t="shared" si="18"/>
        <v>0</v>
      </c>
      <c r="AH63" s="108">
        <f t="shared" si="19"/>
        <v>0</v>
      </c>
      <c r="AI63" s="108">
        <f t="shared" si="20"/>
        <v>0</v>
      </c>
      <c r="AJ63" s="108">
        <f t="shared" si="21"/>
        <v>0</v>
      </c>
      <c r="AK63" s="108">
        <f t="shared" si="22"/>
        <v>0</v>
      </c>
      <c r="AL63" s="108">
        <f t="shared" si="23"/>
        <v>0</v>
      </c>
      <c r="AZ63" s="138" t="str">
        <f>Uitslag!P63</f>
        <v>Daley Blind (v)</v>
      </c>
      <c r="BA63" s="140">
        <f t="shared" si="12"/>
        <v>0</v>
      </c>
      <c r="BB63" s="139">
        <f t="shared" si="24"/>
        <v>0</v>
      </c>
    </row>
    <row r="64" spans="2:54">
      <c r="B64" s="24">
        <v>54</v>
      </c>
      <c r="C64" s="190">
        <v>41820</v>
      </c>
      <c r="D64" s="154" t="str">
        <f t="shared" si="13"/>
        <v>Duitsland</v>
      </c>
      <c r="E64" s="27" t="s">
        <v>9</v>
      </c>
      <c r="F64" s="59" t="str">
        <f t="shared" si="14"/>
        <v>België</v>
      </c>
      <c r="G64" s="87">
        <v>3</v>
      </c>
      <c r="H64" s="27" t="s">
        <v>9</v>
      </c>
      <c r="I64" s="99">
        <v>1</v>
      </c>
      <c r="J64" s="100">
        <v>1</v>
      </c>
      <c r="K64" s="57" t="s">
        <v>77</v>
      </c>
      <c r="L64" s="57" t="s">
        <v>83</v>
      </c>
      <c r="M64" s="57"/>
      <c r="O64" s="135">
        <v>7</v>
      </c>
      <c r="P64" s="877" t="s">
        <v>214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5"/>
        <v>0</v>
      </c>
      <c r="Z64" t="str">
        <f t="shared" si="16"/>
        <v>Duitsland</v>
      </c>
      <c r="AA64" t="str">
        <f t="shared" si="16"/>
        <v>België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7"/>
        <v>0</v>
      </c>
      <c r="AG64" s="108">
        <f t="shared" si="18"/>
        <v>0</v>
      </c>
      <c r="AH64" s="108">
        <f t="shared" si="19"/>
        <v>0</v>
      </c>
      <c r="AI64" s="108">
        <f t="shared" si="20"/>
        <v>0</v>
      </c>
      <c r="AJ64" s="108">
        <f t="shared" si="21"/>
        <v>0</v>
      </c>
      <c r="AK64" s="108">
        <f t="shared" si="22"/>
        <v>0</v>
      </c>
      <c r="AL64" s="108">
        <f t="shared" si="23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4"/>
        <v>3</v>
      </c>
    </row>
    <row r="65" spans="2:54">
      <c r="B65" s="18">
        <v>55</v>
      </c>
      <c r="C65" s="191">
        <v>41821</v>
      </c>
      <c r="D65" s="153" t="str">
        <f t="shared" si="13"/>
        <v>Nigeria</v>
      </c>
      <c r="E65" s="21" t="s">
        <v>9</v>
      </c>
      <c r="F65" s="60" t="str">
        <f t="shared" si="14"/>
        <v>Ecuador</v>
      </c>
      <c r="G65" s="86">
        <v>1</v>
      </c>
      <c r="H65" s="21" t="s">
        <v>9</v>
      </c>
      <c r="I65" s="101">
        <v>0</v>
      </c>
      <c r="J65" s="102">
        <v>1</v>
      </c>
      <c r="K65" s="57" t="s">
        <v>72</v>
      </c>
      <c r="L65" s="57" t="s">
        <v>68</v>
      </c>
      <c r="M65" s="57"/>
      <c r="O65" s="135">
        <v>8</v>
      </c>
      <c r="P65" s="877" t="s">
        <v>213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5"/>
        <v>1</v>
      </c>
      <c r="Z65" t="str">
        <f t="shared" si="16"/>
        <v>Nigeria</v>
      </c>
      <c r="AA65" t="str">
        <f t="shared" si="16"/>
        <v>Ecuador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7"/>
        <v>1</v>
      </c>
      <c r="AG65" s="108">
        <f t="shared" si="18"/>
        <v>0</v>
      </c>
      <c r="AH65" s="108">
        <f t="shared" si="19"/>
        <v>1</v>
      </c>
      <c r="AI65" s="108">
        <f t="shared" si="20"/>
        <v>0</v>
      </c>
      <c r="AJ65" s="108">
        <f t="shared" si="21"/>
        <v>0</v>
      </c>
      <c r="AK65" s="108">
        <f t="shared" si="22"/>
        <v>0</v>
      </c>
      <c r="AL65" s="108">
        <f t="shared" si="23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4"/>
        <v>3</v>
      </c>
    </row>
    <row r="66" spans="2:54" ht="15.75" thickBot="1">
      <c r="B66" s="33">
        <v>56</v>
      </c>
      <c r="C66" s="186">
        <v>41821</v>
      </c>
      <c r="D66" s="155" t="str">
        <f t="shared" si="13"/>
        <v>Rusland</v>
      </c>
      <c r="E66" s="36" t="s">
        <v>9</v>
      </c>
      <c r="F66" s="62" t="str">
        <f t="shared" si="14"/>
        <v>Ghana</v>
      </c>
      <c r="G66" s="88">
        <v>0</v>
      </c>
      <c r="H66" s="36" t="s">
        <v>9</v>
      </c>
      <c r="I66" s="103">
        <v>0</v>
      </c>
      <c r="J66" s="104">
        <v>2</v>
      </c>
      <c r="K66" s="57" t="s">
        <v>82</v>
      </c>
      <c r="L66" s="57" t="s">
        <v>78</v>
      </c>
      <c r="M66" s="57"/>
      <c r="O66" s="135">
        <v>9</v>
      </c>
      <c r="P66" s="877" t="s">
        <v>216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5"/>
        <v>10</v>
      </c>
      <c r="Z66" t="str">
        <f>IF(K66=""," ",VLOOKUP(K66,$T$9:$V$54,3,FALSE))</f>
        <v>Rusland</v>
      </c>
      <c r="AA66" t="str">
        <f>IF(L66=""," ",VLOOKUP(L66,$T$9:$V$54,3,FALSE))</f>
        <v>Ghana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7"/>
        <v>10</v>
      </c>
      <c r="AG66" s="108">
        <f t="shared" si="18"/>
        <v>1</v>
      </c>
      <c r="AH66" s="108">
        <f t="shared" si="19"/>
        <v>1</v>
      </c>
      <c r="AI66" s="108">
        <f t="shared" si="20"/>
        <v>10</v>
      </c>
      <c r="AJ66" s="108">
        <f t="shared" si="21"/>
        <v>0</v>
      </c>
      <c r="AK66" s="108">
        <f t="shared" si="22"/>
        <v>0</v>
      </c>
      <c r="AL66" s="108">
        <f t="shared" si="23"/>
        <v>5</v>
      </c>
      <c r="AZ66" s="138" t="str">
        <f>Uitslag!P66</f>
        <v>Jonathan de Guzman (m)</v>
      </c>
      <c r="BA66" s="140">
        <f t="shared" si="12"/>
        <v>3</v>
      </c>
      <c r="BB66" s="139">
        <f t="shared" si="24"/>
        <v>3</v>
      </c>
    </row>
    <row r="67" spans="2:54" ht="15.75" thickBot="1">
      <c r="B67" s="1"/>
      <c r="C67" s="39"/>
      <c r="D67" s="40"/>
      <c r="E67" s="1"/>
      <c r="F67" s="40"/>
      <c r="G67" s="1"/>
      <c r="H67" s="1"/>
      <c r="I67" s="1"/>
      <c r="J67" s="1"/>
      <c r="K67" s="1"/>
      <c r="L67" s="1"/>
      <c r="M67" s="1"/>
      <c r="O67" s="135">
        <v>10</v>
      </c>
      <c r="P67" s="877" t="s">
        <v>215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4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195"/>
      <c r="K68" s="1"/>
      <c r="L68" s="1"/>
      <c r="M68" s="1"/>
      <c r="O68" s="135">
        <v>11</v>
      </c>
      <c r="P68" s="877" t="s">
        <v>211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4"/>
        <v>3</v>
      </c>
    </row>
    <row r="69" spans="2:54">
      <c r="B69" s="78" t="s">
        <v>1</v>
      </c>
      <c r="C69" s="79" t="s">
        <v>2</v>
      </c>
      <c r="D69" s="193" t="s">
        <v>3</v>
      </c>
      <c r="E69" s="81"/>
      <c r="F69" s="194" t="s">
        <v>4</v>
      </c>
      <c r="G69" s="867" t="s">
        <v>5</v>
      </c>
      <c r="H69" s="868"/>
      <c r="I69" s="869"/>
      <c r="J69" s="83" t="s">
        <v>6</v>
      </c>
      <c r="K69" s="1"/>
      <c r="L69" s="1"/>
      <c r="M69" s="1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27</v>
      </c>
      <c r="BB69" s="139" t="str">
        <f>IF(AND(BA69&lt;&gt;"",BA69=33),15,"nvt")</f>
        <v>nvt</v>
      </c>
    </row>
    <row r="70" spans="2:54">
      <c r="B70" s="12">
        <v>57</v>
      </c>
      <c r="C70" s="13">
        <v>41824</v>
      </c>
      <c r="D70" s="55" t="str">
        <f>IF(J63="","Winnaar 53",IF(J63=1,D63,F63))</f>
        <v>Argentinië</v>
      </c>
      <c r="E70" s="15" t="s">
        <v>9</v>
      </c>
      <c r="F70" s="56" t="str">
        <f>IF(J64="","Winnaar 54",IF(J64=1,D64,F64))</f>
        <v>Duitsland</v>
      </c>
      <c r="G70" s="85">
        <v>1</v>
      </c>
      <c r="H70" s="15" t="s">
        <v>9</v>
      </c>
      <c r="I70" s="97">
        <v>1</v>
      </c>
      <c r="J70" s="98">
        <v>2</v>
      </c>
      <c r="K70" s="1"/>
      <c r="L70" s="1"/>
      <c r="M70" s="1"/>
      <c r="V70" t="s">
        <v>133</v>
      </c>
      <c r="W70" t="s">
        <v>126</v>
      </c>
      <c r="X70" t="str">
        <f t="shared" si="11"/>
        <v>Karim Rekik (v)</v>
      </c>
      <c r="Y70" s="109">
        <f>AF70</f>
        <v>1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1</v>
      </c>
      <c r="AG70" s="108">
        <f>IF(AC70="",0,(IF(G70=AC70,1,0)))</f>
        <v>0</v>
      </c>
      <c r="AH70" s="108">
        <f>IF(AD70="",0,(IF(I70=AD70,1,0)))</f>
        <v>1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0</v>
      </c>
      <c r="AL70" s="108">
        <f>IF(AND(G70=I70,AC70=AD70),5,0)</f>
        <v>0</v>
      </c>
    </row>
    <row r="71" spans="2:54">
      <c r="B71" s="24">
        <v>58</v>
      </c>
      <c r="C71" s="25">
        <v>41824</v>
      </c>
      <c r="D71" s="58" t="str">
        <f>IF(J59="","Winnaar 49",IF(J59=1,D59,F59))</f>
        <v>Brazilië</v>
      </c>
      <c r="E71" s="27" t="s">
        <v>9</v>
      </c>
      <c r="F71" s="59" t="str">
        <f>IF(J60="","Winnaar 50",IF(J60=1,D60,F60))</f>
        <v>Ivoorkust</v>
      </c>
      <c r="G71" s="87">
        <v>1</v>
      </c>
      <c r="H71" s="27" t="s">
        <v>9</v>
      </c>
      <c r="I71" s="99">
        <v>0</v>
      </c>
      <c r="J71" s="100">
        <v>1</v>
      </c>
      <c r="K71" s="1"/>
      <c r="L71" s="1"/>
      <c r="M71" s="1"/>
      <c r="V71" t="s">
        <v>133</v>
      </c>
      <c r="W71" t="s">
        <v>194</v>
      </c>
      <c r="X71" t="str">
        <f t="shared" si="11"/>
        <v>Ron Vlaar (v)</v>
      </c>
      <c r="Y71" s="109">
        <f>AF71</f>
        <v>5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5</v>
      </c>
      <c r="AG71" s="108">
        <f>IF(AC71="",0,(IF(G71=AC71,1,0)))</f>
        <v>0</v>
      </c>
      <c r="AH71" s="108">
        <f>IF(AD71="",0,(IF(I71=AD71,1,0)))</f>
        <v>0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12">
        <v>59</v>
      </c>
      <c r="C72" s="13">
        <v>41825</v>
      </c>
      <c r="D72" s="55" t="str">
        <f>IF(J65="","Winnaar 55",IF(J65=1,D65,F65))</f>
        <v>Nigeria</v>
      </c>
      <c r="E72" s="15" t="s">
        <v>9</v>
      </c>
      <c r="F72" s="56" t="str">
        <f>IF(J66="","Winnaar 56",IF(J66=1,D66,F66))</f>
        <v>Ghana</v>
      </c>
      <c r="G72" s="85">
        <v>1</v>
      </c>
      <c r="H72" s="15" t="s">
        <v>9</v>
      </c>
      <c r="I72" s="97">
        <v>0</v>
      </c>
      <c r="J72" s="98">
        <v>1</v>
      </c>
      <c r="K72" s="1"/>
      <c r="L72" s="1"/>
      <c r="M72" s="1"/>
      <c r="V72" t="s">
        <v>133</v>
      </c>
      <c r="W72" t="s">
        <v>195</v>
      </c>
      <c r="X72" t="str">
        <f t="shared" si="11"/>
        <v>John Heitinga (v)</v>
      </c>
      <c r="Y72" s="109">
        <f>AF72</f>
        <v>10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10</v>
      </c>
      <c r="AG72" s="108">
        <f>IF(AC72="",0,(IF(G72=AC72,1,0)))</f>
        <v>1</v>
      </c>
      <c r="AH72" s="108">
        <f>IF(AD72="",0,(IF(I72=AD72,1,0)))</f>
        <v>1</v>
      </c>
      <c r="AI72" s="108">
        <f>IF(AND(AG72=1,AH72=1),10,0)</f>
        <v>10</v>
      </c>
      <c r="AJ72" s="108">
        <f>IF(AND(G72&gt;I72,AC72&gt;AD72),5,0)</f>
        <v>5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3">
        <v>60</v>
      </c>
      <c r="C73" s="34">
        <v>41825</v>
      </c>
      <c r="D73" s="61" t="str">
        <f>IF(J61="","Winnaar 51",IF(J61=1,D61,F61))</f>
        <v>Spanje</v>
      </c>
      <c r="E73" s="36" t="s">
        <v>9</v>
      </c>
      <c r="F73" s="62" t="str">
        <f>IF(J62="","Winnaar 52",IF(J62=1,D62,F62))</f>
        <v>Italië</v>
      </c>
      <c r="G73" s="88">
        <v>1</v>
      </c>
      <c r="H73" s="36" t="s">
        <v>9</v>
      </c>
      <c r="I73" s="103">
        <v>1</v>
      </c>
      <c r="J73" s="104">
        <v>1</v>
      </c>
      <c r="K73" s="1"/>
      <c r="L73" s="1"/>
      <c r="M73" s="1"/>
      <c r="V73" t="s">
        <v>133</v>
      </c>
      <c r="W73" t="s">
        <v>196</v>
      </c>
      <c r="X73" t="str">
        <f t="shared" si="11"/>
        <v>Urby Emanuelson (v)</v>
      </c>
      <c r="Y73" s="109">
        <f>AF73</f>
        <v>5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5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5</v>
      </c>
    </row>
    <row r="74" spans="2:54" ht="15.75" thickBot="1">
      <c r="B74" s="1"/>
      <c r="C74" s="39"/>
      <c r="D74" s="40"/>
      <c r="E74" s="1"/>
      <c r="F74" s="40"/>
      <c r="G74" s="1"/>
      <c r="H74" s="1"/>
      <c r="I74" s="1"/>
      <c r="J74" s="1"/>
      <c r="K74" s="1"/>
      <c r="L74" s="1"/>
      <c r="M74" s="1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195"/>
      <c r="K75" s="1"/>
      <c r="L75" s="1"/>
      <c r="M75" s="1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78" t="s">
        <v>1</v>
      </c>
      <c r="C76" s="79" t="s">
        <v>2</v>
      </c>
      <c r="D76" s="193" t="s">
        <v>3</v>
      </c>
      <c r="E76" s="81"/>
      <c r="F76" s="194" t="s">
        <v>4</v>
      </c>
      <c r="G76" s="867" t="s">
        <v>5</v>
      </c>
      <c r="H76" s="868"/>
      <c r="I76" s="869"/>
      <c r="J76" s="83" t="s">
        <v>6</v>
      </c>
      <c r="K76" s="1"/>
      <c r="L76" s="1"/>
      <c r="M76" s="1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12">
        <v>61</v>
      </c>
      <c r="C77" s="13">
        <v>41828</v>
      </c>
      <c r="D77" s="55" t="str">
        <f>IF(J70="","Winnaar 57",IF(J70=1,D70,F70))</f>
        <v>Duitsland</v>
      </c>
      <c r="E77" s="15" t="s">
        <v>9</v>
      </c>
      <c r="F77" s="56" t="str">
        <f>IF(J71="","Winnaar 58",IF(J71=1,D71,F71))</f>
        <v>Brazilië</v>
      </c>
      <c r="G77" s="85">
        <v>1</v>
      </c>
      <c r="H77" s="15" t="s">
        <v>9</v>
      </c>
      <c r="I77" s="97">
        <v>1</v>
      </c>
      <c r="J77" s="98">
        <v>1</v>
      </c>
      <c r="K77" s="1"/>
      <c r="L77" s="1"/>
      <c r="M77" s="1"/>
      <c r="V77" t="s">
        <v>134</v>
      </c>
      <c r="W77" t="s">
        <v>203</v>
      </c>
      <c r="X77" t="str">
        <f t="shared" si="11"/>
        <v>Marco van Ginkel (m)</v>
      </c>
      <c r="Y77" s="109">
        <f>AF77</f>
        <v>1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1</v>
      </c>
      <c r="AG77" s="108">
        <f>IF(AC77="",0,(IF(G77=AC77,1,0)))</f>
        <v>0</v>
      </c>
      <c r="AH77" s="108">
        <f>IF(AD77="",0,(IF(I77=AD77,1,0)))</f>
        <v>1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3">
        <v>62</v>
      </c>
      <c r="C78" s="34">
        <v>41829</v>
      </c>
      <c r="D78" s="61" t="str">
        <f>IF(J72="","Winnaar 59",IF(J72=1,D72,F72))</f>
        <v>Nigeria</v>
      </c>
      <c r="E78" s="36" t="s">
        <v>9</v>
      </c>
      <c r="F78" s="62" t="str">
        <f>IF(J73="","Winnaar 60",IF(J73=1,D73,F73))</f>
        <v>Spanje</v>
      </c>
      <c r="G78" s="88">
        <v>0</v>
      </c>
      <c r="H78" s="36" t="s">
        <v>9</v>
      </c>
      <c r="I78" s="103">
        <v>1</v>
      </c>
      <c r="J78" s="104">
        <v>2</v>
      </c>
      <c r="K78" s="1"/>
      <c r="L78" s="1"/>
      <c r="M78" s="1"/>
      <c r="V78" t="s">
        <v>134</v>
      </c>
      <c r="W78" t="s">
        <v>199</v>
      </c>
      <c r="X78" t="str">
        <f t="shared" si="11"/>
        <v>Leroy Fer (m)</v>
      </c>
      <c r="Y78" s="109">
        <f>AF78</f>
        <v>1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1</v>
      </c>
      <c r="AG78" s="108">
        <f>IF(AC78="",0,(IF(G78=AC78,1,0)))</f>
        <v>1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1"/>
      <c r="C79" s="39"/>
      <c r="D79" s="40"/>
      <c r="E79" s="1"/>
      <c r="F79" s="40"/>
      <c r="G79" s="1"/>
      <c r="H79" s="1"/>
      <c r="I79" s="1"/>
      <c r="J79" s="1"/>
      <c r="K79" s="1"/>
      <c r="L79" s="1"/>
      <c r="M79" s="1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195"/>
      <c r="K80" s="1"/>
      <c r="L80" s="1"/>
      <c r="M80" s="1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78" t="s">
        <v>1</v>
      </c>
      <c r="C81" s="79" t="s">
        <v>2</v>
      </c>
      <c r="D81" s="193" t="s">
        <v>3</v>
      </c>
      <c r="E81" s="81"/>
      <c r="F81" s="194" t="s">
        <v>4</v>
      </c>
      <c r="G81" s="867" t="s">
        <v>5</v>
      </c>
      <c r="H81" s="868"/>
      <c r="I81" s="869"/>
      <c r="J81" s="83" t="s">
        <v>6</v>
      </c>
      <c r="K81" s="1"/>
      <c r="L81" s="1"/>
      <c r="M81" s="1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2">
        <v>63</v>
      </c>
      <c r="C82" s="63">
        <v>41832</v>
      </c>
      <c r="D82" s="64" t="str">
        <f>IF(J77="","Verliezer 61",IF(J77=1,F77,D77))</f>
        <v>Brazilië</v>
      </c>
      <c r="E82" s="3" t="s">
        <v>9</v>
      </c>
      <c r="F82" s="65" t="str">
        <f>IF(J78="","Verliezer 62",IF(J78=1,F78,D78))</f>
        <v>Nigeria</v>
      </c>
      <c r="G82" s="105">
        <v>2</v>
      </c>
      <c r="H82" s="3" t="s">
        <v>9</v>
      </c>
      <c r="I82" s="106">
        <v>0</v>
      </c>
      <c r="J82" s="107">
        <v>1</v>
      </c>
      <c r="K82" s="1"/>
      <c r="L82" s="1"/>
      <c r="M82" s="1"/>
      <c r="V82" t="s">
        <v>134</v>
      </c>
      <c r="W82" t="s">
        <v>125</v>
      </c>
      <c r="X8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1"/>
      <c r="C83" s="39"/>
      <c r="D83" s="40"/>
      <c r="E83" s="1"/>
      <c r="F83" s="40"/>
      <c r="G83" s="1"/>
      <c r="H83" s="1"/>
      <c r="I83" s="1"/>
      <c r="J83" s="1"/>
      <c r="K83" s="1"/>
      <c r="L83" s="1"/>
      <c r="M83" s="1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195"/>
      <c r="K84" s="1"/>
      <c r="L84" s="1"/>
      <c r="M84" s="1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78" t="s">
        <v>1</v>
      </c>
      <c r="C85" s="79" t="s">
        <v>2</v>
      </c>
      <c r="D85" s="193" t="s">
        <v>3</v>
      </c>
      <c r="E85" s="81"/>
      <c r="F85" s="194" t="s">
        <v>4</v>
      </c>
      <c r="G85" s="867" t="s">
        <v>5</v>
      </c>
      <c r="H85" s="868"/>
      <c r="I85" s="869"/>
      <c r="J85" s="83" t="s">
        <v>6</v>
      </c>
      <c r="K85" s="1"/>
      <c r="L85" s="1"/>
      <c r="M85" s="1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2">
        <v>64</v>
      </c>
      <c r="C86" s="63">
        <v>41833</v>
      </c>
      <c r="D86" s="64" t="str">
        <f>IF(J77="","Winnaar 61",IF(J77=1,D77,F77))</f>
        <v>Duitsland</v>
      </c>
      <c r="E86" s="3" t="s">
        <v>9</v>
      </c>
      <c r="F86" s="65" t="str">
        <f>IF(J78="","Winnaar 62",IF(J78=1,D78,F78))</f>
        <v>Spanje</v>
      </c>
      <c r="G86" s="105">
        <v>1</v>
      </c>
      <c r="H86" s="3" t="s">
        <v>9</v>
      </c>
      <c r="I86" s="106">
        <v>0</v>
      </c>
      <c r="J86" s="107">
        <v>1</v>
      </c>
      <c r="K86" s="1"/>
      <c r="L86" s="1"/>
      <c r="M86" s="1"/>
      <c r="V86" t="s">
        <v>134</v>
      </c>
      <c r="W86" t="s">
        <v>139</v>
      </c>
      <c r="X86" t="str">
        <f t="shared" si="11"/>
        <v>Nigel de Jong (m)</v>
      </c>
      <c r="Y86" s="109">
        <f>AF86</f>
        <v>1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1</v>
      </c>
      <c r="AG86" s="108">
        <f>IF(AC86="",0,(IF(G86=AC86,1,0)))</f>
        <v>0</v>
      </c>
      <c r="AH86" s="108">
        <f>IF(AD86="",0,(IF(I86=AD86,1,0)))</f>
        <v>1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Duitsland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50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50</v>
      </c>
      <c r="AV89">
        <f>IF(AR89=0,0,IF(E89=AR89,50,0))</f>
        <v>50</v>
      </c>
      <c r="AW89">
        <f>IF(E89=0,0,IF(OR(E89=AR90),15,0))</f>
        <v>0</v>
      </c>
      <c r="AX89">
        <f>IF(E89=0,0,IF(OR(E89=AR91,E89=AR92),5,0))</f>
        <v>0</v>
      </c>
    </row>
    <row r="90" spans="2:50">
      <c r="C90" s="870">
        <v>2</v>
      </c>
      <c r="D90" s="871"/>
      <c r="E90" s="872" t="str">
        <f>IF(J86=2,D86,IF(J86=1,F86,"Wie wordt 2de?"))</f>
        <v>Spanje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0</v>
      </c>
      <c r="AV90">
        <f>IF(AR90=0,0,IF(AR90=E90,25,0))</f>
        <v>0</v>
      </c>
      <c r="AW90">
        <f>IF(E90=0,0,IF(OR(E90=AR89,),15,0))</f>
        <v>0</v>
      </c>
      <c r="AX90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Brazilië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10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10</v>
      </c>
      <c r="AV91">
        <f>IF(AR91=0,0,IF(AR91=E91,15,0))</f>
        <v>0</v>
      </c>
      <c r="AW91">
        <f>IF(E91=0,0,IF(OR(E91=AR92),10,0))</f>
        <v>10</v>
      </c>
      <c r="AX91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Nigeria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0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0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60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conditionalFormatting sqref="AO9:AO12 AO15:AO18 AO21:AO24 AO27:AO30 AO33:AO36 AO39:AO42 AO45:AO48 AO51:AO54">
    <cfRule type="cellIs" dxfId="230" priority="3" operator="equal">
      <formula>10</formula>
    </cfRule>
  </conditionalFormatting>
  <conditionalFormatting sqref="P58:T58">
    <cfRule type="duplicateValues" dxfId="229" priority="2"/>
  </conditionalFormatting>
  <conditionalFormatting sqref="P58:T68">
    <cfRule type="duplicateValues" dxfId="228" priority="1"/>
  </conditionalFormatting>
  <dataValidations count="10">
    <dataValidation type="list" allowBlank="1" showInputMessage="1" showErrorMessage="1" sqref="T51:T54">
      <formula1>$W$51:$W$54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P58:P68">
      <formula1>$X$58:$X$98</formula1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B1:BB98"/>
  <sheetViews>
    <sheetView topLeftCell="A49" zoomScale="70" zoomScaleNormal="70" workbookViewId="0">
      <selection activeCell="P58" sqref="P58:T68"/>
    </sheetView>
  </sheetViews>
  <sheetFormatPr defaultRowHeight="15" outlineLevelCol="2"/>
  <cols>
    <col min="1" max="1" width="3.42578125" customWidth="1"/>
    <col min="2" max="2" width="3.5703125" bestFit="1" customWidth="1"/>
    <col min="3" max="3" width="11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145" t="s">
        <v>248</v>
      </c>
      <c r="E3" s="145"/>
      <c r="F3" s="145"/>
      <c r="N3" t="str">
        <f>D3</f>
        <v>René K.</v>
      </c>
      <c r="O3" s="144">
        <f>SUM(P3:S3)</f>
        <v>404</v>
      </c>
      <c r="P3" s="109">
        <f>SUM(Y8:Y86)</f>
        <v>186</v>
      </c>
      <c r="Q3" s="109">
        <f>SUM(AM4:AM55)</f>
        <v>140</v>
      </c>
      <c r="R3" s="109">
        <f>SUM(AP89:AP92)</f>
        <v>30</v>
      </c>
      <c r="S3" s="109">
        <f>SUM(BB58:BB69)</f>
        <v>48</v>
      </c>
      <c r="T3" s="109">
        <f>COUNTIF(AF8:AF86,10)</f>
        <v>5</v>
      </c>
      <c r="U3" s="109" t="str">
        <f>E89</f>
        <v>Brazilië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1"/>
      <c r="L6" s="1"/>
      <c r="O6" s="40"/>
      <c r="P6" s="41"/>
      <c r="Q6" s="41"/>
      <c r="R6" s="41"/>
      <c r="S6" s="41"/>
      <c r="T6" s="41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66" t="s">
        <v>1</v>
      </c>
      <c r="C7" s="67" t="s">
        <v>2</v>
      </c>
      <c r="D7" s="196" t="s">
        <v>3</v>
      </c>
      <c r="E7" s="69"/>
      <c r="F7" s="197" t="s">
        <v>4</v>
      </c>
      <c r="G7" s="880" t="s">
        <v>5</v>
      </c>
      <c r="H7" s="881"/>
      <c r="I7" s="882"/>
      <c r="J7" s="71" t="s">
        <v>6</v>
      </c>
      <c r="K7" s="4" t="s">
        <v>7</v>
      </c>
      <c r="L7" s="4" t="s">
        <v>7</v>
      </c>
      <c r="O7" s="1"/>
      <c r="P7" s="41"/>
      <c r="Q7" s="41"/>
      <c r="R7" s="41"/>
      <c r="S7" s="41"/>
      <c r="T7" s="41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5">
        <v>1</v>
      </c>
      <c r="C8" s="6">
        <v>41802</v>
      </c>
      <c r="D8" s="7" t="s">
        <v>8</v>
      </c>
      <c r="E8" s="8" t="s">
        <v>9</v>
      </c>
      <c r="F8" s="9" t="s">
        <v>10</v>
      </c>
      <c r="G8" s="84">
        <v>1</v>
      </c>
      <c r="H8" s="8" t="s">
        <v>9</v>
      </c>
      <c r="I8" s="192">
        <v>0</v>
      </c>
      <c r="J8" s="10">
        <f>IF(I8="","",IF(G8&gt;I8,1,IF(G8&lt;I8,2,3)))</f>
        <v>1</v>
      </c>
      <c r="K8" s="11">
        <f>IF(I8="","",IF($G8&gt;$I8,3,IF($G8=$I8,1,0)))</f>
        <v>3</v>
      </c>
      <c r="L8" s="11">
        <f>IF(I8="","",IF($G8&lt;$I8,3,IF($G8=$I8,1,0)))</f>
        <v>0</v>
      </c>
      <c r="O8" s="72" t="s">
        <v>41</v>
      </c>
      <c r="P8" s="73" t="s">
        <v>42</v>
      </c>
      <c r="Q8" s="73" t="s">
        <v>43</v>
      </c>
      <c r="R8" s="74" t="s">
        <v>44</v>
      </c>
      <c r="S8" s="75" t="s">
        <v>45</v>
      </c>
      <c r="T8" s="76" t="s">
        <v>46</v>
      </c>
      <c r="U8" s="40"/>
      <c r="V8" s="40"/>
      <c r="W8" s="40"/>
      <c r="Y8" s="109">
        <f>AF8</f>
        <v>5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5</v>
      </c>
      <c r="AG8" s="108">
        <f t="shared" ref="AG8:AG55" si="0">IF(AC8="",0,(IF(G8=AC8,1,0)))</f>
        <v>0</v>
      </c>
      <c r="AH8" s="108">
        <f t="shared" ref="AH8:AH55" si="1">IF(AD8="",0,(IF(I8=AD8,1,0)))</f>
        <v>0</v>
      </c>
      <c r="AI8" s="108">
        <f>IF(AND(AG8=1,AH8=1),10,0)</f>
        <v>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12">
        <v>2</v>
      </c>
      <c r="C9" s="13">
        <v>41803</v>
      </c>
      <c r="D9" s="14" t="s">
        <v>11</v>
      </c>
      <c r="E9" s="15" t="s">
        <v>9</v>
      </c>
      <c r="F9" s="16" t="s">
        <v>12</v>
      </c>
      <c r="G9" s="85">
        <v>2</v>
      </c>
      <c r="H9" s="15" t="s">
        <v>9</v>
      </c>
      <c r="I9" s="90">
        <v>1</v>
      </c>
      <c r="J9" s="17">
        <f t="shared" ref="J9:J55" si="5">IF(I9="","",IF(G9&gt;I9,1,IF(G9&lt;I9,2,3)))</f>
        <v>1</v>
      </c>
      <c r="K9" s="11">
        <f t="shared" ref="K9:K55" si="6">IF(I9="","",IF($G9&gt;$I9,3,IF($G9=$I9,1,0)))</f>
        <v>3</v>
      </c>
      <c r="L9" s="11">
        <f t="shared" ref="L9:L55" si="7">IF(I9="","",IF($G9&lt;$I9,3,IF($G9=$I9,1,0)))</f>
        <v>0</v>
      </c>
      <c r="O9" s="44" t="s">
        <v>8</v>
      </c>
      <c r="P9" s="45">
        <f>SUMIF($D$8:$D$55,$O9,$G$8:$G$55)+SUMIF($F$8:$F$55,$O9,$I$8:$I$55)</f>
        <v>5</v>
      </c>
      <c r="Q9" s="45">
        <f>SUMIF($D$8:$D$55,$O9,$I$8:$I$55)+SUMIF($F$8:$F$55,$O9,$G$8:$G$55)</f>
        <v>0</v>
      </c>
      <c r="R9" s="46">
        <f>P9-Q9</f>
        <v>5</v>
      </c>
      <c r="S9" s="47">
        <f>SUMIF($D$8:$D$55,$O9,$K$8:$K$55)+SUMIF($F$8:$F$55,$O9,$L$8:$L$55)</f>
        <v>9</v>
      </c>
      <c r="T9" s="94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5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5</v>
      </c>
      <c r="AG9" s="108">
        <f t="shared" si="0"/>
        <v>0</v>
      </c>
      <c r="AH9" s="108">
        <f t="shared" si="1"/>
        <v>0</v>
      </c>
      <c r="AI9" s="108">
        <f t="shared" ref="AI9:AI55" si="10">IF(AND(AG9=1,AH9=1),10,0)</f>
        <v>0</v>
      </c>
      <c r="AJ9" s="108">
        <f t="shared" si="2"/>
        <v>5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18">
        <v>3</v>
      </c>
      <c r="C10" s="19">
        <v>41803</v>
      </c>
      <c r="D10" s="20" t="s">
        <v>13</v>
      </c>
      <c r="E10" s="21" t="s">
        <v>9</v>
      </c>
      <c r="F10" s="22" t="s">
        <v>14</v>
      </c>
      <c r="G10" s="86">
        <v>3</v>
      </c>
      <c r="H10" s="21" t="s">
        <v>9</v>
      </c>
      <c r="I10" s="91">
        <v>1</v>
      </c>
      <c r="J10" s="23">
        <f t="shared" si="5"/>
        <v>1</v>
      </c>
      <c r="K10" s="11">
        <f t="shared" si="6"/>
        <v>3</v>
      </c>
      <c r="L10" s="11">
        <f t="shared" si="7"/>
        <v>0</v>
      </c>
      <c r="O10" s="48" t="s">
        <v>10</v>
      </c>
      <c r="P10" s="49">
        <f>SUMIF($D$8:$D$55,$O10,$G$8:$G$55)+SUMIF($F$8:$F$55,$O10,$I$8:$I$55)</f>
        <v>2</v>
      </c>
      <c r="Q10" s="49">
        <f>SUMIF($D$8:$D$55,$O10,$I$8:$I$55)+SUMIF($F$8:$F$55,$O10,$G$8:$G$55)</f>
        <v>4</v>
      </c>
      <c r="R10" s="49">
        <f>P10-Q10</f>
        <v>-2</v>
      </c>
      <c r="S10" s="50">
        <f>SUMIF($D$8:$D$55,$O10,$K$8:$K$55)+SUMIF($F$8:$F$55,$O10,$L$8:$L$55)</f>
        <v>1</v>
      </c>
      <c r="T10" s="95" t="s">
        <v>47</v>
      </c>
      <c r="U10" s="40"/>
      <c r="V10" s="40" t="str">
        <f>O10</f>
        <v>Kroatië</v>
      </c>
      <c r="W10" s="40" t="s">
        <v>49</v>
      </c>
      <c r="Y10" s="109">
        <f t="shared" si="8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0</v>
      </c>
      <c r="AG10" s="108">
        <f t="shared" si="0"/>
        <v>0</v>
      </c>
      <c r="AH10" s="108">
        <f t="shared" si="1"/>
        <v>0</v>
      </c>
      <c r="AI10" s="108">
        <f t="shared" si="10"/>
        <v>0</v>
      </c>
      <c r="AJ10" s="108">
        <f t="shared" si="2"/>
        <v>0</v>
      </c>
      <c r="AK10" s="108">
        <f t="shared" si="3"/>
        <v>0</v>
      </c>
      <c r="AL10" s="108">
        <f t="shared" si="4"/>
        <v>0</v>
      </c>
      <c r="AM10" s="120">
        <f>AO10</f>
        <v>10</v>
      </c>
      <c r="AN10" s="117" t="s">
        <v>10</v>
      </c>
      <c r="AO10" s="115">
        <f>IF(Uitslag!T10="",0,IF(T10=Uitslag!T10,10,0))</f>
        <v>10</v>
      </c>
    </row>
    <row r="11" spans="2:54" ht="15.75" thickBot="1">
      <c r="B11" s="24">
        <v>4</v>
      </c>
      <c r="C11" s="25">
        <v>41803</v>
      </c>
      <c r="D11" s="26" t="s">
        <v>15</v>
      </c>
      <c r="E11" s="27" t="s">
        <v>9</v>
      </c>
      <c r="F11" s="28" t="s">
        <v>16</v>
      </c>
      <c r="G11" s="87">
        <v>2</v>
      </c>
      <c r="H11" s="27" t="s">
        <v>9</v>
      </c>
      <c r="I11" s="92">
        <v>1</v>
      </c>
      <c r="J11" s="29">
        <f t="shared" si="5"/>
        <v>1</v>
      </c>
      <c r="K11" s="11">
        <f t="shared" si="6"/>
        <v>3</v>
      </c>
      <c r="L11" s="11">
        <f t="shared" si="7"/>
        <v>0</v>
      </c>
      <c r="O11" s="48" t="s">
        <v>11</v>
      </c>
      <c r="P11" s="49">
        <f>SUMIF($D$8:$D$55,$O11,$G$8:$G$55)+SUMIF($F$8:$F$55,$O11,$I$8:$I$55)</f>
        <v>4</v>
      </c>
      <c r="Q11" s="49">
        <f>SUMIF($D$8:$D$55,$O11,$I$8:$I$55)+SUMIF($F$8:$F$55,$O11,$G$8:$G$55)</f>
        <v>3</v>
      </c>
      <c r="R11" s="49">
        <f>P11-Q11</f>
        <v>1</v>
      </c>
      <c r="S11" s="50">
        <f>SUMIF($D$8:$D$55,$O11,$K$8:$K$55)+SUMIF($F$8:$F$55,$O11,$L$8:$L$55)</f>
        <v>6</v>
      </c>
      <c r="T11" s="95" t="s">
        <v>49</v>
      </c>
      <c r="U11" s="40"/>
      <c r="V11" s="40" t="str">
        <f>O11</f>
        <v>Mexico</v>
      </c>
      <c r="W11" s="40" t="s">
        <v>47</v>
      </c>
      <c r="Y11" s="109">
        <f t="shared" si="8"/>
        <v>6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6</v>
      </c>
      <c r="AG11" s="108">
        <f t="shared" si="0"/>
        <v>0</v>
      </c>
      <c r="AH11" s="108">
        <f t="shared" si="1"/>
        <v>1</v>
      </c>
      <c r="AI11" s="108">
        <f t="shared" si="10"/>
        <v>0</v>
      </c>
      <c r="AJ11" s="108">
        <f t="shared" si="2"/>
        <v>5</v>
      </c>
      <c r="AK11" s="108">
        <f t="shared" si="3"/>
        <v>0</v>
      </c>
      <c r="AL11" s="108">
        <f t="shared" si="4"/>
        <v>0</v>
      </c>
      <c r="AM11" s="120">
        <f>AO11</f>
        <v>10</v>
      </c>
      <c r="AN11" s="117" t="s">
        <v>11</v>
      </c>
      <c r="AO11" s="115">
        <f>IF(Uitslag!T11="",0,IF(T11=Uitslag!T11,10,0))</f>
        <v>10</v>
      </c>
    </row>
    <row r="12" spans="2:54" ht="15.75" thickBot="1">
      <c r="B12" s="12">
        <v>5</v>
      </c>
      <c r="C12" s="13">
        <v>41804</v>
      </c>
      <c r="D12" s="14" t="s">
        <v>17</v>
      </c>
      <c r="E12" s="15" t="s">
        <v>9</v>
      </c>
      <c r="F12" s="16" t="s">
        <v>18</v>
      </c>
      <c r="G12" s="85">
        <v>2</v>
      </c>
      <c r="H12" s="15" t="s">
        <v>9</v>
      </c>
      <c r="I12" s="90">
        <v>1</v>
      </c>
      <c r="J12" s="17">
        <f t="shared" si="5"/>
        <v>1</v>
      </c>
      <c r="K12" s="11">
        <f t="shared" si="6"/>
        <v>3</v>
      </c>
      <c r="L12" s="11">
        <f t="shared" si="7"/>
        <v>0</v>
      </c>
      <c r="O12" s="51" t="s">
        <v>12</v>
      </c>
      <c r="P12" s="52">
        <f>SUMIF($D$8:$D$55,$O12,$G$8:$G$55)+SUMIF($F$8:$F$55,$O12,$I$8:$I$55)</f>
        <v>2</v>
      </c>
      <c r="Q12" s="52">
        <f>SUMIF($D$8:$D$55,$O12,$I$8:$I$55)+SUMIF($F$8:$F$55,$O12,$G$8:$G$55)</f>
        <v>6</v>
      </c>
      <c r="R12" s="52">
        <f>P12-Q12</f>
        <v>-4</v>
      </c>
      <c r="S12" s="53">
        <f>SUMIF($D$8:$D$55,$O12,$K$8:$K$55)+SUMIF($F$8:$F$55,$O12,$L$8:$L$55)</f>
        <v>1</v>
      </c>
      <c r="T12" s="96" t="s">
        <v>50</v>
      </c>
      <c r="U12" s="40"/>
      <c r="V12" s="40" t="str">
        <f>O12</f>
        <v>Kameroen</v>
      </c>
      <c r="W12" s="40" t="s">
        <v>50</v>
      </c>
      <c r="Y12" s="109">
        <f t="shared" si="8"/>
        <v>5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5</v>
      </c>
      <c r="AG12" s="108">
        <f t="shared" si="0"/>
        <v>0</v>
      </c>
      <c r="AH12" s="108">
        <f t="shared" si="1"/>
        <v>0</v>
      </c>
      <c r="AI12" s="108">
        <f t="shared" si="10"/>
        <v>0</v>
      </c>
      <c r="AJ12" s="108">
        <f t="shared" si="2"/>
        <v>5</v>
      </c>
      <c r="AK12" s="108">
        <f t="shared" si="3"/>
        <v>0</v>
      </c>
      <c r="AL12" s="108">
        <f t="shared" si="4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18">
        <v>6</v>
      </c>
      <c r="C13" s="19">
        <v>41804</v>
      </c>
      <c r="D13" s="20" t="s">
        <v>19</v>
      </c>
      <c r="E13" s="21" t="s">
        <v>9</v>
      </c>
      <c r="F13" s="30" t="s">
        <v>20</v>
      </c>
      <c r="G13" s="86">
        <v>2</v>
      </c>
      <c r="H13" s="21" t="s">
        <v>9</v>
      </c>
      <c r="I13" s="91">
        <v>0</v>
      </c>
      <c r="J13" s="23">
        <f t="shared" si="5"/>
        <v>1</v>
      </c>
      <c r="K13" s="11">
        <f t="shared" si="6"/>
        <v>3</v>
      </c>
      <c r="L13" s="11">
        <f t="shared" si="7"/>
        <v>0</v>
      </c>
      <c r="O13" s="40"/>
      <c r="P13" s="41"/>
      <c r="Q13" s="41"/>
      <c r="R13" s="41"/>
      <c r="S13" s="41"/>
      <c r="T13" s="41"/>
      <c r="U13" s="40"/>
      <c r="V13" s="40"/>
      <c r="W13" s="40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0"/>
        <v>0</v>
      </c>
      <c r="AH13" s="108">
        <f t="shared" si="1"/>
        <v>0</v>
      </c>
      <c r="AI13" s="108">
        <f t="shared" si="10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40"/>
      <c r="AO13" s="41"/>
    </row>
    <row r="14" spans="2:54" ht="15.75" thickBot="1">
      <c r="B14" s="18">
        <v>7</v>
      </c>
      <c r="C14" s="19">
        <v>41804</v>
      </c>
      <c r="D14" s="20" t="s">
        <v>21</v>
      </c>
      <c r="E14" s="21" t="s">
        <v>9</v>
      </c>
      <c r="F14" s="30" t="s">
        <v>22</v>
      </c>
      <c r="G14" s="86">
        <v>1</v>
      </c>
      <c r="H14" s="21" t="s">
        <v>9</v>
      </c>
      <c r="I14" s="91">
        <v>1</v>
      </c>
      <c r="J14" s="23">
        <f t="shared" si="5"/>
        <v>3</v>
      </c>
      <c r="K14" s="11">
        <f t="shared" si="6"/>
        <v>1</v>
      </c>
      <c r="L14" s="11">
        <f t="shared" si="7"/>
        <v>1</v>
      </c>
      <c r="O14" s="72" t="s">
        <v>51</v>
      </c>
      <c r="P14" s="73" t="s">
        <v>42</v>
      </c>
      <c r="Q14" s="73" t="s">
        <v>43</v>
      </c>
      <c r="R14" s="74" t="s">
        <v>44</v>
      </c>
      <c r="S14" s="75" t="s">
        <v>45</v>
      </c>
      <c r="T14" s="76" t="s">
        <v>46</v>
      </c>
      <c r="U14" s="40"/>
      <c r="V14" s="40"/>
      <c r="W14" s="40"/>
      <c r="Y14" s="109">
        <f t="shared" si="8"/>
        <v>1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</v>
      </c>
      <c r="AG14" s="108">
        <f t="shared" si="0"/>
        <v>1</v>
      </c>
      <c r="AH14" s="108">
        <f t="shared" si="1"/>
        <v>0</v>
      </c>
      <c r="AI14" s="108">
        <f t="shared" si="10"/>
        <v>0</v>
      </c>
      <c r="AJ14" s="108">
        <f t="shared" si="2"/>
        <v>0</v>
      </c>
      <c r="AK14" s="108">
        <f t="shared" si="3"/>
        <v>0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24">
        <v>8</v>
      </c>
      <c r="C15" s="25">
        <v>41804</v>
      </c>
      <c r="D15" s="26" t="s">
        <v>23</v>
      </c>
      <c r="E15" s="27" t="s">
        <v>9</v>
      </c>
      <c r="F15" s="28" t="s">
        <v>24</v>
      </c>
      <c r="G15" s="87">
        <v>1</v>
      </c>
      <c r="H15" s="27" t="s">
        <v>9</v>
      </c>
      <c r="I15" s="92">
        <v>1</v>
      </c>
      <c r="J15" s="29">
        <f t="shared" si="5"/>
        <v>3</v>
      </c>
      <c r="K15" s="11">
        <f t="shared" si="6"/>
        <v>1</v>
      </c>
      <c r="L15" s="11">
        <f t="shared" si="7"/>
        <v>1</v>
      </c>
      <c r="O15" s="44" t="s">
        <v>13</v>
      </c>
      <c r="P15" s="45">
        <f>SUMIF($D$8:$D$55,$O15,$G$8:$G$55)+SUMIF($F$8:$F$55,$O15,$I$8:$I$55)</f>
        <v>6</v>
      </c>
      <c r="Q15" s="45">
        <f>SUMIF($D$8:$D$55,$O15,$I$8:$I$55)+SUMIF($F$8:$F$55,$O15,$G$8:$G$55)</f>
        <v>2</v>
      </c>
      <c r="R15" s="46">
        <f>P15-Q15</f>
        <v>4</v>
      </c>
      <c r="S15" s="47">
        <f>SUMIF($D$8:$D$55,$O15,$K$8:$K$55)+SUMIF($F$8:$F$55,$O15,$L$8:$L$55)</f>
        <v>7</v>
      </c>
      <c r="T15" s="94" t="s">
        <v>52</v>
      </c>
      <c r="U15" s="40"/>
      <c r="V15" s="40" t="str">
        <f>O15</f>
        <v>Spanje</v>
      </c>
      <c r="W15" s="40" t="s">
        <v>52</v>
      </c>
      <c r="Y15" s="109">
        <f t="shared" si="8"/>
        <v>1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1</v>
      </c>
      <c r="AG15" s="108">
        <f t="shared" si="0"/>
        <v>0</v>
      </c>
      <c r="AH15" s="108">
        <f t="shared" si="1"/>
        <v>1</v>
      </c>
      <c r="AI15" s="108">
        <f t="shared" si="10"/>
        <v>0</v>
      </c>
      <c r="AJ15" s="108">
        <f t="shared" si="2"/>
        <v>0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12">
        <v>9</v>
      </c>
      <c r="C16" s="13">
        <v>41805</v>
      </c>
      <c r="D16" s="14" t="s">
        <v>25</v>
      </c>
      <c r="E16" s="15" t="s">
        <v>9</v>
      </c>
      <c r="F16" s="16" t="s">
        <v>26</v>
      </c>
      <c r="G16" s="85">
        <v>0</v>
      </c>
      <c r="H16" s="15" t="s">
        <v>9</v>
      </c>
      <c r="I16" s="90">
        <v>1</v>
      </c>
      <c r="J16" s="17">
        <f t="shared" si="5"/>
        <v>2</v>
      </c>
      <c r="K16" s="11">
        <f t="shared" si="6"/>
        <v>0</v>
      </c>
      <c r="L16" s="11">
        <f t="shared" si="7"/>
        <v>3</v>
      </c>
      <c r="O16" s="54" t="s">
        <v>14</v>
      </c>
      <c r="P16" s="49">
        <f>SUMIF($D$8:$D$55,$O16,$G$8:$G$55)+SUMIF($F$8:$F$55,$O16,$I$8:$I$55)</f>
        <v>5</v>
      </c>
      <c r="Q16" s="49">
        <f>SUMIF($D$8:$D$55,$O16,$I$8:$I$55)+SUMIF($F$8:$F$55,$O16,$G$8:$G$55)</f>
        <v>6</v>
      </c>
      <c r="R16" s="49">
        <f>P16-Q16</f>
        <v>-1</v>
      </c>
      <c r="S16" s="50">
        <f>SUMIF($D$8:$D$55,$O16,$K$8:$K$55)+SUMIF($F$8:$F$55,$O16,$L$8:$L$55)</f>
        <v>4</v>
      </c>
      <c r="T16" s="95" t="s">
        <v>54</v>
      </c>
      <c r="U16" s="40"/>
      <c r="V16" s="40" t="str">
        <f>O16</f>
        <v>Nederland</v>
      </c>
      <c r="W16" s="40" t="s">
        <v>53</v>
      </c>
      <c r="Y16" s="109">
        <f t="shared" si="8"/>
        <v>1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1</v>
      </c>
      <c r="AG16" s="108">
        <f t="shared" si="0"/>
        <v>0</v>
      </c>
      <c r="AH16" s="108">
        <f t="shared" si="1"/>
        <v>1</v>
      </c>
      <c r="AI16" s="108">
        <f t="shared" si="10"/>
        <v>0</v>
      </c>
      <c r="AJ16" s="108">
        <f t="shared" si="2"/>
        <v>0</v>
      </c>
      <c r="AK16" s="108">
        <f t="shared" si="3"/>
        <v>0</v>
      </c>
      <c r="AL16" s="108">
        <f t="shared" si="4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18">
        <v>10</v>
      </c>
      <c r="C17" s="19">
        <v>41805</v>
      </c>
      <c r="D17" s="20" t="s">
        <v>27</v>
      </c>
      <c r="E17" s="21" t="s">
        <v>9</v>
      </c>
      <c r="F17" s="30" t="s">
        <v>28</v>
      </c>
      <c r="G17" s="86">
        <v>3</v>
      </c>
      <c r="H17" s="21" t="s">
        <v>9</v>
      </c>
      <c r="I17" s="91">
        <v>0</v>
      </c>
      <c r="J17" s="23">
        <f t="shared" si="5"/>
        <v>1</v>
      </c>
      <c r="K17" s="11">
        <f t="shared" si="6"/>
        <v>3</v>
      </c>
      <c r="L17" s="11">
        <f t="shared" si="7"/>
        <v>0</v>
      </c>
      <c r="O17" s="48" t="s">
        <v>15</v>
      </c>
      <c r="P17" s="49">
        <f>SUMIF($D$8:$D$55,$O17,$G$8:$G$55)+SUMIF($F$8:$F$55,$O17,$I$8:$I$55)</f>
        <v>4</v>
      </c>
      <c r="Q17" s="49">
        <f>SUMIF($D$8:$D$55,$O17,$I$8:$I$55)+SUMIF($F$8:$F$55,$O17,$G$8:$G$55)</f>
        <v>3</v>
      </c>
      <c r="R17" s="49">
        <f>P17-Q17</f>
        <v>1</v>
      </c>
      <c r="S17" s="50">
        <f>SUMIF($D$8:$D$55,$O17,$K$8:$K$55)+SUMIF($F$8:$F$55,$O17,$L$8:$L$55)</f>
        <v>5</v>
      </c>
      <c r="T17" s="95" t="s">
        <v>53</v>
      </c>
      <c r="U17" s="40"/>
      <c r="V17" s="40" t="str">
        <f>O17</f>
        <v>Chili</v>
      </c>
      <c r="W17" s="40" t="s">
        <v>54</v>
      </c>
      <c r="Y17" s="109">
        <f t="shared" si="8"/>
        <v>10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10</v>
      </c>
      <c r="AG17" s="108">
        <f t="shared" si="0"/>
        <v>1</v>
      </c>
      <c r="AH17" s="108">
        <f t="shared" si="1"/>
        <v>1</v>
      </c>
      <c r="AI17" s="108">
        <f t="shared" si="10"/>
        <v>10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10</v>
      </c>
      <c r="AN17" s="117" t="s">
        <v>15</v>
      </c>
      <c r="AO17" s="115">
        <f>IF(Uitslag!T17="",0,IF(T17=Uitslag!T17,10,0))</f>
        <v>10</v>
      </c>
    </row>
    <row r="18" spans="2:41" ht="15.75" thickBot="1">
      <c r="B18" s="24">
        <v>11</v>
      </c>
      <c r="C18" s="25">
        <v>41805</v>
      </c>
      <c r="D18" s="26" t="s">
        <v>29</v>
      </c>
      <c r="E18" s="27" t="s">
        <v>9</v>
      </c>
      <c r="F18" s="28" t="s">
        <v>30</v>
      </c>
      <c r="G18" s="87">
        <v>3</v>
      </c>
      <c r="H18" s="27" t="s">
        <v>9</v>
      </c>
      <c r="I18" s="92">
        <v>1</v>
      </c>
      <c r="J18" s="29">
        <f t="shared" si="5"/>
        <v>1</v>
      </c>
      <c r="K18" s="11">
        <f t="shared" si="6"/>
        <v>3</v>
      </c>
      <c r="L18" s="11">
        <f t="shared" si="7"/>
        <v>0</v>
      </c>
      <c r="O18" s="51" t="s">
        <v>16</v>
      </c>
      <c r="P18" s="52">
        <f>SUMIF($D$8:$D$55,$O18,$G$8:$G$55)+SUMIF($F$8:$F$55,$O18,$I$8:$I$55)</f>
        <v>3</v>
      </c>
      <c r="Q18" s="52">
        <f>SUMIF($D$8:$D$55,$O18,$I$8:$I$55)+SUMIF($F$8:$F$55,$O18,$G$8:$G$55)</f>
        <v>7</v>
      </c>
      <c r="R18" s="52">
        <f>P18-Q18</f>
        <v>-4</v>
      </c>
      <c r="S18" s="53">
        <f>SUMIF($D$8:$D$55,$O18,$K$8:$K$55)+SUMIF($F$8:$F$55,$O18,$L$8:$L$55)</f>
        <v>0</v>
      </c>
      <c r="T18" s="96" t="s">
        <v>55</v>
      </c>
      <c r="U18" s="40"/>
      <c r="V18" s="40" t="str">
        <f>O18</f>
        <v>Australië</v>
      </c>
      <c r="W18" s="40" t="s">
        <v>55</v>
      </c>
      <c r="Y18" s="109">
        <f t="shared" si="8"/>
        <v>6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6</v>
      </c>
      <c r="AG18" s="108">
        <f t="shared" si="0"/>
        <v>0</v>
      </c>
      <c r="AH18" s="108">
        <f t="shared" si="1"/>
        <v>1</v>
      </c>
      <c r="AI18" s="108">
        <f t="shared" si="10"/>
        <v>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12">
        <v>12</v>
      </c>
      <c r="C19" s="13">
        <v>41806</v>
      </c>
      <c r="D19" s="14" t="s">
        <v>31</v>
      </c>
      <c r="E19" s="15" t="s">
        <v>9</v>
      </c>
      <c r="F19" s="16" t="s">
        <v>32</v>
      </c>
      <c r="G19" s="85">
        <v>0</v>
      </c>
      <c r="H19" s="15" t="s">
        <v>9</v>
      </c>
      <c r="I19" s="90">
        <v>0</v>
      </c>
      <c r="J19" s="17">
        <f t="shared" si="5"/>
        <v>3</v>
      </c>
      <c r="K19" s="11">
        <f t="shared" si="6"/>
        <v>1</v>
      </c>
      <c r="L19" s="11">
        <f t="shared" si="7"/>
        <v>1</v>
      </c>
      <c r="O19" s="40"/>
      <c r="P19" s="41"/>
      <c r="Q19" s="41"/>
      <c r="R19" s="41"/>
      <c r="S19" s="41"/>
      <c r="T19" s="41"/>
      <c r="U19" s="40"/>
      <c r="V19" s="40"/>
      <c r="W19" s="40"/>
      <c r="Y19" s="109">
        <f t="shared" si="8"/>
        <v>1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1</v>
      </c>
      <c r="AG19" s="108">
        <f t="shared" si="0"/>
        <v>0</v>
      </c>
      <c r="AH19" s="108">
        <f t="shared" si="1"/>
        <v>1</v>
      </c>
      <c r="AI19" s="108">
        <f t="shared" si="10"/>
        <v>0</v>
      </c>
      <c r="AJ19" s="108">
        <f t="shared" si="2"/>
        <v>0</v>
      </c>
      <c r="AK19" s="108">
        <f t="shared" si="3"/>
        <v>0</v>
      </c>
      <c r="AL19" s="108">
        <f t="shared" si="4"/>
        <v>0</v>
      </c>
      <c r="AN19" s="40"/>
      <c r="AO19" s="41"/>
    </row>
    <row r="20" spans="2:41" ht="15.75" thickBot="1">
      <c r="B20" s="18">
        <v>13</v>
      </c>
      <c r="C20" s="19">
        <v>41806</v>
      </c>
      <c r="D20" s="20" t="s">
        <v>33</v>
      </c>
      <c r="E20" s="21" t="s">
        <v>9</v>
      </c>
      <c r="F20" s="30" t="s">
        <v>34</v>
      </c>
      <c r="G20" s="86">
        <v>0</v>
      </c>
      <c r="H20" s="21" t="s">
        <v>9</v>
      </c>
      <c r="I20" s="91">
        <v>1</v>
      </c>
      <c r="J20" s="23">
        <f t="shared" si="5"/>
        <v>2</v>
      </c>
      <c r="K20" s="11">
        <f t="shared" si="6"/>
        <v>0</v>
      </c>
      <c r="L20" s="11">
        <f t="shared" si="7"/>
        <v>3</v>
      </c>
      <c r="O20" s="72" t="s">
        <v>56</v>
      </c>
      <c r="P20" s="73" t="s">
        <v>42</v>
      </c>
      <c r="Q20" s="73" t="s">
        <v>43</v>
      </c>
      <c r="R20" s="74" t="s">
        <v>44</v>
      </c>
      <c r="S20" s="75" t="s">
        <v>45</v>
      </c>
      <c r="T20" s="76" t="s">
        <v>46</v>
      </c>
      <c r="U20" s="40"/>
      <c r="V20" s="40"/>
      <c r="W20" s="40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0"/>
        <v>1</v>
      </c>
      <c r="AH20" s="108">
        <f t="shared" si="1"/>
        <v>0</v>
      </c>
      <c r="AI20" s="108">
        <f t="shared" si="10"/>
        <v>0</v>
      </c>
      <c r="AJ20" s="108">
        <f t="shared" si="2"/>
        <v>0</v>
      </c>
      <c r="AK20" s="108">
        <f t="shared" si="3"/>
        <v>0</v>
      </c>
      <c r="AL20" s="108">
        <f t="shared" si="4"/>
        <v>0</v>
      </c>
      <c r="AN20" s="42" t="s">
        <v>56</v>
      </c>
      <c r="AO20" s="43" t="s">
        <v>46</v>
      </c>
    </row>
    <row r="21" spans="2:41" ht="15.75" thickBot="1">
      <c r="B21" s="24">
        <v>14</v>
      </c>
      <c r="C21" s="25">
        <v>41806</v>
      </c>
      <c r="D21" s="26" t="s">
        <v>35</v>
      </c>
      <c r="E21" s="27" t="s">
        <v>9</v>
      </c>
      <c r="F21" s="28" t="s">
        <v>36</v>
      </c>
      <c r="G21" s="87">
        <v>1</v>
      </c>
      <c r="H21" s="27" t="s">
        <v>9</v>
      </c>
      <c r="I21" s="92">
        <v>1</v>
      </c>
      <c r="J21" s="29">
        <f t="shared" si="5"/>
        <v>3</v>
      </c>
      <c r="K21" s="11">
        <f t="shared" si="6"/>
        <v>1</v>
      </c>
      <c r="L21" s="11">
        <f t="shared" si="7"/>
        <v>1</v>
      </c>
      <c r="O21" s="44" t="s">
        <v>17</v>
      </c>
      <c r="P21" s="45">
        <f>SUMIF($D$8:$D$55,$O21,$G$8:$G$55)+SUMIF($F$8:$F$55,$O21,$I$8:$I$55)</f>
        <v>5</v>
      </c>
      <c r="Q21" s="45">
        <f>SUMIF($D$8:$D$55,$O21,$I$8:$I$55)+SUMIF($F$8:$F$55,$O21,$G$8:$G$55)</f>
        <v>2</v>
      </c>
      <c r="R21" s="46">
        <f>P21-Q21</f>
        <v>3</v>
      </c>
      <c r="S21" s="47">
        <f>SUMIF($D$8:$D$55,$O21,$K$8:$K$55)+SUMIF($F$8:$F$55,$O21,$L$8:$L$55)</f>
        <v>9</v>
      </c>
      <c r="T21" s="94" t="s">
        <v>57</v>
      </c>
      <c r="U21" s="40"/>
      <c r="V21" s="40" t="str">
        <f>O21</f>
        <v>Colombia</v>
      </c>
      <c r="W21" s="40" t="s">
        <v>57</v>
      </c>
      <c r="Y21" s="109">
        <f t="shared" si="8"/>
        <v>1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1</v>
      </c>
      <c r="AG21" s="108">
        <f t="shared" si="0"/>
        <v>1</v>
      </c>
      <c r="AH21" s="108">
        <f t="shared" si="1"/>
        <v>0</v>
      </c>
      <c r="AI21" s="108">
        <f t="shared" si="10"/>
        <v>0</v>
      </c>
      <c r="AJ21" s="108">
        <f t="shared" si="2"/>
        <v>0</v>
      </c>
      <c r="AK21" s="108">
        <f t="shared" si="3"/>
        <v>0</v>
      </c>
      <c r="AL21" s="108">
        <f t="shared" si="4"/>
        <v>0</v>
      </c>
      <c r="AM21" s="120">
        <f>AO21</f>
        <v>10</v>
      </c>
      <c r="AN21" s="116" t="s">
        <v>17</v>
      </c>
      <c r="AO21" s="115">
        <f>IF(Uitslag!T21="",0,IF(T21=Uitslag!T21,10,0))</f>
        <v>10</v>
      </c>
    </row>
    <row r="22" spans="2:41" ht="15.75" thickBot="1">
      <c r="B22" s="12">
        <v>15</v>
      </c>
      <c r="C22" s="13">
        <v>41807</v>
      </c>
      <c r="D22" s="14" t="s">
        <v>37</v>
      </c>
      <c r="E22" s="15" t="s">
        <v>9</v>
      </c>
      <c r="F22" s="16" t="s">
        <v>38</v>
      </c>
      <c r="G22" s="85">
        <v>2</v>
      </c>
      <c r="H22" s="15" t="s">
        <v>9</v>
      </c>
      <c r="I22" s="90">
        <v>0</v>
      </c>
      <c r="J22" s="17">
        <f t="shared" si="5"/>
        <v>1</v>
      </c>
      <c r="K22" s="11">
        <f t="shared" si="6"/>
        <v>3</v>
      </c>
      <c r="L22" s="11">
        <f t="shared" si="7"/>
        <v>0</v>
      </c>
      <c r="O22" s="48" t="s">
        <v>18</v>
      </c>
      <c r="P22" s="49">
        <f>SUMIF($D$8:$D$55,$O22,$G$8:$G$55)+SUMIF($F$8:$F$55,$O22,$I$8:$I$55)</f>
        <v>2</v>
      </c>
      <c r="Q22" s="49">
        <f>SUMIF($D$8:$D$55,$O22,$I$8:$I$55)+SUMIF($F$8:$F$55,$O22,$G$8:$G$55)</f>
        <v>4</v>
      </c>
      <c r="R22" s="49">
        <f>P22-Q22</f>
        <v>-2</v>
      </c>
      <c r="S22" s="50">
        <f>SUMIF($D$8:$D$55,$O22,$K$8:$K$55)+SUMIF($F$8:$F$55,$O22,$L$8:$L$55)</f>
        <v>1</v>
      </c>
      <c r="T22" s="95" t="s">
        <v>60</v>
      </c>
      <c r="U22" s="40"/>
      <c r="V22" s="40" t="str">
        <f>O22</f>
        <v>Griekenland</v>
      </c>
      <c r="W22" s="40" t="s">
        <v>58</v>
      </c>
      <c r="Y22" s="109">
        <f t="shared" si="8"/>
        <v>6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6</v>
      </c>
      <c r="AG22" s="108">
        <f t="shared" si="0"/>
        <v>1</v>
      </c>
      <c r="AH22" s="108">
        <f t="shared" si="1"/>
        <v>0</v>
      </c>
      <c r="AI22" s="108">
        <f t="shared" si="10"/>
        <v>0</v>
      </c>
      <c r="AJ22" s="108">
        <f t="shared" si="2"/>
        <v>5</v>
      </c>
      <c r="AK22" s="108">
        <f t="shared" si="3"/>
        <v>0</v>
      </c>
      <c r="AL22" s="108">
        <f t="shared" si="4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18">
        <v>16</v>
      </c>
      <c r="C23" s="19">
        <v>41807</v>
      </c>
      <c r="D23" s="20" t="s">
        <v>8</v>
      </c>
      <c r="E23" s="21" t="s">
        <v>9</v>
      </c>
      <c r="F23" s="30" t="s">
        <v>11</v>
      </c>
      <c r="G23" s="86">
        <v>1</v>
      </c>
      <c r="H23" s="21" t="s">
        <v>9</v>
      </c>
      <c r="I23" s="91">
        <v>0</v>
      </c>
      <c r="J23" s="23">
        <f t="shared" si="5"/>
        <v>1</v>
      </c>
      <c r="K23" s="11">
        <f t="shared" si="6"/>
        <v>3</v>
      </c>
      <c r="L23" s="11">
        <f t="shared" si="7"/>
        <v>0</v>
      </c>
      <c r="O23" s="48" t="s">
        <v>23</v>
      </c>
      <c r="P23" s="49">
        <f>SUMIF($D$8:$D$55,$O23,$G$8:$G$55)+SUMIF($F$8:$F$55,$O23,$I$8:$I$55)</f>
        <v>3</v>
      </c>
      <c r="Q23" s="49">
        <f>SUMIF($D$8:$D$55,$O23,$I$8:$I$55)+SUMIF($F$8:$F$55,$O23,$G$8:$G$55)</f>
        <v>4</v>
      </c>
      <c r="R23" s="49">
        <f>P23-Q23</f>
        <v>-1</v>
      </c>
      <c r="S23" s="50">
        <f>SUMIF($D$8:$D$55,$O23,$K$8:$K$55)+SUMIF($F$8:$F$55,$O23,$L$8:$L$55)</f>
        <v>2</v>
      </c>
      <c r="T23" s="95" t="s">
        <v>59</v>
      </c>
      <c r="U23" s="40"/>
      <c r="V23" s="40" t="str">
        <f>O23</f>
        <v>Ivoorkust</v>
      </c>
      <c r="W23" s="40" t="s">
        <v>59</v>
      </c>
      <c r="Y23" s="109">
        <f t="shared" si="8"/>
        <v>1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1</v>
      </c>
      <c r="AG23" s="108">
        <f t="shared" si="0"/>
        <v>0</v>
      </c>
      <c r="AH23" s="108">
        <f t="shared" si="1"/>
        <v>1</v>
      </c>
      <c r="AI23" s="108">
        <f t="shared" si="10"/>
        <v>0</v>
      </c>
      <c r="AJ23" s="108">
        <f t="shared" si="2"/>
        <v>0</v>
      </c>
      <c r="AK23" s="108">
        <f t="shared" si="3"/>
        <v>0</v>
      </c>
      <c r="AL23" s="108">
        <f t="shared" si="4"/>
        <v>0</v>
      </c>
      <c r="AM23" s="120">
        <f>AO23</f>
        <v>10</v>
      </c>
      <c r="AN23" s="117" t="s">
        <v>23</v>
      </c>
      <c r="AO23" s="115">
        <f>IF(Uitslag!T23="",0,IF(T23=Uitslag!T23,10,0))</f>
        <v>10</v>
      </c>
    </row>
    <row r="24" spans="2:41" ht="15.75" thickBot="1">
      <c r="B24" s="24">
        <v>17</v>
      </c>
      <c r="C24" s="25">
        <v>41807</v>
      </c>
      <c r="D24" s="26" t="s">
        <v>39</v>
      </c>
      <c r="E24" s="27" t="s">
        <v>9</v>
      </c>
      <c r="F24" s="28" t="s">
        <v>40</v>
      </c>
      <c r="G24" s="87">
        <v>2</v>
      </c>
      <c r="H24" s="27" t="s">
        <v>9</v>
      </c>
      <c r="I24" s="92">
        <v>1</v>
      </c>
      <c r="J24" s="29">
        <f t="shared" si="5"/>
        <v>1</v>
      </c>
      <c r="K24" s="11">
        <f t="shared" si="6"/>
        <v>3</v>
      </c>
      <c r="L24" s="11">
        <f t="shared" si="7"/>
        <v>0</v>
      </c>
      <c r="O24" s="51" t="s">
        <v>24</v>
      </c>
      <c r="P24" s="52">
        <f>SUMIF($D$8:$D$55,$O24,$G$8:$G$55)+SUMIF($F$8:$F$55,$O24,$I$8:$I$55)</f>
        <v>2</v>
      </c>
      <c r="Q24" s="52">
        <f>SUMIF($D$8:$D$55,$O24,$I$8:$I$55)+SUMIF($F$8:$F$55,$O24,$G$8:$G$55)</f>
        <v>2</v>
      </c>
      <c r="R24" s="52">
        <f>P24-Q24</f>
        <v>0</v>
      </c>
      <c r="S24" s="53">
        <f>SUMIF($D$8:$D$55,$O24,$K$8:$K$55)+SUMIF($F$8:$F$55,$O24,$L$8:$L$55)</f>
        <v>4</v>
      </c>
      <c r="T24" s="96" t="s">
        <v>58</v>
      </c>
      <c r="U24" s="40"/>
      <c r="V24" s="40" t="str">
        <f>O24</f>
        <v>Japan</v>
      </c>
      <c r="W24" s="40" t="s">
        <v>60</v>
      </c>
      <c r="Y24" s="109">
        <f t="shared" si="8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</v>
      </c>
      <c r="AG24" s="108">
        <f t="shared" si="0"/>
        <v>0</v>
      </c>
      <c r="AH24" s="108">
        <f t="shared" si="1"/>
        <v>1</v>
      </c>
      <c r="AI24" s="108">
        <f t="shared" si="10"/>
        <v>0</v>
      </c>
      <c r="AJ24" s="108">
        <f t="shared" si="2"/>
        <v>0</v>
      </c>
      <c r="AK24" s="108">
        <f t="shared" si="3"/>
        <v>0</v>
      </c>
      <c r="AL24" s="108">
        <f t="shared" si="4"/>
        <v>0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12">
        <v>18</v>
      </c>
      <c r="C25" s="13">
        <v>41808</v>
      </c>
      <c r="D25" s="14" t="s">
        <v>16</v>
      </c>
      <c r="E25" s="15" t="s">
        <v>9</v>
      </c>
      <c r="F25" s="31" t="s">
        <v>14</v>
      </c>
      <c r="G25" s="85">
        <v>2</v>
      </c>
      <c r="H25" s="15" t="s">
        <v>9</v>
      </c>
      <c r="I25" s="90">
        <v>3</v>
      </c>
      <c r="J25" s="17">
        <f t="shared" si="5"/>
        <v>2</v>
      </c>
      <c r="K25" s="11">
        <f t="shared" si="6"/>
        <v>0</v>
      </c>
      <c r="L25" s="11">
        <f t="shared" si="7"/>
        <v>3</v>
      </c>
      <c r="O25" s="40"/>
      <c r="P25" s="41"/>
      <c r="Q25" s="41"/>
      <c r="R25" s="41"/>
      <c r="S25" s="41"/>
      <c r="T25" s="41"/>
      <c r="U25" s="40"/>
      <c r="V25" s="40"/>
      <c r="W25" s="40"/>
      <c r="Y25" s="109">
        <f t="shared" si="8"/>
        <v>10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10</v>
      </c>
      <c r="AG25" s="108">
        <f t="shared" si="0"/>
        <v>1</v>
      </c>
      <c r="AH25" s="108">
        <f t="shared" si="1"/>
        <v>1</v>
      </c>
      <c r="AI25" s="108">
        <f t="shared" si="10"/>
        <v>10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40"/>
      <c r="AO25" s="41"/>
    </row>
    <row r="26" spans="2:41" ht="15.75" thickBot="1">
      <c r="B26" s="18">
        <v>19</v>
      </c>
      <c r="C26" s="19">
        <v>41808</v>
      </c>
      <c r="D26" s="20" t="s">
        <v>13</v>
      </c>
      <c r="E26" s="21" t="s">
        <v>9</v>
      </c>
      <c r="F26" s="30" t="s">
        <v>15</v>
      </c>
      <c r="G26" s="86">
        <v>1</v>
      </c>
      <c r="H26" s="21" t="s">
        <v>9</v>
      </c>
      <c r="I26" s="91">
        <v>1</v>
      </c>
      <c r="J26" s="23">
        <f t="shared" si="5"/>
        <v>3</v>
      </c>
      <c r="K26" s="11">
        <f t="shared" si="6"/>
        <v>1</v>
      </c>
      <c r="L26" s="11">
        <f t="shared" si="7"/>
        <v>1</v>
      </c>
      <c r="O26" s="72" t="s">
        <v>61</v>
      </c>
      <c r="P26" s="73" t="s">
        <v>42</v>
      </c>
      <c r="Q26" s="73" t="s">
        <v>43</v>
      </c>
      <c r="R26" s="74" t="s">
        <v>44</v>
      </c>
      <c r="S26" s="75" t="s">
        <v>45</v>
      </c>
      <c r="T26" s="76" t="s">
        <v>46</v>
      </c>
      <c r="U26" s="40"/>
      <c r="V26" s="40"/>
      <c r="W26" s="40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0"/>
        <v>0</v>
      </c>
      <c r="AH26" s="108">
        <f t="shared" si="1"/>
        <v>0</v>
      </c>
      <c r="AI26" s="108">
        <f t="shared" si="10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24">
        <v>20</v>
      </c>
      <c r="C27" s="25">
        <v>41808</v>
      </c>
      <c r="D27" s="26" t="s">
        <v>12</v>
      </c>
      <c r="E27" s="27" t="s">
        <v>9</v>
      </c>
      <c r="F27" s="28" t="s">
        <v>10</v>
      </c>
      <c r="G27" s="87">
        <v>1</v>
      </c>
      <c r="H27" s="27" t="s">
        <v>9</v>
      </c>
      <c r="I27" s="92">
        <v>1</v>
      </c>
      <c r="J27" s="29">
        <f t="shared" si="5"/>
        <v>3</v>
      </c>
      <c r="K27" s="11">
        <f t="shared" si="6"/>
        <v>1</v>
      </c>
      <c r="L27" s="11">
        <f t="shared" si="7"/>
        <v>1</v>
      </c>
      <c r="O27" s="44" t="s">
        <v>19</v>
      </c>
      <c r="P27" s="45">
        <f>SUMIF($D$8:$D$55,$O27,$G$8:$G$55)+SUMIF($F$8:$F$55,$O27,$I$8:$I$55)</f>
        <v>5</v>
      </c>
      <c r="Q27" s="45">
        <f>SUMIF($D$8:$D$55,$O27,$I$8:$I$55)+SUMIF($F$8:$F$55,$O27,$G$8:$G$55)</f>
        <v>2</v>
      </c>
      <c r="R27" s="46">
        <f>P27-Q27</f>
        <v>3</v>
      </c>
      <c r="S27" s="47">
        <f>SUMIF($D$8:$D$55,$O27,$K$8:$K$55)+SUMIF($F$8:$F$55,$O27,$L$8:$L$55)</f>
        <v>6</v>
      </c>
      <c r="T27" s="94" t="s">
        <v>62</v>
      </c>
      <c r="U27" s="40"/>
      <c r="V27" s="40" t="str">
        <f>O27</f>
        <v>Uruguay</v>
      </c>
      <c r="W27" s="40" t="s">
        <v>62</v>
      </c>
      <c r="Y27" s="109">
        <f t="shared" si="8"/>
        <v>0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0</v>
      </c>
      <c r="AG27" s="108">
        <f t="shared" si="0"/>
        <v>0</v>
      </c>
      <c r="AH27" s="108">
        <f t="shared" si="1"/>
        <v>0</v>
      </c>
      <c r="AI27" s="108">
        <f t="shared" si="10"/>
        <v>0</v>
      </c>
      <c r="AJ27" s="108">
        <f t="shared" si="2"/>
        <v>0</v>
      </c>
      <c r="AK27" s="108">
        <f t="shared" si="3"/>
        <v>0</v>
      </c>
      <c r="AL27" s="108">
        <f t="shared" si="4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12">
        <v>21</v>
      </c>
      <c r="C28" s="13">
        <v>41809</v>
      </c>
      <c r="D28" s="14" t="s">
        <v>17</v>
      </c>
      <c r="E28" s="15" t="s">
        <v>9</v>
      </c>
      <c r="F28" s="16" t="s">
        <v>23</v>
      </c>
      <c r="G28" s="85">
        <v>2</v>
      </c>
      <c r="H28" s="15" t="s">
        <v>9</v>
      </c>
      <c r="I28" s="90">
        <v>1</v>
      </c>
      <c r="J28" s="17">
        <f t="shared" si="5"/>
        <v>1</v>
      </c>
      <c r="K28" s="11">
        <f t="shared" si="6"/>
        <v>3</v>
      </c>
      <c r="L28" s="11">
        <f t="shared" si="7"/>
        <v>0</v>
      </c>
      <c r="O28" s="48" t="s">
        <v>20</v>
      </c>
      <c r="P28" s="49">
        <f>SUMIF($D$8:$D$55,$O28,$G$8:$G$55)+SUMIF($F$8:$F$55,$O28,$I$8:$I$55)</f>
        <v>1</v>
      </c>
      <c r="Q28" s="49">
        <f>SUMIF($D$8:$D$55,$O28,$I$8:$I$55)+SUMIF($F$8:$F$55,$O28,$G$8:$G$55)</f>
        <v>4</v>
      </c>
      <c r="R28" s="49">
        <f>P28-Q28</f>
        <v>-3</v>
      </c>
      <c r="S28" s="50">
        <f>SUMIF($D$8:$D$55,$O28,$K$8:$K$55)+SUMIF($F$8:$F$55,$O28,$L$8:$L$55)</f>
        <v>1</v>
      </c>
      <c r="T28" s="95" t="s">
        <v>65</v>
      </c>
      <c r="U28" s="40"/>
      <c r="V28" s="40" t="str">
        <f>O28</f>
        <v>Costa Rica</v>
      </c>
      <c r="W28" s="40" t="s">
        <v>63</v>
      </c>
      <c r="Y28" s="109">
        <f t="shared" si="8"/>
        <v>10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10</v>
      </c>
      <c r="AG28" s="108">
        <f t="shared" si="0"/>
        <v>1</v>
      </c>
      <c r="AH28" s="108">
        <f t="shared" si="1"/>
        <v>1</v>
      </c>
      <c r="AI28" s="108">
        <f t="shared" si="10"/>
        <v>10</v>
      </c>
      <c r="AJ28" s="108">
        <f t="shared" si="2"/>
        <v>5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18">
        <v>22</v>
      </c>
      <c r="C29" s="19">
        <v>41809</v>
      </c>
      <c r="D29" s="20" t="s">
        <v>19</v>
      </c>
      <c r="E29" s="21" t="s">
        <v>9</v>
      </c>
      <c r="F29" s="30" t="s">
        <v>21</v>
      </c>
      <c r="G29" s="86">
        <v>2</v>
      </c>
      <c r="H29" s="21" t="s">
        <v>9</v>
      </c>
      <c r="I29" s="91">
        <v>0</v>
      </c>
      <c r="J29" s="23">
        <f t="shared" si="5"/>
        <v>1</v>
      </c>
      <c r="K29" s="11">
        <f t="shared" si="6"/>
        <v>3</v>
      </c>
      <c r="L29" s="11">
        <f t="shared" si="7"/>
        <v>0</v>
      </c>
      <c r="O29" s="48" t="s">
        <v>21</v>
      </c>
      <c r="P29" s="49">
        <f>SUMIF($D$8:$D$55,$O29,$G$8:$G$55)+SUMIF($F$8:$F$55,$O29,$I$8:$I$55)</f>
        <v>2</v>
      </c>
      <c r="Q29" s="49">
        <f>SUMIF($D$8:$D$55,$O29,$I$8:$I$55)+SUMIF($F$8:$F$55,$O29,$G$8:$G$55)</f>
        <v>3</v>
      </c>
      <c r="R29" s="49">
        <f>P29-Q29</f>
        <v>-1</v>
      </c>
      <c r="S29" s="50">
        <f>SUMIF($D$8:$D$55,$O29,$K$8:$K$55)+SUMIF($F$8:$F$55,$O29,$L$8:$L$55)</f>
        <v>4</v>
      </c>
      <c r="T29" s="95" t="s">
        <v>64</v>
      </c>
      <c r="U29" s="40"/>
      <c r="V29" s="40" t="str">
        <f>O29</f>
        <v>Engeland</v>
      </c>
      <c r="W29" s="40" t="s">
        <v>64</v>
      </c>
      <c r="Y29" s="109">
        <f t="shared" si="8"/>
        <v>6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6</v>
      </c>
      <c r="AG29" s="108">
        <f t="shared" si="0"/>
        <v>1</v>
      </c>
      <c r="AH29" s="108">
        <f t="shared" si="1"/>
        <v>0</v>
      </c>
      <c r="AI29" s="108">
        <f t="shared" si="10"/>
        <v>0</v>
      </c>
      <c r="AJ29" s="108">
        <f t="shared" si="2"/>
        <v>5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24">
        <v>23</v>
      </c>
      <c r="C30" s="25">
        <v>41809</v>
      </c>
      <c r="D30" s="26" t="s">
        <v>24</v>
      </c>
      <c r="E30" s="27" t="s">
        <v>9</v>
      </c>
      <c r="F30" s="28" t="s">
        <v>18</v>
      </c>
      <c r="G30" s="87">
        <v>1</v>
      </c>
      <c r="H30" s="27" t="s">
        <v>9</v>
      </c>
      <c r="I30" s="92">
        <v>0</v>
      </c>
      <c r="J30" s="29">
        <f t="shared" si="5"/>
        <v>1</v>
      </c>
      <c r="K30" s="11">
        <f t="shared" si="6"/>
        <v>3</v>
      </c>
      <c r="L30" s="11">
        <f t="shared" si="7"/>
        <v>0</v>
      </c>
      <c r="O30" s="51" t="s">
        <v>22</v>
      </c>
      <c r="P30" s="52">
        <f>SUMIF($D$8:$D$55,$O30,$G$8:$G$55)+SUMIF($F$8:$F$55,$O30,$I$8:$I$55)</f>
        <v>4</v>
      </c>
      <c r="Q30" s="52">
        <f>SUMIF($D$8:$D$55,$O30,$I$8:$I$55)+SUMIF($F$8:$F$55,$O30,$G$8:$G$55)</f>
        <v>3</v>
      </c>
      <c r="R30" s="52">
        <f>P30-Q30</f>
        <v>1</v>
      </c>
      <c r="S30" s="53">
        <f>SUMIF($D$8:$D$55,$O30,$K$8:$K$55)+SUMIF($F$8:$F$55,$O30,$L$8:$L$55)</f>
        <v>5</v>
      </c>
      <c r="T30" s="96" t="s">
        <v>63</v>
      </c>
      <c r="U30" s="40"/>
      <c r="V30" s="40" t="str">
        <f>O30</f>
        <v>Italië</v>
      </c>
      <c r="W30" s="40" t="s">
        <v>65</v>
      </c>
      <c r="Y30" s="109">
        <f t="shared" si="8"/>
        <v>1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1</v>
      </c>
      <c r="AG30" s="108">
        <f t="shared" si="0"/>
        <v>0</v>
      </c>
      <c r="AH30" s="108">
        <f t="shared" si="1"/>
        <v>1</v>
      </c>
      <c r="AI30" s="108">
        <f t="shared" si="10"/>
        <v>0</v>
      </c>
      <c r="AJ30" s="108">
        <f t="shared" si="2"/>
        <v>0</v>
      </c>
      <c r="AK30" s="108">
        <f t="shared" si="3"/>
        <v>0</v>
      </c>
      <c r="AL30" s="108">
        <f t="shared" si="4"/>
        <v>0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12">
        <v>24</v>
      </c>
      <c r="C31" s="13">
        <v>41810</v>
      </c>
      <c r="D31" s="14" t="s">
        <v>22</v>
      </c>
      <c r="E31" s="15" t="s">
        <v>9</v>
      </c>
      <c r="F31" s="16" t="s">
        <v>20</v>
      </c>
      <c r="G31" s="85">
        <v>1</v>
      </c>
      <c r="H31" s="15" t="s">
        <v>9</v>
      </c>
      <c r="I31" s="90">
        <v>1</v>
      </c>
      <c r="J31" s="17">
        <f t="shared" si="5"/>
        <v>3</v>
      </c>
      <c r="K31" s="11">
        <f t="shared" si="6"/>
        <v>1</v>
      </c>
      <c r="L31" s="11">
        <f t="shared" si="7"/>
        <v>1</v>
      </c>
      <c r="O31" s="40"/>
      <c r="P31" s="41"/>
      <c r="Q31" s="41"/>
      <c r="R31" s="41"/>
      <c r="S31" s="41"/>
      <c r="T31" s="41"/>
      <c r="U31" s="40"/>
      <c r="V31" s="40"/>
      <c r="W31" s="40"/>
      <c r="Y31" s="109">
        <f t="shared" si="8"/>
        <v>1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1</v>
      </c>
      <c r="AG31" s="108">
        <f t="shared" si="0"/>
        <v>0</v>
      </c>
      <c r="AH31" s="108">
        <f t="shared" si="1"/>
        <v>1</v>
      </c>
      <c r="AI31" s="108">
        <f t="shared" si="10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40"/>
      <c r="AO31" s="41"/>
    </row>
    <row r="32" spans="2:41" ht="15.75" thickBot="1">
      <c r="B32" s="18">
        <v>25</v>
      </c>
      <c r="C32" s="19">
        <v>41810</v>
      </c>
      <c r="D32" s="20" t="s">
        <v>25</v>
      </c>
      <c r="E32" s="21" t="s">
        <v>9</v>
      </c>
      <c r="F32" s="30" t="s">
        <v>27</v>
      </c>
      <c r="G32" s="86">
        <v>2</v>
      </c>
      <c r="H32" s="21" t="s">
        <v>9</v>
      </c>
      <c r="I32" s="91">
        <v>2</v>
      </c>
      <c r="J32" s="23">
        <f t="shared" si="5"/>
        <v>3</v>
      </c>
      <c r="K32" s="11">
        <f t="shared" si="6"/>
        <v>1</v>
      </c>
      <c r="L32" s="11">
        <f t="shared" si="7"/>
        <v>1</v>
      </c>
      <c r="O32" s="72" t="s">
        <v>66</v>
      </c>
      <c r="P32" s="73" t="s">
        <v>42</v>
      </c>
      <c r="Q32" s="73" t="s">
        <v>43</v>
      </c>
      <c r="R32" s="74" t="s">
        <v>44</v>
      </c>
      <c r="S32" s="75" t="s">
        <v>45</v>
      </c>
      <c r="T32" s="76" t="s">
        <v>46</v>
      </c>
      <c r="U32" s="40"/>
      <c r="V32" s="40"/>
      <c r="W32" s="40"/>
      <c r="Y32" s="109">
        <f t="shared" si="8"/>
        <v>1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1</v>
      </c>
      <c r="AG32" s="108">
        <f t="shared" si="0"/>
        <v>1</v>
      </c>
      <c r="AH32" s="108">
        <f t="shared" si="1"/>
        <v>0</v>
      </c>
      <c r="AI32" s="108">
        <f t="shared" si="10"/>
        <v>0</v>
      </c>
      <c r="AJ32" s="108">
        <f t="shared" si="2"/>
        <v>0</v>
      </c>
      <c r="AK32" s="108">
        <f t="shared" si="3"/>
        <v>0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24">
        <v>26</v>
      </c>
      <c r="C33" s="25">
        <v>41810</v>
      </c>
      <c r="D33" s="26" t="s">
        <v>28</v>
      </c>
      <c r="E33" s="27" t="s">
        <v>9</v>
      </c>
      <c r="F33" s="28" t="s">
        <v>26</v>
      </c>
      <c r="G33" s="87">
        <v>1</v>
      </c>
      <c r="H33" s="27" t="s">
        <v>9</v>
      </c>
      <c r="I33" s="92">
        <v>0</v>
      </c>
      <c r="J33" s="29">
        <f t="shared" si="5"/>
        <v>1</v>
      </c>
      <c r="K33" s="11">
        <f t="shared" si="6"/>
        <v>3</v>
      </c>
      <c r="L33" s="11">
        <f t="shared" si="7"/>
        <v>0</v>
      </c>
      <c r="O33" s="44" t="s">
        <v>25</v>
      </c>
      <c r="P33" s="45">
        <f>SUMIF($D$8:$D$55,$O33,$G$8:$G$55)+SUMIF($F$8:$F$55,$O33,$I$8:$I$55)</f>
        <v>2</v>
      </c>
      <c r="Q33" s="45">
        <f>SUMIF($D$8:$D$55,$O33,$I$8:$I$55)+SUMIF($F$8:$F$55,$O33,$G$8:$G$55)</f>
        <v>3</v>
      </c>
      <c r="R33" s="46">
        <f>P33-Q33</f>
        <v>-1</v>
      </c>
      <c r="S33" s="47">
        <f>SUMIF($D$8:$D$55,$O33,$K$8:$K$55)+SUMIF($F$8:$F$55,$O33,$L$8:$L$55)</f>
        <v>2</v>
      </c>
      <c r="T33" s="94" t="s">
        <v>70</v>
      </c>
      <c r="U33" s="40"/>
      <c r="V33" s="40" t="str">
        <f>O33</f>
        <v>Zwitserland</v>
      </c>
      <c r="W33" s="40" t="s">
        <v>67</v>
      </c>
      <c r="Y33" s="109">
        <f t="shared" si="8"/>
        <v>1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1</v>
      </c>
      <c r="AG33" s="108">
        <f t="shared" si="0"/>
        <v>1</v>
      </c>
      <c r="AH33" s="108">
        <f t="shared" si="1"/>
        <v>0</v>
      </c>
      <c r="AI33" s="108">
        <f t="shared" si="10"/>
        <v>0</v>
      </c>
      <c r="AJ33" s="108">
        <f t="shared" si="2"/>
        <v>0</v>
      </c>
      <c r="AK33" s="108">
        <f t="shared" si="3"/>
        <v>0</v>
      </c>
      <c r="AL33" s="108">
        <f t="shared" si="4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12">
        <v>27</v>
      </c>
      <c r="C34" s="13">
        <v>41811</v>
      </c>
      <c r="D34" s="14" t="s">
        <v>29</v>
      </c>
      <c r="E34" s="15" t="s">
        <v>9</v>
      </c>
      <c r="F34" s="16" t="s">
        <v>33</v>
      </c>
      <c r="G34" s="85">
        <v>4</v>
      </c>
      <c r="H34" s="15" t="s">
        <v>9</v>
      </c>
      <c r="I34" s="90">
        <v>1</v>
      </c>
      <c r="J34" s="17">
        <f t="shared" si="5"/>
        <v>1</v>
      </c>
      <c r="K34" s="11">
        <f t="shared" si="6"/>
        <v>3</v>
      </c>
      <c r="L34" s="11">
        <f t="shared" si="7"/>
        <v>0</v>
      </c>
      <c r="O34" s="48" t="s">
        <v>26</v>
      </c>
      <c r="P34" s="49">
        <f>SUMIF($D$8:$D$55,$O34,$G$8:$G$55)+SUMIF($F$8:$F$55,$O34,$I$8:$I$55)</f>
        <v>1</v>
      </c>
      <c r="Q34" s="49">
        <f>SUMIF($D$8:$D$55,$O34,$I$8:$I$55)+SUMIF($F$8:$F$55,$O34,$G$8:$G$55)</f>
        <v>2</v>
      </c>
      <c r="R34" s="49">
        <f>P34-Q34</f>
        <v>-1</v>
      </c>
      <c r="S34" s="50">
        <f>SUMIF($D$8:$D$55,$O34,$K$8:$K$55)+SUMIF($F$8:$F$55,$O34,$L$8:$L$55)</f>
        <v>3</v>
      </c>
      <c r="T34" s="95" t="s">
        <v>69</v>
      </c>
      <c r="U34" s="40"/>
      <c r="V34" s="40" t="str">
        <f>O34</f>
        <v>Ecuador</v>
      </c>
      <c r="W34" s="40" t="s">
        <v>68</v>
      </c>
      <c r="Y34" s="109">
        <f t="shared" si="8"/>
        <v>5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5</v>
      </c>
      <c r="AG34" s="108">
        <f t="shared" si="0"/>
        <v>0</v>
      </c>
      <c r="AH34" s="108">
        <f t="shared" si="1"/>
        <v>0</v>
      </c>
      <c r="AI34" s="108">
        <f t="shared" si="10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10</v>
      </c>
      <c r="AN34" s="117" t="s">
        <v>26</v>
      </c>
      <c r="AO34" s="115">
        <f>IF(Uitslag!T34="",0,IF(T34=Uitslag!T34,10,0))</f>
        <v>10</v>
      </c>
    </row>
    <row r="35" spans="2:41" ht="15.75" thickBot="1">
      <c r="B35" s="18">
        <v>28</v>
      </c>
      <c r="C35" s="19">
        <v>41811</v>
      </c>
      <c r="D35" s="20" t="s">
        <v>31</v>
      </c>
      <c r="E35" s="21" t="s">
        <v>9</v>
      </c>
      <c r="F35" s="30" t="s">
        <v>35</v>
      </c>
      <c r="G35" s="86">
        <v>2</v>
      </c>
      <c r="H35" s="21" t="s">
        <v>9</v>
      </c>
      <c r="I35" s="91">
        <v>0</v>
      </c>
      <c r="J35" s="23">
        <f t="shared" si="5"/>
        <v>1</v>
      </c>
      <c r="K35" s="11">
        <f t="shared" si="6"/>
        <v>3</v>
      </c>
      <c r="L35" s="11">
        <f t="shared" si="7"/>
        <v>0</v>
      </c>
      <c r="O35" s="48" t="s">
        <v>27</v>
      </c>
      <c r="P35" s="49">
        <f>SUMIF($D$8:$D$55,$O35,$G$8:$G$55)+SUMIF($F$8:$F$55,$O35,$I$8:$I$55)</f>
        <v>6</v>
      </c>
      <c r="Q35" s="49">
        <f>SUMIF($D$8:$D$55,$O35,$I$8:$I$55)+SUMIF($F$8:$F$55,$O35,$G$8:$G$55)</f>
        <v>2</v>
      </c>
      <c r="R35" s="49">
        <f>P35-Q35</f>
        <v>4</v>
      </c>
      <c r="S35" s="50">
        <f>SUMIF($D$8:$D$55,$O35,$K$8:$K$55)+SUMIF($F$8:$F$55,$O35,$L$8:$L$55)</f>
        <v>7</v>
      </c>
      <c r="T35" s="95" t="s">
        <v>67</v>
      </c>
      <c r="U35" s="40"/>
      <c r="V35" s="40" t="str">
        <f>O35</f>
        <v>Frankrijk</v>
      </c>
      <c r="W35" s="40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0"/>
        <v>1</v>
      </c>
      <c r="AH35" s="108">
        <f t="shared" si="1"/>
        <v>0</v>
      </c>
      <c r="AI35" s="108">
        <f t="shared" si="10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24">
        <v>29</v>
      </c>
      <c r="C36" s="25">
        <v>41811</v>
      </c>
      <c r="D36" s="26" t="s">
        <v>34</v>
      </c>
      <c r="E36" s="27" t="s">
        <v>9</v>
      </c>
      <c r="F36" s="28" t="s">
        <v>30</v>
      </c>
      <c r="G36" s="87">
        <v>1</v>
      </c>
      <c r="H36" s="27" t="s">
        <v>9</v>
      </c>
      <c r="I36" s="92">
        <v>1</v>
      </c>
      <c r="J36" s="29">
        <f t="shared" si="5"/>
        <v>3</v>
      </c>
      <c r="K36" s="11">
        <f t="shared" si="6"/>
        <v>1</v>
      </c>
      <c r="L36" s="11">
        <f t="shared" si="7"/>
        <v>1</v>
      </c>
      <c r="O36" s="51" t="s">
        <v>28</v>
      </c>
      <c r="P36" s="52">
        <f>SUMIF($D$8:$D$55,$O36,$G$8:$G$55)+SUMIF($F$8:$F$55,$O36,$I$8:$I$55)</f>
        <v>1</v>
      </c>
      <c r="Q36" s="52">
        <f>SUMIF($D$8:$D$55,$O36,$I$8:$I$55)+SUMIF($F$8:$F$55,$O36,$G$8:$G$55)</f>
        <v>3</v>
      </c>
      <c r="R36" s="52">
        <f>P36-Q36</f>
        <v>-2</v>
      </c>
      <c r="S36" s="53">
        <f>SUMIF($D$8:$D$55,$O36,$K$8:$K$55)+SUMIF($F$8:$F$55,$O36,$L$8:$L$55)</f>
        <v>4</v>
      </c>
      <c r="T36" s="96" t="s">
        <v>68</v>
      </c>
      <c r="U36" s="40"/>
      <c r="V36" s="40" t="str">
        <f>O36</f>
        <v>Honduras</v>
      </c>
      <c r="W36" s="40" t="s">
        <v>70</v>
      </c>
      <c r="Y36" s="109">
        <f t="shared" si="8"/>
        <v>1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1</v>
      </c>
      <c r="AG36" s="108">
        <f t="shared" si="0"/>
        <v>1</v>
      </c>
      <c r="AH36" s="108">
        <f t="shared" si="1"/>
        <v>0</v>
      </c>
      <c r="AI36" s="108">
        <f t="shared" si="10"/>
        <v>0</v>
      </c>
      <c r="AJ36" s="108">
        <f t="shared" si="2"/>
        <v>0</v>
      </c>
      <c r="AK36" s="108">
        <f t="shared" si="3"/>
        <v>0</v>
      </c>
      <c r="AL36" s="108">
        <f t="shared" si="4"/>
        <v>0</v>
      </c>
      <c r="AM36" s="120">
        <f>AO36</f>
        <v>0</v>
      </c>
      <c r="AN36" s="118" t="s">
        <v>28</v>
      </c>
      <c r="AO36" s="115">
        <f>IF(Uitslag!T36="",0,IF(T36=Uitslag!T36,10,0))</f>
        <v>0</v>
      </c>
    </row>
    <row r="37" spans="2:41" ht="15.75" thickBot="1">
      <c r="B37" s="12">
        <v>30</v>
      </c>
      <c r="C37" s="13">
        <v>41812</v>
      </c>
      <c r="D37" s="14" t="s">
        <v>37</v>
      </c>
      <c r="E37" s="15" t="s">
        <v>9</v>
      </c>
      <c r="F37" s="16" t="s">
        <v>39</v>
      </c>
      <c r="G37" s="85">
        <v>2</v>
      </c>
      <c r="H37" s="15" t="s">
        <v>9</v>
      </c>
      <c r="I37" s="90">
        <v>1</v>
      </c>
      <c r="J37" s="17">
        <f t="shared" si="5"/>
        <v>1</v>
      </c>
      <c r="K37" s="11">
        <f t="shared" si="6"/>
        <v>3</v>
      </c>
      <c r="L37" s="11">
        <f t="shared" si="7"/>
        <v>0</v>
      </c>
      <c r="O37" s="40"/>
      <c r="P37" s="41"/>
      <c r="Q37" s="41"/>
      <c r="R37" s="41"/>
      <c r="S37" s="41"/>
      <c r="T37" s="41"/>
      <c r="U37" s="40"/>
      <c r="V37" s="40"/>
      <c r="W37" s="40"/>
      <c r="Y37" s="109">
        <f t="shared" si="8"/>
        <v>5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5</v>
      </c>
      <c r="AG37" s="108">
        <f t="shared" si="0"/>
        <v>0</v>
      </c>
      <c r="AH37" s="108">
        <f t="shared" si="1"/>
        <v>0</v>
      </c>
      <c r="AI37" s="108">
        <f t="shared" si="10"/>
        <v>0</v>
      </c>
      <c r="AJ37" s="108">
        <f t="shared" si="2"/>
        <v>5</v>
      </c>
      <c r="AK37" s="108">
        <f t="shared" si="3"/>
        <v>0</v>
      </c>
      <c r="AL37" s="108">
        <f t="shared" si="4"/>
        <v>0</v>
      </c>
      <c r="AN37" s="40"/>
      <c r="AO37" s="41"/>
    </row>
    <row r="38" spans="2:41" ht="15.75" thickBot="1">
      <c r="B38" s="18">
        <v>31</v>
      </c>
      <c r="C38" s="19">
        <v>41812</v>
      </c>
      <c r="D38" s="20" t="s">
        <v>40</v>
      </c>
      <c r="E38" s="21" t="s">
        <v>9</v>
      </c>
      <c r="F38" s="30" t="s">
        <v>38</v>
      </c>
      <c r="G38" s="86">
        <v>1</v>
      </c>
      <c r="H38" s="21" t="s">
        <v>9</v>
      </c>
      <c r="I38" s="91">
        <v>0</v>
      </c>
      <c r="J38" s="23">
        <f t="shared" si="5"/>
        <v>1</v>
      </c>
      <c r="K38" s="11">
        <f t="shared" si="6"/>
        <v>3</v>
      </c>
      <c r="L38" s="11">
        <f t="shared" si="7"/>
        <v>0</v>
      </c>
      <c r="O38" s="72" t="s">
        <v>71</v>
      </c>
      <c r="P38" s="73" t="s">
        <v>42</v>
      </c>
      <c r="Q38" s="73" t="s">
        <v>43</v>
      </c>
      <c r="R38" s="74" t="s">
        <v>44</v>
      </c>
      <c r="S38" s="75" t="s">
        <v>45</v>
      </c>
      <c r="T38" s="76" t="s">
        <v>46</v>
      </c>
      <c r="U38" s="40"/>
      <c r="V38" s="40"/>
      <c r="W38" s="40"/>
      <c r="Y38" s="109">
        <f t="shared" si="8"/>
        <v>0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0</v>
      </c>
      <c r="AG38" s="108">
        <f t="shared" si="0"/>
        <v>0</v>
      </c>
      <c r="AH38" s="108">
        <f t="shared" si="1"/>
        <v>0</v>
      </c>
      <c r="AI38" s="108">
        <f t="shared" si="10"/>
        <v>0</v>
      </c>
      <c r="AJ38" s="108">
        <f t="shared" si="2"/>
        <v>0</v>
      </c>
      <c r="AK38" s="108">
        <f t="shared" si="3"/>
        <v>0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24">
        <v>32</v>
      </c>
      <c r="C39" s="25">
        <v>41812</v>
      </c>
      <c r="D39" s="26" t="s">
        <v>36</v>
      </c>
      <c r="E39" s="27" t="s">
        <v>9</v>
      </c>
      <c r="F39" s="28" t="s">
        <v>32</v>
      </c>
      <c r="G39" s="87">
        <v>0</v>
      </c>
      <c r="H39" s="27" t="s">
        <v>9</v>
      </c>
      <c r="I39" s="92">
        <v>2</v>
      </c>
      <c r="J39" s="29">
        <f t="shared" si="5"/>
        <v>2</v>
      </c>
      <c r="K39" s="11">
        <f t="shared" si="6"/>
        <v>0</v>
      </c>
      <c r="L39" s="11">
        <f t="shared" si="7"/>
        <v>3</v>
      </c>
      <c r="O39" s="44" t="s">
        <v>29</v>
      </c>
      <c r="P39" s="45">
        <f>SUMIF($D$8:$D$55,$O39,$G$8:$G$55)+SUMIF($F$8:$F$55,$O39,$I$8:$I$55)</f>
        <v>9</v>
      </c>
      <c r="Q39" s="45">
        <f>SUMIF($D$8:$D$55,$O39,$I$8:$I$55)+SUMIF($F$8:$F$55,$O39,$G$8:$G$55)</f>
        <v>2</v>
      </c>
      <c r="R39" s="46">
        <f>P39-Q39</f>
        <v>7</v>
      </c>
      <c r="S39" s="47">
        <f>SUMIF($D$8:$D$55,$O39,$K$8:$K$55)+SUMIF($F$8:$F$55,$O39,$L$8:$L$55)</f>
        <v>9</v>
      </c>
      <c r="T39" s="94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1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1</v>
      </c>
      <c r="AG39" s="108">
        <f t="shared" si="0"/>
        <v>0</v>
      </c>
      <c r="AH39" s="108">
        <f t="shared" si="1"/>
        <v>1</v>
      </c>
      <c r="AI39" s="108">
        <f t="shared" si="10"/>
        <v>0</v>
      </c>
      <c r="AJ39" s="108">
        <f t="shared" si="2"/>
        <v>0</v>
      </c>
      <c r="AK39" s="108">
        <f t="shared" si="3"/>
        <v>0</v>
      </c>
      <c r="AL39" s="108">
        <f t="shared" si="4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12">
        <v>33</v>
      </c>
      <c r="C40" s="13">
        <v>41813</v>
      </c>
      <c r="D40" s="14" t="s">
        <v>16</v>
      </c>
      <c r="E40" s="15" t="s">
        <v>9</v>
      </c>
      <c r="F40" s="16" t="s">
        <v>13</v>
      </c>
      <c r="G40" s="85">
        <v>0</v>
      </c>
      <c r="H40" s="15" t="s">
        <v>9</v>
      </c>
      <c r="I40" s="90">
        <v>2</v>
      </c>
      <c r="J40" s="17">
        <f t="shared" si="5"/>
        <v>2</v>
      </c>
      <c r="K40" s="11">
        <f t="shared" si="6"/>
        <v>0</v>
      </c>
      <c r="L40" s="11">
        <f t="shared" si="7"/>
        <v>3</v>
      </c>
      <c r="O40" s="48" t="s">
        <v>30</v>
      </c>
      <c r="P40" s="49">
        <f>SUMIF($D$8:$D$55,$O40,$G$8:$G$55)+SUMIF($F$8:$F$55,$O40,$I$8:$I$55)</f>
        <v>3</v>
      </c>
      <c r="Q40" s="49">
        <f>SUMIF($D$8:$D$55,$O40,$I$8:$I$55)+SUMIF($F$8:$F$55,$O40,$G$8:$G$55)</f>
        <v>4</v>
      </c>
      <c r="R40" s="49">
        <f>P40-Q40</f>
        <v>-1</v>
      </c>
      <c r="S40" s="50">
        <f>SUMIF($D$8:$D$55,$O40,$K$8:$K$55)+SUMIF($F$8:$F$55,$O40,$L$8:$L$55)</f>
        <v>4</v>
      </c>
      <c r="T40" s="95" t="s">
        <v>73</v>
      </c>
      <c r="U40" s="40"/>
      <c r="V40" s="40" t="str">
        <f>O40</f>
        <v>Bosnië H.</v>
      </c>
      <c r="W40" s="40" t="s">
        <v>73</v>
      </c>
      <c r="Y40" s="109">
        <f t="shared" si="8"/>
        <v>6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6</v>
      </c>
      <c r="AG40" s="108">
        <f t="shared" si="0"/>
        <v>1</v>
      </c>
      <c r="AH40" s="108">
        <f t="shared" si="1"/>
        <v>0</v>
      </c>
      <c r="AI40" s="108">
        <f t="shared" si="10"/>
        <v>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0</v>
      </c>
      <c r="AN40" s="117" t="s">
        <v>30</v>
      </c>
      <c r="AO40" s="115">
        <f>IF(Uitslag!T40="",0,IF(T40=Uitslag!T40,10,0))</f>
        <v>0</v>
      </c>
    </row>
    <row r="41" spans="2:41" ht="15.75" thickBot="1">
      <c r="B41" s="18">
        <v>34</v>
      </c>
      <c r="C41" s="19">
        <v>41813</v>
      </c>
      <c r="D41" s="32" t="s">
        <v>14</v>
      </c>
      <c r="E41" s="21" t="s">
        <v>9</v>
      </c>
      <c r="F41" s="30" t="s">
        <v>15</v>
      </c>
      <c r="G41" s="86">
        <v>1</v>
      </c>
      <c r="H41" s="21" t="s">
        <v>9</v>
      </c>
      <c r="I41" s="91">
        <v>1</v>
      </c>
      <c r="J41" s="23">
        <f t="shared" si="5"/>
        <v>3</v>
      </c>
      <c r="K41" s="11">
        <f t="shared" si="6"/>
        <v>1</v>
      </c>
      <c r="L41" s="11">
        <f t="shared" si="7"/>
        <v>1</v>
      </c>
      <c r="O41" s="48" t="s">
        <v>33</v>
      </c>
      <c r="P41" s="49">
        <f>SUMIF($D$8:$D$55,$O41,$G$8:$G$55)+SUMIF($F$8:$F$55,$O41,$I$8:$I$55)</f>
        <v>1</v>
      </c>
      <c r="Q41" s="49">
        <f>SUMIF($D$8:$D$55,$O41,$I$8:$I$55)+SUMIF($F$8:$F$55,$O41,$G$8:$G$55)</f>
        <v>6</v>
      </c>
      <c r="R41" s="49">
        <f>P41-Q41</f>
        <v>-5</v>
      </c>
      <c r="S41" s="50">
        <f>SUMIF($D$8:$D$55,$O41,$K$8:$K$55)+SUMIF($F$8:$F$55,$O41,$L$8:$L$55)</f>
        <v>0</v>
      </c>
      <c r="T41" s="95" t="s">
        <v>75</v>
      </c>
      <c r="U41" s="40"/>
      <c r="V41" s="40" t="str">
        <f>O41</f>
        <v>Iran</v>
      </c>
      <c r="W41" s="40" t="s">
        <v>74</v>
      </c>
      <c r="Y41" s="109">
        <f t="shared" si="8"/>
        <v>0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0</v>
      </c>
      <c r="AG41" s="108">
        <f t="shared" si="0"/>
        <v>0</v>
      </c>
      <c r="AH41" s="108">
        <f t="shared" si="1"/>
        <v>0</v>
      </c>
      <c r="AI41" s="108">
        <f t="shared" si="10"/>
        <v>0</v>
      </c>
      <c r="AJ41" s="108">
        <f t="shared" si="2"/>
        <v>0</v>
      </c>
      <c r="AK41" s="108">
        <f t="shared" si="3"/>
        <v>0</v>
      </c>
      <c r="AL41" s="108">
        <f t="shared" si="4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18">
        <v>35</v>
      </c>
      <c r="C42" s="19">
        <v>41813</v>
      </c>
      <c r="D42" s="20" t="s">
        <v>12</v>
      </c>
      <c r="E42" s="21" t="s">
        <v>9</v>
      </c>
      <c r="F42" s="30" t="s">
        <v>8</v>
      </c>
      <c r="G42" s="86">
        <v>0</v>
      </c>
      <c r="H42" s="21" t="s">
        <v>9</v>
      </c>
      <c r="I42" s="91">
        <v>3</v>
      </c>
      <c r="J42" s="23">
        <f t="shared" si="5"/>
        <v>2</v>
      </c>
      <c r="K42" s="11">
        <f t="shared" si="6"/>
        <v>0</v>
      </c>
      <c r="L42" s="11">
        <f t="shared" si="7"/>
        <v>3</v>
      </c>
      <c r="O42" s="51" t="s">
        <v>34</v>
      </c>
      <c r="P42" s="52">
        <f>SUMIF($D$8:$D$55,$O42,$G$8:$G$55)+SUMIF($F$8:$F$55,$O42,$I$8:$I$55)</f>
        <v>2</v>
      </c>
      <c r="Q42" s="52">
        <f>SUMIF($D$8:$D$55,$O42,$I$8:$I$55)+SUMIF($F$8:$F$55,$O42,$G$8:$G$55)</f>
        <v>3</v>
      </c>
      <c r="R42" s="52">
        <f>P42-Q42</f>
        <v>-1</v>
      </c>
      <c r="S42" s="53">
        <f>SUMIF($D$8:$D$55,$O42,$K$8:$K$55)+SUMIF($F$8:$F$55,$O42,$L$8:$L$55)</f>
        <v>4</v>
      </c>
      <c r="T42" s="96" t="s">
        <v>74</v>
      </c>
      <c r="U42" s="40"/>
      <c r="V42" s="40" t="str">
        <f>O42</f>
        <v>Nigeria</v>
      </c>
      <c r="W42" s="40" t="s">
        <v>75</v>
      </c>
      <c r="Y42" s="109">
        <f t="shared" si="8"/>
        <v>5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5</v>
      </c>
      <c r="AG42" s="108">
        <f t="shared" si="0"/>
        <v>0</v>
      </c>
      <c r="AH42" s="108">
        <f t="shared" si="1"/>
        <v>0</v>
      </c>
      <c r="AI42" s="108">
        <f t="shared" si="10"/>
        <v>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0</v>
      </c>
      <c r="AN42" s="118" t="s">
        <v>34</v>
      </c>
      <c r="AO42" s="115">
        <f>IF(Uitslag!T42="",0,IF(T42=Uitslag!T42,10,0))</f>
        <v>0</v>
      </c>
    </row>
    <row r="43" spans="2:41" ht="15.75" thickBot="1">
      <c r="B43" s="24">
        <v>36</v>
      </c>
      <c r="C43" s="25">
        <v>41813</v>
      </c>
      <c r="D43" s="26" t="s">
        <v>10</v>
      </c>
      <c r="E43" s="27" t="s">
        <v>9</v>
      </c>
      <c r="F43" s="28" t="s">
        <v>11</v>
      </c>
      <c r="G43" s="87">
        <v>1</v>
      </c>
      <c r="H43" s="27" t="s">
        <v>9</v>
      </c>
      <c r="I43" s="92">
        <v>2</v>
      </c>
      <c r="J43" s="29">
        <f t="shared" si="5"/>
        <v>2</v>
      </c>
      <c r="K43" s="11">
        <f t="shared" si="6"/>
        <v>0</v>
      </c>
      <c r="L43" s="11">
        <f t="shared" si="7"/>
        <v>3</v>
      </c>
      <c r="O43" s="40"/>
      <c r="P43" s="41"/>
      <c r="Q43" s="41"/>
      <c r="R43" s="41"/>
      <c r="S43" s="41"/>
      <c r="T43" s="41"/>
      <c r="U43" s="40"/>
      <c r="V43" s="40"/>
      <c r="W43" s="40"/>
      <c r="Y43" s="109">
        <f t="shared" si="8"/>
        <v>6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6</v>
      </c>
      <c r="AG43" s="108">
        <f t="shared" si="0"/>
        <v>1</v>
      </c>
      <c r="AH43" s="108">
        <f t="shared" si="1"/>
        <v>0</v>
      </c>
      <c r="AI43" s="108">
        <f t="shared" si="10"/>
        <v>0</v>
      </c>
      <c r="AJ43" s="108">
        <f t="shared" si="2"/>
        <v>0</v>
      </c>
      <c r="AK43" s="108">
        <f t="shared" si="3"/>
        <v>5</v>
      </c>
      <c r="AL43" s="108">
        <f t="shared" si="4"/>
        <v>0</v>
      </c>
      <c r="AN43" s="40"/>
      <c r="AO43" s="41"/>
    </row>
    <row r="44" spans="2:41" ht="15.75" thickBot="1">
      <c r="B44" s="12">
        <v>37</v>
      </c>
      <c r="C44" s="13">
        <v>41814</v>
      </c>
      <c r="D44" s="14" t="s">
        <v>22</v>
      </c>
      <c r="E44" s="15" t="s">
        <v>9</v>
      </c>
      <c r="F44" s="16" t="s">
        <v>19</v>
      </c>
      <c r="G44" s="85">
        <v>2</v>
      </c>
      <c r="H44" s="15" t="s">
        <v>9</v>
      </c>
      <c r="I44" s="90">
        <v>1</v>
      </c>
      <c r="J44" s="17">
        <f t="shared" si="5"/>
        <v>1</v>
      </c>
      <c r="K44" s="11">
        <f t="shared" si="6"/>
        <v>3</v>
      </c>
      <c r="L44" s="11">
        <f t="shared" si="7"/>
        <v>0</v>
      </c>
      <c r="O44" s="72" t="s">
        <v>76</v>
      </c>
      <c r="P44" s="73" t="s">
        <v>42</v>
      </c>
      <c r="Q44" s="73" t="s">
        <v>43</v>
      </c>
      <c r="R44" s="74" t="s">
        <v>44</v>
      </c>
      <c r="S44" s="75" t="s">
        <v>45</v>
      </c>
      <c r="T44" s="76" t="s">
        <v>46</v>
      </c>
      <c r="U44" s="40"/>
      <c r="V44" s="40"/>
      <c r="W44" s="40"/>
      <c r="Y44" s="109">
        <f t="shared" si="8"/>
        <v>1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1</v>
      </c>
      <c r="AG44" s="108">
        <f t="shared" si="0"/>
        <v>0</v>
      </c>
      <c r="AH44" s="108">
        <f t="shared" si="1"/>
        <v>1</v>
      </c>
      <c r="AI44" s="108">
        <f t="shared" si="10"/>
        <v>0</v>
      </c>
      <c r="AJ44" s="108">
        <f t="shared" si="2"/>
        <v>0</v>
      </c>
      <c r="AK44" s="108">
        <f t="shared" si="3"/>
        <v>0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18">
        <v>38</v>
      </c>
      <c r="C45" s="19">
        <v>41814</v>
      </c>
      <c r="D45" s="20" t="s">
        <v>20</v>
      </c>
      <c r="E45" s="21" t="s">
        <v>9</v>
      </c>
      <c r="F45" s="30" t="s">
        <v>21</v>
      </c>
      <c r="G45" s="86">
        <v>0</v>
      </c>
      <c r="H45" s="21" t="s">
        <v>9</v>
      </c>
      <c r="I45" s="91">
        <v>1</v>
      </c>
      <c r="J45" s="23">
        <f t="shared" si="5"/>
        <v>2</v>
      </c>
      <c r="K45" s="11">
        <f t="shared" si="6"/>
        <v>0</v>
      </c>
      <c r="L45" s="11">
        <f t="shared" si="7"/>
        <v>3</v>
      </c>
      <c r="O45" s="44" t="s">
        <v>31</v>
      </c>
      <c r="P45" s="45">
        <f>SUMIF($D$8:$D$55,$O45,$G$8:$G$55)+SUMIF($F$8:$F$55,$O45,$I$8:$I$55)</f>
        <v>5</v>
      </c>
      <c r="Q45" s="45">
        <f>SUMIF($D$8:$D$55,$O45,$I$8:$I$55)+SUMIF($F$8:$F$55,$O45,$G$8:$G$55)</f>
        <v>1</v>
      </c>
      <c r="R45" s="46">
        <f>P45-Q45</f>
        <v>4</v>
      </c>
      <c r="S45" s="47">
        <f>SUMIF($D$8:$D$55,$O45,$K$8:$K$55)+SUMIF($F$8:$F$55,$O45,$L$8:$L$55)</f>
        <v>7</v>
      </c>
      <c r="T45" s="94" t="s">
        <v>77</v>
      </c>
      <c r="U45" s="40"/>
      <c r="V45" s="40" t="str">
        <f>O45</f>
        <v>Duitsland</v>
      </c>
      <c r="W45" s="40" t="s">
        <v>77</v>
      </c>
      <c r="Y45" s="109">
        <f t="shared" si="8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1</v>
      </c>
      <c r="AG45" s="108">
        <f t="shared" si="0"/>
        <v>1</v>
      </c>
      <c r="AH45" s="108">
        <f t="shared" si="1"/>
        <v>0</v>
      </c>
      <c r="AI45" s="108">
        <f t="shared" si="10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18">
        <v>39</v>
      </c>
      <c r="C46" s="19">
        <v>41814</v>
      </c>
      <c r="D46" s="20" t="s">
        <v>24</v>
      </c>
      <c r="E46" s="21" t="s">
        <v>9</v>
      </c>
      <c r="F46" s="30" t="s">
        <v>17</v>
      </c>
      <c r="G46" s="86">
        <v>0</v>
      </c>
      <c r="H46" s="21" t="s">
        <v>9</v>
      </c>
      <c r="I46" s="91">
        <v>1</v>
      </c>
      <c r="J46" s="23">
        <f t="shared" si="5"/>
        <v>2</v>
      </c>
      <c r="K46" s="11">
        <f t="shared" si="6"/>
        <v>0</v>
      </c>
      <c r="L46" s="11">
        <f t="shared" si="7"/>
        <v>3</v>
      </c>
      <c r="O46" s="48" t="s">
        <v>32</v>
      </c>
      <c r="P46" s="49">
        <f>SUMIF($D$8:$D$55,$O46,$G$8:$G$55)+SUMIF($F$8:$F$55,$O46,$I$8:$I$55)</f>
        <v>3</v>
      </c>
      <c r="Q46" s="49">
        <f>SUMIF($D$8:$D$55,$O46,$I$8:$I$55)+SUMIF($F$8:$F$55,$O46,$G$8:$G$55)</f>
        <v>0</v>
      </c>
      <c r="R46" s="49">
        <f>P46-Q46</f>
        <v>3</v>
      </c>
      <c r="S46" s="50">
        <f>SUMIF($D$8:$D$55,$O46,$K$8:$K$55)+SUMIF($F$8:$F$55,$O46,$L$8:$L$55)</f>
        <v>7</v>
      </c>
      <c r="T46" s="95" t="s">
        <v>78</v>
      </c>
      <c r="U46" s="40"/>
      <c r="V46" s="40" t="str">
        <f>O46</f>
        <v>Portugal</v>
      </c>
      <c r="W46" s="40" t="s">
        <v>78</v>
      </c>
      <c r="Y46" s="109">
        <f t="shared" si="8"/>
        <v>5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5</v>
      </c>
      <c r="AG46" s="108">
        <f t="shared" si="0"/>
        <v>0</v>
      </c>
      <c r="AH46" s="108">
        <f t="shared" si="1"/>
        <v>0</v>
      </c>
      <c r="AI46" s="108">
        <f t="shared" si="10"/>
        <v>0</v>
      </c>
      <c r="AJ46" s="108">
        <f t="shared" si="2"/>
        <v>0</v>
      </c>
      <c r="AK46" s="108">
        <f t="shared" si="3"/>
        <v>5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24">
        <v>40</v>
      </c>
      <c r="C47" s="25">
        <v>41814</v>
      </c>
      <c r="D47" s="26" t="s">
        <v>18</v>
      </c>
      <c r="E47" s="27" t="s">
        <v>9</v>
      </c>
      <c r="F47" s="28" t="s">
        <v>23</v>
      </c>
      <c r="G47" s="87">
        <v>1</v>
      </c>
      <c r="H47" s="27" t="s">
        <v>9</v>
      </c>
      <c r="I47" s="92">
        <v>1</v>
      </c>
      <c r="J47" s="29">
        <f t="shared" si="5"/>
        <v>3</v>
      </c>
      <c r="K47" s="11">
        <f t="shared" si="6"/>
        <v>1</v>
      </c>
      <c r="L47" s="11">
        <f t="shared" si="7"/>
        <v>1</v>
      </c>
      <c r="O47" s="48" t="s">
        <v>35</v>
      </c>
      <c r="P47" s="49">
        <f>SUMIF($D$8:$D$55,$O47,$G$8:$G$55)+SUMIF($F$8:$F$55,$O47,$I$8:$I$55)</f>
        <v>1</v>
      </c>
      <c r="Q47" s="49">
        <f>SUMIF($D$8:$D$55,$O47,$I$8:$I$55)+SUMIF($F$8:$F$55,$O47,$G$8:$G$55)</f>
        <v>4</v>
      </c>
      <c r="R47" s="49">
        <f>P47-Q47</f>
        <v>-3</v>
      </c>
      <c r="S47" s="50">
        <f>SUMIF($D$8:$D$55,$O47,$K$8:$K$55)+SUMIF($F$8:$F$55,$O47,$L$8:$L$55)</f>
        <v>1</v>
      </c>
      <c r="T47" s="95" t="s">
        <v>79</v>
      </c>
      <c r="U47" s="40"/>
      <c r="V47" s="40" t="str">
        <f>O47</f>
        <v>Ghana</v>
      </c>
      <c r="W47" s="40" t="s">
        <v>79</v>
      </c>
      <c r="Y47" s="109">
        <f t="shared" si="8"/>
        <v>1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1</v>
      </c>
      <c r="AG47" s="108">
        <f t="shared" si="0"/>
        <v>0</v>
      </c>
      <c r="AH47" s="108">
        <f t="shared" si="1"/>
        <v>1</v>
      </c>
      <c r="AI47" s="108">
        <f t="shared" si="10"/>
        <v>0</v>
      </c>
      <c r="AJ47" s="108">
        <f t="shared" si="2"/>
        <v>0</v>
      </c>
      <c r="AK47" s="108">
        <f t="shared" si="3"/>
        <v>0</v>
      </c>
      <c r="AL47" s="108">
        <f t="shared" si="4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12">
        <v>41</v>
      </c>
      <c r="C48" s="13">
        <v>41815</v>
      </c>
      <c r="D48" s="14" t="s">
        <v>34</v>
      </c>
      <c r="E48" s="15" t="s">
        <v>9</v>
      </c>
      <c r="F48" s="16" t="s">
        <v>29</v>
      </c>
      <c r="G48" s="85">
        <v>0</v>
      </c>
      <c r="H48" s="15" t="s">
        <v>9</v>
      </c>
      <c r="I48" s="90">
        <v>2</v>
      </c>
      <c r="J48" s="17">
        <f t="shared" si="5"/>
        <v>2</v>
      </c>
      <c r="K48" s="11">
        <f t="shared" si="6"/>
        <v>0</v>
      </c>
      <c r="L48" s="11">
        <f t="shared" si="7"/>
        <v>3</v>
      </c>
      <c r="O48" s="51" t="s">
        <v>36</v>
      </c>
      <c r="P48" s="52">
        <f>SUMIF($D$8:$D$55,$O48,$G$8:$G$55)+SUMIF($F$8:$F$55,$O48,$I$8:$I$55)</f>
        <v>2</v>
      </c>
      <c r="Q48" s="52">
        <f>SUMIF($D$8:$D$55,$O48,$I$8:$I$55)+SUMIF($F$8:$F$55,$O48,$G$8:$G$55)</f>
        <v>6</v>
      </c>
      <c r="R48" s="52">
        <f>P48-Q48</f>
        <v>-4</v>
      </c>
      <c r="S48" s="53">
        <f>SUMIF($D$8:$D$55,$O48,$K$8:$K$55)+SUMIF($F$8:$F$55,$O48,$L$8:$L$55)</f>
        <v>1</v>
      </c>
      <c r="T48" s="96" t="s">
        <v>80</v>
      </c>
      <c r="U48" s="40"/>
      <c r="V48" s="40" t="str">
        <f>O48</f>
        <v>Verenigde Staten</v>
      </c>
      <c r="W48" s="40" t="s">
        <v>80</v>
      </c>
      <c r="Y48" s="109">
        <f t="shared" si="8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5</v>
      </c>
      <c r="AG48" s="108">
        <f t="shared" si="0"/>
        <v>0</v>
      </c>
      <c r="AH48" s="108">
        <f t="shared" si="1"/>
        <v>0</v>
      </c>
      <c r="AI48" s="108">
        <f t="shared" si="10"/>
        <v>0</v>
      </c>
      <c r="AJ48" s="108">
        <f t="shared" si="2"/>
        <v>0</v>
      </c>
      <c r="AK48" s="108">
        <f t="shared" si="3"/>
        <v>5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18">
        <v>42</v>
      </c>
      <c r="C49" s="19">
        <v>41815</v>
      </c>
      <c r="D49" s="20" t="s">
        <v>30</v>
      </c>
      <c r="E49" s="21" t="s">
        <v>9</v>
      </c>
      <c r="F49" s="30" t="s">
        <v>33</v>
      </c>
      <c r="G49" s="86">
        <v>1</v>
      </c>
      <c r="H49" s="21" t="s">
        <v>9</v>
      </c>
      <c r="I49" s="91">
        <v>0</v>
      </c>
      <c r="J49" s="23">
        <f t="shared" si="5"/>
        <v>1</v>
      </c>
      <c r="K49" s="11">
        <f t="shared" si="6"/>
        <v>3</v>
      </c>
      <c r="L49" s="11">
        <f t="shared" si="7"/>
        <v>0</v>
      </c>
      <c r="O49" s="40"/>
      <c r="P49" s="41"/>
      <c r="Q49" s="41"/>
      <c r="R49" s="41"/>
      <c r="S49" s="41"/>
      <c r="T49" s="41"/>
      <c r="U49" s="40"/>
      <c r="V49" s="40"/>
      <c r="W49" s="40"/>
      <c r="Y49" s="109">
        <f t="shared" si="8"/>
        <v>5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5</v>
      </c>
      <c r="AG49" s="108">
        <f t="shared" si="0"/>
        <v>0</v>
      </c>
      <c r="AH49" s="108">
        <f t="shared" si="1"/>
        <v>0</v>
      </c>
      <c r="AI49" s="108">
        <f t="shared" si="10"/>
        <v>0</v>
      </c>
      <c r="AJ49" s="108">
        <f t="shared" si="2"/>
        <v>5</v>
      </c>
      <c r="AK49" s="108">
        <f t="shared" si="3"/>
        <v>0</v>
      </c>
      <c r="AL49" s="108">
        <f t="shared" si="4"/>
        <v>0</v>
      </c>
      <c r="AN49" s="40"/>
      <c r="AO49" s="41"/>
    </row>
    <row r="50" spans="2:54" ht="15.75" thickBot="1">
      <c r="B50" s="18">
        <v>43</v>
      </c>
      <c r="C50" s="19">
        <v>41815</v>
      </c>
      <c r="D50" s="20" t="s">
        <v>28</v>
      </c>
      <c r="E50" s="21" t="s">
        <v>9</v>
      </c>
      <c r="F50" s="30" t="s">
        <v>25</v>
      </c>
      <c r="G50" s="86">
        <v>0</v>
      </c>
      <c r="H50" s="21" t="s">
        <v>9</v>
      </c>
      <c r="I50" s="91">
        <v>0</v>
      </c>
      <c r="J50" s="23">
        <f t="shared" si="5"/>
        <v>3</v>
      </c>
      <c r="K50" s="11">
        <f t="shared" si="6"/>
        <v>1</v>
      </c>
      <c r="L50" s="11">
        <f t="shared" si="7"/>
        <v>1</v>
      </c>
      <c r="O50" s="72" t="s">
        <v>81</v>
      </c>
      <c r="P50" s="73" t="s">
        <v>42</v>
      </c>
      <c r="Q50" s="73" t="s">
        <v>43</v>
      </c>
      <c r="R50" s="74" t="s">
        <v>44</v>
      </c>
      <c r="S50" s="75" t="s">
        <v>45</v>
      </c>
      <c r="T50" s="76" t="s">
        <v>46</v>
      </c>
      <c r="U50" s="40"/>
      <c r="V50" s="40"/>
      <c r="W50" s="40"/>
      <c r="Y50" s="109">
        <f t="shared" si="8"/>
        <v>1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1</v>
      </c>
      <c r="AG50" s="108">
        <f t="shared" si="0"/>
        <v>1</v>
      </c>
      <c r="AH50" s="108">
        <f t="shared" si="1"/>
        <v>0</v>
      </c>
      <c r="AI50" s="108">
        <f t="shared" si="10"/>
        <v>0</v>
      </c>
      <c r="AJ50" s="108">
        <f t="shared" si="2"/>
        <v>0</v>
      </c>
      <c r="AK50" s="108">
        <f t="shared" si="3"/>
        <v>0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24">
        <v>44</v>
      </c>
      <c r="C51" s="25">
        <v>41815</v>
      </c>
      <c r="D51" s="26" t="s">
        <v>26</v>
      </c>
      <c r="E51" s="27" t="s">
        <v>9</v>
      </c>
      <c r="F51" s="28" t="s">
        <v>27</v>
      </c>
      <c r="G51" s="87">
        <v>0</v>
      </c>
      <c r="H51" s="27" t="s">
        <v>9</v>
      </c>
      <c r="I51" s="92">
        <v>1</v>
      </c>
      <c r="J51" s="29">
        <f t="shared" si="5"/>
        <v>2</v>
      </c>
      <c r="K51" s="11">
        <f t="shared" si="6"/>
        <v>0</v>
      </c>
      <c r="L51" s="11">
        <f>IF(I51="","",IF($G51&lt;$I51,3,IF($G51=$I51,1,0)))</f>
        <v>3</v>
      </c>
      <c r="O51" s="44" t="s">
        <v>37</v>
      </c>
      <c r="P51" s="45">
        <f>SUMIF($D$8:$D$55,$O51,$G$8:$G$55)+SUMIF($F$8:$F$55,$O51,$I$8:$I$55)</f>
        <v>5</v>
      </c>
      <c r="Q51" s="45">
        <f>SUMIF($D$8:$D$55,$O51,$I$8:$I$55)+SUMIF($F$8:$F$55,$O51,$G$8:$G$55)</f>
        <v>2</v>
      </c>
      <c r="R51" s="46">
        <f>P51-Q51</f>
        <v>3</v>
      </c>
      <c r="S51" s="47">
        <f>SUMIF($D$8:$D$55,$O51,$K$8:$K$55)+SUMIF($F$8:$F$55,$O51,$L$8:$L$55)</f>
        <v>7</v>
      </c>
      <c r="T51" s="94" t="s">
        <v>82</v>
      </c>
      <c r="U51" s="40"/>
      <c r="V51" s="40" t="str">
        <f>O51</f>
        <v>België</v>
      </c>
      <c r="W51" s="40" t="s">
        <v>82</v>
      </c>
      <c r="Y51" s="109">
        <f t="shared" si="8"/>
        <v>1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1</v>
      </c>
      <c r="AG51" s="108">
        <f t="shared" si="0"/>
        <v>1</v>
      </c>
      <c r="AH51" s="108">
        <f t="shared" si="1"/>
        <v>0</v>
      </c>
      <c r="AI51" s="108">
        <f t="shared" si="10"/>
        <v>0</v>
      </c>
      <c r="AJ51" s="108">
        <f t="shared" si="2"/>
        <v>0</v>
      </c>
      <c r="AK51" s="108">
        <f t="shared" si="3"/>
        <v>0</v>
      </c>
      <c r="AL51" s="108">
        <f t="shared" si="4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18">
        <v>45</v>
      </c>
      <c r="C52" s="19">
        <v>41816</v>
      </c>
      <c r="D52" s="20" t="s">
        <v>36</v>
      </c>
      <c r="E52" s="21" t="s">
        <v>9</v>
      </c>
      <c r="F52" s="30" t="s">
        <v>31</v>
      </c>
      <c r="G52" s="86">
        <v>1</v>
      </c>
      <c r="H52" s="21" t="s">
        <v>9</v>
      </c>
      <c r="I52" s="91">
        <v>3</v>
      </c>
      <c r="J52" s="17">
        <f t="shared" si="5"/>
        <v>2</v>
      </c>
      <c r="K52" s="11">
        <f t="shared" si="6"/>
        <v>0</v>
      </c>
      <c r="L52" s="11">
        <f t="shared" si="7"/>
        <v>3</v>
      </c>
      <c r="O52" s="48" t="s">
        <v>38</v>
      </c>
      <c r="P52" s="49">
        <f>SUMIF($D$8:$D$55,$O52,$G$8:$G$55)+SUMIF($F$8:$F$55,$O52,$I$8:$I$55)</f>
        <v>0</v>
      </c>
      <c r="Q52" s="49">
        <f>SUMIF($D$8:$D$55,$O52,$I$8:$I$55)+SUMIF($F$8:$F$55,$O52,$G$8:$G$55)</f>
        <v>6</v>
      </c>
      <c r="R52" s="49">
        <f>P52-Q52</f>
        <v>-6</v>
      </c>
      <c r="S52" s="50">
        <f>SUMIF($D$8:$D$55,$O52,$K$8:$K$55)+SUMIF($F$8:$F$55,$O52,$L$8:$L$55)</f>
        <v>0</v>
      </c>
      <c r="T52" s="95" t="s">
        <v>85</v>
      </c>
      <c r="U52" s="40"/>
      <c r="V52" s="40" t="str">
        <f>O52</f>
        <v>Algerije</v>
      </c>
      <c r="W52" s="40" t="s">
        <v>83</v>
      </c>
      <c r="Y52" s="109">
        <f t="shared" si="8"/>
        <v>5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5</v>
      </c>
      <c r="AG52" s="108">
        <f t="shared" si="0"/>
        <v>0</v>
      </c>
      <c r="AH52" s="108">
        <f t="shared" si="1"/>
        <v>0</v>
      </c>
      <c r="AI52" s="108">
        <f t="shared" si="10"/>
        <v>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18">
        <v>46</v>
      </c>
      <c r="C53" s="19">
        <v>41816</v>
      </c>
      <c r="D53" s="20" t="s">
        <v>32</v>
      </c>
      <c r="E53" s="21" t="s">
        <v>9</v>
      </c>
      <c r="F53" s="30" t="s">
        <v>35</v>
      </c>
      <c r="G53" s="86">
        <v>1</v>
      </c>
      <c r="H53" s="21" t="s">
        <v>9</v>
      </c>
      <c r="I53" s="91">
        <v>0</v>
      </c>
      <c r="J53" s="23">
        <f t="shared" si="5"/>
        <v>1</v>
      </c>
      <c r="K53" s="11">
        <f t="shared" si="6"/>
        <v>3</v>
      </c>
      <c r="L53" s="11">
        <f t="shared" si="7"/>
        <v>0</v>
      </c>
      <c r="O53" s="48" t="s">
        <v>39</v>
      </c>
      <c r="P53" s="49">
        <f>SUMIF($D$8:$D$55,$O53,$G$8:$G$55)+SUMIF($F$8:$F$55,$O53,$I$8:$I$55)</f>
        <v>6</v>
      </c>
      <c r="Q53" s="49">
        <f>SUMIF($D$8:$D$55,$O53,$I$8:$I$55)+SUMIF($F$8:$F$55,$O53,$G$8:$G$55)</f>
        <v>3</v>
      </c>
      <c r="R53" s="49">
        <f>P53-Q53</f>
        <v>3</v>
      </c>
      <c r="S53" s="50">
        <f>SUMIF($D$8:$D$55,$O53,$K$8:$K$55)+SUMIF($F$8:$F$55,$O53,$L$8:$L$55)</f>
        <v>6</v>
      </c>
      <c r="T53" s="95" t="s">
        <v>83</v>
      </c>
      <c r="U53" s="40"/>
      <c r="V53" s="40" t="str">
        <f>O53</f>
        <v>Rusland</v>
      </c>
      <c r="W53" s="40" t="s">
        <v>84</v>
      </c>
      <c r="Y53" s="109">
        <f t="shared" si="8"/>
        <v>5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5</v>
      </c>
      <c r="AG53" s="108">
        <f t="shared" si="0"/>
        <v>0</v>
      </c>
      <c r="AH53" s="108">
        <f t="shared" si="1"/>
        <v>0</v>
      </c>
      <c r="AI53" s="108">
        <f t="shared" si="10"/>
        <v>0</v>
      </c>
      <c r="AJ53" s="108">
        <f t="shared" si="2"/>
        <v>5</v>
      </c>
      <c r="AK53" s="108">
        <f t="shared" si="3"/>
        <v>0</v>
      </c>
      <c r="AL53" s="108">
        <f t="shared" si="4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18">
        <v>47</v>
      </c>
      <c r="C54" s="19">
        <v>41816</v>
      </c>
      <c r="D54" s="20" t="s">
        <v>40</v>
      </c>
      <c r="E54" s="21" t="s">
        <v>9</v>
      </c>
      <c r="F54" s="30" t="s">
        <v>37</v>
      </c>
      <c r="G54" s="86">
        <v>1</v>
      </c>
      <c r="H54" s="21" t="s">
        <v>9</v>
      </c>
      <c r="I54" s="91">
        <v>1</v>
      </c>
      <c r="J54" s="23">
        <f t="shared" si="5"/>
        <v>3</v>
      </c>
      <c r="K54" s="11">
        <f t="shared" si="6"/>
        <v>1</v>
      </c>
      <c r="L54" s="11">
        <f t="shared" si="7"/>
        <v>1</v>
      </c>
      <c r="O54" s="51" t="s">
        <v>40</v>
      </c>
      <c r="P54" s="52">
        <f>SUMIF($D$8:$D$55,$O54,$G$8:$G$55)+SUMIF($F$8:$F$55,$O54,$I$8:$I$55)</f>
        <v>3</v>
      </c>
      <c r="Q54" s="52">
        <f>SUMIF($D$8:$D$55,$O54,$I$8:$I$55)+SUMIF($F$8:$F$55,$O54,$G$8:$G$55)</f>
        <v>3</v>
      </c>
      <c r="R54" s="52">
        <f>P54-Q54</f>
        <v>0</v>
      </c>
      <c r="S54" s="53">
        <f>SUMIF($D$8:$D$55,$O54,$K$8:$K$55)+SUMIF($F$8:$F$55,$O54,$L$8:$L$55)</f>
        <v>4</v>
      </c>
      <c r="T54" s="96" t="s">
        <v>84</v>
      </c>
      <c r="U54" s="40"/>
      <c r="V54" s="40" t="str">
        <f>O54</f>
        <v>Zuid Korea</v>
      </c>
      <c r="W54" s="40" t="s">
        <v>85</v>
      </c>
      <c r="Y54" s="109">
        <f t="shared" si="8"/>
        <v>1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1</v>
      </c>
      <c r="AG54" s="108">
        <f t="shared" si="0"/>
        <v>0</v>
      </c>
      <c r="AH54" s="108">
        <f t="shared" si="1"/>
        <v>1</v>
      </c>
      <c r="AI54" s="108">
        <f t="shared" si="10"/>
        <v>0</v>
      </c>
      <c r="AJ54" s="108">
        <f t="shared" si="2"/>
        <v>0</v>
      </c>
      <c r="AK54" s="108">
        <f t="shared" si="3"/>
        <v>0</v>
      </c>
      <c r="AL54" s="108">
        <f t="shared" si="4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3">
        <v>48</v>
      </c>
      <c r="C55" s="34">
        <v>41816</v>
      </c>
      <c r="D55" s="35" t="s">
        <v>38</v>
      </c>
      <c r="E55" s="36" t="s">
        <v>9</v>
      </c>
      <c r="F55" s="37" t="s">
        <v>39</v>
      </c>
      <c r="G55" s="88">
        <v>0</v>
      </c>
      <c r="H55" s="36" t="s">
        <v>9</v>
      </c>
      <c r="I55" s="93">
        <v>3</v>
      </c>
      <c r="J55" s="38">
        <f t="shared" si="5"/>
        <v>2</v>
      </c>
      <c r="K55" s="11">
        <f t="shared" si="6"/>
        <v>0</v>
      </c>
      <c r="L55" s="11">
        <f t="shared" si="7"/>
        <v>3</v>
      </c>
      <c r="O55" s="40"/>
      <c r="P55" s="41"/>
      <c r="Q55" s="41"/>
      <c r="R55" s="41"/>
      <c r="S55" s="41"/>
      <c r="T55" s="41"/>
      <c r="U55" s="40"/>
      <c r="V55" s="40"/>
      <c r="W55" s="40"/>
      <c r="Y55" s="109">
        <f t="shared" si="8"/>
        <v>0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0</v>
      </c>
      <c r="AG55" s="108">
        <f t="shared" si="0"/>
        <v>0</v>
      </c>
      <c r="AH55" s="108">
        <f t="shared" si="1"/>
        <v>0</v>
      </c>
      <c r="AI55" s="108">
        <f t="shared" si="10"/>
        <v>0</v>
      </c>
      <c r="AJ55" s="108">
        <f t="shared" si="2"/>
        <v>0</v>
      </c>
      <c r="AK55" s="108">
        <f t="shared" si="3"/>
        <v>0</v>
      </c>
      <c r="AL55" s="108">
        <f t="shared" si="4"/>
        <v>0</v>
      </c>
    </row>
    <row r="56" spans="2:54" ht="15.75" thickBot="1">
      <c r="B56" s="1"/>
      <c r="C56" s="39"/>
      <c r="D56" s="40"/>
      <c r="E56" s="1"/>
      <c r="F56" s="40"/>
      <c r="G56" s="1"/>
      <c r="H56" s="1"/>
      <c r="I56" s="1"/>
      <c r="J56" s="1"/>
      <c r="K56" s="1"/>
      <c r="L56" s="1"/>
      <c r="M56" s="1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195"/>
      <c r="K57" s="1"/>
      <c r="L57" s="1"/>
      <c r="M57" s="1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78" t="s">
        <v>1</v>
      </c>
      <c r="C58" s="79" t="s">
        <v>2</v>
      </c>
      <c r="D58" s="187" t="s">
        <v>3</v>
      </c>
      <c r="E58" s="81"/>
      <c r="F58" s="194" t="s">
        <v>4</v>
      </c>
      <c r="G58" s="867" t="s">
        <v>5</v>
      </c>
      <c r="H58" s="868"/>
      <c r="I58" s="869"/>
      <c r="J58" s="83" t="s">
        <v>6</v>
      </c>
      <c r="K58" s="1"/>
      <c r="L58" s="1"/>
      <c r="M58" s="1"/>
      <c r="O58" s="135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12">
        <v>49</v>
      </c>
      <c r="C59" s="189">
        <v>41818</v>
      </c>
      <c r="D59" s="153" t="str">
        <f>IF(ISERROR(Z59),K59,Z59)</f>
        <v>Brazilië</v>
      </c>
      <c r="E59" s="15" t="s">
        <v>9</v>
      </c>
      <c r="F59" s="56" t="str">
        <f>IF(ISERROR(AA59),L59,AA59)</f>
        <v>Chili</v>
      </c>
      <c r="G59" s="85">
        <v>3</v>
      </c>
      <c r="H59" s="15" t="s">
        <v>9</v>
      </c>
      <c r="I59" s="97">
        <v>1</v>
      </c>
      <c r="J59" s="98">
        <v>1</v>
      </c>
      <c r="K59" s="57" t="s">
        <v>48</v>
      </c>
      <c r="L59" s="57" t="s">
        <v>53</v>
      </c>
      <c r="M59" s="57">
        <v>1</v>
      </c>
      <c r="O59" s="135">
        <v>2</v>
      </c>
      <c r="P59" s="877" t="s">
        <v>209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3">AF59</f>
        <v>1</v>
      </c>
      <c r="Z59" t="str">
        <f t="shared" ref="Z59:AA65" si="14">IF(K59=""," ",VLOOKUP(K59,$T$9:$V$54,3,FALSE))</f>
        <v>Brazilië</v>
      </c>
      <c r="AA59" t="str">
        <f t="shared" si="14"/>
        <v>Chili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1</v>
      </c>
      <c r="AG59" s="108">
        <f t="shared" ref="AG59:AG66" si="16">IF(AC59="",0,(IF(G59=AC59,1,0)))</f>
        <v>0</v>
      </c>
      <c r="AH59" s="108">
        <f t="shared" ref="AH59:AH66" si="17">IF(AD59="",0,(IF(I59=AD59,1,0)))</f>
        <v>1</v>
      </c>
      <c r="AI59" s="108">
        <f t="shared" ref="AI59:AI66" si="18">IF(AND(AG59=1,AH59=1),10,0)</f>
        <v>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24">
        <v>50</v>
      </c>
      <c r="C60" s="190">
        <v>41818</v>
      </c>
      <c r="D60" s="154" t="str">
        <f t="shared" ref="D60:D66" si="23">IF(ISERROR(Z60),K60,Z60)</f>
        <v>Colombia</v>
      </c>
      <c r="E60" s="27" t="s">
        <v>9</v>
      </c>
      <c r="F60" s="59" t="str">
        <f t="shared" ref="F60:F66" si="24">IF(ISERROR(AA60),L60,AA60)</f>
        <v>Italië</v>
      </c>
      <c r="G60" s="87">
        <v>1</v>
      </c>
      <c r="H60" s="27" t="s">
        <v>9</v>
      </c>
      <c r="I60" s="99">
        <v>1</v>
      </c>
      <c r="J60" s="100">
        <v>2</v>
      </c>
      <c r="K60" s="57" t="s">
        <v>57</v>
      </c>
      <c r="L60" s="57" t="s">
        <v>63</v>
      </c>
      <c r="M60" s="57">
        <v>2</v>
      </c>
      <c r="O60" s="135">
        <v>3</v>
      </c>
      <c r="P60" s="877" t="s">
        <v>225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3"/>
        <v>0</v>
      </c>
      <c r="Z60" t="str">
        <f t="shared" si="14"/>
        <v>Colombia</v>
      </c>
      <c r="AA60" t="str">
        <f t="shared" si="14"/>
        <v>Italië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0</v>
      </c>
      <c r="AG60" s="108">
        <f t="shared" si="16"/>
        <v>0</v>
      </c>
      <c r="AH60" s="108">
        <f t="shared" si="17"/>
        <v>0</v>
      </c>
      <c r="AI60" s="108">
        <f t="shared" si="18"/>
        <v>0</v>
      </c>
      <c r="AJ60" s="108">
        <f t="shared" si="19"/>
        <v>0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2"/>
        <v>3</v>
      </c>
    </row>
    <row r="61" spans="2:54">
      <c r="B61" s="12">
        <v>51</v>
      </c>
      <c r="C61" s="189">
        <v>41819</v>
      </c>
      <c r="D61" s="188" t="str">
        <f t="shared" si="23"/>
        <v>Spanje</v>
      </c>
      <c r="E61" s="15" t="s">
        <v>9</v>
      </c>
      <c r="F61" s="56" t="str">
        <f t="shared" si="24"/>
        <v>Mexico</v>
      </c>
      <c r="G61" s="85">
        <v>1</v>
      </c>
      <c r="H61" s="15" t="s">
        <v>9</v>
      </c>
      <c r="I61" s="97">
        <v>1</v>
      </c>
      <c r="J61" s="98">
        <v>1</v>
      </c>
      <c r="K61" s="57" t="s">
        <v>52</v>
      </c>
      <c r="L61" s="57" t="s">
        <v>49</v>
      </c>
      <c r="M61" s="57"/>
      <c r="O61" s="135">
        <v>4</v>
      </c>
      <c r="P61" s="877" t="s">
        <v>211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3"/>
        <v>1</v>
      </c>
      <c r="Z61" t="str">
        <f t="shared" si="14"/>
        <v>Spanje</v>
      </c>
      <c r="AA61" t="str">
        <f t="shared" si="14"/>
        <v>Mexico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1</v>
      </c>
      <c r="AG61" s="108">
        <f t="shared" si="16"/>
        <v>0</v>
      </c>
      <c r="AH61" s="108">
        <f t="shared" si="17"/>
        <v>1</v>
      </c>
      <c r="AI61" s="108">
        <f t="shared" si="18"/>
        <v>0</v>
      </c>
      <c r="AJ61" s="108">
        <f t="shared" si="19"/>
        <v>0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3</v>
      </c>
      <c r="BB61" s="139">
        <f t="shared" si="22"/>
        <v>3</v>
      </c>
    </row>
    <row r="62" spans="2:54">
      <c r="B62" s="24">
        <v>52</v>
      </c>
      <c r="C62" s="190">
        <v>41819</v>
      </c>
      <c r="D62" s="188" t="str">
        <f t="shared" si="23"/>
        <v>Uruguay</v>
      </c>
      <c r="E62" s="27" t="s">
        <v>9</v>
      </c>
      <c r="F62" s="59" t="str">
        <f t="shared" si="24"/>
        <v>Japan</v>
      </c>
      <c r="G62" s="87">
        <v>3</v>
      </c>
      <c r="H62" s="27" t="s">
        <v>9</v>
      </c>
      <c r="I62" s="99">
        <v>2</v>
      </c>
      <c r="J62" s="100">
        <v>1</v>
      </c>
      <c r="K62" s="57" t="s">
        <v>62</v>
      </c>
      <c r="L62" s="57" t="s">
        <v>58</v>
      </c>
      <c r="M62" s="57"/>
      <c r="O62" s="135">
        <v>5</v>
      </c>
      <c r="P62" s="877" t="s">
        <v>220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3"/>
        <v>0</v>
      </c>
      <c r="Z62" t="str">
        <f t="shared" si="14"/>
        <v>Uruguay</v>
      </c>
      <c r="AA62" t="str">
        <f t="shared" si="14"/>
        <v>Japan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0</v>
      </c>
      <c r="AG62" s="108">
        <f t="shared" si="16"/>
        <v>0</v>
      </c>
      <c r="AH62" s="108">
        <f t="shared" si="17"/>
        <v>0</v>
      </c>
      <c r="AI62" s="108">
        <f t="shared" si="18"/>
        <v>0</v>
      </c>
      <c r="AJ62" s="108">
        <f t="shared" si="19"/>
        <v>0</v>
      </c>
      <c r="AK62" s="108">
        <f t="shared" si="20"/>
        <v>0</v>
      </c>
      <c r="AL62" s="108">
        <f t="shared" si="21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2"/>
        <v>3</v>
      </c>
    </row>
    <row r="63" spans="2:54">
      <c r="B63" s="12">
        <v>53</v>
      </c>
      <c r="C63" s="189">
        <v>41820</v>
      </c>
      <c r="D63" s="153" t="str">
        <f t="shared" si="23"/>
        <v>Frankrijk</v>
      </c>
      <c r="E63" s="15" t="s">
        <v>9</v>
      </c>
      <c r="F63" s="56" t="str">
        <f t="shared" si="24"/>
        <v>Bosnië H.</v>
      </c>
      <c r="G63" s="85">
        <v>2</v>
      </c>
      <c r="H63" s="15" t="s">
        <v>9</v>
      </c>
      <c r="I63" s="97">
        <v>0</v>
      </c>
      <c r="J63" s="98">
        <v>1</v>
      </c>
      <c r="K63" s="57" t="s">
        <v>67</v>
      </c>
      <c r="L63" s="57" t="s">
        <v>73</v>
      </c>
      <c r="M63" s="57"/>
      <c r="O63" s="135">
        <v>6</v>
      </c>
      <c r="P63" s="877" t="s">
        <v>226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3"/>
        <v>10</v>
      </c>
      <c r="Z63" t="str">
        <f t="shared" si="14"/>
        <v>Frankrijk</v>
      </c>
      <c r="AA63" t="str">
        <f t="shared" si="14"/>
        <v>Bosnië H.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10</v>
      </c>
      <c r="AG63" s="108">
        <f t="shared" si="16"/>
        <v>1</v>
      </c>
      <c r="AH63" s="108">
        <f t="shared" si="17"/>
        <v>1</v>
      </c>
      <c r="AI63" s="108">
        <f t="shared" si="18"/>
        <v>10</v>
      </c>
      <c r="AJ63" s="108">
        <f t="shared" si="19"/>
        <v>5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3</v>
      </c>
      <c r="BB63" s="139">
        <f t="shared" si="22"/>
        <v>3</v>
      </c>
    </row>
    <row r="64" spans="2:54">
      <c r="B64" s="24">
        <v>54</v>
      </c>
      <c r="C64" s="190">
        <v>41820</v>
      </c>
      <c r="D64" s="154" t="str">
        <f t="shared" si="23"/>
        <v>Duitsland</v>
      </c>
      <c r="E64" s="27" t="s">
        <v>9</v>
      </c>
      <c r="F64" s="59" t="str">
        <f t="shared" si="24"/>
        <v>Rusland</v>
      </c>
      <c r="G64" s="87">
        <v>2</v>
      </c>
      <c r="H64" s="27" t="s">
        <v>9</v>
      </c>
      <c r="I64" s="99">
        <v>0</v>
      </c>
      <c r="J64" s="100">
        <v>1</v>
      </c>
      <c r="K64" s="57" t="s">
        <v>77</v>
      </c>
      <c r="L64" s="57" t="s">
        <v>83</v>
      </c>
      <c r="M64" s="57"/>
      <c r="O64" s="135">
        <v>7</v>
      </c>
      <c r="P64" s="877" t="s">
        <v>213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3"/>
        <v>1</v>
      </c>
      <c r="Z64" t="str">
        <f t="shared" si="14"/>
        <v>Duitsland</v>
      </c>
      <c r="AA64" t="str">
        <f t="shared" si="14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1</v>
      </c>
      <c r="AG64" s="108">
        <f t="shared" si="16"/>
        <v>0</v>
      </c>
      <c r="AH64" s="108">
        <f t="shared" si="17"/>
        <v>1</v>
      </c>
      <c r="AI64" s="108">
        <f t="shared" si="18"/>
        <v>0</v>
      </c>
      <c r="AJ64" s="108">
        <f t="shared" si="19"/>
        <v>0</v>
      </c>
      <c r="AK64" s="108">
        <f t="shared" si="20"/>
        <v>0</v>
      </c>
      <c r="AL64" s="108">
        <f t="shared" si="21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2"/>
        <v>3</v>
      </c>
    </row>
    <row r="65" spans="2:54">
      <c r="B65" s="18">
        <v>55</v>
      </c>
      <c r="C65" s="191">
        <v>41821</v>
      </c>
      <c r="D65" s="153" t="str">
        <f t="shared" si="23"/>
        <v>Argentinië</v>
      </c>
      <c r="E65" s="21" t="s">
        <v>9</v>
      </c>
      <c r="F65" s="60" t="str">
        <f t="shared" si="24"/>
        <v>Honduras</v>
      </c>
      <c r="G65" s="86">
        <v>2</v>
      </c>
      <c r="H65" s="21" t="s">
        <v>9</v>
      </c>
      <c r="I65" s="101">
        <v>0</v>
      </c>
      <c r="J65" s="102">
        <v>1</v>
      </c>
      <c r="K65" s="57" t="s">
        <v>72</v>
      </c>
      <c r="L65" s="57" t="s">
        <v>68</v>
      </c>
      <c r="M65" s="57"/>
      <c r="O65" s="135">
        <v>8</v>
      </c>
      <c r="P65" s="877" t="s">
        <v>212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3"/>
        <v>1</v>
      </c>
      <c r="Z65" t="str">
        <f t="shared" si="14"/>
        <v>Argentinië</v>
      </c>
      <c r="AA65" t="str">
        <f t="shared" si="14"/>
        <v>Honduras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1</v>
      </c>
      <c r="AG65" s="108">
        <f t="shared" si="16"/>
        <v>0</v>
      </c>
      <c r="AH65" s="108">
        <f t="shared" si="17"/>
        <v>1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2"/>
        <v>3</v>
      </c>
    </row>
    <row r="66" spans="2:54" ht="15.75" thickBot="1">
      <c r="B66" s="33">
        <v>56</v>
      </c>
      <c r="C66" s="186">
        <v>41821</v>
      </c>
      <c r="D66" s="155" t="str">
        <f t="shared" si="23"/>
        <v>België</v>
      </c>
      <c r="E66" s="36" t="s">
        <v>9</v>
      </c>
      <c r="F66" s="62" t="str">
        <f t="shared" si="24"/>
        <v>Portugal</v>
      </c>
      <c r="G66" s="88">
        <v>1</v>
      </c>
      <c r="H66" s="36" t="s">
        <v>9</v>
      </c>
      <c r="I66" s="103">
        <v>1</v>
      </c>
      <c r="J66" s="104">
        <v>2</v>
      </c>
      <c r="K66" s="57" t="s">
        <v>82</v>
      </c>
      <c r="L66" s="57" t="s">
        <v>78</v>
      </c>
      <c r="M66" s="57"/>
      <c r="O66" s="135">
        <v>9</v>
      </c>
      <c r="P66" s="877" t="s">
        <v>214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3"/>
        <v>5</v>
      </c>
      <c r="Z66" t="str">
        <f>IF(K66=""," ",VLOOKUP(K66,$T$9:$V$54,3,FALSE))</f>
        <v>België</v>
      </c>
      <c r="AA66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5</v>
      </c>
      <c r="AG66" s="108">
        <f t="shared" si="16"/>
        <v>0</v>
      </c>
      <c r="AH66" s="108">
        <f t="shared" si="17"/>
        <v>0</v>
      </c>
      <c r="AI66" s="108">
        <f t="shared" si="18"/>
        <v>0</v>
      </c>
      <c r="AJ66" s="108">
        <f t="shared" si="19"/>
        <v>0</v>
      </c>
      <c r="AK66" s="108">
        <f t="shared" si="20"/>
        <v>0</v>
      </c>
      <c r="AL66" s="108">
        <f t="shared" si="21"/>
        <v>5</v>
      </c>
      <c r="AZ66" s="138" t="str">
        <f>Uitslag!P66</f>
        <v>Jonathan de Guzman (m)</v>
      </c>
      <c r="BA66" s="140">
        <f t="shared" si="12"/>
        <v>3</v>
      </c>
      <c r="BB66" s="139">
        <f t="shared" si="22"/>
        <v>3</v>
      </c>
    </row>
    <row r="67" spans="2:54" ht="15.75" thickBot="1">
      <c r="B67" s="1"/>
      <c r="C67" s="39"/>
      <c r="D67" s="40"/>
      <c r="E67" s="1"/>
      <c r="F67" s="40"/>
      <c r="G67" s="1"/>
      <c r="H67" s="1"/>
      <c r="I67" s="1"/>
      <c r="J67" s="1"/>
      <c r="K67" s="1"/>
      <c r="L67" s="1"/>
      <c r="M67" s="1"/>
      <c r="O67" s="135">
        <v>10</v>
      </c>
      <c r="P67" s="877" t="s">
        <v>216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2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195"/>
      <c r="K68" s="1"/>
      <c r="L68" s="1"/>
      <c r="M68" s="1"/>
      <c r="O68" s="135">
        <v>11</v>
      </c>
      <c r="P68" s="877" t="s">
        <v>215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2"/>
        <v>3</v>
      </c>
    </row>
    <row r="69" spans="2:54">
      <c r="B69" s="78" t="s">
        <v>1</v>
      </c>
      <c r="C69" s="79" t="s">
        <v>2</v>
      </c>
      <c r="D69" s="193" t="s">
        <v>3</v>
      </c>
      <c r="E69" s="81"/>
      <c r="F69" s="194" t="s">
        <v>4</v>
      </c>
      <c r="G69" s="867" t="s">
        <v>5</v>
      </c>
      <c r="H69" s="868"/>
      <c r="I69" s="869"/>
      <c r="J69" s="83" t="s">
        <v>6</v>
      </c>
      <c r="K69" s="1"/>
      <c r="L69" s="1"/>
      <c r="M69" s="1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33</v>
      </c>
      <c r="BB69" s="139">
        <f>IF(AND(BA69&lt;&gt;"",BA69=33),15,"nvt")</f>
        <v>15</v>
      </c>
    </row>
    <row r="70" spans="2:54">
      <c r="B70" s="12">
        <v>57</v>
      </c>
      <c r="C70" s="13">
        <v>41824</v>
      </c>
      <c r="D70" s="55" t="str">
        <f>IF(J63="","Winnaar 53",IF(J63=1,D63,F63))</f>
        <v>Frankrijk</v>
      </c>
      <c r="E70" s="15" t="s">
        <v>9</v>
      </c>
      <c r="F70" s="56" t="str">
        <f>IF(J64="","Winnaar 54",IF(J64=1,D64,F64))</f>
        <v>Duitsland</v>
      </c>
      <c r="G70" s="85">
        <v>3</v>
      </c>
      <c r="H70" s="15" t="s">
        <v>9</v>
      </c>
      <c r="I70" s="97">
        <v>2</v>
      </c>
      <c r="J70" s="98">
        <v>1</v>
      </c>
      <c r="K70" s="1"/>
      <c r="L70" s="1"/>
      <c r="M70" s="1"/>
      <c r="V70" t="s">
        <v>133</v>
      </c>
      <c r="W70" t="s">
        <v>126</v>
      </c>
      <c r="X70" t="str">
        <f t="shared" si="11"/>
        <v>Karim Rekik (v)</v>
      </c>
      <c r="Y70" s="109">
        <f>AF70</f>
        <v>0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0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0</v>
      </c>
      <c r="AL70" s="108">
        <f>IF(AND(G70=I70,AC70=AD70),5,0)</f>
        <v>0</v>
      </c>
    </row>
    <row r="71" spans="2:54">
      <c r="B71" s="24">
        <v>58</v>
      </c>
      <c r="C71" s="25">
        <v>41824</v>
      </c>
      <c r="D71" s="58" t="str">
        <f>IF(J59="","Winnaar 49",IF(J59=1,D59,F59))</f>
        <v>Brazilië</v>
      </c>
      <c r="E71" s="27" t="s">
        <v>9</v>
      </c>
      <c r="F71" s="59" t="str">
        <f>IF(J60="","Winnaar 50",IF(J60=1,D60,F60))</f>
        <v>Italië</v>
      </c>
      <c r="G71" s="87">
        <v>2</v>
      </c>
      <c r="H71" s="27" t="s">
        <v>9</v>
      </c>
      <c r="I71" s="99">
        <v>1</v>
      </c>
      <c r="J71" s="100">
        <v>1</v>
      </c>
      <c r="K71" s="1"/>
      <c r="L71" s="1"/>
      <c r="M71" s="1"/>
      <c r="V71" t="s">
        <v>133</v>
      </c>
      <c r="W71" t="s">
        <v>194</v>
      </c>
      <c r="X71" t="str">
        <f t="shared" si="11"/>
        <v>Ron Vlaar (v)</v>
      </c>
      <c r="Y71" s="109">
        <f>AF71</f>
        <v>10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10</v>
      </c>
      <c r="AG71" s="108">
        <f>IF(AC71="",0,(IF(G71=AC71,1,0)))</f>
        <v>1</v>
      </c>
      <c r="AH71" s="108">
        <f>IF(AD71="",0,(IF(I71=AD71,1,0)))</f>
        <v>1</v>
      </c>
      <c r="AI71" s="108">
        <f>IF(AND(AG71=1,AH71=1),10,0)</f>
        <v>10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12">
        <v>59</v>
      </c>
      <c r="C72" s="13">
        <v>41825</v>
      </c>
      <c r="D72" s="55" t="str">
        <f>IF(J65="","Winnaar 55",IF(J65=1,D65,F65))</f>
        <v>Argentinië</v>
      </c>
      <c r="E72" s="15" t="s">
        <v>9</v>
      </c>
      <c r="F72" s="56" t="str">
        <f>IF(J66="","Winnaar 56",IF(J66=1,D66,F66))</f>
        <v>Portugal</v>
      </c>
      <c r="G72" s="85">
        <v>2</v>
      </c>
      <c r="H72" s="15" t="s">
        <v>9</v>
      </c>
      <c r="I72" s="97">
        <v>1</v>
      </c>
      <c r="J72" s="98">
        <v>1</v>
      </c>
      <c r="K72" s="1"/>
      <c r="L72" s="1"/>
      <c r="M72" s="1"/>
      <c r="V72" t="s">
        <v>133</v>
      </c>
      <c r="W72" t="s">
        <v>195</v>
      </c>
      <c r="X72" t="str">
        <f t="shared" si="11"/>
        <v>John Heitinga (v)</v>
      </c>
      <c r="Y72" s="109">
        <f>AF72</f>
        <v>5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5</v>
      </c>
      <c r="AG72" s="108">
        <f>IF(AC72="",0,(IF(G72=AC72,1,0)))</f>
        <v>0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5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3">
        <v>60</v>
      </c>
      <c r="C73" s="34">
        <v>41825</v>
      </c>
      <c r="D73" s="61" t="str">
        <f>IF(J61="","Winnaar 51",IF(J61=1,D61,F61))</f>
        <v>Spanje</v>
      </c>
      <c r="E73" s="36" t="s">
        <v>9</v>
      </c>
      <c r="F73" s="62" t="str">
        <f>IF(J62="","Winnaar 52",IF(J62=1,D62,F62))</f>
        <v>Uruguay</v>
      </c>
      <c r="G73" s="88">
        <v>1</v>
      </c>
      <c r="H73" s="36" t="s">
        <v>9</v>
      </c>
      <c r="I73" s="103">
        <v>1</v>
      </c>
      <c r="J73" s="104">
        <v>2</v>
      </c>
      <c r="K73" s="1"/>
      <c r="L73" s="1"/>
      <c r="M73" s="1"/>
      <c r="V73" t="s">
        <v>133</v>
      </c>
      <c r="W73" t="s">
        <v>196</v>
      </c>
      <c r="X73" t="str">
        <f t="shared" si="11"/>
        <v>Urby Emanuelson (v)</v>
      </c>
      <c r="Y73" s="109">
        <f>AF73</f>
        <v>5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5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5</v>
      </c>
    </row>
    <row r="74" spans="2:54" ht="15.75" thickBot="1">
      <c r="B74" s="1"/>
      <c r="C74" s="39"/>
      <c r="D74" s="40"/>
      <c r="E74" s="1"/>
      <c r="F74" s="40"/>
      <c r="G74" s="1"/>
      <c r="H74" s="1"/>
      <c r="I74" s="1"/>
      <c r="J74" s="1"/>
      <c r="K74" s="1"/>
      <c r="L74" s="1"/>
      <c r="M74" s="1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195"/>
      <c r="K75" s="1"/>
      <c r="L75" s="1"/>
      <c r="M75" s="1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78" t="s">
        <v>1</v>
      </c>
      <c r="C76" s="79" t="s">
        <v>2</v>
      </c>
      <c r="D76" s="193" t="s">
        <v>3</v>
      </c>
      <c r="E76" s="81"/>
      <c r="F76" s="194" t="s">
        <v>4</v>
      </c>
      <c r="G76" s="867" t="s">
        <v>5</v>
      </c>
      <c r="H76" s="868"/>
      <c r="I76" s="869"/>
      <c r="J76" s="83" t="s">
        <v>6</v>
      </c>
      <c r="K76" s="1"/>
      <c r="L76" s="1"/>
      <c r="M76" s="1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12">
        <v>61</v>
      </c>
      <c r="C77" s="13">
        <v>41828</v>
      </c>
      <c r="D77" s="55" t="str">
        <f>IF(J70="","Winnaar 57",IF(J70=1,D70,F70))</f>
        <v>Frankrijk</v>
      </c>
      <c r="E77" s="15" t="s">
        <v>9</v>
      </c>
      <c r="F77" s="56" t="str">
        <f>IF(J71="","Winnaar 58",IF(J71=1,D71,F71))</f>
        <v>Brazilië</v>
      </c>
      <c r="G77" s="85">
        <v>1</v>
      </c>
      <c r="H77" s="15" t="s">
        <v>9</v>
      </c>
      <c r="I77" s="97">
        <v>2</v>
      </c>
      <c r="J77" s="98">
        <v>2</v>
      </c>
      <c r="K77" s="1"/>
      <c r="L77" s="1"/>
      <c r="M77" s="1"/>
      <c r="V77" t="s">
        <v>134</v>
      </c>
      <c r="W77" t="s">
        <v>203</v>
      </c>
      <c r="X77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3">
        <v>62</v>
      </c>
      <c r="C78" s="34">
        <v>41829</v>
      </c>
      <c r="D78" s="61" t="str">
        <f>IF(J72="","Winnaar 59",IF(J72=1,D72,F72))</f>
        <v>Argentinië</v>
      </c>
      <c r="E78" s="36" t="s">
        <v>9</v>
      </c>
      <c r="F78" s="62" t="str">
        <f>IF(J73="","Winnaar 60",IF(J73=1,D73,F73))</f>
        <v>Uruguay</v>
      </c>
      <c r="G78" s="88">
        <v>2</v>
      </c>
      <c r="H78" s="36" t="s">
        <v>9</v>
      </c>
      <c r="I78" s="103">
        <v>1</v>
      </c>
      <c r="J78" s="104">
        <v>1</v>
      </c>
      <c r="K78" s="1"/>
      <c r="L78" s="1"/>
      <c r="M78" s="1"/>
      <c r="V78" t="s">
        <v>134</v>
      </c>
      <c r="W78" t="s">
        <v>199</v>
      </c>
      <c r="X78" t="str">
        <f t="shared" si="11"/>
        <v>Leroy Fer (m)</v>
      </c>
      <c r="Y78" s="109">
        <f>AF78</f>
        <v>0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0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1"/>
      <c r="C79" s="39"/>
      <c r="D79" s="40"/>
      <c r="E79" s="1"/>
      <c r="F79" s="40"/>
      <c r="G79" s="1"/>
      <c r="H79" s="1"/>
      <c r="I79" s="1"/>
      <c r="J79" s="1"/>
      <c r="K79" s="1"/>
      <c r="L79" s="1"/>
      <c r="M79" s="1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195"/>
      <c r="K80" s="1"/>
      <c r="L80" s="1"/>
      <c r="M80" s="1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78" t="s">
        <v>1</v>
      </c>
      <c r="C81" s="79" t="s">
        <v>2</v>
      </c>
      <c r="D81" s="193" t="s">
        <v>3</v>
      </c>
      <c r="E81" s="81"/>
      <c r="F81" s="194" t="s">
        <v>4</v>
      </c>
      <c r="G81" s="867" t="s">
        <v>5</v>
      </c>
      <c r="H81" s="868"/>
      <c r="I81" s="869"/>
      <c r="J81" s="83" t="s">
        <v>6</v>
      </c>
      <c r="K81" s="1"/>
      <c r="L81" s="1"/>
      <c r="M81" s="1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2">
        <v>63</v>
      </c>
      <c r="C82" s="63">
        <v>41832</v>
      </c>
      <c r="D82" s="64" t="str">
        <f>IF(J77="","Verliezer 61",IF(J77=1,F77,D77))</f>
        <v>Frankrijk</v>
      </c>
      <c r="E82" s="3" t="s">
        <v>9</v>
      </c>
      <c r="F82" s="65" t="str">
        <f>IF(J78="","Verliezer 62",IF(J78=1,F78,D78))</f>
        <v>Uruguay</v>
      </c>
      <c r="G82" s="105">
        <v>2</v>
      </c>
      <c r="H82" s="3" t="s">
        <v>9</v>
      </c>
      <c r="I82" s="106">
        <v>2</v>
      </c>
      <c r="J82" s="107">
        <v>2</v>
      </c>
      <c r="K82" s="1"/>
      <c r="L82" s="1"/>
      <c r="M82" s="1"/>
      <c r="V82" t="s">
        <v>134</v>
      </c>
      <c r="W82" t="s">
        <v>125</v>
      </c>
      <c r="X8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1"/>
      <c r="C83" s="39"/>
      <c r="D83" s="40"/>
      <c r="E83" s="1"/>
      <c r="F83" s="40"/>
      <c r="G83" s="1"/>
      <c r="H83" s="1"/>
      <c r="I83" s="1"/>
      <c r="J83" s="1"/>
      <c r="K83" s="1"/>
      <c r="L83" s="1"/>
      <c r="M83" s="1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195"/>
      <c r="K84" s="1"/>
      <c r="L84" s="1"/>
      <c r="M84" s="1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78" t="s">
        <v>1</v>
      </c>
      <c r="C85" s="79" t="s">
        <v>2</v>
      </c>
      <c r="D85" s="193" t="s">
        <v>3</v>
      </c>
      <c r="E85" s="81"/>
      <c r="F85" s="194" t="s">
        <v>4</v>
      </c>
      <c r="G85" s="867" t="s">
        <v>5</v>
      </c>
      <c r="H85" s="868"/>
      <c r="I85" s="869"/>
      <c r="J85" s="83" t="s">
        <v>6</v>
      </c>
      <c r="K85" s="1"/>
      <c r="L85" s="1"/>
      <c r="M85" s="1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2">
        <v>64</v>
      </c>
      <c r="C86" s="63">
        <v>41833</v>
      </c>
      <c r="D86" s="64" t="str">
        <f>IF(J77="","Winnaar 61",IF(J77=1,D77,F77))</f>
        <v>Brazilië</v>
      </c>
      <c r="E86" s="3" t="s">
        <v>9</v>
      </c>
      <c r="F86" s="65" t="str">
        <f>IF(J78="","Winnaar 62",IF(J78=1,D78,F78))</f>
        <v>Argentinië</v>
      </c>
      <c r="G86" s="105">
        <v>1</v>
      </c>
      <c r="H86" s="3" t="s">
        <v>9</v>
      </c>
      <c r="I86" s="106">
        <v>1</v>
      </c>
      <c r="J86" s="107">
        <v>1</v>
      </c>
      <c r="K86" s="1"/>
      <c r="L86" s="1"/>
      <c r="M86" s="1"/>
      <c r="V86" t="s">
        <v>134</v>
      </c>
      <c r="W86" t="s">
        <v>139</v>
      </c>
      <c r="X86" t="str">
        <f t="shared" si="11"/>
        <v>Nigel de Jong (m)</v>
      </c>
      <c r="Y86" s="109">
        <f>AF86</f>
        <v>5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5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5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Brazilië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5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5</v>
      </c>
      <c r="AV89">
        <f>IF(AR89=0,0,IF(E89=AR89,50,0))</f>
        <v>0</v>
      </c>
      <c r="AW89">
        <f>IF(E89=0,0,IF(OR(E89=AR90),15,0))</f>
        <v>0</v>
      </c>
      <c r="AX89">
        <f>IF(E89=0,0,IF(OR(E89=AR91,E89=AR92),5,0))</f>
        <v>5</v>
      </c>
    </row>
    <row r="90" spans="2:50">
      <c r="C90" s="870">
        <v>2</v>
      </c>
      <c r="D90" s="871"/>
      <c r="E90" s="872" t="str">
        <f>IF(J86=2,D86,IF(J86=1,F86,"Wie wordt 2de?"))</f>
        <v>Argentinië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25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25</v>
      </c>
      <c r="AV90">
        <f>IF(AR90=0,0,IF(AR90=E90,25,0))</f>
        <v>25</v>
      </c>
      <c r="AW90">
        <f>IF(E90=0,0,IF(OR(E90=AR89,),15,0))</f>
        <v>0</v>
      </c>
      <c r="AX90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Uruguay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0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0</v>
      </c>
      <c r="AV91">
        <f>IF(AR91=0,0,IF(AR91=E91,15,0))</f>
        <v>0</v>
      </c>
      <c r="AW91">
        <f>IF(E91=0,0,IF(OR(E91=AR92),10,0))</f>
        <v>0</v>
      </c>
      <c r="AX91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Frankrijk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0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0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30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conditionalFormatting sqref="AO9:AO12 AO15:AO18 AO21:AO24 AO27:AO30 AO33:AO36 AO39:AO42 AO45:AO48 AO51:AO54">
    <cfRule type="cellIs" dxfId="227" priority="3" operator="equal">
      <formula>10</formula>
    </cfRule>
  </conditionalFormatting>
  <conditionalFormatting sqref="P58:T58">
    <cfRule type="duplicateValues" dxfId="226" priority="2"/>
  </conditionalFormatting>
  <conditionalFormatting sqref="P58:T68">
    <cfRule type="duplicateValues" dxfId="225" priority="1"/>
  </conditionalFormatting>
  <dataValidations count="10">
    <dataValidation type="list" allowBlank="1" showInputMessage="1" showErrorMessage="1" sqref="T51:T54">
      <formula1>$W$51:$W$54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P58:P68">
      <formula1>$X$58:$X$98</formula1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B1:BB98"/>
  <sheetViews>
    <sheetView topLeftCell="A43" zoomScale="70" zoomScaleNormal="70" workbookViewId="0">
      <selection activeCell="P58" sqref="P58:T68"/>
    </sheetView>
  </sheetViews>
  <sheetFormatPr defaultRowHeight="15" outlineLevelCol="2"/>
  <cols>
    <col min="1" max="1" width="3.42578125" customWidth="1"/>
    <col min="2" max="2" width="3.5703125" bestFit="1" customWidth="1"/>
    <col min="3" max="3" width="11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335</v>
      </c>
      <c r="E3" s="145"/>
      <c r="F3" s="145"/>
      <c r="N3" t="str">
        <f>D3</f>
        <v>Gerrit T. (introducee René K.)</v>
      </c>
      <c r="O3" s="144">
        <f>SUM(P3:S3)</f>
        <v>391</v>
      </c>
      <c r="P3" s="109">
        <f>SUM(Y8:Y86)</f>
        <v>181</v>
      </c>
      <c r="Q3" s="109">
        <f>SUM(AM4:AM55)</f>
        <v>160</v>
      </c>
      <c r="R3" s="109">
        <f>SUM(AP89:AP92)</f>
        <v>20</v>
      </c>
      <c r="S3" s="109">
        <f>SUM(BB58:BB69)</f>
        <v>30</v>
      </c>
      <c r="T3" s="109">
        <f>COUNTIF(AF8:AF86,10)</f>
        <v>3</v>
      </c>
      <c r="U3" s="109" t="str">
        <f>E89</f>
        <v>Argentinië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1"/>
      <c r="L6" s="1"/>
      <c r="O6" s="40"/>
      <c r="P6" s="41"/>
      <c r="Q6" s="41"/>
      <c r="R6" s="41"/>
      <c r="S6" s="41"/>
      <c r="T6" s="41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66" t="s">
        <v>1</v>
      </c>
      <c r="C7" s="67" t="s">
        <v>2</v>
      </c>
      <c r="D7" s="196" t="s">
        <v>3</v>
      </c>
      <c r="E7" s="69"/>
      <c r="F7" s="197" t="s">
        <v>4</v>
      </c>
      <c r="G7" s="880" t="s">
        <v>5</v>
      </c>
      <c r="H7" s="881"/>
      <c r="I7" s="882"/>
      <c r="J7" s="71" t="s">
        <v>6</v>
      </c>
      <c r="K7" s="4" t="s">
        <v>7</v>
      </c>
      <c r="L7" s="4" t="s">
        <v>7</v>
      </c>
      <c r="O7" s="1"/>
      <c r="P7" s="41"/>
      <c r="Q7" s="41"/>
      <c r="R7" s="41"/>
      <c r="S7" s="41"/>
      <c r="T7" s="41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5">
        <v>1</v>
      </c>
      <c r="C8" s="6">
        <v>41802</v>
      </c>
      <c r="D8" s="7" t="s">
        <v>8</v>
      </c>
      <c r="E8" s="8" t="s">
        <v>9</v>
      </c>
      <c r="F8" s="9" t="s">
        <v>10</v>
      </c>
      <c r="G8" s="84">
        <v>2</v>
      </c>
      <c r="H8" s="8" t="s">
        <v>9</v>
      </c>
      <c r="I8" s="192">
        <v>0</v>
      </c>
      <c r="J8" s="10">
        <f>IF(I8="","",IF(G8&gt;I8,1,IF(G8&lt;I8,2,3)))</f>
        <v>1</v>
      </c>
      <c r="K8" s="11">
        <f>IF(I8="","",IF($G8&gt;$I8,3,IF($G8=$I8,1,0)))</f>
        <v>3</v>
      </c>
      <c r="L8" s="11">
        <f>IF(I8="","",IF($G8&lt;$I8,3,IF($G8=$I8,1,0)))</f>
        <v>0</v>
      </c>
      <c r="O8" s="72" t="s">
        <v>41</v>
      </c>
      <c r="P8" s="73" t="s">
        <v>42</v>
      </c>
      <c r="Q8" s="73" t="s">
        <v>43</v>
      </c>
      <c r="R8" s="74" t="s">
        <v>44</v>
      </c>
      <c r="S8" s="75" t="s">
        <v>45</v>
      </c>
      <c r="T8" s="76" t="s">
        <v>46</v>
      </c>
      <c r="U8" s="40"/>
      <c r="V8" s="40"/>
      <c r="W8" s="40"/>
      <c r="Y8" s="109">
        <f>AF8</f>
        <v>5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5</v>
      </c>
      <c r="AG8" s="108">
        <f t="shared" ref="AG8:AG55" si="0">IF(AC8="",0,(IF(G8=AC8,1,0)))</f>
        <v>0</v>
      </c>
      <c r="AH8" s="108">
        <f t="shared" ref="AH8:AH55" si="1">IF(AD8="",0,(IF(I8=AD8,1,0)))</f>
        <v>0</v>
      </c>
      <c r="AI8" s="108">
        <f>IF(AND(AG8=1,AH8=1),10,0)</f>
        <v>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12">
        <v>2</v>
      </c>
      <c r="C9" s="13">
        <v>41803</v>
      </c>
      <c r="D9" s="14" t="s">
        <v>11</v>
      </c>
      <c r="E9" s="15" t="s">
        <v>9</v>
      </c>
      <c r="F9" s="16" t="s">
        <v>12</v>
      </c>
      <c r="G9" s="85">
        <v>1</v>
      </c>
      <c r="H9" s="15" t="s">
        <v>9</v>
      </c>
      <c r="I9" s="90">
        <v>0</v>
      </c>
      <c r="J9" s="17">
        <f t="shared" ref="J9:J55" si="5">IF(I9="","",IF(G9&gt;I9,1,IF(G9&lt;I9,2,3)))</f>
        <v>1</v>
      </c>
      <c r="K9" s="11">
        <f t="shared" ref="K9:K55" si="6">IF(I9="","",IF($G9&gt;$I9,3,IF($G9=$I9,1,0)))</f>
        <v>3</v>
      </c>
      <c r="L9" s="11">
        <f t="shared" ref="L9:L55" si="7">IF(I9="","",IF($G9&lt;$I9,3,IF($G9=$I9,1,0)))</f>
        <v>0</v>
      </c>
      <c r="O9" s="44" t="s">
        <v>8</v>
      </c>
      <c r="P9" s="45">
        <f>SUMIF($D$8:$D$55,$O9,$G$8:$G$55)+SUMIF($F$8:$F$55,$O9,$I$8:$I$55)</f>
        <v>7</v>
      </c>
      <c r="Q9" s="45">
        <f>SUMIF($D$8:$D$55,$O9,$I$8:$I$55)+SUMIF($F$8:$F$55,$O9,$G$8:$G$55)</f>
        <v>1</v>
      </c>
      <c r="R9" s="46">
        <f>P9-Q9</f>
        <v>6</v>
      </c>
      <c r="S9" s="47">
        <f>SUMIF($D$8:$D$55,$O9,$K$8:$K$55)+SUMIF($F$8:$F$55,$O9,$L$8:$L$55)</f>
        <v>9</v>
      </c>
      <c r="T9" s="94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10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10</v>
      </c>
      <c r="AG9" s="108">
        <f t="shared" si="0"/>
        <v>1</v>
      </c>
      <c r="AH9" s="108">
        <f t="shared" si="1"/>
        <v>1</v>
      </c>
      <c r="AI9" s="108">
        <f t="shared" ref="AI9:AI55" si="10">IF(AND(AG9=1,AH9=1),10,0)</f>
        <v>10</v>
      </c>
      <c r="AJ9" s="108">
        <f t="shared" si="2"/>
        <v>5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18">
        <v>3</v>
      </c>
      <c r="C10" s="19">
        <v>41803</v>
      </c>
      <c r="D10" s="20" t="s">
        <v>13</v>
      </c>
      <c r="E10" s="21" t="s">
        <v>9</v>
      </c>
      <c r="F10" s="22" t="s">
        <v>14</v>
      </c>
      <c r="G10" s="86">
        <v>1</v>
      </c>
      <c r="H10" s="21" t="s">
        <v>9</v>
      </c>
      <c r="I10" s="91">
        <v>1</v>
      </c>
      <c r="J10" s="23">
        <f t="shared" si="5"/>
        <v>3</v>
      </c>
      <c r="K10" s="11">
        <f t="shared" si="6"/>
        <v>1</v>
      </c>
      <c r="L10" s="11">
        <f t="shared" si="7"/>
        <v>1</v>
      </c>
      <c r="O10" s="48" t="s">
        <v>10</v>
      </c>
      <c r="P10" s="49">
        <f>SUMIF($D$8:$D$55,$O10,$G$8:$G$55)+SUMIF($F$8:$F$55,$O10,$I$8:$I$55)</f>
        <v>3</v>
      </c>
      <c r="Q10" s="49">
        <f>SUMIF($D$8:$D$55,$O10,$I$8:$I$55)+SUMIF($F$8:$F$55,$O10,$G$8:$G$55)</f>
        <v>4</v>
      </c>
      <c r="R10" s="49">
        <f>P10-Q10</f>
        <v>-1</v>
      </c>
      <c r="S10" s="50">
        <f>SUMIF($D$8:$D$55,$O10,$K$8:$K$55)+SUMIF($F$8:$F$55,$O10,$L$8:$L$55)</f>
        <v>4</v>
      </c>
      <c r="T10" s="95" t="s">
        <v>47</v>
      </c>
      <c r="U10" s="40"/>
      <c r="V10" s="40" t="str">
        <f>O10</f>
        <v>Kroatië</v>
      </c>
      <c r="W10" s="40" t="s">
        <v>49</v>
      </c>
      <c r="Y10" s="109">
        <f t="shared" si="8"/>
        <v>1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1</v>
      </c>
      <c r="AG10" s="108">
        <f t="shared" si="0"/>
        <v>1</v>
      </c>
      <c r="AH10" s="108">
        <f t="shared" si="1"/>
        <v>0</v>
      </c>
      <c r="AI10" s="108">
        <f t="shared" si="10"/>
        <v>0</v>
      </c>
      <c r="AJ10" s="108">
        <f t="shared" si="2"/>
        <v>0</v>
      </c>
      <c r="AK10" s="108">
        <f t="shared" si="3"/>
        <v>0</v>
      </c>
      <c r="AL10" s="108">
        <f t="shared" si="4"/>
        <v>0</v>
      </c>
      <c r="AM10" s="120">
        <f>AO10</f>
        <v>10</v>
      </c>
      <c r="AN10" s="117" t="s">
        <v>10</v>
      </c>
      <c r="AO10" s="115">
        <f>IF(Uitslag!T10="",0,IF(T10=Uitslag!T10,10,0))</f>
        <v>10</v>
      </c>
    </row>
    <row r="11" spans="2:54" ht="15.75" thickBot="1">
      <c r="B11" s="24">
        <v>4</v>
      </c>
      <c r="C11" s="25">
        <v>41803</v>
      </c>
      <c r="D11" s="26" t="s">
        <v>15</v>
      </c>
      <c r="E11" s="27" t="s">
        <v>9</v>
      </c>
      <c r="F11" s="28" t="s">
        <v>16</v>
      </c>
      <c r="G11" s="87">
        <v>1</v>
      </c>
      <c r="H11" s="27" t="s">
        <v>9</v>
      </c>
      <c r="I11" s="92">
        <v>2</v>
      </c>
      <c r="J11" s="29">
        <f t="shared" si="5"/>
        <v>2</v>
      </c>
      <c r="K11" s="11">
        <f t="shared" si="6"/>
        <v>0</v>
      </c>
      <c r="L11" s="11">
        <f t="shared" si="7"/>
        <v>3</v>
      </c>
      <c r="O11" s="48" t="s">
        <v>11</v>
      </c>
      <c r="P11" s="49">
        <f>SUMIF($D$8:$D$55,$O11,$G$8:$G$55)+SUMIF($F$8:$F$55,$O11,$I$8:$I$55)</f>
        <v>3</v>
      </c>
      <c r="Q11" s="49">
        <f>SUMIF($D$8:$D$55,$O11,$I$8:$I$55)+SUMIF($F$8:$F$55,$O11,$G$8:$G$55)</f>
        <v>4</v>
      </c>
      <c r="R11" s="49">
        <f>P11-Q11</f>
        <v>-1</v>
      </c>
      <c r="S11" s="50">
        <f>SUMIF($D$8:$D$55,$O11,$K$8:$K$55)+SUMIF($F$8:$F$55,$O11,$L$8:$L$55)</f>
        <v>4</v>
      </c>
      <c r="T11" s="95" t="s">
        <v>49</v>
      </c>
      <c r="U11" s="40"/>
      <c r="V11" s="40" t="str">
        <f>O11</f>
        <v>Mexico</v>
      </c>
      <c r="W11" s="40" t="s">
        <v>47</v>
      </c>
      <c r="Y11" s="109">
        <f t="shared" si="8"/>
        <v>0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0</v>
      </c>
      <c r="AG11" s="108">
        <f t="shared" si="0"/>
        <v>0</v>
      </c>
      <c r="AH11" s="108">
        <f t="shared" si="1"/>
        <v>0</v>
      </c>
      <c r="AI11" s="108">
        <f t="shared" si="10"/>
        <v>0</v>
      </c>
      <c r="AJ11" s="108">
        <f t="shared" si="2"/>
        <v>0</v>
      </c>
      <c r="AK11" s="108">
        <f t="shared" si="3"/>
        <v>0</v>
      </c>
      <c r="AL11" s="108">
        <f t="shared" si="4"/>
        <v>0</v>
      </c>
      <c r="AM11" s="120">
        <f>AO11</f>
        <v>10</v>
      </c>
      <c r="AN11" s="117" t="s">
        <v>11</v>
      </c>
      <c r="AO11" s="115">
        <f>IF(Uitslag!T11="",0,IF(T11=Uitslag!T11,10,0))</f>
        <v>10</v>
      </c>
    </row>
    <row r="12" spans="2:54" ht="15.75" thickBot="1">
      <c r="B12" s="12">
        <v>5</v>
      </c>
      <c r="C12" s="13">
        <v>41804</v>
      </c>
      <c r="D12" s="14" t="s">
        <v>17</v>
      </c>
      <c r="E12" s="15" t="s">
        <v>9</v>
      </c>
      <c r="F12" s="16" t="s">
        <v>18</v>
      </c>
      <c r="G12" s="85">
        <v>2</v>
      </c>
      <c r="H12" s="15" t="s">
        <v>9</v>
      </c>
      <c r="I12" s="90">
        <v>1</v>
      </c>
      <c r="J12" s="17">
        <f t="shared" si="5"/>
        <v>1</v>
      </c>
      <c r="K12" s="11">
        <f t="shared" si="6"/>
        <v>3</v>
      </c>
      <c r="L12" s="11">
        <f t="shared" si="7"/>
        <v>0</v>
      </c>
      <c r="O12" s="51" t="s">
        <v>12</v>
      </c>
      <c r="P12" s="52">
        <f>SUMIF($D$8:$D$55,$O12,$G$8:$G$55)+SUMIF($F$8:$F$55,$O12,$I$8:$I$55)</f>
        <v>1</v>
      </c>
      <c r="Q12" s="52">
        <f>SUMIF($D$8:$D$55,$O12,$I$8:$I$55)+SUMIF($F$8:$F$55,$O12,$G$8:$G$55)</f>
        <v>5</v>
      </c>
      <c r="R12" s="52">
        <f>P12-Q12</f>
        <v>-4</v>
      </c>
      <c r="S12" s="53">
        <f>SUMIF($D$8:$D$55,$O12,$K$8:$K$55)+SUMIF($F$8:$F$55,$O12,$L$8:$L$55)</f>
        <v>0</v>
      </c>
      <c r="T12" s="96" t="s">
        <v>50</v>
      </c>
      <c r="U12" s="40"/>
      <c r="V12" s="40" t="str">
        <f>O12</f>
        <v>Kameroen</v>
      </c>
      <c r="W12" s="40" t="s">
        <v>50</v>
      </c>
      <c r="Y12" s="109">
        <f t="shared" si="8"/>
        <v>5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5</v>
      </c>
      <c r="AG12" s="108">
        <f t="shared" si="0"/>
        <v>0</v>
      </c>
      <c r="AH12" s="108">
        <f t="shared" si="1"/>
        <v>0</v>
      </c>
      <c r="AI12" s="108">
        <f t="shared" si="10"/>
        <v>0</v>
      </c>
      <c r="AJ12" s="108">
        <f t="shared" si="2"/>
        <v>5</v>
      </c>
      <c r="AK12" s="108">
        <f t="shared" si="3"/>
        <v>0</v>
      </c>
      <c r="AL12" s="108">
        <f t="shared" si="4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18">
        <v>6</v>
      </c>
      <c r="C13" s="19">
        <v>41804</v>
      </c>
      <c r="D13" s="20" t="s">
        <v>19</v>
      </c>
      <c r="E13" s="21" t="s">
        <v>9</v>
      </c>
      <c r="F13" s="30" t="s">
        <v>20</v>
      </c>
      <c r="G13" s="86">
        <v>3</v>
      </c>
      <c r="H13" s="21" t="s">
        <v>9</v>
      </c>
      <c r="I13" s="91">
        <v>1</v>
      </c>
      <c r="J13" s="23">
        <f t="shared" si="5"/>
        <v>1</v>
      </c>
      <c r="K13" s="11">
        <f t="shared" si="6"/>
        <v>3</v>
      </c>
      <c r="L13" s="11">
        <f t="shared" si="7"/>
        <v>0</v>
      </c>
      <c r="O13" s="40"/>
      <c r="P13" s="41"/>
      <c r="Q13" s="41"/>
      <c r="R13" s="41"/>
      <c r="S13" s="41"/>
      <c r="T13" s="41"/>
      <c r="U13" s="40"/>
      <c r="V13" s="40"/>
      <c r="W13" s="40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0"/>
        <v>0</v>
      </c>
      <c r="AH13" s="108">
        <f t="shared" si="1"/>
        <v>0</v>
      </c>
      <c r="AI13" s="108">
        <f t="shared" si="10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40"/>
      <c r="AO13" s="41"/>
    </row>
    <row r="14" spans="2:54" ht="15.75" thickBot="1">
      <c r="B14" s="18">
        <v>7</v>
      </c>
      <c r="C14" s="19">
        <v>41804</v>
      </c>
      <c r="D14" s="20" t="s">
        <v>21</v>
      </c>
      <c r="E14" s="21" t="s">
        <v>9</v>
      </c>
      <c r="F14" s="30" t="s">
        <v>22</v>
      </c>
      <c r="G14" s="86">
        <v>2</v>
      </c>
      <c r="H14" s="21" t="s">
        <v>9</v>
      </c>
      <c r="I14" s="91">
        <v>2</v>
      </c>
      <c r="J14" s="23">
        <f t="shared" si="5"/>
        <v>3</v>
      </c>
      <c r="K14" s="11">
        <f t="shared" si="6"/>
        <v>1</v>
      </c>
      <c r="L14" s="11">
        <f t="shared" si="7"/>
        <v>1</v>
      </c>
      <c r="O14" s="72" t="s">
        <v>51</v>
      </c>
      <c r="P14" s="73" t="s">
        <v>42</v>
      </c>
      <c r="Q14" s="73" t="s">
        <v>43</v>
      </c>
      <c r="R14" s="74" t="s">
        <v>44</v>
      </c>
      <c r="S14" s="75" t="s">
        <v>45</v>
      </c>
      <c r="T14" s="76" t="s">
        <v>46</v>
      </c>
      <c r="U14" s="40"/>
      <c r="V14" s="40"/>
      <c r="W14" s="40"/>
      <c r="Y14" s="109">
        <f t="shared" si="8"/>
        <v>1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</v>
      </c>
      <c r="AG14" s="108">
        <f t="shared" si="0"/>
        <v>0</v>
      </c>
      <c r="AH14" s="108">
        <f t="shared" si="1"/>
        <v>1</v>
      </c>
      <c r="AI14" s="108">
        <f t="shared" si="10"/>
        <v>0</v>
      </c>
      <c r="AJ14" s="108">
        <f t="shared" si="2"/>
        <v>0</v>
      </c>
      <c r="AK14" s="108">
        <f t="shared" si="3"/>
        <v>0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24">
        <v>8</v>
      </c>
      <c r="C15" s="25">
        <v>41804</v>
      </c>
      <c r="D15" s="26" t="s">
        <v>23</v>
      </c>
      <c r="E15" s="27" t="s">
        <v>9</v>
      </c>
      <c r="F15" s="28" t="s">
        <v>24</v>
      </c>
      <c r="G15" s="87">
        <v>1</v>
      </c>
      <c r="H15" s="27" t="s">
        <v>9</v>
      </c>
      <c r="I15" s="92">
        <v>2</v>
      </c>
      <c r="J15" s="29">
        <f t="shared" si="5"/>
        <v>2</v>
      </c>
      <c r="K15" s="11">
        <f t="shared" si="6"/>
        <v>0</v>
      </c>
      <c r="L15" s="11">
        <f t="shared" si="7"/>
        <v>3</v>
      </c>
      <c r="O15" s="44" t="s">
        <v>13</v>
      </c>
      <c r="P15" s="45">
        <f>SUMIF($D$8:$D$55,$O15,$G$8:$G$55)+SUMIF($F$8:$F$55,$O15,$I$8:$I$55)</f>
        <v>6</v>
      </c>
      <c r="Q15" s="45">
        <f>SUMIF($D$8:$D$55,$O15,$I$8:$I$55)+SUMIF($F$8:$F$55,$O15,$G$8:$G$55)</f>
        <v>2</v>
      </c>
      <c r="R15" s="46">
        <f>P15-Q15</f>
        <v>4</v>
      </c>
      <c r="S15" s="47">
        <f>SUMIF($D$8:$D$55,$O15,$K$8:$K$55)+SUMIF($F$8:$F$55,$O15,$L$8:$L$55)</f>
        <v>7</v>
      </c>
      <c r="T15" s="94" t="s">
        <v>52</v>
      </c>
      <c r="U15" s="40"/>
      <c r="V15" s="40" t="str">
        <f>O15</f>
        <v>Spanje</v>
      </c>
      <c r="W15" s="40" t="s">
        <v>52</v>
      </c>
      <c r="Y15" s="109">
        <f t="shared" si="8"/>
        <v>0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0</v>
      </c>
      <c r="AG15" s="108">
        <f t="shared" si="0"/>
        <v>0</v>
      </c>
      <c r="AH15" s="108">
        <f t="shared" si="1"/>
        <v>0</v>
      </c>
      <c r="AI15" s="108">
        <f t="shared" si="10"/>
        <v>0</v>
      </c>
      <c r="AJ15" s="108">
        <f t="shared" si="2"/>
        <v>0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12">
        <v>9</v>
      </c>
      <c r="C16" s="13">
        <v>41805</v>
      </c>
      <c r="D16" s="14" t="s">
        <v>25</v>
      </c>
      <c r="E16" s="15" t="s">
        <v>9</v>
      </c>
      <c r="F16" s="16" t="s">
        <v>26</v>
      </c>
      <c r="G16" s="85">
        <v>1</v>
      </c>
      <c r="H16" s="15" t="s">
        <v>9</v>
      </c>
      <c r="I16" s="90">
        <v>0</v>
      </c>
      <c r="J16" s="17">
        <f t="shared" si="5"/>
        <v>1</v>
      </c>
      <c r="K16" s="11">
        <f t="shared" si="6"/>
        <v>3</v>
      </c>
      <c r="L16" s="11">
        <f t="shared" si="7"/>
        <v>0</v>
      </c>
      <c r="O16" s="54" t="s">
        <v>14</v>
      </c>
      <c r="P16" s="49">
        <f>SUMIF($D$8:$D$55,$O16,$G$8:$G$55)+SUMIF($F$8:$F$55,$O16,$I$8:$I$55)</f>
        <v>5</v>
      </c>
      <c r="Q16" s="49">
        <f>SUMIF($D$8:$D$55,$O16,$I$8:$I$55)+SUMIF($F$8:$F$55,$O16,$G$8:$G$55)</f>
        <v>1</v>
      </c>
      <c r="R16" s="49">
        <f>P16-Q16</f>
        <v>4</v>
      </c>
      <c r="S16" s="50">
        <f>SUMIF($D$8:$D$55,$O16,$K$8:$K$55)+SUMIF($F$8:$F$55,$O16,$L$8:$L$55)</f>
        <v>7</v>
      </c>
      <c r="T16" s="95" t="s">
        <v>53</v>
      </c>
      <c r="U16" s="40"/>
      <c r="V16" s="40" t="str">
        <f>O16</f>
        <v>Nederland</v>
      </c>
      <c r="W16" s="40" t="s">
        <v>53</v>
      </c>
      <c r="Y16" s="109">
        <f t="shared" si="8"/>
        <v>5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5</v>
      </c>
      <c r="AG16" s="108">
        <f t="shared" si="0"/>
        <v>0</v>
      </c>
      <c r="AH16" s="108">
        <f t="shared" si="1"/>
        <v>0</v>
      </c>
      <c r="AI16" s="108">
        <f t="shared" si="10"/>
        <v>0</v>
      </c>
      <c r="AJ16" s="108">
        <f t="shared" si="2"/>
        <v>5</v>
      </c>
      <c r="AK16" s="108">
        <f t="shared" si="3"/>
        <v>0</v>
      </c>
      <c r="AL16" s="108">
        <f t="shared" si="4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18">
        <v>10</v>
      </c>
      <c r="C17" s="19">
        <v>41805</v>
      </c>
      <c r="D17" s="20" t="s">
        <v>27</v>
      </c>
      <c r="E17" s="21" t="s">
        <v>9</v>
      </c>
      <c r="F17" s="30" t="s">
        <v>28</v>
      </c>
      <c r="G17" s="86">
        <v>2</v>
      </c>
      <c r="H17" s="21" t="s">
        <v>9</v>
      </c>
      <c r="I17" s="91">
        <v>0</v>
      </c>
      <c r="J17" s="23">
        <f t="shared" si="5"/>
        <v>1</v>
      </c>
      <c r="K17" s="11">
        <f t="shared" si="6"/>
        <v>3</v>
      </c>
      <c r="L17" s="11">
        <f t="shared" si="7"/>
        <v>0</v>
      </c>
      <c r="O17" s="48" t="s">
        <v>15</v>
      </c>
      <c r="P17" s="49">
        <f>SUMIF($D$8:$D$55,$O17,$G$8:$G$55)+SUMIF($F$8:$F$55,$O17,$I$8:$I$55)</f>
        <v>1</v>
      </c>
      <c r="Q17" s="49">
        <f>SUMIF($D$8:$D$55,$O17,$I$8:$I$55)+SUMIF($F$8:$F$55,$O17,$G$8:$G$55)</f>
        <v>6</v>
      </c>
      <c r="R17" s="49">
        <f>P17-Q17</f>
        <v>-5</v>
      </c>
      <c r="S17" s="50">
        <f>SUMIF($D$8:$D$55,$O17,$K$8:$K$55)+SUMIF($F$8:$F$55,$O17,$L$8:$L$55)</f>
        <v>0</v>
      </c>
      <c r="T17" s="95" t="s">
        <v>55</v>
      </c>
      <c r="U17" s="40"/>
      <c r="V17" s="40" t="str">
        <f>O17</f>
        <v>Chili</v>
      </c>
      <c r="W17" s="40" t="s">
        <v>54</v>
      </c>
      <c r="Y17" s="109">
        <f t="shared" si="8"/>
        <v>6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6</v>
      </c>
      <c r="AG17" s="108">
        <f t="shared" si="0"/>
        <v>0</v>
      </c>
      <c r="AH17" s="108">
        <f t="shared" si="1"/>
        <v>1</v>
      </c>
      <c r="AI17" s="108">
        <f t="shared" si="10"/>
        <v>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24">
        <v>11</v>
      </c>
      <c r="C18" s="25">
        <v>41805</v>
      </c>
      <c r="D18" s="26" t="s">
        <v>29</v>
      </c>
      <c r="E18" s="27" t="s">
        <v>9</v>
      </c>
      <c r="F18" s="28" t="s">
        <v>30</v>
      </c>
      <c r="G18" s="87">
        <v>3</v>
      </c>
      <c r="H18" s="27" t="s">
        <v>9</v>
      </c>
      <c r="I18" s="92">
        <v>1</v>
      </c>
      <c r="J18" s="29">
        <f t="shared" si="5"/>
        <v>1</v>
      </c>
      <c r="K18" s="11">
        <f t="shared" si="6"/>
        <v>3</v>
      </c>
      <c r="L18" s="11">
        <f t="shared" si="7"/>
        <v>0</v>
      </c>
      <c r="O18" s="51" t="s">
        <v>16</v>
      </c>
      <c r="P18" s="52">
        <f>SUMIF($D$8:$D$55,$O18,$G$8:$G$55)+SUMIF($F$8:$F$55,$O18,$I$8:$I$55)</f>
        <v>3</v>
      </c>
      <c r="Q18" s="52">
        <f>SUMIF($D$8:$D$55,$O18,$I$8:$I$55)+SUMIF($F$8:$F$55,$O18,$G$8:$G$55)</f>
        <v>6</v>
      </c>
      <c r="R18" s="52">
        <f>P18-Q18</f>
        <v>-3</v>
      </c>
      <c r="S18" s="53">
        <f>SUMIF($D$8:$D$55,$O18,$K$8:$K$55)+SUMIF($F$8:$F$55,$O18,$L$8:$L$55)</f>
        <v>3</v>
      </c>
      <c r="T18" s="96" t="s">
        <v>54</v>
      </c>
      <c r="U18" s="40"/>
      <c r="V18" s="40" t="str">
        <f>O18</f>
        <v>Australië</v>
      </c>
      <c r="W18" s="40" t="s">
        <v>55</v>
      </c>
      <c r="Y18" s="109">
        <f t="shared" si="8"/>
        <v>6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6</v>
      </c>
      <c r="AG18" s="108">
        <f t="shared" si="0"/>
        <v>0</v>
      </c>
      <c r="AH18" s="108">
        <f t="shared" si="1"/>
        <v>1</v>
      </c>
      <c r="AI18" s="108">
        <f t="shared" si="10"/>
        <v>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0</v>
      </c>
      <c r="AN18" s="118" t="s">
        <v>16</v>
      </c>
      <c r="AO18" s="115">
        <f>IF(Uitslag!T18="",0,IF(T18=Uitslag!T18,10,0))</f>
        <v>0</v>
      </c>
    </row>
    <row r="19" spans="2:41" ht="15.75" thickBot="1">
      <c r="B19" s="12">
        <v>12</v>
      </c>
      <c r="C19" s="13">
        <v>41806</v>
      </c>
      <c r="D19" s="14" t="s">
        <v>31</v>
      </c>
      <c r="E19" s="15" t="s">
        <v>9</v>
      </c>
      <c r="F19" s="16" t="s">
        <v>32</v>
      </c>
      <c r="G19" s="85">
        <v>1</v>
      </c>
      <c r="H19" s="15" t="s">
        <v>9</v>
      </c>
      <c r="I19" s="90">
        <v>1</v>
      </c>
      <c r="J19" s="17">
        <f t="shared" si="5"/>
        <v>3</v>
      </c>
      <c r="K19" s="11">
        <f t="shared" si="6"/>
        <v>1</v>
      </c>
      <c r="L19" s="11">
        <f t="shared" si="7"/>
        <v>1</v>
      </c>
      <c r="O19" s="40"/>
      <c r="P19" s="41"/>
      <c r="Q19" s="41"/>
      <c r="R19" s="41"/>
      <c r="S19" s="41"/>
      <c r="T19" s="41"/>
      <c r="U19" s="40"/>
      <c r="V19" s="40"/>
      <c r="W19" s="40"/>
      <c r="Y19" s="109">
        <f t="shared" si="8"/>
        <v>0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0</v>
      </c>
      <c r="AG19" s="108">
        <f t="shared" si="0"/>
        <v>0</v>
      </c>
      <c r="AH19" s="108">
        <f t="shared" si="1"/>
        <v>0</v>
      </c>
      <c r="AI19" s="108">
        <f t="shared" si="10"/>
        <v>0</v>
      </c>
      <c r="AJ19" s="108">
        <f t="shared" si="2"/>
        <v>0</v>
      </c>
      <c r="AK19" s="108">
        <f t="shared" si="3"/>
        <v>0</v>
      </c>
      <c r="AL19" s="108">
        <f t="shared" si="4"/>
        <v>0</v>
      </c>
      <c r="AN19" s="40"/>
      <c r="AO19" s="41"/>
    </row>
    <row r="20" spans="2:41" ht="15.75" thickBot="1">
      <c r="B20" s="18">
        <v>13</v>
      </c>
      <c r="C20" s="19">
        <v>41806</v>
      </c>
      <c r="D20" s="20" t="s">
        <v>33</v>
      </c>
      <c r="E20" s="21" t="s">
        <v>9</v>
      </c>
      <c r="F20" s="30" t="s">
        <v>34</v>
      </c>
      <c r="G20" s="86">
        <v>1</v>
      </c>
      <c r="H20" s="21" t="s">
        <v>9</v>
      </c>
      <c r="I20" s="91">
        <v>1</v>
      </c>
      <c r="J20" s="23">
        <f t="shared" si="5"/>
        <v>3</v>
      </c>
      <c r="K20" s="11">
        <f t="shared" si="6"/>
        <v>1</v>
      </c>
      <c r="L20" s="11">
        <f t="shared" si="7"/>
        <v>1</v>
      </c>
      <c r="O20" s="72" t="s">
        <v>56</v>
      </c>
      <c r="P20" s="73" t="s">
        <v>42</v>
      </c>
      <c r="Q20" s="73" t="s">
        <v>43</v>
      </c>
      <c r="R20" s="74" t="s">
        <v>44</v>
      </c>
      <c r="S20" s="75" t="s">
        <v>45</v>
      </c>
      <c r="T20" s="76" t="s">
        <v>46</v>
      </c>
      <c r="U20" s="40"/>
      <c r="V20" s="40"/>
      <c r="W20" s="40"/>
      <c r="Y20" s="109">
        <f t="shared" si="8"/>
        <v>5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5</v>
      </c>
      <c r="AG20" s="108">
        <f t="shared" si="0"/>
        <v>0</v>
      </c>
      <c r="AH20" s="108">
        <f t="shared" si="1"/>
        <v>0</v>
      </c>
      <c r="AI20" s="108">
        <f t="shared" si="10"/>
        <v>0</v>
      </c>
      <c r="AJ20" s="108">
        <f t="shared" si="2"/>
        <v>0</v>
      </c>
      <c r="AK20" s="108">
        <f t="shared" si="3"/>
        <v>0</v>
      </c>
      <c r="AL20" s="108">
        <f t="shared" si="4"/>
        <v>5</v>
      </c>
      <c r="AN20" s="42" t="s">
        <v>56</v>
      </c>
      <c r="AO20" s="43" t="s">
        <v>46</v>
      </c>
    </row>
    <row r="21" spans="2:41" ht="15.75" thickBot="1">
      <c r="B21" s="24">
        <v>14</v>
      </c>
      <c r="C21" s="25">
        <v>41806</v>
      </c>
      <c r="D21" s="26" t="s">
        <v>35</v>
      </c>
      <c r="E21" s="27" t="s">
        <v>9</v>
      </c>
      <c r="F21" s="28" t="s">
        <v>36</v>
      </c>
      <c r="G21" s="87">
        <v>0</v>
      </c>
      <c r="H21" s="27" t="s">
        <v>9</v>
      </c>
      <c r="I21" s="92">
        <v>2</v>
      </c>
      <c r="J21" s="29">
        <f t="shared" si="5"/>
        <v>2</v>
      </c>
      <c r="K21" s="11">
        <f t="shared" si="6"/>
        <v>0</v>
      </c>
      <c r="L21" s="11">
        <f t="shared" si="7"/>
        <v>3</v>
      </c>
      <c r="O21" s="44" t="s">
        <v>17</v>
      </c>
      <c r="P21" s="45">
        <f>SUMIF($D$8:$D$55,$O21,$G$8:$G$55)+SUMIF($F$8:$F$55,$O21,$I$8:$I$55)</f>
        <v>3</v>
      </c>
      <c r="Q21" s="45">
        <f>SUMIF($D$8:$D$55,$O21,$I$8:$I$55)+SUMIF($F$8:$F$55,$O21,$G$8:$G$55)</f>
        <v>5</v>
      </c>
      <c r="R21" s="46">
        <f>P21-Q21</f>
        <v>-2</v>
      </c>
      <c r="S21" s="47">
        <f>SUMIF($D$8:$D$55,$O21,$K$8:$K$55)+SUMIF($F$8:$F$55,$O21,$L$8:$L$55)</f>
        <v>3</v>
      </c>
      <c r="T21" s="94" t="s">
        <v>60</v>
      </c>
      <c r="U21" s="40"/>
      <c r="V21" s="40" t="str">
        <f>O21</f>
        <v>Colombia</v>
      </c>
      <c r="W21" s="40" t="s">
        <v>57</v>
      </c>
      <c r="Y21" s="109">
        <f t="shared" si="8"/>
        <v>6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6</v>
      </c>
      <c r="AG21" s="108">
        <f t="shared" si="0"/>
        <v>0</v>
      </c>
      <c r="AH21" s="108">
        <f t="shared" si="1"/>
        <v>1</v>
      </c>
      <c r="AI21" s="108">
        <f t="shared" si="10"/>
        <v>0</v>
      </c>
      <c r="AJ21" s="108">
        <f t="shared" si="2"/>
        <v>0</v>
      </c>
      <c r="AK21" s="108">
        <f t="shared" si="3"/>
        <v>5</v>
      </c>
      <c r="AL21" s="108">
        <f t="shared" si="4"/>
        <v>0</v>
      </c>
      <c r="AM21" s="120">
        <f>AO21</f>
        <v>0</v>
      </c>
      <c r="AN21" s="116" t="s">
        <v>17</v>
      </c>
      <c r="AO21" s="115">
        <f>IF(Uitslag!T21="",0,IF(T21=Uitslag!T21,10,0))</f>
        <v>0</v>
      </c>
    </row>
    <row r="22" spans="2:41" ht="15.75" thickBot="1">
      <c r="B22" s="12">
        <v>15</v>
      </c>
      <c r="C22" s="13">
        <v>41807</v>
      </c>
      <c r="D22" s="14" t="s">
        <v>37</v>
      </c>
      <c r="E22" s="15" t="s">
        <v>9</v>
      </c>
      <c r="F22" s="16" t="s">
        <v>38</v>
      </c>
      <c r="G22" s="85">
        <v>2</v>
      </c>
      <c r="H22" s="15" t="s">
        <v>9</v>
      </c>
      <c r="I22" s="90">
        <v>0</v>
      </c>
      <c r="J22" s="17">
        <f t="shared" si="5"/>
        <v>1</v>
      </c>
      <c r="K22" s="11">
        <f t="shared" si="6"/>
        <v>3</v>
      </c>
      <c r="L22" s="11">
        <f t="shared" si="7"/>
        <v>0</v>
      </c>
      <c r="O22" s="48" t="s">
        <v>18</v>
      </c>
      <c r="P22" s="49">
        <f>SUMIF($D$8:$D$55,$O22,$G$8:$G$55)+SUMIF($F$8:$F$55,$O22,$I$8:$I$55)</f>
        <v>3</v>
      </c>
      <c r="Q22" s="49">
        <f>SUMIF($D$8:$D$55,$O22,$I$8:$I$55)+SUMIF($F$8:$F$55,$O22,$G$8:$G$55)</f>
        <v>3</v>
      </c>
      <c r="R22" s="49">
        <f>P22-Q22</f>
        <v>0</v>
      </c>
      <c r="S22" s="50">
        <f>SUMIF($D$8:$D$55,$O22,$K$8:$K$55)+SUMIF($F$8:$F$55,$O22,$L$8:$L$55)</f>
        <v>4</v>
      </c>
      <c r="T22" s="95" t="s">
        <v>58</v>
      </c>
      <c r="U22" s="40"/>
      <c r="V22" s="40" t="str">
        <f>O22</f>
        <v>Griekenland</v>
      </c>
      <c r="W22" s="40" t="s">
        <v>58</v>
      </c>
      <c r="Y22" s="109">
        <f t="shared" si="8"/>
        <v>6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6</v>
      </c>
      <c r="AG22" s="108">
        <f t="shared" si="0"/>
        <v>1</v>
      </c>
      <c r="AH22" s="108">
        <f t="shared" si="1"/>
        <v>0</v>
      </c>
      <c r="AI22" s="108">
        <f t="shared" si="10"/>
        <v>0</v>
      </c>
      <c r="AJ22" s="108">
        <f t="shared" si="2"/>
        <v>5</v>
      </c>
      <c r="AK22" s="108">
        <f t="shared" si="3"/>
        <v>0</v>
      </c>
      <c r="AL22" s="108">
        <f t="shared" si="4"/>
        <v>0</v>
      </c>
      <c r="AM22" s="120">
        <f>AO22</f>
        <v>10</v>
      </c>
      <c r="AN22" s="117" t="s">
        <v>18</v>
      </c>
      <c r="AO22" s="115">
        <f>IF(Uitslag!T22="",0,IF(T22=Uitslag!T22,10,0))</f>
        <v>10</v>
      </c>
    </row>
    <row r="23" spans="2:41" ht="15.75" thickBot="1">
      <c r="B23" s="18">
        <v>16</v>
      </c>
      <c r="C23" s="19">
        <v>41807</v>
      </c>
      <c r="D23" s="20" t="s">
        <v>8</v>
      </c>
      <c r="E23" s="21" t="s">
        <v>9</v>
      </c>
      <c r="F23" s="30" t="s">
        <v>11</v>
      </c>
      <c r="G23" s="86">
        <v>3</v>
      </c>
      <c r="H23" s="21" t="s">
        <v>9</v>
      </c>
      <c r="I23" s="91">
        <v>1</v>
      </c>
      <c r="J23" s="23">
        <f t="shared" si="5"/>
        <v>1</v>
      </c>
      <c r="K23" s="11">
        <f t="shared" si="6"/>
        <v>3</v>
      </c>
      <c r="L23" s="11">
        <f t="shared" si="7"/>
        <v>0</v>
      </c>
      <c r="O23" s="48" t="s">
        <v>23</v>
      </c>
      <c r="P23" s="49">
        <f>SUMIF($D$8:$D$55,$O23,$G$8:$G$55)+SUMIF($F$8:$F$55,$O23,$I$8:$I$55)</f>
        <v>2</v>
      </c>
      <c r="Q23" s="49">
        <f>SUMIF($D$8:$D$55,$O23,$I$8:$I$55)+SUMIF($F$8:$F$55,$O23,$G$8:$G$55)</f>
        <v>3</v>
      </c>
      <c r="R23" s="49">
        <f>P23-Q23</f>
        <v>-1</v>
      </c>
      <c r="S23" s="50">
        <f>SUMIF($D$8:$D$55,$O23,$K$8:$K$55)+SUMIF($F$8:$F$55,$O23,$L$8:$L$55)</f>
        <v>3</v>
      </c>
      <c r="T23" s="95" t="s">
        <v>59</v>
      </c>
      <c r="U23" s="40"/>
      <c r="V23" s="40" t="str">
        <f>O23</f>
        <v>Ivoorkust</v>
      </c>
      <c r="W23" s="40" t="s">
        <v>59</v>
      </c>
      <c r="Y23" s="109">
        <f t="shared" si="8"/>
        <v>0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0</v>
      </c>
      <c r="AG23" s="108">
        <f t="shared" si="0"/>
        <v>0</v>
      </c>
      <c r="AH23" s="108">
        <f t="shared" si="1"/>
        <v>0</v>
      </c>
      <c r="AI23" s="108">
        <f t="shared" si="10"/>
        <v>0</v>
      </c>
      <c r="AJ23" s="108">
        <f t="shared" si="2"/>
        <v>0</v>
      </c>
      <c r="AK23" s="108">
        <f t="shared" si="3"/>
        <v>0</v>
      </c>
      <c r="AL23" s="108">
        <f t="shared" si="4"/>
        <v>0</v>
      </c>
      <c r="AM23" s="120">
        <f>AO23</f>
        <v>10</v>
      </c>
      <c r="AN23" s="117" t="s">
        <v>23</v>
      </c>
      <c r="AO23" s="115">
        <f>IF(Uitslag!T23="",0,IF(T23=Uitslag!T23,10,0))</f>
        <v>10</v>
      </c>
    </row>
    <row r="24" spans="2:41" ht="15.75" thickBot="1">
      <c r="B24" s="24">
        <v>17</v>
      </c>
      <c r="C24" s="25">
        <v>41807</v>
      </c>
      <c r="D24" s="26" t="s">
        <v>39</v>
      </c>
      <c r="E24" s="27" t="s">
        <v>9</v>
      </c>
      <c r="F24" s="28" t="s">
        <v>40</v>
      </c>
      <c r="G24" s="87">
        <v>0</v>
      </c>
      <c r="H24" s="27" t="s">
        <v>9</v>
      </c>
      <c r="I24" s="92">
        <v>1</v>
      </c>
      <c r="J24" s="29">
        <f t="shared" si="5"/>
        <v>2</v>
      </c>
      <c r="K24" s="11">
        <f t="shared" si="6"/>
        <v>0</v>
      </c>
      <c r="L24" s="11">
        <f t="shared" si="7"/>
        <v>3</v>
      </c>
      <c r="O24" s="51" t="s">
        <v>24</v>
      </c>
      <c r="P24" s="52">
        <f>SUMIF($D$8:$D$55,$O24,$G$8:$G$55)+SUMIF($F$8:$F$55,$O24,$I$8:$I$55)</f>
        <v>6</v>
      </c>
      <c r="Q24" s="52">
        <f>SUMIF($D$8:$D$55,$O24,$I$8:$I$55)+SUMIF($F$8:$F$55,$O24,$G$8:$G$55)</f>
        <v>3</v>
      </c>
      <c r="R24" s="52">
        <f>P24-Q24</f>
        <v>3</v>
      </c>
      <c r="S24" s="53">
        <f>SUMIF($D$8:$D$55,$O24,$K$8:$K$55)+SUMIF($F$8:$F$55,$O24,$L$8:$L$55)</f>
        <v>7</v>
      </c>
      <c r="T24" s="96" t="s">
        <v>57</v>
      </c>
      <c r="U24" s="40"/>
      <c r="V24" s="40" t="str">
        <f>O24</f>
        <v>Japan</v>
      </c>
      <c r="W24" s="40" t="s">
        <v>60</v>
      </c>
      <c r="Y24" s="109">
        <f t="shared" si="8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</v>
      </c>
      <c r="AG24" s="108">
        <f t="shared" si="0"/>
        <v>0</v>
      </c>
      <c r="AH24" s="108">
        <f t="shared" si="1"/>
        <v>1</v>
      </c>
      <c r="AI24" s="108">
        <f t="shared" si="10"/>
        <v>0</v>
      </c>
      <c r="AJ24" s="108">
        <f t="shared" si="2"/>
        <v>0</v>
      </c>
      <c r="AK24" s="108">
        <f t="shared" si="3"/>
        <v>0</v>
      </c>
      <c r="AL24" s="108">
        <f t="shared" si="4"/>
        <v>0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12">
        <v>18</v>
      </c>
      <c r="C25" s="13">
        <v>41808</v>
      </c>
      <c r="D25" s="14" t="s">
        <v>16</v>
      </c>
      <c r="E25" s="15" t="s">
        <v>9</v>
      </c>
      <c r="F25" s="31" t="s">
        <v>14</v>
      </c>
      <c r="G25" s="85">
        <v>0</v>
      </c>
      <c r="H25" s="15" t="s">
        <v>9</v>
      </c>
      <c r="I25" s="90">
        <v>2</v>
      </c>
      <c r="J25" s="17">
        <f t="shared" si="5"/>
        <v>2</v>
      </c>
      <c r="K25" s="11">
        <f t="shared" si="6"/>
        <v>0</v>
      </c>
      <c r="L25" s="11">
        <f t="shared" si="7"/>
        <v>3</v>
      </c>
      <c r="O25" s="40"/>
      <c r="P25" s="41"/>
      <c r="Q25" s="41"/>
      <c r="R25" s="41"/>
      <c r="S25" s="41"/>
      <c r="T25" s="41"/>
      <c r="U25" s="40"/>
      <c r="V25" s="40"/>
      <c r="W25" s="40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0"/>
        <v>0</v>
      </c>
      <c r="AH25" s="108">
        <f t="shared" si="1"/>
        <v>0</v>
      </c>
      <c r="AI25" s="108">
        <f t="shared" si="10"/>
        <v>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40"/>
      <c r="AO25" s="41"/>
    </row>
    <row r="26" spans="2:41" ht="15.75" thickBot="1">
      <c r="B26" s="18">
        <v>19</v>
      </c>
      <c r="C26" s="19">
        <v>41808</v>
      </c>
      <c r="D26" s="20" t="s">
        <v>13</v>
      </c>
      <c r="E26" s="21" t="s">
        <v>9</v>
      </c>
      <c r="F26" s="30" t="s">
        <v>15</v>
      </c>
      <c r="G26" s="86">
        <v>2</v>
      </c>
      <c r="H26" s="21" t="s">
        <v>9</v>
      </c>
      <c r="I26" s="91">
        <v>0</v>
      </c>
      <c r="J26" s="23">
        <f t="shared" si="5"/>
        <v>1</v>
      </c>
      <c r="K26" s="11">
        <f t="shared" si="6"/>
        <v>3</v>
      </c>
      <c r="L26" s="11">
        <f t="shared" si="7"/>
        <v>0</v>
      </c>
      <c r="O26" s="72" t="s">
        <v>61</v>
      </c>
      <c r="P26" s="73" t="s">
        <v>42</v>
      </c>
      <c r="Q26" s="73" t="s">
        <v>43</v>
      </c>
      <c r="R26" s="74" t="s">
        <v>44</v>
      </c>
      <c r="S26" s="75" t="s">
        <v>45</v>
      </c>
      <c r="T26" s="76" t="s">
        <v>46</v>
      </c>
      <c r="U26" s="40"/>
      <c r="V26" s="40"/>
      <c r="W26" s="40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0"/>
        <v>0</v>
      </c>
      <c r="AH26" s="108">
        <f t="shared" si="1"/>
        <v>0</v>
      </c>
      <c r="AI26" s="108">
        <f t="shared" si="10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24">
        <v>20</v>
      </c>
      <c r="C27" s="25">
        <v>41808</v>
      </c>
      <c r="D27" s="26" t="s">
        <v>12</v>
      </c>
      <c r="E27" s="27" t="s">
        <v>9</v>
      </c>
      <c r="F27" s="28" t="s">
        <v>10</v>
      </c>
      <c r="G27" s="87">
        <v>1</v>
      </c>
      <c r="H27" s="27" t="s">
        <v>9</v>
      </c>
      <c r="I27" s="92">
        <v>2</v>
      </c>
      <c r="J27" s="29">
        <f t="shared" si="5"/>
        <v>2</v>
      </c>
      <c r="K27" s="11">
        <f t="shared" si="6"/>
        <v>0</v>
      </c>
      <c r="L27" s="11">
        <f t="shared" si="7"/>
        <v>3</v>
      </c>
      <c r="O27" s="44" t="s">
        <v>19</v>
      </c>
      <c r="P27" s="45">
        <f>SUMIF($D$8:$D$55,$O27,$G$8:$G$55)+SUMIF($F$8:$F$55,$O27,$I$8:$I$55)</f>
        <v>5</v>
      </c>
      <c r="Q27" s="45">
        <f>SUMIF($D$8:$D$55,$O27,$I$8:$I$55)+SUMIF($F$8:$F$55,$O27,$G$8:$G$55)</f>
        <v>3</v>
      </c>
      <c r="R27" s="46">
        <f>P27-Q27</f>
        <v>2</v>
      </c>
      <c r="S27" s="47">
        <f>SUMIF($D$8:$D$55,$O27,$K$8:$K$55)+SUMIF($F$8:$F$55,$O27,$L$8:$L$55)</f>
        <v>6</v>
      </c>
      <c r="T27" s="94" t="s">
        <v>63</v>
      </c>
      <c r="U27" s="40"/>
      <c r="V27" s="40" t="str">
        <f>O27</f>
        <v>Uruguay</v>
      </c>
      <c r="W27" s="40" t="s">
        <v>62</v>
      </c>
      <c r="Y27" s="109">
        <f t="shared" si="8"/>
        <v>5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5</v>
      </c>
      <c r="AG27" s="108">
        <f t="shared" si="0"/>
        <v>0</v>
      </c>
      <c r="AH27" s="108">
        <f t="shared" si="1"/>
        <v>0</v>
      </c>
      <c r="AI27" s="108">
        <f t="shared" si="10"/>
        <v>0</v>
      </c>
      <c r="AJ27" s="108">
        <f t="shared" si="2"/>
        <v>0</v>
      </c>
      <c r="AK27" s="108">
        <f t="shared" si="3"/>
        <v>5</v>
      </c>
      <c r="AL27" s="108">
        <f t="shared" si="4"/>
        <v>0</v>
      </c>
      <c r="AM27" s="120">
        <f>AO27</f>
        <v>10</v>
      </c>
      <c r="AN27" s="116" t="s">
        <v>19</v>
      </c>
      <c r="AO27" s="115">
        <f>IF(Uitslag!T27="",0,IF(T27=Uitslag!T27,10,0))</f>
        <v>10</v>
      </c>
    </row>
    <row r="28" spans="2:41" ht="15.75" thickBot="1">
      <c r="B28" s="12">
        <v>21</v>
      </c>
      <c r="C28" s="13">
        <v>41809</v>
      </c>
      <c r="D28" s="14" t="s">
        <v>17</v>
      </c>
      <c r="E28" s="15" t="s">
        <v>9</v>
      </c>
      <c r="F28" s="16" t="s">
        <v>23</v>
      </c>
      <c r="G28" s="85">
        <v>0</v>
      </c>
      <c r="H28" s="15" t="s">
        <v>9</v>
      </c>
      <c r="I28" s="90">
        <v>1</v>
      </c>
      <c r="J28" s="17">
        <f t="shared" si="5"/>
        <v>2</v>
      </c>
      <c r="K28" s="11">
        <f t="shared" si="6"/>
        <v>0</v>
      </c>
      <c r="L28" s="11">
        <f t="shared" si="7"/>
        <v>3</v>
      </c>
      <c r="O28" s="48" t="s">
        <v>20</v>
      </c>
      <c r="P28" s="49">
        <f>SUMIF($D$8:$D$55,$O28,$G$8:$G$55)+SUMIF($F$8:$F$55,$O28,$I$8:$I$55)</f>
        <v>1</v>
      </c>
      <c r="Q28" s="49">
        <f>SUMIF($D$8:$D$55,$O28,$I$8:$I$55)+SUMIF($F$8:$F$55,$O28,$G$8:$G$55)</f>
        <v>7</v>
      </c>
      <c r="R28" s="49">
        <f>P28-Q28</f>
        <v>-6</v>
      </c>
      <c r="S28" s="50">
        <f>SUMIF($D$8:$D$55,$O28,$K$8:$K$55)+SUMIF($F$8:$F$55,$O28,$L$8:$L$55)</f>
        <v>0</v>
      </c>
      <c r="T28" s="95" t="s">
        <v>65</v>
      </c>
      <c r="U28" s="40"/>
      <c r="V28" s="40" t="str">
        <f>O28</f>
        <v>Costa Rica</v>
      </c>
      <c r="W28" s="40" t="s">
        <v>63</v>
      </c>
      <c r="Y28" s="109">
        <f t="shared" si="8"/>
        <v>1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1</v>
      </c>
      <c r="AG28" s="108">
        <f t="shared" si="0"/>
        <v>0</v>
      </c>
      <c r="AH28" s="108">
        <f t="shared" si="1"/>
        <v>1</v>
      </c>
      <c r="AI28" s="108">
        <f t="shared" si="10"/>
        <v>0</v>
      </c>
      <c r="AJ28" s="108">
        <f t="shared" si="2"/>
        <v>0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18">
        <v>22</v>
      </c>
      <c r="C29" s="19">
        <v>41809</v>
      </c>
      <c r="D29" s="20" t="s">
        <v>19</v>
      </c>
      <c r="E29" s="21" t="s">
        <v>9</v>
      </c>
      <c r="F29" s="30" t="s">
        <v>21</v>
      </c>
      <c r="G29" s="86">
        <v>2</v>
      </c>
      <c r="H29" s="21" t="s">
        <v>9</v>
      </c>
      <c r="I29" s="91">
        <v>1</v>
      </c>
      <c r="J29" s="23">
        <f t="shared" si="5"/>
        <v>1</v>
      </c>
      <c r="K29" s="11">
        <f t="shared" si="6"/>
        <v>3</v>
      </c>
      <c r="L29" s="11">
        <f t="shared" si="7"/>
        <v>0</v>
      </c>
      <c r="O29" s="48" t="s">
        <v>21</v>
      </c>
      <c r="P29" s="49">
        <f>SUMIF($D$8:$D$55,$O29,$G$8:$G$55)+SUMIF($F$8:$F$55,$O29,$I$8:$I$55)</f>
        <v>5</v>
      </c>
      <c r="Q29" s="49">
        <f>SUMIF($D$8:$D$55,$O29,$I$8:$I$55)+SUMIF($F$8:$F$55,$O29,$G$8:$G$55)</f>
        <v>4</v>
      </c>
      <c r="R29" s="49">
        <f>P29-Q29</f>
        <v>1</v>
      </c>
      <c r="S29" s="50">
        <f>SUMIF($D$8:$D$55,$O29,$K$8:$K$55)+SUMIF($F$8:$F$55,$O29,$L$8:$L$55)</f>
        <v>4</v>
      </c>
      <c r="T29" s="95" t="s">
        <v>64</v>
      </c>
      <c r="U29" s="40"/>
      <c r="V29" s="40" t="str">
        <f>O29</f>
        <v>Engeland</v>
      </c>
      <c r="W29" s="40" t="s">
        <v>64</v>
      </c>
      <c r="Y29" s="109">
        <f t="shared" si="8"/>
        <v>10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10</v>
      </c>
      <c r="AG29" s="108">
        <f t="shared" si="0"/>
        <v>1</v>
      </c>
      <c r="AH29" s="108">
        <f t="shared" si="1"/>
        <v>1</v>
      </c>
      <c r="AI29" s="108">
        <f t="shared" si="10"/>
        <v>10</v>
      </c>
      <c r="AJ29" s="108">
        <f t="shared" si="2"/>
        <v>5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24">
        <v>23</v>
      </c>
      <c r="C30" s="25">
        <v>41809</v>
      </c>
      <c r="D30" s="26" t="s">
        <v>24</v>
      </c>
      <c r="E30" s="27" t="s">
        <v>9</v>
      </c>
      <c r="F30" s="28" t="s">
        <v>18</v>
      </c>
      <c r="G30" s="87">
        <v>1</v>
      </c>
      <c r="H30" s="27" t="s">
        <v>9</v>
      </c>
      <c r="I30" s="92">
        <v>1</v>
      </c>
      <c r="J30" s="29">
        <f t="shared" si="5"/>
        <v>3</v>
      </c>
      <c r="K30" s="11">
        <f t="shared" si="6"/>
        <v>1</v>
      </c>
      <c r="L30" s="11">
        <f t="shared" si="7"/>
        <v>1</v>
      </c>
      <c r="O30" s="51" t="s">
        <v>22</v>
      </c>
      <c r="P30" s="52">
        <f>SUMIF($D$8:$D$55,$O30,$G$8:$G$55)+SUMIF($F$8:$F$55,$O30,$I$8:$I$55)</f>
        <v>5</v>
      </c>
      <c r="Q30" s="52">
        <f>SUMIF($D$8:$D$55,$O30,$I$8:$I$55)+SUMIF($F$8:$F$55,$O30,$G$8:$G$55)</f>
        <v>2</v>
      </c>
      <c r="R30" s="52">
        <f>P30-Q30</f>
        <v>3</v>
      </c>
      <c r="S30" s="53">
        <f>SUMIF($D$8:$D$55,$O30,$K$8:$K$55)+SUMIF($F$8:$F$55,$O30,$L$8:$L$55)</f>
        <v>7</v>
      </c>
      <c r="T30" s="96" t="s">
        <v>62</v>
      </c>
      <c r="U30" s="40"/>
      <c r="V30" s="40" t="str">
        <f>O30</f>
        <v>Italië</v>
      </c>
      <c r="W30" s="40" t="s">
        <v>65</v>
      </c>
      <c r="Y30" s="109">
        <f t="shared" si="8"/>
        <v>5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5</v>
      </c>
      <c r="AG30" s="108">
        <f t="shared" si="0"/>
        <v>0</v>
      </c>
      <c r="AH30" s="108">
        <f t="shared" si="1"/>
        <v>0</v>
      </c>
      <c r="AI30" s="108">
        <f t="shared" si="10"/>
        <v>0</v>
      </c>
      <c r="AJ30" s="108">
        <f t="shared" si="2"/>
        <v>0</v>
      </c>
      <c r="AK30" s="108">
        <f t="shared" si="3"/>
        <v>0</v>
      </c>
      <c r="AL30" s="108">
        <f t="shared" si="4"/>
        <v>5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12">
        <v>24</v>
      </c>
      <c r="C31" s="13">
        <v>41810</v>
      </c>
      <c r="D31" s="14" t="s">
        <v>22</v>
      </c>
      <c r="E31" s="15" t="s">
        <v>9</v>
      </c>
      <c r="F31" s="16" t="s">
        <v>20</v>
      </c>
      <c r="G31" s="85">
        <v>2</v>
      </c>
      <c r="H31" s="15" t="s">
        <v>9</v>
      </c>
      <c r="I31" s="90">
        <v>0</v>
      </c>
      <c r="J31" s="17">
        <f t="shared" si="5"/>
        <v>1</v>
      </c>
      <c r="K31" s="11">
        <f t="shared" si="6"/>
        <v>3</v>
      </c>
      <c r="L31" s="11">
        <f t="shared" si="7"/>
        <v>0</v>
      </c>
      <c r="O31" s="40"/>
      <c r="P31" s="41"/>
      <c r="Q31" s="41"/>
      <c r="R31" s="41"/>
      <c r="S31" s="41"/>
      <c r="T31" s="41"/>
      <c r="U31" s="40"/>
      <c r="V31" s="40"/>
      <c r="W31" s="40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0"/>
        <v>0</v>
      </c>
      <c r="AH31" s="108">
        <f t="shared" si="1"/>
        <v>0</v>
      </c>
      <c r="AI31" s="108">
        <f t="shared" si="10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40"/>
      <c r="AO31" s="41"/>
    </row>
    <row r="32" spans="2:41" ht="15.75" thickBot="1">
      <c r="B32" s="18">
        <v>25</v>
      </c>
      <c r="C32" s="19">
        <v>41810</v>
      </c>
      <c r="D32" s="20" t="s">
        <v>25</v>
      </c>
      <c r="E32" s="21" t="s">
        <v>9</v>
      </c>
      <c r="F32" s="30" t="s">
        <v>27</v>
      </c>
      <c r="G32" s="86">
        <v>0</v>
      </c>
      <c r="H32" s="21" t="s">
        <v>9</v>
      </c>
      <c r="I32" s="91">
        <v>2</v>
      </c>
      <c r="J32" s="23">
        <f t="shared" si="5"/>
        <v>2</v>
      </c>
      <c r="K32" s="11">
        <f t="shared" si="6"/>
        <v>0</v>
      </c>
      <c r="L32" s="11">
        <f t="shared" si="7"/>
        <v>3</v>
      </c>
      <c r="O32" s="72" t="s">
        <v>66</v>
      </c>
      <c r="P32" s="73" t="s">
        <v>42</v>
      </c>
      <c r="Q32" s="73" t="s">
        <v>43</v>
      </c>
      <c r="R32" s="74" t="s">
        <v>44</v>
      </c>
      <c r="S32" s="75" t="s">
        <v>45</v>
      </c>
      <c r="T32" s="76" t="s">
        <v>46</v>
      </c>
      <c r="U32" s="40"/>
      <c r="V32" s="40"/>
      <c r="W32" s="40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0"/>
        <v>0</v>
      </c>
      <c r="AH32" s="108">
        <f t="shared" si="1"/>
        <v>0</v>
      </c>
      <c r="AI32" s="108">
        <f t="shared" si="10"/>
        <v>0</v>
      </c>
      <c r="AJ32" s="108">
        <f t="shared" si="2"/>
        <v>0</v>
      </c>
      <c r="AK32" s="108">
        <f t="shared" si="3"/>
        <v>5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24">
        <v>26</v>
      </c>
      <c r="C33" s="25">
        <v>41810</v>
      </c>
      <c r="D33" s="26" t="s">
        <v>28</v>
      </c>
      <c r="E33" s="27" t="s">
        <v>9</v>
      </c>
      <c r="F33" s="28" t="s">
        <v>26</v>
      </c>
      <c r="G33" s="87">
        <v>0</v>
      </c>
      <c r="H33" s="27" t="s">
        <v>9</v>
      </c>
      <c r="I33" s="92">
        <v>0</v>
      </c>
      <c r="J33" s="29">
        <f t="shared" si="5"/>
        <v>3</v>
      </c>
      <c r="K33" s="11">
        <f t="shared" si="6"/>
        <v>1</v>
      </c>
      <c r="L33" s="11">
        <f t="shared" si="7"/>
        <v>1</v>
      </c>
      <c r="O33" s="44" t="s">
        <v>25</v>
      </c>
      <c r="P33" s="45">
        <f>SUMIF($D$8:$D$55,$O33,$G$8:$G$55)+SUMIF($F$8:$F$55,$O33,$I$8:$I$55)</f>
        <v>3</v>
      </c>
      <c r="Q33" s="45">
        <f>SUMIF($D$8:$D$55,$O33,$I$8:$I$55)+SUMIF($F$8:$F$55,$O33,$G$8:$G$55)</f>
        <v>2</v>
      </c>
      <c r="R33" s="46">
        <f>P33-Q33</f>
        <v>1</v>
      </c>
      <c r="S33" s="47">
        <f>SUMIF($D$8:$D$55,$O33,$K$8:$K$55)+SUMIF($F$8:$F$55,$O33,$L$8:$L$55)</f>
        <v>6</v>
      </c>
      <c r="T33" s="94" t="s">
        <v>68</v>
      </c>
      <c r="U33" s="40"/>
      <c r="V33" s="40" t="str">
        <f>O33</f>
        <v>Zwitserland</v>
      </c>
      <c r="W33" s="40" t="s">
        <v>67</v>
      </c>
      <c r="Y33" s="109">
        <f t="shared" si="8"/>
        <v>0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0</v>
      </c>
      <c r="AG33" s="108">
        <f t="shared" si="0"/>
        <v>0</v>
      </c>
      <c r="AH33" s="108">
        <f t="shared" si="1"/>
        <v>0</v>
      </c>
      <c r="AI33" s="108">
        <f t="shared" si="10"/>
        <v>0</v>
      </c>
      <c r="AJ33" s="108">
        <f t="shared" si="2"/>
        <v>0</v>
      </c>
      <c r="AK33" s="108">
        <f t="shared" si="3"/>
        <v>0</v>
      </c>
      <c r="AL33" s="108">
        <f t="shared" si="4"/>
        <v>0</v>
      </c>
      <c r="AM33" s="120">
        <f>AO33</f>
        <v>10</v>
      </c>
      <c r="AN33" s="116" t="s">
        <v>25</v>
      </c>
      <c r="AO33" s="115">
        <f>IF(Uitslag!T33="",0,IF(T33=Uitslag!T33,10,0))</f>
        <v>10</v>
      </c>
    </row>
    <row r="34" spans="2:41" ht="15.75" thickBot="1">
      <c r="B34" s="12">
        <v>27</v>
      </c>
      <c r="C34" s="13">
        <v>41811</v>
      </c>
      <c r="D34" s="14" t="s">
        <v>29</v>
      </c>
      <c r="E34" s="15" t="s">
        <v>9</v>
      </c>
      <c r="F34" s="16" t="s">
        <v>33</v>
      </c>
      <c r="G34" s="85">
        <v>3</v>
      </c>
      <c r="H34" s="15" t="s">
        <v>9</v>
      </c>
      <c r="I34" s="90">
        <v>0</v>
      </c>
      <c r="J34" s="17">
        <f t="shared" si="5"/>
        <v>1</v>
      </c>
      <c r="K34" s="11">
        <f t="shared" si="6"/>
        <v>3</v>
      </c>
      <c r="L34" s="11">
        <f t="shared" si="7"/>
        <v>0</v>
      </c>
      <c r="O34" s="48" t="s">
        <v>26</v>
      </c>
      <c r="P34" s="49">
        <f>SUMIF($D$8:$D$55,$O34,$G$8:$G$55)+SUMIF($F$8:$F$55,$O34,$I$8:$I$55)</f>
        <v>0</v>
      </c>
      <c r="Q34" s="49">
        <f>SUMIF($D$8:$D$55,$O34,$I$8:$I$55)+SUMIF($F$8:$F$55,$O34,$G$8:$G$55)</f>
        <v>3</v>
      </c>
      <c r="R34" s="49">
        <f>P34-Q34</f>
        <v>-3</v>
      </c>
      <c r="S34" s="50">
        <f>SUMIF($D$8:$D$55,$O34,$K$8:$K$55)+SUMIF($F$8:$F$55,$O34,$L$8:$L$55)</f>
        <v>1</v>
      </c>
      <c r="T34" s="95" t="s">
        <v>69</v>
      </c>
      <c r="U34" s="40"/>
      <c r="V34" s="40" t="str">
        <f>O34</f>
        <v>Ecuador</v>
      </c>
      <c r="W34" s="40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0"/>
        <v>0</v>
      </c>
      <c r="AH34" s="108">
        <f t="shared" si="1"/>
        <v>1</v>
      </c>
      <c r="AI34" s="108">
        <f t="shared" si="10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10</v>
      </c>
      <c r="AN34" s="117" t="s">
        <v>26</v>
      </c>
      <c r="AO34" s="115">
        <f>IF(Uitslag!T34="",0,IF(T34=Uitslag!T34,10,0))</f>
        <v>10</v>
      </c>
    </row>
    <row r="35" spans="2:41" ht="15.75" thickBot="1">
      <c r="B35" s="18">
        <v>28</v>
      </c>
      <c r="C35" s="19">
        <v>41811</v>
      </c>
      <c r="D35" s="20" t="s">
        <v>31</v>
      </c>
      <c r="E35" s="21" t="s">
        <v>9</v>
      </c>
      <c r="F35" s="30" t="s">
        <v>35</v>
      </c>
      <c r="G35" s="86">
        <v>3</v>
      </c>
      <c r="H35" s="21" t="s">
        <v>9</v>
      </c>
      <c r="I35" s="91">
        <v>0</v>
      </c>
      <c r="J35" s="23">
        <f t="shared" si="5"/>
        <v>1</v>
      </c>
      <c r="K35" s="11">
        <f t="shared" si="6"/>
        <v>3</v>
      </c>
      <c r="L35" s="11">
        <f t="shared" si="7"/>
        <v>0</v>
      </c>
      <c r="O35" s="48" t="s">
        <v>27</v>
      </c>
      <c r="P35" s="49">
        <f>SUMIF($D$8:$D$55,$O35,$G$8:$G$55)+SUMIF($F$8:$F$55,$O35,$I$8:$I$55)</f>
        <v>6</v>
      </c>
      <c r="Q35" s="49">
        <f>SUMIF($D$8:$D$55,$O35,$I$8:$I$55)+SUMIF($F$8:$F$55,$O35,$G$8:$G$55)</f>
        <v>0</v>
      </c>
      <c r="R35" s="49">
        <f>P35-Q35</f>
        <v>6</v>
      </c>
      <c r="S35" s="50">
        <f>SUMIF($D$8:$D$55,$O35,$K$8:$K$55)+SUMIF($F$8:$F$55,$O35,$L$8:$L$55)</f>
        <v>9</v>
      </c>
      <c r="T35" s="95" t="s">
        <v>67</v>
      </c>
      <c r="U35" s="40"/>
      <c r="V35" s="40" t="str">
        <f>O35</f>
        <v>Frankrijk</v>
      </c>
      <c r="W35" s="40" t="s">
        <v>69</v>
      </c>
      <c r="Y35" s="109">
        <f t="shared" si="8"/>
        <v>0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0</v>
      </c>
      <c r="AG35" s="108">
        <f t="shared" si="0"/>
        <v>0</v>
      </c>
      <c r="AH35" s="108">
        <f t="shared" si="1"/>
        <v>0</v>
      </c>
      <c r="AI35" s="108">
        <f t="shared" si="10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24">
        <v>29</v>
      </c>
      <c r="C36" s="25">
        <v>41811</v>
      </c>
      <c r="D36" s="26" t="s">
        <v>34</v>
      </c>
      <c r="E36" s="27" t="s">
        <v>9</v>
      </c>
      <c r="F36" s="28" t="s">
        <v>30</v>
      </c>
      <c r="G36" s="87">
        <v>2</v>
      </c>
      <c r="H36" s="27" t="s">
        <v>9</v>
      </c>
      <c r="I36" s="92">
        <v>2</v>
      </c>
      <c r="J36" s="29">
        <f t="shared" si="5"/>
        <v>3</v>
      </c>
      <c r="K36" s="11">
        <f t="shared" si="6"/>
        <v>1</v>
      </c>
      <c r="L36" s="11">
        <f t="shared" si="7"/>
        <v>1</v>
      </c>
      <c r="O36" s="51" t="s">
        <v>28</v>
      </c>
      <c r="P36" s="52">
        <f>SUMIF($D$8:$D$55,$O36,$G$8:$G$55)+SUMIF($F$8:$F$55,$O36,$I$8:$I$55)</f>
        <v>0</v>
      </c>
      <c r="Q36" s="52">
        <f>SUMIF($D$8:$D$55,$O36,$I$8:$I$55)+SUMIF($F$8:$F$55,$O36,$G$8:$G$55)</f>
        <v>4</v>
      </c>
      <c r="R36" s="52">
        <f>P36-Q36</f>
        <v>-4</v>
      </c>
      <c r="S36" s="53">
        <f>SUMIF($D$8:$D$55,$O36,$K$8:$K$55)+SUMIF($F$8:$F$55,$O36,$L$8:$L$55)</f>
        <v>1</v>
      </c>
      <c r="T36" s="96" t="s">
        <v>70</v>
      </c>
      <c r="U36" s="40"/>
      <c r="V36" s="40" t="str">
        <f>O36</f>
        <v>Honduras</v>
      </c>
      <c r="W36" s="40" t="s">
        <v>70</v>
      </c>
      <c r="Y36" s="109">
        <f t="shared" si="8"/>
        <v>0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0</v>
      </c>
      <c r="AG36" s="108">
        <f t="shared" si="0"/>
        <v>0</v>
      </c>
      <c r="AH36" s="108">
        <f t="shared" si="1"/>
        <v>0</v>
      </c>
      <c r="AI36" s="108">
        <f t="shared" si="10"/>
        <v>0</v>
      </c>
      <c r="AJ36" s="108">
        <f t="shared" si="2"/>
        <v>0</v>
      </c>
      <c r="AK36" s="108">
        <f t="shared" si="3"/>
        <v>0</v>
      </c>
      <c r="AL36" s="108">
        <f t="shared" si="4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12">
        <v>30</v>
      </c>
      <c r="C37" s="13">
        <v>41812</v>
      </c>
      <c r="D37" s="14" t="s">
        <v>37</v>
      </c>
      <c r="E37" s="15" t="s">
        <v>9</v>
      </c>
      <c r="F37" s="16" t="s">
        <v>39</v>
      </c>
      <c r="G37" s="85">
        <v>1</v>
      </c>
      <c r="H37" s="15" t="s">
        <v>9</v>
      </c>
      <c r="I37" s="90">
        <v>1</v>
      </c>
      <c r="J37" s="17">
        <f t="shared" si="5"/>
        <v>3</v>
      </c>
      <c r="K37" s="11">
        <f t="shared" si="6"/>
        <v>1</v>
      </c>
      <c r="L37" s="11">
        <f t="shared" si="7"/>
        <v>1</v>
      </c>
      <c r="O37" s="40"/>
      <c r="P37" s="41"/>
      <c r="Q37" s="41"/>
      <c r="R37" s="41"/>
      <c r="S37" s="41"/>
      <c r="T37" s="41"/>
      <c r="U37" s="40"/>
      <c r="V37" s="40"/>
      <c r="W37" s="40"/>
      <c r="Y37" s="109">
        <f t="shared" si="8"/>
        <v>1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1</v>
      </c>
      <c r="AG37" s="108">
        <f t="shared" si="0"/>
        <v>1</v>
      </c>
      <c r="AH37" s="108">
        <f t="shared" si="1"/>
        <v>0</v>
      </c>
      <c r="AI37" s="108">
        <f t="shared" si="10"/>
        <v>0</v>
      </c>
      <c r="AJ37" s="108">
        <f t="shared" si="2"/>
        <v>0</v>
      </c>
      <c r="AK37" s="108">
        <f t="shared" si="3"/>
        <v>0</v>
      </c>
      <c r="AL37" s="108">
        <f t="shared" si="4"/>
        <v>0</v>
      </c>
      <c r="AN37" s="40"/>
      <c r="AO37" s="41"/>
    </row>
    <row r="38" spans="2:41" ht="15.75" thickBot="1">
      <c r="B38" s="18">
        <v>31</v>
      </c>
      <c r="C38" s="19">
        <v>41812</v>
      </c>
      <c r="D38" s="20" t="s">
        <v>40</v>
      </c>
      <c r="E38" s="21" t="s">
        <v>9</v>
      </c>
      <c r="F38" s="30" t="s">
        <v>38</v>
      </c>
      <c r="G38" s="86">
        <v>3</v>
      </c>
      <c r="H38" s="21" t="s">
        <v>9</v>
      </c>
      <c r="I38" s="91">
        <v>0</v>
      </c>
      <c r="J38" s="23">
        <f t="shared" si="5"/>
        <v>1</v>
      </c>
      <c r="K38" s="11">
        <f t="shared" si="6"/>
        <v>3</v>
      </c>
      <c r="L38" s="11">
        <f t="shared" si="7"/>
        <v>0</v>
      </c>
      <c r="O38" s="72" t="s">
        <v>71</v>
      </c>
      <c r="P38" s="73" t="s">
        <v>42</v>
      </c>
      <c r="Q38" s="73" t="s">
        <v>43</v>
      </c>
      <c r="R38" s="74" t="s">
        <v>44</v>
      </c>
      <c r="S38" s="75" t="s">
        <v>45</v>
      </c>
      <c r="T38" s="76" t="s">
        <v>46</v>
      </c>
      <c r="U38" s="40"/>
      <c r="V38" s="40"/>
      <c r="W38" s="40"/>
      <c r="Y38" s="109">
        <f t="shared" si="8"/>
        <v>0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0</v>
      </c>
      <c r="AG38" s="108">
        <f t="shared" si="0"/>
        <v>0</v>
      </c>
      <c r="AH38" s="108">
        <f t="shared" si="1"/>
        <v>0</v>
      </c>
      <c r="AI38" s="108">
        <f t="shared" si="10"/>
        <v>0</v>
      </c>
      <c r="AJ38" s="108">
        <f t="shared" si="2"/>
        <v>0</v>
      </c>
      <c r="AK38" s="108">
        <f t="shared" si="3"/>
        <v>0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24">
        <v>32</v>
      </c>
      <c r="C39" s="25">
        <v>41812</v>
      </c>
      <c r="D39" s="26" t="s">
        <v>36</v>
      </c>
      <c r="E39" s="27" t="s">
        <v>9</v>
      </c>
      <c r="F39" s="28" t="s">
        <v>32</v>
      </c>
      <c r="G39" s="87">
        <v>0</v>
      </c>
      <c r="H39" s="27" t="s">
        <v>9</v>
      </c>
      <c r="I39" s="92">
        <v>2</v>
      </c>
      <c r="J39" s="29">
        <f t="shared" si="5"/>
        <v>2</v>
      </c>
      <c r="K39" s="11">
        <f t="shared" si="6"/>
        <v>0</v>
      </c>
      <c r="L39" s="11">
        <f t="shared" si="7"/>
        <v>3</v>
      </c>
      <c r="O39" s="44" t="s">
        <v>29</v>
      </c>
      <c r="P39" s="45">
        <f>SUMIF($D$8:$D$55,$O39,$G$8:$G$55)+SUMIF($F$8:$F$55,$O39,$I$8:$I$55)</f>
        <v>9</v>
      </c>
      <c r="Q39" s="45">
        <f>SUMIF($D$8:$D$55,$O39,$I$8:$I$55)+SUMIF($F$8:$F$55,$O39,$G$8:$G$55)</f>
        <v>1</v>
      </c>
      <c r="R39" s="46">
        <f>P39-Q39</f>
        <v>8</v>
      </c>
      <c r="S39" s="47">
        <f>SUMIF($D$8:$D$55,$O39,$K$8:$K$55)+SUMIF($F$8:$F$55,$O39,$L$8:$L$55)</f>
        <v>9</v>
      </c>
      <c r="T39" s="94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1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1</v>
      </c>
      <c r="AG39" s="108">
        <f t="shared" si="0"/>
        <v>0</v>
      </c>
      <c r="AH39" s="108">
        <f t="shared" si="1"/>
        <v>1</v>
      </c>
      <c r="AI39" s="108">
        <f t="shared" si="10"/>
        <v>0</v>
      </c>
      <c r="AJ39" s="108">
        <f t="shared" si="2"/>
        <v>0</v>
      </c>
      <c r="AK39" s="108">
        <f t="shared" si="3"/>
        <v>0</v>
      </c>
      <c r="AL39" s="108">
        <f t="shared" si="4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12">
        <v>33</v>
      </c>
      <c r="C40" s="13">
        <v>41813</v>
      </c>
      <c r="D40" s="14" t="s">
        <v>16</v>
      </c>
      <c r="E40" s="15" t="s">
        <v>9</v>
      </c>
      <c r="F40" s="16" t="s">
        <v>13</v>
      </c>
      <c r="G40" s="85">
        <v>1</v>
      </c>
      <c r="H40" s="15" t="s">
        <v>9</v>
      </c>
      <c r="I40" s="90">
        <v>3</v>
      </c>
      <c r="J40" s="17">
        <f t="shared" si="5"/>
        <v>2</v>
      </c>
      <c r="K40" s="11">
        <f t="shared" si="6"/>
        <v>0</v>
      </c>
      <c r="L40" s="11">
        <f t="shared" si="7"/>
        <v>3</v>
      </c>
      <c r="O40" s="48" t="s">
        <v>30</v>
      </c>
      <c r="P40" s="49">
        <f>SUMIF($D$8:$D$55,$O40,$G$8:$G$55)+SUMIF($F$8:$F$55,$O40,$I$8:$I$55)</f>
        <v>4</v>
      </c>
      <c r="Q40" s="49">
        <f>SUMIF($D$8:$D$55,$O40,$I$8:$I$55)+SUMIF($F$8:$F$55,$O40,$G$8:$G$55)</f>
        <v>6</v>
      </c>
      <c r="R40" s="49">
        <f>P40-Q40</f>
        <v>-2</v>
      </c>
      <c r="S40" s="50">
        <f>SUMIF($D$8:$D$55,$O40,$K$8:$K$55)+SUMIF($F$8:$F$55,$O40,$L$8:$L$55)</f>
        <v>2</v>
      </c>
      <c r="T40" s="95" t="s">
        <v>73</v>
      </c>
      <c r="U40" s="40"/>
      <c r="V40" s="40" t="str">
        <f>O40</f>
        <v>Bosnië H.</v>
      </c>
      <c r="W40" s="40" t="s">
        <v>73</v>
      </c>
      <c r="Y40" s="109">
        <f t="shared" si="8"/>
        <v>6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6</v>
      </c>
      <c r="AG40" s="108">
        <f t="shared" si="0"/>
        <v>0</v>
      </c>
      <c r="AH40" s="108">
        <f t="shared" si="1"/>
        <v>1</v>
      </c>
      <c r="AI40" s="108">
        <f t="shared" si="10"/>
        <v>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0</v>
      </c>
      <c r="AN40" s="117" t="s">
        <v>30</v>
      </c>
      <c r="AO40" s="115">
        <f>IF(Uitslag!T40="",0,IF(T40=Uitslag!T40,10,0))</f>
        <v>0</v>
      </c>
    </row>
    <row r="41" spans="2:41" ht="15.75" thickBot="1">
      <c r="B41" s="18">
        <v>34</v>
      </c>
      <c r="C41" s="19">
        <v>41813</v>
      </c>
      <c r="D41" s="32" t="s">
        <v>14</v>
      </c>
      <c r="E41" s="21" t="s">
        <v>9</v>
      </c>
      <c r="F41" s="30" t="s">
        <v>15</v>
      </c>
      <c r="G41" s="86">
        <v>2</v>
      </c>
      <c r="H41" s="21" t="s">
        <v>9</v>
      </c>
      <c r="I41" s="91">
        <v>0</v>
      </c>
      <c r="J41" s="23">
        <f t="shared" si="5"/>
        <v>1</v>
      </c>
      <c r="K41" s="11">
        <f t="shared" si="6"/>
        <v>3</v>
      </c>
      <c r="L41" s="11">
        <f t="shared" si="7"/>
        <v>0</v>
      </c>
      <c r="O41" s="48" t="s">
        <v>33</v>
      </c>
      <c r="P41" s="49">
        <f>SUMIF($D$8:$D$55,$O41,$G$8:$G$55)+SUMIF($F$8:$F$55,$O41,$I$8:$I$55)</f>
        <v>2</v>
      </c>
      <c r="Q41" s="49">
        <f>SUMIF($D$8:$D$55,$O41,$I$8:$I$55)+SUMIF($F$8:$F$55,$O41,$G$8:$G$55)</f>
        <v>5</v>
      </c>
      <c r="R41" s="49">
        <f>P41-Q41</f>
        <v>-3</v>
      </c>
      <c r="S41" s="50">
        <f>SUMIF($D$8:$D$55,$O41,$K$8:$K$55)+SUMIF($F$8:$F$55,$O41,$L$8:$L$55)</f>
        <v>2</v>
      </c>
      <c r="T41" s="95" t="s">
        <v>75</v>
      </c>
      <c r="U41" s="40"/>
      <c r="V41" s="40" t="str">
        <f>O41</f>
        <v>Iran</v>
      </c>
      <c r="W41" s="40" t="s">
        <v>74</v>
      </c>
      <c r="Y41" s="109">
        <f t="shared" si="8"/>
        <v>10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10</v>
      </c>
      <c r="AG41" s="108">
        <f t="shared" si="0"/>
        <v>1</v>
      </c>
      <c r="AH41" s="108">
        <f t="shared" si="1"/>
        <v>1</v>
      </c>
      <c r="AI41" s="108">
        <f t="shared" si="10"/>
        <v>10</v>
      </c>
      <c r="AJ41" s="108">
        <f t="shared" si="2"/>
        <v>5</v>
      </c>
      <c r="AK41" s="108">
        <f t="shared" si="3"/>
        <v>0</v>
      </c>
      <c r="AL41" s="108">
        <f t="shared" si="4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18">
        <v>35</v>
      </c>
      <c r="C42" s="19">
        <v>41813</v>
      </c>
      <c r="D42" s="20" t="s">
        <v>12</v>
      </c>
      <c r="E42" s="21" t="s">
        <v>9</v>
      </c>
      <c r="F42" s="30" t="s">
        <v>8</v>
      </c>
      <c r="G42" s="86">
        <v>0</v>
      </c>
      <c r="H42" s="21" t="s">
        <v>9</v>
      </c>
      <c r="I42" s="91">
        <v>2</v>
      </c>
      <c r="J42" s="23">
        <f t="shared" si="5"/>
        <v>2</v>
      </c>
      <c r="K42" s="11">
        <f t="shared" si="6"/>
        <v>0</v>
      </c>
      <c r="L42" s="11">
        <f t="shared" si="7"/>
        <v>3</v>
      </c>
      <c r="O42" s="51" t="s">
        <v>34</v>
      </c>
      <c r="P42" s="52">
        <f>SUMIF($D$8:$D$55,$O42,$G$8:$G$55)+SUMIF($F$8:$F$55,$O42,$I$8:$I$55)</f>
        <v>3</v>
      </c>
      <c r="Q42" s="52">
        <f>SUMIF($D$8:$D$55,$O42,$I$8:$I$55)+SUMIF($F$8:$F$55,$O42,$G$8:$G$55)</f>
        <v>6</v>
      </c>
      <c r="R42" s="52">
        <f>P42-Q42</f>
        <v>-3</v>
      </c>
      <c r="S42" s="53">
        <f>SUMIF($D$8:$D$55,$O42,$K$8:$K$55)+SUMIF($F$8:$F$55,$O42,$L$8:$L$55)</f>
        <v>2</v>
      </c>
      <c r="T42" s="96" t="s">
        <v>74</v>
      </c>
      <c r="U42" s="40"/>
      <c r="V42" s="40" t="str">
        <f>O42</f>
        <v>Nigeria</v>
      </c>
      <c r="W42" s="40" t="s">
        <v>75</v>
      </c>
      <c r="Y42" s="109">
        <f t="shared" si="8"/>
        <v>5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5</v>
      </c>
      <c r="AG42" s="108">
        <f t="shared" si="0"/>
        <v>0</v>
      </c>
      <c r="AH42" s="108">
        <f t="shared" si="1"/>
        <v>0</v>
      </c>
      <c r="AI42" s="108">
        <f t="shared" si="10"/>
        <v>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0</v>
      </c>
      <c r="AN42" s="118" t="s">
        <v>34</v>
      </c>
      <c r="AO42" s="115">
        <f>IF(Uitslag!T42="",0,IF(T42=Uitslag!T42,10,0))</f>
        <v>0</v>
      </c>
    </row>
    <row r="43" spans="2:41" ht="15.75" thickBot="1">
      <c r="B43" s="24">
        <v>36</v>
      </c>
      <c r="C43" s="25">
        <v>41813</v>
      </c>
      <c r="D43" s="26" t="s">
        <v>10</v>
      </c>
      <c r="E43" s="27" t="s">
        <v>9</v>
      </c>
      <c r="F43" s="28" t="s">
        <v>11</v>
      </c>
      <c r="G43" s="87">
        <v>1</v>
      </c>
      <c r="H43" s="27" t="s">
        <v>9</v>
      </c>
      <c r="I43" s="92">
        <v>1</v>
      </c>
      <c r="J43" s="29">
        <f t="shared" si="5"/>
        <v>3</v>
      </c>
      <c r="K43" s="11">
        <f t="shared" si="6"/>
        <v>1</v>
      </c>
      <c r="L43" s="11">
        <f t="shared" si="7"/>
        <v>1</v>
      </c>
      <c r="O43" s="40"/>
      <c r="P43" s="41"/>
      <c r="Q43" s="41"/>
      <c r="R43" s="41"/>
      <c r="S43" s="41"/>
      <c r="T43" s="41"/>
      <c r="U43" s="40"/>
      <c r="V43" s="40"/>
      <c r="W43" s="40"/>
      <c r="Y43" s="109">
        <f t="shared" si="8"/>
        <v>1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1</v>
      </c>
      <c r="AG43" s="108">
        <f t="shared" si="0"/>
        <v>1</v>
      </c>
      <c r="AH43" s="108">
        <f t="shared" si="1"/>
        <v>0</v>
      </c>
      <c r="AI43" s="108">
        <f t="shared" si="10"/>
        <v>0</v>
      </c>
      <c r="AJ43" s="108">
        <f t="shared" si="2"/>
        <v>0</v>
      </c>
      <c r="AK43" s="108">
        <f t="shared" si="3"/>
        <v>0</v>
      </c>
      <c r="AL43" s="108">
        <f t="shared" si="4"/>
        <v>0</v>
      </c>
      <c r="AN43" s="40"/>
      <c r="AO43" s="41"/>
    </row>
    <row r="44" spans="2:41" ht="15.75" thickBot="1">
      <c r="B44" s="12">
        <v>37</v>
      </c>
      <c r="C44" s="13">
        <v>41814</v>
      </c>
      <c r="D44" s="14" t="s">
        <v>22</v>
      </c>
      <c r="E44" s="15" t="s">
        <v>9</v>
      </c>
      <c r="F44" s="16" t="s">
        <v>19</v>
      </c>
      <c r="G44" s="85">
        <v>1</v>
      </c>
      <c r="H44" s="15" t="s">
        <v>9</v>
      </c>
      <c r="I44" s="90">
        <v>0</v>
      </c>
      <c r="J44" s="17">
        <f t="shared" si="5"/>
        <v>1</v>
      </c>
      <c r="K44" s="11">
        <f t="shared" si="6"/>
        <v>3</v>
      </c>
      <c r="L44" s="11">
        <f t="shared" si="7"/>
        <v>0</v>
      </c>
      <c r="O44" s="72" t="s">
        <v>76</v>
      </c>
      <c r="P44" s="73" t="s">
        <v>42</v>
      </c>
      <c r="Q44" s="73" t="s">
        <v>43</v>
      </c>
      <c r="R44" s="74" t="s">
        <v>44</v>
      </c>
      <c r="S44" s="75" t="s">
        <v>45</v>
      </c>
      <c r="T44" s="76" t="s">
        <v>46</v>
      </c>
      <c r="U44" s="40"/>
      <c r="V44" s="40"/>
      <c r="W44" s="40"/>
      <c r="Y44" s="109">
        <f t="shared" si="8"/>
        <v>0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0</v>
      </c>
      <c r="AG44" s="108">
        <f t="shared" si="0"/>
        <v>0</v>
      </c>
      <c r="AH44" s="108">
        <f t="shared" si="1"/>
        <v>0</v>
      </c>
      <c r="AI44" s="108">
        <f t="shared" si="10"/>
        <v>0</v>
      </c>
      <c r="AJ44" s="108">
        <f t="shared" si="2"/>
        <v>0</v>
      </c>
      <c r="AK44" s="108">
        <f t="shared" si="3"/>
        <v>0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18">
        <v>38</v>
      </c>
      <c r="C45" s="19">
        <v>41814</v>
      </c>
      <c r="D45" s="20" t="s">
        <v>20</v>
      </c>
      <c r="E45" s="21" t="s">
        <v>9</v>
      </c>
      <c r="F45" s="30" t="s">
        <v>21</v>
      </c>
      <c r="G45" s="86">
        <v>0</v>
      </c>
      <c r="H45" s="21" t="s">
        <v>9</v>
      </c>
      <c r="I45" s="91">
        <v>2</v>
      </c>
      <c r="J45" s="23">
        <f t="shared" si="5"/>
        <v>2</v>
      </c>
      <c r="K45" s="11">
        <f t="shared" si="6"/>
        <v>0</v>
      </c>
      <c r="L45" s="11">
        <f t="shared" si="7"/>
        <v>3</v>
      </c>
      <c r="O45" s="44" t="s">
        <v>31</v>
      </c>
      <c r="P45" s="45">
        <f>SUMIF($D$8:$D$55,$O45,$G$8:$G$55)+SUMIF($F$8:$F$55,$O45,$I$8:$I$55)</f>
        <v>5</v>
      </c>
      <c r="Q45" s="45">
        <f>SUMIF($D$8:$D$55,$O45,$I$8:$I$55)+SUMIF($F$8:$F$55,$O45,$G$8:$G$55)</f>
        <v>2</v>
      </c>
      <c r="R45" s="46">
        <f>P45-Q45</f>
        <v>3</v>
      </c>
      <c r="S45" s="47">
        <f>SUMIF($D$8:$D$55,$O45,$K$8:$K$55)+SUMIF($F$8:$F$55,$O45,$L$8:$L$55)</f>
        <v>5</v>
      </c>
      <c r="T45" s="94" t="s">
        <v>78</v>
      </c>
      <c r="U45" s="40"/>
      <c r="V45" s="40" t="str">
        <f>O45</f>
        <v>Duitsland</v>
      </c>
      <c r="W45" s="40" t="s">
        <v>77</v>
      </c>
      <c r="Y45" s="109">
        <f t="shared" si="8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1</v>
      </c>
      <c r="AG45" s="108">
        <f t="shared" si="0"/>
        <v>1</v>
      </c>
      <c r="AH45" s="108">
        <f t="shared" si="1"/>
        <v>0</v>
      </c>
      <c r="AI45" s="108">
        <f t="shared" si="10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0</v>
      </c>
      <c r="AN45" s="116" t="s">
        <v>31</v>
      </c>
      <c r="AO45" s="115">
        <f>IF(Uitslag!T45="",0,IF(T45=Uitslag!T45,10,0))</f>
        <v>0</v>
      </c>
    </row>
    <row r="46" spans="2:41" ht="15.75" thickBot="1">
      <c r="B46" s="18">
        <v>39</v>
      </c>
      <c r="C46" s="19">
        <v>41814</v>
      </c>
      <c r="D46" s="20" t="s">
        <v>24</v>
      </c>
      <c r="E46" s="21" t="s">
        <v>9</v>
      </c>
      <c r="F46" s="30" t="s">
        <v>17</v>
      </c>
      <c r="G46" s="86">
        <v>3</v>
      </c>
      <c r="H46" s="21" t="s">
        <v>9</v>
      </c>
      <c r="I46" s="91">
        <v>1</v>
      </c>
      <c r="J46" s="23">
        <f t="shared" si="5"/>
        <v>1</v>
      </c>
      <c r="K46" s="11">
        <f t="shared" si="6"/>
        <v>3</v>
      </c>
      <c r="L46" s="11">
        <f t="shared" si="7"/>
        <v>0</v>
      </c>
      <c r="O46" s="48" t="s">
        <v>32</v>
      </c>
      <c r="P46" s="49">
        <f>SUMIF($D$8:$D$55,$O46,$G$8:$G$55)+SUMIF($F$8:$F$55,$O46,$I$8:$I$55)</f>
        <v>5</v>
      </c>
      <c r="Q46" s="49">
        <f>SUMIF($D$8:$D$55,$O46,$I$8:$I$55)+SUMIF($F$8:$F$55,$O46,$G$8:$G$55)</f>
        <v>1</v>
      </c>
      <c r="R46" s="49">
        <f>P46-Q46</f>
        <v>4</v>
      </c>
      <c r="S46" s="50">
        <f>SUMIF($D$8:$D$55,$O46,$K$8:$K$55)+SUMIF($F$8:$F$55,$O46,$L$8:$L$55)</f>
        <v>7</v>
      </c>
      <c r="T46" s="95" t="s">
        <v>77</v>
      </c>
      <c r="U46" s="40"/>
      <c r="V46" s="40" t="str">
        <f>O46</f>
        <v>Portugal</v>
      </c>
      <c r="W46" s="40" t="s">
        <v>78</v>
      </c>
      <c r="Y46" s="109">
        <f t="shared" si="8"/>
        <v>0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0</v>
      </c>
      <c r="AG46" s="108">
        <f t="shared" si="0"/>
        <v>0</v>
      </c>
      <c r="AH46" s="108">
        <f t="shared" si="1"/>
        <v>0</v>
      </c>
      <c r="AI46" s="108">
        <f t="shared" si="10"/>
        <v>0</v>
      </c>
      <c r="AJ46" s="108">
        <f t="shared" si="2"/>
        <v>0</v>
      </c>
      <c r="AK46" s="108">
        <f t="shared" si="3"/>
        <v>0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24">
        <v>40</v>
      </c>
      <c r="C47" s="25">
        <v>41814</v>
      </c>
      <c r="D47" s="26" t="s">
        <v>18</v>
      </c>
      <c r="E47" s="27" t="s">
        <v>9</v>
      </c>
      <c r="F47" s="28" t="s">
        <v>23</v>
      </c>
      <c r="G47" s="87">
        <v>1</v>
      </c>
      <c r="H47" s="27" t="s">
        <v>9</v>
      </c>
      <c r="I47" s="92">
        <v>0</v>
      </c>
      <c r="J47" s="29">
        <f t="shared" si="5"/>
        <v>1</v>
      </c>
      <c r="K47" s="11">
        <f t="shared" si="6"/>
        <v>3</v>
      </c>
      <c r="L47" s="11">
        <f t="shared" si="7"/>
        <v>0</v>
      </c>
      <c r="O47" s="48" t="s">
        <v>35</v>
      </c>
      <c r="P47" s="49">
        <f>SUMIF($D$8:$D$55,$O47,$G$8:$G$55)+SUMIF($F$8:$F$55,$O47,$I$8:$I$55)</f>
        <v>0</v>
      </c>
      <c r="Q47" s="49">
        <f>SUMIF($D$8:$D$55,$O47,$I$8:$I$55)+SUMIF($F$8:$F$55,$O47,$G$8:$G$55)</f>
        <v>7</v>
      </c>
      <c r="R47" s="49">
        <f>P47-Q47</f>
        <v>-7</v>
      </c>
      <c r="S47" s="50">
        <f>SUMIF($D$8:$D$55,$O47,$K$8:$K$55)+SUMIF($F$8:$F$55,$O47,$L$8:$L$55)</f>
        <v>0</v>
      </c>
      <c r="T47" s="95" t="s">
        <v>80</v>
      </c>
      <c r="U47" s="40"/>
      <c r="V47" s="40" t="str">
        <f>O47</f>
        <v>Ghana</v>
      </c>
      <c r="W47" s="40" t="s">
        <v>79</v>
      </c>
      <c r="Y47" s="109">
        <f t="shared" si="8"/>
        <v>5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5</v>
      </c>
      <c r="AG47" s="108">
        <f t="shared" si="0"/>
        <v>0</v>
      </c>
      <c r="AH47" s="108">
        <f t="shared" si="1"/>
        <v>0</v>
      </c>
      <c r="AI47" s="108">
        <f t="shared" si="10"/>
        <v>0</v>
      </c>
      <c r="AJ47" s="108">
        <f t="shared" si="2"/>
        <v>5</v>
      </c>
      <c r="AK47" s="108">
        <f t="shared" si="3"/>
        <v>0</v>
      </c>
      <c r="AL47" s="108">
        <f t="shared" si="4"/>
        <v>0</v>
      </c>
      <c r="AM47" s="120">
        <f>AO47</f>
        <v>10</v>
      </c>
      <c r="AN47" s="117" t="s">
        <v>35</v>
      </c>
      <c r="AO47" s="115">
        <f>IF(Uitslag!T47="",0,IF(T47=Uitslag!T47,10,0))</f>
        <v>10</v>
      </c>
    </row>
    <row r="48" spans="2:41" ht="15.75" thickBot="1">
      <c r="B48" s="12">
        <v>41</v>
      </c>
      <c r="C48" s="13">
        <v>41815</v>
      </c>
      <c r="D48" s="14" t="s">
        <v>34</v>
      </c>
      <c r="E48" s="15" t="s">
        <v>9</v>
      </c>
      <c r="F48" s="16" t="s">
        <v>29</v>
      </c>
      <c r="G48" s="85">
        <v>0</v>
      </c>
      <c r="H48" s="15" t="s">
        <v>9</v>
      </c>
      <c r="I48" s="90">
        <v>3</v>
      </c>
      <c r="J48" s="17">
        <f t="shared" si="5"/>
        <v>2</v>
      </c>
      <c r="K48" s="11">
        <f t="shared" si="6"/>
        <v>0</v>
      </c>
      <c r="L48" s="11">
        <f t="shared" si="7"/>
        <v>3</v>
      </c>
      <c r="O48" s="51" t="s">
        <v>36</v>
      </c>
      <c r="P48" s="52">
        <f>SUMIF($D$8:$D$55,$O48,$G$8:$G$55)+SUMIF($F$8:$F$55,$O48,$I$8:$I$55)</f>
        <v>3</v>
      </c>
      <c r="Q48" s="52">
        <f>SUMIF($D$8:$D$55,$O48,$I$8:$I$55)+SUMIF($F$8:$F$55,$O48,$G$8:$G$55)</f>
        <v>3</v>
      </c>
      <c r="R48" s="52">
        <f>P48-Q48</f>
        <v>0</v>
      </c>
      <c r="S48" s="53">
        <f>SUMIF($D$8:$D$55,$O48,$K$8:$K$55)+SUMIF($F$8:$F$55,$O48,$L$8:$L$55)</f>
        <v>4</v>
      </c>
      <c r="T48" s="96" t="s">
        <v>79</v>
      </c>
      <c r="U48" s="40"/>
      <c r="V48" s="40" t="str">
        <f>O48</f>
        <v>Verenigde Staten</v>
      </c>
      <c r="W48" s="40" t="s">
        <v>80</v>
      </c>
      <c r="Y48" s="109">
        <f t="shared" si="8"/>
        <v>6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6</v>
      </c>
      <c r="AG48" s="108">
        <f t="shared" si="0"/>
        <v>0</v>
      </c>
      <c r="AH48" s="108">
        <f t="shared" si="1"/>
        <v>1</v>
      </c>
      <c r="AI48" s="108">
        <f t="shared" si="10"/>
        <v>0</v>
      </c>
      <c r="AJ48" s="108">
        <f t="shared" si="2"/>
        <v>0</v>
      </c>
      <c r="AK48" s="108">
        <f t="shared" si="3"/>
        <v>5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18">
        <v>42</v>
      </c>
      <c r="C49" s="19">
        <v>41815</v>
      </c>
      <c r="D49" s="20" t="s">
        <v>30</v>
      </c>
      <c r="E49" s="21" t="s">
        <v>9</v>
      </c>
      <c r="F49" s="30" t="s">
        <v>33</v>
      </c>
      <c r="G49" s="86">
        <v>1</v>
      </c>
      <c r="H49" s="21" t="s">
        <v>9</v>
      </c>
      <c r="I49" s="91">
        <v>1</v>
      </c>
      <c r="J49" s="23">
        <f t="shared" si="5"/>
        <v>3</v>
      </c>
      <c r="K49" s="11">
        <f t="shared" si="6"/>
        <v>1</v>
      </c>
      <c r="L49" s="11">
        <f t="shared" si="7"/>
        <v>1</v>
      </c>
      <c r="O49" s="40"/>
      <c r="P49" s="41"/>
      <c r="Q49" s="41"/>
      <c r="R49" s="41"/>
      <c r="S49" s="41"/>
      <c r="T49" s="41"/>
      <c r="U49" s="40"/>
      <c r="V49" s="40"/>
      <c r="W49" s="40"/>
      <c r="Y49" s="109">
        <f t="shared" si="8"/>
        <v>1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1</v>
      </c>
      <c r="AG49" s="108">
        <f t="shared" si="0"/>
        <v>0</v>
      </c>
      <c r="AH49" s="108">
        <f t="shared" si="1"/>
        <v>1</v>
      </c>
      <c r="AI49" s="108">
        <f t="shared" si="10"/>
        <v>0</v>
      </c>
      <c r="AJ49" s="108">
        <f t="shared" si="2"/>
        <v>0</v>
      </c>
      <c r="AK49" s="108">
        <f t="shared" si="3"/>
        <v>0</v>
      </c>
      <c r="AL49" s="108">
        <f t="shared" si="4"/>
        <v>0</v>
      </c>
      <c r="AN49" s="40"/>
      <c r="AO49" s="41"/>
    </row>
    <row r="50" spans="2:54" ht="15.75" thickBot="1">
      <c r="B50" s="18">
        <v>43</v>
      </c>
      <c r="C50" s="19">
        <v>41815</v>
      </c>
      <c r="D50" s="20" t="s">
        <v>28</v>
      </c>
      <c r="E50" s="21" t="s">
        <v>9</v>
      </c>
      <c r="F50" s="30" t="s">
        <v>25</v>
      </c>
      <c r="G50" s="86">
        <v>0</v>
      </c>
      <c r="H50" s="21" t="s">
        <v>9</v>
      </c>
      <c r="I50" s="91">
        <v>2</v>
      </c>
      <c r="J50" s="23">
        <f t="shared" si="5"/>
        <v>2</v>
      </c>
      <c r="K50" s="11">
        <f t="shared" si="6"/>
        <v>0</v>
      </c>
      <c r="L50" s="11">
        <f t="shared" si="7"/>
        <v>3</v>
      </c>
      <c r="O50" s="72" t="s">
        <v>81</v>
      </c>
      <c r="P50" s="73" t="s">
        <v>42</v>
      </c>
      <c r="Q50" s="73" t="s">
        <v>43</v>
      </c>
      <c r="R50" s="74" t="s">
        <v>44</v>
      </c>
      <c r="S50" s="75" t="s">
        <v>45</v>
      </c>
      <c r="T50" s="76" t="s">
        <v>46</v>
      </c>
      <c r="U50" s="40"/>
      <c r="V50" s="40"/>
      <c r="W50" s="40"/>
      <c r="Y50" s="109">
        <f t="shared" si="8"/>
        <v>6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6</v>
      </c>
      <c r="AG50" s="108">
        <f t="shared" si="0"/>
        <v>1</v>
      </c>
      <c r="AH50" s="108">
        <f t="shared" si="1"/>
        <v>0</v>
      </c>
      <c r="AI50" s="108">
        <f t="shared" si="10"/>
        <v>0</v>
      </c>
      <c r="AJ50" s="108">
        <f t="shared" si="2"/>
        <v>0</v>
      </c>
      <c r="AK50" s="108">
        <f t="shared" si="3"/>
        <v>5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24">
        <v>44</v>
      </c>
      <c r="C51" s="25">
        <v>41815</v>
      </c>
      <c r="D51" s="26" t="s">
        <v>26</v>
      </c>
      <c r="E51" s="27" t="s">
        <v>9</v>
      </c>
      <c r="F51" s="28" t="s">
        <v>27</v>
      </c>
      <c r="G51" s="87">
        <v>0</v>
      </c>
      <c r="H51" s="27" t="s">
        <v>9</v>
      </c>
      <c r="I51" s="92">
        <v>2</v>
      </c>
      <c r="J51" s="29">
        <f t="shared" si="5"/>
        <v>2</v>
      </c>
      <c r="K51" s="11">
        <f t="shared" si="6"/>
        <v>0</v>
      </c>
      <c r="L51" s="11">
        <f>IF(I51="","",IF($G51&lt;$I51,3,IF($G51=$I51,1,0)))</f>
        <v>3</v>
      </c>
      <c r="O51" s="44" t="s">
        <v>37</v>
      </c>
      <c r="P51" s="45">
        <f>SUMIF($D$8:$D$55,$O51,$G$8:$G$55)+SUMIF($F$8:$F$55,$O51,$I$8:$I$55)</f>
        <v>5</v>
      </c>
      <c r="Q51" s="45">
        <f>SUMIF($D$8:$D$55,$O51,$I$8:$I$55)+SUMIF($F$8:$F$55,$O51,$G$8:$G$55)</f>
        <v>2</v>
      </c>
      <c r="R51" s="46">
        <f>P51-Q51</f>
        <v>3</v>
      </c>
      <c r="S51" s="47">
        <f>SUMIF($D$8:$D$55,$O51,$K$8:$K$55)+SUMIF($F$8:$F$55,$O51,$L$8:$L$55)</f>
        <v>7</v>
      </c>
      <c r="T51" s="94" t="s">
        <v>82</v>
      </c>
      <c r="U51" s="40"/>
      <c r="V51" s="40" t="str">
        <f>O51</f>
        <v>België</v>
      </c>
      <c r="W51" s="40" t="s">
        <v>82</v>
      </c>
      <c r="Y51" s="109">
        <f t="shared" si="8"/>
        <v>1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1</v>
      </c>
      <c r="AG51" s="108">
        <f t="shared" si="0"/>
        <v>1</v>
      </c>
      <c r="AH51" s="108">
        <f t="shared" si="1"/>
        <v>0</v>
      </c>
      <c r="AI51" s="108">
        <f t="shared" si="10"/>
        <v>0</v>
      </c>
      <c r="AJ51" s="108">
        <f t="shared" si="2"/>
        <v>0</v>
      </c>
      <c r="AK51" s="108">
        <f t="shared" si="3"/>
        <v>0</v>
      </c>
      <c r="AL51" s="108">
        <f t="shared" si="4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18">
        <v>45</v>
      </c>
      <c r="C52" s="19">
        <v>41816</v>
      </c>
      <c r="D52" s="20" t="s">
        <v>36</v>
      </c>
      <c r="E52" s="21" t="s">
        <v>9</v>
      </c>
      <c r="F52" s="30" t="s">
        <v>31</v>
      </c>
      <c r="G52" s="86">
        <v>1</v>
      </c>
      <c r="H52" s="21" t="s">
        <v>9</v>
      </c>
      <c r="I52" s="91">
        <v>1</v>
      </c>
      <c r="J52" s="17">
        <f t="shared" si="5"/>
        <v>3</v>
      </c>
      <c r="K52" s="11">
        <f t="shared" si="6"/>
        <v>1</v>
      </c>
      <c r="L52" s="11">
        <f t="shared" si="7"/>
        <v>1</v>
      </c>
      <c r="O52" s="48" t="s">
        <v>38</v>
      </c>
      <c r="P52" s="49">
        <f>SUMIF($D$8:$D$55,$O52,$G$8:$G$55)+SUMIF($F$8:$F$55,$O52,$I$8:$I$55)</f>
        <v>0</v>
      </c>
      <c r="Q52" s="49">
        <f>SUMIF($D$8:$D$55,$O52,$I$8:$I$55)+SUMIF($F$8:$F$55,$O52,$G$8:$G$55)</f>
        <v>7</v>
      </c>
      <c r="R52" s="49">
        <f>P52-Q52</f>
        <v>-7</v>
      </c>
      <c r="S52" s="50">
        <f>SUMIF($D$8:$D$55,$O52,$K$8:$K$55)+SUMIF($F$8:$F$55,$O52,$L$8:$L$55)</f>
        <v>0</v>
      </c>
      <c r="T52" s="95" t="s">
        <v>85</v>
      </c>
      <c r="U52" s="40"/>
      <c r="V52" s="40" t="str">
        <f>O52</f>
        <v>Algerije</v>
      </c>
      <c r="W52" s="40" t="s">
        <v>83</v>
      </c>
      <c r="Y52" s="109">
        <f t="shared" si="8"/>
        <v>1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1</v>
      </c>
      <c r="AG52" s="108">
        <f t="shared" si="0"/>
        <v>0</v>
      </c>
      <c r="AH52" s="108">
        <f t="shared" si="1"/>
        <v>1</v>
      </c>
      <c r="AI52" s="108">
        <f t="shared" si="10"/>
        <v>0</v>
      </c>
      <c r="AJ52" s="108">
        <f t="shared" si="2"/>
        <v>0</v>
      </c>
      <c r="AK52" s="108">
        <f t="shared" si="3"/>
        <v>0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18">
        <v>46</v>
      </c>
      <c r="C53" s="19">
        <v>41816</v>
      </c>
      <c r="D53" s="20" t="s">
        <v>32</v>
      </c>
      <c r="E53" s="21" t="s">
        <v>9</v>
      </c>
      <c r="F53" s="30" t="s">
        <v>35</v>
      </c>
      <c r="G53" s="86">
        <v>2</v>
      </c>
      <c r="H53" s="21" t="s">
        <v>9</v>
      </c>
      <c r="I53" s="91">
        <v>0</v>
      </c>
      <c r="J53" s="23">
        <f t="shared" si="5"/>
        <v>1</v>
      </c>
      <c r="K53" s="11">
        <f t="shared" si="6"/>
        <v>3</v>
      </c>
      <c r="L53" s="11">
        <f t="shared" si="7"/>
        <v>0</v>
      </c>
      <c r="O53" s="48" t="s">
        <v>39</v>
      </c>
      <c r="P53" s="49">
        <f>SUMIF($D$8:$D$55,$O53,$G$8:$G$55)+SUMIF($F$8:$F$55,$O53,$I$8:$I$55)</f>
        <v>3</v>
      </c>
      <c r="Q53" s="49">
        <f>SUMIF($D$8:$D$55,$O53,$I$8:$I$55)+SUMIF($F$8:$F$55,$O53,$G$8:$G$55)</f>
        <v>2</v>
      </c>
      <c r="R53" s="49">
        <f>P53-Q53</f>
        <v>1</v>
      </c>
      <c r="S53" s="50">
        <f>SUMIF($D$8:$D$55,$O53,$K$8:$K$55)+SUMIF($F$8:$F$55,$O53,$L$8:$L$55)</f>
        <v>4</v>
      </c>
      <c r="T53" s="95" t="s">
        <v>84</v>
      </c>
      <c r="U53" s="40"/>
      <c r="V53" s="40" t="str">
        <f>O53</f>
        <v>Rusland</v>
      </c>
      <c r="W53" s="40" t="s">
        <v>84</v>
      </c>
      <c r="Y53" s="109">
        <f t="shared" si="8"/>
        <v>6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6</v>
      </c>
      <c r="AG53" s="108">
        <f t="shared" si="0"/>
        <v>1</v>
      </c>
      <c r="AH53" s="108">
        <f t="shared" si="1"/>
        <v>0</v>
      </c>
      <c r="AI53" s="108">
        <f t="shared" si="10"/>
        <v>0</v>
      </c>
      <c r="AJ53" s="108">
        <f t="shared" si="2"/>
        <v>5</v>
      </c>
      <c r="AK53" s="108">
        <f t="shared" si="3"/>
        <v>0</v>
      </c>
      <c r="AL53" s="108">
        <f t="shared" si="4"/>
        <v>0</v>
      </c>
      <c r="AM53" s="120">
        <f>AO53</f>
        <v>10</v>
      </c>
      <c r="AN53" s="117" t="s">
        <v>39</v>
      </c>
      <c r="AO53" s="115">
        <f>IF(Uitslag!T53="",0,IF(T53=Uitslag!T53,10,0))</f>
        <v>10</v>
      </c>
    </row>
    <row r="54" spans="2:54" ht="15.75" thickBot="1">
      <c r="B54" s="18">
        <v>47</v>
      </c>
      <c r="C54" s="19">
        <v>41816</v>
      </c>
      <c r="D54" s="20" t="s">
        <v>40</v>
      </c>
      <c r="E54" s="21" t="s">
        <v>9</v>
      </c>
      <c r="F54" s="30" t="s">
        <v>37</v>
      </c>
      <c r="G54" s="86">
        <v>1</v>
      </c>
      <c r="H54" s="21" t="s">
        <v>9</v>
      </c>
      <c r="I54" s="91">
        <v>2</v>
      </c>
      <c r="J54" s="23">
        <f t="shared" si="5"/>
        <v>2</v>
      </c>
      <c r="K54" s="11">
        <f t="shared" si="6"/>
        <v>0</v>
      </c>
      <c r="L54" s="11">
        <f t="shared" si="7"/>
        <v>3</v>
      </c>
      <c r="O54" s="51" t="s">
        <v>40</v>
      </c>
      <c r="P54" s="52">
        <f>SUMIF($D$8:$D$55,$O54,$G$8:$G$55)+SUMIF($F$8:$F$55,$O54,$I$8:$I$55)</f>
        <v>5</v>
      </c>
      <c r="Q54" s="52">
        <f>SUMIF($D$8:$D$55,$O54,$I$8:$I$55)+SUMIF($F$8:$F$55,$O54,$G$8:$G$55)</f>
        <v>2</v>
      </c>
      <c r="R54" s="52">
        <f>P54-Q54</f>
        <v>3</v>
      </c>
      <c r="S54" s="53">
        <f>SUMIF($D$8:$D$55,$O54,$K$8:$K$55)+SUMIF($F$8:$F$55,$O54,$L$8:$L$55)</f>
        <v>6</v>
      </c>
      <c r="T54" s="96" t="s">
        <v>83</v>
      </c>
      <c r="U54" s="40"/>
      <c r="V54" s="40" t="str">
        <f>O54</f>
        <v>Zuid Korea</v>
      </c>
      <c r="W54" s="40" t="s">
        <v>85</v>
      </c>
      <c r="Y54" s="109">
        <f t="shared" si="8"/>
        <v>5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5</v>
      </c>
      <c r="AG54" s="108">
        <f t="shared" si="0"/>
        <v>0</v>
      </c>
      <c r="AH54" s="108">
        <f t="shared" si="1"/>
        <v>0</v>
      </c>
      <c r="AI54" s="108">
        <f t="shared" si="10"/>
        <v>0</v>
      </c>
      <c r="AJ54" s="108">
        <f t="shared" si="2"/>
        <v>0</v>
      </c>
      <c r="AK54" s="108">
        <f t="shared" si="3"/>
        <v>5</v>
      </c>
      <c r="AL54" s="108">
        <f t="shared" si="4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3">
        <v>48</v>
      </c>
      <c r="C55" s="34">
        <v>41816</v>
      </c>
      <c r="D55" s="35" t="s">
        <v>38</v>
      </c>
      <c r="E55" s="36" t="s">
        <v>9</v>
      </c>
      <c r="F55" s="37" t="s">
        <v>39</v>
      </c>
      <c r="G55" s="88">
        <v>0</v>
      </c>
      <c r="H55" s="36" t="s">
        <v>9</v>
      </c>
      <c r="I55" s="93">
        <v>2</v>
      </c>
      <c r="J55" s="38">
        <f t="shared" si="5"/>
        <v>2</v>
      </c>
      <c r="K55" s="11">
        <f t="shared" si="6"/>
        <v>0</v>
      </c>
      <c r="L55" s="11">
        <f t="shared" si="7"/>
        <v>3</v>
      </c>
      <c r="O55" s="40"/>
      <c r="P55" s="41"/>
      <c r="Q55" s="41"/>
      <c r="R55" s="41"/>
      <c r="S55" s="41"/>
      <c r="T55" s="41"/>
      <c r="U55" s="40"/>
      <c r="V55" s="40"/>
      <c r="W55" s="40"/>
      <c r="Y55" s="109">
        <f t="shared" si="8"/>
        <v>0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0</v>
      </c>
      <c r="AG55" s="108">
        <f t="shared" si="0"/>
        <v>0</v>
      </c>
      <c r="AH55" s="108">
        <f t="shared" si="1"/>
        <v>0</v>
      </c>
      <c r="AI55" s="108">
        <f t="shared" si="10"/>
        <v>0</v>
      </c>
      <c r="AJ55" s="108">
        <f t="shared" si="2"/>
        <v>0</v>
      </c>
      <c r="AK55" s="108">
        <f t="shared" si="3"/>
        <v>0</v>
      </c>
      <c r="AL55" s="108">
        <f t="shared" si="4"/>
        <v>0</v>
      </c>
    </row>
    <row r="56" spans="2:54" ht="15.75" thickBot="1">
      <c r="B56" s="1"/>
      <c r="C56" s="39"/>
      <c r="D56" s="40"/>
      <c r="E56" s="1"/>
      <c r="F56" s="40"/>
      <c r="G56" s="1"/>
      <c r="H56" s="1"/>
      <c r="I56" s="1"/>
      <c r="J56" s="1"/>
      <c r="K56" s="1"/>
      <c r="L56" s="1"/>
      <c r="M56" s="1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195"/>
      <c r="K57" s="1"/>
      <c r="L57" s="1"/>
      <c r="M57" s="1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78" t="s">
        <v>1</v>
      </c>
      <c r="C58" s="79" t="s">
        <v>2</v>
      </c>
      <c r="D58" s="187" t="s">
        <v>3</v>
      </c>
      <c r="E58" s="81"/>
      <c r="F58" s="194" t="s">
        <v>4</v>
      </c>
      <c r="G58" s="867" t="s">
        <v>5</v>
      </c>
      <c r="H58" s="868"/>
      <c r="I58" s="869"/>
      <c r="J58" s="83" t="s">
        <v>6</v>
      </c>
      <c r="K58" s="1"/>
      <c r="L58" s="1"/>
      <c r="M58" s="1"/>
      <c r="O58" s="135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12">
        <v>49</v>
      </c>
      <c r="C59" s="189">
        <v>41818</v>
      </c>
      <c r="D59" s="153" t="str">
        <f>IF(ISERROR(Z59),K59,Z59)</f>
        <v>Brazilië</v>
      </c>
      <c r="E59" s="15" t="s">
        <v>9</v>
      </c>
      <c r="F59" s="56" t="str">
        <f>IF(ISERROR(AA59),L59,AA59)</f>
        <v>Nederland</v>
      </c>
      <c r="G59" s="85">
        <v>1</v>
      </c>
      <c r="H59" s="15" t="s">
        <v>9</v>
      </c>
      <c r="I59" s="97">
        <v>0</v>
      </c>
      <c r="J59" s="98">
        <v>1</v>
      </c>
      <c r="K59" s="57" t="s">
        <v>48</v>
      </c>
      <c r="L59" s="57" t="s">
        <v>53</v>
      </c>
      <c r="M59" s="57">
        <v>1</v>
      </c>
      <c r="O59" s="135">
        <v>2</v>
      </c>
      <c r="P59" s="877" t="s">
        <v>209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3">AF59</f>
        <v>1</v>
      </c>
      <c r="Z59" t="str">
        <f t="shared" ref="Z59:AA65" si="14">IF(K59=""," ",VLOOKUP(K59,$T$9:$V$54,3,FALSE))</f>
        <v>Brazilië</v>
      </c>
      <c r="AA59" t="str">
        <f t="shared" si="14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1</v>
      </c>
      <c r="AG59" s="108">
        <f t="shared" ref="AG59:AG66" si="16">IF(AC59="",0,(IF(G59=AC59,1,0)))</f>
        <v>1</v>
      </c>
      <c r="AH59" s="108">
        <f t="shared" ref="AH59:AH66" si="17">IF(AD59="",0,(IF(I59=AD59,1,0)))</f>
        <v>0</v>
      </c>
      <c r="AI59" s="108">
        <f t="shared" ref="AI59:AI66" si="18">IF(AND(AG59=1,AH59=1),10,0)</f>
        <v>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24">
        <v>50</v>
      </c>
      <c r="C60" s="190">
        <v>41818</v>
      </c>
      <c r="D60" s="154" t="str">
        <f t="shared" ref="D60:D66" si="23">IF(ISERROR(Z60),K60,Z60)</f>
        <v>Japan</v>
      </c>
      <c r="E60" s="27" t="s">
        <v>9</v>
      </c>
      <c r="F60" s="59" t="str">
        <f t="shared" ref="F60:F66" si="24">IF(ISERROR(AA60),L60,AA60)</f>
        <v>Uruguay</v>
      </c>
      <c r="G60" s="87">
        <v>1</v>
      </c>
      <c r="H60" s="27" t="s">
        <v>9</v>
      </c>
      <c r="I60" s="99">
        <v>2</v>
      </c>
      <c r="J60" s="100">
        <v>2</v>
      </c>
      <c r="K60" s="57" t="s">
        <v>57</v>
      </c>
      <c r="L60" s="57" t="s">
        <v>63</v>
      </c>
      <c r="M60" s="57">
        <v>2</v>
      </c>
      <c r="O60" s="135">
        <v>3</v>
      </c>
      <c r="P60" s="877" t="s">
        <v>225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3"/>
        <v>0</v>
      </c>
      <c r="Z60" t="str">
        <f t="shared" si="14"/>
        <v>Japan</v>
      </c>
      <c r="AA60" t="str">
        <f t="shared" si="14"/>
        <v>Uruguay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0</v>
      </c>
      <c r="AG60" s="108">
        <f t="shared" si="16"/>
        <v>0</v>
      </c>
      <c r="AH60" s="108">
        <f t="shared" si="17"/>
        <v>0</v>
      </c>
      <c r="AI60" s="108">
        <f t="shared" si="18"/>
        <v>0</v>
      </c>
      <c r="AJ60" s="108">
        <f t="shared" si="19"/>
        <v>0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2"/>
        <v>3</v>
      </c>
    </row>
    <row r="61" spans="2:54">
      <c r="B61" s="12">
        <v>51</v>
      </c>
      <c r="C61" s="189">
        <v>41819</v>
      </c>
      <c r="D61" s="188" t="str">
        <f t="shared" si="23"/>
        <v>Spanje</v>
      </c>
      <c r="E61" s="15" t="s">
        <v>9</v>
      </c>
      <c r="F61" s="56" t="str">
        <f t="shared" si="24"/>
        <v>Mexico</v>
      </c>
      <c r="G61" s="85">
        <v>2</v>
      </c>
      <c r="H61" s="15" t="s">
        <v>9</v>
      </c>
      <c r="I61" s="97">
        <v>0</v>
      </c>
      <c r="J61" s="98">
        <v>1</v>
      </c>
      <c r="K61" s="57" t="s">
        <v>52</v>
      </c>
      <c r="L61" s="57" t="s">
        <v>49</v>
      </c>
      <c r="M61" s="57"/>
      <c r="O61" s="135">
        <v>4</v>
      </c>
      <c r="P61" s="877" t="s">
        <v>211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3"/>
        <v>6</v>
      </c>
      <c r="Z61" t="str">
        <f t="shared" si="14"/>
        <v>Spanje</v>
      </c>
      <c r="AA61" t="str">
        <f t="shared" si="14"/>
        <v>Mexico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6</v>
      </c>
      <c r="AG61" s="108">
        <f t="shared" si="16"/>
        <v>1</v>
      </c>
      <c r="AH61" s="108">
        <f t="shared" si="17"/>
        <v>0</v>
      </c>
      <c r="AI61" s="108">
        <f t="shared" si="18"/>
        <v>0</v>
      </c>
      <c r="AJ61" s="108">
        <f t="shared" si="19"/>
        <v>5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3</v>
      </c>
      <c r="BB61" s="139">
        <f t="shared" si="22"/>
        <v>3</v>
      </c>
    </row>
    <row r="62" spans="2:54">
      <c r="B62" s="24">
        <v>52</v>
      </c>
      <c r="C62" s="190">
        <v>41819</v>
      </c>
      <c r="D62" s="188" t="str">
        <f t="shared" si="23"/>
        <v>Italië</v>
      </c>
      <c r="E62" s="27" t="s">
        <v>9</v>
      </c>
      <c r="F62" s="59" t="str">
        <f t="shared" si="24"/>
        <v>Griekenland</v>
      </c>
      <c r="G62" s="87">
        <v>2</v>
      </c>
      <c r="H62" s="27" t="s">
        <v>9</v>
      </c>
      <c r="I62" s="99">
        <v>0</v>
      </c>
      <c r="J62" s="100">
        <v>1</v>
      </c>
      <c r="K62" s="57" t="s">
        <v>62</v>
      </c>
      <c r="L62" s="57" t="s">
        <v>58</v>
      </c>
      <c r="M62" s="57"/>
      <c r="O62" s="135">
        <v>5</v>
      </c>
      <c r="P62" s="877" t="s">
        <v>220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3"/>
        <v>0</v>
      </c>
      <c r="Z62" t="str">
        <f t="shared" si="14"/>
        <v>Italië</v>
      </c>
      <c r="AA62" t="str">
        <f t="shared" si="14"/>
        <v>Griekenland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0</v>
      </c>
      <c r="AG62" s="108">
        <f t="shared" si="16"/>
        <v>0</v>
      </c>
      <c r="AH62" s="108">
        <f t="shared" si="17"/>
        <v>0</v>
      </c>
      <c r="AI62" s="108">
        <f t="shared" si="18"/>
        <v>0</v>
      </c>
      <c r="AJ62" s="108">
        <f t="shared" si="19"/>
        <v>0</v>
      </c>
      <c r="AK62" s="108">
        <f t="shared" si="20"/>
        <v>0</v>
      </c>
      <c r="AL62" s="108">
        <f t="shared" si="21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2"/>
        <v>3</v>
      </c>
    </row>
    <row r="63" spans="2:54">
      <c r="B63" s="12">
        <v>53</v>
      </c>
      <c r="C63" s="189">
        <v>41820</v>
      </c>
      <c r="D63" s="153" t="str">
        <f t="shared" si="23"/>
        <v>Frankrijk</v>
      </c>
      <c r="E63" s="15" t="s">
        <v>9</v>
      </c>
      <c r="F63" s="56" t="str">
        <f t="shared" si="24"/>
        <v>Bosnië H.</v>
      </c>
      <c r="G63" s="85">
        <v>2</v>
      </c>
      <c r="H63" s="15" t="s">
        <v>9</v>
      </c>
      <c r="I63" s="97">
        <v>1</v>
      </c>
      <c r="J63" s="98">
        <v>1</v>
      </c>
      <c r="K63" s="57" t="s">
        <v>67</v>
      </c>
      <c r="L63" s="57" t="s">
        <v>73</v>
      </c>
      <c r="M63" s="57"/>
      <c r="O63" s="135">
        <v>6</v>
      </c>
      <c r="P63" s="877" t="s">
        <v>213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3"/>
        <v>6</v>
      </c>
      <c r="Z63" t="str">
        <f t="shared" si="14"/>
        <v>Frankrijk</v>
      </c>
      <c r="AA63" t="str">
        <f t="shared" si="14"/>
        <v>Bosnië H.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6</v>
      </c>
      <c r="AG63" s="108">
        <f t="shared" si="16"/>
        <v>1</v>
      </c>
      <c r="AH63" s="108">
        <f t="shared" si="17"/>
        <v>0</v>
      </c>
      <c r="AI63" s="108">
        <f t="shared" si="18"/>
        <v>0</v>
      </c>
      <c r="AJ63" s="108">
        <f t="shared" si="19"/>
        <v>5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3</v>
      </c>
      <c r="BB63" s="139">
        <f t="shared" si="22"/>
        <v>3</v>
      </c>
    </row>
    <row r="64" spans="2:54">
      <c r="B64" s="24">
        <v>54</v>
      </c>
      <c r="C64" s="190">
        <v>41820</v>
      </c>
      <c r="D64" s="154" t="str">
        <f t="shared" si="23"/>
        <v>Portugal</v>
      </c>
      <c r="E64" s="27" t="s">
        <v>9</v>
      </c>
      <c r="F64" s="59" t="str">
        <f t="shared" si="24"/>
        <v>Zuid Korea</v>
      </c>
      <c r="G64" s="87">
        <v>2</v>
      </c>
      <c r="H64" s="27" t="s">
        <v>9</v>
      </c>
      <c r="I64" s="99">
        <v>1</v>
      </c>
      <c r="J64" s="100">
        <v>1</v>
      </c>
      <c r="K64" s="57" t="s">
        <v>77</v>
      </c>
      <c r="L64" s="57" t="s">
        <v>83</v>
      </c>
      <c r="M64" s="57"/>
      <c r="O64" s="135">
        <v>7</v>
      </c>
      <c r="P64" s="877" t="s">
        <v>212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3"/>
        <v>0</v>
      </c>
      <c r="Z64" t="str">
        <f t="shared" si="14"/>
        <v>Portugal</v>
      </c>
      <c r="AA64" t="str">
        <f t="shared" si="14"/>
        <v>Zuid Korea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0</v>
      </c>
      <c r="AG64" s="108">
        <f t="shared" si="16"/>
        <v>0</v>
      </c>
      <c r="AH64" s="108">
        <f t="shared" si="17"/>
        <v>0</v>
      </c>
      <c r="AI64" s="108">
        <f t="shared" si="18"/>
        <v>0</v>
      </c>
      <c r="AJ64" s="108">
        <f t="shared" si="19"/>
        <v>0</v>
      </c>
      <c r="AK64" s="108">
        <f t="shared" si="20"/>
        <v>0</v>
      </c>
      <c r="AL64" s="108">
        <f t="shared" si="21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2"/>
        <v>3</v>
      </c>
    </row>
    <row r="65" spans="2:54">
      <c r="B65" s="18">
        <v>55</v>
      </c>
      <c r="C65" s="191">
        <v>41821</v>
      </c>
      <c r="D65" s="153" t="str">
        <f t="shared" si="23"/>
        <v>Argentinië</v>
      </c>
      <c r="E65" s="21" t="s">
        <v>9</v>
      </c>
      <c r="F65" s="60" t="str">
        <f t="shared" si="24"/>
        <v>Zwitserland</v>
      </c>
      <c r="G65" s="86">
        <v>3</v>
      </c>
      <c r="H65" s="21" t="s">
        <v>9</v>
      </c>
      <c r="I65" s="101">
        <v>1</v>
      </c>
      <c r="J65" s="102">
        <v>1</v>
      </c>
      <c r="K65" s="57" t="s">
        <v>72</v>
      </c>
      <c r="L65" s="57" t="s">
        <v>68</v>
      </c>
      <c r="M65" s="57"/>
      <c r="O65" s="135">
        <v>8</v>
      </c>
      <c r="P65" s="877" t="s">
        <v>229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3"/>
        <v>0</v>
      </c>
      <c r="Z65" t="str">
        <f t="shared" si="14"/>
        <v>Argentinië</v>
      </c>
      <c r="AA65" t="str">
        <f t="shared" si="14"/>
        <v>Zwitserland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0</v>
      </c>
      <c r="AG65" s="108">
        <f t="shared" si="16"/>
        <v>0</v>
      </c>
      <c r="AH65" s="108">
        <f t="shared" si="17"/>
        <v>0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0</v>
      </c>
      <c r="AZ65" s="138" t="str">
        <f>Uitslag!P65</f>
        <v>Nigel de Jong (m)</v>
      </c>
      <c r="BA65" s="140">
        <f t="shared" si="12"/>
        <v>0</v>
      </c>
      <c r="BB65" s="139">
        <f t="shared" si="22"/>
        <v>0</v>
      </c>
    </row>
    <row r="66" spans="2:54" ht="15.75" thickBot="1">
      <c r="B66" s="33">
        <v>56</v>
      </c>
      <c r="C66" s="186">
        <v>41821</v>
      </c>
      <c r="D66" s="155" t="str">
        <f t="shared" si="23"/>
        <v>België</v>
      </c>
      <c r="E66" s="36" t="s">
        <v>9</v>
      </c>
      <c r="F66" s="62" t="str">
        <f t="shared" si="24"/>
        <v>Duitsland</v>
      </c>
      <c r="G66" s="88">
        <v>1</v>
      </c>
      <c r="H66" s="36" t="s">
        <v>9</v>
      </c>
      <c r="I66" s="103">
        <v>2</v>
      </c>
      <c r="J66" s="104">
        <v>2</v>
      </c>
      <c r="K66" s="57" t="s">
        <v>82</v>
      </c>
      <c r="L66" s="57" t="s">
        <v>78</v>
      </c>
      <c r="M66" s="57"/>
      <c r="O66" s="135">
        <v>9</v>
      </c>
      <c r="P66" s="877" t="s">
        <v>214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3"/>
        <v>0</v>
      </c>
      <c r="Z66" t="str">
        <f>IF(K66=""," ",VLOOKUP(K66,$T$9:$V$54,3,FALSE))</f>
        <v>België</v>
      </c>
      <c r="AA66" t="str">
        <f>IF(L66=""," ",VLOOKUP(L66,$T$9:$V$54,3,FALSE))</f>
        <v>Duitsland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0</v>
      </c>
      <c r="AG66" s="108">
        <f t="shared" si="16"/>
        <v>0</v>
      </c>
      <c r="AH66" s="108">
        <f t="shared" si="17"/>
        <v>0</v>
      </c>
      <c r="AI66" s="108">
        <f t="shared" si="18"/>
        <v>0</v>
      </c>
      <c r="AJ66" s="108">
        <f t="shared" si="19"/>
        <v>0</v>
      </c>
      <c r="AK66" s="108">
        <f t="shared" si="20"/>
        <v>0</v>
      </c>
      <c r="AL66" s="108">
        <f t="shared" si="21"/>
        <v>0</v>
      </c>
      <c r="AZ66" s="138" t="str">
        <f>Uitslag!P66</f>
        <v>Jonathan de Guzman (m)</v>
      </c>
      <c r="BA66" s="140">
        <f t="shared" si="12"/>
        <v>3</v>
      </c>
      <c r="BB66" s="139">
        <f t="shared" si="22"/>
        <v>3</v>
      </c>
    </row>
    <row r="67" spans="2:54" ht="15.75" thickBot="1">
      <c r="B67" s="1"/>
      <c r="C67" s="39"/>
      <c r="D67" s="40"/>
      <c r="E67" s="1"/>
      <c r="F67" s="40"/>
      <c r="G67" s="1"/>
      <c r="H67" s="1"/>
      <c r="I67" s="1"/>
      <c r="J67" s="1"/>
      <c r="K67" s="1"/>
      <c r="L67" s="1"/>
      <c r="M67" s="1"/>
      <c r="O67" s="135">
        <v>10</v>
      </c>
      <c r="P67" s="877" t="s">
        <v>216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2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195"/>
      <c r="K68" s="1"/>
      <c r="L68" s="1"/>
      <c r="M68" s="1"/>
      <c r="O68" s="135">
        <v>11</v>
      </c>
      <c r="P68" s="877" t="s">
        <v>215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2"/>
        <v>3</v>
      </c>
    </row>
    <row r="69" spans="2:54">
      <c r="B69" s="78" t="s">
        <v>1</v>
      </c>
      <c r="C69" s="79" t="s">
        <v>2</v>
      </c>
      <c r="D69" s="193" t="s">
        <v>3</v>
      </c>
      <c r="E69" s="81"/>
      <c r="F69" s="194" t="s">
        <v>4</v>
      </c>
      <c r="G69" s="867" t="s">
        <v>5</v>
      </c>
      <c r="H69" s="868"/>
      <c r="I69" s="869"/>
      <c r="J69" s="83" t="s">
        <v>6</v>
      </c>
      <c r="K69" s="1"/>
      <c r="L69" s="1"/>
      <c r="M69" s="1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30</v>
      </c>
      <c r="BB69" s="139" t="str">
        <f>IF(AND(BA69&lt;&gt;"",BA69=33),15,"nvt")</f>
        <v>nvt</v>
      </c>
    </row>
    <row r="70" spans="2:54">
      <c r="B70" s="12">
        <v>57</v>
      </c>
      <c r="C70" s="13">
        <v>41824</v>
      </c>
      <c r="D70" s="55" t="str">
        <f>IF(J63="","Winnaar 53",IF(J63=1,D63,F63))</f>
        <v>Frankrijk</v>
      </c>
      <c r="E70" s="15" t="s">
        <v>9</v>
      </c>
      <c r="F70" s="56" t="str">
        <f>IF(J64="","Winnaar 54",IF(J64=1,D64,F64))</f>
        <v>Portugal</v>
      </c>
      <c r="G70" s="85">
        <v>0</v>
      </c>
      <c r="H70" s="15" t="s">
        <v>9</v>
      </c>
      <c r="I70" s="97">
        <v>0</v>
      </c>
      <c r="J70" s="98">
        <v>1</v>
      </c>
      <c r="K70" s="1"/>
      <c r="L70" s="1"/>
      <c r="M70" s="1"/>
      <c r="V70" t="s">
        <v>133</v>
      </c>
      <c r="W70" t="s">
        <v>126</v>
      </c>
      <c r="X70" t="str">
        <f t="shared" si="11"/>
        <v>Karim Rekik (v)</v>
      </c>
      <c r="Y70" s="109">
        <f>AF70</f>
        <v>1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1</v>
      </c>
      <c r="AG70" s="108">
        <f>IF(AC70="",0,(IF(G70=AC70,1,0)))</f>
        <v>1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0</v>
      </c>
      <c r="AL70" s="108">
        <f>IF(AND(G70=I70,AC70=AD70),5,0)</f>
        <v>0</v>
      </c>
    </row>
    <row r="71" spans="2:54">
      <c r="B71" s="24">
        <v>58</v>
      </c>
      <c r="C71" s="25">
        <v>41824</v>
      </c>
      <c r="D71" s="58" t="str">
        <f>IF(J59="","Winnaar 49",IF(J59=1,D59,F59))</f>
        <v>Brazilië</v>
      </c>
      <c r="E71" s="27" t="s">
        <v>9</v>
      </c>
      <c r="F71" s="59" t="str">
        <f>IF(J60="","Winnaar 50",IF(J60=1,D60,F60))</f>
        <v>Uruguay</v>
      </c>
      <c r="G71" s="87">
        <v>2</v>
      </c>
      <c r="H71" s="27" t="s">
        <v>9</v>
      </c>
      <c r="I71" s="99">
        <v>0</v>
      </c>
      <c r="J71" s="100">
        <v>1</v>
      </c>
      <c r="K71" s="1"/>
      <c r="L71" s="1"/>
      <c r="M71" s="1"/>
      <c r="V71" t="s">
        <v>133</v>
      </c>
      <c r="W71" t="s">
        <v>194</v>
      </c>
      <c r="X71" t="str">
        <f t="shared" si="11"/>
        <v>Ron Vlaar (v)</v>
      </c>
      <c r="Y71" s="109">
        <f>AF71</f>
        <v>6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6</v>
      </c>
      <c r="AG71" s="108">
        <f>IF(AC71="",0,(IF(G71=AC71,1,0)))</f>
        <v>1</v>
      </c>
      <c r="AH71" s="108">
        <f>IF(AD71="",0,(IF(I71=AD71,1,0)))</f>
        <v>0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12">
        <v>59</v>
      </c>
      <c r="C72" s="13">
        <v>41825</v>
      </c>
      <c r="D72" s="55" t="str">
        <f>IF(J65="","Winnaar 55",IF(J65=1,D65,F65))</f>
        <v>Argentinië</v>
      </c>
      <c r="E72" s="15" t="s">
        <v>9</v>
      </c>
      <c r="F72" s="56" t="str">
        <f>IF(J66="","Winnaar 56",IF(J66=1,D66,F66))</f>
        <v>Duitsland</v>
      </c>
      <c r="G72" s="85">
        <v>2</v>
      </c>
      <c r="H72" s="15" t="s">
        <v>9</v>
      </c>
      <c r="I72" s="97">
        <v>1</v>
      </c>
      <c r="J72" s="98">
        <v>1</v>
      </c>
      <c r="K72" s="1"/>
      <c r="L72" s="1"/>
      <c r="M72" s="1"/>
      <c r="V72" t="s">
        <v>133</v>
      </c>
      <c r="W72" t="s">
        <v>195</v>
      </c>
      <c r="X72" t="str">
        <f t="shared" si="11"/>
        <v>John Heitinga (v)</v>
      </c>
      <c r="Y72" s="109">
        <f>AF72</f>
        <v>5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5</v>
      </c>
      <c r="AG72" s="108">
        <f>IF(AC72="",0,(IF(G72=AC72,1,0)))</f>
        <v>0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5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3">
        <v>60</v>
      </c>
      <c r="C73" s="34">
        <v>41825</v>
      </c>
      <c r="D73" s="61" t="str">
        <f>IF(J61="","Winnaar 51",IF(J61=1,D61,F61))</f>
        <v>Spanje</v>
      </c>
      <c r="E73" s="36" t="s">
        <v>9</v>
      </c>
      <c r="F73" s="62" t="str">
        <f>IF(J62="","Winnaar 52",IF(J62=1,D62,F62))</f>
        <v>Italië</v>
      </c>
      <c r="G73" s="88">
        <v>1</v>
      </c>
      <c r="H73" s="36" t="s">
        <v>9</v>
      </c>
      <c r="I73" s="103">
        <v>1</v>
      </c>
      <c r="J73" s="104">
        <v>2</v>
      </c>
      <c r="K73" s="1"/>
      <c r="L73" s="1"/>
      <c r="M73" s="1"/>
      <c r="V73" t="s">
        <v>133</v>
      </c>
      <c r="W73" t="s">
        <v>196</v>
      </c>
      <c r="X73" t="str">
        <f t="shared" si="11"/>
        <v>Urby Emanuelson (v)</v>
      </c>
      <c r="Y73" s="109">
        <f>AF73</f>
        <v>5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5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5</v>
      </c>
    </row>
    <row r="74" spans="2:54" ht="15.75" thickBot="1">
      <c r="B74" s="1"/>
      <c r="C74" s="39"/>
      <c r="D74" s="40"/>
      <c r="E74" s="1"/>
      <c r="F74" s="40"/>
      <c r="G74" s="1"/>
      <c r="H74" s="1"/>
      <c r="I74" s="1"/>
      <c r="J74" s="1"/>
      <c r="K74" s="1"/>
      <c r="L74" s="1"/>
      <c r="M74" s="1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195"/>
      <c r="K75" s="1"/>
      <c r="L75" s="1"/>
      <c r="M75" s="1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78" t="s">
        <v>1</v>
      </c>
      <c r="C76" s="79" t="s">
        <v>2</v>
      </c>
      <c r="D76" s="193" t="s">
        <v>3</v>
      </c>
      <c r="E76" s="81"/>
      <c r="F76" s="194" t="s">
        <v>4</v>
      </c>
      <c r="G76" s="867" t="s">
        <v>5</v>
      </c>
      <c r="H76" s="868"/>
      <c r="I76" s="869"/>
      <c r="J76" s="83" t="s">
        <v>6</v>
      </c>
      <c r="K76" s="1"/>
      <c r="L76" s="1"/>
      <c r="M76" s="1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12">
        <v>61</v>
      </c>
      <c r="C77" s="13">
        <v>41828</v>
      </c>
      <c r="D77" s="55" t="str">
        <f>IF(J70="","Winnaar 57",IF(J70=1,D70,F70))</f>
        <v>Frankrijk</v>
      </c>
      <c r="E77" s="15" t="s">
        <v>9</v>
      </c>
      <c r="F77" s="56" t="str">
        <f>IF(J71="","Winnaar 58",IF(J71=1,D71,F71))</f>
        <v>Brazilië</v>
      </c>
      <c r="G77" s="85">
        <v>0</v>
      </c>
      <c r="H77" s="15" t="s">
        <v>9</v>
      </c>
      <c r="I77" s="97">
        <v>2</v>
      </c>
      <c r="J77" s="98">
        <v>2</v>
      </c>
      <c r="K77" s="1"/>
      <c r="L77" s="1"/>
      <c r="M77" s="1"/>
      <c r="V77" t="s">
        <v>134</v>
      </c>
      <c r="W77" t="s">
        <v>203</v>
      </c>
      <c r="X77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3">
        <v>62</v>
      </c>
      <c r="C78" s="34">
        <v>41829</v>
      </c>
      <c r="D78" s="61" t="str">
        <f>IF(J72="","Winnaar 59",IF(J72=1,D72,F72))</f>
        <v>Argentinië</v>
      </c>
      <c r="E78" s="36" t="s">
        <v>9</v>
      </c>
      <c r="F78" s="62" t="str">
        <f>IF(J73="","Winnaar 60",IF(J73=1,D73,F73))</f>
        <v>Italië</v>
      </c>
      <c r="G78" s="88">
        <v>2</v>
      </c>
      <c r="H78" s="36" t="s">
        <v>9</v>
      </c>
      <c r="I78" s="103">
        <v>1</v>
      </c>
      <c r="J78" s="104">
        <v>1</v>
      </c>
      <c r="K78" s="1"/>
      <c r="L78" s="1"/>
      <c r="M78" s="1"/>
      <c r="V78" t="s">
        <v>134</v>
      </c>
      <c r="W78" t="s">
        <v>199</v>
      </c>
      <c r="X78" t="str">
        <f t="shared" si="11"/>
        <v>Leroy Fer (m)</v>
      </c>
      <c r="Y78" s="109">
        <f>AF78</f>
        <v>0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0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1"/>
      <c r="C79" s="39"/>
      <c r="D79" s="40"/>
      <c r="E79" s="1"/>
      <c r="F79" s="40"/>
      <c r="G79" s="1"/>
      <c r="H79" s="1"/>
      <c r="I79" s="1"/>
      <c r="J79" s="1"/>
      <c r="K79" s="1"/>
      <c r="L79" s="1"/>
      <c r="M79" s="1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195"/>
      <c r="K80" s="1"/>
      <c r="L80" s="1"/>
      <c r="M80" s="1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78" t="s">
        <v>1</v>
      </c>
      <c r="C81" s="79" t="s">
        <v>2</v>
      </c>
      <c r="D81" s="193" t="s">
        <v>3</v>
      </c>
      <c r="E81" s="81"/>
      <c r="F81" s="194" t="s">
        <v>4</v>
      </c>
      <c r="G81" s="867" t="s">
        <v>5</v>
      </c>
      <c r="H81" s="868"/>
      <c r="I81" s="869"/>
      <c r="J81" s="83" t="s">
        <v>6</v>
      </c>
      <c r="K81" s="1"/>
      <c r="L81" s="1"/>
      <c r="M81" s="1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2">
        <v>63</v>
      </c>
      <c r="C82" s="63">
        <v>41832</v>
      </c>
      <c r="D82" s="64" t="str">
        <f>IF(J77="","Verliezer 61",IF(J77=1,F77,D77))</f>
        <v>Frankrijk</v>
      </c>
      <c r="E82" s="3" t="s">
        <v>9</v>
      </c>
      <c r="F82" s="65" t="str">
        <f>IF(J78="","Verliezer 62",IF(J78=1,F78,D78))</f>
        <v>Italië</v>
      </c>
      <c r="G82" s="105">
        <v>2</v>
      </c>
      <c r="H82" s="3" t="s">
        <v>9</v>
      </c>
      <c r="I82" s="106">
        <v>0</v>
      </c>
      <c r="J82" s="107">
        <v>1</v>
      </c>
      <c r="K82" s="1"/>
      <c r="L82" s="1"/>
      <c r="M82" s="1"/>
      <c r="V82" t="s">
        <v>134</v>
      </c>
      <c r="W82" t="s">
        <v>125</v>
      </c>
      <c r="X8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1"/>
      <c r="C83" s="39"/>
      <c r="D83" s="40"/>
      <c r="E83" s="1"/>
      <c r="F83" s="40"/>
      <c r="G83" s="1"/>
      <c r="H83" s="1"/>
      <c r="I83" s="1"/>
      <c r="J83" s="1"/>
      <c r="K83" s="1"/>
      <c r="L83" s="1"/>
      <c r="M83" s="1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195"/>
      <c r="K84" s="1"/>
      <c r="L84" s="1"/>
      <c r="M84" s="1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78" t="s">
        <v>1</v>
      </c>
      <c r="C85" s="79" t="s">
        <v>2</v>
      </c>
      <c r="D85" s="193" t="s">
        <v>3</v>
      </c>
      <c r="E85" s="81"/>
      <c r="F85" s="194" t="s">
        <v>4</v>
      </c>
      <c r="G85" s="867" t="s">
        <v>5</v>
      </c>
      <c r="H85" s="868"/>
      <c r="I85" s="869"/>
      <c r="J85" s="83" t="s">
        <v>6</v>
      </c>
      <c r="K85" s="1"/>
      <c r="L85" s="1"/>
      <c r="M85" s="1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2">
        <v>64</v>
      </c>
      <c r="C86" s="63">
        <v>41833</v>
      </c>
      <c r="D86" s="64" t="str">
        <f>IF(J77="","Winnaar 61",IF(J77=1,D77,F77))</f>
        <v>Brazilië</v>
      </c>
      <c r="E86" s="3" t="s">
        <v>9</v>
      </c>
      <c r="F86" s="65" t="str">
        <f>IF(J78="","Winnaar 62",IF(J78=1,D78,F78))</f>
        <v>Argentinië</v>
      </c>
      <c r="G86" s="105">
        <v>0</v>
      </c>
      <c r="H86" s="3" t="s">
        <v>9</v>
      </c>
      <c r="I86" s="106">
        <v>2</v>
      </c>
      <c r="J86" s="107">
        <v>2</v>
      </c>
      <c r="K86" s="1"/>
      <c r="L86" s="1"/>
      <c r="M86" s="1"/>
      <c r="V86" t="s">
        <v>134</v>
      </c>
      <c r="W86" t="s">
        <v>139</v>
      </c>
      <c r="X86" t="str">
        <f t="shared" si="11"/>
        <v>Nigel de Jong (m)</v>
      </c>
      <c r="Y86" s="109">
        <f>AF86</f>
        <v>1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1</v>
      </c>
      <c r="AG86" s="108">
        <f>IF(AC86="",0,(IF(G86=AC86,1,0)))</f>
        <v>1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Argentinië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15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15</v>
      </c>
      <c r="AV89">
        <f>IF(AR89=0,0,IF(E89=AR89,50,0))</f>
        <v>0</v>
      </c>
      <c r="AW89">
        <f>IF(E89=0,0,IF(OR(E89=AR90),15,0))</f>
        <v>15</v>
      </c>
      <c r="AX89">
        <f>IF(E89=0,0,IF(OR(E89=AR91,E89=AR92),5,0))</f>
        <v>0</v>
      </c>
    </row>
    <row r="90" spans="2:50">
      <c r="C90" s="870">
        <v>2</v>
      </c>
      <c r="D90" s="871"/>
      <c r="E90" s="872" t="str">
        <f>IF(J86=2,D86,IF(J86=1,F86,"Wie wordt 2de?"))</f>
        <v>Brazilië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5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5</v>
      </c>
      <c r="AV90">
        <f>IF(AR90=0,0,IF(AR90=E90,25,0))</f>
        <v>0</v>
      </c>
      <c r="AW90">
        <f>IF(E90=0,0,IF(OR(E90=AR89,),15,0))</f>
        <v>0</v>
      </c>
      <c r="AX90">
        <f>IF(E90=0,0,IF(OR(E90=AR91,E90=AR92),5,0))</f>
        <v>5</v>
      </c>
    </row>
    <row r="91" spans="2:50">
      <c r="C91" s="870">
        <v>3</v>
      </c>
      <c r="D91" s="871"/>
      <c r="E91" s="872" t="str">
        <f>IF(J82=1,D82,IF(J82=2,F82,"Wie wordt 3de?"))</f>
        <v>Frankrijk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0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0</v>
      </c>
      <c r="AV91">
        <f>IF(AR91=0,0,IF(AR91=E91,15,0))</f>
        <v>0</v>
      </c>
      <c r="AW91">
        <f>IF(E91=0,0,IF(OR(E91=AR92),10,0))</f>
        <v>0</v>
      </c>
      <c r="AX91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Italië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0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0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20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conditionalFormatting sqref="AO9:AO12 AO15:AO18 AO21:AO24 AO27:AO30 AO33:AO36 AO39:AO42 AO45:AO48 AO51:AO54">
    <cfRule type="cellIs" dxfId="224" priority="3" operator="equal">
      <formula>10</formula>
    </cfRule>
  </conditionalFormatting>
  <conditionalFormatting sqref="P58:T58">
    <cfRule type="duplicateValues" dxfId="223" priority="2"/>
  </conditionalFormatting>
  <conditionalFormatting sqref="P58:T68">
    <cfRule type="duplicateValues" dxfId="222" priority="1"/>
  </conditionalFormatting>
  <dataValidations count="10">
    <dataValidation type="list" allowBlank="1" showInputMessage="1" showErrorMessage="1" sqref="T51:T54">
      <formula1>$W$51:$W$54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P58:P68">
      <formula1>$X$58:$X$98</formula1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B1:BB98"/>
  <sheetViews>
    <sheetView topLeftCell="A43" zoomScale="70" zoomScaleNormal="70" workbookViewId="0">
      <selection activeCell="P58" sqref="P58:T68"/>
    </sheetView>
  </sheetViews>
  <sheetFormatPr defaultRowHeight="15" outlineLevelCol="2"/>
  <cols>
    <col min="1" max="1" width="3.42578125" customWidth="1"/>
    <col min="2" max="2" width="3.5703125" bestFit="1" customWidth="1"/>
    <col min="3" max="3" width="11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145" t="s">
        <v>249</v>
      </c>
      <c r="E3" s="145"/>
      <c r="F3" s="145"/>
      <c r="N3" t="str">
        <f>D3</f>
        <v>Arthur K.</v>
      </c>
      <c r="O3" s="144">
        <f>SUM(P3:S3)</f>
        <v>397</v>
      </c>
      <c r="P3" s="109">
        <f>SUM(Y8:Y86)</f>
        <v>214</v>
      </c>
      <c r="Q3" s="109">
        <f>SUM(AM4:AM55)</f>
        <v>120</v>
      </c>
      <c r="R3" s="109">
        <f>SUM(AP89:AP92)</f>
        <v>15</v>
      </c>
      <c r="S3" s="109">
        <f>SUM(BB58:BB69)</f>
        <v>48</v>
      </c>
      <c r="T3" s="109">
        <f>COUNTIF(AF8:AF86,10)</f>
        <v>5</v>
      </c>
      <c r="U3" s="109" t="str">
        <f>E89</f>
        <v>Brazilië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M6" s="352"/>
      <c r="N6" s="352"/>
      <c r="O6" s="392"/>
      <c r="P6" s="393"/>
      <c r="Q6" s="393"/>
      <c r="R6" s="393"/>
      <c r="S6" s="393"/>
      <c r="T6" s="393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18" t="s">
        <v>3</v>
      </c>
      <c r="E7" s="419"/>
      <c r="F7" s="420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M7" s="352"/>
      <c r="N7" s="352"/>
      <c r="O7" s="353"/>
      <c r="P7" s="393"/>
      <c r="Q7" s="393"/>
      <c r="R7" s="393"/>
      <c r="S7" s="393"/>
      <c r="T7" s="393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2</v>
      </c>
      <c r="H8" s="360" t="s">
        <v>9</v>
      </c>
      <c r="I8" s="439">
        <v>0</v>
      </c>
      <c r="J8" s="362">
        <f>IF(I8="","",IF(G8&gt;I8,1,IF(G8&lt;I8,2,3)))</f>
        <v>1</v>
      </c>
      <c r="K8" s="363">
        <f>IF(I8="","",IF($G8&gt;$I8,3,IF($G8=$I8,1,0)))</f>
        <v>3</v>
      </c>
      <c r="L8" s="363">
        <f>IF(I8="","",IF($G8&lt;$I8,3,IF($G8=$I8,1,0)))</f>
        <v>0</v>
      </c>
      <c r="M8" s="352"/>
      <c r="N8" s="352"/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40"/>
      <c r="V8" s="40"/>
      <c r="W8" s="40"/>
      <c r="Y8" s="109">
        <f>AF8</f>
        <v>5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5</v>
      </c>
      <c r="AG8" s="108">
        <f t="shared" ref="AG8:AG55" si="0">IF(AC8="",0,(IF(G8=AC8,1,0)))</f>
        <v>0</v>
      </c>
      <c r="AH8" s="108">
        <f t="shared" ref="AH8:AH55" si="1">IF(AD8="",0,(IF(I8=AD8,1,0)))</f>
        <v>0</v>
      </c>
      <c r="AI8" s="108">
        <f>IF(AND(AG8=1,AH8=1),10,0)</f>
        <v>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1</v>
      </c>
      <c r="H9" s="367" t="s">
        <v>9</v>
      </c>
      <c r="I9" s="440">
        <v>2</v>
      </c>
      <c r="J9" s="369">
        <f t="shared" ref="J9:J55" si="5">IF(I9="","",IF(G9&gt;I9,1,IF(G9&lt;I9,2,3)))</f>
        <v>2</v>
      </c>
      <c r="K9" s="363">
        <f t="shared" ref="K9:K55" si="6">IF(I9="","",IF($G9&gt;$I9,3,IF($G9=$I9,1,0)))</f>
        <v>0</v>
      </c>
      <c r="L9" s="363">
        <f t="shared" ref="L9:L55" si="7">IF(I9="","",IF($G9&lt;$I9,3,IF($G9=$I9,1,0)))</f>
        <v>3</v>
      </c>
      <c r="M9" s="352"/>
      <c r="N9" s="352"/>
      <c r="O9" s="394" t="s">
        <v>8</v>
      </c>
      <c r="P9" s="395">
        <f>SUMIF($D$8:$D$55,$O9,$G$8:$G$55)+SUMIF($F$8:$F$55,$O9,$I$8:$I$55)</f>
        <v>5</v>
      </c>
      <c r="Q9" s="395">
        <f>SUMIF($D$8:$D$55,$O9,$I$8:$I$55)+SUMIF($F$8:$F$55,$O9,$G$8:$G$55)</f>
        <v>2</v>
      </c>
      <c r="R9" s="396">
        <f>P9-Q9</f>
        <v>3</v>
      </c>
      <c r="S9" s="397">
        <f>SUMIF($D$8:$D$55,$O9,$K$8:$K$55)+SUMIF($F$8:$F$55,$O9,$L$8:$L$55)</f>
        <v>7</v>
      </c>
      <c r="T9" s="444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1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1</v>
      </c>
      <c r="AG9" s="108">
        <f t="shared" si="0"/>
        <v>1</v>
      </c>
      <c r="AH9" s="108">
        <f t="shared" si="1"/>
        <v>0</v>
      </c>
      <c r="AI9" s="108">
        <f t="shared" ref="AI9:AI55" si="10">IF(AND(AG9=1,AH9=1),10,0)</f>
        <v>0</v>
      </c>
      <c r="AJ9" s="108">
        <f t="shared" si="2"/>
        <v>0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2</v>
      </c>
      <c r="H10" s="373" t="s">
        <v>9</v>
      </c>
      <c r="I10" s="441">
        <v>1</v>
      </c>
      <c r="J10" s="375">
        <f t="shared" si="5"/>
        <v>1</v>
      </c>
      <c r="K10" s="363">
        <f t="shared" si="6"/>
        <v>3</v>
      </c>
      <c r="L10" s="363">
        <f t="shared" si="7"/>
        <v>0</v>
      </c>
      <c r="M10" s="352"/>
      <c r="N10" s="352"/>
      <c r="O10" s="398" t="s">
        <v>10</v>
      </c>
      <c r="P10" s="399">
        <f>SUMIF($D$8:$D$55,$O10,$G$8:$G$55)+SUMIF($F$8:$F$55,$O10,$I$8:$I$55)</f>
        <v>0</v>
      </c>
      <c r="Q10" s="399">
        <f>SUMIF($D$8:$D$55,$O10,$I$8:$I$55)+SUMIF($F$8:$F$55,$O10,$G$8:$G$55)</f>
        <v>5</v>
      </c>
      <c r="R10" s="399">
        <f>P10-Q10</f>
        <v>-5</v>
      </c>
      <c r="S10" s="400">
        <f>SUMIF($D$8:$D$55,$O10,$K$8:$K$55)+SUMIF($F$8:$F$55,$O10,$L$8:$L$55)</f>
        <v>0</v>
      </c>
      <c r="T10" s="445" t="s">
        <v>50</v>
      </c>
      <c r="U10" s="40"/>
      <c r="V10" s="40" t="str">
        <f>O10</f>
        <v>Kroatië</v>
      </c>
      <c r="W10" s="40" t="s">
        <v>49</v>
      </c>
      <c r="Y10" s="109">
        <f t="shared" si="8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0</v>
      </c>
      <c r="AG10" s="108">
        <f t="shared" si="0"/>
        <v>0</v>
      </c>
      <c r="AH10" s="108">
        <f t="shared" si="1"/>
        <v>0</v>
      </c>
      <c r="AI10" s="108">
        <f t="shared" si="10"/>
        <v>0</v>
      </c>
      <c r="AJ10" s="108">
        <f t="shared" si="2"/>
        <v>0</v>
      </c>
      <c r="AK10" s="108">
        <f t="shared" si="3"/>
        <v>0</v>
      </c>
      <c r="AL10" s="108">
        <f t="shared" si="4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2</v>
      </c>
      <c r="H11" s="379" t="s">
        <v>9</v>
      </c>
      <c r="I11" s="442">
        <v>0</v>
      </c>
      <c r="J11" s="381">
        <f t="shared" si="5"/>
        <v>1</v>
      </c>
      <c r="K11" s="363">
        <f t="shared" si="6"/>
        <v>3</v>
      </c>
      <c r="L11" s="363">
        <f t="shared" si="7"/>
        <v>0</v>
      </c>
      <c r="M11" s="352"/>
      <c r="N11" s="352"/>
      <c r="O11" s="398" t="s">
        <v>11</v>
      </c>
      <c r="P11" s="399">
        <f>SUMIF($D$8:$D$55,$O11,$G$8:$G$55)+SUMIF($F$8:$F$55,$O11,$I$8:$I$55)</f>
        <v>3</v>
      </c>
      <c r="Q11" s="399">
        <f>SUMIF($D$8:$D$55,$O11,$I$8:$I$55)+SUMIF($F$8:$F$55,$O11,$G$8:$G$55)</f>
        <v>4</v>
      </c>
      <c r="R11" s="399">
        <f>P11-Q11</f>
        <v>-1</v>
      </c>
      <c r="S11" s="400">
        <f>SUMIF($D$8:$D$55,$O11,$K$8:$K$55)+SUMIF($F$8:$F$55,$O11,$L$8:$L$55)</f>
        <v>3</v>
      </c>
      <c r="T11" s="445" t="s">
        <v>47</v>
      </c>
      <c r="U11" s="40"/>
      <c r="V11" s="40" t="str">
        <f>O11</f>
        <v>Mexico</v>
      </c>
      <c r="W11" s="40" t="s">
        <v>47</v>
      </c>
      <c r="Y11" s="109">
        <f t="shared" si="8"/>
        <v>5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5</v>
      </c>
      <c r="AG11" s="108">
        <f t="shared" si="0"/>
        <v>0</v>
      </c>
      <c r="AH11" s="108">
        <f t="shared" si="1"/>
        <v>0</v>
      </c>
      <c r="AI11" s="108">
        <f t="shared" si="10"/>
        <v>0</v>
      </c>
      <c r="AJ11" s="108">
        <f t="shared" si="2"/>
        <v>5</v>
      </c>
      <c r="AK11" s="108">
        <f t="shared" si="3"/>
        <v>0</v>
      </c>
      <c r="AL11" s="108">
        <f t="shared" si="4"/>
        <v>0</v>
      </c>
      <c r="AM11" s="120">
        <f>AO11</f>
        <v>0</v>
      </c>
      <c r="AN11" s="117" t="s">
        <v>11</v>
      </c>
      <c r="AO11" s="115">
        <f>IF(Uitslag!T11="",0,IF(T11=Uitslag!T11,10,0))</f>
        <v>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2</v>
      </c>
      <c r="H12" s="367" t="s">
        <v>9</v>
      </c>
      <c r="I12" s="440">
        <v>0</v>
      </c>
      <c r="J12" s="369">
        <f t="shared" si="5"/>
        <v>1</v>
      </c>
      <c r="K12" s="363">
        <f t="shared" si="6"/>
        <v>3</v>
      </c>
      <c r="L12" s="363">
        <f t="shared" si="7"/>
        <v>0</v>
      </c>
      <c r="M12" s="352"/>
      <c r="N12" s="352"/>
      <c r="O12" s="401" t="s">
        <v>12</v>
      </c>
      <c r="P12" s="402">
        <f>SUMIF($D$8:$D$55,$O12,$G$8:$G$55)+SUMIF($F$8:$F$55,$O12,$I$8:$I$55)</f>
        <v>5</v>
      </c>
      <c r="Q12" s="402">
        <f>SUMIF($D$8:$D$55,$O12,$I$8:$I$55)+SUMIF($F$8:$F$55,$O12,$G$8:$G$55)</f>
        <v>2</v>
      </c>
      <c r="R12" s="402">
        <f>P12-Q12</f>
        <v>3</v>
      </c>
      <c r="S12" s="403">
        <f>SUMIF($D$8:$D$55,$O12,$K$8:$K$55)+SUMIF($F$8:$F$55,$O12,$L$8:$L$55)</f>
        <v>7</v>
      </c>
      <c r="T12" s="446" t="s">
        <v>49</v>
      </c>
      <c r="U12" s="40"/>
      <c r="V12" s="40" t="str">
        <f>O12</f>
        <v>Kameroen</v>
      </c>
      <c r="W12" s="40" t="s">
        <v>50</v>
      </c>
      <c r="Y12" s="109">
        <f t="shared" si="8"/>
        <v>6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6</v>
      </c>
      <c r="AG12" s="108">
        <f t="shared" si="0"/>
        <v>0</v>
      </c>
      <c r="AH12" s="108">
        <f t="shared" si="1"/>
        <v>1</v>
      </c>
      <c r="AI12" s="108">
        <f t="shared" si="10"/>
        <v>0</v>
      </c>
      <c r="AJ12" s="108">
        <f t="shared" si="2"/>
        <v>5</v>
      </c>
      <c r="AK12" s="108">
        <f t="shared" si="3"/>
        <v>0</v>
      </c>
      <c r="AL12" s="108">
        <f t="shared" si="4"/>
        <v>0</v>
      </c>
      <c r="AM12" s="120">
        <f>AO12</f>
        <v>0</v>
      </c>
      <c r="AN12" s="118" t="s">
        <v>12</v>
      </c>
      <c r="AO12" s="115">
        <f>IF(Uitslag!T12="",0,IF(T12=Uitslag!T12,10,0))</f>
        <v>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2</v>
      </c>
      <c r="H13" s="373" t="s">
        <v>9</v>
      </c>
      <c r="I13" s="441">
        <v>1</v>
      </c>
      <c r="J13" s="375">
        <f t="shared" si="5"/>
        <v>1</v>
      </c>
      <c r="K13" s="363">
        <f t="shared" si="6"/>
        <v>3</v>
      </c>
      <c r="L13" s="363">
        <f t="shared" si="7"/>
        <v>0</v>
      </c>
      <c r="M13" s="352"/>
      <c r="N13" s="352"/>
      <c r="O13" s="392"/>
      <c r="P13" s="393"/>
      <c r="Q13" s="393"/>
      <c r="R13" s="393"/>
      <c r="S13" s="393"/>
      <c r="T13" s="393"/>
      <c r="U13" s="40"/>
      <c r="V13" s="40"/>
      <c r="W13" s="40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0"/>
        <v>0</v>
      </c>
      <c r="AH13" s="108">
        <f t="shared" si="1"/>
        <v>0</v>
      </c>
      <c r="AI13" s="108">
        <f t="shared" si="10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40"/>
      <c r="AO13" s="41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1</v>
      </c>
      <c r="H14" s="373" t="s">
        <v>9</v>
      </c>
      <c r="I14" s="441">
        <v>1</v>
      </c>
      <c r="J14" s="375">
        <f t="shared" si="5"/>
        <v>3</v>
      </c>
      <c r="K14" s="363">
        <f t="shared" si="6"/>
        <v>1</v>
      </c>
      <c r="L14" s="363">
        <f t="shared" si="7"/>
        <v>1</v>
      </c>
      <c r="M14" s="352"/>
      <c r="N14" s="352"/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40"/>
      <c r="V14" s="40"/>
      <c r="W14" s="40"/>
      <c r="Y14" s="109">
        <f t="shared" si="8"/>
        <v>1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</v>
      </c>
      <c r="AG14" s="108">
        <f t="shared" si="0"/>
        <v>1</v>
      </c>
      <c r="AH14" s="108">
        <f t="shared" si="1"/>
        <v>0</v>
      </c>
      <c r="AI14" s="108">
        <f t="shared" si="10"/>
        <v>0</v>
      </c>
      <c r="AJ14" s="108">
        <f t="shared" si="2"/>
        <v>0</v>
      </c>
      <c r="AK14" s="108">
        <f t="shared" si="3"/>
        <v>0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1</v>
      </c>
      <c r="H15" s="379" t="s">
        <v>9</v>
      </c>
      <c r="I15" s="442">
        <v>1</v>
      </c>
      <c r="J15" s="381">
        <f t="shared" si="5"/>
        <v>3</v>
      </c>
      <c r="K15" s="363">
        <f t="shared" si="6"/>
        <v>1</v>
      </c>
      <c r="L15" s="363">
        <f t="shared" si="7"/>
        <v>1</v>
      </c>
      <c r="M15" s="352"/>
      <c r="N15" s="352"/>
      <c r="O15" s="394" t="s">
        <v>13</v>
      </c>
      <c r="P15" s="395">
        <f>SUMIF($D$8:$D$55,$O15,$G$8:$G$55)+SUMIF($F$8:$F$55,$O15,$I$8:$I$55)</f>
        <v>6</v>
      </c>
      <c r="Q15" s="395">
        <f>SUMIF($D$8:$D$55,$O15,$I$8:$I$55)+SUMIF($F$8:$F$55,$O15,$G$8:$G$55)</f>
        <v>1</v>
      </c>
      <c r="R15" s="396">
        <f>P15-Q15</f>
        <v>5</v>
      </c>
      <c r="S15" s="397">
        <f>SUMIF($D$8:$D$55,$O15,$K$8:$K$55)+SUMIF($F$8:$F$55,$O15,$L$8:$L$55)</f>
        <v>9</v>
      </c>
      <c r="T15" s="444" t="s">
        <v>52</v>
      </c>
      <c r="U15" s="40"/>
      <c r="V15" s="40" t="str">
        <f>O15</f>
        <v>Spanje</v>
      </c>
      <c r="W15" s="40" t="s">
        <v>52</v>
      </c>
      <c r="Y15" s="109">
        <f t="shared" si="8"/>
        <v>1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1</v>
      </c>
      <c r="AG15" s="108">
        <f t="shared" si="0"/>
        <v>0</v>
      </c>
      <c r="AH15" s="108">
        <f t="shared" si="1"/>
        <v>1</v>
      </c>
      <c r="AI15" s="108">
        <f t="shared" si="10"/>
        <v>0</v>
      </c>
      <c r="AJ15" s="108">
        <f t="shared" si="2"/>
        <v>0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1</v>
      </c>
      <c r="H16" s="367" t="s">
        <v>9</v>
      </c>
      <c r="I16" s="440">
        <v>0</v>
      </c>
      <c r="J16" s="369">
        <f t="shared" si="5"/>
        <v>1</v>
      </c>
      <c r="K16" s="363">
        <f t="shared" si="6"/>
        <v>3</v>
      </c>
      <c r="L16" s="363">
        <f t="shared" si="7"/>
        <v>0</v>
      </c>
      <c r="M16" s="352"/>
      <c r="N16" s="352"/>
      <c r="O16" s="404" t="s">
        <v>14</v>
      </c>
      <c r="P16" s="399">
        <f>SUMIF($D$8:$D$55,$O16,$G$8:$G$55)+SUMIF($F$8:$F$55,$O16,$I$8:$I$55)</f>
        <v>4</v>
      </c>
      <c r="Q16" s="399">
        <f>SUMIF($D$8:$D$55,$O16,$I$8:$I$55)+SUMIF($F$8:$F$55,$O16,$G$8:$G$55)</f>
        <v>4</v>
      </c>
      <c r="R16" s="399">
        <f>P16-Q16</f>
        <v>0</v>
      </c>
      <c r="S16" s="400">
        <f>SUMIF($D$8:$D$55,$O16,$K$8:$K$55)+SUMIF($F$8:$F$55,$O16,$L$8:$L$55)</f>
        <v>4</v>
      </c>
      <c r="T16" s="445" t="s">
        <v>53</v>
      </c>
      <c r="U16" s="40"/>
      <c r="V16" s="40" t="str">
        <f>O16</f>
        <v>Nederland</v>
      </c>
      <c r="W16" s="40" t="s">
        <v>53</v>
      </c>
      <c r="Y16" s="109">
        <f t="shared" si="8"/>
        <v>5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5</v>
      </c>
      <c r="AG16" s="108">
        <f t="shared" si="0"/>
        <v>0</v>
      </c>
      <c r="AH16" s="108">
        <f t="shared" si="1"/>
        <v>0</v>
      </c>
      <c r="AI16" s="108">
        <f t="shared" si="10"/>
        <v>0</v>
      </c>
      <c r="AJ16" s="108">
        <f t="shared" si="2"/>
        <v>5</v>
      </c>
      <c r="AK16" s="108">
        <f t="shared" si="3"/>
        <v>0</v>
      </c>
      <c r="AL16" s="108">
        <f t="shared" si="4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2</v>
      </c>
      <c r="H17" s="373" t="s">
        <v>9</v>
      </c>
      <c r="I17" s="441">
        <v>0</v>
      </c>
      <c r="J17" s="375">
        <f t="shared" si="5"/>
        <v>1</v>
      </c>
      <c r="K17" s="363">
        <f t="shared" si="6"/>
        <v>3</v>
      </c>
      <c r="L17" s="363">
        <f t="shared" si="7"/>
        <v>0</v>
      </c>
      <c r="M17" s="352"/>
      <c r="N17" s="352"/>
      <c r="O17" s="398" t="s">
        <v>15</v>
      </c>
      <c r="P17" s="399">
        <f>SUMIF($D$8:$D$55,$O17,$G$8:$G$55)+SUMIF($F$8:$F$55,$O17,$I$8:$I$55)</f>
        <v>3</v>
      </c>
      <c r="Q17" s="399">
        <f>SUMIF($D$8:$D$55,$O17,$I$8:$I$55)+SUMIF($F$8:$F$55,$O17,$G$8:$G$55)</f>
        <v>3</v>
      </c>
      <c r="R17" s="399">
        <f>P17-Q17</f>
        <v>0</v>
      </c>
      <c r="S17" s="400">
        <f>SUMIF($D$8:$D$55,$O17,$K$8:$K$55)+SUMIF($F$8:$F$55,$O17,$L$8:$L$55)</f>
        <v>4</v>
      </c>
      <c r="T17" s="445" t="s">
        <v>54</v>
      </c>
      <c r="U17" s="40"/>
      <c r="V17" s="40" t="str">
        <f>O17</f>
        <v>Chili</v>
      </c>
      <c r="W17" s="40" t="s">
        <v>54</v>
      </c>
      <c r="Y17" s="109">
        <f t="shared" si="8"/>
        <v>6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6</v>
      </c>
      <c r="AG17" s="108">
        <f t="shared" si="0"/>
        <v>0</v>
      </c>
      <c r="AH17" s="108">
        <f t="shared" si="1"/>
        <v>1</v>
      </c>
      <c r="AI17" s="108">
        <f t="shared" si="10"/>
        <v>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1</v>
      </c>
      <c r="H18" s="379" t="s">
        <v>9</v>
      </c>
      <c r="I18" s="442">
        <v>0</v>
      </c>
      <c r="J18" s="381">
        <f t="shared" si="5"/>
        <v>1</v>
      </c>
      <c r="K18" s="363">
        <f t="shared" si="6"/>
        <v>3</v>
      </c>
      <c r="L18" s="363">
        <f t="shared" si="7"/>
        <v>0</v>
      </c>
      <c r="M18" s="352"/>
      <c r="N18" s="352"/>
      <c r="O18" s="401" t="s">
        <v>16</v>
      </c>
      <c r="P18" s="402">
        <f>SUMIF($D$8:$D$55,$O18,$G$8:$G$55)+SUMIF($F$8:$F$55,$O18,$I$8:$I$55)</f>
        <v>1</v>
      </c>
      <c r="Q18" s="402">
        <f>SUMIF($D$8:$D$55,$O18,$I$8:$I$55)+SUMIF($F$8:$F$55,$O18,$G$8:$G$55)</f>
        <v>6</v>
      </c>
      <c r="R18" s="402">
        <f>P18-Q18</f>
        <v>-5</v>
      </c>
      <c r="S18" s="403">
        <f>SUMIF($D$8:$D$55,$O18,$K$8:$K$55)+SUMIF($F$8:$F$55,$O18,$L$8:$L$55)</f>
        <v>0</v>
      </c>
      <c r="T18" s="446" t="s">
        <v>55</v>
      </c>
      <c r="U18" s="40"/>
      <c r="V18" s="40" t="str">
        <f>O18</f>
        <v>Australië</v>
      </c>
      <c r="W18" s="40" t="s">
        <v>55</v>
      </c>
      <c r="Y18" s="109">
        <f t="shared" si="8"/>
        <v>5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5</v>
      </c>
      <c r="AG18" s="108">
        <f t="shared" si="0"/>
        <v>0</v>
      </c>
      <c r="AH18" s="108">
        <f t="shared" si="1"/>
        <v>0</v>
      </c>
      <c r="AI18" s="108">
        <f t="shared" si="10"/>
        <v>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1</v>
      </c>
      <c r="H19" s="367" t="s">
        <v>9</v>
      </c>
      <c r="I19" s="440">
        <v>2</v>
      </c>
      <c r="J19" s="369">
        <f t="shared" si="5"/>
        <v>2</v>
      </c>
      <c r="K19" s="363">
        <f t="shared" si="6"/>
        <v>0</v>
      </c>
      <c r="L19" s="363">
        <f t="shared" si="7"/>
        <v>3</v>
      </c>
      <c r="M19" s="352"/>
      <c r="N19" s="352"/>
      <c r="O19" s="392"/>
      <c r="P19" s="393"/>
      <c r="Q19" s="393"/>
      <c r="R19" s="393"/>
      <c r="S19" s="393"/>
      <c r="T19" s="393"/>
      <c r="U19" s="40"/>
      <c r="V19" s="40"/>
      <c r="W19" s="40"/>
      <c r="Y19" s="109">
        <f t="shared" si="8"/>
        <v>0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0</v>
      </c>
      <c r="AG19" s="108">
        <f t="shared" si="0"/>
        <v>0</v>
      </c>
      <c r="AH19" s="108">
        <f t="shared" si="1"/>
        <v>0</v>
      </c>
      <c r="AI19" s="108">
        <f t="shared" si="10"/>
        <v>0</v>
      </c>
      <c r="AJ19" s="108">
        <f t="shared" si="2"/>
        <v>0</v>
      </c>
      <c r="AK19" s="108">
        <f t="shared" si="3"/>
        <v>0</v>
      </c>
      <c r="AL19" s="108">
        <f t="shared" si="4"/>
        <v>0</v>
      </c>
      <c r="AN19" s="40"/>
      <c r="AO19" s="41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0</v>
      </c>
      <c r="H20" s="373" t="s">
        <v>9</v>
      </c>
      <c r="I20" s="441">
        <v>1</v>
      </c>
      <c r="J20" s="375">
        <f t="shared" si="5"/>
        <v>2</v>
      </c>
      <c r="K20" s="363">
        <f t="shared" si="6"/>
        <v>0</v>
      </c>
      <c r="L20" s="363">
        <f t="shared" si="7"/>
        <v>3</v>
      </c>
      <c r="M20" s="352"/>
      <c r="N20" s="352"/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40"/>
      <c r="V20" s="40"/>
      <c r="W20" s="40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0"/>
        <v>1</v>
      </c>
      <c r="AH20" s="108">
        <f t="shared" si="1"/>
        <v>0</v>
      </c>
      <c r="AI20" s="108">
        <f t="shared" si="10"/>
        <v>0</v>
      </c>
      <c r="AJ20" s="108">
        <f t="shared" si="2"/>
        <v>0</v>
      </c>
      <c r="AK20" s="108">
        <f t="shared" si="3"/>
        <v>0</v>
      </c>
      <c r="AL20" s="108">
        <f t="shared" si="4"/>
        <v>0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0</v>
      </c>
      <c r="H21" s="379" t="s">
        <v>9</v>
      </c>
      <c r="I21" s="442">
        <v>2</v>
      </c>
      <c r="J21" s="381">
        <f t="shared" si="5"/>
        <v>2</v>
      </c>
      <c r="K21" s="363">
        <f t="shared" si="6"/>
        <v>0</v>
      </c>
      <c r="L21" s="363">
        <f t="shared" si="7"/>
        <v>3</v>
      </c>
      <c r="M21" s="352"/>
      <c r="N21" s="352"/>
      <c r="O21" s="394" t="s">
        <v>17</v>
      </c>
      <c r="P21" s="395">
        <f>SUMIF($D$8:$D$55,$O21,$G$8:$G$55)+SUMIF($F$8:$F$55,$O21,$I$8:$I$55)</f>
        <v>4</v>
      </c>
      <c r="Q21" s="395">
        <f>SUMIF($D$8:$D$55,$O21,$I$8:$I$55)+SUMIF($F$8:$F$55,$O21,$G$8:$G$55)</f>
        <v>1</v>
      </c>
      <c r="R21" s="396">
        <f>P21-Q21</f>
        <v>3</v>
      </c>
      <c r="S21" s="397">
        <f>SUMIF($D$8:$D$55,$O21,$K$8:$K$55)+SUMIF($F$8:$F$55,$O21,$L$8:$L$55)</f>
        <v>7</v>
      </c>
      <c r="T21" s="444" t="s">
        <v>57</v>
      </c>
      <c r="U21" s="40"/>
      <c r="V21" s="40" t="str">
        <f>O21</f>
        <v>Colombia</v>
      </c>
      <c r="W21" s="40" t="s">
        <v>57</v>
      </c>
      <c r="Y21" s="109">
        <f t="shared" si="8"/>
        <v>6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6</v>
      </c>
      <c r="AG21" s="108">
        <f t="shared" si="0"/>
        <v>0</v>
      </c>
      <c r="AH21" s="108">
        <f t="shared" si="1"/>
        <v>1</v>
      </c>
      <c r="AI21" s="108">
        <f t="shared" si="10"/>
        <v>0</v>
      </c>
      <c r="AJ21" s="108">
        <f t="shared" si="2"/>
        <v>0</v>
      </c>
      <c r="AK21" s="108">
        <f t="shared" si="3"/>
        <v>5</v>
      </c>
      <c r="AL21" s="108">
        <f t="shared" si="4"/>
        <v>0</v>
      </c>
      <c r="AM21" s="120">
        <f>AO21</f>
        <v>10</v>
      </c>
      <c r="AN21" s="116" t="s">
        <v>17</v>
      </c>
      <c r="AO21" s="115">
        <f>IF(Uitslag!T21="",0,IF(T21=Uitslag!T21,10,0))</f>
        <v>10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2</v>
      </c>
      <c r="H22" s="367" t="s">
        <v>9</v>
      </c>
      <c r="I22" s="440">
        <v>0</v>
      </c>
      <c r="J22" s="369">
        <f t="shared" si="5"/>
        <v>1</v>
      </c>
      <c r="K22" s="363">
        <f t="shared" si="6"/>
        <v>3</v>
      </c>
      <c r="L22" s="363">
        <f t="shared" si="7"/>
        <v>0</v>
      </c>
      <c r="M22" s="352"/>
      <c r="N22" s="352"/>
      <c r="O22" s="398" t="s">
        <v>18</v>
      </c>
      <c r="P22" s="399">
        <f>SUMIF($D$8:$D$55,$O22,$G$8:$G$55)+SUMIF($F$8:$F$55,$O22,$I$8:$I$55)</f>
        <v>0</v>
      </c>
      <c r="Q22" s="399">
        <f>SUMIF($D$8:$D$55,$O22,$I$8:$I$55)+SUMIF($F$8:$F$55,$O22,$G$8:$G$55)</f>
        <v>3</v>
      </c>
      <c r="R22" s="399">
        <f>P22-Q22</f>
        <v>-3</v>
      </c>
      <c r="S22" s="400">
        <f>SUMIF($D$8:$D$55,$O22,$K$8:$K$55)+SUMIF($F$8:$F$55,$O22,$L$8:$L$55)</f>
        <v>1</v>
      </c>
      <c r="T22" s="445" t="s">
        <v>60</v>
      </c>
      <c r="U22" s="40"/>
      <c r="V22" s="40" t="str">
        <f>O22</f>
        <v>Griekenland</v>
      </c>
      <c r="W22" s="40" t="s">
        <v>58</v>
      </c>
      <c r="Y22" s="109">
        <f t="shared" si="8"/>
        <v>6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6</v>
      </c>
      <c r="AG22" s="108">
        <f t="shared" si="0"/>
        <v>1</v>
      </c>
      <c r="AH22" s="108">
        <f t="shared" si="1"/>
        <v>0</v>
      </c>
      <c r="AI22" s="108">
        <f t="shared" si="10"/>
        <v>0</v>
      </c>
      <c r="AJ22" s="108">
        <f t="shared" si="2"/>
        <v>5</v>
      </c>
      <c r="AK22" s="108">
        <f t="shared" si="3"/>
        <v>0</v>
      </c>
      <c r="AL22" s="108">
        <f t="shared" si="4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2</v>
      </c>
      <c r="H23" s="373" t="s">
        <v>9</v>
      </c>
      <c r="I23" s="441">
        <v>1</v>
      </c>
      <c r="J23" s="375">
        <f t="shared" si="5"/>
        <v>1</v>
      </c>
      <c r="K23" s="363">
        <f t="shared" si="6"/>
        <v>3</v>
      </c>
      <c r="L23" s="363">
        <f t="shared" si="7"/>
        <v>0</v>
      </c>
      <c r="M23" s="352"/>
      <c r="N23" s="352"/>
      <c r="O23" s="398" t="s">
        <v>23</v>
      </c>
      <c r="P23" s="399">
        <f>SUMIF($D$8:$D$55,$O23,$G$8:$G$55)+SUMIF($F$8:$F$55,$O23,$I$8:$I$55)</f>
        <v>3</v>
      </c>
      <c r="Q23" s="399">
        <f>SUMIF($D$8:$D$55,$O23,$I$8:$I$55)+SUMIF($F$8:$F$55,$O23,$G$8:$G$55)</f>
        <v>2</v>
      </c>
      <c r="R23" s="399">
        <f>P23-Q23</f>
        <v>1</v>
      </c>
      <c r="S23" s="400">
        <f>SUMIF($D$8:$D$55,$O23,$K$8:$K$55)+SUMIF($F$8:$F$55,$O23,$L$8:$L$55)</f>
        <v>5</v>
      </c>
      <c r="T23" s="445" t="s">
        <v>58</v>
      </c>
      <c r="U23" s="40"/>
      <c r="V23" s="40" t="str">
        <f>O23</f>
        <v>Ivoorkust</v>
      </c>
      <c r="W23" s="40" t="s">
        <v>59</v>
      </c>
      <c r="Y23" s="109">
        <f t="shared" si="8"/>
        <v>0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0</v>
      </c>
      <c r="AG23" s="108">
        <f t="shared" si="0"/>
        <v>0</v>
      </c>
      <c r="AH23" s="108">
        <f t="shared" si="1"/>
        <v>0</v>
      </c>
      <c r="AI23" s="108">
        <f t="shared" si="10"/>
        <v>0</v>
      </c>
      <c r="AJ23" s="108">
        <f t="shared" si="2"/>
        <v>0</v>
      </c>
      <c r="AK23" s="108">
        <f t="shared" si="3"/>
        <v>0</v>
      </c>
      <c r="AL23" s="108">
        <f t="shared" si="4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1</v>
      </c>
      <c r="H24" s="379" t="s">
        <v>9</v>
      </c>
      <c r="I24" s="442">
        <v>1</v>
      </c>
      <c r="J24" s="381">
        <f t="shared" si="5"/>
        <v>3</v>
      </c>
      <c r="K24" s="363">
        <f t="shared" si="6"/>
        <v>1</v>
      </c>
      <c r="L24" s="363">
        <f t="shared" si="7"/>
        <v>1</v>
      </c>
      <c r="M24" s="352"/>
      <c r="N24" s="352"/>
      <c r="O24" s="401" t="s">
        <v>24</v>
      </c>
      <c r="P24" s="402">
        <f>SUMIF($D$8:$D$55,$O24,$G$8:$G$55)+SUMIF($F$8:$F$55,$O24,$I$8:$I$55)</f>
        <v>1</v>
      </c>
      <c r="Q24" s="402">
        <f>SUMIF($D$8:$D$55,$O24,$I$8:$I$55)+SUMIF($F$8:$F$55,$O24,$G$8:$G$55)</f>
        <v>2</v>
      </c>
      <c r="R24" s="402">
        <f>P24-Q24</f>
        <v>-1</v>
      </c>
      <c r="S24" s="403">
        <f>SUMIF($D$8:$D$55,$O24,$K$8:$K$55)+SUMIF($F$8:$F$55,$O24,$L$8:$L$55)</f>
        <v>2</v>
      </c>
      <c r="T24" s="446" t="s">
        <v>59</v>
      </c>
      <c r="U24" s="40"/>
      <c r="V24" s="40" t="str">
        <f>O24</f>
        <v>Japan</v>
      </c>
      <c r="W24" s="40" t="s">
        <v>60</v>
      </c>
      <c r="Y24" s="109">
        <f t="shared" si="8"/>
        <v>10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10</v>
      </c>
      <c r="AG24" s="108">
        <f t="shared" si="0"/>
        <v>1</v>
      </c>
      <c r="AH24" s="108">
        <f t="shared" si="1"/>
        <v>1</v>
      </c>
      <c r="AI24" s="108">
        <f t="shared" si="10"/>
        <v>10</v>
      </c>
      <c r="AJ24" s="108">
        <f t="shared" si="2"/>
        <v>0</v>
      </c>
      <c r="AK24" s="108">
        <f t="shared" si="3"/>
        <v>0</v>
      </c>
      <c r="AL24" s="108">
        <f t="shared" si="4"/>
        <v>5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1</v>
      </c>
      <c r="H25" s="367" t="s">
        <v>9</v>
      </c>
      <c r="I25" s="440">
        <v>2</v>
      </c>
      <c r="J25" s="369">
        <f t="shared" si="5"/>
        <v>2</v>
      </c>
      <c r="K25" s="363">
        <f t="shared" si="6"/>
        <v>0</v>
      </c>
      <c r="L25" s="363">
        <f t="shared" si="7"/>
        <v>3</v>
      </c>
      <c r="M25" s="352"/>
      <c r="N25" s="352"/>
      <c r="O25" s="392"/>
      <c r="P25" s="393"/>
      <c r="Q25" s="393"/>
      <c r="R25" s="393"/>
      <c r="S25" s="393"/>
      <c r="T25" s="393"/>
      <c r="U25" s="40"/>
      <c r="V25" s="40"/>
      <c r="W25" s="40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0"/>
        <v>0</v>
      </c>
      <c r="AH25" s="108">
        <f t="shared" si="1"/>
        <v>0</v>
      </c>
      <c r="AI25" s="108">
        <f t="shared" si="10"/>
        <v>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40"/>
      <c r="AO25" s="41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2</v>
      </c>
      <c r="H26" s="373" t="s">
        <v>9</v>
      </c>
      <c r="I26" s="441">
        <v>0</v>
      </c>
      <c r="J26" s="375">
        <f t="shared" si="5"/>
        <v>1</v>
      </c>
      <c r="K26" s="363">
        <f t="shared" si="6"/>
        <v>3</v>
      </c>
      <c r="L26" s="363">
        <f t="shared" si="7"/>
        <v>0</v>
      </c>
      <c r="M26" s="352"/>
      <c r="N26" s="352"/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40"/>
      <c r="V26" s="40"/>
      <c r="W26" s="40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0"/>
        <v>0</v>
      </c>
      <c r="AH26" s="108">
        <f t="shared" si="1"/>
        <v>0</v>
      </c>
      <c r="AI26" s="108">
        <f t="shared" si="10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2</v>
      </c>
      <c r="H27" s="379" t="s">
        <v>9</v>
      </c>
      <c r="I27" s="442">
        <v>0</v>
      </c>
      <c r="J27" s="381">
        <f t="shared" si="5"/>
        <v>1</v>
      </c>
      <c r="K27" s="363">
        <f t="shared" si="6"/>
        <v>3</v>
      </c>
      <c r="L27" s="363">
        <f t="shared" si="7"/>
        <v>0</v>
      </c>
      <c r="M27" s="352"/>
      <c r="N27" s="352"/>
      <c r="O27" s="394" t="s">
        <v>19</v>
      </c>
      <c r="P27" s="395">
        <f>SUMIF($D$8:$D$55,$O27,$G$8:$G$55)+SUMIF($F$8:$F$55,$O27,$I$8:$I$55)</f>
        <v>5</v>
      </c>
      <c r="Q27" s="395">
        <f>SUMIF($D$8:$D$55,$O27,$I$8:$I$55)+SUMIF($F$8:$F$55,$O27,$G$8:$G$55)</f>
        <v>1</v>
      </c>
      <c r="R27" s="396">
        <f>P27-Q27</f>
        <v>4</v>
      </c>
      <c r="S27" s="397">
        <f>SUMIF($D$8:$D$55,$O27,$K$8:$K$55)+SUMIF($F$8:$F$55,$O27,$L$8:$L$55)</f>
        <v>9</v>
      </c>
      <c r="T27" s="444" t="s">
        <v>62</v>
      </c>
      <c r="U27" s="40"/>
      <c r="V27" s="40" t="str">
        <f>O27</f>
        <v>Uruguay</v>
      </c>
      <c r="W27" s="40" t="s">
        <v>62</v>
      </c>
      <c r="Y27" s="109">
        <f t="shared" si="8"/>
        <v>0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0</v>
      </c>
      <c r="AG27" s="108">
        <f t="shared" si="0"/>
        <v>0</v>
      </c>
      <c r="AH27" s="108">
        <f t="shared" si="1"/>
        <v>0</v>
      </c>
      <c r="AI27" s="108">
        <f t="shared" si="10"/>
        <v>0</v>
      </c>
      <c r="AJ27" s="108">
        <f t="shared" si="2"/>
        <v>0</v>
      </c>
      <c r="AK27" s="108">
        <f t="shared" si="3"/>
        <v>0</v>
      </c>
      <c r="AL27" s="108">
        <f t="shared" si="4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1</v>
      </c>
      <c r="H28" s="367" t="s">
        <v>9</v>
      </c>
      <c r="I28" s="440">
        <v>1</v>
      </c>
      <c r="J28" s="369">
        <f t="shared" si="5"/>
        <v>3</v>
      </c>
      <c r="K28" s="363">
        <f t="shared" si="6"/>
        <v>1</v>
      </c>
      <c r="L28" s="363">
        <f t="shared" si="7"/>
        <v>1</v>
      </c>
      <c r="M28" s="352"/>
      <c r="N28" s="352"/>
      <c r="O28" s="398" t="s">
        <v>20</v>
      </c>
      <c r="P28" s="399">
        <f>SUMIF($D$8:$D$55,$O28,$G$8:$G$55)+SUMIF($F$8:$F$55,$O28,$I$8:$I$55)</f>
        <v>1</v>
      </c>
      <c r="Q28" s="399">
        <f>SUMIF($D$8:$D$55,$O28,$I$8:$I$55)+SUMIF($F$8:$F$55,$O28,$G$8:$G$55)</f>
        <v>4</v>
      </c>
      <c r="R28" s="399">
        <f>P28-Q28</f>
        <v>-3</v>
      </c>
      <c r="S28" s="400">
        <f>SUMIF($D$8:$D$55,$O28,$K$8:$K$55)+SUMIF($F$8:$F$55,$O28,$L$8:$L$55)</f>
        <v>0</v>
      </c>
      <c r="T28" s="445" t="s">
        <v>65</v>
      </c>
      <c r="U28" s="40"/>
      <c r="V28" s="40" t="str">
        <f>O28</f>
        <v>Costa Rica</v>
      </c>
      <c r="W28" s="40" t="s">
        <v>63</v>
      </c>
      <c r="Y28" s="109">
        <f t="shared" si="8"/>
        <v>1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1</v>
      </c>
      <c r="AG28" s="108">
        <f t="shared" si="0"/>
        <v>0</v>
      </c>
      <c r="AH28" s="108">
        <f t="shared" si="1"/>
        <v>1</v>
      </c>
      <c r="AI28" s="108">
        <f t="shared" si="10"/>
        <v>0</v>
      </c>
      <c r="AJ28" s="108">
        <f t="shared" si="2"/>
        <v>0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2</v>
      </c>
      <c r="H29" s="373" t="s">
        <v>9</v>
      </c>
      <c r="I29" s="441">
        <v>0</v>
      </c>
      <c r="J29" s="375">
        <f t="shared" si="5"/>
        <v>1</v>
      </c>
      <c r="K29" s="363">
        <f t="shared" si="6"/>
        <v>3</v>
      </c>
      <c r="L29" s="363">
        <f t="shared" si="7"/>
        <v>0</v>
      </c>
      <c r="M29" s="352"/>
      <c r="N29" s="352"/>
      <c r="O29" s="398" t="s">
        <v>21</v>
      </c>
      <c r="P29" s="399">
        <f>SUMIF($D$8:$D$55,$O29,$G$8:$G$55)+SUMIF($F$8:$F$55,$O29,$I$8:$I$55)</f>
        <v>2</v>
      </c>
      <c r="Q29" s="399">
        <f>SUMIF($D$8:$D$55,$O29,$I$8:$I$55)+SUMIF($F$8:$F$55,$O29,$G$8:$G$55)</f>
        <v>3</v>
      </c>
      <c r="R29" s="399">
        <f>P29-Q29</f>
        <v>-1</v>
      </c>
      <c r="S29" s="400">
        <f>SUMIF($D$8:$D$55,$O29,$K$8:$K$55)+SUMIF($F$8:$F$55,$O29,$L$8:$L$55)</f>
        <v>4</v>
      </c>
      <c r="T29" s="445" t="s">
        <v>64</v>
      </c>
      <c r="U29" s="40"/>
      <c r="V29" s="40" t="str">
        <f>O29</f>
        <v>Engeland</v>
      </c>
      <c r="W29" s="40" t="s">
        <v>64</v>
      </c>
      <c r="Y29" s="109">
        <f t="shared" si="8"/>
        <v>6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6</v>
      </c>
      <c r="AG29" s="108">
        <f t="shared" si="0"/>
        <v>1</v>
      </c>
      <c r="AH29" s="108">
        <f t="shared" si="1"/>
        <v>0</v>
      </c>
      <c r="AI29" s="108">
        <f t="shared" si="10"/>
        <v>0</v>
      </c>
      <c r="AJ29" s="108">
        <f t="shared" si="2"/>
        <v>5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0</v>
      </c>
      <c r="H30" s="379" t="s">
        <v>9</v>
      </c>
      <c r="I30" s="442">
        <v>0</v>
      </c>
      <c r="J30" s="381">
        <f t="shared" si="5"/>
        <v>3</v>
      </c>
      <c r="K30" s="363">
        <f t="shared" si="6"/>
        <v>1</v>
      </c>
      <c r="L30" s="363">
        <f t="shared" si="7"/>
        <v>1</v>
      </c>
      <c r="M30" s="352"/>
      <c r="N30" s="352"/>
      <c r="O30" s="401" t="s">
        <v>22</v>
      </c>
      <c r="P30" s="402">
        <f>SUMIF($D$8:$D$55,$O30,$G$8:$G$55)+SUMIF($F$8:$F$55,$O30,$I$8:$I$55)</f>
        <v>2</v>
      </c>
      <c r="Q30" s="402">
        <f>SUMIF($D$8:$D$55,$O30,$I$8:$I$55)+SUMIF($F$8:$F$55,$O30,$G$8:$G$55)</f>
        <v>2</v>
      </c>
      <c r="R30" s="402">
        <f>P30-Q30</f>
        <v>0</v>
      </c>
      <c r="S30" s="403">
        <f>SUMIF($D$8:$D$55,$O30,$K$8:$K$55)+SUMIF($F$8:$F$55,$O30,$L$8:$L$55)</f>
        <v>4</v>
      </c>
      <c r="T30" s="446" t="s">
        <v>63</v>
      </c>
      <c r="U30" s="40"/>
      <c r="V30" s="40" t="str">
        <f>O30</f>
        <v>Italië</v>
      </c>
      <c r="W30" s="40" t="s">
        <v>65</v>
      </c>
      <c r="Y30" s="109">
        <f t="shared" si="8"/>
        <v>10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10</v>
      </c>
      <c r="AG30" s="108">
        <f t="shared" si="0"/>
        <v>1</v>
      </c>
      <c r="AH30" s="108">
        <f t="shared" si="1"/>
        <v>1</v>
      </c>
      <c r="AI30" s="108">
        <f t="shared" si="10"/>
        <v>10</v>
      </c>
      <c r="AJ30" s="108">
        <f t="shared" si="2"/>
        <v>0</v>
      </c>
      <c r="AK30" s="108">
        <f t="shared" si="3"/>
        <v>0</v>
      </c>
      <c r="AL30" s="108">
        <f t="shared" si="4"/>
        <v>5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1</v>
      </c>
      <c r="H31" s="367" t="s">
        <v>9</v>
      </c>
      <c r="I31" s="440">
        <v>0</v>
      </c>
      <c r="J31" s="369">
        <f t="shared" si="5"/>
        <v>1</v>
      </c>
      <c r="K31" s="363">
        <f t="shared" si="6"/>
        <v>3</v>
      </c>
      <c r="L31" s="363">
        <f t="shared" si="7"/>
        <v>0</v>
      </c>
      <c r="M31" s="352"/>
      <c r="N31" s="352"/>
      <c r="O31" s="392"/>
      <c r="P31" s="393"/>
      <c r="Q31" s="393"/>
      <c r="R31" s="393"/>
      <c r="S31" s="393"/>
      <c r="T31" s="393"/>
      <c r="U31" s="40"/>
      <c r="V31" s="40"/>
      <c r="W31" s="40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0"/>
        <v>0</v>
      </c>
      <c r="AH31" s="108">
        <f t="shared" si="1"/>
        <v>0</v>
      </c>
      <c r="AI31" s="108">
        <f t="shared" si="10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40"/>
      <c r="AO31" s="41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2</v>
      </c>
      <c r="H32" s="373" t="s">
        <v>9</v>
      </c>
      <c r="I32" s="441">
        <v>2</v>
      </c>
      <c r="J32" s="375">
        <f t="shared" si="5"/>
        <v>3</v>
      </c>
      <c r="K32" s="363">
        <f t="shared" si="6"/>
        <v>1</v>
      </c>
      <c r="L32" s="363">
        <f t="shared" si="7"/>
        <v>1</v>
      </c>
      <c r="M32" s="352"/>
      <c r="N32" s="352"/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40"/>
      <c r="V32" s="40"/>
      <c r="W32" s="40"/>
      <c r="Y32" s="109">
        <f t="shared" si="8"/>
        <v>1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1</v>
      </c>
      <c r="AG32" s="108">
        <f t="shared" si="0"/>
        <v>1</v>
      </c>
      <c r="AH32" s="108">
        <f t="shared" si="1"/>
        <v>0</v>
      </c>
      <c r="AI32" s="108">
        <f t="shared" si="10"/>
        <v>0</v>
      </c>
      <c r="AJ32" s="108">
        <f t="shared" si="2"/>
        <v>0</v>
      </c>
      <c r="AK32" s="108">
        <f t="shared" si="3"/>
        <v>0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0</v>
      </c>
      <c r="H33" s="379" t="s">
        <v>9</v>
      </c>
      <c r="I33" s="442">
        <v>1</v>
      </c>
      <c r="J33" s="381">
        <f t="shared" si="5"/>
        <v>2</v>
      </c>
      <c r="K33" s="363">
        <f t="shared" si="6"/>
        <v>0</v>
      </c>
      <c r="L33" s="363">
        <f t="shared" si="7"/>
        <v>3</v>
      </c>
      <c r="M33" s="352"/>
      <c r="N33" s="352"/>
      <c r="O33" s="394" t="s">
        <v>25</v>
      </c>
      <c r="P33" s="395">
        <f>SUMIF($D$8:$D$55,$O33,$G$8:$G$55)+SUMIF($F$8:$F$55,$O33,$I$8:$I$55)</f>
        <v>5</v>
      </c>
      <c r="Q33" s="395">
        <f>SUMIF($D$8:$D$55,$O33,$I$8:$I$55)+SUMIF($F$8:$F$55,$O33,$G$8:$G$55)</f>
        <v>2</v>
      </c>
      <c r="R33" s="396">
        <f>P33-Q33</f>
        <v>3</v>
      </c>
      <c r="S33" s="397">
        <f>SUMIF($D$8:$D$55,$O33,$K$8:$K$55)+SUMIF($F$8:$F$55,$O33,$L$8:$L$55)</f>
        <v>7</v>
      </c>
      <c r="T33" s="444" t="s">
        <v>68</v>
      </c>
      <c r="U33" s="40"/>
      <c r="V33" s="40" t="str">
        <f>O33</f>
        <v>Zwitserland</v>
      </c>
      <c r="W33" s="40" t="s">
        <v>67</v>
      </c>
      <c r="Y33" s="109">
        <f t="shared" si="8"/>
        <v>5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5</v>
      </c>
      <c r="AG33" s="108">
        <f t="shared" si="0"/>
        <v>0</v>
      </c>
      <c r="AH33" s="108">
        <f t="shared" si="1"/>
        <v>0</v>
      </c>
      <c r="AI33" s="108">
        <f t="shared" si="10"/>
        <v>0</v>
      </c>
      <c r="AJ33" s="108">
        <f t="shared" si="2"/>
        <v>0</v>
      </c>
      <c r="AK33" s="108">
        <f t="shared" si="3"/>
        <v>5</v>
      </c>
      <c r="AL33" s="108">
        <f t="shared" si="4"/>
        <v>0</v>
      </c>
      <c r="AM33" s="120">
        <f>AO33</f>
        <v>10</v>
      </c>
      <c r="AN33" s="116" t="s">
        <v>25</v>
      </c>
      <c r="AO33" s="115">
        <f>IF(Uitslag!T33="",0,IF(T33=Uitslag!T33,10,0))</f>
        <v>10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3</v>
      </c>
      <c r="H34" s="367" t="s">
        <v>9</v>
      </c>
      <c r="I34" s="440">
        <v>0</v>
      </c>
      <c r="J34" s="369">
        <f t="shared" si="5"/>
        <v>1</v>
      </c>
      <c r="K34" s="363">
        <f t="shared" si="6"/>
        <v>3</v>
      </c>
      <c r="L34" s="363">
        <f t="shared" si="7"/>
        <v>0</v>
      </c>
      <c r="M34" s="352"/>
      <c r="N34" s="352"/>
      <c r="O34" s="398" t="s">
        <v>26</v>
      </c>
      <c r="P34" s="399">
        <f>SUMIF($D$8:$D$55,$O34,$G$8:$G$55)+SUMIF($F$8:$F$55,$O34,$I$8:$I$55)</f>
        <v>1</v>
      </c>
      <c r="Q34" s="399">
        <f>SUMIF($D$8:$D$55,$O34,$I$8:$I$55)+SUMIF($F$8:$F$55,$O34,$G$8:$G$55)</f>
        <v>2</v>
      </c>
      <c r="R34" s="399">
        <f>P34-Q34</f>
        <v>-1</v>
      </c>
      <c r="S34" s="400">
        <f>SUMIF($D$8:$D$55,$O34,$K$8:$K$55)+SUMIF($F$8:$F$55,$O34,$L$8:$L$55)</f>
        <v>3</v>
      </c>
      <c r="T34" s="445" t="s">
        <v>69</v>
      </c>
      <c r="U34" s="40"/>
      <c r="V34" s="40" t="str">
        <f>O34</f>
        <v>Ecuador</v>
      </c>
      <c r="W34" s="40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0"/>
        <v>0</v>
      </c>
      <c r="AH34" s="108">
        <f t="shared" si="1"/>
        <v>1</v>
      </c>
      <c r="AI34" s="108">
        <f t="shared" si="10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10</v>
      </c>
      <c r="AN34" s="117" t="s">
        <v>26</v>
      </c>
      <c r="AO34" s="115">
        <f>IF(Uitslag!T34="",0,IF(T34=Uitslag!T34,10,0))</f>
        <v>10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2</v>
      </c>
      <c r="H35" s="373" t="s">
        <v>9</v>
      </c>
      <c r="I35" s="441">
        <v>0</v>
      </c>
      <c r="J35" s="375">
        <f t="shared" si="5"/>
        <v>1</v>
      </c>
      <c r="K35" s="363">
        <f t="shared" si="6"/>
        <v>3</v>
      </c>
      <c r="L35" s="363">
        <f t="shared" si="7"/>
        <v>0</v>
      </c>
      <c r="M35" s="352"/>
      <c r="N35" s="352"/>
      <c r="O35" s="398" t="s">
        <v>27</v>
      </c>
      <c r="P35" s="399">
        <f>SUMIF($D$8:$D$55,$O35,$G$8:$G$55)+SUMIF($F$8:$F$55,$O35,$I$8:$I$55)</f>
        <v>5</v>
      </c>
      <c r="Q35" s="399">
        <f>SUMIF($D$8:$D$55,$O35,$I$8:$I$55)+SUMIF($F$8:$F$55,$O35,$G$8:$G$55)</f>
        <v>2</v>
      </c>
      <c r="R35" s="399">
        <f>P35-Q35</f>
        <v>3</v>
      </c>
      <c r="S35" s="400">
        <f>SUMIF($D$8:$D$55,$O35,$K$8:$K$55)+SUMIF($F$8:$F$55,$O35,$L$8:$L$55)</f>
        <v>7</v>
      </c>
      <c r="T35" s="445" t="s">
        <v>67</v>
      </c>
      <c r="U35" s="40"/>
      <c r="V35" s="40" t="str">
        <f>O35</f>
        <v>Frankrijk</v>
      </c>
      <c r="W35" s="40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0"/>
        <v>1</v>
      </c>
      <c r="AH35" s="108">
        <f t="shared" si="1"/>
        <v>0</v>
      </c>
      <c r="AI35" s="108">
        <f t="shared" si="10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1</v>
      </c>
      <c r="H36" s="379" t="s">
        <v>9</v>
      </c>
      <c r="I36" s="442">
        <v>1</v>
      </c>
      <c r="J36" s="381">
        <f t="shared" si="5"/>
        <v>3</v>
      </c>
      <c r="K36" s="363">
        <f t="shared" si="6"/>
        <v>1</v>
      </c>
      <c r="L36" s="363">
        <f t="shared" si="7"/>
        <v>1</v>
      </c>
      <c r="M36" s="352"/>
      <c r="N36" s="352"/>
      <c r="O36" s="401" t="s">
        <v>28</v>
      </c>
      <c r="P36" s="402">
        <f>SUMIF($D$8:$D$55,$O36,$G$8:$G$55)+SUMIF($F$8:$F$55,$O36,$I$8:$I$55)</f>
        <v>0</v>
      </c>
      <c r="Q36" s="402">
        <f>SUMIF($D$8:$D$55,$O36,$I$8:$I$55)+SUMIF($F$8:$F$55,$O36,$G$8:$G$55)</f>
        <v>5</v>
      </c>
      <c r="R36" s="402">
        <f>P36-Q36</f>
        <v>-5</v>
      </c>
      <c r="S36" s="403">
        <f>SUMIF($D$8:$D$55,$O36,$K$8:$K$55)+SUMIF($F$8:$F$55,$O36,$L$8:$L$55)</f>
        <v>0</v>
      </c>
      <c r="T36" s="446" t="s">
        <v>70</v>
      </c>
      <c r="U36" s="40"/>
      <c r="V36" s="40" t="str">
        <f>O36</f>
        <v>Honduras</v>
      </c>
      <c r="W36" s="40" t="s">
        <v>70</v>
      </c>
      <c r="Y36" s="109">
        <f t="shared" si="8"/>
        <v>1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1</v>
      </c>
      <c r="AG36" s="108">
        <f t="shared" si="0"/>
        <v>1</v>
      </c>
      <c r="AH36" s="108">
        <f t="shared" si="1"/>
        <v>0</v>
      </c>
      <c r="AI36" s="108">
        <f t="shared" si="10"/>
        <v>0</v>
      </c>
      <c r="AJ36" s="108">
        <f t="shared" si="2"/>
        <v>0</v>
      </c>
      <c r="AK36" s="108">
        <f t="shared" si="3"/>
        <v>0</v>
      </c>
      <c r="AL36" s="108">
        <f t="shared" si="4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2</v>
      </c>
      <c r="H37" s="367" t="s">
        <v>9</v>
      </c>
      <c r="I37" s="440">
        <v>0</v>
      </c>
      <c r="J37" s="369">
        <f t="shared" si="5"/>
        <v>1</v>
      </c>
      <c r="K37" s="363">
        <f t="shared" si="6"/>
        <v>3</v>
      </c>
      <c r="L37" s="363">
        <f t="shared" si="7"/>
        <v>0</v>
      </c>
      <c r="M37" s="352"/>
      <c r="N37" s="352"/>
      <c r="O37" s="392"/>
      <c r="P37" s="393"/>
      <c r="Q37" s="393"/>
      <c r="R37" s="393"/>
      <c r="S37" s="393"/>
      <c r="T37" s="393"/>
      <c r="U37" s="40"/>
      <c r="V37" s="40"/>
      <c r="W37" s="40"/>
      <c r="Y37" s="109">
        <f t="shared" si="8"/>
        <v>6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6</v>
      </c>
      <c r="AG37" s="108">
        <f t="shared" si="0"/>
        <v>0</v>
      </c>
      <c r="AH37" s="108">
        <f t="shared" si="1"/>
        <v>1</v>
      </c>
      <c r="AI37" s="108">
        <f t="shared" si="10"/>
        <v>0</v>
      </c>
      <c r="AJ37" s="108">
        <f t="shared" si="2"/>
        <v>5</v>
      </c>
      <c r="AK37" s="108">
        <f t="shared" si="3"/>
        <v>0</v>
      </c>
      <c r="AL37" s="108">
        <f t="shared" si="4"/>
        <v>0</v>
      </c>
      <c r="AN37" s="40"/>
      <c r="AO37" s="41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2</v>
      </c>
      <c r="H38" s="373" t="s">
        <v>9</v>
      </c>
      <c r="I38" s="441">
        <v>0</v>
      </c>
      <c r="J38" s="375">
        <f t="shared" si="5"/>
        <v>1</v>
      </c>
      <c r="K38" s="363">
        <f t="shared" si="6"/>
        <v>3</v>
      </c>
      <c r="L38" s="363">
        <f t="shared" si="7"/>
        <v>0</v>
      </c>
      <c r="M38" s="352"/>
      <c r="N38" s="352"/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40"/>
      <c r="V38" s="40"/>
      <c r="W38" s="40"/>
      <c r="Y38" s="109">
        <f t="shared" si="8"/>
        <v>1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1</v>
      </c>
      <c r="AG38" s="108">
        <f t="shared" si="0"/>
        <v>1</v>
      </c>
      <c r="AH38" s="108">
        <f t="shared" si="1"/>
        <v>0</v>
      </c>
      <c r="AI38" s="108">
        <f t="shared" si="10"/>
        <v>0</v>
      </c>
      <c r="AJ38" s="108">
        <f t="shared" si="2"/>
        <v>0</v>
      </c>
      <c r="AK38" s="108">
        <f t="shared" si="3"/>
        <v>0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1</v>
      </c>
      <c r="H39" s="379" t="s">
        <v>9</v>
      </c>
      <c r="I39" s="442">
        <v>2</v>
      </c>
      <c r="J39" s="381">
        <f t="shared" si="5"/>
        <v>2</v>
      </c>
      <c r="K39" s="363">
        <f t="shared" si="6"/>
        <v>0</v>
      </c>
      <c r="L39" s="363">
        <f t="shared" si="7"/>
        <v>3</v>
      </c>
      <c r="M39" s="352"/>
      <c r="N39" s="352"/>
      <c r="O39" s="394" t="s">
        <v>29</v>
      </c>
      <c r="P39" s="395">
        <f>SUMIF($D$8:$D$55,$O39,$G$8:$G$55)+SUMIF($F$8:$F$55,$O39,$I$8:$I$55)</f>
        <v>5</v>
      </c>
      <c r="Q39" s="395">
        <f>SUMIF($D$8:$D$55,$O39,$I$8:$I$55)+SUMIF($F$8:$F$55,$O39,$G$8:$G$55)</f>
        <v>0</v>
      </c>
      <c r="R39" s="396">
        <f>P39-Q39</f>
        <v>5</v>
      </c>
      <c r="S39" s="397">
        <f>SUMIF($D$8:$D$55,$O39,$K$8:$K$55)+SUMIF($F$8:$F$55,$O39,$L$8:$L$55)</f>
        <v>9</v>
      </c>
      <c r="T39" s="444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1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1</v>
      </c>
      <c r="AG39" s="108">
        <f t="shared" si="0"/>
        <v>0</v>
      </c>
      <c r="AH39" s="108">
        <f t="shared" si="1"/>
        <v>1</v>
      </c>
      <c r="AI39" s="108">
        <f t="shared" si="10"/>
        <v>0</v>
      </c>
      <c r="AJ39" s="108">
        <f t="shared" si="2"/>
        <v>0</v>
      </c>
      <c r="AK39" s="108">
        <f t="shared" si="3"/>
        <v>0</v>
      </c>
      <c r="AL39" s="108">
        <f t="shared" si="4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0</v>
      </c>
      <c r="H40" s="367" t="s">
        <v>9</v>
      </c>
      <c r="I40" s="440">
        <v>2</v>
      </c>
      <c r="J40" s="369">
        <f t="shared" si="5"/>
        <v>2</v>
      </c>
      <c r="K40" s="363">
        <f t="shared" si="6"/>
        <v>0</v>
      </c>
      <c r="L40" s="363">
        <f t="shared" si="7"/>
        <v>3</v>
      </c>
      <c r="M40" s="352"/>
      <c r="N40" s="352"/>
      <c r="O40" s="398" t="s">
        <v>30</v>
      </c>
      <c r="P40" s="399">
        <f>SUMIF($D$8:$D$55,$O40,$G$8:$G$55)+SUMIF($F$8:$F$55,$O40,$I$8:$I$55)</f>
        <v>3</v>
      </c>
      <c r="Q40" s="399">
        <f>SUMIF($D$8:$D$55,$O40,$I$8:$I$55)+SUMIF($F$8:$F$55,$O40,$G$8:$G$55)</f>
        <v>2</v>
      </c>
      <c r="R40" s="399">
        <f>P40-Q40</f>
        <v>1</v>
      </c>
      <c r="S40" s="400">
        <f>SUMIF($D$8:$D$55,$O40,$K$8:$K$55)+SUMIF($F$8:$F$55,$O40,$L$8:$L$55)</f>
        <v>4</v>
      </c>
      <c r="T40" s="445" t="s">
        <v>73</v>
      </c>
      <c r="U40" s="40"/>
      <c r="V40" s="40" t="str">
        <f>O40</f>
        <v>Bosnië H.</v>
      </c>
      <c r="W40" s="40" t="s">
        <v>73</v>
      </c>
      <c r="Y40" s="109">
        <f t="shared" si="8"/>
        <v>6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6</v>
      </c>
      <c r="AG40" s="108">
        <f t="shared" si="0"/>
        <v>1</v>
      </c>
      <c r="AH40" s="108">
        <f t="shared" si="1"/>
        <v>0</v>
      </c>
      <c r="AI40" s="108">
        <f t="shared" si="10"/>
        <v>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0</v>
      </c>
      <c r="AN40" s="117" t="s">
        <v>30</v>
      </c>
      <c r="AO40" s="115">
        <f>IF(Uitslag!T40="",0,IF(T40=Uitslag!T40,10,0))</f>
        <v>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1</v>
      </c>
      <c r="H41" s="373" t="s">
        <v>9</v>
      </c>
      <c r="I41" s="441">
        <v>1</v>
      </c>
      <c r="J41" s="375">
        <f t="shared" si="5"/>
        <v>3</v>
      </c>
      <c r="K41" s="363">
        <f t="shared" si="6"/>
        <v>1</v>
      </c>
      <c r="L41" s="363">
        <f t="shared" si="7"/>
        <v>1</v>
      </c>
      <c r="M41" s="352"/>
      <c r="N41" s="352"/>
      <c r="O41" s="398" t="s">
        <v>33</v>
      </c>
      <c r="P41" s="399">
        <f>SUMIF($D$8:$D$55,$O41,$G$8:$G$55)+SUMIF($F$8:$F$55,$O41,$I$8:$I$55)</f>
        <v>0</v>
      </c>
      <c r="Q41" s="399">
        <f>SUMIF($D$8:$D$55,$O41,$I$8:$I$55)+SUMIF($F$8:$F$55,$O41,$G$8:$G$55)</f>
        <v>6</v>
      </c>
      <c r="R41" s="399">
        <f>P41-Q41</f>
        <v>-6</v>
      </c>
      <c r="S41" s="400">
        <f>SUMIF($D$8:$D$55,$O41,$K$8:$K$55)+SUMIF($F$8:$F$55,$O41,$L$8:$L$55)</f>
        <v>0</v>
      </c>
      <c r="T41" s="445" t="s">
        <v>75</v>
      </c>
      <c r="U41" s="40"/>
      <c r="V41" s="40" t="str">
        <f>O41</f>
        <v>Iran</v>
      </c>
      <c r="W41" s="40" t="s">
        <v>74</v>
      </c>
      <c r="Y41" s="109">
        <f t="shared" si="8"/>
        <v>0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0</v>
      </c>
      <c r="AG41" s="108">
        <f t="shared" si="0"/>
        <v>0</v>
      </c>
      <c r="AH41" s="108">
        <f t="shared" si="1"/>
        <v>0</v>
      </c>
      <c r="AI41" s="108">
        <f t="shared" si="10"/>
        <v>0</v>
      </c>
      <c r="AJ41" s="108">
        <f t="shared" si="2"/>
        <v>0</v>
      </c>
      <c r="AK41" s="108">
        <f t="shared" si="3"/>
        <v>0</v>
      </c>
      <c r="AL41" s="108">
        <f t="shared" si="4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1</v>
      </c>
      <c r="H42" s="373" t="s">
        <v>9</v>
      </c>
      <c r="I42" s="441">
        <v>1</v>
      </c>
      <c r="J42" s="375">
        <f t="shared" si="5"/>
        <v>3</v>
      </c>
      <c r="K42" s="363">
        <f t="shared" si="6"/>
        <v>1</v>
      </c>
      <c r="L42" s="363">
        <f t="shared" si="7"/>
        <v>1</v>
      </c>
      <c r="M42" s="352"/>
      <c r="N42" s="352"/>
      <c r="O42" s="401" t="s">
        <v>34</v>
      </c>
      <c r="P42" s="402">
        <f>SUMIF($D$8:$D$55,$O42,$G$8:$G$55)+SUMIF($F$8:$F$55,$O42,$I$8:$I$55)</f>
        <v>2</v>
      </c>
      <c r="Q42" s="402">
        <f>SUMIF($D$8:$D$55,$O42,$I$8:$I$55)+SUMIF($F$8:$F$55,$O42,$G$8:$G$55)</f>
        <v>2</v>
      </c>
      <c r="R42" s="402">
        <f>P42-Q42</f>
        <v>0</v>
      </c>
      <c r="S42" s="403">
        <f>SUMIF($D$8:$D$55,$O42,$K$8:$K$55)+SUMIF($F$8:$F$55,$O42,$L$8:$L$55)</f>
        <v>4</v>
      </c>
      <c r="T42" s="446" t="s">
        <v>74</v>
      </c>
      <c r="U42" s="40"/>
      <c r="V42" s="40" t="str">
        <f>O42</f>
        <v>Nigeria</v>
      </c>
      <c r="W42" s="40" t="s">
        <v>75</v>
      </c>
      <c r="Y42" s="109">
        <f t="shared" si="8"/>
        <v>1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1</v>
      </c>
      <c r="AG42" s="108">
        <f t="shared" si="0"/>
        <v>1</v>
      </c>
      <c r="AH42" s="108">
        <f t="shared" si="1"/>
        <v>0</v>
      </c>
      <c r="AI42" s="108">
        <f t="shared" si="10"/>
        <v>0</v>
      </c>
      <c r="AJ42" s="108">
        <f t="shared" si="2"/>
        <v>0</v>
      </c>
      <c r="AK42" s="108">
        <f t="shared" si="3"/>
        <v>0</v>
      </c>
      <c r="AL42" s="108">
        <f t="shared" si="4"/>
        <v>0</v>
      </c>
      <c r="AM42" s="120">
        <f>AO42</f>
        <v>0</v>
      </c>
      <c r="AN42" s="118" t="s">
        <v>34</v>
      </c>
      <c r="AO42" s="115">
        <f>IF(Uitslag!T42="",0,IF(T42=Uitslag!T42,10,0))</f>
        <v>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0</v>
      </c>
      <c r="H43" s="379" t="s">
        <v>9</v>
      </c>
      <c r="I43" s="442">
        <v>1</v>
      </c>
      <c r="J43" s="381">
        <f t="shared" si="5"/>
        <v>2</v>
      </c>
      <c r="K43" s="363">
        <f t="shared" si="6"/>
        <v>0</v>
      </c>
      <c r="L43" s="363">
        <f t="shared" si="7"/>
        <v>3</v>
      </c>
      <c r="M43" s="352"/>
      <c r="N43" s="352"/>
      <c r="O43" s="392"/>
      <c r="P43" s="393"/>
      <c r="Q43" s="393"/>
      <c r="R43" s="393"/>
      <c r="S43" s="393"/>
      <c r="T43" s="393"/>
      <c r="U43" s="40"/>
      <c r="V43" s="40"/>
      <c r="W43" s="40"/>
      <c r="Y43" s="109">
        <f t="shared" si="8"/>
        <v>5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5</v>
      </c>
      <c r="AG43" s="108">
        <f t="shared" si="0"/>
        <v>0</v>
      </c>
      <c r="AH43" s="108">
        <f t="shared" si="1"/>
        <v>0</v>
      </c>
      <c r="AI43" s="108">
        <f t="shared" si="10"/>
        <v>0</v>
      </c>
      <c r="AJ43" s="108">
        <f t="shared" si="2"/>
        <v>0</v>
      </c>
      <c r="AK43" s="108">
        <f t="shared" si="3"/>
        <v>5</v>
      </c>
      <c r="AL43" s="108">
        <f t="shared" si="4"/>
        <v>0</v>
      </c>
      <c r="AN43" s="40"/>
      <c r="AO43" s="41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0</v>
      </c>
      <c r="H44" s="367" t="s">
        <v>9</v>
      </c>
      <c r="I44" s="440">
        <v>1</v>
      </c>
      <c r="J44" s="369">
        <f t="shared" si="5"/>
        <v>2</v>
      </c>
      <c r="K44" s="363">
        <f t="shared" si="6"/>
        <v>0</v>
      </c>
      <c r="L44" s="363">
        <f t="shared" si="7"/>
        <v>3</v>
      </c>
      <c r="M44" s="352"/>
      <c r="N44" s="352"/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40"/>
      <c r="V44" s="40"/>
      <c r="W44" s="40"/>
      <c r="Y44" s="109">
        <f t="shared" si="8"/>
        <v>10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10</v>
      </c>
      <c r="AG44" s="108">
        <f t="shared" si="0"/>
        <v>1</v>
      </c>
      <c r="AH44" s="108">
        <f t="shared" si="1"/>
        <v>1</v>
      </c>
      <c r="AI44" s="108">
        <f t="shared" si="10"/>
        <v>10</v>
      </c>
      <c r="AJ44" s="108">
        <f t="shared" si="2"/>
        <v>0</v>
      </c>
      <c r="AK44" s="108">
        <f t="shared" si="3"/>
        <v>5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0</v>
      </c>
      <c r="H45" s="373" t="s">
        <v>9</v>
      </c>
      <c r="I45" s="441">
        <v>1</v>
      </c>
      <c r="J45" s="375">
        <f t="shared" si="5"/>
        <v>2</v>
      </c>
      <c r="K45" s="363">
        <f t="shared" si="6"/>
        <v>0</v>
      </c>
      <c r="L45" s="363">
        <f t="shared" si="7"/>
        <v>3</v>
      </c>
      <c r="M45" s="352"/>
      <c r="N45" s="352"/>
      <c r="O45" s="394" t="s">
        <v>31</v>
      </c>
      <c r="P45" s="395">
        <f>SUMIF($D$8:$D$55,$O45,$G$8:$G$55)+SUMIF($F$8:$F$55,$O45,$I$8:$I$55)</f>
        <v>5</v>
      </c>
      <c r="Q45" s="395">
        <f>SUMIF($D$8:$D$55,$O45,$I$8:$I$55)+SUMIF($F$8:$F$55,$O45,$G$8:$G$55)</f>
        <v>3</v>
      </c>
      <c r="R45" s="396">
        <f>P45-Q45</f>
        <v>2</v>
      </c>
      <c r="S45" s="397">
        <f>SUMIF($D$8:$D$55,$O45,$K$8:$K$55)+SUMIF($F$8:$F$55,$O45,$L$8:$L$55)</f>
        <v>6</v>
      </c>
      <c r="T45" s="444" t="s">
        <v>77</v>
      </c>
      <c r="U45" s="40"/>
      <c r="V45" s="40" t="str">
        <f>O45</f>
        <v>Duitsland</v>
      </c>
      <c r="W45" s="40" t="s">
        <v>77</v>
      </c>
      <c r="Y45" s="109">
        <f t="shared" si="8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1</v>
      </c>
      <c r="AG45" s="108">
        <f t="shared" si="0"/>
        <v>1</v>
      </c>
      <c r="AH45" s="108">
        <f t="shared" si="1"/>
        <v>0</v>
      </c>
      <c r="AI45" s="108">
        <f t="shared" si="10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0</v>
      </c>
      <c r="H46" s="373" t="s">
        <v>9</v>
      </c>
      <c r="I46" s="441">
        <v>1</v>
      </c>
      <c r="J46" s="375">
        <f t="shared" si="5"/>
        <v>2</v>
      </c>
      <c r="K46" s="363">
        <f t="shared" si="6"/>
        <v>0</v>
      </c>
      <c r="L46" s="363">
        <f t="shared" si="7"/>
        <v>3</v>
      </c>
      <c r="M46" s="352"/>
      <c r="N46" s="352"/>
      <c r="O46" s="398" t="s">
        <v>32</v>
      </c>
      <c r="P46" s="399">
        <f>SUMIF($D$8:$D$55,$O46,$G$8:$G$55)+SUMIF($F$8:$F$55,$O46,$I$8:$I$55)</f>
        <v>6</v>
      </c>
      <c r="Q46" s="399">
        <f>SUMIF($D$8:$D$55,$O46,$I$8:$I$55)+SUMIF($F$8:$F$55,$O46,$G$8:$G$55)</f>
        <v>2</v>
      </c>
      <c r="R46" s="399">
        <f>P46-Q46</f>
        <v>4</v>
      </c>
      <c r="S46" s="400">
        <f>SUMIF($D$8:$D$55,$O46,$K$8:$K$55)+SUMIF($F$8:$F$55,$O46,$L$8:$L$55)</f>
        <v>9</v>
      </c>
      <c r="T46" s="445" t="s">
        <v>78</v>
      </c>
      <c r="U46" s="40"/>
      <c r="V46" s="40" t="str">
        <f>O46</f>
        <v>Portugal</v>
      </c>
      <c r="W46" s="40" t="s">
        <v>78</v>
      </c>
      <c r="Y46" s="109">
        <f t="shared" si="8"/>
        <v>5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5</v>
      </c>
      <c r="AG46" s="108">
        <f t="shared" si="0"/>
        <v>0</v>
      </c>
      <c r="AH46" s="108">
        <f t="shared" si="1"/>
        <v>0</v>
      </c>
      <c r="AI46" s="108">
        <f t="shared" si="10"/>
        <v>0</v>
      </c>
      <c r="AJ46" s="108">
        <f t="shared" si="2"/>
        <v>0</v>
      </c>
      <c r="AK46" s="108">
        <f t="shared" si="3"/>
        <v>5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0</v>
      </c>
      <c r="H47" s="379" t="s">
        <v>9</v>
      </c>
      <c r="I47" s="442">
        <v>1</v>
      </c>
      <c r="J47" s="381">
        <f t="shared" si="5"/>
        <v>2</v>
      </c>
      <c r="K47" s="363">
        <f t="shared" si="6"/>
        <v>0</v>
      </c>
      <c r="L47" s="363">
        <f t="shared" si="7"/>
        <v>3</v>
      </c>
      <c r="M47" s="352"/>
      <c r="N47" s="352"/>
      <c r="O47" s="398" t="s">
        <v>35</v>
      </c>
      <c r="P47" s="399">
        <f>SUMIF($D$8:$D$55,$O47,$G$8:$G$55)+SUMIF($F$8:$F$55,$O47,$I$8:$I$55)</f>
        <v>0</v>
      </c>
      <c r="Q47" s="399">
        <f>SUMIF($D$8:$D$55,$O47,$I$8:$I$55)+SUMIF($F$8:$F$55,$O47,$G$8:$G$55)</f>
        <v>6</v>
      </c>
      <c r="R47" s="399">
        <f>P47-Q47</f>
        <v>-6</v>
      </c>
      <c r="S47" s="400">
        <f>SUMIF($D$8:$D$55,$O47,$K$8:$K$55)+SUMIF($F$8:$F$55,$O47,$L$8:$L$55)</f>
        <v>0</v>
      </c>
      <c r="T47" s="445" t="s">
        <v>80</v>
      </c>
      <c r="U47" s="40"/>
      <c r="V47" s="40" t="str">
        <f>O47</f>
        <v>Ghana</v>
      </c>
      <c r="W47" s="40" t="s">
        <v>79</v>
      </c>
      <c r="Y47" s="109">
        <f t="shared" si="8"/>
        <v>1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1</v>
      </c>
      <c r="AG47" s="108">
        <f t="shared" si="0"/>
        <v>0</v>
      </c>
      <c r="AH47" s="108">
        <f t="shared" si="1"/>
        <v>1</v>
      </c>
      <c r="AI47" s="108">
        <f t="shared" si="10"/>
        <v>0</v>
      </c>
      <c r="AJ47" s="108">
        <f t="shared" si="2"/>
        <v>0</v>
      </c>
      <c r="AK47" s="108">
        <f t="shared" si="3"/>
        <v>0</v>
      </c>
      <c r="AL47" s="108">
        <f t="shared" si="4"/>
        <v>0</v>
      </c>
      <c r="AM47" s="120">
        <f>AO47</f>
        <v>10</v>
      </c>
      <c r="AN47" s="117" t="s">
        <v>35</v>
      </c>
      <c r="AO47" s="115">
        <f>IF(Uitslag!T47="",0,IF(T47=Uitslag!T47,10,0))</f>
        <v>10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0</v>
      </c>
      <c r="H48" s="367" t="s">
        <v>9</v>
      </c>
      <c r="I48" s="440">
        <v>1</v>
      </c>
      <c r="J48" s="369">
        <f t="shared" si="5"/>
        <v>2</v>
      </c>
      <c r="K48" s="363">
        <f t="shared" si="6"/>
        <v>0</v>
      </c>
      <c r="L48" s="363">
        <f t="shared" si="7"/>
        <v>3</v>
      </c>
      <c r="M48" s="352"/>
      <c r="N48" s="352"/>
      <c r="O48" s="401" t="s">
        <v>36</v>
      </c>
      <c r="P48" s="402">
        <f>SUMIF($D$8:$D$55,$O48,$G$8:$G$55)+SUMIF($F$8:$F$55,$O48,$I$8:$I$55)</f>
        <v>4</v>
      </c>
      <c r="Q48" s="402">
        <f>SUMIF($D$8:$D$55,$O48,$I$8:$I$55)+SUMIF($F$8:$F$55,$O48,$G$8:$G$55)</f>
        <v>4</v>
      </c>
      <c r="R48" s="402">
        <f>P48-Q48</f>
        <v>0</v>
      </c>
      <c r="S48" s="403">
        <f>SUMIF($D$8:$D$55,$O48,$K$8:$K$55)+SUMIF($F$8:$F$55,$O48,$L$8:$L$55)</f>
        <v>3</v>
      </c>
      <c r="T48" s="446" t="s">
        <v>79</v>
      </c>
      <c r="U48" s="40"/>
      <c r="V48" s="40" t="str">
        <f>O48</f>
        <v>Verenigde Staten</v>
      </c>
      <c r="W48" s="40" t="s">
        <v>80</v>
      </c>
      <c r="Y48" s="109">
        <f t="shared" si="8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5</v>
      </c>
      <c r="AG48" s="108">
        <f t="shared" si="0"/>
        <v>0</v>
      </c>
      <c r="AH48" s="108">
        <f t="shared" si="1"/>
        <v>0</v>
      </c>
      <c r="AI48" s="108">
        <f t="shared" si="10"/>
        <v>0</v>
      </c>
      <c r="AJ48" s="108">
        <f t="shared" si="2"/>
        <v>0</v>
      </c>
      <c r="AK48" s="108">
        <f t="shared" si="3"/>
        <v>5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2</v>
      </c>
      <c r="H49" s="373" t="s">
        <v>9</v>
      </c>
      <c r="I49" s="441">
        <v>0</v>
      </c>
      <c r="J49" s="375">
        <f t="shared" si="5"/>
        <v>1</v>
      </c>
      <c r="K49" s="363">
        <f t="shared" si="6"/>
        <v>3</v>
      </c>
      <c r="L49" s="363">
        <f t="shared" si="7"/>
        <v>0</v>
      </c>
      <c r="M49" s="352"/>
      <c r="N49" s="352"/>
      <c r="O49" s="392"/>
      <c r="P49" s="393"/>
      <c r="Q49" s="393"/>
      <c r="R49" s="393"/>
      <c r="S49" s="393"/>
      <c r="T49" s="393"/>
      <c r="U49" s="40"/>
      <c r="V49" s="40"/>
      <c r="W49" s="40"/>
      <c r="Y49" s="109">
        <f t="shared" si="8"/>
        <v>5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5</v>
      </c>
      <c r="AG49" s="108">
        <f t="shared" si="0"/>
        <v>0</v>
      </c>
      <c r="AH49" s="108">
        <f t="shared" si="1"/>
        <v>0</v>
      </c>
      <c r="AI49" s="108">
        <f t="shared" si="10"/>
        <v>0</v>
      </c>
      <c r="AJ49" s="108">
        <f t="shared" si="2"/>
        <v>5</v>
      </c>
      <c r="AK49" s="108">
        <f t="shared" si="3"/>
        <v>0</v>
      </c>
      <c r="AL49" s="108">
        <f t="shared" si="4"/>
        <v>0</v>
      </c>
      <c r="AN49" s="40"/>
      <c r="AO49" s="41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0</v>
      </c>
      <c r="H50" s="373" t="s">
        <v>9</v>
      </c>
      <c r="I50" s="441">
        <v>2</v>
      </c>
      <c r="J50" s="375">
        <f t="shared" si="5"/>
        <v>2</v>
      </c>
      <c r="K50" s="363">
        <f t="shared" si="6"/>
        <v>0</v>
      </c>
      <c r="L50" s="363">
        <f t="shared" si="7"/>
        <v>3</v>
      </c>
      <c r="M50" s="352"/>
      <c r="N50" s="352"/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40"/>
      <c r="V50" s="40"/>
      <c r="W50" s="40"/>
      <c r="Y50" s="109">
        <f t="shared" si="8"/>
        <v>6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6</v>
      </c>
      <c r="AG50" s="108">
        <f t="shared" si="0"/>
        <v>1</v>
      </c>
      <c r="AH50" s="108">
        <f t="shared" si="1"/>
        <v>0</v>
      </c>
      <c r="AI50" s="108">
        <f t="shared" si="10"/>
        <v>0</v>
      </c>
      <c r="AJ50" s="108">
        <f t="shared" si="2"/>
        <v>0</v>
      </c>
      <c r="AK50" s="108">
        <f t="shared" si="3"/>
        <v>5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0</v>
      </c>
      <c r="H51" s="379" t="s">
        <v>9</v>
      </c>
      <c r="I51" s="442">
        <v>1</v>
      </c>
      <c r="J51" s="381">
        <f t="shared" si="5"/>
        <v>2</v>
      </c>
      <c r="K51" s="363">
        <f t="shared" si="6"/>
        <v>0</v>
      </c>
      <c r="L51" s="363">
        <f>IF(I51="","",IF($G51&lt;$I51,3,IF($G51=$I51,1,0)))</f>
        <v>3</v>
      </c>
      <c r="M51" s="352"/>
      <c r="N51" s="352"/>
      <c r="O51" s="394" t="s">
        <v>37</v>
      </c>
      <c r="P51" s="395">
        <f>SUMIF($D$8:$D$55,$O51,$G$8:$G$55)+SUMIF($F$8:$F$55,$O51,$I$8:$I$55)</f>
        <v>5</v>
      </c>
      <c r="Q51" s="395">
        <f>SUMIF($D$8:$D$55,$O51,$I$8:$I$55)+SUMIF($F$8:$F$55,$O51,$G$8:$G$55)</f>
        <v>0</v>
      </c>
      <c r="R51" s="396">
        <f>P51-Q51</f>
        <v>5</v>
      </c>
      <c r="S51" s="397">
        <f>SUMIF($D$8:$D$55,$O51,$K$8:$K$55)+SUMIF($F$8:$F$55,$O51,$L$8:$L$55)</f>
        <v>9</v>
      </c>
      <c r="T51" s="444" t="s">
        <v>82</v>
      </c>
      <c r="U51" s="40"/>
      <c r="V51" s="40" t="str">
        <f>O51</f>
        <v>België</v>
      </c>
      <c r="W51" s="40" t="s">
        <v>82</v>
      </c>
      <c r="Y51" s="109">
        <f t="shared" si="8"/>
        <v>1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1</v>
      </c>
      <c r="AG51" s="108">
        <f t="shared" si="0"/>
        <v>1</v>
      </c>
      <c r="AH51" s="108">
        <f t="shared" si="1"/>
        <v>0</v>
      </c>
      <c r="AI51" s="108">
        <f t="shared" si="10"/>
        <v>0</v>
      </c>
      <c r="AJ51" s="108">
        <f t="shared" si="2"/>
        <v>0</v>
      </c>
      <c r="AK51" s="108">
        <f t="shared" si="3"/>
        <v>0</v>
      </c>
      <c r="AL51" s="108">
        <f t="shared" si="4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1</v>
      </c>
      <c r="H52" s="373" t="s">
        <v>9</v>
      </c>
      <c r="I52" s="441">
        <v>2</v>
      </c>
      <c r="J52" s="369">
        <f t="shared" si="5"/>
        <v>2</v>
      </c>
      <c r="K52" s="363">
        <f t="shared" si="6"/>
        <v>0</v>
      </c>
      <c r="L52" s="363">
        <f t="shared" si="7"/>
        <v>3</v>
      </c>
      <c r="M52" s="352"/>
      <c r="N52" s="352"/>
      <c r="O52" s="398" t="s">
        <v>38</v>
      </c>
      <c r="P52" s="399">
        <f>SUMIF($D$8:$D$55,$O52,$G$8:$G$55)+SUMIF($F$8:$F$55,$O52,$I$8:$I$55)</f>
        <v>0</v>
      </c>
      <c r="Q52" s="399">
        <f>SUMIF($D$8:$D$55,$O52,$I$8:$I$55)+SUMIF($F$8:$F$55,$O52,$G$8:$G$55)</f>
        <v>5</v>
      </c>
      <c r="R52" s="399">
        <f>P52-Q52</f>
        <v>-5</v>
      </c>
      <c r="S52" s="400">
        <f>SUMIF($D$8:$D$55,$O52,$K$8:$K$55)+SUMIF($F$8:$F$55,$O52,$L$8:$L$55)</f>
        <v>0</v>
      </c>
      <c r="T52" s="445" t="s">
        <v>85</v>
      </c>
      <c r="U52" s="40"/>
      <c r="V52" s="40" t="str">
        <f>O52</f>
        <v>Algerije</v>
      </c>
      <c r="W52" s="40" t="s">
        <v>83</v>
      </c>
      <c r="Y52" s="109">
        <f t="shared" si="8"/>
        <v>5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5</v>
      </c>
      <c r="AG52" s="108">
        <f t="shared" si="0"/>
        <v>0</v>
      </c>
      <c r="AH52" s="108">
        <f t="shared" si="1"/>
        <v>0</v>
      </c>
      <c r="AI52" s="108">
        <f t="shared" si="10"/>
        <v>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2</v>
      </c>
      <c r="H53" s="373" t="s">
        <v>9</v>
      </c>
      <c r="I53" s="441">
        <v>0</v>
      </c>
      <c r="J53" s="375">
        <f t="shared" si="5"/>
        <v>1</v>
      </c>
      <c r="K53" s="363">
        <f t="shared" si="6"/>
        <v>3</v>
      </c>
      <c r="L53" s="363">
        <f t="shared" si="7"/>
        <v>0</v>
      </c>
      <c r="M53" s="352"/>
      <c r="N53" s="352"/>
      <c r="O53" s="398" t="s">
        <v>39</v>
      </c>
      <c r="P53" s="399">
        <f>SUMIF($D$8:$D$55,$O53,$G$8:$G$55)+SUMIF($F$8:$F$55,$O53,$I$8:$I$55)</f>
        <v>2</v>
      </c>
      <c r="Q53" s="399">
        <f>SUMIF($D$8:$D$55,$O53,$I$8:$I$55)+SUMIF($F$8:$F$55,$O53,$G$8:$G$55)</f>
        <v>3</v>
      </c>
      <c r="R53" s="399">
        <f>P53-Q53</f>
        <v>-1</v>
      </c>
      <c r="S53" s="400">
        <f>SUMIF($D$8:$D$55,$O53,$K$8:$K$55)+SUMIF($F$8:$F$55,$O53,$L$8:$L$55)</f>
        <v>4</v>
      </c>
      <c r="T53" s="445" t="s">
        <v>83</v>
      </c>
      <c r="U53" s="40"/>
      <c r="V53" s="40" t="str">
        <f>O53</f>
        <v>Rusland</v>
      </c>
      <c r="W53" s="40" t="s">
        <v>84</v>
      </c>
      <c r="Y53" s="109">
        <f t="shared" si="8"/>
        <v>6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6</v>
      </c>
      <c r="AG53" s="108">
        <f t="shared" si="0"/>
        <v>1</v>
      </c>
      <c r="AH53" s="108">
        <f t="shared" si="1"/>
        <v>0</v>
      </c>
      <c r="AI53" s="108">
        <f t="shared" si="10"/>
        <v>0</v>
      </c>
      <c r="AJ53" s="108">
        <f t="shared" si="2"/>
        <v>5</v>
      </c>
      <c r="AK53" s="108">
        <f t="shared" si="3"/>
        <v>0</v>
      </c>
      <c r="AL53" s="108">
        <f t="shared" si="4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0</v>
      </c>
      <c r="H54" s="373" t="s">
        <v>9</v>
      </c>
      <c r="I54" s="441">
        <v>1</v>
      </c>
      <c r="J54" s="375">
        <f t="shared" si="5"/>
        <v>2</v>
      </c>
      <c r="K54" s="363">
        <f t="shared" si="6"/>
        <v>0</v>
      </c>
      <c r="L54" s="363">
        <f t="shared" si="7"/>
        <v>3</v>
      </c>
      <c r="M54" s="352"/>
      <c r="N54" s="352"/>
      <c r="O54" s="401" t="s">
        <v>40</v>
      </c>
      <c r="P54" s="402">
        <f>SUMIF($D$8:$D$55,$O54,$G$8:$G$55)+SUMIF($F$8:$F$55,$O54,$I$8:$I$55)</f>
        <v>3</v>
      </c>
      <c r="Q54" s="402">
        <f>SUMIF($D$8:$D$55,$O54,$I$8:$I$55)+SUMIF($F$8:$F$55,$O54,$G$8:$G$55)</f>
        <v>2</v>
      </c>
      <c r="R54" s="402">
        <f>P54-Q54</f>
        <v>1</v>
      </c>
      <c r="S54" s="403">
        <f>SUMIF($D$8:$D$55,$O54,$K$8:$K$55)+SUMIF($F$8:$F$55,$O54,$L$8:$L$55)</f>
        <v>4</v>
      </c>
      <c r="T54" s="446" t="s">
        <v>84</v>
      </c>
      <c r="U54" s="40"/>
      <c r="V54" s="40" t="str">
        <f>O54</f>
        <v>Zuid Korea</v>
      </c>
      <c r="W54" s="40" t="s">
        <v>85</v>
      </c>
      <c r="Y54" s="109">
        <f t="shared" si="8"/>
        <v>10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10</v>
      </c>
      <c r="AG54" s="108">
        <f t="shared" si="0"/>
        <v>1</v>
      </c>
      <c r="AH54" s="108">
        <f t="shared" si="1"/>
        <v>1</v>
      </c>
      <c r="AI54" s="108">
        <f t="shared" si="10"/>
        <v>10</v>
      </c>
      <c r="AJ54" s="108">
        <f t="shared" si="2"/>
        <v>0</v>
      </c>
      <c r="AK54" s="108">
        <f t="shared" si="3"/>
        <v>5</v>
      </c>
      <c r="AL54" s="108">
        <f t="shared" si="4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0</v>
      </c>
      <c r="H55" s="388" t="s">
        <v>9</v>
      </c>
      <c r="I55" s="443">
        <v>1</v>
      </c>
      <c r="J55" s="390">
        <f t="shared" si="5"/>
        <v>2</v>
      </c>
      <c r="K55" s="363">
        <f t="shared" si="6"/>
        <v>0</v>
      </c>
      <c r="L55" s="363">
        <f t="shared" si="7"/>
        <v>3</v>
      </c>
      <c r="M55" s="352"/>
      <c r="N55" s="352"/>
      <c r="O55" s="392"/>
      <c r="P55" s="393"/>
      <c r="Q55" s="393"/>
      <c r="R55" s="393"/>
      <c r="S55" s="393"/>
      <c r="T55" s="393"/>
      <c r="U55" s="40"/>
      <c r="V55" s="40"/>
      <c r="W55" s="40"/>
      <c r="Y55" s="109">
        <f t="shared" si="8"/>
        <v>1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</v>
      </c>
      <c r="AG55" s="108">
        <f t="shared" si="0"/>
        <v>0</v>
      </c>
      <c r="AH55" s="108">
        <f t="shared" si="1"/>
        <v>1</v>
      </c>
      <c r="AI55" s="108">
        <f t="shared" si="10"/>
        <v>0</v>
      </c>
      <c r="AJ55" s="108">
        <f t="shared" si="2"/>
        <v>0</v>
      </c>
      <c r="AK55" s="108">
        <f t="shared" si="3"/>
        <v>0</v>
      </c>
      <c r="AL55" s="108">
        <f t="shared" si="4"/>
        <v>0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N56" s="352"/>
      <c r="O56" s="352"/>
      <c r="P56" s="352"/>
      <c r="Q56" s="352"/>
      <c r="R56" s="352"/>
      <c r="S56" s="352"/>
      <c r="T56" s="352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27"/>
      <c r="K57" s="353"/>
      <c r="L57" s="353"/>
      <c r="M57" s="353"/>
      <c r="N57" s="352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32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N58" s="352"/>
      <c r="O58" s="458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>IF(ISERROR(Z59),K59,Z59)</f>
        <v>Brazilië</v>
      </c>
      <c r="E59" s="367" t="s">
        <v>9</v>
      </c>
      <c r="F59" s="406" t="str">
        <f>IF(ISERROR(AA59),L59,AA59)</f>
        <v>Nederland</v>
      </c>
      <c r="G59" s="435">
        <v>2</v>
      </c>
      <c r="H59" s="367" t="s">
        <v>9</v>
      </c>
      <c r="I59" s="447">
        <v>0</v>
      </c>
      <c r="J59" s="448">
        <v>1</v>
      </c>
      <c r="K59" s="407" t="s">
        <v>48</v>
      </c>
      <c r="L59" s="407" t="s">
        <v>53</v>
      </c>
      <c r="M59" s="407">
        <v>1</v>
      </c>
      <c r="N59" s="352"/>
      <c r="O59" s="458">
        <v>2</v>
      </c>
      <c r="P59" s="877" t="s">
        <v>212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3">AF59</f>
        <v>0</v>
      </c>
      <c r="Z59" t="str">
        <f t="shared" ref="Z59:AA65" si="14">IF(K59=""," ",VLOOKUP(K59,$T$9:$V$54,3,FALSE))</f>
        <v>Brazilië</v>
      </c>
      <c r="AA59" t="str">
        <f t="shared" si="14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0</v>
      </c>
      <c r="AG59" s="108">
        <f t="shared" ref="AG59:AG66" si="16">IF(AC59="",0,(IF(G59=AC59,1,0)))</f>
        <v>0</v>
      </c>
      <c r="AH59" s="108">
        <f t="shared" ref="AH59:AH66" si="17">IF(AD59="",0,(IF(I59=AD59,1,0)))</f>
        <v>0</v>
      </c>
      <c r="AI59" s="108">
        <f t="shared" ref="AI59:AI66" si="18">IF(AND(AG59=1,AH59=1),10,0)</f>
        <v>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376">
        <v>50</v>
      </c>
      <c r="C60" s="466">
        <v>41818</v>
      </c>
      <c r="D60" s="460" t="str">
        <f t="shared" ref="D60:D66" si="23">IF(ISERROR(Z60),K60,Z60)</f>
        <v>Colombia</v>
      </c>
      <c r="E60" s="379" t="s">
        <v>9</v>
      </c>
      <c r="F60" s="409" t="str">
        <f t="shared" ref="F60:F66" si="24">IF(ISERROR(AA60),L60,AA60)</f>
        <v>Italië</v>
      </c>
      <c r="G60" s="437">
        <v>1</v>
      </c>
      <c r="H60" s="379" t="s">
        <v>9</v>
      </c>
      <c r="I60" s="449">
        <v>0</v>
      </c>
      <c r="J60" s="450">
        <v>1</v>
      </c>
      <c r="K60" s="407" t="s">
        <v>57</v>
      </c>
      <c r="L60" s="407" t="s">
        <v>63</v>
      </c>
      <c r="M60" s="407">
        <v>2</v>
      </c>
      <c r="N60" s="352"/>
      <c r="O60" s="458">
        <v>3</v>
      </c>
      <c r="P60" s="877" t="s">
        <v>220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3"/>
        <v>6</v>
      </c>
      <c r="Z60" t="str">
        <f t="shared" si="14"/>
        <v>Colombia</v>
      </c>
      <c r="AA60" t="str">
        <f t="shared" si="14"/>
        <v>Italië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6</v>
      </c>
      <c r="AG60" s="108">
        <f t="shared" si="16"/>
        <v>0</v>
      </c>
      <c r="AH60" s="108">
        <f t="shared" si="17"/>
        <v>1</v>
      </c>
      <c r="AI60" s="108">
        <f t="shared" si="18"/>
        <v>0</v>
      </c>
      <c r="AJ60" s="108">
        <f t="shared" si="19"/>
        <v>5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2"/>
        <v>3</v>
      </c>
    </row>
    <row r="61" spans="2:54">
      <c r="B61" s="364">
        <v>51</v>
      </c>
      <c r="C61" s="465">
        <v>41819</v>
      </c>
      <c r="D61" s="464" t="str">
        <f t="shared" si="23"/>
        <v>Spanje</v>
      </c>
      <c r="E61" s="367" t="s">
        <v>9</v>
      </c>
      <c r="F61" s="406" t="str">
        <f t="shared" si="24"/>
        <v>Kameroen</v>
      </c>
      <c r="G61" s="435">
        <v>2</v>
      </c>
      <c r="H61" s="367" t="s">
        <v>9</v>
      </c>
      <c r="I61" s="447">
        <v>1</v>
      </c>
      <c r="J61" s="448">
        <v>1</v>
      </c>
      <c r="K61" s="407" t="s">
        <v>52</v>
      </c>
      <c r="L61" s="407" t="s">
        <v>49</v>
      </c>
      <c r="M61" s="407"/>
      <c r="N61" s="352"/>
      <c r="O61" s="458">
        <v>4</v>
      </c>
      <c r="P61" s="877" t="s">
        <v>211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3"/>
        <v>10</v>
      </c>
      <c r="Z61" t="str">
        <f t="shared" si="14"/>
        <v>Spanje</v>
      </c>
      <c r="AA61" t="str">
        <f t="shared" si="14"/>
        <v>Kameroen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10</v>
      </c>
      <c r="AG61" s="108">
        <f t="shared" si="16"/>
        <v>1</v>
      </c>
      <c r="AH61" s="108">
        <f t="shared" si="17"/>
        <v>1</v>
      </c>
      <c r="AI61" s="108">
        <f t="shared" si="18"/>
        <v>10</v>
      </c>
      <c r="AJ61" s="108">
        <f t="shared" si="19"/>
        <v>5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3</v>
      </c>
      <c r="BB61" s="139">
        <f t="shared" si="22"/>
        <v>3</v>
      </c>
    </row>
    <row r="62" spans="2:54">
      <c r="B62" s="376">
        <v>52</v>
      </c>
      <c r="C62" s="466">
        <v>41819</v>
      </c>
      <c r="D62" s="464" t="str">
        <f t="shared" si="23"/>
        <v>Uruguay</v>
      </c>
      <c r="E62" s="379" t="s">
        <v>9</v>
      </c>
      <c r="F62" s="409" t="str">
        <f t="shared" si="24"/>
        <v>Ivoorkust</v>
      </c>
      <c r="G62" s="437">
        <v>2</v>
      </c>
      <c r="H62" s="379" t="s">
        <v>9</v>
      </c>
      <c r="I62" s="449">
        <v>0</v>
      </c>
      <c r="J62" s="450">
        <v>1</v>
      </c>
      <c r="K62" s="407" t="s">
        <v>62</v>
      </c>
      <c r="L62" s="407" t="s">
        <v>58</v>
      </c>
      <c r="M62" s="407"/>
      <c r="N62" s="352"/>
      <c r="O62" s="458">
        <v>5</v>
      </c>
      <c r="P62" s="877" t="s">
        <v>225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3"/>
        <v>0</v>
      </c>
      <c r="Z62" t="str">
        <f t="shared" si="14"/>
        <v>Uruguay</v>
      </c>
      <c r="AA62" t="str">
        <f t="shared" si="14"/>
        <v>Ivoorkust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0</v>
      </c>
      <c r="AG62" s="108">
        <f t="shared" si="16"/>
        <v>0</v>
      </c>
      <c r="AH62" s="108">
        <f t="shared" si="17"/>
        <v>0</v>
      </c>
      <c r="AI62" s="108">
        <f t="shared" si="18"/>
        <v>0</v>
      </c>
      <c r="AJ62" s="108">
        <f t="shared" si="19"/>
        <v>0</v>
      </c>
      <c r="AK62" s="108">
        <f t="shared" si="20"/>
        <v>0</v>
      </c>
      <c r="AL62" s="108">
        <f t="shared" si="21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2"/>
        <v>3</v>
      </c>
    </row>
    <row r="63" spans="2:54">
      <c r="B63" s="364">
        <v>53</v>
      </c>
      <c r="C63" s="465">
        <v>41820</v>
      </c>
      <c r="D63" s="459" t="str">
        <f t="shared" si="23"/>
        <v>Frankrijk</v>
      </c>
      <c r="E63" s="367" t="s">
        <v>9</v>
      </c>
      <c r="F63" s="406" t="str">
        <f t="shared" si="24"/>
        <v>Bosnië H.</v>
      </c>
      <c r="G63" s="435">
        <v>1</v>
      </c>
      <c r="H63" s="367" t="s">
        <v>9</v>
      </c>
      <c r="I63" s="447">
        <v>0</v>
      </c>
      <c r="J63" s="448">
        <v>1</v>
      </c>
      <c r="K63" s="407" t="s">
        <v>67</v>
      </c>
      <c r="L63" s="407" t="s">
        <v>73</v>
      </c>
      <c r="M63" s="407"/>
      <c r="N63" s="352"/>
      <c r="O63" s="458">
        <v>6</v>
      </c>
      <c r="P63" s="877" t="s">
        <v>209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3"/>
        <v>6</v>
      </c>
      <c r="Z63" t="str">
        <f t="shared" si="14"/>
        <v>Frankrijk</v>
      </c>
      <c r="AA63" t="str">
        <f t="shared" si="14"/>
        <v>Bosnië H.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6</v>
      </c>
      <c r="AG63" s="108">
        <f t="shared" si="16"/>
        <v>0</v>
      </c>
      <c r="AH63" s="108">
        <f t="shared" si="17"/>
        <v>1</v>
      </c>
      <c r="AI63" s="108">
        <f t="shared" si="18"/>
        <v>0</v>
      </c>
      <c r="AJ63" s="108">
        <f t="shared" si="19"/>
        <v>5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3</v>
      </c>
      <c r="BB63" s="139">
        <f t="shared" si="22"/>
        <v>3</v>
      </c>
    </row>
    <row r="64" spans="2:54">
      <c r="B64" s="376">
        <v>54</v>
      </c>
      <c r="C64" s="466">
        <v>41820</v>
      </c>
      <c r="D64" s="460" t="str">
        <f t="shared" si="23"/>
        <v>Duitsland</v>
      </c>
      <c r="E64" s="379" t="s">
        <v>9</v>
      </c>
      <c r="F64" s="409" t="str">
        <f t="shared" si="24"/>
        <v>Rusland</v>
      </c>
      <c r="G64" s="437">
        <v>2</v>
      </c>
      <c r="H64" s="379" t="s">
        <v>9</v>
      </c>
      <c r="I64" s="449">
        <v>0</v>
      </c>
      <c r="J64" s="450">
        <v>1</v>
      </c>
      <c r="K64" s="407" t="s">
        <v>77</v>
      </c>
      <c r="L64" s="407" t="s">
        <v>83</v>
      </c>
      <c r="M64" s="407"/>
      <c r="N64" s="352"/>
      <c r="O64" s="458">
        <v>7</v>
      </c>
      <c r="P64" s="877" t="s">
        <v>214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3"/>
        <v>1</v>
      </c>
      <c r="Z64" t="str">
        <f t="shared" si="14"/>
        <v>Duitsland</v>
      </c>
      <c r="AA64" t="str">
        <f t="shared" si="14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1</v>
      </c>
      <c r="AG64" s="108">
        <f t="shared" si="16"/>
        <v>0</v>
      </c>
      <c r="AH64" s="108">
        <f t="shared" si="17"/>
        <v>1</v>
      </c>
      <c r="AI64" s="108">
        <f t="shared" si="18"/>
        <v>0</v>
      </c>
      <c r="AJ64" s="108">
        <f t="shared" si="19"/>
        <v>0</v>
      </c>
      <c r="AK64" s="108">
        <f t="shared" si="20"/>
        <v>0</v>
      </c>
      <c r="AL64" s="108">
        <f t="shared" si="21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2"/>
        <v>3</v>
      </c>
    </row>
    <row r="65" spans="2:54">
      <c r="B65" s="370">
        <v>55</v>
      </c>
      <c r="C65" s="467">
        <v>41821</v>
      </c>
      <c r="D65" s="459" t="str">
        <f t="shared" si="23"/>
        <v>Argentinië</v>
      </c>
      <c r="E65" s="373" t="s">
        <v>9</v>
      </c>
      <c r="F65" s="410" t="str">
        <f t="shared" si="24"/>
        <v>Zwitserland</v>
      </c>
      <c r="G65" s="436">
        <v>2</v>
      </c>
      <c r="H65" s="373" t="s">
        <v>9</v>
      </c>
      <c r="I65" s="451">
        <v>1</v>
      </c>
      <c r="J65" s="452">
        <v>1</v>
      </c>
      <c r="K65" s="407" t="s">
        <v>72</v>
      </c>
      <c r="L65" s="407" t="s">
        <v>68</v>
      </c>
      <c r="M65" s="407"/>
      <c r="N65" s="352"/>
      <c r="O65" s="458">
        <v>8</v>
      </c>
      <c r="P65" s="877" t="s">
        <v>213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3"/>
        <v>0</v>
      </c>
      <c r="Z65" t="str">
        <f t="shared" si="14"/>
        <v>Argentinië</v>
      </c>
      <c r="AA65" t="str">
        <f t="shared" si="14"/>
        <v>Zwitserland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0</v>
      </c>
      <c r="AG65" s="108">
        <f t="shared" si="16"/>
        <v>0</v>
      </c>
      <c r="AH65" s="108">
        <f t="shared" si="17"/>
        <v>0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2"/>
        <v>3</v>
      </c>
    </row>
    <row r="66" spans="2:54" ht="15.75" thickBot="1">
      <c r="B66" s="385">
        <v>56</v>
      </c>
      <c r="C66" s="462">
        <v>41821</v>
      </c>
      <c r="D66" s="461" t="str">
        <f t="shared" si="23"/>
        <v>België</v>
      </c>
      <c r="E66" s="388" t="s">
        <v>9</v>
      </c>
      <c r="F66" s="412" t="str">
        <f t="shared" si="24"/>
        <v>Portugal</v>
      </c>
      <c r="G66" s="438">
        <v>1</v>
      </c>
      <c r="H66" s="388" t="s">
        <v>9</v>
      </c>
      <c r="I66" s="453">
        <v>1</v>
      </c>
      <c r="J66" s="454">
        <v>2</v>
      </c>
      <c r="K66" s="407" t="s">
        <v>82</v>
      </c>
      <c r="L66" s="407" t="s">
        <v>78</v>
      </c>
      <c r="M66" s="407"/>
      <c r="N66" s="352"/>
      <c r="O66" s="458">
        <v>9</v>
      </c>
      <c r="P66" s="877" t="s">
        <v>226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3"/>
        <v>5</v>
      </c>
      <c r="Z66" t="str">
        <f>IF(K66=""," ",VLOOKUP(K66,$T$9:$V$54,3,FALSE))</f>
        <v>België</v>
      </c>
      <c r="AA66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5</v>
      </c>
      <c r="AG66" s="108">
        <f t="shared" si="16"/>
        <v>0</v>
      </c>
      <c r="AH66" s="108">
        <f t="shared" si="17"/>
        <v>0</v>
      </c>
      <c r="AI66" s="108">
        <f t="shared" si="18"/>
        <v>0</v>
      </c>
      <c r="AJ66" s="108">
        <f t="shared" si="19"/>
        <v>0</v>
      </c>
      <c r="AK66" s="108">
        <f t="shared" si="20"/>
        <v>0</v>
      </c>
      <c r="AL66" s="108">
        <f t="shared" si="21"/>
        <v>5</v>
      </c>
      <c r="AZ66" s="138" t="str">
        <f>Uitslag!P66</f>
        <v>Jonathan de Guzman (m)</v>
      </c>
      <c r="BA66" s="140">
        <f t="shared" si="12"/>
        <v>3</v>
      </c>
      <c r="BB66" s="139">
        <f t="shared" si="22"/>
        <v>3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N67" s="352"/>
      <c r="O67" s="458">
        <v>10</v>
      </c>
      <c r="P67" s="877" t="s">
        <v>216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2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27"/>
      <c r="K68" s="353"/>
      <c r="L68" s="353"/>
      <c r="M68" s="353"/>
      <c r="N68" s="352"/>
      <c r="O68" s="458">
        <v>11</v>
      </c>
      <c r="P68" s="877" t="s">
        <v>215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2"/>
        <v>3</v>
      </c>
    </row>
    <row r="69" spans="2:54">
      <c r="B69" s="428" t="s">
        <v>1</v>
      </c>
      <c r="C69" s="429" t="s">
        <v>2</v>
      </c>
      <c r="D69" s="430" t="s">
        <v>3</v>
      </c>
      <c r="E69" s="431"/>
      <c r="F69" s="432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N69" s="352"/>
      <c r="O69" s="352"/>
      <c r="P69" s="352"/>
      <c r="Q69" s="352"/>
      <c r="R69" s="352"/>
      <c r="S69" s="352"/>
      <c r="T69" s="352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33</v>
      </c>
      <c r="BB69" s="139">
        <f>IF(AND(BA69&lt;&gt;"",BA69=33),15,"nvt")</f>
        <v>15</v>
      </c>
    </row>
    <row r="70" spans="2:54">
      <c r="B70" s="364">
        <v>57</v>
      </c>
      <c r="C70" s="365">
        <v>41824</v>
      </c>
      <c r="D70" s="405" t="str">
        <f>IF(J63="","Winnaar 53",IF(J63=1,D63,F63))</f>
        <v>Frankrijk</v>
      </c>
      <c r="E70" s="367" t="s">
        <v>9</v>
      </c>
      <c r="F70" s="406" t="str">
        <f>IF(J64="","Winnaar 54",IF(J64=1,D64,F64))</f>
        <v>Duitsland</v>
      </c>
      <c r="G70" s="435">
        <v>1</v>
      </c>
      <c r="H70" s="367" t="s">
        <v>9</v>
      </c>
      <c r="I70" s="447">
        <v>1</v>
      </c>
      <c r="J70" s="448">
        <v>2</v>
      </c>
      <c r="K70" s="353"/>
      <c r="L70" s="353"/>
      <c r="M70" s="353"/>
      <c r="N70" s="352"/>
      <c r="O70" s="352"/>
      <c r="P70" s="352"/>
      <c r="Q70" s="352"/>
      <c r="R70" s="352"/>
      <c r="S70" s="352"/>
      <c r="T70" s="352"/>
      <c r="V70" t="s">
        <v>133</v>
      </c>
      <c r="W70" t="s">
        <v>126</v>
      </c>
      <c r="X70" t="str">
        <f t="shared" si="11"/>
        <v>Karim Rekik (v)</v>
      </c>
      <c r="Y70" s="109">
        <f>AF70</f>
        <v>1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1</v>
      </c>
      <c r="AG70" s="108">
        <f>IF(AC70="",0,(IF(G70=AC70,1,0)))</f>
        <v>0</v>
      </c>
      <c r="AH70" s="108">
        <f>IF(AD70="",0,(IF(I70=AD70,1,0)))</f>
        <v>1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0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Brazilië</v>
      </c>
      <c r="E71" s="379" t="s">
        <v>9</v>
      </c>
      <c r="F71" s="409" t="str">
        <f>IF(J60="","Winnaar 50",IF(J60=1,D60,F60))</f>
        <v>Colombia</v>
      </c>
      <c r="G71" s="437">
        <v>2</v>
      </c>
      <c r="H71" s="379" t="s">
        <v>9</v>
      </c>
      <c r="I71" s="449">
        <v>0</v>
      </c>
      <c r="J71" s="450">
        <v>1</v>
      </c>
      <c r="K71" s="353"/>
      <c r="L71" s="353"/>
      <c r="M71" s="353"/>
      <c r="N71" s="352"/>
      <c r="O71" s="352"/>
      <c r="P71" s="352"/>
      <c r="Q71" s="352"/>
      <c r="R71" s="352"/>
      <c r="S71" s="352"/>
      <c r="T71" s="352"/>
      <c r="V71" t="s">
        <v>133</v>
      </c>
      <c r="W71" t="s">
        <v>194</v>
      </c>
      <c r="X71" t="str">
        <f t="shared" si="11"/>
        <v>Ron Vlaar (v)</v>
      </c>
      <c r="Y71" s="109">
        <f>AF71</f>
        <v>6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6</v>
      </c>
      <c r="AG71" s="108">
        <f>IF(AC71="",0,(IF(G71=AC71,1,0)))</f>
        <v>1</v>
      </c>
      <c r="AH71" s="108">
        <f>IF(AD71="",0,(IF(I71=AD71,1,0)))</f>
        <v>0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Argentinië</v>
      </c>
      <c r="E72" s="367" t="s">
        <v>9</v>
      </c>
      <c r="F72" s="406" t="str">
        <f>IF(J66="","Winnaar 56",IF(J66=1,D66,F66))</f>
        <v>Portugal</v>
      </c>
      <c r="G72" s="435">
        <v>1</v>
      </c>
      <c r="H72" s="367" t="s">
        <v>9</v>
      </c>
      <c r="I72" s="447">
        <v>1</v>
      </c>
      <c r="J72" s="448">
        <v>1</v>
      </c>
      <c r="K72" s="353"/>
      <c r="L72" s="353"/>
      <c r="M72" s="353"/>
      <c r="N72" s="352"/>
      <c r="O72" s="352"/>
      <c r="P72" s="352"/>
      <c r="Q72" s="352"/>
      <c r="R72" s="352"/>
      <c r="S72" s="352"/>
      <c r="T72" s="352"/>
      <c r="V72" t="s">
        <v>133</v>
      </c>
      <c r="W72" t="s">
        <v>195</v>
      </c>
      <c r="X72" t="str">
        <f t="shared" si="11"/>
        <v>John Heitinga (v)</v>
      </c>
      <c r="Y72" s="109">
        <f>AF72</f>
        <v>1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1</v>
      </c>
      <c r="AG72" s="108">
        <f>IF(AC72="",0,(IF(G72=AC72,1,0)))</f>
        <v>1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0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Spanje</v>
      </c>
      <c r="E73" s="388" t="s">
        <v>9</v>
      </c>
      <c r="F73" s="412" t="str">
        <f>IF(J62="","Winnaar 52",IF(J62=1,D62,F62))</f>
        <v>Uruguay</v>
      </c>
      <c r="G73" s="438">
        <v>2</v>
      </c>
      <c r="H73" s="388" t="s">
        <v>9</v>
      </c>
      <c r="I73" s="453">
        <v>2</v>
      </c>
      <c r="J73" s="454">
        <v>2</v>
      </c>
      <c r="K73" s="353"/>
      <c r="L73" s="353"/>
      <c r="M73" s="353"/>
      <c r="N73" s="352"/>
      <c r="O73" s="352"/>
      <c r="P73" s="352"/>
      <c r="Q73" s="352"/>
      <c r="R73" s="352"/>
      <c r="S73" s="352"/>
      <c r="T73" s="352"/>
      <c r="V73" t="s">
        <v>133</v>
      </c>
      <c r="W73" t="s">
        <v>196</v>
      </c>
      <c r="X73" t="str">
        <f t="shared" si="11"/>
        <v>Urby Emanuelson (v)</v>
      </c>
      <c r="Y73" s="109">
        <f>AF73</f>
        <v>5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5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5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N74" s="352"/>
      <c r="O74" s="352"/>
      <c r="P74" s="352"/>
      <c r="Q74" s="352"/>
      <c r="R74" s="352"/>
      <c r="S74" s="352"/>
      <c r="T74" s="352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27"/>
      <c r="K75" s="353"/>
      <c r="L75" s="353"/>
      <c r="M75" s="353"/>
      <c r="N75" s="352"/>
      <c r="O75" s="352"/>
      <c r="P75" s="352"/>
      <c r="Q75" s="352"/>
      <c r="R75" s="352"/>
      <c r="S75" s="352"/>
      <c r="T75" s="352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30" t="s">
        <v>3</v>
      </c>
      <c r="E76" s="431"/>
      <c r="F76" s="432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N76" s="352"/>
      <c r="O76" s="352"/>
      <c r="P76" s="352"/>
      <c r="Q76" s="352"/>
      <c r="R76" s="352"/>
      <c r="S76" s="352"/>
      <c r="T76" s="352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Duitsland</v>
      </c>
      <c r="E77" s="367" t="s">
        <v>9</v>
      </c>
      <c r="F77" s="406" t="str">
        <f>IF(J71="","Winnaar 58",IF(J71=1,D71,F71))</f>
        <v>Brazilië</v>
      </c>
      <c r="G77" s="435">
        <v>1</v>
      </c>
      <c r="H77" s="367" t="s">
        <v>9</v>
      </c>
      <c r="I77" s="447">
        <v>1</v>
      </c>
      <c r="J77" s="448">
        <v>2</v>
      </c>
      <c r="K77" s="353"/>
      <c r="L77" s="353"/>
      <c r="M77" s="353"/>
      <c r="N77" s="352"/>
      <c r="O77" s="352"/>
      <c r="P77" s="352"/>
      <c r="Q77" s="352"/>
      <c r="R77" s="352"/>
      <c r="S77" s="352"/>
      <c r="T77" s="352"/>
      <c r="V77" t="s">
        <v>134</v>
      </c>
      <c r="W77" t="s">
        <v>203</v>
      </c>
      <c r="X77" t="str">
        <f t="shared" si="11"/>
        <v>Marco van Ginkel (m)</v>
      </c>
      <c r="Y77" s="109">
        <f>AF77</f>
        <v>1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1</v>
      </c>
      <c r="AG77" s="108">
        <f>IF(AC77="",0,(IF(G77=AC77,1,0)))</f>
        <v>0</v>
      </c>
      <c r="AH77" s="108">
        <f>IF(AD77="",0,(IF(I77=AD77,1,0)))</f>
        <v>1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Argentinië</v>
      </c>
      <c r="E78" s="388" t="s">
        <v>9</v>
      </c>
      <c r="F78" s="412" t="str">
        <f>IF(J73="","Winnaar 60",IF(J73=1,D73,F73))</f>
        <v>Uruguay</v>
      </c>
      <c r="G78" s="438">
        <v>0</v>
      </c>
      <c r="H78" s="388" t="s">
        <v>9</v>
      </c>
      <c r="I78" s="453">
        <v>1</v>
      </c>
      <c r="J78" s="454">
        <v>2</v>
      </c>
      <c r="K78" s="353"/>
      <c r="L78" s="353"/>
      <c r="M78" s="353"/>
      <c r="N78" s="352"/>
      <c r="O78" s="352"/>
      <c r="P78" s="352"/>
      <c r="Q78" s="352"/>
      <c r="R78" s="352"/>
      <c r="S78" s="352"/>
      <c r="T78" s="352"/>
      <c r="V78" t="s">
        <v>134</v>
      </c>
      <c r="W78" t="s">
        <v>199</v>
      </c>
      <c r="X78" t="str">
        <f t="shared" si="11"/>
        <v>Leroy Fer (m)</v>
      </c>
      <c r="Y78" s="109">
        <f>AF78</f>
        <v>1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1</v>
      </c>
      <c r="AG78" s="108">
        <f>IF(AC78="",0,(IF(G78=AC78,1,0)))</f>
        <v>1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N79" s="352"/>
      <c r="O79" s="352"/>
      <c r="P79" s="352"/>
      <c r="Q79" s="352"/>
      <c r="R79" s="352"/>
      <c r="S79" s="352"/>
      <c r="T79" s="352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27"/>
      <c r="K80" s="353"/>
      <c r="L80" s="353"/>
      <c r="M80" s="353"/>
      <c r="N80" s="352"/>
      <c r="O80" s="352"/>
      <c r="P80" s="352"/>
      <c r="Q80" s="352"/>
      <c r="R80" s="352"/>
      <c r="S80" s="352"/>
      <c r="T80" s="352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30" t="s">
        <v>3</v>
      </c>
      <c r="E81" s="431"/>
      <c r="F81" s="432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N81" s="352"/>
      <c r="O81" s="352"/>
      <c r="P81" s="352"/>
      <c r="Q81" s="352"/>
      <c r="R81" s="352"/>
      <c r="S81" s="352"/>
      <c r="T81" s="352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Duitsland</v>
      </c>
      <c r="E82" s="355" t="s">
        <v>9</v>
      </c>
      <c r="F82" s="415" t="str">
        <f>IF(J78="","Verliezer 62",IF(J78=1,F78,D78))</f>
        <v>Argentinië</v>
      </c>
      <c r="G82" s="455">
        <v>1</v>
      </c>
      <c r="H82" s="355" t="s">
        <v>9</v>
      </c>
      <c r="I82" s="456">
        <v>0</v>
      </c>
      <c r="J82" s="457">
        <v>1</v>
      </c>
      <c r="K82" s="353"/>
      <c r="L82" s="353"/>
      <c r="M82" s="353"/>
      <c r="N82" s="352"/>
      <c r="O82" s="352"/>
      <c r="P82" s="352"/>
      <c r="Q82" s="352"/>
      <c r="R82" s="352"/>
      <c r="S82" s="352"/>
      <c r="T82" s="352"/>
      <c r="V82" t="s">
        <v>134</v>
      </c>
      <c r="W82" t="s">
        <v>125</v>
      </c>
      <c r="X8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N83" s="352"/>
      <c r="O83" s="352"/>
      <c r="P83" s="352"/>
      <c r="Q83" s="352"/>
      <c r="R83" s="352"/>
      <c r="S83" s="352"/>
      <c r="T83" s="352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27"/>
      <c r="K84" s="353"/>
      <c r="L84" s="353"/>
      <c r="M84" s="353"/>
      <c r="N84" s="352"/>
      <c r="O84" s="352"/>
      <c r="P84" s="352"/>
      <c r="Q84" s="352"/>
      <c r="R84" s="352"/>
      <c r="S84" s="352"/>
      <c r="T84" s="352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30" t="s">
        <v>3</v>
      </c>
      <c r="E85" s="431"/>
      <c r="F85" s="432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N85" s="352"/>
      <c r="O85" s="352"/>
      <c r="P85" s="352"/>
      <c r="Q85" s="352"/>
      <c r="R85" s="352"/>
      <c r="S85" s="352"/>
      <c r="T85" s="352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Brazilië</v>
      </c>
      <c r="E86" s="355" t="s">
        <v>9</v>
      </c>
      <c r="F86" s="415" t="str">
        <f>IF(J78="","Winnaar 62",IF(J78=1,D78,F78))</f>
        <v>Uruguay</v>
      </c>
      <c r="G86" s="455">
        <v>1</v>
      </c>
      <c r="H86" s="355" t="s">
        <v>9</v>
      </c>
      <c r="I86" s="456">
        <v>0</v>
      </c>
      <c r="J86" s="457">
        <v>1</v>
      </c>
      <c r="K86" s="353"/>
      <c r="L86" s="353"/>
      <c r="M86" s="353"/>
      <c r="N86" s="352"/>
      <c r="O86" s="352"/>
      <c r="P86" s="352"/>
      <c r="Q86" s="352"/>
      <c r="R86" s="352"/>
      <c r="S86" s="352"/>
      <c r="T86" s="352"/>
      <c r="V86" t="s">
        <v>134</v>
      </c>
      <c r="W86" t="s">
        <v>139</v>
      </c>
      <c r="X86" t="str">
        <f t="shared" si="11"/>
        <v>Nigel de Jong (m)</v>
      </c>
      <c r="Y86" s="109">
        <f>AF86</f>
        <v>1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1</v>
      </c>
      <c r="AG86" s="108">
        <f>IF(AC86="",0,(IF(G86=AC86,1,0)))</f>
        <v>0</v>
      </c>
      <c r="AH86" s="108">
        <f>IF(AD86="",0,(IF(I86=AD86,1,0)))</f>
        <v>1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Brazilië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5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5</v>
      </c>
      <c r="AV89">
        <f>IF(AR89=0,0,IF(E89=AR89,50,0))</f>
        <v>0</v>
      </c>
      <c r="AW89">
        <f>IF(E89=0,0,IF(OR(E89=AR90),15,0))</f>
        <v>0</v>
      </c>
      <c r="AX89">
        <f>IF(E89=0,0,IF(OR(E89=AR91,E89=AR92),5,0))</f>
        <v>5</v>
      </c>
    </row>
    <row r="90" spans="2:50">
      <c r="C90" s="870">
        <v>2</v>
      </c>
      <c r="D90" s="871"/>
      <c r="E90" s="872" t="str">
        <f>IF(J86=2,D86,IF(J86=1,F86,"Wie wordt 2de?"))</f>
        <v>Uruguay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0</v>
      </c>
      <c r="AV90">
        <f>IF(AR90=0,0,IF(AR90=E90,25,0))</f>
        <v>0</v>
      </c>
      <c r="AW90">
        <f>IF(E90=0,0,IF(OR(E90=AR89,),15,0))</f>
        <v>0</v>
      </c>
      <c r="AX90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Duitsland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5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5</v>
      </c>
      <c r="AV91">
        <f>IF(AR91=0,0,IF(AR91=E91,15,0))</f>
        <v>0</v>
      </c>
      <c r="AW91">
        <f>IF(E91=0,0,IF(OR(E91=AR92),10,0))</f>
        <v>0</v>
      </c>
      <c r="AX91">
        <f>IF(E91=0,0,IF(OR(E91=AR89,E91=AR90),5,0))</f>
        <v>5</v>
      </c>
    </row>
    <row r="92" spans="2:50">
      <c r="C92" s="870">
        <v>4</v>
      </c>
      <c r="D92" s="871"/>
      <c r="E92" s="872" t="str">
        <f>IF(J82=2,D82,IF(J82=1,F82,"Wie wordt 4de?"))</f>
        <v>Argentinië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5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5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5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15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conditionalFormatting sqref="AO9:AO12 AO15:AO18 AO21:AO24 AO27:AO30 AO33:AO36 AO39:AO42 AO45:AO48 AO51:AO54">
    <cfRule type="cellIs" dxfId="221" priority="3" operator="equal">
      <formula>10</formula>
    </cfRule>
  </conditionalFormatting>
  <conditionalFormatting sqref="P58:T58">
    <cfRule type="duplicateValues" dxfId="220" priority="2"/>
  </conditionalFormatting>
  <conditionalFormatting sqref="P58:T68">
    <cfRule type="duplicateValues" dxfId="219" priority="1"/>
  </conditionalFormatting>
  <dataValidations count="10">
    <dataValidation type="list" allowBlank="1" showInputMessage="1" showErrorMessage="1" sqref="P58:P68">
      <formula1>$X$58:$X$98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51:T54">
      <formula1>$W$51:$W$54</formula1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B1:BB98"/>
  <sheetViews>
    <sheetView zoomScale="70" zoomScaleNormal="70" workbookViewId="0">
      <selection activeCell="P58" sqref="P58:T68"/>
    </sheetView>
  </sheetViews>
  <sheetFormatPr defaultRowHeight="15" outlineLevelCol="2"/>
  <cols>
    <col min="1" max="1" width="3.42578125" customWidth="1"/>
    <col min="2" max="2" width="3.5703125" bestFit="1" customWidth="1"/>
    <col min="3" max="3" width="11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145" t="s">
        <v>250</v>
      </c>
      <c r="E3" s="145"/>
      <c r="F3" s="145"/>
      <c r="N3" t="str">
        <f>D3</f>
        <v>Frank S.</v>
      </c>
      <c r="O3" s="144">
        <f>SUM(P3:S3)</f>
        <v>462</v>
      </c>
      <c r="P3" s="109">
        <f>SUM(Y8:Y86)</f>
        <v>184</v>
      </c>
      <c r="Q3" s="109">
        <f>SUM(AM4:AM55)</f>
        <v>180</v>
      </c>
      <c r="R3" s="109">
        <f>SUM(AP89:AP92)</f>
        <v>50</v>
      </c>
      <c r="S3" s="109">
        <f>SUM(BB58:BB69)</f>
        <v>48</v>
      </c>
      <c r="T3" s="109">
        <f>COUNTIF(AF8:AF86,10)</f>
        <v>6</v>
      </c>
      <c r="U3" s="109" t="str">
        <f>E89</f>
        <v>Duitsland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1"/>
      <c r="L6" s="1"/>
      <c r="O6" s="40"/>
      <c r="P6" s="41"/>
      <c r="Q6" s="41"/>
      <c r="R6" s="41"/>
      <c r="S6" s="41"/>
      <c r="T6" s="41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66" t="s">
        <v>1</v>
      </c>
      <c r="C7" s="67" t="s">
        <v>2</v>
      </c>
      <c r="D7" s="196" t="s">
        <v>3</v>
      </c>
      <c r="E7" s="69"/>
      <c r="F7" s="197" t="s">
        <v>4</v>
      </c>
      <c r="G7" s="880" t="s">
        <v>5</v>
      </c>
      <c r="H7" s="881"/>
      <c r="I7" s="882"/>
      <c r="J7" s="71" t="s">
        <v>6</v>
      </c>
      <c r="K7" s="4" t="s">
        <v>7</v>
      </c>
      <c r="L7" s="4" t="s">
        <v>7</v>
      </c>
      <c r="O7" s="1"/>
      <c r="P7" s="41"/>
      <c r="Q7" s="41"/>
      <c r="R7" s="41"/>
      <c r="S7" s="41"/>
      <c r="T7" s="41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5">
        <v>1</v>
      </c>
      <c r="C8" s="6">
        <v>41802</v>
      </c>
      <c r="D8" s="7" t="s">
        <v>8</v>
      </c>
      <c r="E8" s="8" t="s">
        <v>9</v>
      </c>
      <c r="F8" s="9" t="s">
        <v>10</v>
      </c>
      <c r="G8" s="84">
        <v>0</v>
      </c>
      <c r="H8" s="8" t="s">
        <v>9</v>
      </c>
      <c r="I8" s="192">
        <v>1</v>
      </c>
      <c r="J8" s="10">
        <f>IF(I8="","",IF(G8&gt;I8,1,IF(G8&lt;I8,2,3)))</f>
        <v>2</v>
      </c>
      <c r="K8" s="11">
        <f>IF(I8="","",IF($G8&gt;$I8,3,IF($G8=$I8,1,0)))</f>
        <v>0</v>
      </c>
      <c r="L8" s="11">
        <f>IF(I8="","",IF($G8&lt;$I8,3,IF($G8=$I8,1,0)))</f>
        <v>3</v>
      </c>
      <c r="O8" s="72" t="s">
        <v>41</v>
      </c>
      <c r="P8" s="73" t="s">
        <v>42</v>
      </c>
      <c r="Q8" s="73" t="s">
        <v>43</v>
      </c>
      <c r="R8" s="74" t="s">
        <v>44</v>
      </c>
      <c r="S8" s="75" t="s">
        <v>45</v>
      </c>
      <c r="T8" s="76" t="s">
        <v>46</v>
      </c>
      <c r="U8" s="40"/>
      <c r="V8" s="40"/>
      <c r="W8" s="40"/>
      <c r="Y8" s="109">
        <f>AF8</f>
        <v>1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1</v>
      </c>
      <c r="AG8" s="108">
        <f t="shared" ref="AG8:AG55" si="0">IF(AC8="",0,(IF(G8=AC8,1,0)))</f>
        <v>0</v>
      </c>
      <c r="AH8" s="108">
        <f t="shared" ref="AH8:AH55" si="1">IF(AD8="",0,(IF(I8=AD8,1,0)))</f>
        <v>1</v>
      </c>
      <c r="AI8" s="108">
        <f>IF(AND(AG8=1,AH8=1),10,0)</f>
        <v>0</v>
      </c>
      <c r="AJ8" s="108">
        <f t="shared" ref="AJ8:AJ55" si="2">IF(AND(G8&gt;I8,AC8&gt;AD8),5,0)</f>
        <v>0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12">
        <v>2</v>
      </c>
      <c r="C9" s="13">
        <v>41803</v>
      </c>
      <c r="D9" s="14" t="s">
        <v>11</v>
      </c>
      <c r="E9" s="15" t="s">
        <v>9</v>
      </c>
      <c r="F9" s="16" t="s">
        <v>12</v>
      </c>
      <c r="G9" s="85">
        <v>2</v>
      </c>
      <c r="H9" s="15" t="s">
        <v>9</v>
      </c>
      <c r="I9" s="90">
        <v>2</v>
      </c>
      <c r="J9" s="17">
        <f t="shared" ref="J9:J55" si="5">IF(I9="","",IF(G9&gt;I9,1,IF(G9&lt;I9,2,3)))</f>
        <v>3</v>
      </c>
      <c r="K9" s="11">
        <f t="shared" ref="K9:K55" si="6">IF(I9="","",IF($G9&gt;$I9,3,IF($G9=$I9,1,0)))</f>
        <v>1</v>
      </c>
      <c r="L9" s="11">
        <f t="shared" ref="L9:L55" si="7">IF(I9="","",IF($G9&lt;$I9,3,IF($G9=$I9,1,0)))</f>
        <v>1</v>
      </c>
      <c r="O9" s="44" t="s">
        <v>8</v>
      </c>
      <c r="P9" s="45">
        <f>SUMIF($D$8:$D$55,$O9,$G$8:$G$55)+SUMIF($F$8:$F$55,$O9,$I$8:$I$55)</f>
        <v>4</v>
      </c>
      <c r="Q9" s="45">
        <f>SUMIF($D$8:$D$55,$O9,$I$8:$I$55)+SUMIF($F$8:$F$55,$O9,$G$8:$G$55)</f>
        <v>2</v>
      </c>
      <c r="R9" s="46">
        <f>P9-Q9</f>
        <v>2</v>
      </c>
      <c r="S9" s="47">
        <f>SUMIF($D$8:$D$55,$O9,$K$8:$K$55)+SUMIF($F$8:$F$55,$O9,$L$8:$L$55)</f>
        <v>6</v>
      </c>
      <c r="T9" s="94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0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0</v>
      </c>
      <c r="AG9" s="108">
        <f t="shared" si="0"/>
        <v>0</v>
      </c>
      <c r="AH9" s="108">
        <f t="shared" si="1"/>
        <v>0</v>
      </c>
      <c r="AI9" s="108">
        <f t="shared" ref="AI9:AI55" si="10">IF(AND(AG9=1,AH9=1),10,0)</f>
        <v>0</v>
      </c>
      <c r="AJ9" s="108">
        <f t="shared" si="2"/>
        <v>0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18">
        <v>3</v>
      </c>
      <c r="C10" s="19">
        <v>41803</v>
      </c>
      <c r="D10" s="20" t="s">
        <v>13</v>
      </c>
      <c r="E10" s="21" t="s">
        <v>9</v>
      </c>
      <c r="F10" s="22" t="s">
        <v>14</v>
      </c>
      <c r="G10" s="86">
        <v>3</v>
      </c>
      <c r="H10" s="21" t="s">
        <v>9</v>
      </c>
      <c r="I10" s="91">
        <v>0</v>
      </c>
      <c r="J10" s="23">
        <f t="shared" si="5"/>
        <v>1</v>
      </c>
      <c r="K10" s="11">
        <f t="shared" si="6"/>
        <v>3</v>
      </c>
      <c r="L10" s="11">
        <f t="shared" si="7"/>
        <v>0</v>
      </c>
      <c r="O10" s="48" t="s">
        <v>10</v>
      </c>
      <c r="P10" s="49">
        <f>SUMIF($D$8:$D$55,$O10,$G$8:$G$55)+SUMIF($F$8:$F$55,$O10,$I$8:$I$55)</f>
        <v>3</v>
      </c>
      <c r="Q10" s="49">
        <f>SUMIF($D$8:$D$55,$O10,$I$8:$I$55)+SUMIF($F$8:$F$55,$O10,$G$8:$G$55)</f>
        <v>2</v>
      </c>
      <c r="R10" s="49">
        <f>P10-Q10</f>
        <v>1</v>
      </c>
      <c r="S10" s="50">
        <f>SUMIF($D$8:$D$55,$O10,$K$8:$K$55)+SUMIF($F$8:$F$55,$O10,$L$8:$L$55)</f>
        <v>5</v>
      </c>
      <c r="T10" s="95" t="s">
        <v>49</v>
      </c>
      <c r="U10" s="40"/>
      <c r="V10" s="40" t="str">
        <f>O10</f>
        <v>Kroatië</v>
      </c>
      <c r="W10" s="40" t="s">
        <v>49</v>
      </c>
      <c r="Y10" s="109">
        <f t="shared" si="8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0</v>
      </c>
      <c r="AG10" s="108">
        <f t="shared" si="0"/>
        <v>0</v>
      </c>
      <c r="AH10" s="108">
        <f t="shared" si="1"/>
        <v>0</v>
      </c>
      <c r="AI10" s="108">
        <f t="shared" si="10"/>
        <v>0</v>
      </c>
      <c r="AJ10" s="108">
        <f t="shared" si="2"/>
        <v>0</v>
      </c>
      <c r="AK10" s="108">
        <f t="shared" si="3"/>
        <v>0</v>
      </c>
      <c r="AL10" s="108">
        <f t="shared" si="4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24">
        <v>4</v>
      </c>
      <c r="C11" s="25">
        <v>41803</v>
      </c>
      <c r="D11" s="26" t="s">
        <v>15</v>
      </c>
      <c r="E11" s="27" t="s">
        <v>9</v>
      </c>
      <c r="F11" s="28" t="s">
        <v>16</v>
      </c>
      <c r="G11" s="87">
        <v>3</v>
      </c>
      <c r="H11" s="27" t="s">
        <v>9</v>
      </c>
      <c r="I11" s="92">
        <v>0</v>
      </c>
      <c r="J11" s="29">
        <f t="shared" si="5"/>
        <v>1</v>
      </c>
      <c r="K11" s="11">
        <f t="shared" si="6"/>
        <v>3</v>
      </c>
      <c r="L11" s="11">
        <f t="shared" si="7"/>
        <v>0</v>
      </c>
      <c r="O11" s="48" t="s">
        <v>11</v>
      </c>
      <c r="P11" s="49">
        <f>SUMIF($D$8:$D$55,$O11,$G$8:$G$55)+SUMIF($F$8:$F$55,$O11,$I$8:$I$55)</f>
        <v>4</v>
      </c>
      <c r="Q11" s="49">
        <f>SUMIF($D$8:$D$55,$O11,$I$8:$I$55)+SUMIF($F$8:$F$55,$O11,$G$8:$G$55)</f>
        <v>5</v>
      </c>
      <c r="R11" s="49">
        <f>P11-Q11</f>
        <v>-1</v>
      </c>
      <c r="S11" s="50">
        <f>SUMIF($D$8:$D$55,$O11,$K$8:$K$55)+SUMIF($F$8:$F$55,$O11,$L$8:$L$55)</f>
        <v>2</v>
      </c>
      <c r="T11" s="95" t="s">
        <v>47</v>
      </c>
      <c r="U11" s="40"/>
      <c r="V11" s="40" t="str">
        <f>O11</f>
        <v>Mexico</v>
      </c>
      <c r="W11" s="40" t="s">
        <v>47</v>
      </c>
      <c r="Y11" s="109">
        <f t="shared" si="8"/>
        <v>6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6</v>
      </c>
      <c r="AG11" s="108">
        <f t="shared" si="0"/>
        <v>1</v>
      </c>
      <c r="AH11" s="108">
        <f t="shared" si="1"/>
        <v>0</v>
      </c>
      <c r="AI11" s="108">
        <f t="shared" si="10"/>
        <v>0</v>
      </c>
      <c r="AJ11" s="108">
        <f t="shared" si="2"/>
        <v>5</v>
      </c>
      <c r="AK11" s="108">
        <f t="shared" si="3"/>
        <v>0</v>
      </c>
      <c r="AL11" s="108">
        <f t="shared" si="4"/>
        <v>0</v>
      </c>
      <c r="AM11" s="120">
        <f>AO11</f>
        <v>0</v>
      </c>
      <c r="AN11" s="117" t="s">
        <v>11</v>
      </c>
      <c r="AO11" s="115">
        <f>IF(Uitslag!T11="",0,IF(T11=Uitslag!T11,10,0))</f>
        <v>0</v>
      </c>
    </row>
    <row r="12" spans="2:54" ht="15.75" thickBot="1">
      <c r="B12" s="12">
        <v>5</v>
      </c>
      <c r="C12" s="13">
        <v>41804</v>
      </c>
      <c r="D12" s="14" t="s">
        <v>17</v>
      </c>
      <c r="E12" s="15" t="s">
        <v>9</v>
      </c>
      <c r="F12" s="16" t="s">
        <v>18</v>
      </c>
      <c r="G12" s="85">
        <v>2</v>
      </c>
      <c r="H12" s="15" t="s">
        <v>9</v>
      </c>
      <c r="I12" s="90">
        <v>0</v>
      </c>
      <c r="J12" s="17">
        <f t="shared" si="5"/>
        <v>1</v>
      </c>
      <c r="K12" s="11">
        <f t="shared" si="6"/>
        <v>3</v>
      </c>
      <c r="L12" s="11">
        <f t="shared" si="7"/>
        <v>0</v>
      </c>
      <c r="O12" s="51" t="s">
        <v>12</v>
      </c>
      <c r="P12" s="52">
        <f>SUMIF($D$8:$D$55,$O12,$G$8:$G$55)+SUMIF($F$8:$F$55,$O12,$I$8:$I$55)</f>
        <v>3</v>
      </c>
      <c r="Q12" s="52">
        <f>SUMIF($D$8:$D$55,$O12,$I$8:$I$55)+SUMIF($F$8:$F$55,$O12,$G$8:$G$55)</f>
        <v>5</v>
      </c>
      <c r="R12" s="52">
        <f>P12-Q12</f>
        <v>-2</v>
      </c>
      <c r="S12" s="53">
        <f>SUMIF($D$8:$D$55,$O12,$K$8:$K$55)+SUMIF($F$8:$F$55,$O12,$L$8:$L$55)</f>
        <v>2</v>
      </c>
      <c r="T12" s="96" t="s">
        <v>50</v>
      </c>
      <c r="U12" s="40"/>
      <c r="V12" s="40" t="str">
        <f>O12</f>
        <v>Kameroen</v>
      </c>
      <c r="W12" s="40" t="s">
        <v>50</v>
      </c>
      <c r="Y12" s="109">
        <f t="shared" si="8"/>
        <v>6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6</v>
      </c>
      <c r="AG12" s="108">
        <f t="shared" si="0"/>
        <v>0</v>
      </c>
      <c r="AH12" s="108">
        <f t="shared" si="1"/>
        <v>1</v>
      </c>
      <c r="AI12" s="108">
        <f t="shared" si="10"/>
        <v>0</v>
      </c>
      <c r="AJ12" s="108">
        <f t="shared" si="2"/>
        <v>5</v>
      </c>
      <c r="AK12" s="108">
        <f t="shared" si="3"/>
        <v>0</v>
      </c>
      <c r="AL12" s="108">
        <f t="shared" si="4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18">
        <v>6</v>
      </c>
      <c r="C13" s="19">
        <v>41804</v>
      </c>
      <c r="D13" s="20" t="s">
        <v>19</v>
      </c>
      <c r="E13" s="21" t="s">
        <v>9</v>
      </c>
      <c r="F13" s="30" t="s">
        <v>20</v>
      </c>
      <c r="G13" s="86">
        <v>3</v>
      </c>
      <c r="H13" s="21" t="s">
        <v>9</v>
      </c>
      <c r="I13" s="91">
        <v>0</v>
      </c>
      <c r="J13" s="23">
        <f t="shared" si="5"/>
        <v>1</v>
      </c>
      <c r="K13" s="11">
        <f t="shared" si="6"/>
        <v>3</v>
      </c>
      <c r="L13" s="11">
        <f t="shared" si="7"/>
        <v>0</v>
      </c>
      <c r="O13" s="40"/>
      <c r="P13" s="41"/>
      <c r="Q13" s="41"/>
      <c r="R13" s="41"/>
      <c r="S13" s="41"/>
      <c r="T13" s="41"/>
      <c r="U13" s="40"/>
      <c r="V13" s="40"/>
      <c r="W13" s="40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0"/>
        <v>0</v>
      </c>
      <c r="AH13" s="108">
        <f t="shared" si="1"/>
        <v>0</v>
      </c>
      <c r="AI13" s="108">
        <f t="shared" si="10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40"/>
      <c r="AO13" s="41"/>
    </row>
    <row r="14" spans="2:54" ht="15.75" thickBot="1">
      <c r="B14" s="18">
        <v>7</v>
      </c>
      <c r="C14" s="19">
        <v>41804</v>
      </c>
      <c r="D14" s="20" t="s">
        <v>21</v>
      </c>
      <c r="E14" s="21" t="s">
        <v>9</v>
      </c>
      <c r="F14" s="30" t="s">
        <v>22</v>
      </c>
      <c r="G14" s="86">
        <v>0</v>
      </c>
      <c r="H14" s="21" t="s">
        <v>9</v>
      </c>
      <c r="I14" s="91">
        <v>0</v>
      </c>
      <c r="J14" s="23">
        <f t="shared" si="5"/>
        <v>3</v>
      </c>
      <c r="K14" s="11">
        <f t="shared" si="6"/>
        <v>1</v>
      </c>
      <c r="L14" s="11">
        <f t="shared" si="7"/>
        <v>1</v>
      </c>
      <c r="O14" s="72" t="s">
        <v>51</v>
      </c>
      <c r="P14" s="73" t="s">
        <v>42</v>
      </c>
      <c r="Q14" s="73" t="s">
        <v>43</v>
      </c>
      <c r="R14" s="74" t="s">
        <v>44</v>
      </c>
      <c r="S14" s="75" t="s">
        <v>45</v>
      </c>
      <c r="T14" s="76" t="s">
        <v>46</v>
      </c>
      <c r="U14" s="40"/>
      <c r="V14" s="40"/>
      <c r="W14" s="40"/>
      <c r="Y14" s="109">
        <f t="shared" si="8"/>
        <v>0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0</v>
      </c>
      <c r="AG14" s="108">
        <f t="shared" si="0"/>
        <v>0</v>
      </c>
      <c r="AH14" s="108">
        <f t="shared" si="1"/>
        <v>0</v>
      </c>
      <c r="AI14" s="108">
        <f t="shared" si="10"/>
        <v>0</v>
      </c>
      <c r="AJ14" s="108">
        <f t="shared" si="2"/>
        <v>0</v>
      </c>
      <c r="AK14" s="108">
        <f t="shared" si="3"/>
        <v>0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24">
        <v>8</v>
      </c>
      <c r="C15" s="25">
        <v>41804</v>
      </c>
      <c r="D15" s="26" t="s">
        <v>23</v>
      </c>
      <c r="E15" s="27" t="s">
        <v>9</v>
      </c>
      <c r="F15" s="28" t="s">
        <v>24</v>
      </c>
      <c r="G15" s="87">
        <v>2</v>
      </c>
      <c r="H15" s="27" t="s">
        <v>9</v>
      </c>
      <c r="I15" s="92">
        <v>0</v>
      </c>
      <c r="J15" s="29">
        <f t="shared" si="5"/>
        <v>1</v>
      </c>
      <c r="K15" s="11">
        <f t="shared" si="6"/>
        <v>3</v>
      </c>
      <c r="L15" s="11">
        <f t="shared" si="7"/>
        <v>0</v>
      </c>
      <c r="O15" s="44" t="s">
        <v>13</v>
      </c>
      <c r="P15" s="45">
        <f>SUMIF($D$8:$D$55,$O15,$G$8:$G$55)+SUMIF($F$8:$F$55,$O15,$I$8:$I$55)</f>
        <v>5</v>
      </c>
      <c r="Q15" s="45">
        <f>SUMIF($D$8:$D$55,$O15,$I$8:$I$55)+SUMIF($F$8:$F$55,$O15,$G$8:$G$55)</f>
        <v>0</v>
      </c>
      <c r="R15" s="46">
        <f>P15-Q15</f>
        <v>5</v>
      </c>
      <c r="S15" s="47">
        <f>SUMIF($D$8:$D$55,$O15,$K$8:$K$55)+SUMIF($F$8:$F$55,$O15,$L$8:$L$55)</f>
        <v>7</v>
      </c>
      <c r="T15" s="94" t="s">
        <v>52</v>
      </c>
      <c r="U15" s="40"/>
      <c r="V15" s="40" t="str">
        <f>O15</f>
        <v>Spanje</v>
      </c>
      <c r="W15" s="40" t="s">
        <v>52</v>
      </c>
      <c r="Y15" s="109">
        <f t="shared" si="8"/>
        <v>6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6</v>
      </c>
      <c r="AG15" s="108">
        <f t="shared" si="0"/>
        <v>1</v>
      </c>
      <c r="AH15" s="108">
        <f t="shared" si="1"/>
        <v>0</v>
      </c>
      <c r="AI15" s="108">
        <f t="shared" si="10"/>
        <v>0</v>
      </c>
      <c r="AJ15" s="108">
        <f t="shared" si="2"/>
        <v>5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12">
        <v>9</v>
      </c>
      <c r="C16" s="13">
        <v>41805</v>
      </c>
      <c r="D16" s="14" t="s">
        <v>25</v>
      </c>
      <c r="E16" s="15" t="s">
        <v>9</v>
      </c>
      <c r="F16" s="16" t="s">
        <v>26</v>
      </c>
      <c r="G16" s="85">
        <v>1</v>
      </c>
      <c r="H16" s="15" t="s">
        <v>9</v>
      </c>
      <c r="I16" s="90">
        <v>0</v>
      </c>
      <c r="J16" s="17">
        <f t="shared" si="5"/>
        <v>1</v>
      </c>
      <c r="K16" s="11">
        <f t="shared" si="6"/>
        <v>3</v>
      </c>
      <c r="L16" s="11">
        <f t="shared" si="7"/>
        <v>0</v>
      </c>
      <c r="O16" s="54" t="s">
        <v>14</v>
      </c>
      <c r="P16" s="49">
        <f>SUMIF($D$8:$D$55,$O16,$G$8:$G$55)+SUMIF($F$8:$F$55,$O16,$I$8:$I$55)</f>
        <v>3</v>
      </c>
      <c r="Q16" s="49">
        <f>SUMIF($D$8:$D$55,$O16,$I$8:$I$55)+SUMIF($F$8:$F$55,$O16,$G$8:$G$55)</f>
        <v>4</v>
      </c>
      <c r="R16" s="49">
        <f>P16-Q16</f>
        <v>-1</v>
      </c>
      <c r="S16" s="50">
        <f>SUMIF($D$8:$D$55,$O16,$K$8:$K$55)+SUMIF($F$8:$F$55,$O16,$L$8:$L$55)</f>
        <v>6</v>
      </c>
      <c r="T16" s="95" t="s">
        <v>53</v>
      </c>
      <c r="U16" s="40"/>
      <c r="V16" s="40" t="str">
        <f>O16</f>
        <v>Nederland</v>
      </c>
      <c r="W16" s="40" t="s">
        <v>53</v>
      </c>
      <c r="Y16" s="109">
        <f t="shared" si="8"/>
        <v>5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5</v>
      </c>
      <c r="AG16" s="108">
        <f t="shared" si="0"/>
        <v>0</v>
      </c>
      <c r="AH16" s="108">
        <f t="shared" si="1"/>
        <v>0</v>
      </c>
      <c r="AI16" s="108">
        <f t="shared" si="10"/>
        <v>0</v>
      </c>
      <c r="AJ16" s="108">
        <f t="shared" si="2"/>
        <v>5</v>
      </c>
      <c r="AK16" s="108">
        <f t="shared" si="3"/>
        <v>0</v>
      </c>
      <c r="AL16" s="108">
        <f t="shared" si="4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18">
        <v>10</v>
      </c>
      <c r="C17" s="19">
        <v>41805</v>
      </c>
      <c r="D17" s="20" t="s">
        <v>27</v>
      </c>
      <c r="E17" s="21" t="s">
        <v>9</v>
      </c>
      <c r="F17" s="30" t="s">
        <v>28</v>
      </c>
      <c r="G17" s="86">
        <v>1</v>
      </c>
      <c r="H17" s="21" t="s">
        <v>9</v>
      </c>
      <c r="I17" s="91">
        <v>1</v>
      </c>
      <c r="J17" s="23">
        <f t="shared" si="5"/>
        <v>3</v>
      </c>
      <c r="K17" s="11">
        <f t="shared" si="6"/>
        <v>1</v>
      </c>
      <c r="L17" s="11">
        <f t="shared" si="7"/>
        <v>1</v>
      </c>
      <c r="O17" s="48" t="s">
        <v>15</v>
      </c>
      <c r="P17" s="49">
        <f>SUMIF($D$8:$D$55,$O17,$G$8:$G$55)+SUMIF($F$8:$F$55,$O17,$I$8:$I$55)</f>
        <v>4</v>
      </c>
      <c r="Q17" s="49">
        <f>SUMIF($D$8:$D$55,$O17,$I$8:$I$55)+SUMIF($F$8:$F$55,$O17,$G$8:$G$55)</f>
        <v>2</v>
      </c>
      <c r="R17" s="49">
        <f>P17-Q17</f>
        <v>2</v>
      </c>
      <c r="S17" s="50">
        <f>SUMIF($D$8:$D$55,$O17,$K$8:$K$55)+SUMIF($F$8:$F$55,$O17,$L$8:$L$55)</f>
        <v>4</v>
      </c>
      <c r="T17" s="95" t="s">
        <v>54</v>
      </c>
      <c r="U17" s="40"/>
      <c r="V17" s="40" t="str">
        <f>O17</f>
        <v>Chili</v>
      </c>
      <c r="W17" s="40" t="s">
        <v>54</v>
      </c>
      <c r="Y17" s="109">
        <f t="shared" si="8"/>
        <v>0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0</v>
      </c>
      <c r="AG17" s="108">
        <f t="shared" si="0"/>
        <v>0</v>
      </c>
      <c r="AH17" s="108">
        <f t="shared" si="1"/>
        <v>0</v>
      </c>
      <c r="AI17" s="108">
        <f t="shared" si="10"/>
        <v>0</v>
      </c>
      <c r="AJ17" s="108">
        <f t="shared" si="2"/>
        <v>0</v>
      </c>
      <c r="AK17" s="108">
        <f t="shared" si="3"/>
        <v>0</v>
      </c>
      <c r="AL17" s="108">
        <f t="shared" si="4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24">
        <v>11</v>
      </c>
      <c r="C18" s="25">
        <v>41805</v>
      </c>
      <c r="D18" s="26" t="s">
        <v>29</v>
      </c>
      <c r="E18" s="27" t="s">
        <v>9</v>
      </c>
      <c r="F18" s="28" t="s">
        <v>30</v>
      </c>
      <c r="G18" s="87">
        <v>4</v>
      </c>
      <c r="H18" s="27" t="s">
        <v>9</v>
      </c>
      <c r="I18" s="92">
        <v>0</v>
      </c>
      <c r="J18" s="29">
        <f t="shared" si="5"/>
        <v>1</v>
      </c>
      <c r="K18" s="11">
        <f t="shared" si="6"/>
        <v>3</v>
      </c>
      <c r="L18" s="11">
        <f t="shared" si="7"/>
        <v>0</v>
      </c>
      <c r="O18" s="51" t="s">
        <v>16</v>
      </c>
      <c r="P18" s="52">
        <f>SUMIF($D$8:$D$55,$O18,$G$8:$G$55)+SUMIF($F$8:$F$55,$O18,$I$8:$I$55)</f>
        <v>0</v>
      </c>
      <c r="Q18" s="52">
        <f>SUMIF($D$8:$D$55,$O18,$I$8:$I$55)+SUMIF($F$8:$F$55,$O18,$G$8:$G$55)</f>
        <v>6</v>
      </c>
      <c r="R18" s="52">
        <f>P18-Q18</f>
        <v>-6</v>
      </c>
      <c r="S18" s="53">
        <f>SUMIF($D$8:$D$55,$O18,$K$8:$K$55)+SUMIF($F$8:$F$55,$O18,$L$8:$L$55)</f>
        <v>0</v>
      </c>
      <c r="T18" s="96" t="s">
        <v>55</v>
      </c>
      <c r="U18" s="40"/>
      <c r="V18" s="40" t="str">
        <f>O18</f>
        <v>Australië</v>
      </c>
      <c r="W18" s="40" t="s">
        <v>55</v>
      </c>
      <c r="Y18" s="109">
        <f t="shared" si="8"/>
        <v>5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5</v>
      </c>
      <c r="AG18" s="108">
        <f t="shared" si="0"/>
        <v>0</v>
      </c>
      <c r="AH18" s="108">
        <f t="shared" si="1"/>
        <v>0</v>
      </c>
      <c r="AI18" s="108">
        <f t="shared" si="10"/>
        <v>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12">
        <v>12</v>
      </c>
      <c r="C19" s="13">
        <v>41806</v>
      </c>
      <c r="D19" s="14" t="s">
        <v>31</v>
      </c>
      <c r="E19" s="15" t="s">
        <v>9</v>
      </c>
      <c r="F19" s="16" t="s">
        <v>32</v>
      </c>
      <c r="G19" s="85">
        <v>1</v>
      </c>
      <c r="H19" s="15" t="s">
        <v>9</v>
      </c>
      <c r="I19" s="90">
        <v>2</v>
      </c>
      <c r="J19" s="17">
        <f t="shared" si="5"/>
        <v>2</v>
      </c>
      <c r="K19" s="11">
        <f t="shared" si="6"/>
        <v>0</v>
      </c>
      <c r="L19" s="11">
        <f t="shared" si="7"/>
        <v>3</v>
      </c>
      <c r="O19" s="40"/>
      <c r="P19" s="41"/>
      <c r="Q19" s="41"/>
      <c r="R19" s="41"/>
      <c r="S19" s="41"/>
      <c r="T19" s="41"/>
      <c r="U19" s="40"/>
      <c r="V19" s="40"/>
      <c r="W19" s="40"/>
      <c r="Y19" s="109">
        <f t="shared" si="8"/>
        <v>0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0</v>
      </c>
      <c r="AG19" s="108">
        <f t="shared" si="0"/>
        <v>0</v>
      </c>
      <c r="AH19" s="108">
        <f t="shared" si="1"/>
        <v>0</v>
      </c>
      <c r="AI19" s="108">
        <f t="shared" si="10"/>
        <v>0</v>
      </c>
      <c r="AJ19" s="108">
        <f t="shared" si="2"/>
        <v>0</v>
      </c>
      <c r="AK19" s="108">
        <f t="shared" si="3"/>
        <v>0</v>
      </c>
      <c r="AL19" s="108">
        <f t="shared" si="4"/>
        <v>0</v>
      </c>
      <c r="AN19" s="40"/>
      <c r="AO19" s="41"/>
    </row>
    <row r="20" spans="2:41" ht="15.75" thickBot="1">
      <c r="B20" s="18">
        <v>13</v>
      </c>
      <c r="C20" s="19">
        <v>41806</v>
      </c>
      <c r="D20" s="20" t="s">
        <v>33</v>
      </c>
      <c r="E20" s="21" t="s">
        <v>9</v>
      </c>
      <c r="F20" s="30" t="s">
        <v>34</v>
      </c>
      <c r="G20" s="86">
        <v>0</v>
      </c>
      <c r="H20" s="21" t="s">
        <v>9</v>
      </c>
      <c r="I20" s="91">
        <v>2</v>
      </c>
      <c r="J20" s="23">
        <f t="shared" si="5"/>
        <v>2</v>
      </c>
      <c r="K20" s="11">
        <f t="shared" si="6"/>
        <v>0</v>
      </c>
      <c r="L20" s="11">
        <f t="shared" si="7"/>
        <v>3</v>
      </c>
      <c r="O20" s="72" t="s">
        <v>56</v>
      </c>
      <c r="P20" s="73" t="s">
        <v>42</v>
      </c>
      <c r="Q20" s="73" t="s">
        <v>43</v>
      </c>
      <c r="R20" s="74" t="s">
        <v>44</v>
      </c>
      <c r="S20" s="75" t="s">
        <v>45</v>
      </c>
      <c r="T20" s="76" t="s">
        <v>46</v>
      </c>
      <c r="U20" s="40"/>
      <c r="V20" s="40"/>
      <c r="W20" s="40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0"/>
        <v>1</v>
      </c>
      <c r="AH20" s="108">
        <f t="shared" si="1"/>
        <v>0</v>
      </c>
      <c r="AI20" s="108">
        <f t="shared" si="10"/>
        <v>0</v>
      </c>
      <c r="AJ20" s="108">
        <f t="shared" si="2"/>
        <v>0</v>
      </c>
      <c r="AK20" s="108">
        <f t="shared" si="3"/>
        <v>0</v>
      </c>
      <c r="AL20" s="108">
        <f t="shared" si="4"/>
        <v>0</v>
      </c>
      <c r="AN20" s="42" t="s">
        <v>56</v>
      </c>
      <c r="AO20" s="43" t="s">
        <v>46</v>
      </c>
    </row>
    <row r="21" spans="2:41" ht="15.75" thickBot="1">
      <c r="B21" s="24">
        <v>14</v>
      </c>
      <c r="C21" s="25">
        <v>41806</v>
      </c>
      <c r="D21" s="26" t="s">
        <v>35</v>
      </c>
      <c r="E21" s="27" t="s">
        <v>9</v>
      </c>
      <c r="F21" s="28" t="s">
        <v>36</v>
      </c>
      <c r="G21" s="87">
        <v>1</v>
      </c>
      <c r="H21" s="27" t="s">
        <v>9</v>
      </c>
      <c r="I21" s="92">
        <v>0</v>
      </c>
      <c r="J21" s="29">
        <f t="shared" si="5"/>
        <v>1</v>
      </c>
      <c r="K21" s="11">
        <f t="shared" si="6"/>
        <v>3</v>
      </c>
      <c r="L21" s="11">
        <f t="shared" si="7"/>
        <v>0</v>
      </c>
      <c r="O21" s="44" t="s">
        <v>17</v>
      </c>
      <c r="P21" s="45">
        <f>SUMIF($D$8:$D$55,$O21,$G$8:$G$55)+SUMIF($F$8:$F$55,$O21,$I$8:$I$55)</f>
        <v>7</v>
      </c>
      <c r="Q21" s="45">
        <f>SUMIF($D$8:$D$55,$O21,$I$8:$I$55)+SUMIF($F$8:$F$55,$O21,$G$8:$G$55)</f>
        <v>0</v>
      </c>
      <c r="R21" s="46">
        <f>P21-Q21</f>
        <v>7</v>
      </c>
      <c r="S21" s="47">
        <f>SUMIF($D$8:$D$55,$O21,$K$8:$K$55)+SUMIF($F$8:$F$55,$O21,$L$8:$L$55)</f>
        <v>9</v>
      </c>
      <c r="T21" s="94" t="s">
        <v>57</v>
      </c>
      <c r="U21" s="40"/>
      <c r="V21" s="40" t="str">
        <f>O21</f>
        <v>Colombia</v>
      </c>
      <c r="W21" s="40" t="s">
        <v>57</v>
      </c>
      <c r="Y21" s="109">
        <f t="shared" si="8"/>
        <v>1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1</v>
      </c>
      <c r="AG21" s="108">
        <f t="shared" si="0"/>
        <v>1</v>
      </c>
      <c r="AH21" s="108">
        <f t="shared" si="1"/>
        <v>0</v>
      </c>
      <c r="AI21" s="108">
        <f t="shared" si="10"/>
        <v>0</v>
      </c>
      <c r="AJ21" s="108">
        <f t="shared" si="2"/>
        <v>0</v>
      </c>
      <c r="AK21" s="108">
        <f t="shared" si="3"/>
        <v>0</v>
      </c>
      <c r="AL21" s="108">
        <f t="shared" si="4"/>
        <v>0</v>
      </c>
      <c r="AM21" s="120">
        <f>AO21</f>
        <v>10</v>
      </c>
      <c r="AN21" s="116" t="s">
        <v>17</v>
      </c>
      <c r="AO21" s="115">
        <f>IF(Uitslag!T21="",0,IF(T21=Uitslag!T21,10,0))</f>
        <v>10</v>
      </c>
    </row>
    <row r="22" spans="2:41" ht="15.75" thickBot="1">
      <c r="B22" s="12">
        <v>15</v>
      </c>
      <c r="C22" s="13">
        <v>41807</v>
      </c>
      <c r="D22" s="14" t="s">
        <v>37</v>
      </c>
      <c r="E22" s="15" t="s">
        <v>9</v>
      </c>
      <c r="F22" s="16" t="s">
        <v>38</v>
      </c>
      <c r="G22" s="85">
        <v>1</v>
      </c>
      <c r="H22" s="15" t="s">
        <v>9</v>
      </c>
      <c r="I22" s="90">
        <v>0</v>
      </c>
      <c r="J22" s="17">
        <f t="shared" si="5"/>
        <v>1</v>
      </c>
      <c r="K22" s="11">
        <f t="shared" si="6"/>
        <v>3</v>
      </c>
      <c r="L22" s="11">
        <f t="shared" si="7"/>
        <v>0</v>
      </c>
      <c r="O22" s="48" t="s">
        <v>18</v>
      </c>
      <c r="P22" s="49">
        <f>SUMIF($D$8:$D$55,$O22,$G$8:$G$55)+SUMIF($F$8:$F$55,$O22,$I$8:$I$55)</f>
        <v>2</v>
      </c>
      <c r="Q22" s="49">
        <f>SUMIF($D$8:$D$55,$O22,$I$8:$I$55)+SUMIF($F$8:$F$55,$O22,$G$8:$G$55)</f>
        <v>3</v>
      </c>
      <c r="R22" s="49">
        <f>P22-Q22</f>
        <v>-1</v>
      </c>
      <c r="S22" s="50">
        <f>SUMIF($D$8:$D$55,$O22,$K$8:$K$55)+SUMIF($F$8:$F$55,$O22,$L$8:$L$55)</f>
        <v>4</v>
      </c>
      <c r="T22" s="95" t="s">
        <v>58</v>
      </c>
      <c r="U22" s="40"/>
      <c r="V22" s="40" t="str">
        <f>O22</f>
        <v>Griekenland</v>
      </c>
      <c r="W22" s="40" t="s">
        <v>58</v>
      </c>
      <c r="Y22" s="109">
        <f t="shared" si="8"/>
        <v>5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5</v>
      </c>
      <c r="AG22" s="108">
        <f t="shared" si="0"/>
        <v>0</v>
      </c>
      <c r="AH22" s="108">
        <f t="shared" si="1"/>
        <v>0</v>
      </c>
      <c r="AI22" s="108">
        <f t="shared" si="10"/>
        <v>0</v>
      </c>
      <c r="AJ22" s="108">
        <f t="shared" si="2"/>
        <v>5</v>
      </c>
      <c r="AK22" s="108">
        <f t="shared" si="3"/>
        <v>0</v>
      </c>
      <c r="AL22" s="108">
        <f t="shared" si="4"/>
        <v>0</v>
      </c>
      <c r="AM22" s="120">
        <f>AO22</f>
        <v>10</v>
      </c>
      <c r="AN22" s="117" t="s">
        <v>18</v>
      </c>
      <c r="AO22" s="115">
        <f>IF(Uitslag!T22="",0,IF(T22=Uitslag!T22,10,0))</f>
        <v>10</v>
      </c>
    </row>
    <row r="23" spans="2:41" ht="15.75" thickBot="1">
      <c r="B23" s="18">
        <v>16</v>
      </c>
      <c r="C23" s="19">
        <v>41807</v>
      </c>
      <c r="D23" s="20" t="s">
        <v>8</v>
      </c>
      <c r="E23" s="21" t="s">
        <v>9</v>
      </c>
      <c r="F23" s="30" t="s">
        <v>11</v>
      </c>
      <c r="G23" s="86">
        <v>2</v>
      </c>
      <c r="H23" s="21" t="s">
        <v>9</v>
      </c>
      <c r="I23" s="91">
        <v>1</v>
      </c>
      <c r="J23" s="23">
        <f t="shared" si="5"/>
        <v>1</v>
      </c>
      <c r="K23" s="11">
        <f t="shared" si="6"/>
        <v>3</v>
      </c>
      <c r="L23" s="11">
        <f t="shared" si="7"/>
        <v>0</v>
      </c>
      <c r="O23" s="48" t="s">
        <v>23</v>
      </c>
      <c r="P23" s="49">
        <f>SUMIF($D$8:$D$55,$O23,$G$8:$G$55)+SUMIF($F$8:$F$55,$O23,$I$8:$I$55)</f>
        <v>3</v>
      </c>
      <c r="Q23" s="49">
        <f>SUMIF($D$8:$D$55,$O23,$I$8:$I$55)+SUMIF($F$8:$F$55,$O23,$G$8:$G$55)</f>
        <v>3</v>
      </c>
      <c r="R23" s="49">
        <f>P23-Q23</f>
        <v>0</v>
      </c>
      <c r="S23" s="50">
        <f>SUMIF($D$8:$D$55,$O23,$K$8:$K$55)+SUMIF($F$8:$F$55,$O23,$L$8:$L$55)</f>
        <v>4</v>
      </c>
      <c r="T23" s="95" t="s">
        <v>59</v>
      </c>
      <c r="U23" s="40"/>
      <c r="V23" s="40" t="str">
        <f>O23</f>
        <v>Ivoorkust</v>
      </c>
      <c r="W23" s="40" t="s">
        <v>59</v>
      </c>
      <c r="Y23" s="109">
        <f t="shared" si="8"/>
        <v>0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0</v>
      </c>
      <c r="AG23" s="108">
        <f t="shared" si="0"/>
        <v>0</v>
      </c>
      <c r="AH23" s="108">
        <f t="shared" si="1"/>
        <v>0</v>
      </c>
      <c r="AI23" s="108">
        <f t="shared" si="10"/>
        <v>0</v>
      </c>
      <c r="AJ23" s="108">
        <f t="shared" si="2"/>
        <v>0</v>
      </c>
      <c r="AK23" s="108">
        <f t="shared" si="3"/>
        <v>0</v>
      </c>
      <c r="AL23" s="108">
        <f t="shared" si="4"/>
        <v>0</v>
      </c>
      <c r="AM23" s="120">
        <f>AO23</f>
        <v>10</v>
      </c>
      <c r="AN23" s="117" t="s">
        <v>23</v>
      </c>
      <c r="AO23" s="115">
        <f>IF(Uitslag!T23="",0,IF(T23=Uitslag!T23,10,0))</f>
        <v>10</v>
      </c>
    </row>
    <row r="24" spans="2:41" ht="15.75" thickBot="1">
      <c r="B24" s="24">
        <v>17</v>
      </c>
      <c r="C24" s="25">
        <v>41807</v>
      </c>
      <c r="D24" s="26" t="s">
        <v>39</v>
      </c>
      <c r="E24" s="27" t="s">
        <v>9</v>
      </c>
      <c r="F24" s="28" t="s">
        <v>40</v>
      </c>
      <c r="G24" s="87">
        <v>2</v>
      </c>
      <c r="H24" s="27" t="s">
        <v>9</v>
      </c>
      <c r="I24" s="92">
        <v>0</v>
      </c>
      <c r="J24" s="29">
        <f t="shared" si="5"/>
        <v>1</v>
      </c>
      <c r="K24" s="11">
        <f t="shared" si="6"/>
        <v>3</v>
      </c>
      <c r="L24" s="11">
        <f t="shared" si="7"/>
        <v>0</v>
      </c>
      <c r="O24" s="51" t="s">
        <v>24</v>
      </c>
      <c r="P24" s="52">
        <f>SUMIF($D$8:$D$55,$O24,$G$8:$G$55)+SUMIF($F$8:$F$55,$O24,$I$8:$I$55)</f>
        <v>0</v>
      </c>
      <c r="Q24" s="52">
        <f>SUMIF($D$8:$D$55,$O24,$I$8:$I$55)+SUMIF($F$8:$F$55,$O24,$G$8:$G$55)</f>
        <v>6</v>
      </c>
      <c r="R24" s="52">
        <f>P24-Q24</f>
        <v>-6</v>
      </c>
      <c r="S24" s="53">
        <f>SUMIF($D$8:$D$55,$O24,$K$8:$K$55)+SUMIF($F$8:$F$55,$O24,$L$8:$L$55)</f>
        <v>0</v>
      </c>
      <c r="T24" s="96" t="s">
        <v>60</v>
      </c>
      <c r="U24" s="40"/>
      <c r="V24" s="40" t="str">
        <f>O24</f>
        <v>Japan</v>
      </c>
      <c r="W24" s="40" t="s">
        <v>60</v>
      </c>
      <c r="Y24" s="109">
        <f t="shared" si="8"/>
        <v>0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0</v>
      </c>
      <c r="AG24" s="108">
        <f t="shared" si="0"/>
        <v>0</v>
      </c>
      <c r="AH24" s="108">
        <f t="shared" si="1"/>
        <v>0</v>
      </c>
      <c r="AI24" s="108">
        <f t="shared" si="10"/>
        <v>0</v>
      </c>
      <c r="AJ24" s="108">
        <f t="shared" si="2"/>
        <v>0</v>
      </c>
      <c r="AK24" s="108">
        <f t="shared" si="3"/>
        <v>0</v>
      </c>
      <c r="AL24" s="108">
        <f t="shared" si="4"/>
        <v>0</v>
      </c>
      <c r="AM24" s="120">
        <f>AO24</f>
        <v>10</v>
      </c>
      <c r="AN24" s="118" t="s">
        <v>24</v>
      </c>
      <c r="AO24" s="115">
        <f>IF(Uitslag!T24="",0,IF(T24=Uitslag!T24,10,0))</f>
        <v>10</v>
      </c>
    </row>
    <row r="25" spans="2:41" ht="15.75" thickBot="1">
      <c r="B25" s="12">
        <v>18</v>
      </c>
      <c r="C25" s="13">
        <v>41808</v>
      </c>
      <c r="D25" s="14" t="s">
        <v>16</v>
      </c>
      <c r="E25" s="15" t="s">
        <v>9</v>
      </c>
      <c r="F25" s="31" t="s">
        <v>14</v>
      </c>
      <c r="G25" s="85">
        <v>0</v>
      </c>
      <c r="H25" s="15" t="s">
        <v>9</v>
      </c>
      <c r="I25" s="90">
        <v>1</v>
      </c>
      <c r="J25" s="17">
        <f t="shared" si="5"/>
        <v>2</v>
      </c>
      <c r="K25" s="11">
        <f t="shared" si="6"/>
        <v>0</v>
      </c>
      <c r="L25" s="11">
        <f t="shared" si="7"/>
        <v>3</v>
      </c>
      <c r="O25" s="40"/>
      <c r="P25" s="41"/>
      <c r="Q25" s="41"/>
      <c r="R25" s="41"/>
      <c r="S25" s="41"/>
      <c r="T25" s="41"/>
      <c r="U25" s="40"/>
      <c r="V25" s="40"/>
      <c r="W25" s="40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0"/>
        <v>0</v>
      </c>
      <c r="AH25" s="108">
        <f t="shared" si="1"/>
        <v>0</v>
      </c>
      <c r="AI25" s="108">
        <f t="shared" si="10"/>
        <v>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40"/>
      <c r="AO25" s="41"/>
    </row>
    <row r="26" spans="2:41" ht="15.75" thickBot="1">
      <c r="B26" s="18">
        <v>19</v>
      </c>
      <c r="C26" s="19">
        <v>41808</v>
      </c>
      <c r="D26" s="20" t="s">
        <v>13</v>
      </c>
      <c r="E26" s="21" t="s">
        <v>9</v>
      </c>
      <c r="F26" s="30" t="s">
        <v>15</v>
      </c>
      <c r="G26" s="86">
        <v>0</v>
      </c>
      <c r="H26" s="21" t="s">
        <v>9</v>
      </c>
      <c r="I26" s="91">
        <v>0</v>
      </c>
      <c r="J26" s="23">
        <f t="shared" si="5"/>
        <v>3</v>
      </c>
      <c r="K26" s="11">
        <f t="shared" si="6"/>
        <v>1</v>
      </c>
      <c r="L26" s="11">
        <f t="shared" si="7"/>
        <v>1</v>
      </c>
      <c r="O26" s="72" t="s">
        <v>61</v>
      </c>
      <c r="P26" s="73" t="s">
        <v>42</v>
      </c>
      <c r="Q26" s="73" t="s">
        <v>43</v>
      </c>
      <c r="R26" s="74" t="s">
        <v>44</v>
      </c>
      <c r="S26" s="75" t="s">
        <v>45</v>
      </c>
      <c r="T26" s="76" t="s">
        <v>46</v>
      </c>
      <c r="U26" s="40"/>
      <c r="V26" s="40"/>
      <c r="W26" s="40"/>
      <c r="Y26" s="109">
        <f t="shared" si="8"/>
        <v>1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1</v>
      </c>
      <c r="AG26" s="108">
        <f t="shared" si="0"/>
        <v>1</v>
      </c>
      <c r="AH26" s="108">
        <f t="shared" si="1"/>
        <v>0</v>
      </c>
      <c r="AI26" s="108">
        <f t="shared" si="10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24">
        <v>20</v>
      </c>
      <c r="C27" s="25">
        <v>41808</v>
      </c>
      <c r="D27" s="26" t="s">
        <v>12</v>
      </c>
      <c r="E27" s="27" t="s">
        <v>9</v>
      </c>
      <c r="F27" s="28" t="s">
        <v>10</v>
      </c>
      <c r="G27" s="87">
        <v>1</v>
      </c>
      <c r="H27" s="27" t="s">
        <v>9</v>
      </c>
      <c r="I27" s="92">
        <v>1</v>
      </c>
      <c r="J27" s="29">
        <f t="shared" si="5"/>
        <v>3</v>
      </c>
      <c r="K27" s="11">
        <f t="shared" si="6"/>
        <v>1</v>
      </c>
      <c r="L27" s="11">
        <f t="shared" si="7"/>
        <v>1</v>
      </c>
      <c r="O27" s="44" t="s">
        <v>19</v>
      </c>
      <c r="P27" s="45">
        <f>SUMIF($D$8:$D$55,$O27,$G$8:$G$55)+SUMIF($F$8:$F$55,$O27,$I$8:$I$55)</f>
        <v>6</v>
      </c>
      <c r="Q27" s="45">
        <f>SUMIF($D$8:$D$55,$O27,$I$8:$I$55)+SUMIF($F$8:$F$55,$O27,$G$8:$G$55)</f>
        <v>2</v>
      </c>
      <c r="R27" s="46">
        <f>P27-Q27</f>
        <v>4</v>
      </c>
      <c r="S27" s="47">
        <f>SUMIF($D$8:$D$55,$O27,$K$8:$K$55)+SUMIF($F$8:$F$55,$O27,$L$8:$L$55)</f>
        <v>7</v>
      </c>
      <c r="T27" s="94" t="s">
        <v>62</v>
      </c>
      <c r="U27" s="40"/>
      <c r="V27" s="40" t="str">
        <f>O27</f>
        <v>Uruguay</v>
      </c>
      <c r="W27" s="40" t="s">
        <v>62</v>
      </c>
      <c r="Y27" s="109">
        <f t="shared" si="8"/>
        <v>0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0</v>
      </c>
      <c r="AG27" s="108">
        <f t="shared" si="0"/>
        <v>0</v>
      </c>
      <c r="AH27" s="108">
        <f t="shared" si="1"/>
        <v>0</v>
      </c>
      <c r="AI27" s="108">
        <f t="shared" si="10"/>
        <v>0</v>
      </c>
      <c r="AJ27" s="108">
        <f t="shared" si="2"/>
        <v>0</v>
      </c>
      <c r="AK27" s="108">
        <f t="shared" si="3"/>
        <v>0</v>
      </c>
      <c r="AL27" s="108">
        <f t="shared" si="4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12">
        <v>21</v>
      </c>
      <c r="C28" s="13">
        <v>41809</v>
      </c>
      <c r="D28" s="14" t="s">
        <v>17</v>
      </c>
      <c r="E28" s="15" t="s">
        <v>9</v>
      </c>
      <c r="F28" s="16" t="s">
        <v>23</v>
      </c>
      <c r="G28" s="85">
        <v>2</v>
      </c>
      <c r="H28" s="15" t="s">
        <v>9</v>
      </c>
      <c r="I28" s="90">
        <v>0</v>
      </c>
      <c r="J28" s="17">
        <f t="shared" si="5"/>
        <v>1</v>
      </c>
      <c r="K28" s="11">
        <f t="shared" si="6"/>
        <v>3</v>
      </c>
      <c r="L28" s="11">
        <f t="shared" si="7"/>
        <v>0</v>
      </c>
      <c r="O28" s="48" t="s">
        <v>20</v>
      </c>
      <c r="P28" s="49">
        <f>SUMIF($D$8:$D$55,$O28,$G$8:$G$55)+SUMIF($F$8:$F$55,$O28,$I$8:$I$55)</f>
        <v>0</v>
      </c>
      <c r="Q28" s="49">
        <f>SUMIF($D$8:$D$55,$O28,$I$8:$I$55)+SUMIF($F$8:$F$55,$O28,$G$8:$G$55)</f>
        <v>5</v>
      </c>
      <c r="R28" s="49">
        <f>P28-Q28</f>
        <v>-5</v>
      </c>
      <c r="S28" s="50">
        <f>SUMIF($D$8:$D$55,$O28,$K$8:$K$55)+SUMIF($F$8:$F$55,$O28,$L$8:$L$55)</f>
        <v>0</v>
      </c>
      <c r="T28" s="95" t="s">
        <v>65</v>
      </c>
      <c r="U28" s="40"/>
      <c r="V28" s="40" t="str">
        <f>O28</f>
        <v>Costa Rica</v>
      </c>
      <c r="W28" s="40" t="s">
        <v>63</v>
      </c>
      <c r="Y28" s="109">
        <f t="shared" si="8"/>
        <v>6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6</v>
      </c>
      <c r="AG28" s="108">
        <f t="shared" si="0"/>
        <v>1</v>
      </c>
      <c r="AH28" s="108">
        <f t="shared" si="1"/>
        <v>0</v>
      </c>
      <c r="AI28" s="108">
        <f t="shared" si="10"/>
        <v>0</v>
      </c>
      <c r="AJ28" s="108">
        <f t="shared" si="2"/>
        <v>5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18">
        <v>22</v>
      </c>
      <c r="C29" s="19">
        <v>41809</v>
      </c>
      <c r="D29" s="20" t="s">
        <v>19</v>
      </c>
      <c r="E29" s="21" t="s">
        <v>9</v>
      </c>
      <c r="F29" s="30" t="s">
        <v>21</v>
      </c>
      <c r="G29" s="86">
        <v>2</v>
      </c>
      <c r="H29" s="21" t="s">
        <v>9</v>
      </c>
      <c r="I29" s="91">
        <v>1</v>
      </c>
      <c r="J29" s="23">
        <f t="shared" si="5"/>
        <v>1</v>
      </c>
      <c r="K29" s="11">
        <f t="shared" si="6"/>
        <v>3</v>
      </c>
      <c r="L29" s="11">
        <f t="shared" si="7"/>
        <v>0</v>
      </c>
      <c r="O29" s="48" t="s">
        <v>21</v>
      </c>
      <c r="P29" s="49">
        <f>SUMIF($D$8:$D$55,$O29,$G$8:$G$55)+SUMIF($F$8:$F$55,$O29,$I$8:$I$55)</f>
        <v>2</v>
      </c>
      <c r="Q29" s="49">
        <f>SUMIF($D$8:$D$55,$O29,$I$8:$I$55)+SUMIF($F$8:$F$55,$O29,$G$8:$G$55)</f>
        <v>2</v>
      </c>
      <c r="R29" s="49">
        <f>P29-Q29</f>
        <v>0</v>
      </c>
      <c r="S29" s="50">
        <f>SUMIF($D$8:$D$55,$O29,$K$8:$K$55)+SUMIF($F$8:$F$55,$O29,$L$8:$L$55)</f>
        <v>4</v>
      </c>
      <c r="T29" s="95" t="s">
        <v>64</v>
      </c>
      <c r="U29" s="40"/>
      <c r="V29" s="40" t="str">
        <f>O29</f>
        <v>Engeland</v>
      </c>
      <c r="W29" s="40" t="s">
        <v>64</v>
      </c>
      <c r="Y29" s="109">
        <f t="shared" si="8"/>
        <v>10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10</v>
      </c>
      <c r="AG29" s="108">
        <f t="shared" si="0"/>
        <v>1</v>
      </c>
      <c r="AH29" s="108">
        <f t="shared" si="1"/>
        <v>1</v>
      </c>
      <c r="AI29" s="108">
        <f t="shared" si="10"/>
        <v>10</v>
      </c>
      <c r="AJ29" s="108">
        <f t="shared" si="2"/>
        <v>5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24">
        <v>23</v>
      </c>
      <c r="C30" s="25">
        <v>41809</v>
      </c>
      <c r="D30" s="26" t="s">
        <v>24</v>
      </c>
      <c r="E30" s="27" t="s">
        <v>9</v>
      </c>
      <c r="F30" s="28" t="s">
        <v>18</v>
      </c>
      <c r="G30" s="87">
        <v>0</v>
      </c>
      <c r="H30" s="27" t="s">
        <v>9</v>
      </c>
      <c r="I30" s="92">
        <v>1</v>
      </c>
      <c r="J30" s="29">
        <f t="shared" si="5"/>
        <v>2</v>
      </c>
      <c r="K30" s="11">
        <f t="shared" si="6"/>
        <v>0</v>
      </c>
      <c r="L30" s="11">
        <f t="shared" si="7"/>
        <v>3</v>
      </c>
      <c r="O30" s="51" t="s">
        <v>22</v>
      </c>
      <c r="P30" s="52">
        <f>SUMIF($D$8:$D$55,$O30,$G$8:$G$55)+SUMIF($F$8:$F$55,$O30,$I$8:$I$55)</f>
        <v>2</v>
      </c>
      <c r="Q30" s="52">
        <f>SUMIF($D$8:$D$55,$O30,$I$8:$I$55)+SUMIF($F$8:$F$55,$O30,$G$8:$G$55)</f>
        <v>1</v>
      </c>
      <c r="R30" s="52">
        <f>P30-Q30</f>
        <v>1</v>
      </c>
      <c r="S30" s="53">
        <f>SUMIF($D$8:$D$55,$O30,$K$8:$K$55)+SUMIF($F$8:$F$55,$O30,$L$8:$L$55)</f>
        <v>5</v>
      </c>
      <c r="T30" s="96" t="s">
        <v>63</v>
      </c>
      <c r="U30" s="40"/>
      <c r="V30" s="40" t="str">
        <f>O30</f>
        <v>Italië</v>
      </c>
      <c r="W30" s="40" t="s">
        <v>65</v>
      </c>
      <c r="Y30" s="109">
        <f t="shared" si="8"/>
        <v>1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1</v>
      </c>
      <c r="AG30" s="108">
        <f t="shared" si="0"/>
        <v>1</v>
      </c>
      <c r="AH30" s="108">
        <f t="shared" si="1"/>
        <v>0</v>
      </c>
      <c r="AI30" s="108">
        <f t="shared" si="10"/>
        <v>0</v>
      </c>
      <c r="AJ30" s="108">
        <f t="shared" si="2"/>
        <v>0</v>
      </c>
      <c r="AK30" s="108">
        <f t="shared" si="3"/>
        <v>0</v>
      </c>
      <c r="AL30" s="108">
        <f t="shared" si="4"/>
        <v>0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12">
        <v>24</v>
      </c>
      <c r="C31" s="13">
        <v>41810</v>
      </c>
      <c r="D31" s="14" t="s">
        <v>22</v>
      </c>
      <c r="E31" s="15" t="s">
        <v>9</v>
      </c>
      <c r="F31" s="16" t="s">
        <v>20</v>
      </c>
      <c r="G31" s="85">
        <v>1</v>
      </c>
      <c r="H31" s="15" t="s">
        <v>9</v>
      </c>
      <c r="I31" s="90">
        <v>0</v>
      </c>
      <c r="J31" s="17">
        <f t="shared" si="5"/>
        <v>1</v>
      </c>
      <c r="K31" s="11">
        <f t="shared" si="6"/>
        <v>3</v>
      </c>
      <c r="L31" s="11">
        <f t="shared" si="7"/>
        <v>0</v>
      </c>
      <c r="O31" s="40"/>
      <c r="P31" s="41"/>
      <c r="Q31" s="41"/>
      <c r="R31" s="41"/>
      <c r="S31" s="41"/>
      <c r="T31" s="41"/>
      <c r="U31" s="40"/>
      <c r="V31" s="40"/>
      <c r="W31" s="40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0"/>
        <v>0</v>
      </c>
      <c r="AH31" s="108">
        <f t="shared" si="1"/>
        <v>0</v>
      </c>
      <c r="AI31" s="108">
        <f t="shared" si="10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40"/>
      <c r="AO31" s="41"/>
    </row>
    <row r="32" spans="2:41" ht="15.75" thickBot="1">
      <c r="B32" s="18">
        <v>25</v>
      </c>
      <c r="C32" s="19">
        <v>41810</v>
      </c>
      <c r="D32" s="20" t="s">
        <v>25</v>
      </c>
      <c r="E32" s="21" t="s">
        <v>9</v>
      </c>
      <c r="F32" s="30" t="s">
        <v>27</v>
      </c>
      <c r="G32" s="86">
        <v>1</v>
      </c>
      <c r="H32" s="21" t="s">
        <v>9</v>
      </c>
      <c r="I32" s="91">
        <v>1</v>
      </c>
      <c r="J32" s="23">
        <f t="shared" si="5"/>
        <v>3</v>
      </c>
      <c r="K32" s="11">
        <f t="shared" si="6"/>
        <v>1</v>
      </c>
      <c r="L32" s="11">
        <f t="shared" si="7"/>
        <v>1</v>
      </c>
      <c r="O32" s="72" t="s">
        <v>66</v>
      </c>
      <c r="P32" s="73" t="s">
        <v>42</v>
      </c>
      <c r="Q32" s="73" t="s">
        <v>43</v>
      </c>
      <c r="R32" s="74" t="s">
        <v>44</v>
      </c>
      <c r="S32" s="75" t="s">
        <v>45</v>
      </c>
      <c r="T32" s="76" t="s">
        <v>46</v>
      </c>
      <c r="U32" s="40"/>
      <c r="V32" s="40"/>
      <c r="W32" s="40"/>
      <c r="Y32" s="109">
        <f t="shared" si="8"/>
        <v>0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0</v>
      </c>
      <c r="AG32" s="108">
        <f t="shared" si="0"/>
        <v>0</v>
      </c>
      <c r="AH32" s="108">
        <f t="shared" si="1"/>
        <v>0</v>
      </c>
      <c r="AI32" s="108">
        <f t="shared" si="10"/>
        <v>0</v>
      </c>
      <c r="AJ32" s="108">
        <f t="shared" si="2"/>
        <v>0</v>
      </c>
      <c r="AK32" s="108">
        <f t="shared" si="3"/>
        <v>0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24">
        <v>26</v>
      </c>
      <c r="C33" s="25">
        <v>41810</v>
      </c>
      <c r="D33" s="26" t="s">
        <v>28</v>
      </c>
      <c r="E33" s="27" t="s">
        <v>9</v>
      </c>
      <c r="F33" s="28" t="s">
        <v>26</v>
      </c>
      <c r="G33" s="87">
        <v>2</v>
      </c>
      <c r="H33" s="27" t="s">
        <v>9</v>
      </c>
      <c r="I33" s="92">
        <v>2</v>
      </c>
      <c r="J33" s="29">
        <f t="shared" si="5"/>
        <v>3</v>
      </c>
      <c r="K33" s="11">
        <f t="shared" si="6"/>
        <v>1</v>
      </c>
      <c r="L33" s="11">
        <f t="shared" si="7"/>
        <v>1</v>
      </c>
      <c r="O33" s="44" t="s">
        <v>25</v>
      </c>
      <c r="P33" s="45">
        <f>SUMIF($D$8:$D$55,$O33,$G$8:$G$55)+SUMIF($F$8:$F$55,$O33,$I$8:$I$55)</f>
        <v>3</v>
      </c>
      <c r="Q33" s="45">
        <f>SUMIF($D$8:$D$55,$O33,$I$8:$I$55)+SUMIF($F$8:$F$55,$O33,$G$8:$G$55)</f>
        <v>2</v>
      </c>
      <c r="R33" s="46">
        <f>P33-Q33</f>
        <v>1</v>
      </c>
      <c r="S33" s="47">
        <f>SUMIF($D$8:$D$55,$O33,$K$8:$K$55)+SUMIF($F$8:$F$55,$O33,$L$8:$L$55)</f>
        <v>5</v>
      </c>
      <c r="T33" s="94" t="s">
        <v>68</v>
      </c>
      <c r="U33" s="40"/>
      <c r="V33" s="40" t="str">
        <f>O33</f>
        <v>Zwitserland</v>
      </c>
      <c r="W33" s="40" t="s">
        <v>67</v>
      </c>
      <c r="Y33" s="109">
        <f t="shared" si="8"/>
        <v>1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1</v>
      </c>
      <c r="AG33" s="108">
        <f t="shared" si="0"/>
        <v>0</v>
      </c>
      <c r="AH33" s="108">
        <f t="shared" si="1"/>
        <v>1</v>
      </c>
      <c r="AI33" s="108">
        <f t="shared" si="10"/>
        <v>0</v>
      </c>
      <c r="AJ33" s="108">
        <f t="shared" si="2"/>
        <v>0</v>
      </c>
      <c r="AK33" s="108">
        <f t="shared" si="3"/>
        <v>0</v>
      </c>
      <c r="AL33" s="108">
        <f t="shared" si="4"/>
        <v>0</v>
      </c>
      <c r="AM33" s="120">
        <f>AO33</f>
        <v>10</v>
      </c>
      <c r="AN33" s="116" t="s">
        <v>25</v>
      </c>
      <c r="AO33" s="115">
        <f>IF(Uitslag!T33="",0,IF(T33=Uitslag!T33,10,0))</f>
        <v>10</v>
      </c>
    </row>
    <row r="34" spans="2:41" ht="15.75" thickBot="1">
      <c r="B34" s="12">
        <v>27</v>
      </c>
      <c r="C34" s="13">
        <v>41811</v>
      </c>
      <c r="D34" s="14" t="s">
        <v>29</v>
      </c>
      <c r="E34" s="15" t="s">
        <v>9</v>
      </c>
      <c r="F34" s="16" t="s">
        <v>33</v>
      </c>
      <c r="G34" s="85">
        <v>3</v>
      </c>
      <c r="H34" s="15" t="s">
        <v>9</v>
      </c>
      <c r="I34" s="90">
        <v>0</v>
      </c>
      <c r="J34" s="17">
        <f t="shared" si="5"/>
        <v>1</v>
      </c>
      <c r="K34" s="11">
        <f t="shared" si="6"/>
        <v>3</v>
      </c>
      <c r="L34" s="11">
        <f t="shared" si="7"/>
        <v>0</v>
      </c>
      <c r="O34" s="48" t="s">
        <v>26</v>
      </c>
      <c r="P34" s="49">
        <f>SUMIF($D$8:$D$55,$O34,$G$8:$G$55)+SUMIF($F$8:$F$55,$O34,$I$8:$I$55)</f>
        <v>3</v>
      </c>
      <c r="Q34" s="49">
        <f>SUMIF($D$8:$D$55,$O34,$I$8:$I$55)+SUMIF($F$8:$F$55,$O34,$G$8:$G$55)</f>
        <v>3</v>
      </c>
      <c r="R34" s="49">
        <f>P34-Q34</f>
        <v>0</v>
      </c>
      <c r="S34" s="50">
        <f>SUMIF($D$8:$D$55,$O34,$K$8:$K$55)+SUMIF($F$8:$F$55,$O34,$L$8:$L$55)</f>
        <v>4</v>
      </c>
      <c r="T34" s="95" t="s">
        <v>69</v>
      </c>
      <c r="U34" s="40"/>
      <c r="V34" s="40" t="str">
        <f>O34</f>
        <v>Ecuador</v>
      </c>
      <c r="W34" s="40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0"/>
        <v>0</v>
      </c>
      <c r="AH34" s="108">
        <f t="shared" si="1"/>
        <v>1</v>
      </c>
      <c r="AI34" s="108">
        <f t="shared" si="10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10</v>
      </c>
      <c r="AN34" s="117" t="s">
        <v>26</v>
      </c>
      <c r="AO34" s="115">
        <f>IF(Uitslag!T34="",0,IF(T34=Uitslag!T34,10,0))</f>
        <v>10</v>
      </c>
    </row>
    <row r="35" spans="2:41" ht="15.75" thickBot="1">
      <c r="B35" s="18">
        <v>28</v>
      </c>
      <c r="C35" s="19">
        <v>41811</v>
      </c>
      <c r="D35" s="20" t="s">
        <v>31</v>
      </c>
      <c r="E35" s="21" t="s">
        <v>9</v>
      </c>
      <c r="F35" s="30" t="s">
        <v>35</v>
      </c>
      <c r="G35" s="86">
        <v>2</v>
      </c>
      <c r="H35" s="21" t="s">
        <v>9</v>
      </c>
      <c r="I35" s="91">
        <v>0</v>
      </c>
      <c r="J35" s="23">
        <f t="shared" si="5"/>
        <v>1</v>
      </c>
      <c r="K35" s="11">
        <f t="shared" si="6"/>
        <v>3</v>
      </c>
      <c r="L35" s="11">
        <f t="shared" si="7"/>
        <v>0</v>
      </c>
      <c r="O35" s="48" t="s">
        <v>27</v>
      </c>
      <c r="P35" s="49">
        <f>SUMIF($D$8:$D$55,$O35,$G$8:$G$55)+SUMIF($F$8:$F$55,$O35,$I$8:$I$55)</f>
        <v>2</v>
      </c>
      <c r="Q35" s="49">
        <f>SUMIF($D$8:$D$55,$O35,$I$8:$I$55)+SUMIF($F$8:$F$55,$O35,$G$8:$G$55)</f>
        <v>3</v>
      </c>
      <c r="R35" s="49">
        <f>P35-Q35</f>
        <v>-1</v>
      </c>
      <c r="S35" s="50">
        <f>SUMIF($D$8:$D$55,$O35,$K$8:$K$55)+SUMIF($F$8:$F$55,$O35,$L$8:$L$55)</f>
        <v>2</v>
      </c>
      <c r="T35" s="95" t="s">
        <v>67</v>
      </c>
      <c r="U35" s="40"/>
      <c r="V35" s="40" t="str">
        <f>O35</f>
        <v>Frankrijk</v>
      </c>
      <c r="W35" s="40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0"/>
        <v>1</v>
      </c>
      <c r="AH35" s="108">
        <f t="shared" si="1"/>
        <v>0</v>
      </c>
      <c r="AI35" s="108">
        <f t="shared" si="10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24">
        <v>29</v>
      </c>
      <c r="C36" s="25">
        <v>41811</v>
      </c>
      <c r="D36" s="26" t="s">
        <v>34</v>
      </c>
      <c r="E36" s="27" t="s">
        <v>9</v>
      </c>
      <c r="F36" s="28" t="s">
        <v>30</v>
      </c>
      <c r="G36" s="87">
        <v>1</v>
      </c>
      <c r="H36" s="27" t="s">
        <v>9</v>
      </c>
      <c r="I36" s="92">
        <v>0</v>
      </c>
      <c r="J36" s="29">
        <f t="shared" si="5"/>
        <v>1</v>
      </c>
      <c r="K36" s="11">
        <f t="shared" si="6"/>
        <v>3</v>
      </c>
      <c r="L36" s="11">
        <f t="shared" si="7"/>
        <v>0</v>
      </c>
      <c r="O36" s="51" t="s">
        <v>28</v>
      </c>
      <c r="P36" s="52">
        <f>SUMIF($D$8:$D$55,$O36,$G$8:$G$55)+SUMIF($F$8:$F$55,$O36,$I$8:$I$55)</f>
        <v>4</v>
      </c>
      <c r="Q36" s="52">
        <f>SUMIF($D$8:$D$55,$O36,$I$8:$I$55)+SUMIF($F$8:$F$55,$O36,$G$8:$G$55)</f>
        <v>4</v>
      </c>
      <c r="R36" s="52">
        <f>P36-Q36</f>
        <v>0</v>
      </c>
      <c r="S36" s="53">
        <f>SUMIF($D$8:$D$55,$O36,$K$8:$K$55)+SUMIF($F$8:$F$55,$O36,$L$8:$L$55)</f>
        <v>3</v>
      </c>
      <c r="T36" s="96" t="s">
        <v>70</v>
      </c>
      <c r="U36" s="40"/>
      <c r="V36" s="40" t="str">
        <f>O36</f>
        <v>Honduras</v>
      </c>
      <c r="W36" s="40" t="s">
        <v>70</v>
      </c>
      <c r="Y36" s="109">
        <f t="shared" si="8"/>
        <v>10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10</v>
      </c>
      <c r="AG36" s="108">
        <f t="shared" si="0"/>
        <v>1</v>
      </c>
      <c r="AH36" s="108">
        <f t="shared" si="1"/>
        <v>1</v>
      </c>
      <c r="AI36" s="108">
        <f t="shared" si="10"/>
        <v>10</v>
      </c>
      <c r="AJ36" s="108">
        <f t="shared" si="2"/>
        <v>5</v>
      </c>
      <c r="AK36" s="108">
        <f t="shared" si="3"/>
        <v>0</v>
      </c>
      <c r="AL36" s="108">
        <f t="shared" si="4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12">
        <v>30</v>
      </c>
      <c r="C37" s="13">
        <v>41812</v>
      </c>
      <c r="D37" s="14" t="s">
        <v>37</v>
      </c>
      <c r="E37" s="15" t="s">
        <v>9</v>
      </c>
      <c r="F37" s="16" t="s">
        <v>39</v>
      </c>
      <c r="G37" s="85">
        <v>1</v>
      </c>
      <c r="H37" s="15" t="s">
        <v>9</v>
      </c>
      <c r="I37" s="90">
        <v>0</v>
      </c>
      <c r="J37" s="17">
        <f t="shared" si="5"/>
        <v>1</v>
      </c>
      <c r="K37" s="11">
        <f t="shared" si="6"/>
        <v>3</v>
      </c>
      <c r="L37" s="11">
        <f t="shared" si="7"/>
        <v>0</v>
      </c>
      <c r="O37" s="40"/>
      <c r="P37" s="41"/>
      <c r="Q37" s="41"/>
      <c r="R37" s="41"/>
      <c r="S37" s="41"/>
      <c r="T37" s="41"/>
      <c r="U37" s="40"/>
      <c r="V37" s="40"/>
      <c r="W37" s="40"/>
      <c r="Y37" s="109">
        <f t="shared" si="8"/>
        <v>10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10</v>
      </c>
      <c r="AG37" s="108">
        <f t="shared" si="0"/>
        <v>1</v>
      </c>
      <c r="AH37" s="108">
        <f t="shared" si="1"/>
        <v>1</v>
      </c>
      <c r="AI37" s="108">
        <f t="shared" si="10"/>
        <v>10</v>
      </c>
      <c r="AJ37" s="108">
        <f t="shared" si="2"/>
        <v>5</v>
      </c>
      <c r="AK37" s="108">
        <f t="shared" si="3"/>
        <v>0</v>
      </c>
      <c r="AL37" s="108">
        <f t="shared" si="4"/>
        <v>0</v>
      </c>
      <c r="AN37" s="40"/>
      <c r="AO37" s="41"/>
    </row>
    <row r="38" spans="2:41" ht="15.75" thickBot="1">
      <c r="B38" s="18">
        <v>31</v>
      </c>
      <c r="C38" s="19">
        <v>41812</v>
      </c>
      <c r="D38" s="20" t="s">
        <v>40</v>
      </c>
      <c r="E38" s="21" t="s">
        <v>9</v>
      </c>
      <c r="F38" s="30" t="s">
        <v>38</v>
      </c>
      <c r="G38" s="86">
        <v>0</v>
      </c>
      <c r="H38" s="21" t="s">
        <v>9</v>
      </c>
      <c r="I38" s="91">
        <v>0</v>
      </c>
      <c r="J38" s="23">
        <f t="shared" si="5"/>
        <v>3</v>
      </c>
      <c r="K38" s="11">
        <f t="shared" si="6"/>
        <v>1</v>
      </c>
      <c r="L38" s="11">
        <f t="shared" si="7"/>
        <v>1</v>
      </c>
      <c r="O38" s="72" t="s">
        <v>71</v>
      </c>
      <c r="P38" s="73" t="s">
        <v>42</v>
      </c>
      <c r="Q38" s="73" t="s">
        <v>43</v>
      </c>
      <c r="R38" s="74" t="s">
        <v>44</v>
      </c>
      <c r="S38" s="75" t="s">
        <v>45</v>
      </c>
      <c r="T38" s="76" t="s">
        <v>46</v>
      </c>
      <c r="U38" s="40"/>
      <c r="V38" s="40"/>
      <c r="W38" s="40"/>
      <c r="Y38" s="109">
        <f t="shared" si="8"/>
        <v>0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0</v>
      </c>
      <c r="AG38" s="108">
        <f t="shared" si="0"/>
        <v>0</v>
      </c>
      <c r="AH38" s="108">
        <f t="shared" si="1"/>
        <v>0</v>
      </c>
      <c r="AI38" s="108">
        <f t="shared" si="10"/>
        <v>0</v>
      </c>
      <c r="AJ38" s="108">
        <f t="shared" si="2"/>
        <v>0</v>
      </c>
      <c r="AK38" s="108">
        <f t="shared" si="3"/>
        <v>0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24">
        <v>32</v>
      </c>
      <c r="C39" s="25">
        <v>41812</v>
      </c>
      <c r="D39" s="26" t="s">
        <v>36</v>
      </c>
      <c r="E39" s="27" t="s">
        <v>9</v>
      </c>
      <c r="F39" s="28" t="s">
        <v>32</v>
      </c>
      <c r="G39" s="87">
        <v>1</v>
      </c>
      <c r="H39" s="27" t="s">
        <v>9</v>
      </c>
      <c r="I39" s="92">
        <v>1</v>
      </c>
      <c r="J39" s="29">
        <f t="shared" si="5"/>
        <v>3</v>
      </c>
      <c r="K39" s="11">
        <f t="shared" si="6"/>
        <v>1</v>
      </c>
      <c r="L39" s="11">
        <f t="shared" si="7"/>
        <v>1</v>
      </c>
      <c r="O39" s="44" t="s">
        <v>29</v>
      </c>
      <c r="P39" s="45">
        <f>SUMIF($D$8:$D$55,$O39,$G$8:$G$55)+SUMIF($F$8:$F$55,$O39,$I$8:$I$55)</f>
        <v>8</v>
      </c>
      <c r="Q39" s="45">
        <f>SUMIF($D$8:$D$55,$O39,$I$8:$I$55)+SUMIF($F$8:$F$55,$O39,$G$8:$G$55)</f>
        <v>1</v>
      </c>
      <c r="R39" s="46">
        <f>P39-Q39</f>
        <v>7</v>
      </c>
      <c r="S39" s="47">
        <f>SUMIF($D$8:$D$55,$O39,$K$8:$K$55)+SUMIF($F$8:$F$55,$O39,$L$8:$L$55)</f>
        <v>7</v>
      </c>
      <c r="T39" s="94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5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5</v>
      </c>
      <c r="AG39" s="108">
        <f t="shared" si="0"/>
        <v>0</v>
      </c>
      <c r="AH39" s="108">
        <f t="shared" si="1"/>
        <v>0</v>
      </c>
      <c r="AI39" s="108">
        <f t="shared" si="10"/>
        <v>0</v>
      </c>
      <c r="AJ39" s="108">
        <f t="shared" si="2"/>
        <v>0</v>
      </c>
      <c r="AK39" s="108">
        <f t="shared" si="3"/>
        <v>0</v>
      </c>
      <c r="AL39" s="108">
        <f t="shared" si="4"/>
        <v>5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12">
        <v>33</v>
      </c>
      <c r="C40" s="13">
        <v>41813</v>
      </c>
      <c r="D40" s="14" t="s">
        <v>16</v>
      </c>
      <c r="E40" s="15" t="s">
        <v>9</v>
      </c>
      <c r="F40" s="16" t="s">
        <v>13</v>
      </c>
      <c r="G40" s="85">
        <v>0</v>
      </c>
      <c r="H40" s="15" t="s">
        <v>9</v>
      </c>
      <c r="I40" s="90">
        <v>2</v>
      </c>
      <c r="J40" s="17">
        <f t="shared" si="5"/>
        <v>2</v>
      </c>
      <c r="K40" s="11">
        <f t="shared" si="6"/>
        <v>0</v>
      </c>
      <c r="L40" s="11">
        <f t="shared" si="7"/>
        <v>3</v>
      </c>
      <c r="O40" s="48" t="s">
        <v>30</v>
      </c>
      <c r="P40" s="49">
        <f>SUMIF($D$8:$D$55,$O40,$G$8:$G$55)+SUMIF($F$8:$F$55,$O40,$I$8:$I$55)</f>
        <v>2</v>
      </c>
      <c r="Q40" s="49">
        <f>SUMIF($D$8:$D$55,$O40,$I$8:$I$55)+SUMIF($F$8:$F$55,$O40,$G$8:$G$55)</f>
        <v>5</v>
      </c>
      <c r="R40" s="49">
        <f>P40-Q40</f>
        <v>-3</v>
      </c>
      <c r="S40" s="50">
        <f>SUMIF($D$8:$D$55,$O40,$K$8:$K$55)+SUMIF($F$8:$F$55,$O40,$L$8:$L$55)</f>
        <v>3</v>
      </c>
      <c r="T40" s="95" t="s">
        <v>74</v>
      </c>
      <c r="U40" s="40"/>
      <c r="V40" s="40" t="str">
        <f>O40</f>
        <v>Bosnië H.</v>
      </c>
      <c r="W40" s="40" t="s">
        <v>73</v>
      </c>
      <c r="Y40" s="109">
        <f t="shared" si="8"/>
        <v>6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6</v>
      </c>
      <c r="AG40" s="108">
        <f t="shared" si="0"/>
        <v>1</v>
      </c>
      <c r="AH40" s="108">
        <f t="shared" si="1"/>
        <v>0</v>
      </c>
      <c r="AI40" s="108">
        <f t="shared" si="10"/>
        <v>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18">
        <v>34</v>
      </c>
      <c r="C41" s="19">
        <v>41813</v>
      </c>
      <c r="D41" s="32" t="s">
        <v>14</v>
      </c>
      <c r="E41" s="21" t="s">
        <v>9</v>
      </c>
      <c r="F41" s="30" t="s">
        <v>15</v>
      </c>
      <c r="G41" s="86">
        <v>2</v>
      </c>
      <c r="H41" s="21" t="s">
        <v>9</v>
      </c>
      <c r="I41" s="91">
        <v>1</v>
      </c>
      <c r="J41" s="23">
        <f t="shared" si="5"/>
        <v>1</v>
      </c>
      <c r="K41" s="11">
        <f t="shared" si="6"/>
        <v>3</v>
      </c>
      <c r="L41" s="11">
        <f t="shared" si="7"/>
        <v>0</v>
      </c>
      <c r="O41" s="48" t="s">
        <v>33</v>
      </c>
      <c r="P41" s="49">
        <f>SUMIF($D$8:$D$55,$O41,$G$8:$G$55)+SUMIF($F$8:$F$55,$O41,$I$8:$I$55)</f>
        <v>0</v>
      </c>
      <c r="Q41" s="49">
        <f>SUMIF($D$8:$D$55,$O41,$I$8:$I$55)+SUMIF($F$8:$F$55,$O41,$G$8:$G$55)</f>
        <v>7</v>
      </c>
      <c r="R41" s="49">
        <f>P41-Q41</f>
        <v>-7</v>
      </c>
      <c r="S41" s="50">
        <f>SUMIF($D$8:$D$55,$O41,$K$8:$K$55)+SUMIF($F$8:$F$55,$O41,$L$8:$L$55)</f>
        <v>0</v>
      </c>
      <c r="T41" s="95" t="s">
        <v>75</v>
      </c>
      <c r="U41" s="40"/>
      <c r="V41" s="40" t="str">
        <f>O41</f>
        <v>Iran</v>
      </c>
      <c r="W41" s="40" t="s">
        <v>74</v>
      </c>
      <c r="Y41" s="109">
        <f t="shared" si="8"/>
        <v>6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6</v>
      </c>
      <c r="AG41" s="108">
        <f t="shared" si="0"/>
        <v>1</v>
      </c>
      <c r="AH41" s="108">
        <f t="shared" si="1"/>
        <v>0</v>
      </c>
      <c r="AI41" s="108">
        <f t="shared" si="10"/>
        <v>0</v>
      </c>
      <c r="AJ41" s="108">
        <f t="shared" si="2"/>
        <v>5</v>
      </c>
      <c r="AK41" s="108">
        <f t="shared" si="3"/>
        <v>0</v>
      </c>
      <c r="AL41" s="108">
        <f t="shared" si="4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18">
        <v>35</v>
      </c>
      <c r="C42" s="19">
        <v>41813</v>
      </c>
      <c r="D42" s="20" t="s">
        <v>12</v>
      </c>
      <c r="E42" s="21" t="s">
        <v>9</v>
      </c>
      <c r="F42" s="30" t="s">
        <v>8</v>
      </c>
      <c r="G42" s="86">
        <v>0</v>
      </c>
      <c r="H42" s="21" t="s">
        <v>9</v>
      </c>
      <c r="I42" s="91">
        <v>2</v>
      </c>
      <c r="J42" s="23">
        <f t="shared" si="5"/>
        <v>2</v>
      </c>
      <c r="K42" s="11">
        <f t="shared" si="6"/>
        <v>0</v>
      </c>
      <c r="L42" s="11">
        <f t="shared" si="7"/>
        <v>3</v>
      </c>
      <c r="O42" s="51" t="s">
        <v>34</v>
      </c>
      <c r="P42" s="52">
        <f>SUMIF($D$8:$D$55,$O42,$G$8:$G$55)+SUMIF($F$8:$F$55,$O42,$I$8:$I$55)</f>
        <v>4</v>
      </c>
      <c r="Q42" s="52">
        <f>SUMIF($D$8:$D$55,$O42,$I$8:$I$55)+SUMIF($F$8:$F$55,$O42,$G$8:$G$55)</f>
        <v>1</v>
      </c>
      <c r="R42" s="52">
        <f>P42-Q42</f>
        <v>3</v>
      </c>
      <c r="S42" s="53">
        <f>SUMIF($D$8:$D$55,$O42,$K$8:$K$55)+SUMIF($F$8:$F$55,$O42,$L$8:$L$55)</f>
        <v>7</v>
      </c>
      <c r="T42" s="96" t="s">
        <v>73</v>
      </c>
      <c r="U42" s="40"/>
      <c r="V42" s="40" t="str">
        <f>O42</f>
        <v>Nigeria</v>
      </c>
      <c r="W42" s="40" t="s">
        <v>75</v>
      </c>
      <c r="Y42" s="109">
        <f t="shared" si="8"/>
        <v>5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5</v>
      </c>
      <c r="AG42" s="108">
        <f t="shared" si="0"/>
        <v>0</v>
      </c>
      <c r="AH42" s="108">
        <f t="shared" si="1"/>
        <v>0</v>
      </c>
      <c r="AI42" s="108">
        <f t="shared" si="10"/>
        <v>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24">
        <v>36</v>
      </c>
      <c r="C43" s="25">
        <v>41813</v>
      </c>
      <c r="D43" s="26" t="s">
        <v>10</v>
      </c>
      <c r="E43" s="27" t="s">
        <v>9</v>
      </c>
      <c r="F43" s="28" t="s">
        <v>11</v>
      </c>
      <c r="G43" s="87">
        <v>1</v>
      </c>
      <c r="H43" s="27" t="s">
        <v>9</v>
      </c>
      <c r="I43" s="92">
        <v>1</v>
      </c>
      <c r="J43" s="29">
        <f t="shared" si="5"/>
        <v>3</v>
      </c>
      <c r="K43" s="11">
        <f t="shared" si="6"/>
        <v>1</v>
      </c>
      <c r="L43" s="11">
        <f t="shared" si="7"/>
        <v>1</v>
      </c>
      <c r="O43" s="40"/>
      <c r="P43" s="41"/>
      <c r="Q43" s="41"/>
      <c r="R43" s="41"/>
      <c r="S43" s="41"/>
      <c r="T43" s="41"/>
      <c r="U43" s="40"/>
      <c r="V43" s="40"/>
      <c r="W43" s="40"/>
      <c r="Y43" s="109">
        <f t="shared" si="8"/>
        <v>1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1</v>
      </c>
      <c r="AG43" s="108">
        <f t="shared" si="0"/>
        <v>1</v>
      </c>
      <c r="AH43" s="108">
        <f t="shared" si="1"/>
        <v>0</v>
      </c>
      <c r="AI43" s="108">
        <f t="shared" si="10"/>
        <v>0</v>
      </c>
      <c r="AJ43" s="108">
        <f t="shared" si="2"/>
        <v>0</v>
      </c>
      <c r="AK43" s="108">
        <f t="shared" si="3"/>
        <v>0</v>
      </c>
      <c r="AL43" s="108">
        <f t="shared" si="4"/>
        <v>0</v>
      </c>
      <c r="AN43" s="40"/>
      <c r="AO43" s="41"/>
    </row>
    <row r="44" spans="2:41" ht="15.75" thickBot="1">
      <c r="B44" s="12">
        <v>37</v>
      </c>
      <c r="C44" s="13">
        <v>41814</v>
      </c>
      <c r="D44" s="14" t="s">
        <v>22</v>
      </c>
      <c r="E44" s="15" t="s">
        <v>9</v>
      </c>
      <c r="F44" s="16" t="s">
        <v>19</v>
      </c>
      <c r="G44" s="85">
        <v>1</v>
      </c>
      <c r="H44" s="15" t="s">
        <v>9</v>
      </c>
      <c r="I44" s="90">
        <v>1</v>
      </c>
      <c r="J44" s="17">
        <f t="shared" si="5"/>
        <v>3</v>
      </c>
      <c r="K44" s="11">
        <f t="shared" si="6"/>
        <v>1</v>
      </c>
      <c r="L44" s="11">
        <f t="shared" si="7"/>
        <v>1</v>
      </c>
      <c r="O44" s="72" t="s">
        <v>76</v>
      </c>
      <c r="P44" s="73" t="s">
        <v>42</v>
      </c>
      <c r="Q44" s="73" t="s">
        <v>43</v>
      </c>
      <c r="R44" s="74" t="s">
        <v>44</v>
      </c>
      <c r="S44" s="75" t="s">
        <v>45</v>
      </c>
      <c r="T44" s="76" t="s">
        <v>46</v>
      </c>
      <c r="U44" s="40"/>
      <c r="V44" s="40"/>
      <c r="W44" s="40"/>
      <c r="Y44" s="109">
        <f t="shared" si="8"/>
        <v>1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1</v>
      </c>
      <c r="AG44" s="108">
        <f t="shared" si="0"/>
        <v>0</v>
      </c>
      <c r="AH44" s="108">
        <f t="shared" si="1"/>
        <v>1</v>
      </c>
      <c r="AI44" s="108">
        <f t="shared" si="10"/>
        <v>0</v>
      </c>
      <c r="AJ44" s="108">
        <f t="shared" si="2"/>
        <v>0</v>
      </c>
      <c r="AK44" s="108">
        <f t="shared" si="3"/>
        <v>0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18">
        <v>38</v>
      </c>
      <c r="C45" s="19">
        <v>41814</v>
      </c>
      <c r="D45" s="20" t="s">
        <v>20</v>
      </c>
      <c r="E45" s="21" t="s">
        <v>9</v>
      </c>
      <c r="F45" s="30" t="s">
        <v>21</v>
      </c>
      <c r="G45" s="86">
        <v>0</v>
      </c>
      <c r="H45" s="21" t="s">
        <v>9</v>
      </c>
      <c r="I45" s="91">
        <v>1</v>
      </c>
      <c r="J45" s="23">
        <f t="shared" si="5"/>
        <v>2</v>
      </c>
      <c r="K45" s="11">
        <f t="shared" si="6"/>
        <v>0</v>
      </c>
      <c r="L45" s="11">
        <f t="shared" si="7"/>
        <v>3</v>
      </c>
      <c r="O45" s="44" t="s">
        <v>31</v>
      </c>
      <c r="P45" s="45">
        <f>SUMIF($D$8:$D$55,$O45,$G$8:$G$55)+SUMIF($F$8:$F$55,$O45,$I$8:$I$55)</f>
        <v>6</v>
      </c>
      <c r="Q45" s="45">
        <f>SUMIF($D$8:$D$55,$O45,$I$8:$I$55)+SUMIF($F$8:$F$55,$O45,$G$8:$G$55)</f>
        <v>3</v>
      </c>
      <c r="R45" s="46">
        <f>P45-Q45</f>
        <v>3</v>
      </c>
      <c r="S45" s="47">
        <f>SUMIF($D$8:$D$55,$O45,$K$8:$K$55)+SUMIF($F$8:$F$55,$O45,$L$8:$L$55)</f>
        <v>6</v>
      </c>
      <c r="T45" s="94" t="s">
        <v>77</v>
      </c>
      <c r="U45" s="40"/>
      <c r="V45" s="40" t="str">
        <f>O45</f>
        <v>Duitsland</v>
      </c>
      <c r="W45" s="40" t="s">
        <v>77</v>
      </c>
      <c r="Y45" s="109">
        <f t="shared" si="8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1</v>
      </c>
      <c r="AG45" s="108">
        <f t="shared" si="0"/>
        <v>1</v>
      </c>
      <c r="AH45" s="108">
        <f t="shared" si="1"/>
        <v>0</v>
      </c>
      <c r="AI45" s="108">
        <f t="shared" si="10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18">
        <v>39</v>
      </c>
      <c r="C46" s="19">
        <v>41814</v>
      </c>
      <c r="D46" s="20" t="s">
        <v>24</v>
      </c>
      <c r="E46" s="21" t="s">
        <v>9</v>
      </c>
      <c r="F46" s="30" t="s">
        <v>17</v>
      </c>
      <c r="G46" s="86">
        <v>0</v>
      </c>
      <c r="H46" s="21" t="s">
        <v>9</v>
      </c>
      <c r="I46" s="91">
        <v>3</v>
      </c>
      <c r="J46" s="23">
        <f t="shared" si="5"/>
        <v>2</v>
      </c>
      <c r="K46" s="11">
        <f t="shared" si="6"/>
        <v>0</v>
      </c>
      <c r="L46" s="11">
        <f t="shared" si="7"/>
        <v>3</v>
      </c>
      <c r="O46" s="48" t="s">
        <v>32</v>
      </c>
      <c r="P46" s="49">
        <f>SUMIF($D$8:$D$55,$O46,$G$8:$G$55)+SUMIF($F$8:$F$55,$O46,$I$8:$I$55)</f>
        <v>5</v>
      </c>
      <c r="Q46" s="49">
        <f>SUMIF($D$8:$D$55,$O46,$I$8:$I$55)+SUMIF($F$8:$F$55,$O46,$G$8:$G$55)</f>
        <v>3</v>
      </c>
      <c r="R46" s="49">
        <f>P46-Q46</f>
        <v>2</v>
      </c>
      <c r="S46" s="50">
        <f>SUMIF($D$8:$D$55,$O46,$K$8:$K$55)+SUMIF($F$8:$F$55,$O46,$L$8:$L$55)</f>
        <v>7</v>
      </c>
      <c r="T46" s="95" t="s">
        <v>78</v>
      </c>
      <c r="U46" s="40"/>
      <c r="V46" s="40" t="str">
        <f>O46</f>
        <v>Portugal</v>
      </c>
      <c r="W46" s="40" t="s">
        <v>78</v>
      </c>
      <c r="Y46" s="109">
        <f t="shared" si="8"/>
        <v>5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5</v>
      </c>
      <c r="AG46" s="108">
        <f t="shared" si="0"/>
        <v>0</v>
      </c>
      <c r="AH46" s="108">
        <f t="shared" si="1"/>
        <v>0</v>
      </c>
      <c r="AI46" s="108">
        <f t="shared" si="10"/>
        <v>0</v>
      </c>
      <c r="AJ46" s="108">
        <f t="shared" si="2"/>
        <v>0</v>
      </c>
      <c r="AK46" s="108">
        <f t="shared" si="3"/>
        <v>5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24">
        <v>40</v>
      </c>
      <c r="C47" s="25">
        <v>41814</v>
      </c>
      <c r="D47" s="26" t="s">
        <v>18</v>
      </c>
      <c r="E47" s="27" t="s">
        <v>9</v>
      </c>
      <c r="F47" s="28" t="s">
        <v>23</v>
      </c>
      <c r="G47" s="87">
        <v>1</v>
      </c>
      <c r="H47" s="27" t="s">
        <v>9</v>
      </c>
      <c r="I47" s="92">
        <v>1</v>
      </c>
      <c r="J47" s="29">
        <f t="shared" si="5"/>
        <v>3</v>
      </c>
      <c r="K47" s="11">
        <f t="shared" si="6"/>
        <v>1</v>
      </c>
      <c r="L47" s="11">
        <f t="shared" si="7"/>
        <v>1</v>
      </c>
      <c r="O47" s="48" t="s">
        <v>35</v>
      </c>
      <c r="P47" s="49">
        <f>SUMIF($D$8:$D$55,$O47,$G$8:$G$55)+SUMIF($F$8:$F$55,$O47,$I$8:$I$55)</f>
        <v>2</v>
      </c>
      <c r="Q47" s="49">
        <f>SUMIF($D$8:$D$55,$O47,$I$8:$I$55)+SUMIF($F$8:$F$55,$O47,$G$8:$G$55)</f>
        <v>4</v>
      </c>
      <c r="R47" s="49">
        <f>P47-Q47</f>
        <v>-2</v>
      </c>
      <c r="S47" s="50">
        <f>SUMIF($D$8:$D$55,$O47,$K$8:$K$55)+SUMIF($F$8:$F$55,$O47,$L$8:$L$55)</f>
        <v>3</v>
      </c>
      <c r="T47" s="95" t="s">
        <v>80</v>
      </c>
      <c r="U47" s="40"/>
      <c r="V47" s="40" t="str">
        <f>O47</f>
        <v>Ghana</v>
      </c>
      <c r="W47" s="40" t="s">
        <v>79</v>
      </c>
      <c r="Y47" s="109">
        <f t="shared" si="8"/>
        <v>1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1</v>
      </c>
      <c r="AG47" s="108">
        <f t="shared" si="0"/>
        <v>0</v>
      </c>
      <c r="AH47" s="108">
        <f t="shared" si="1"/>
        <v>1</v>
      </c>
      <c r="AI47" s="108">
        <f t="shared" si="10"/>
        <v>0</v>
      </c>
      <c r="AJ47" s="108">
        <f t="shared" si="2"/>
        <v>0</v>
      </c>
      <c r="AK47" s="108">
        <f t="shared" si="3"/>
        <v>0</v>
      </c>
      <c r="AL47" s="108">
        <f t="shared" si="4"/>
        <v>0</v>
      </c>
      <c r="AM47" s="120">
        <f>AO47</f>
        <v>10</v>
      </c>
      <c r="AN47" s="117" t="s">
        <v>35</v>
      </c>
      <c r="AO47" s="115">
        <f>IF(Uitslag!T47="",0,IF(T47=Uitslag!T47,10,0))</f>
        <v>10</v>
      </c>
    </row>
    <row r="48" spans="2:41" ht="15.75" thickBot="1">
      <c r="B48" s="12">
        <v>41</v>
      </c>
      <c r="C48" s="13">
        <v>41815</v>
      </c>
      <c r="D48" s="14" t="s">
        <v>34</v>
      </c>
      <c r="E48" s="15" t="s">
        <v>9</v>
      </c>
      <c r="F48" s="16" t="s">
        <v>29</v>
      </c>
      <c r="G48" s="85">
        <v>1</v>
      </c>
      <c r="H48" s="15" t="s">
        <v>9</v>
      </c>
      <c r="I48" s="90">
        <v>1</v>
      </c>
      <c r="J48" s="17">
        <f t="shared" si="5"/>
        <v>3</v>
      </c>
      <c r="K48" s="11">
        <f t="shared" si="6"/>
        <v>1</v>
      </c>
      <c r="L48" s="11">
        <f t="shared" si="7"/>
        <v>1</v>
      </c>
      <c r="O48" s="51" t="s">
        <v>36</v>
      </c>
      <c r="P48" s="52">
        <f>SUMIF($D$8:$D$55,$O48,$G$8:$G$55)+SUMIF($F$8:$F$55,$O48,$I$8:$I$55)</f>
        <v>2</v>
      </c>
      <c r="Q48" s="52">
        <f>SUMIF($D$8:$D$55,$O48,$I$8:$I$55)+SUMIF($F$8:$F$55,$O48,$G$8:$G$55)</f>
        <v>5</v>
      </c>
      <c r="R48" s="52">
        <f>P48-Q48</f>
        <v>-3</v>
      </c>
      <c r="S48" s="53">
        <f>SUMIF($D$8:$D$55,$O48,$K$8:$K$55)+SUMIF($F$8:$F$55,$O48,$L$8:$L$55)</f>
        <v>1</v>
      </c>
      <c r="T48" s="96" t="s">
        <v>79</v>
      </c>
      <c r="U48" s="40"/>
      <c r="V48" s="40" t="str">
        <f>O48</f>
        <v>Verenigde Staten</v>
      </c>
      <c r="W48" s="40" t="s">
        <v>80</v>
      </c>
      <c r="Y48" s="109">
        <f t="shared" si="8"/>
        <v>0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0</v>
      </c>
      <c r="AG48" s="108">
        <f t="shared" si="0"/>
        <v>0</v>
      </c>
      <c r="AH48" s="108">
        <f t="shared" si="1"/>
        <v>0</v>
      </c>
      <c r="AI48" s="108">
        <f t="shared" si="10"/>
        <v>0</v>
      </c>
      <c r="AJ48" s="108">
        <f t="shared" si="2"/>
        <v>0</v>
      </c>
      <c r="AK48" s="108">
        <f t="shared" si="3"/>
        <v>0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18">
        <v>42</v>
      </c>
      <c r="C49" s="19">
        <v>41815</v>
      </c>
      <c r="D49" s="20" t="s">
        <v>30</v>
      </c>
      <c r="E49" s="21" t="s">
        <v>9</v>
      </c>
      <c r="F49" s="30" t="s">
        <v>33</v>
      </c>
      <c r="G49" s="86">
        <v>2</v>
      </c>
      <c r="H49" s="21" t="s">
        <v>9</v>
      </c>
      <c r="I49" s="91">
        <v>0</v>
      </c>
      <c r="J49" s="23">
        <f t="shared" si="5"/>
        <v>1</v>
      </c>
      <c r="K49" s="11">
        <f t="shared" si="6"/>
        <v>3</v>
      </c>
      <c r="L49" s="11">
        <f t="shared" si="7"/>
        <v>0</v>
      </c>
      <c r="O49" s="40"/>
      <c r="P49" s="41"/>
      <c r="Q49" s="41"/>
      <c r="R49" s="41"/>
      <c r="S49" s="41"/>
      <c r="T49" s="41"/>
      <c r="U49" s="40"/>
      <c r="V49" s="40"/>
      <c r="W49" s="40"/>
      <c r="Y49" s="109">
        <f t="shared" si="8"/>
        <v>5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5</v>
      </c>
      <c r="AG49" s="108">
        <f t="shared" si="0"/>
        <v>0</v>
      </c>
      <c r="AH49" s="108">
        <f t="shared" si="1"/>
        <v>0</v>
      </c>
      <c r="AI49" s="108">
        <f t="shared" si="10"/>
        <v>0</v>
      </c>
      <c r="AJ49" s="108">
        <f t="shared" si="2"/>
        <v>5</v>
      </c>
      <c r="AK49" s="108">
        <f t="shared" si="3"/>
        <v>0</v>
      </c>
      <c r="AL49" s="108">
        <f t="shared" si="4"/>
        <v>0</v>
      </c>
      <c r="AN49" s="40"/>
      <c r="AO49" s="41"/>
    </row>
    <row r="50" spans="2:54" ht="15.75" thickBot="1">
      <c r="B50" s="18">
        <v>43</v>
      </c>
      <c r="C50" s="19">
        <v>41815</v>
      </c>
      <c r="D50" s="20" t="s">
        <v>28</v>
      </c>
      <c r="E50" s="21" t="s">
        <v>9</v>
      </c>
      <c r="F50" s="30" t="s">
        <v>25</v>
      </c>
      <c r="G50" s="86">
        <v>1</v>
      </c>
      <c r="H50" s="21" t="s">
        <v>9</v>
      </c>
      <c r="I50" s="91">
        <v>1</v>
      </c>
      <c r="J50" s="23">
        <f t="shared" si="5"/>
        <v>3</v>
      </c>
      <c r="K50" s="11">
        <f t="shared" si="6"/>
        <v>1</v>
      </c>
      <c r="L50" s="11">
        <f t="shared" si="7"/>
        <v>1</v>
      </c>
      <c r="O50" s="72" t="s">
        <v>81</v>
      </c>
      <c r="P50" s="73" t="s">
        <v>42</v>
      </c>
      <c r="Q50" s="73" t="s">
        <v>43</v>
      </c>
      <c r="R50" s="74" t="s">
        <v>44</v>
      </c>
      <c r="S50" s="75" t="s">
        <v>45</v>
      </c>
      <c r="T50" s="76" t="s">
        <v>46</v>
      </c>
      <c r="U50" s="40"/>
      <c r="V50" s="40"/>
      <c r="W50" s="40"/>
      <c r="Y50" s="109">
        <f t="shared" si="8"/>
        <v>0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0</v>
      </c>
      <c r="AG50" s="108">
        <f t="shared" si="0"/>
        <v>0</v>
      </c>
      <c r="AH50" s="108">
        <f t="shared" si="1"/>
        <v>0</v>
      </c>
      <c r="AI50" s="108">
        <f t="shared" si="10"/>
        <v>0</v>
      </c>
      <c r="AJ50" s="108">
        <f t="shared" si="2"/>
        <v>0</v>
      </c>
      <c r="AK50" s="108">
        <f t="shared" si="3"/>
        <v>0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24">
        <v>44</v>
      </c>
      <c r="C51" s="25">
        <v>41815</v>
      </c>
      <c r="D51" s="26" t="s">
        <v>26</v>
      </c>
      <c r="E51" s="27" t="s">
        <v>9</v>
      </c>
      <c r="F51" s="28" t="s">
        <v>27</v>
      </c>
      <c r="G51" s="87">
        <v>1</v>
      </c>
      <c r="H51" s="27" t="s">
        <v>9</v>
      </c>
      <c r="I51" s="92">
        <v>0</v>
      </c>
      <c r="J51" s="29">
        <f t="shared" si="5"/>
        <v>1</v>
      </c>
      <c r="K51" s="11">
        <f t="shared" si="6"/>
        <v>3</v>
      </c>
      <c r="L51" s="11">
        <f>IF(I51="","",IF($G51&lt;$I51,3,IF($G51=$I51,1,0)))</f>
        <v>0</v>
      </c>
      <c r="O51" s="44" t="s">
        <v>37</v>
      </c>
      <c r="P51" s="45">
        <f>SUMIF($D$8:$D$55,$O51,$G$8:$G$55)+SUMIF($F$8:$F$55,$O51,$I$8:$I$55)</f>
        <v>4</v>
      </c>
      <c r="Q51" s="45">
        <f>SUMIF($D$8:$D$55,$O51,$I$8:$I$55)+SUMIF($F$8:$F$55,$O51,$G$8:$G$55)</f>
        <v>0</v>
      </c>
      <c r="R51" s="46">
        <f>P51-Q51</f>
        <v>4</v>
      </c>
      <c r="S51" s="47">
        <f>SUMIF($D$8:$D$55,$O51,$K$8:$K$55)+SUMIF($F$8:$F$55,$O51,$L$8:$L$55)</f>
        <v>9</v>
      </c>
      <c r="T51" s="94" t="s">
        <v>82</v>
      </c>
      <c r="U51" s="40"/>
      <c r="V51" s="40" t="str">
        <f>O51</f>
        <v>België</v>
      </c>
      <c r="W51" s="40" t="s">
        <v>82</v>
      </c>
      <c r="Y51" s="109">
        <f t="shared" si="8"/>
        <v>1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1</v>
      </c>
      <c r="AG51" s="108">
        <f t="shared" si="0"/>
        <v>0</v>
      </c>
      <c r="AH51" s="108">
        <f t="shared" si="1"/>
        <v>1</v>
      </c>
      <c r="AI51" s="108">
        <f t="shared" si="10"/>
        <v>0</v>
      </c>
      <c r="AJ51" s="108">
        <f t="shared" si="2"/>
        <v>0</v>
      </c>
      <c r="AK51" s="108">
        <f t="shared" si="3"/>
        <v>0</v>
      </c>
      <c r="AL51" s="108">
        <f t="shared" si="4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18">
        <v>45</v>
      </c>
      <c r="C52" s="19">
        <v>41816</v>
      </c>
      <c r="D52" s="20" t="s">
        <v>36</v>
      </c>
      <c r="E52" s="21" t="s">
        <v>9</v>
      </c>
      <c r="F52" s="30" t="s">
        <v>31</v>
      </c>
      <c r="G52" s="86">
        <v>1</v>
      </c>
      <c r="H52" s="21" t="s">
        <v>9</v>
      </c>
      <c r="I52" s="91">
        <v>3</v>
      </c>
      <c r="J52" s="17">
        <f t="shared" si="5"/>
        <v>2</v>
      </c>
      <c r="K52" s="11">
        <f t="shared" si="6"/>
        <v>0</v>
      </c>
      <c r="L52" s="11">
        <f t="shared" si="7"/>
        <v>3</v>
      </c>
      <c r="O52" s="48" t="s">
        <v>38</v>
      </c>
      <c r="P52" s="49">
        <f>SUMIF($D$8:$D$55,$O52,$G$8:$G$55)+SUMIF($F$8:$F$55,$O52,$I$8:$I$55)</f>
        <v>0</v>
      </c>
      <c r="Q52" s="49">
        <f>SUMIF($D$8:$D$55,$O52,$I$8:$I$55)+SUMIF($F$8:$F$55,$O52,$G$8:$G$55)</f>
        <v>3</v>
      </c>
      <c r="R52" s="49">
        <f>P52-Q52</f>
        <v>-3</v>
      </c>
      <c r="S52" s="50">
        <f>SUMIF($D$8:$D$55,$O52,$K$8:$K$55)+SUMIF($F$8:$F$55,$O52,$L$8:$L$55)</f>
        <v>1</v>
      </c>
      <c r="T52" s="95" t="s">
        <v>85</v>
      </c>
      <c r="U52" s="40"/>
      <c r="V52" s="40" t="str">
        <f>O52</f>
        <v>Algerije</v>
      </c>
      <c r="W52" s="40" t="s">
        <v>83</v>
      </c>
      <c r="Y52" s="109">
        <f t="shared" si="8"/>
        <v>5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5</v>
      </c>
      <c r="AG52" s="108">
        <f t="shared" si="0"/>
        <v>0</v>
      </c>
      <c r="AH52" s="108">
        <f t="shared" si="1"/>
        <v>0</v>
      </c>
      <c r="AI52" s="108">
        <f t="shared" si="10"/>
        <v>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18">
        <v>46</v>
      </c>
      <c r="C53" s="19">
        <v>41816</v>
      </c>
      <c r="D53" s="20" t="s">
        <v>32</v>
      </c>
      <c r="E53" s="21" t="s">
        <v>9</v>
      </c>
      <c r="F53" s="30" t="s">
        <v>35</v>
      </c>
      <c r="G53" s="86">
        <v>2</v>
      </c>
      <c r="H53" s="21" t="s">
        <v>9</v>
      </c>
      <c r="I53" s="91">
        <v>1</v>
      </c>
      <c r="J53" s="23">
        <f t="shared" si="5"/>
        <v>1</v>
      </c>
      <c r="K53" s="11">
        <f t="shared" si="6"/>
        <v>3</v>
      </c>
      <c r="L53" s="11">
        <f t="shared" si="7"/>
        <v>0</v>
      </c>
      <c r="O53" s="48" t="s">
        <v>39</v>
      </c>
      <c r="P53" s="49">
        <f>SUMIF($D$8:$D$55,$O53,$G$8:$G$55)+SUMIF($F$8:$F$55,$O53,$I$8:$I$55)</f>
        <v>4</v>
      </c>
      <c r="Q53" s="49">
        <f>SUMIF($D$8:$D$55,$O53,$I$8:$I$55)+SUMIF($F$8:$F$55,$O53,$G$8:$G$55)</f>
        <v>1</v>
      </c>
      <c r="R53" s="49">
        <f>P53-Q53</f>
        <v>3</v>
      </c>
      <c r="S53" s="50">
        <f>SUMIF($D$8:$D$55,$O53,$K$8:$K$55)+SUMIF($F$8:$F$55,$O53,$L$8:$L$55)</f>
        <v>6</v>
      </c>
      <c r="T53" s="95" t="s">
        <v>83</v>
      </c>
      <c r="U53" s="40"/>
      <c r="V53" s="40" t="str">
        <f>O53</f>
        <v>Rusland</v>
      </c>
      <c r="W53" s="40" t="s">
        <v>84</v>
      </c>
      <c r="Y53" s="109">
        <f t="shared" si="8"/>
        <v>10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10</v>
      </c>
      <c r="AG53" s="108">
        <f t="shared" si="0"/>
        <v>1</v>
      </c>
      <c r="AH53" s="108">
        <f t="shared" si="1"/>
        <v>1</v>
      </c>
      <c r="AI53" s="108">
        <f t="shared" si="10"/>
        <v>10</v>
      </c>
      <c r="AJ53" s="108">
        <f t="shared" si="2"/>
        <v>5</v>
      </c>
      <c r="AK53" s="108">
        <f t="shared" si="3"/>
        <v>0</v>
      </c>
      <c r="AL53" s="108">
        <f t="shared" si="4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18">
        <v>47</v>
      </c>
      <c r="C54" s="19">
        <v>41816</v>
      </c>
      <c r="D54" s="20" t="s">
        <v>40</v>
      </c>
      <c r="E54" s="21" t="s">
        <v>9</v>
      </c>
      <c r="F54" s="30" t="s">
        <v>37</v>
      </c>
      <c r="G54" s="86">
        <v>0</v>
      </c>
      <c r="H54" s="21" t="s">
        <v>9</v>
      </c>
      <c r="I54" s="91">
        <v>2</v>
      </c>
      <c r="J54" s="23">
        <f t="shared" si="5"/>
        <v>2</v>
      </c>
      <c r="K54" s="11">
        <f t="shared" si="6"/>
        <v>0</v>
      </c>
      <c r="L54" s="11">
        <f t="shared" si="7"/>
        <v>3</v>
      </c>
      <c r="O54" s="51" t="s">
        <v>40</v>
      </c>
      <c r="P54" s="52">
        <f>SUMIF($D$8:$D$55,$O54,$G$8:$G$55)+SUMIF($F$8:$F$55,$O54,$I$8:$I$55)</f>
        <v>0</v>
      </c>
      <c r="Q54" s="52">
        <f>SUMIF($D$8:$D$55,$O54,$I$8:$I$55)+SUMIF($F$8:$F$55,$O54,$G$8:$G$55)</f>
        <v>4</v>
      </c>
      <c r="R54" s="52">
        <f>P54-Q54</f>
        <v>-4</v>
      </c>
      <c r="S54" s="53">
        <f>SUMIF($D$8:$D$55,$O54,$K$8:$K$55)+SUMIF($F$8:$F$55,$O54,$L$8:$L$55)</f>
        <v>1</v>
      </c>
      <c r="T54" s="96" t="s">
        <v>84</v>
      </c>
      <c r="U54" s="40"/>
      <c r="V54" s="40" t="str">
        <f>O54</f>
        <v>Zuid Korea</v>
      </c>
      <c r="W54" s="40" t="s">
        <v>85</v>
      </c>
      <c r="Y54" s="109">
        <f t="shared" si="8"/>
        <v>6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6</v>
      </c>
      <c r="AG54" s="108">
        <f t="shared" si="0"/>
        <v>1</v>
      </c>
      <c r="AH54" s="108">
        <f t="shared" si="1"/>
        <v>0</v>
      </c>
      <c r="AI54" s="108">
        <f t="shared" si="10"/>
        <v>0</v>
      </c>
      <c r="AJ54" s="108">
        <f t="shared" si="2"/>
        <v>0</v>
      </c>
      <c r="AK54" s="108">
        <f t="shared" si="3"/>
        <v>5</v>
      </c>
      <c r="AL54" s="108">
        <f t="shared" si="4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3">
        <v>48</v>
      </c>
      <c r="C55" s="34">
        <v>41816</v>
      </c>
      <c r="D55" s="35" t="s">
        <v>38</v>
      </c>
      <c r="E55" s="36" t="s">
        <v>9</v>
      </c>
      <c r="F55" s="37" t="s">
        <v>39</v>
      </c>
      <c r="G55" s="88">
        <v>0</v>
      </c>
      <c r="H55" s="36" t="s">
        <v>9</v>
      </c>
      <c r="I55" s="93">
        <v>2</v>
      </c>
      <c r="J55" s="38">
        <f t="shared" si="5"/>
        <v>2</v>
      </c>
      <c r="K55" s="11">
        <f t="shared" si="6"/>
        <v>0</v>
      </c>
      <c r="L55" s="11">
        <f t="shared" si="7"/>
        <v>3</v>
      </c>
      <c r="O55" s="40"/>
      <c r="P55" s="41"/>
      <c r="Q55" s="41"/>
      <c r="R55" s="41"/>
      <c r="S55" s="41"/>
      <c r="T55" s="41"/>
      <c r="U55" s="40"/>
      <c r="V55" s="40"/>
      <c r="W55" s="40"/>
      <c r="Y55" s="109">
        <f t="shared" si="8"/>
        <v>0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0</v>
      </c>
      <c r="AG55" s="108">
        <f t="shared" si="0"/>
        <v>0</v>
      </c>
      <c r="AH55" s="108">
        <f t="shared" si="1"/>
        <v>0</v>
      </c>
      <c r="AI55" s="108">
        <f t="shared" si="10"/>
        <v>0</v>
      </c>
      <c r="AJ55" s="108">
        <f t="shared" si="2"/>
        <v>0</v>
      </c>
      <c r="AK55" s="108">
        <f t="shared" si="3"/>
        <v>0</v>
      </c>
      <c r="AL55" s="108">
        <f t="shared" si="4"/>
        <v>0</v>
      </c>
    </row>
    <row r="56" spans="2:54" ht="15.75" thickBot="1">
      <c r="B56" s="1"/>
      <c r="C56" s="39"/>
      <c r="D56" s="40"/>
      <c r="E56" s="1"/>
      <c r="F56" s="40"/>
      <c r="G56" s="1"/>
      <c r="H56" s="1"/>
      <c r="I56" s="1"/>
      <c r="J56" s="1"/>
      <c r="K56" s="1"/>
      <c r="L56" s="1"/>
      <c r="M56" s="1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195"/>
      <c r="K57" s="1"/>
      <c r="L57" s="1"/>
      <c r="M57" s="1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78" t="s">
        <v>1</v>
      </c>
      <c r="C58" s="79" t="s">
        <v>2</v>
      </c>
      <c r="D58" s="187" t="s">
        <v>3</v>
      </c>
      <c r="E58" s="81"/>
      <c r="F58" s="194" t="s">
        <v>4</v>
      </c>
      <c r="G58" s="867" t="s">
        <v>5</v>
      </c>
      <c r="H58" s="868"/>
      <c r="I58" s="869"/>
      <c r="J58" s="83" t="s">
        <v>6</v>
      </c>
      <c r="K58" s="1"/>
      <c r="L58" s="1"/>
      <c r="M58" s="1"/>
      <c r="O58" s="135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12">
        <v>49</v>
      </c>
      <c r="C59" s="189">
        <v>41818</v>
      </c>
      <c r="D59" s="153" t="str">
        <f>IF(ISERROR(Z59),K59,Z59)</f>
        <v>Brazilië</v>
      </c>
      <c r="E59" s="15" t="s">
        <v>9</v>
      </c>
      <c r="F59" s="56" t="str">
        <f>IF(ISERROR(AA59),L59,AA59)</f>
        <v>Nederland</v>
      </c>
      <c r="G59" s="85">
        <v>3</v>
      </c>
      <c r="H59" s="15" t="s">
        <v>9</v>
      </c>
      <c r="I59" s="97">
        <v>1</v>
      </c>
      <c r="J59" s="98">
        <v>1</v>
      </c>
      <c r="K59" s="57" t="s">
        <v>48</v>
      </c>
      <c r="L59" s="57" t="s">
        <v>53</v>
      </c>
      <c r="M59" s="57">
        <v>1</v>
      </c>
      <c r="O59" s="135">
        <v>2</v>
      </c>
      <c r="P59" s="877" t="s">
        <v>209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3">AF59</f>
        <v>1</v>
      </c>
      <c r="Z59" t="str">
        <f t="shared" ref="Z59:AA65" si="14">IF(K59=""," ",VLOOKUP(K59,$T$9:$V$54,3,FALSE))</f>
        <v>Brazilië</v>
      </c>
      <c r="AA59" t="str">
        <f t="shared" si="14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1</v>
      </c>
      <c r="AG59" s="108">
        <f t="shared" ref="AG59:AG66" si="16">IF(AC59="",0,(IF(G59=AC59,1,0)))</f>
        <v>0</v>
      </c>
      <c r="AH59" s="108">
        <f t="shared" ref="AH59:AH66" si="17">IF(AD59="",0,(IF(I59=AD59,1,0)))</f>
        <v>1</v>
      </c>
      <c r="AI59" s="108">
        <f t="shared" ref="AI59:AI66" si="18">IF(AND(AG59=1,AH59=1),10,0)</f>
        <v>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24">
        <v>50</v>
      </c>
      <c r="C60" s="190">
        <v>41818</v>
      </c>
      <c r="D60" s="154" t="str">
        <f t="shared" ref="D60:D66" si="23">IF(ISERROR(Z60),K60,Z60)</f>
        <v>Colombia</v>
      </c>
      <c r="E60" s="27" t="s">
        <v>9</v>
      </c>
      <c r="F60" s="59" t="str">
        <f t="shared" ref="F60:F66" si="24">IF(ISERROR(AA60),L60,AA60)</f>
        <v>Italië</v>
      </c>
      <c r="G60" s="87">
        <v>1</v>
      </c>
      <c r="H60" s="27" t="s">
        <v>9</v>
      </c>
      <c r="I60" s="99">
        <v>2</v>
      </c>
      <c r="J60" s="100">
        <v>2</v>
      </c>
      <c r="K60" s="57" t="s">
        <v>57</v>
      </c>
      <c r="L60" s="57" t="s">
        <v>63</v>
      </c>
      <c r="M60" s="57">
        <v>2</v>
      </c>
      <c r="O60" s="135">
        <v>3</v>
      </c>
      <c r="P60" s="877" t="s">
        <v>225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3"/>
        <v>0</v>
      </c>
      <c r="Z60" t="str">
        <f t="shared" si="14"/>
        <v>Colombia</v>
      </c>
      <c r="AA60" t="str">
        <f t="shared" si="14"/>
        <v>Italië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0</v>
      </c>
      <c r="AG60" s="108">
        <f t="shared" si="16"/>
        <v>0</v>
      </c>
      <c r="AH60" s="108">
        <f t="shared" si="17"/>
        <v>0</v>
      </c>
      <c r="AI60" s="108">
        <f t="shared" si="18"/>
        <v>0</v>
      </c>
      <c r="AJ60" s="108">
        <f t="shared" si="19"/>
        <v>0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2"/>
        <v>3</v>
      </c>
    </row>
    <row r="61" spans="2:54">
      <c r="B61" s="12">
        <v>51</v>
      </c>
      <c r="C61" s="189">
        <v>41819</v>
      </c>
      <c r="D61" s="188" t="str">
        <f t="shared" si="23"/>
        <v>Spanje</v>
      </c>
      <c r="E61" s="15" t="s">
        <v>9</v>
      </c>
      <c r="F61" s="56" t="str">
        <f t="shared" si="24"/>
        <v>Kroatië</v>
      </c>
      <c r="G61" s="85">
        <v>2</v>
      </c>
      <c r="H61" s="15" t="s">
        <v>9</v>
      </c>
      <c r="I61" s="97">
        <v>1</v>
      </c>
      <c r="J61" s="98">
        <v>1</v>
      </c>
      <c r="K61" s="57" t="s">
        <v>52</v>
      </c>
      <c r="L61" s="57" t="s">
        <v>49</v>
      </c>
      <c r="M61" s="57"/>
      <c r="O61" s="135">
        <v>4</v>
      </c>
      <c r="P61" s="877" t="s">
        <v>211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3"/>
        <v>10</v>
      </c>
      <c r="Z61" t="str">
        <f t="shared" si="14"/>
        <v>Spanje</v>
      </c>
      <c r="AA61" t="str">
        <f t="shared" si="14"/>
        <v>Kroatië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10</v>
      </c>
      <c r="AG61" s="108">
        <f t="shared" si="16"/>
        <v>1</v>
      </c>
      <c r="AH61" s="108">
        <f t="shared" si="17"/>
        <v>1</v>
      </c>
      <c r="AI61" s="108">
        <f t="shared" si="18"/>
        <v>10</v>
      </c>
      <c r="AJ61" s="108">
        <f t="shared" si="19"/>
        <v>5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3</v>
      </c>
      <c r="BB61" s="139">
        <f t="shared" si="22"/>
        <v>3</v>
      </c>
    </row>
    <row r="62" spans="2:54">
      <c r="B62" s="24">
        <v>52</v>
      </c>
      <c r="C62" s="190">
        <v>41819</v>
      </c>
      <c r="D62" s="188" t="str">
        <f t="shared" si="23"/>
        <v>Uruguay</v>
      </c>
      <c r="E62" s="27" t="s">
        <v>9</v>
      </c>
      <c r="F62" s="59" t="str">
        <f t="shared" si="24"/>
        <v>Griekenland</v>
      </c>
      <c r="G62" s="87">
        <v>3</v>
      </c>
      <c r="H62" s="27" t="s">
        <v>9</v>
      </c>
      <c r="I62" s="99">
        <v>0</v>
      </c>
      <c r="J62" s="100">
        <v>1</v>
      </c>
      <c r="K62" s="57" t="s">
        <v>62</v>
      </c>
      <c r="L62" s="57" t="s">
        <v>58</v>
      </c>
      <c r="M62" s="57"/>
      <c r="O62" s="135">
        <v>5</v>
      </c>
      <c r="P62" s="877" t="s">
        <v>212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3"/>
        <v>0</v>
      </c>
      <c r="Z62" t="str">
        <f t="shared" si="14"/>
        <v>Uruguay</v>
      </c>
      <c r="AA62" t="str">
        <f t="shared" si="14"/>
        <v>Griekenland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0</v>
      </c>
      <c r="AG62" s="108">
        <f t="shared" si="16"/>
        <v>0</v>
      </c>
      <c r="AH62" s="108">
        <f t="shared" si="17"/>
        <v>0</v>
      </c>
      <c r="AI62" s="108">
        <f t="shared" si="18"/>
        <v>0</v>
      </c>
      <c r="AJ62" s="108">
        <f t="shared" si="19"/>
        <v>0</v>
      </c>
      <c r="AK62" s="108">
        <f t="shared" si="20"/>
        <v>0</v>
      </c>
      <c r="AL62" s="108">
        <f t="shared" si="21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2"/>
        <v>3</v>
      </c>
    </row>
    <row r="63" spans="2:54">
      <c r="B63" s="12">
        <v>53</v>
      </c>
      <c r="C63" s="189">
        <v>41820</v>
      </c>
      <c r="D63" s="153" t="str">
        <f t="shared" si="23"/>
        <v>Frankrijk</v>
      </c>
      <c r="E63" s="15" t="s">
        <v>9</v>
      </c>
      <c r="F63" s="56" t="str">
        <f t="shared" si="24"/>
        <v>Nigeria</v>
      </c>
      <c r="G63" s="85">
        <v>2</v>
      </c>
      <c r="H63" s="15" t="s">
        <v>9</v>
      </c>
      <c r="I63" s="97">
        <v>0</v>
      </c>
      <c r="J63" s="98">
        <v>1</v>
      </c>
      <c r="K63" s="57" t="s">
        <v>67</v>
      </c>
      <c r="L63" s="57" t="s">
        <v>73</v>
      </c>
      <c r="M63" s="57"/>
      <c r="O63" s="135">
        <v>6</v>
      </c>
      <c r="P63" s="877" t="s">
        <v>226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3"/>
        <v>10</v>
      </c>
      <c r="Z63" t="str">
        <f t="shared" si="14"/>
        <v>Frankrijk</v>
      </c>
      <c r="AA63" t="str">
        <f t="shared" si="14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10</v>
      </c>
      <c r="AG63" s="108">
        <f t="shared" si="16"/>
        <v>1</v>
      </c>
      <c r="AH63" s="108">
        <f t="shared" si="17"/>
        <v>1</v>
      </c>
      <c r="AI63" s="108">
        <f t="shared" si="18"/>
        <v>10</v>
      </c>
      <c r="AJ63" s="108">
        <f t="shared" si="19"/>
        <v>5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3</v>
      </c>
      <c r="BB63" s="139">
        <f t="shared" si="22"/>
        <v>3</v>
      </c>
    </row>
    <row r="64" spans="2:54">
      <c r="B64" s="24">
        <v>54</v>
      </c>
      <c r="C64" s="190">
        <v>41820</v>
      </c>
      <c r="D64" s="154" t="str">
        <f t="shared" si="23"/>
        <v>Duitsland</v>
      </c>
      <c r="E64" s="27" t="s">
        <v>9</v>
      </c>
      <c r="F64" s="59" t="str">
        <f t="shared" si="24"/>
        <v>Rusland</v>
      </c>
      <c r="G64" s="87">
        <v>2</v>
      </c>
      <c r="H64" s="27" t="s">
        <v>9</v>
      </c>
      <c r="I64" s="99">
        <v>0</v>
      </c>
      <c r="J64" s="100">
        <v>1</v>
      </c>
      <c r="K64" s="57" t="s">
        <v>77</v>
      </c>
      <c r="L64" s="57" t="s">
        <v>83</v>
      </c>
      <c r="M64" s="57"/>
      <c r="O64" s="135">
        <v>7</v>
      </c>
      <c r="P64" s="877" t="s">
        <v>220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3"/>
        <v>1</v>
      </c>
      <c r="Z64" t="str">
        <f t="shared" si="14"/>
        <v>Duitsland</v>
      </c>
      <c r="AA64" t="str">
        <f t="shared" si="14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1</v>
      </c>
      <c r="AG64" s="108">
        <f t="shared" si="16"/>
        <v>0</v>
      </c>
      <c r="AH64" s="108">
        <f t="shared" si="17"/>
        <v>1</v>
      </c>
      <c r="AI64" s="108">
        <f t="shared" si="18"/>
        <v>0</v>
      </c>
      <c r="AJ64" s="108">
        <f t="shared" si="19"/>
        <v>0</v>
      </c>
      <c r="AK64" s="108">
        <f t="shared" si="20"/>
        <v>0</v>
      </c>
      <c r="AL64" s="108">
        <f t="shared" si="21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2"/>
        <v>3</v>
      </c>
    </row>
    <row r="65" spans="2:54">
      <c r="B65" s="18">
        <v>55</v>
      </c>
      <c r="C65" s="191">
        <v>41821</v>
      </c>
      <c r="D65" s="153" t="str">
        <f t="shared" si="23"/>
        <v>Argentinië</v>
      </c>
      <c r="E65" s="21" t="s">
        <v>9</v>
      </c>
      <c r="F65" s="60" t="str">
        <f t="shared" si="24"/>
        <v>Zwitserland</v>
      </c>
      <c r="G65" s="86">
        <v>3</v>
      </c>
      <c r="H65" s="21" t="s">
        <v>9</v>
      </c>
      <c r="I65" s="101">
        <v>0</v>
      </c>
      <c r="J65" s="102">
        <v>1</v>
      </c>
      <c r="K65" s="57" t="s">
        <v>72</v>
      </c>
      <c r="L65" s="57" t="s">
        <v>68</v>
      </c>
      <c r="M65" s="57"/>
      <c r="O65" s="135">
        <v>8</v>
      </c>
      <c r="P65" s="877" t="s">
        <v>213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3"/>
        <v>1</v>
      </c>
      <c r="Z65" t="str">
        <f t="shared" si="14"/>
        <v>Argentinië</v>
      </c>
      <c r="AA65" t="str">
        <f t="shared" si="14"/>
        <v>Zwitserland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1</v>
      </c>
      <c r="AG65" s="108">
        <f t="shared" si="16"/>
        <v>0</v>
      </c>
      <c r="AH65" s="108">
        <f t="shared" si="17"/>
        <v>1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2"/>
        <v>3</v>
      </c>
    </row>
    <row r="66" spans="2:54" ht="15.75" thickBot="1">
      <c r="B66" s="33">
        <v>56</v>
      </c>
      <c r="C66" s="186">
        <v>41821</v>
      </c>
      <c r="D66" s="155" t="str">
        <f t="shared" si="23"/>
        <v>België</v>
      </c>
      <c r="E66" s="36" t="s">
        <v>9</v>
      </c>
      <c r="F66" s="62" t="str">
        <f t="shared" si="24"/>
        <v>Portugal</v>
      </c>
      <c r="G66" s="88">
        <v>2</v>
      </c>
      <c r="H66" s="36" t="s">
        <v>9</v>
      </c>
      <c r="I66" s="103">
        <v>1</v>
      </c>
      <c r="J66" s="104">
        <v>1</v>
      </c>
      <c r="K66" s="57" t="s">
        <v>82</v>
      </c>
      <c r="L66" s="57" t="s">
        <v>78</v>
      </c>
      <c r="M66" s="57"/>
      <c r="O66" s="135">
        <v>9</v>
      </c>
      <c r="P66" s="877" t="s">
        <v>216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3"/>
        <v>0</v>
      </c>
      <c r="Z66" t="str">
        <f>IF(K66=""," ",VLOOKUP(K66,$T$9:$V$54,3,FALSE))</f>
        <v>België</v>
      </c>
      <c r="AA66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0</v>
      </c>
      <c r="AG66" s="108">
        <f t="shared" si="16"/>
        <v>0</v>
      </c>
      <c r="AH66" s="108">
        <f t="shared" si="17"/>
        <v>0</v>
      </c>
      <c r="AI66" s="108">
        <f t="shared" si="18"/>
        <v>0</v>
      </c>
      <c r="AJ66" s="108">
        <f t="shared" si="19"/>
        <v>0</v>
      </c>
      <c r="AK66" s="108">
        <f t="shared" si="20"/>
        <v>0</v>
      </c>
      <c r="AL66" s="108">
        <f t="shared" si="21"/>
        <v>0</v>
      </c>
      <c r="AZ66" s="138" t="str">
        <f>Uitslag!P66</f>
        <v>Jonathan de Guzman (m)</v>
      </c>
      <c r="BA66" s="140">
        <f t="shared" si="12"/>
        <v>3</v>
      </c>
      <c r="BB66" s="139">
        <f t="shared" si="22"/>
        <v>3</v>
      </c>
    </row>
    <row r="67" spans="2:54" ht="15.75" thickBot="1">
      <c r="B67" s="1"/>
      <c r="C67" s="39"/>
      <c r="D67" s="40"/>
      <c r="E67" s="1"/>
      <c r="F67" s="40"/>
      <c r="G67" s="1"/>
      <c r="H67" s="1"/>
      <c r="I67" s="1"/>
      <c r="J67" s="1"/>
      <c r="K67" s="1"/>
      <c r="L67" s="1"/>
      <c r="M67" s="1"/>
      <c r="O67" s="135">
        <v>10</v>
      </c>
      <c r="P67" s="877" t="s">
        <v>215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2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195"/>
      <c r="K68" s="1"/>
      <c r="L68" s="1"/>
      <c r="M68" s="1"/>
      <c r="O68" s="135">
        <v>11</v>
      </c>
      <c r="P68" s="877" t="s">
        <v>214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2"/>
        <v>3</v>
      </c>
    </row>
    <row r="69" spans="2:54">
      <c r="B69" s="78" t="s">
        <v>1</v>
      </c>
      <c r="C69" s="79" t="s">
        <v>2</v>
      </c>
      <c r="D69" s="193" t="s">
        <v>3</v>
      </c>
      <c r="E69" s="81"/>
      <c r="F69" s="194" t="s">
        <v>4</v>
      </c>
      <c r="G69" s="867" t="s">
        <v>5</v>
      </c>
      <c r="H69" s="868"/>
      <c r="I69" s="869"/>
      <c r="J69" s="83" t="s">
        <v>6</v>
      </c>
      <c r="K69" s="1"/>
      <c r="L69" s="1"/>
      <c r="M69" s="1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33</v>
      </c>
      <c r="BB69" s="139">
        <f>IF(AND(BA69&lt;&gt;"",BA69=33),15,"nvt")</f>
        <v>15</v>
      </c>
    </row>
    <row r="70" spans="2:54">
      <c r="B70" s="12">
        <v>57</v>
      </c>
      <c r="C70" s="13">
        <v>41824</v>
      </c>
      <c r="D70" s="55" t="str">
        <f>IF(J63="","Winnaar 53",IF(J63=1,D63,F63))</f>
        <v>Frankrijk</v>
      </c>
      <c r="E70" s="15" t="s">
        <v>9</v>
      </c>
      <c r="F70" s="56" t="str">
        <f>IF(J64="","Winnaar 54",IF(J64=1,D64,F64))</f>
        <v>Duitsland</v>
      </c>
      <c r="G70" s="85">
        <v>0</v>
      </c>
      <c r="H70" s="15" t="s">
        <v>9</v>
      </c>
      <c r="I70" s="97">
        <v>2</v>
      </c>
      <c r="J70" s="98">
        <v>2</v>
      </c>
      <c r="K70" s="1"/>
      <c r="L70" s="1"/>
      <c r="M70" s="1"/>
      <c r="V70" t="s">
        <v>133</v>
      </c>
      <c r="W70" t="s">
        <v>126</v>
      </c>
      <c r="X70" t="str">
        <f t="shared" si="11"/>
        <v>Karim Rekik (v)</v>
      </c>
      <c r="Y70" s="109">
        <f>AF70</f>
        <v>6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6</v>
      </c>
      <c r="AG70" s="108">
        <f>IF(AC70="",0,(IF(G70=AC70,1,0)))</f>
        <v>1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24">
        <v>58</v>
      </c>
      <c r="C71" s="25">
        <v>41824</v>
      </c>
      <c r="D71" s="58" t="str">
        <f>IF(J59="","Winnaar 49",IF(J59=1,D59,F59))</f>
        <v>Brazilië</v>
      </c>
      <c r="E71" s="27" t="s">
        <v>9</v>
      </c>
      <c r="F71" s="59" t="str">
        <f>IF(J60="","Winnaar 50",IF(J60=1,D60,F60))</f>
        <v>Italië</v>
      </c>
      <c r="G71" s="87">
        <v>1</v>
      </c>
      <c r="H71" s="27" t="s">
        <v>9</v>
      </c>
      <c r="I71" s="99">
        <v>2</v>
      </c>
      <c r="J71" s="100">
        <v>2</v>
      </c>
      <c r="K71" s="1"/>
      <c r="L71" s="1"/>
      <c r="M71" s="1"/>
      <c r="V71" t="s">
        <v>133</v>
      </c>
      <c r="W71" t="s">
        <v>194</v>
      </c>
      <c r="X71" t="str">
        <f t="shared" si="11"/>
        <v>Ron Vlaar (v)</v>
      </c>
      <c r="Y71" s="109">
        <f>AF71</f>
        <v>0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0</v>
      </c>
      <c r="AG71" s="108">
        <f>IF(AC71="",0,(IF(G71=AC71,1,0)))</f>
        <v>0</v>
      </c>
      <c r="AH71" s="108">
        <f>IF(AD71="",0,(IF(I71=AD71,1,0)))</f>
        <v>0</v>
      </c>
      <c r="AI71" s="108">
        <f>IF(AND(AG71=1,AH71=1),10,0)</f>
        <v>0</v>
      </c>
      <c r="AJ71" s="108">
        <f>IF(AND(G71&gt;I71,AC71&gt;AD71),5,0)</f>
        <v>0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12">
        <v>59</v>
      </c>
      <c r="C72" s="13">
        <v>41825</v>
      </c>
      <c r="D72" s="55" t="str">
        <f>IF(J65="","Winnaar 55",IF(J65=1,D65,F65))</f>
        <v>Argentinië</v>
      </c>
      <c r="E72" s="15" t="s">
        <v>9</v>
      </c>
      <c r="F72" s="56" t="str">
        <f>IF(J66="","Winnaar 56",IF(J66=1,D66,F66))</f>
        <v>België</v>
      </c>
      <c r="G72" s="85">
        <v>1</v>
      </c>
      <c r="H72" s="15" t="s">
        <v>9</v>
      </c>
      <c r="I72" s="97">
        <v>1</v>
      </c>
      <c r="J72" s="98">
        <v>2</v>
      </c>
      <c r="K72" s="1"/>
      <c r="L72" s="1"/>
      <c r="M72" s="1"/>
      <c r="V72" t="s">
        <v>133</v>
      </c>
      <c r="W72" t="s">
        <v>195</v>
      </c>
      <c r="X72" t="str">
        <f t="shared" si="11"/>
        <v>John Heitinga (v)</v>
      </c>
      <c r="Y72" s="109">
        <f>AF72</f>
        <v>1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1</v>
      </c>
      <c r="AG72" s="108">
        <f>IF(AC72="",0,(IF(G72=AC72,1,0)))</f>
        <v>1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0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3">
        <v>60</v>
      </c>
      <c r="C73" s="34">
        <v>41825</v>
      </c>
      <c r="D73" s="61" t="str">
        <f>IF(J61="","Winnaar 51",IF(J61=1,D61,F61))</f>
        <v>Spanje</v>
      </c>
      <c r="E73" s="36" t="s">
        <v>9</v>
      </c>
      <c r="F73" s="62" t="str">
        <f>IF(J62="","Winnaar 52",IF(J62=1,D62,F62))</f>
        <v>Uruguay</v>
      </c>
      <c r="G73" s="88">
        <v>2</v>
      </c>
      <c r="H73" s="36" t="s">
        <v>9</v>
      </c>
      <c r="I73" s="103">
        <v>1</v>
      </c>
      <c r="J73" s="104">
        <v>1</v>
      </c>
      <c r="K73" s="1"/>
      <c r="L73" s="1"/>
      <c r="M73" s="1"/>
      <c r="V73" t="s">
        <v>133</v>
      </c>
      <c r="W73" t="s">
        <v>196</v>
      </c>
      <c r="X73" t="str">
        <f t="shared" si="11"/>
        <v>Urby Emanuelson (v)</v>
      </c>
      <c r="Y73" s="109">
        <f>AF73</f>
        <v>0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0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1"/>
      <c r="C74" s="39"/>
      <c r="D74" s="40"/>
      <c r="E74" s="1"/>
      <c r="F74" s="40"/>
      <c r="G74" s="1"/>
      <c r="H74" s="1"/>
      <c r="I74" s="1"/>
      <c r="J74" s="1"/>
      <c r="K74" s="1"/>
      <c r="L74" s="1"/>
      <c r="M74" s="1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195"/>
      <c r="K75" s="1"/>
      <c r="L75" s="1"/>
      <c r="M75" s="1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78" t="s">
        <v>1</v>
      </c>
      <c r="C76" s="79" t="s">
        <v>2</v>
      </c>
      <c r="D76" s="193" t="s">
        <v>3</v>
      </c>
      <c r="E76" s="81"/>
      <c r="F76" s="194" t="s">
        <v>4</v>
      </c>
      <c r="G76" s="867" t="s">
        <v>5</v>
      </c>
      <c r="H76" s="868"/>
      <c r="I76" s="869"/>
      <c r="J76" s="83" t="s">
        <v>6</v>
      </c>
      <c r="K76" s="1"/>
      <c r="L76" s="1"/>
      <c r="M76" s="1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12">
        <v>61</v>
      </c>
      <c r="C77" s="13">
        <v>41828</v>
      </c>
      <c r="D77" s="55" t="str">
        <f>IF(J70="","Winnaar 57",IF(J70=1,D70,F70))</f>
        <v>Duitsland</v>
      </c>
      <c r="E77" s="15" t="s">
        <v>9</v>
      </c>
      <c r="F77" s="56" t="str">
        <f>IF(J71="","Winnaar 58",IF(J71=1,D71,F71))</f>
        <v>Italië</v>
      </c>
      <c r="G77" s="85">
        <v>1</v>
      </c>
      <c r="H77" s="15" t="s">
        <v>9</v>
      </c>
      <c r="I77" s="97">
        <v>1</v>
      </c>
      <c r="J77" s="98">
        <v>1</v>
      </c>
      <c r="K77" s="1"/>
      <c r="L77" s="1"/>
      <c r="M77" s="1"/>
      <c r="V77" t="s">
        <v>134</v>
      </c>
      <c r="W77" t="s">
        <v>203</v>
      </c>
      <c r="X77" t="str">
        <f t="shared" si="11"/>
        <v>Marco van Ginkel (m)</v>
      </c>
      <c r="Y77" s="109">
        <f>AF77</f>
        <v>1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1</v>
      </c>
      <c r="AG77" s="108">
        <f>IF(AC77="",0,(IF(G77=AC77,1,0)))</f>
        <v>0</v>
      </c>
      <c r="AH77" s="108">
        <f>IF(AD77="",0,(IF(I77=AD77,1,0)))</f>
        <v>1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3">
        <v>62</v>
      </c>
      <c r="C78" s="34">
        <v>41829</v>
      </c>
      <c r="D78" s="61" t="str">
        <f>IF(J72="","Winnaar 59",IF(J72=1,D72,F72))</f>
        <v>België</v>
      </c>
      <c r="E78" s="36" t="s">
        <v>9</v>
      </c>
      <c r="F78" s="62" t="str">
        <f>IF(J73="","Winnaar 60",IF(J73=1,D73,F73))</f>
        <v>Spanje</v>
      </c>
      <c r="G78" s="88">
        <v>0</v>
      </c>
      <c r="H78" s="36" t="s">
        <v>9</v>
      </c>
      <c r="I78" s="103">
        <v>1</v>
      </c>
      <c r="J78" s="104">
        <v>2</v>
      </c>
      <c r="K78" s="1"/>
      <c r="L78" s="1"/>
      <c r="M78" s="1"/>
      <c r="V78" t="s">
        <v>134</v>
      </c>
      <c r="W78" t="s">
        <v>199</v>
      </c>
      <c r="X78" t="str">
        <f t="shared" si="11"/>
        <v>Leroy Fer (m)</v>
      </c>
      <c r="Y78" s="109">
        <f>AF78</f>
        <v>1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1</v>
      </c>
      <c r="AG78" s="108">
        <f>IF(AC78="",0,(IF(G78=AC78,1,0)))</f>
        <v>1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1"/>
      <c r="C79" s="39"/>
      <c r="D79" s="40"/>
      <c r="E79" s="1"/>
      <c r="F79" s="40"/>
      <c r="G79" s="1"/>
      <c r="H79" s="1"/>
      <c r="I79" s="1"/>
      <c r="J79" s="1"/>
      <c r="K79" s="1"/>
      <c r="L79" s="1"/>
      <c r="M79" s="1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195"/>
      <c r="K80" s="1"/>
      <c r="L80" s="1"/>
      <c r="M80" s="1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78" t="s">
        <v>1</v>
      </c>
      <c r="C81" s="79" t="s">
        <v>2</v>
      </c>
      <c r="D81" s="193" t="s">
        <v>3</v>
      </c>
      <c r="E81" s="81"/>
      <c r="F81" s="194" t="s">
        <v>4</v>
      </c>
      <c r="G81" s="867" t="s">
        <v>5</v>
      </c>
      <c r="H81" s="868"/>
      <c r="I81" s="869"/>
      <c r="J81" s="83" t="s">
        <v>6</v>
      </c>
      <c r="K81" s="1"/>
      <c r="L81" s="1"/>
      <c r="M81" s="1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2">
        <v>63</v>
      </c>
      <c r="C82" s="63">
        <v>41832</v>
      </c>
      <c r="D82" s="64" t="str">
        <f>IF(J77="","Verliezer 61",IF(J77=1,F77,D77))</f>
        <v>Italië</v>
      </c>
      <c r="E82" s="3" t="s">
        <v>9</v>
      </c>
      <c r="F82" s="65" t="str">
        <f>IF(J78="","Verliezer 62",IF(J78=1,F78,D78))</f>
        <v>België</v>
      </c>
      <c r="G82" s="105">
        <v>0</v>
      </c>
      <c r="H82" s="3" t="s">
        <v>9</v>
      </c>
      <c r="I82" s="106">
        <v>1</v>
      </c>
      <c r="J82" s="107">
        <v>2</v>
      </c>
      <c r="K82" s="1"/>
      <c r="L82" s="1"/>
      <c r="M82" s="1"/>
      <c r="V82" t="s">
        <v>134</v>
      </c>
      <c r="W82" t="s">
        <v>125</v>
      </c>
      <c r="X82" t="str">
        <f t="shared" si="11"/>
        <v>Georginio Wijnaldum (m)</v>
      </c>
      <c r="Y82" s="109">
        <f>AF82</f>
        <v>6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6</v>
      </c>
      <c r="AG82" s="108">
        <f>IF(AC82="",0,(IF(G82=AC82,1,0)))</f>
        <v>1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5</v>
      </c>
      <c r="AL82" s="108">
        <f>IF(AND(G82=I82,AC82=AD82),5,0)</f>
        <v>0</v>
      </c>
    </row>
    <row r="83" spans="2:50" ht="15.75" thickBot="1">
      <c r="B83" s="1"/>
      <c r="C83" s="39"/>
      <c r="D83" s="40"/>
      <c r="E83" s="1"/>
      <c r="F83" s="40"/>
      <c r="G83" s="1"/>
      <c r="H83" s="1"/>
      <c r="I83" s="1"/>
      <c r="J83" s="1"/>
      <c r="K83" s="1"/>
      <c r="L83" s="1"/>
      <c r="M83" s="1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195"/>
      <c r="K84" s="1"/>
      <c r="L84" s="1"/>
      <c r="M84" s="1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78" t="s">
        <v>1</v>
      </c>
      <c r="C85" s="79" t="s">
        <v>2</v>
      </c>
      <c r="D85" s="193" t="s">
        <v>3</v>
      </c>
      <c r="E85" s="81"/>
      <c r="F85" s="194" t="s">
        <v>4</v>
      </c>
      <c r="G85" s="867" t="s">
        <v>5</v>
      </c>
      <c r="H85" s="868"/>
      <c r="I85" s="869"/>
      <c r="J85" s="83" t="s">
        <v>6</v>
      </c>
      <c r="K85" s="1"/>
      <c r="L85" s="1"/>
      <c r="M85" s="1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2">
        <v>64</v>
      </c>
      <c r="C86" s="63">
        <v>41833</v>
      </c>
      <c r="D86" s="64" t="str">
        <f>IF(J77="","Winnaar 61",IF(J77=1,D77,F77))</f>
        <v>Duitsland</v>
      </c>
      <c r="E86" s="3" t="s">
        <v>9</v>
      </c>
      <c r="F86" s="65" t="str">
        <f>IF(J78="","Winnaar 62",IF(J78=1,D78,F78))</f>
        <v>Spanje</v>
      </c>
      <c r="G86" s="105">
        <v>2</v>
      </c>
      <c r="H86" s="3" t="s">
        <v>9</v>
      </c>
      <c r="I86" s="106">
        <v>0</v>
      </c>
      <c r="J86" s="107">
        <v>1</v>
      </c>
      <c r="K86" s="1"/>
      <c r="L86" s="1"/>
      <c r="M86" s="1"/>
      <c r="V86" t="s">
        <v>134</v>
      </c>
      <c r="W86" t="s">
        <v>139</v>
      </c>
      <c r="X86" t="str">
        <f t="shared" si="11"/>
        <v>Nigel de Jong (m)</v>
      </c>
      <c r="Y86" s="109">
        <f>AF86</f>
        <v>1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1</v>
      </c>
      <c r="AG86" s="108">
        <f>IF(AC86="",0,(IF(G86=AC86,1,0)))</f>
        <v>0</v>
      </c>
      <c r="AH86" s="108">
        <f>IF(AD86="",0,(IF(I86=AD86,1,0)))</f>
        <v>1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Duitsland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50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50</v>
      </c>
      <c r="AV89">
        <f>IF(AR89=0,0,IF(E89=AR89,50,0))</f>
        <v>50</v>
      </c>
      <c r="AW89">
        <f>IF(E89=0,0,IF(OR(E89=AR90),15,0))</f>
        <v>0</v>
      </c>
      <c r="AX89">
        <f>IF(E89=0,0,IF(OR(E89=AR91,E89=AR92),5,0))</f>
        <v>0</v>
      </c>
    </row>
    <row r="90" spans="2:50">
      <c r="C90" s="870">
        <v>2</v>
      </c>
      <c r="D90" s="871"/>
      <c r="E90" s="872" t="str">
        <f>IF(J86=2,D86,IF(J86=1,F86,"Wie wordt 2de?"))</f>
        <v>Spanje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0</v>
      </c>
      <c r="AV90">
        <f>IF(AR90=0,0,IF(AR90=E90,25,0))</f>
        <v>0</v>
      </c>
      <c r="AW90">
        <f>IF(E90=0,0,IF(OR(E90=AR89,),15,0))</f>
        <v>0</v>
      </c>
      <c r="AX90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België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0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0</v>
      </c>
      <c r="AV91">
        <f>IF(AR91=0,0,IF(AR91=E91,15,0))</f>
        <v>0</v>
      </c>
      <c r="AW91">
        <f>IF(E91=0,0,IF(OR(E91=AR92),10,0))</f>
        <v>0</v>
      </c>
      <c r="AX91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Italië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0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0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50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conditionalFormatting sqref="AO9:AO12 AO15:AO18 AO21:AO24 AO27:AO30 AO33:AO36 AO39:AO42 AO45:AO48 AO51:AO54">
    <cfRule type="cellIs" dxfId="218" priority="3" operator="equal">
      <formula>10</formula>
    </cfRule>
  </conditionalFormatting>
  <conditionalFormatting sqref="P58:T58">
    <cfRule type="duplicateValues" dxfId="217" priority="2"/>
  </conditionalFormatting>
  <conditionalFormatting sqref="P58:T68">
    <cfRule type="duplicateValues" dxfId="216" priority="1"/>
  </conditionalFormatting>
  <dataValidations count="10">
    <dataValidation type="list" allowBlank="1" showInputMessage="1" showErrorMessage="1" sqref="P58:P68">
      <formula1>$X$58:$X$98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51:T54">
      <formula1>$W$51:$W$54</formula1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B1:BB98"/>
  <sheetViews>
    <sheetView topLeftCell="A35" zoomScale="85" zoomScaleNormal="85" workbookViewId="0">
      <selection activeCell="T40" sqref="T40"/>
    </sheetView>
  </sheetViews>
  <sheetFormatPr defaultRowHeight="15" outlineLevelCol="2"/>
  <cols>
    <col min="1" max="1" width="3.42578125" customWidth="1"/>
    <col min="2" max="2" width="3.5703125" bestFit="1" customWidth="1"/>
    <col min="3" max="3" width="8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145" t="s">
        <v>251</v>
      </c>
      <c r="E3" s="145"/>
      <c r="F3" s="145"/>
      <c r="N3" t="str">
        <f>D3</f>
        <v>Marcel M.</v>
      </c>
      <c r="O3" s="144">
        <f>SUM(P3:S3)</f>
        <v>445</v>
      </c>
      <c r="P3" s="109">
        <f>SUM(Y8:Y86)</f>
        <v>222</v>
      </c>
      <c r="Q3" s="109">
        <f>SUM(AM4:AM55)</f>
        <v>110</v>
      </c>
      <c r="R3" s="109">
        <f>SUM(AP89:AP92)</f>
        <v>65</v>
      </c>
      <c r="S3" s="109">
        <f>SUM(BB58:BB69)</f>
        <v>48</v>
      </c>
      <c r="T3" s="109">
        <f>COUNTIF(AF8:AF86,10)</f>
        <v>6</v>
      </c>
      <c r="U3" s="109" t="str">
        <f>E89</f>
        <v>Duitsland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1"/>
      <c r="L6" s="1"/>
      <c r="O6" s="40"/>
      <c r="P6" s="41"/>
      <c r="Q6" s="41"/>
      <c r="R6" s="41"/>
      <c r="S6" s="41"/>
      <c r="T6" s="41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66" t="s">
        <v>1</v>
      </c>
      <c r="C7" s="121" t="s">
        <v>2</v>
      </c>
      <c r="D7" s="196" t="s">
        <v>3</v>
      </c>
      <c r="E7" s="69"/>
      <c r="F7" s="197" t="s">
        <v>4</v>
      </c>
      <c r="G7" s="880" t="s">
        <v>5</v>
      </c>
      <c r="H7" s="881"/>
      <c r="I7" s="882"/>
      <c r="J7" s="71" t="s">
        <v>6</v>
      </c>
      <c r="K7" s="4" t="s">
        <v>7</v>
      </c>
      <c r="L7" s="4" t="s">
        <v>7</v>
      </c>
      <c r="O7" s="1"/>
      <c r="P7" s="41"/>
      <c r="Q7" s="41"/>
      <c r="R7" s="41"/>
      <c r="S7" s="41"/>
      <c r="T7" s="41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5">
        <v>1</v>
      </c>
      <c r="C8" s="124">
        <v>41802</v>
      </c>
      <c r="D8" s="7" t="s">
        <v>8</v>
      </c>
      <c r="E8" s="8" t="s">
        <v>9</v>
      </c>
      <c r="F8" s="9" t="s">
        <v>10</v>
      </c>
      <c r="G8" s="84">
        <v>2</v>
      </c>
      <c r="H8" s="8" t="s">
        <v>9</v>
      </c>
      <c r="I8" s="192">
        <v>1</v>
      </c>
      <c r="J8" s="10">
        <f>IF(I8="","",IF(G8&gt;I8,1,IF(G8&lt;I8,2,3)))</f>
        <v>1</v>
      </c>
      <c r="K8" s="11">
        <f>IF(I8="","",IF($G8&gt;$I8,3,IF($G8=$I8,1,0)))</f>
        <v>3</v>
      </c>
      <c r="L8" s="11">
        <f>IF(I8="","",IF($G8&lt;$I8,3,IF($G8=$I8,1,0)))</f>
        <v>0</v>
      </c>
      <c r="O8" s="72" t="s">
        <v>41</v>
      </c>
      <c r="P8" s="73" t="s">
        <v>42</v>
      </c>
      <c r="Q8" s="73" t="s">
        <v>43</v>
      </c>
      <c r="R8" s="74" t="s">
        <v>44</v>
      </c>
      <c r="S8" s="75" t="s">
        <v>45</v>
      </c>
      <c r="T8" s="76" t="s">
        <v>46</v>
      </c>
      <c r="U8" s="40"/>
      <c r="V8" s="40"/>
      <c r="W8" s="40"/>
      <c r="Y8" s="109">
        <f>AF8</f>
        <v>6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6</v>
      </c>
      <c r="AG8" s="108">
        <f t="shared" ref="AG8:AG55" si="0">IF(AC8="",0,(IF(G8=AC8,1,0)))</f>
        <v>0</v>
      </c>
      <c r="AH8" s="108">
        <f t="shared" ref="AH8:AH55" si="1">IF(AD8="",0,(IF(I8=AD8,1,0)))</f>
        <v>1</v>
      </c>
      <c r="AI8" s="108">
        <f>IF(AND(AG8=1,AH8=1),10,0)</f>
        <v>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12">
        <v>2</v>
      </c>
      <c r="C9" s="125">
        <v>41803</v>
      </c>
      <c r="D9" s="14" t="s">
        <v>11</v>
      </c>
      <c r="E9" s="15" t="s">
        <v>9</v>
      </c>
      <c r="F9" s="16" t="s">
        <v>12</v>
      </c>
      <c r="G9" s="85">
        <v>1</v>
      </c>
      <c r="H9" s="15" t="s">
        <v>9</v>
      </c>
      <c r="I9" s="90">
        <v>0</v>
      </c>
      <c r="J9" s="17">
        <f>IF(I9="","",IF(G9&gt;I9,1,IF(G9&lt;I9,2,3)))</f>
        <v>1</v>
      </c>
      <c r="K9" s="11">
        <f t="shared" ref="K9:K55" si="5">IF(I9="","",IF($G9&gt;$I9,3,IF($G9=$I9,1,0)))</f>
        <v>3</v>
      </c>
      <c r="L9" s="11">
        <f t="shared" ref="L9:L55" si="6">IF(I9="","",IF($G9&lt;$I9,3,IF($G9=$I9,1,0)))</f>
        <v>0</v>
      </c>
      <c r="O9" s="44" t="s">
        <v>8</v>
      </c>
      <c r="P9" s="45">
        <f>SUMIF($D$8:$D$55,$O9,$G$8:$G$55)+SUMIF($F$8:$F$55,$O9,$I$8:$I$55)</f>
        <v>5</v>
      </c>
      <c r="Q9" s="45">
        <f>SUMIF($D$8:$D$55,$O9,$I$8:$I$55)+SUMIF($F$8:$F$55,$O9,$G$8:$G$55)</f>
        <v>3</v>
      </c>
      <c r="R9" s="46">
        <f>P9-Q9</f>
        <v>2</v>
      </c>
      <c r="S9" s="47">
        <f>SUMIF($D$8:$D$55,$O9,$K$8:$K$55)+SUMIF($F$8:$F$55,$O9,$L$8:$L$55)</f>
        <v>7</v>
      </c>
      <c r="T9" s="94" t="s">
        <v>48</v>
      </c>
      <c r="U9" s="40"/>
      <c r="V9" s="40" t="str">
        <f>O9</f>
        <v>Brazilië</v>
      </c>
      <c r="W9" s="40" t="s">
        <v>48</v>
      </c>
      <c r="Y9" s="109">
        <f t="shared" ref="Y9:Y55" si="7">AF9</f>
        <v>10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8">IF(OR(AC9="",AD9=""),0,(IF(SUM(AG9:AL9)&gt;10,10,SUM(AG9:AL9))))</f>
        <v>10</v>
      </c>
      <c r="AG9" s="108">
        <f t="shared" si="0"/>
        <v>1</v>
      </c>
      <c r="AH9" s="108">
        <f t="shared" si="1"/>
        <v>1</v>
      </c>
      <c r="AI9" s="108">
        <f t="shared" ref="AI9:AI55" si="9">IF(AND(AG9=1,AH9=1),10,0)</f>
        <v>10</v>
      </c>
      <c r="AJ9" s="108">
        <f t="shared" si="2"/>
        <v>5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18">
        <v>3</v>
      </c>
      <c r="C10" s="126">
        <v>41803</v>
      </c>
      <c r="D10" s="20" t="s">
        <v>13</v>
      </c>
      <c r="E10" s="21" t="s">
        <v>9</v>
      </c>
      <c r="F10" s="22" t="s">
        <v>14</v>
      </c>
      <c r="G10" s="86">
        <v>1</v>
      </c>
      <c r="H10" s="21" t="s">
        <v>9</v>
      </c>
      <c r="I10" s="91">
        <v>1</v>
      </c>
      <c r="J10" s="23">
        <f t="shared" ref="J10:J55" si="10">IF(I10="","",IF(G10&gt;I10,1,IF(G10&lt;I10,2,3)))</f>
        <v>3</v>
      </c>
      <c r="K10" s="11">
        <f t="shared" si="5"/>
        <v>1</v>
      </c>
      <c r="L10" s="11">
        <f t="shared" si="6"/>
        <v>1</v>
      </c>
      <c r="O10" s="48" t="s">
        <v>10</v>
      </c>
      <c r="P10" s="49">
        <f>SUMIF($D$8:$D$55,$O10,$G$8:$G$55)+SUMIF($F$8:$F$55,$O10,$I$8:$I$55)</f>
        <v>4</v>
      </c>
      <c r="Q10" s="49">
        <f>SUMIF($D$8:$D$55,$O10,$I$8:$I$55)+SUMIF($F$8:$F$55,$O10,$G$8:$G$55)</f>
        <v>4</v>
      </c>
      <c r="R10" s="49">
        <f>P10-Q10</f>
        <v>0</v>
      </c>
      <c r="S10" s="50">
        <f>SUMIF($D$8:$D$55,$O10,$K$8:$K$55)+SUMIF($F$8:$F$55,$O10,$L$8:$L$55)</f>
        <v>4</v>
      </c>
      <c r="T10" s="95" t="s">
        <v>47</v>
      </c>
      <c r="U10" s="40"/>
      <c r="V10" s="40" t="str">
        <f>O10</f>
        <v>Kroatië</v>
      </c>
      <c r="W10" s="40" t="s">
        <v>49</v>
      </c>
      <c r="Y10" s="109">
        <f t="shared" si="7"/>
        <v>1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8"/>
        <v>1</v>
      </c>
      <c r="AG10" s="108">
        <f t="shared" si="0"/>
        <v>1</v>
      </c>
      <c r="AH10" s="108">
        <f t="shared" si="1"/>
        <v>0</v>
      </c>
      <c r="AI10" s="108">
        <f t="shared" si="9"/>
        <v>0</v>
      </c>
      <c r="AJ10" s="108">
        <f t="shared" si="2"/>
        <v>0</v>
      </c>
      <c r="AK10" s="108">
        <f t="shared" si="3"/>
        <v>0</v>
      </c>
      <c r="AL10" s="108">
        <f t="shared" si="4"/>
        <v>0</v>
      </c>
      <c r="AM10" s="120">
        <f>AO10</f>
        <v>10</v>
      </c>
      <c r="AN10" s="117" t="s">
        <v>10</v>
      </c>
      <c r="AO10" s="115">
        <f>IF(Uitslag!T10="",0,IF(T10=Uitslag!T10,10,0))</f>
        <v>10</v>
      </c>
    </row>
    <row r="11" spans="2:54" ht="15.75" thickBot="1">
      <c r="B11" s="24">
        <v>4</v>
      </c>
      <c r="C11" s="127">
        <v>41803</v>
      </c>
      <c r="D11" s="26" t="s">
        <v>15</v>
      </c>
      <c r="E11" s="27" t="s">
        <v>9</v>
      </c>
      <c r="F11" s="28" t="s">
        <v>16</v>
      </c>
      <c r="G11" s="87">
        <v>2</v>
      </c>
      <c r="H11" s="27" t="s">
        <v>9</v>
      </c>
      <c r="I11" s="92">
        <v>1</v>
      </c>
      <c r="J11" s="29">
        <f t="shared" si="10"/>
        <v>1</v>
      </c>
      <c r="K11" s="11">
        <f t="shared" si="5"/>
        <v>3</v>
      </c>
      <c r="L11" s="11">
        <f t="shared" si="6"/>
        <v>0</v>
      </c>
      <c r="O11" s="48" t="s">
        <v>11</v>
      </c>
      <c r="P11" s="49">
        <f>SUMIF($D$8:$D$55,$O11,$G$8:$G$55)+SUMIF($F$8:$F$55,$O11,$I$8:$I$55)</f>
        <v>3</v>
      </c>
      <c r="Q11" s="49">
        <f>SUMIF($D$8:$D$55,$O11,$I$8:$I$55)+SUMIF($F$8:$F$55,$O11,$G$8:$G$55)</f>
        <v>2</v>
      </c>
      <c r="R11" s="49">
        <f>P11-Q11</f>
        <v>1</v>
      </c>
      <c r="S11" s="50">
        <f>SUMIF($D$8:$D$55,$O11,$K$8:$K$55)+SUMIF($F$8:$F$55,$O11,$L$8:$L$55)</f>
        <v>5</v>
      </c>
      <c r="T11" s="95" t="s">
        <v>49</v>
      </c>
      <c r="U11" s="40"/>
      <c r="V11" s="40" t="str">
        <f>O11</f>
        <v>Mexico</v>
      </c>
      <c r="W11" s="40" t="s">
        <v>47</v>
      </c>
      <c r="Y11" s="109">
        <f t="shared" si="7"/>
        <v>6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8"/>
        <v>6</v>
      </c>
      <c r="AG11" s="108">
        <f t="shared" si="0"/>
        <v>0</v>
      </c>
      <c r="AH11" s="108">
        <f t="shared" si="1"/>
        <v>1</v>
      </c>
      <c r="AI11" s="108">
        <f t="shared" si="9"/>
        <v>0</v>
      </c>
      <c r="AJ11" s="108">
        <f t="shared" si="2"/>
        <v>5</v>
      </c>
      <c r="AK11" s="108">
        <f t="shared" si="3"/>
        <v>0</v>
      </c>
      <c r="AL11" s="108">
        <f t="shared" si="4"/>
        <v>0</v>
      </c>
      <c r="AM11" s="120">
        <f>AO11</f>
        <v>10</v>
      </c>
      <c r="AN11" s="117" t="s">
        <v>11</v>
      </c>
      <c r="AO11" s="115">
        <f>IF(Uitslag!T11="",0,IF(T11=Uitslag!T11,10,0))</f>
        <v>10</v>
      </c>
    </row>
    <row r="12" spans="2:54" ht="15.75" thickBot="1">
      <c r="B12" s="12">
        <v>5</v>
      </c>
      <c r="C12" s="125">
        <v>41804</v>
      </c>
      <c r="D12" s="14" t="s">
        <v>17</v>
      </c>
      <c r="E12" s="15" t="s">
        <v>9</v>
      </c>
      <c r="F12" s="16" t="s">
        <v>18</v>
      </c>
      <c r="G12" s="85">
        <v>1</v>
      </c>
      <c r="H12" s="15" t="s">
        <v>9</v>
      </c>
      <c r="I12" s="90">
        <v>1</v>
      </c>
      <c r="J12" s="17">
        <f t="shared" si="10"/>
        <v>3</v>
      </c>
      <c r="K12" s="11">
        <f t="shared" si="5"/>
        <v>1</v>
      </c>
      <c r="L12" s="11">
        <f t="shared" si="6"/>
        <v>1</v>
      </c>
      <c r="O12" s="51" t="s">
        <v>12</v>
      </c>
      <c r="P12" s="52">
        <f>SUMIF($D$8:$D$55,$O12,$G$8:$G$55)+SUMIF($F$8:$F$55,$O12,$I$8:$I$55)</f>
        <v>2</v>
      </c>
      <c r="Q12" s="52">
        <f>SUMIF($D$8:$D$55,$O12,$I$8:$I$55)+SUMIF($F$8:$F$55,$O12,$G$8:$G$55)</f>
        <v>5</v>
      </c>
      <c r="R12" s="52">
        <f>P12-Q12</f>
        <v>-3</v>
      </c>
      <c r="S12" s="53">
        <f>SUMIF($D$8:$D$55,$O12,$K$8:$K$55)+SUMIF($F$8:$F$55,$O12,$L$8:$L$55)</f>
        <v>0</v>
      </c>
      <c r="T12" s="96" t="s">
        <v>50</v>
      </c>
      <c r="U12" s="40"/>
      <c r="V12" s="40" t="str">
        <f>O12</f>
        <v>Kameroen</v>
      </c>
      <c r="W12" s="40" t="s">
        <v>50</v>
      </c>
      <c r="Y12" s="109">
        <f t="shared" si="7"/>
        <v>0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8"/>
        <v>0</v>
      </c>
      <c r="AG12" s="108">
        <f t="shared" si="0"/>
        <v>0</v>
      </c>
      <c r="AH12" s="108">
        <f t="shared" si="1"/>
        <v>0</v>
      </c>
      <c r="AI12" s="108">
        <f t="shared" si="9"/>
        <v>0</v>
      </c>
      <c r="AJ12" s="108">
        <f t="shared" si="2"/>
        <v>0</v>
      </c>
      <c r="AK12" s="108">
        <f t="shared" si="3"/>
        <v>0</v>
      </c>
      <c r="AL12" s="108">
        <f t="shared" si="4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18">
        <v>6</v>
      </c>
      <c r="C13" s="126">
        <v>41804</v>
      </c>
      <c r="D13" s="20" t="s">
        <v>19</v>
      </c>
      <c r="E13" s="21" t="s">
        <v>9</v>
      </c>
      <c r="F13" s="30" t="s">
        <v>20</v>
      </c>
      <c r="G13" s="86">
        <v>3</v>
      </c>
      <c r="H13" s="21" t="s">
        <v>9</v>
      </c>
      <c r="I13" s="91">
        <v>1</v>
      </c>
      <c r="J13" s="23">
        <f t="shared" si="10"/>
        <v>1</v>
      </c>
      <c r="K13" s="11">
        <f t="shared" si="5"/>
        <v>3</v>
      </c>
      <c r="L13" s="11">
        <f t="shared" si="6"/>
        <v>0</v>
      </c>
      <c r="O13" s="40"/>
      <c r="P13" s="41"/>
      <c r="Q13" s="41"/>
      <c r="R13" s="41"/>
      <c r="S13" s="41"/>
      <c r="T13" s="41"/>
      <c r="U13" s="40"/>
      <c r="V13" s="40"/>
      <c r="W13" s="40"/>
      <c r="Y13" s="109">
        <f t="shared" si="7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8"/>
        <v>0</v>
      </c>
      <c r="AG13" s="108">
        <f t="shared" si="0"/>
        <v>0</v>
      </c>
      <c r="AH13" s="108">
        <f t="shared" si="1"/>
        <v>0</v>
      </c>
      <c r="AI13" s="108">
        <f t="shared" si="9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40"/>
      <c r="AO13" s="41"/>
    </row>
    <row r="14" spans="2:54" ht="15.75" thickBot="1">
      <c r="B14" s="18">
        <v>7</v>
      </c>
      <c r="C14" s="126">
        <v>41804</v>
      </c>
      <c r="D14" s="20" t="s">
        <v>21</v>
      </c>
      <c r="E14" s="21" t="s">
        <v>9</v>
      </c>
      <c r="F14" s="30" t="s">
        <v>22</v>
      </c>
      <c r="G14" s="86">
        <v>1</v>
      </c>
      <c r="H14" s="21" t="s">
        <v>9</v>
      </c>
      <c r="I14" s="91">
        <v>2</v>
      </c>
      <c r="J14" s="23">
        <f t="shared" si="10"/>
        <v>2</v>
      </c>
      <c r="K14" s="11">
        <f t="shared" si="5"/>
        <v>0</v>
      </c>
      <c r="L14" s="11">
        <f t="shared" si="6"/>
        <v>3</v>
      </c>
      <c r="O14" s="72" t="s">
        <v>51</v>
      </c>
      <c r="P14" s="73" t="s">
        <v>42</v>
      </c>
      <c r="Q14" s="73" t="s">
        <v>43</v>
      </c>
      <c r="R14" s="74" t="s">
        <v>44</v>
      </c>
      <c r="S14" s="75" t="s">
        <v>45</v>
      </c>
      <c r="T14" s="76" t="s">
        <v>46</v>
      </c>
      <c r="U14" s="40"/>
      <c r="V14" s="40"/>
      <c r="W14" s="40"/>
      <c r="Y14" s="109">
        <f t="shared" si="7"/>
        <v>10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8"/>
        <v>10</v>
      </c>
      <c r="AG14" s="108">
        <f t="shared" si="0"/>
        <v>1</v>
      </c>
      <c r="AH14" s="108">
        <f t="shared" si="1"/>
        <v>1</v>
      </c>
      <c r="AI14" s="108">
        <f t="shared" si="9"/>
        <v>10</v>
      </c>
      <c r="AJ14" s="108">
        <f t="shared" si="2"/>
        <v>0</v>
      </c>
      <c r="AK14" s="108">
        <f t="shared" si="3"/>
        <v>5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24">
        <v>8</v>
      </c>
      <c r="C15" s="127">
        <v>41804</v>
      </c>
      <c r="D15" s="26" t="s">
        <v>23</v>
      </c>
      <c r="E15" s="27" t="s">
        <v>9</v>
      </c>
      <c r="F15" s="28" t="s">
        <v>24</v>
      </c>
      <c r="G15" s="87">
        <v>1</v>
      </c>
      <c r="H15" s="27" t="s">
        <v>9</v>
      </c>
      <c r="I15" s="92">
        <v>2</v>
      </c>
      <c r="J15" s="29">
        <f t="shared" si="10"/>
        <v>2</v>
      </c>
      <c r="K15" s="11">
        <f t="shared" si="5"/>
        <v>0</v>
      </c>
      <c r="L15" s="11">
        <f t="shared" si="6"/>
        <v>3</v>
      </c>
      <c r="O15" s="44" t="s">
        <v>13</v>
      </c>
      <c r="P15" s="45">
        <f>SUMIF($D$8:$D$55,$O15,$G$8:$G$55)+SUMIF($F$8:$F$55,$O15,$I$8:$I$55)</f>
        <v>6</v>
      </c>
      <c r="Q15" s="45">
        <f>SUMIF($D$8:$D$55,$O15,$I$8:$I$55)+SUMIF($F$8:$F$55,$O15,$G$8:$G$55)</f>
        <v>3</v>
      </c>
      <c r="R15" s="46">
        <f>P15-Q15</f>
        <v>3</v>
      </c>
      <c r="S15" s="47">
        <f>SUMIF($D$8:$D$55,$O15,$K$8:$K$55)+SUMIF($F$8:$F$55,$O15,$L$8:$L$55)</f>
        <v>7</v>
      </c>
      <c r="T15" s="94" t="s">
        <v>52</v>
      </c>
      <c r="U15" s="40"/>
      <c r="V15" s="40" t="str">
        <f>O15</f>
        <v>Spanje</v>
      </c>
      <c r="W15" s="40" t="s">
        <v>52</v>
      </c>
      <c r="Y15" s="109">
        <f t="shared" si="7"/>
        <v>0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8"/>
        <v>0</v>
      </c>
      <c r="AG15" s="108">
        <f t="shared" si="0"/>
        <v>0</v>
      </c>
      <c r="AH15" s="108">
        <f t="shared" si="1"/>
        <v>0</v>
      </c>
      <c r="AI15" s="108">
        <f t="shared" si="9"/>
        <v>0</v>
      </c>
      <c r="AJ15" s="108">
        <f t="shared" si="2"/>
        <v>0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12">
        <v>9</v>
      </c>
      <c r="C16" s="125">
        <v>41805</v>
      </c>
      <c r="D16" s="14" t="s">
        <v>25</v>
      </c>
      <c r="E16" s="15" t="s">
        <v>9</v>
      </c>
      <c r="F16" s="16" t="s">
        <v>26</v>
      </c>
      <c r="G16" s="85">
        <v>2</v>
      </c>
      <c r="H16" s="15" t="s">
        <v>9</v>
      </c>
      <c r="I16" s="90">
        <v>0</v>
      </c>
      <c r="J16" s="17">
        <f t="shared" si="10"/>
        <v>1</v>
      </c>
      <c r="K16" s="11">
        <f t="shared" si="5"/>
        <v>3</v>
      </c>
      <c r="L16" s="11">
        <f t="shared" si="6"/>
        <v>0</v>
      </c>
      <c r="O16" s="54" t="s">
        <v>14</v>
      </c>
      <c r="P16" s="49">
        <f>SUMIF($D$8:$D$55,$O16,$G$8:$G$55)+SUMIF($F$8:$F$55,$O16,$I$8:$I$55)</f>
        <v>4</v>
      </c>
      <c r="Q16" s="49">
        <f>SUMIF($D$8:$D$55,$O16,$I$8:$I$55)+SUMIF($F$8:$F$55,$O16,$G$8:$G$55)</f>
        <v>2</v>
      </c>
      <c r="R16" s="49">
        <f>P16-Q16</f>
        <v>2</v>
      </c>
      <c r="S16" s="50">
        <f>SUMIF($D$8:$D$55,$O16,$K$8:$K$55)+SUMIF($F$8:$F$55,$O16,$L$8:$L$55)</f>
        <v>7</v>
      </c>
      <c r="T16" s="95" t="s">
        <v>53</v>
      </c>
      <c r="U16" s="40"/>
      <c r="V16" s="40" t="str">
        <f>O16</f>
        <v>Nederland</v>
      </c>
      <c r="W16" s="40" t="s">
        <v>53</v>
      </c>
      <c r="Y16" s="109">
        <f t="shared" si="7"/>
        <v>6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8"/>
        <v>6</v>
      </c>
      <c r="AG16" s="108">
        <f t="shared" si="0"/>
        <v>1</v>
      </c>
      <c r="AH16" s="108">
        <f t="shared" si="1"/>
        <v>0</v>
      </c>
      <c r="AI16" s="108">
        <f t="shared" si="9"/>
        <v>0</v>
      </c>
      <c r="AJ16" s="108">
        <f t="shared" si="2"/>
        <v>5</v>
      </c>
      <c r="AK16" s="108">
        <f t="shared" si="3"/>
        <v>0</v>
      </c>
      <c r="AL16" s="108">
        <f t="shared" si="4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18">
        <v>10</v>
      </c>
      <c r="C17" s="126">
        <v>41805</v>
      </c>
      <c r="D17" s="20" t="s">
        <v>27</v>
      </c>
      <c r="E17" s="21" t="s">
        <v>9</v>
      </c>
      <c r="F17" s="30" t="s">
        <v>28</v>
      </c>
      <c r="G17" s="86">
        <v>2</v>
      </c>
      <c r="H17" s="21" t="s">
        <v>9</v>
      </c>
      <c r="I17" s="91">
        <v>1</v>
      </c>
      <c r="J17" s="23">
        <f t="shared" si="10"/>
        <v>1</v>
      </c>
      <c r="K17" s="11">
        <f t="shared" si="5"/>
        <v>3</v>
      </c>
      <c r="L17" s="11">
        <f t="shared" si="6"/>
        <v>0</v>
      </c>
      <c r="O17" s="48" t="s">
        <v>15</v>
      </c>
      <c r="P17" s="49">
        <f>SUMIF($D$8:$D$55,$O17,$G$8:$G$55)+SUMIF($F$8:$F$55,$O17,$I$8:$I$55)</f>
        <v>3</v>
      </c>
      <c r="Q17" s="49">
        <f>SUMIF($D$8:$D$55,$O17,$I$8:$I$55)+SUMIF($F$8:$F$55,$O17,$G$8:$G$55)</f>
        <v>4</v>
      </c>
      <c r="R17" s="49">
        <f>P17-Q17</f>
        <v>-1</v>
      </c>
      <c r="S17" s="50">
        <f>SUMIF($D$8:$D$55,$O17,$K$8:$K$55)+SUMIF($F$8:$F$55,$O17,$L$8:$L$55)</f>
        <v>3</v>
      </c>
      <c r="T17" s="95" t="s">
        <v>54</v>
      </c>
      <c r="U17" s="40"/>
      <c r="V17" s="40" t="str">
        <f>O17</f>
        <v>Chili</v>
      </c>
      <c r="W17" s="40" t="s">
        <v>54</v>
      </c>
      <c r="Y17" s="109">
        <f t="shared" si="7"/>
        <v>5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8"/>
        <v>5</v>
      </c>
      <c r="AG17" s="108">
        <f t="shared" si="0"/>
        <v>0</v>
      </c>
      <c r="AH17" s="108">
        <f t="shared" si="1"/>
        <v>0</v>
      </c>
      <c r="AI17" s="108">
        <f t="shared" si="9"/>
        <v>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24">
        <v>11</v>
      </c>
      <c r="C18" s="127">
        <v>41805</v>
      </c>
      <c r="D18" s="26" t="s">
        <v>29</v>
      </c>
      <c r="E18" s="27" t="s">
        <v>9</v>
      </c>
      <c r="F18" s="28" t="s">
        <v>30</v>
      </c>
      <c r="G18" s="87">
        <v>3</v>
      </c>
      <c r="H18" s="27" t="s">
        <v>9</v>
      </c>
      <c r="I18" s="92">
        <v>1</v>
      </c>
      <c r="J18" s="29">
        <f t="shared" si="10"/>
        <v>1</v>
      </c>
      <c r="K18" s="11">
        <f t="shared" si="5"/>
        <v>3</v>
      </c>
      <c r="L18" s="11">
        <f t="shared" si="6"/>
        <v>0</v>
      </c>
      <c r="O18" s="51" t="s">
        <v>16</v>
      </c>
      <c r="P18" s="52">
        <f>SUMIF($D$8:$D$55,$O18,$G$8:$G$55)+SUMIF($F$8:$F$55,$O18,$I$8:$I$55)</f>
        <v>3</v>
      </c>
      <c r="Q18" s="52">
        <f>SUMIF($D$8:$D$55,$O18,$I$8:$I$55)+SUMIF($F$8:$F$55,$O18,$G$8:$G$55)</f>
        <v>7</v>
      </c>
      <c r="R18" s="52">
        <f>P18-Q18</f>
        <v>-4</v>
      </c>
      <c r="S18" s="53">
        <f>SUMIF($D$8:$D$55,$O18,$K$8:$K$55)+SUMIF($F$8:$F$55,$O18,$L$8:$L$55)</f>
        <v>0</v>
      </c>
      <c r="T18" s="96" t="s">
        <v>55</v>
      </c>
      <c r="U18" s="40"/>
      <c r="V18" s="40" t="str">
        <f>O18</f>
        <v>Australië</v>
      </c>
      <c r="W18" s="40" t="s">
        <v>55</v>
      </c>
      <c r="Y18" s="109">
        <f t="shared" si="7"/>
        <v>6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8"/>
        <v>6</v>
      </c>
      <c r="AG18" s="108">
        <f t="shared" si="0"/>
        <v>0</v>
      </c>
      <c r="AH18" s="108">
        <f t="shared" si="1"/>
        <v>1</v>
      </c>
      <c r="AI18" s="108">
        <f t="shared" si="9"/>
        <v>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12">
        <v>12</v>
      </c>
      <c r="C19" s="125">
        <v>41806</v>
      </c>
      <c r="D19" s="14" t="s">
        <v>31</v>
      </c>
      <c r="E19" s="15" t="s">
        <v>9</v>
      </c>
      <c r="F19" s="16" t="s">
        <v>32</v>
      </c>
      <c r="G19" s="85">
        <v>1</v>
      </c>
      <c r="H19" s="15" t="s">
        <v>9</v>
      </c>
      <c r="I19" s="90">
        <v>1</v>
      </c>
      <c r="J19" s="17">
        <f t="shared" si="10"/>
        <v>3</v>
      </c>
      <c r="K19" s="11">
        <f t="shared" si="5"/>
        <v>1</v>
      </c>
      <c r="L19" s="11">
        <f t="shared" si="6"/>
        <v>1</v>
      </c>
      <c r="O19" s="40"/>
      <c r="P19" s="41"/>
      <c r="Q19" s="41"/>
      <c r="R19" s="41"/>
      <c r="S19" s="41"/>
      <c r="T19" s="41"/>
      <c r="U19" s="40"/>
      <c r="V19" s="40"/>
      <c r="W19" s="40"/>
      <c r="Y19" s="109">
        <f t="shared" si="7"/>
        <v>0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8"/>
        <v>0</v>
      </c>
      <c r="AG19" s="108">
        <f t="shared" si="0"/>
        <v>0</v>
      </c>
      <c r="AH19" s="108">
        <f t="shared" si="1"/>
        <v>0</v>
      </c>
      <c r="AI19" s="108">
        <f t="shared" si="9"/>
        <v>0</v>
      </c>
      <c r="AJ19" s="108">
        <f t="shared" si="2"/>
        <v>0</v>
      </c>
      <c r="AK19" s="108">
        <f t="shared" si="3"/>
        <v>0</v>
      </c>
      <c r="AL19" s="108">
        <f t="shared" si="4"/>
        <v>0</v>
      </c>
      <c r="AN19" s="40"/>
      <c r="AO19" s="41"/>
    </row>
    <row r="20" spans="2:41" ht="15.75" thickBot="1">
      <c r="B20" s="18">
        <v>13</v>
      </c>
      <c r="C20" s="126">
        <v>41806</v>
      </c>
      <c r="D20" s="20" t="s">
        <v>33</v>
      </c>
      <c r="E20" s="21" t="s">
        <v>9</v>
      </c>
      <c r="F20" s="30" t="s">
        <v>34</v>
      </c>
      <c r="G20" s="86">
        <v>2</v>
      </c>
      <c r="H20" s="21" t="s">
        <v>9</v>
      </c>
      <c r="I20" s="91">
        <v>2</v>
      </c>
      <c r="J20" s="23">
        <f t="shared" si="10"/>
        <v>3</v>
      </c>
      <c r="K20" s="11">
        <f t="shared" si="5"/>
        <v>1</v>
      </c>
      <c r="L20" s="11">
        <f t="shared" si="6"/>
        <v>1</v>
      </c>
      <c r="O20" s="72" t="s">
        <v>56</v>
      </c>
      <c r="P20" s="73" t="s">
        <v>42</v>
      </c>
      <c r="Q20" s="73" t="s">
        <v>43</v>
      </c>
      <c r="R20" s="74" t="s">
        <v>44</v>
      </c>
      <c r="S20" s="75" t="s">
        <v>45</v>
      </c>
      <c r="T20" s="76" t="s">
        <v>46</v>
      </c>
      <c r="U20" s="40"/>
      <c r="V20" s="40"/>
      <c r="W20" s="40"/>
      <c r="Y20" s="109">
        <f t="shared" si="7"/>
        <v>5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8"/>
        <v>5</v>
      </c>
      <c r="AG20" s="108">
        <f t="shared" si="0"/>
        <v>0</v>
      </c>
      <c r="AH20" s="108">
        <f t="shared" si="1"/>
        <v>0</v>
      </c>
      <c r="AI20" s="108">
        <f t="shared" si="9"/>
        <v>0</v>
      </c>
      <c r="AJ20" s="108">
        <f t="shared" si="2"/>
        <v>0</v>
      </c>
      <c r="AK20" s="108">
        <f t="shared" si="3"/>
        <v>0</v>
      </c>
      <c r="AL20" s="108">
        <f t="shared" si="4"/>
        <v>5</v>
      </c>
      <c r="AN20" s="42" t="s">
        <v>56</v>
      </c>
      <c r="AO20" s="43" t="s">
        <v>46</v>
      </c>
    </row>
    <row r="21" spans="2:41" ht="15.75" thickBot="1">
      <c r="B21" s="24">
        <v>14</v>
      </c>
      <c r="C21" s="127">
        <v>41806</v>
      </c>
      <c r="D21" s="26" t="s">
        <v>35</v>
      </c>
      <c r="E21" s="27" t="s">
        <v>9</v>
      </c>
      <c r="F21" s="28" t="s">
        <v>36</v>
      </c>
      <c r="G21" s="87">
        <v>1</v>
      </c>
      <c r="H21" s="27" t="s">
        <v>9</v>
      </c>
      <c r="I21" s="92">
        <v>0</v>
      </c>
      <c r="J21" s="29">
        <f t="shared" si="10"/>
        <v>1</v>
      </c>
      <c r="K21" s="11">
        <f t="shared" si="5"/>
        <v>3</v>
      </c>
      <c r="L21" s="11">
        <f t="shared" si="6"/>
        <v>0</v>
      </c>
      <c r="O21" s="44" t="s">
        <v>17</v>
      </c>
      <c r="P21" s="45">
        <f>SUMIF($D$8:$D$55,$O21,$G$8:$G$55)+SUMIF($F$8:$F$55,$O21,$I$8:$I$55)</f>
        <v>3</v>
      </c>
      <c r="Q21" s="45">
        <f>SUMIF($D$8:$D$55,$O21,$I$8:$I$55)+SUMIF($F$8:$F$55,$O21,$G$8:$G$55)</f>
        <v>4</v>
      </c>
      <c r="R21" s="46">
        <f>P21-Q21</f>
        <v>-1</v>
      </c>
      <c r="S21" s="47">
        <f>SUMIF($D$8:$D$55,$O21,$K$8:$K$55)+SUMIF($F$8:$F$55,$O21,$L$8:$L$55)</f>
        <v>2</v>
      </c>
      <c r="T21" s="94" t="s">
        <v>58</v>
      </c>
      <c r="U21" s="40"/>
      <c r="V21" s="40" t="str">
        <f>O21</f>
        <v>Colombia</v>
      </c>
      <c r="W21" s="40" t="s">
        <v>57</v>
      </c>
      <c r="Y21" s="109">
        <f t="shared" si="7"/>
        <v>1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8"/>
        <v>1</v>
      </c>
      <c r="AG21" s="108">
        <f t="shared" si="0"/>
        <v>1</v>
      </c>
      <c r="AH21" s="108">
        <f t="shared" si="1"/>
        <v>0</v>
      </c>
      <c r="AI21" s="108">
        <f t="shared" si="9"/>
        <v>0</v>
      </c>
      <c r="AJ21" s="108">
        <f t="shared" si="2"/>
        <v>0</v>
      </c>
      <c r="AK21" s="108">
        <f t="shared" si="3"/>
        <v>0</v>
      </c>
      <c r="AL21" s="108">
        <f t="shared" si="4"/>
        <v>0</v>
      </c>
      <c r="AM21" s="120">
        <f>AO21</f>
        <v>0</v>
      </c>
      <c r="AN21" s="116" t="s">
        <v>17</v>
      </c>
      <c r="AO21" s="115">
        <f>IF(Uitslag!T21="",0,IF(T21=Uitslag!T21,10,0))</f>
        <v>0</v>
      </c>
    </row>
    <row r="22" spans="2:41" ht="15.75" thickBot="1">
      <c r="B22" s="12">
        <v>15</v>
      </c>
      <c r="C22" s="125">
        <v>41807</v>
      </c>
      <c r="D22" s="14" t="s">
        <v>37</v>
      </c>
      <c r="E22" s="15" t="s">
        <v>9</v>
      </c>
      <c r="F22" s="16" t="s">
        <v>38</v>
      </c>
      <c r="G22" s="85">
        <v>3</v>
      </c>
      <c r="H22" s="15" t="s">
        <v>9</v>
      </c>
      <c r="I22" s="90">
        <v>1</v>
      </c>
      <c r="J22" s="17">
        <f t="shared" si="10"/>
        <v>1</v>
      </c>
      <c r="K22" s="11">
        <f t="shared" si="5"/>
        <v>3</v>
      </c>
      <c r="L22" s="11">
        <f t="shared" si="6"/>
        <v>0</v>
      </c>
      <c r="O22" s="48" t="s">
        <v>18</v>
      </c>
      <c r="P22" s="49">
        <f>SUMIF($D$8:$D$55,$O22,$G$8:$G$55)+SUMIF($F$8:$F$55,$O22,$I$8:$I$55)</f>
        <v>2</v>
      </c>
      <c r="Q22" s="49">
        <f>SUMIF($D$8:$D$55,$O22,$I$8:$I$55)+SUMIF($F$8:$F$55,$O22,$G$8:$G$55)</f>
        <v>3</v>
      </c>
      <c r="R22" s="49">
        <f>P22-Q22</f>
        <v>-1</v>
      </c>
      <c r="S22" s="50">
        <f>SUMIF($D$8:$D$55,$O22,$K$8:$K$55)+SUMIF($F$8:$F$55,$O22,$L$8:$L$55)</f>
        <v>2</v>
      </c>
      <c r="T22" s="95" t="s">
        <v>60</v>
      </c>
      <c r="U22" s="40"/>
      <c r="V22" s="40" t="str">
        <f>O22</f>
        <v>Griekenland</v>
      </c>
      <c r="W22" s="40" t="s">
        <v>58</v>
      </c>
      <c r="Y22" s="109">
        <f t="shared" si="7"/>
        <v>6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8"/>
        <v>6</v>
      </c>
      <c r="AG22" s="108">
        <f t="shared" si="0"/>
        <v>0</v>
      </c>
      <c r="AH22" s="108">
        <f t="shared" si="1"/>
        <v>1</v>
      </c>
      <c r="AI22" s="108">
        <f t="shared" si="9"/>
        <v>0</v>
      </c>
      <c r="AJ22" s="108">
        <f t="shared" si="2"/>
        <v>5</v>
      </c>
      <c r="AK22" s="108">
        <f t="shared" si="3"/>
        <v>0</v>
      </c>
      <c r="AL22" s="108">
        <f t="shared" si="4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18">
        <v>16</v>
      </c>
      <c r="C23" s="126">
        <v>41807</v>
      </c>
      <c r="D23" s="20" t="s">
        <v>8</v>
      </c>
      <c r="E23" s="21" t="s">
        <v>9</v>
      </c>
      <c r="F23" s="30" t="s">
        <v>11</v>
      </c>
      <c r="G23" s="86">
        <v>1</v>
      </c>
      <c r="H23" s="21" t="s">
        <v>9</v>
      </c>
      <c r="I23" s="91">
        <v>1</v>
      </c>
      <c r="J23" s="23">
        <f t="shared" si="10"/>
        <v>3</v>
      </c>
      <c r="K23" s="11">
        <f t="shared" si="5"/>
        <v>1</v>
      </c>
      <c r="L23" s="11">
        <f t="shared" si="6"/>
        <v>1</v>
      </c>
      <c r="O23" s="48" t="s">
        <v>23</v>
      </c>
      <c r="P23" s="49">
        <f>SUMIF($D$8:$D$55,$O23,$G$8:$G$55)+SUMIF($F$8:$F$55,$O23,$I$8:$I$55)</f>
        <v>3</v>
      </c>
      <c r="Q23" s="49">
        <f>SUMIF($D$8:$D$55,$O23,$I$8:$I$55)+SUMIF($F$8:$F$55,$O23,$G$8:$G$55)</f>
        <v>4</v>
      </c>
      <c r="R23" s="49">
        <f>P23-Q23</f>
        <v>-1</v>
      </c>
      <c r="S23" s="50">
        <f>SUMIF($D$8:$D$55,$O23,$K$8:$K$55)+SUMIF($F$8:$F$55,$O23,$L$8:$L$55)</f>
        <v>2</v>
      </c>
      <c r="T23" s="95" t="s">
        <v>59</v>
      </c>
      <c r="U23" s="40"/>
      <c r="V23" s="40" t="str">
        <f>O23</f>
        <v>Ivoorkust</v>
      </c>
      <c r="W23" s="40" t="s">
        <v>59</v>
      </c>
      <c r="Y23" s="109">
        <f t="shared" si="7"/>
        <v>5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8"/>
        <v>5</v>
      </c>
      <c r="AG23" s="108">
        <f t="shared" si="0"/>
        <v>0</v>
      </c>
      <c r="AH23" s="108">
        <f t="shared" si="1"/>
        <v>0</v>
      </c>
      <c r="AI23" s="108">
        <f t="shared" si="9"/>
        <v>0</v>
      </c>
      <c r="AJ23" s="108">
        <f t="shared" si="2"/>
        <v>0</v>
      </c>
      <c r="AK23" s="108">
        <f t="shared" si="3"/>
        <v>0</v>
      </c>
      <c r="AL23" s="108">
        <f t="shared" si="4"/>
        <v>5</v>
      </c>
      <c r="AM23" s="120">
        <f>AO23</f>
        <v>10</v>
      </c>
      <c r="AN23" s="117" t="s">
        <v>23</v>
      </c>
      <c r="AO23" s="115">
        <f>IF(Uitslag!T23="",0,IF(T23=Uitslag!T23,10,0))</f>
        <v>10</v>
      </c>
    </row>
    <row r="24" spans="2:41" ht="15.75" thickBot="1">
      <c r="B24" s="24">
        <v>17</v>
      </c>
      <c r="C24" s="127">
        <v>41807</v>
      </c>
      <c r="D24" s="26" t="s">
        <v>39</v>
      </c>
      <c r="E24" s="27" t="s">
        <v>9</v>
      </c>
      <c r="F24" s="28" t="s">
        <v>40</v>
      </c>
      <c r="G24" s="87">
        <v>2</v>
      </c>
      <c r="H24" s="27" t="s">
        <v>9</v>
      </c>
      <c r="I24" s="92">
        <v>1</v>
      </c>
      <c r="J24" s="29">
        <f t="shared" si="10"/>
        <v>1</v>
      </c>
      <c r="K24" s="11">
        <f t="shared" si="5"/>
        <v>3</v>
      </c>
      <c r="L24" s="11">
        <f t="shared" si="6"/>
        <v>0</v>
      </c>
      <c r="O24" s="51" t="s">
        <v>24</v>
      </c>
      <c r="P24" s="52">
        <f>SUMIF($D$8:$D$55,$O24,$G$8:$G$55)+SUMIF($F$8:$F$55,$O24,$I$8:$I$55)</f>
        <v>5</v>
      </c>
      <c r="Q24" s="52">
        <f>SUMIF($D$8:$D$55,$O24,$I$8:$I$55)+SUMIF($F$8:$F$55,$O24,$G$8:$G$55)</f>
        <v>2</v>
      </c>
      <c r="R24" s="52">
        <f>P24-Q24</f>
        <v>3</v>
      </c>
      <c r="S24" s="53">
        <f>SUMIF($D$8:$D$55,$O24,$K$8:$K$55)+SUMIF($F$8:$F$55,$O24,$L$8:$L$55)</f>
        <v>9</v>
      </c>
      <c r="T24" s="96" t="s">
        <v>57</v>
      </c>
      <c r="U24" s="40"/>
      <c r="V24" s="40" t="str">
        <f>O24</f>
        <v>Japan</v>
      </c>
      <c r="W24" s="40" t="s">
        <v>60</v>
      </c>
      <c r="Y24" s="109">
        <f t="shared" si="7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8"/>
        <v>1</v>
      </c>
      <c r="AG24" s="108">
        <f t="shared" si="0"/>
        <v>0</v>
      </c>
      <c r="AH24" s="108">
        <f t="shared" si="1"/>
        <v>1</v>
      </c>
      <c r="AI24" s="108">
        <f t="shared" si="9"/>
        <v>0</v>
      </c>
      <c r="AJ24" s="108">
        <f t="shared" si="2"/>
        <v>0</v>
      </c>
      <c r="AK24" s="108">
        <f t="shared" si="3"/>
        <v>0</v>
      </c>
      <c r="AL24" s="108">
        <f t="shared" si="4"/>
        <v>0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12">
        <v>18</v>
      </c>
      <c r="C25" s="125">
        <v>41808</v>
      </c>
      <c r="D25" s="14" t="s">
        <v>16</v>
      </c>
      <c r="E25" s="15" t="s">
        <v>9</v>
      </c>
      <c r="F25" s="31" t="s">
        <v>14</v>
      </c>
      <c r="G25" s="85">
        <v>1</v>
      </c>
      <c r="H25" s="15" t="s">
        <v>9</v>
      </c>
      <c r="I25" s="90">
        <v>2</v>
      </c>
      <c r="J25" s="17">
        <f t="shared" si="10"/>
        <v>2</v>
      </c>
      <c r="K25" s="11">
        <f t="shared" si="5"/>
        <v>0</v>
      </c>
      <c r="L25" s="11">
        <f t="shared" si="6"/>
        <v>3</v>
      </c>
      <c r="O25" s="40"/>
      <c r="P25" s="41"/>
      <c r="Q25" s="41"/>
      <c r="R25" s="41"/>
      <c r="S25" s="41"/>
      <c r="T25" s="41"/>
      <c r="U25" s="40"/>
      <c r="V25" s="40"/>
      <c r="W25" s="40"/>
      <c r="Y25" s="109">
        <f t="shared" si="7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8"/>
        <v>5</v>
      </c>
      <c r="AG25" s="108">
        <f t="shared" si="0"/>
        <v>0</v>
      </c>
      <c r="AH25" s="108">
        <f t="shared" si="1"/>
        <v>0</v>
      </c>
      <c r="AI25" s="108">
        <f t="shared" si="9"/>
        <v>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40"/>
      <c r="AO25" s="41"/>
    </row>
    <row r="26" spans="2:41" ht="15.75" thickBot="1">
      <c r="B26" s="18">
        <v>19</v>
      </c>
      <c r="C26" s="126">
        <v>41808</v>
      </c>
      <c r="D26" s="20" t="s">
        <v>13</v>
      </c>
      <c r="E26" s="21" t="s">
        <v>9</v>
      </c>
      <c r="F26" s="30" t="s">
        <v>15</v>
      </c>
      <c r="G26" s="86">
        <v>2</v>
      </c>
      <c r="H26" s="21" t="s">
        <v>9</v>
      </c>
      <c r="I26" s="91">
        <v>1</v>
      </c>
      <c r="J26" s="23">
        <f t="shared" si="10"/>
        <v>1</v>
      </c>
      <c r="K26" s="11">
        <f t="shared" si="5"/>
        <v>3</v>
      </c>
      <c r="L26" s="11">
        <f t="shared" si="6"/>
        <v>0</v>
      </c>
      <c r="O26" s="72" t="s">
        <v>61</v>
      </c>
      <c r="P26" s="73" t="s">
        <v>42</v>
      </c>
      <c r="Q26" s="73" t="s">
        <v>43</v>
      </c>
      <c r="R26" s="74" t="s">
        <v>44</v>
      </c>
      <c r="S26" s="75" t="s">
        <v>45</v>
      </c>
      <c r="T26" s="76" t="s">
        <v>46</v>
      </c>
      <c r="U26" s="40"/>
      <c r="V26" s="40"/>
      <c r="W26" s="40"/>
      <c r="Y26" s="109">
        <f t="shared" si="7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8"/>
        <v>0</v>
      </c>
      <c r="AG26" s="108">
        <f t="shared" si="0"/>
        <v>0</v>
      </c>
      <c r="AH26" s="108">
        <f t="shared" si="1"/>
        <v>0</v>
      </c>
      <c r="AI26" s="108">
        <f t="shared" si="9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24">
        <v>20</v>
      </c>
      <c r="C27" s="127">
        <v>41808</v>
      </c>
      <c r="D27" s="26" t="s">
        <v>12</v>
      </c>
      <c r="E27" s="27" t="s">
        <v>9</v>
      </c>
      <c r="F27" s="28" t="s">
        <v>10</v>
      </c>
      <c r="G27" s="87">
        <v>1</v>
      </c>
      <c r="H27" s="27" t="s">
        <v>9</v>
      </c>
      <c r="I27" s="92">
        <v>2</v>
      </c>
      <c r="J27" s="29">
        <f t="shared" si="10"/>
        <v>2</v>
      </c>
      <c r="K27" s="11">
        <f t="shared" si="5"/>
        <v>0</v>
      </c>
      <c r="L27" s="11">
        <f t="shared" si="6"/>
        <v>3</v>
      </c>
      <c r="O27" s="44" t="s">
        <v>19</v>
      </c>
      <c r="P27" s="45">
        <f>SUMIF($D$8:$D$55,$O27,$G$8:$G$55)+SUMIF($F$8:$F$55,$O27,$I$8:$I$55)</f>
        <v>8</v>
      </c>
      <c r="Q27" s="45">
        <f>SUMIF($D$8:$D$55,$O27,$I$8:$I$55)+SUMIF($F$8:$F$55,$O27,$G$8:$G$55)</f>
        <v>3</v>
      </c>
      <c r="R27" s="46">
        <f>P27-Q27</f>
        <v>5</v>
      </c>
      <c r="S27" s="47">
        <f>SUMIF($D$8:$D$55,$O27,$K$8:$K$55)+SUMIF($F$8:$F$55,$O27,$L$8:$L$55)</f>
        <v>9</v>
      </c>
      <c r="T27" s="94" t="s">
        <v>62</v>
      </c>
      <c r="U27" s="40"/>
      <c r="V27" s="40" t="str">
        <f>O27</f>
        <v>Uruguay</v>
      </c>
      <c r="W27" s="40" t="s">
        <v>62</v>
      </c>
      <c r="Y27" s="109">
        <f t="shared" si="7"/>
        <v>5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8"/>
        <v>5</v>
      </c>
      <c r="AG27" s="108">
        <f t="shared" si="0"/>
        <v>0</v>
      </c>
      <c r="AH27" s="108">
        <f t="shared" si="1"/>
        <v>0</v>
      </c>
      <c r="AI27" s="108">
        <f t="shared" si="9"/>
        <v>0</v>
      </c>
      <c r="AJ27" s="108">
        <f t="shared" si="2"/>
        <v>0</v>
      </c>
      <c r="AK27" s="108">
        <f t="shared" si="3"/>
        <v>5</v>
      </c>
      <c r="AL27" s="108">
        <f t="shared" si="4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12">
        <v>21</v>
      </c>
      <c r="C28" s="125">
        <v>41809</v>
      </c>
      <c r="D28" s="14" t="s">
        <v>17</v>
      </c>
      <c r="E28" s="15" t="s">
        <v>9</v>
      </c>
      <c r="F28" s="16" t="s">
        <v>23</v>
      </c>
      <c r="G28" s="85">
        <v>1</v>
      </c>
      <c r="H28" s="15" t="s">
        <v>9</v>
      </c>
      <c r="I28" s="90">
        <v>1</v>
      </c>
      <c r="J28" s="17">
        <f t="shared" si="10"/>
        <v>3</v>
      </c>
      <c r="K28" s="11">
        <f t="shared" si="5"/>
        <v>1</v>
      </c>
      <c r="L28" s="11">
        <f t="shared" si="6"/>
        <v>1</v>
      </c>
      <c r="O28" s="48" t="s">
        <v>20</v>
      </c>
      <c r="P28" s="49">
        <f>SUMIF($D$8:$D$55,$O28,$G$8:$G$55)+SUMIF($F$8:$F$55,$O28,$I$8:$I$55)</f>
        <v>2</v>
      </c>
      <c r="Q28" s="49">
        <f>SUMIF($D$8:$D$55,$O28,$I$8:$I$55)+SUMIF($F$8:$F$55,$O28,$G$8:$G$55)</f>
        <v>6</v>
      </c>
      <c r="R28" s="49">
        <f>P28-Q28</f>
        <v>-4</v>
      </c>
      <c r="S28" s="50">
        <f>SUMIF($D$8:$D$55,$O28,$K$8:$K$55)+SUMIF($F$8:$F$55,$O28,$L$8:$L$55)</f>
        <v>0</v>
      </c>
      <c r="T28" s="95" t="s">
        <v>65</v>
      </c>
      <c r="U28" s="40"/>
      <c r="V28" s="40" t="str">
        <f>O28</f>
        <v>Costa Rica</v>
      </c>
      <c r="W28" s="40" t="s">
        <v>63</v>
      </c>
      <c r="Y28" s="109">
        <f t="shared" si="7"/>
        <v>1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8"/>
        <v>1</v>
      </c>
      <c r="AG28" s="108">
        <f t="shared" si="0"/>
        <v>0</v>
      </c>
      <c r="AH28" s="108">
        <f t="shared" si="1"/>
        <v>1</v>
      </c>
      <c r="AI28" s="108">
        <f t="shared" si="9"/>
        <v>0</v>
      </c>
      <c r="AJ28" s="108">
        <f t="shared" si="2"/>
        <v>0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18">
        <v>22</v>
      </c>
      <c r="C29" s="126">
        <v>41809</v>
      </c>
      <c r="D29" s="20" t="s">
        <v>19</v>
      </c>
      <c r="E29" s="21" t="s">
        <v>9</v>
      </c>
      <c r="F29" s="30" t="s">
        <v>21</v>
      </c>
      <c r="G29" s="86">
        <v>3</v>
      </c>
      <c r="H29" s="21" t="s">
        <v>9</v>
      </c>
      <c r="I29" s="91">
        <v>1</v>
      </c>
      <c r="J29" s="23">
        <f t="shared" si="10"/>
        <v>1</v>
      </c>
      <c r="K29" s="11">
        <f t="shared" si="5"/>
        <v>3</v>
      </c>
      <c r="L29" s="11">
        <f t="shared" si="6"/>
        <v>0</v>
      </c>
      <c r="O29" s="48" t="s">
        <v>21</v>
      </c>
      <c r="P29" s="49">
        <f>SUMIF($D$8:$D$55,$O29,$G$8:$G$55)+SUMIF($F$8:$F$55,$O29,$I$8:$I$55)</f>
        <v>4</v>
      </c>
      <c r="Q29" s="49">
        <f>SUMIF($D$8:$D$55,$O29,$I$8:$I$55)+SUMIF($F$8:$F$55,$O29,$G$8:$G$55)</f>
        <v>6</v>
      </c>
      <c r="R29" s="49">
        <f>P29-Q29</f>
        <v>-2</v>
      </c>
      <c r="S29" s="50">
        <f>SUMIF($D$8:$D$55,$O29,$K$8:$K$55)+SUMIF($F$8:$F$55,$O29,$L$8:$L$55)</f>
        <v>3</v>
      </c>
      <c r="T29" s="95" t="s">
        <v>64</v>
      </c>
      <c r="U29" s="40"/>
      <c r="V29" s="40" t="str">
        <f>O29</f>
        <v>Engeland</v>
      </c>
      <c r="W29" s="40" t="s">
        <v>64</v>
      </c>
      <c r="Y29" s="109">
        <f t="shared" si="7"/>
        <v>6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8"/>
        <v>6</v>
      </c>
      <c r="AG29" s="108">
        <f t="shared" si="0"/>
        <v>0</v>
      </c>
      <c r="AH29" s="108">
        <f t="shared" si="1"/>
        <v>1</v>
      </c>
      <c r="AI29" s="108">
        <f t="shared" si="9"/>
        <v>0</v>
      </c>
      <c r="AJ29" s="108">
        <f t="shared" si="2"/>
        <v>5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24">
        <v>23</v>
      </c>
      <c r="C30" s="127">
        <v>41809</v>
      </c>
      <c r="D30" s="26" t="s">
        <v>24</v>
      </c>
      <c r="E30" s="27" t="s">
        <v>9</v>
      </c>
      <c r="F30" s="28" t="s">
        <v>18</v>
      </c>
      <c r="G30" s="87">
        <v>1</v>
      </c>
      <c r="H30" s="27" t="s">
        <v>9</v>
      </c>
      <c r="I30" s="92">
        <v>0</v>
      </c>
      <c r="J30" s="29">
        <f t="shared" si="10"/>
        <v>1</v>
      </c>
      <c r="K30" s="11">
        <f t="shared" si="5"/>
        <v>3</v>
      </c>
      <c r="L30" s="11">
        <f t="shared" si="6"/>
        <v>0</v>
      </c>
      <c r="O30" s="51" t="s">
        <v>22</v>
      </c>
      <c r="P30" s="52">
        <f>SUMIF($D$8:$D$55,$O30,$G$8:$G$55)+SUMIF($F$8:$F$55,$O30,$I$8:$I$55)</f>
        <v>4</v>
      </c>
      <c r="Q30" s="52">
        <f>SUMIF($D$8:$D$55,$O30,$I$8:$I$55)+SUMIF($F$8:$F$55,$O30,$G$8:$G$55)</f>
        <v>3</v>
      </c>
      <c r="R30" s="52">
        <f>P30-Q30</f>
        <v>1</v>
      </c>
      <c r="S30" s="53">
        <f>SUMIF($D$8:$D$55,$O30,$K$8:$K$55)+SUMIF($F$8:$F$55,$O30,$L$8:$L$55)</f>
        <v>6</v>
      </c>
      <c r="T30" s="96" t="s">
        <v>63</v>
      </c>
      <c r="U30" s="40"/>
      <c r="V30" s="40" t="str">
        <f>O30</f>
        <v>Italië</v>
      </c>
      <c r="W30" s="40" t="s">
        <v>65</v>
      </c>
      <c r="Y30" s="109">
        <f t="shared" si="7"/>
        <v>1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8"/>
        <v>1</v>
      </c>
      <c r="AG30" s="108">
        <f t="shared" si="0"/>
        <v>0</v>
      </c>
      <c r="AH30" s="108">
        <f t="shared" si="1"/>
        <v>1</v>
      </c>
      <c r="AI30" s="108">
        <f t="shared" si="9"/>
        <v>0</v>
      </c>
      <c r="AJ30" s="108">
        <f t="shared" si="2"/>
        <v>0</v>
      </c>
      <c r="AK30" s="108">
        <f t="shared" si="3"/>
        <v>0</v>
      </c>
      <c r="AL30" s="108">
        <f t="shared" si="4"/>
        <v>0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12">
        <v>24</v>
      </c>
      <c r="C31" s="125">
        <v>41810</v>
      </c>
      <c r="D31" s="14" t="s">
        <v>22</v>
      </c>
      <c r="E31" s="15" t="s">
        <v>9</v>
      </c>
      <c r="F31" s="16" t="s">
        <v>20</v>
      </c>
      <c r="G31" s="85">
        <v>1</v>
      </c>
      <c r="H31" s="15" t="s">
        <v>9</v>
      </c>
      <c r="I31" s="90">
        <v>0</v>
      </c>
      <c r="J31" s="17">
        <f t="shared" si="10"/>
        <v>1</v>
      </c>
      <c r="K31" s="11">
        <f t="shared" si="5"/>
        <v>3</v>
      </c>
      <c r="L31" s="11">
        <f t="shared" si="6"/>
        <v>0</v>
      </c>
      <c r="O31" s="40"/>
      <c r="P31" s="41"/>
      <c r="Q31" s="41"/>
      <c r="R31" s="41"/>
      <c r="S31" s="41"/>
      <c r="T31" s="41"/>
      <c r="U31" s="40"/>
      <c r="V31" s="40"/>
      <c r="W31" s="40"/>
      <c r="Y31" s="109">
        <f t="shared" si="7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8"/>
        <v>0</v>
      </c>
      <c r="AG31" s="108">
        <f t="shared" si="0"/>
        <v>0</v>
      </c>
      <c r="AH31" s="108">
        <f t="shared" si="1"/>
        <v>0</v>
      </c>
      <c r="AI31" s="108">
        <f t="shared" si="9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40"/>
      <c r="AO31" s="41"/>
    </row>
    <row r="32" spans="2:41" ht="15.75" thickBot="1">
      <c r="B32" s="18">
        <v>25</v>
      </c>
      <c r="C32" s="126">
        <v>41810</v>
      </c>
      <c r="D32" s="20" t="s">
        <v>25</v>
      </c>
      <c r="E32" s="21" t="s">
        <v>9</v>
      </c>
      <c r="F32" s="30" t="s">
        <v>27</v>
      </c>
      <c r="G32" s="86">
        <v>1</v>
      </c>
      <c r="H32" s="21" t="s">
        <v>9</v>
      </c>
      <c r="I32" s="91">
        <v>1</v>
      </c>
      <c r="J32" s="23">
        <f t="shared" si="10"/>
        <v>3</v>
      </c>
      <c r="K32" s="11">
        <f t="shared" si="5"/>
        <v>1</v>
      </c>
      <c r="L32" s="11">
        <f t="shared" si="6"/>
        <v>1</v>
      </c>
      <c r="O32" s="72" t="s">
        <v>66</v>
      </c>
      <c r="P32" s="73" t="s">
        <v>42</v>
      </c>
      <c r="Q32" s="73" t="s">
        <v>43</v>
      </c>
      <c r="R32" s="74" t="s">
        <v>44</v>
      </c>
      <c r="S32" s="75" t="s">
        <v>45</v>
      </c>
      <c r="T32" s="76" t="s">
        <v>46</v>
      </c>
      <c r="U32" s="40"/>
      <c r="V32" s="40"/>
      <c r="W32" s="40"/>
      <c r="Y32" s="109">
        <f t="shared" si="7"/>
        <v>0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8"/>
        <v>0</v>
      </c>
      <c r="AG32" s="108">
        <f t="shared" si="0"/>
        <v>0</v>
      </c>
      <c r="AH32" s="108">
        <f t="shared" si="1"/>
        <v>0</v>
      </c>
      <c r="AI32" s="108">
        <f t="shared" si="9"/>
        <v>0</v>
      </c>
      <c r="AJ32" s="108">
        <f t="shared" si="2"/>
        <v>0</v>
      </c>
      <c r="AK32" s="108">
        <f t="shared" si="3"/>
        <v>0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24">
        <v>26</v>
      </c>
      <c r="C33" s="127">
        <v>41810</v>
      </c>
      <c r="D33" s="26" t="s">
        <v>28</v>
      </c>
      <c r="E33" s="27" t="s">
        <v>9</v>
      </c>
      <c r="F33" s="28" t="s">
        <v>26</v>
      </c>
      <c r="G33" s="87">
        <v>1</v>
      </c>
      <c r="H33" s="27" t="s">
        <v>9</v>
      </c>
      <c r="I33" s="92">
        <v>2</v>
      </c>
      <c r="J33" s="29">
        <f t="shared" si="10"/>
        <v>2</v>
      </c>
      <c r="K33" s="11">
        <f t="shared" si="5"/>
        <v>0</v>
      </c>
      <c r="L33" s="11">
        <f t="shared" si="6"/>
        <v>3</v>
      </c>
      <c r="O33" s="44" t="s">
        <v>25</v>
      </c>
      <c r="P33" s="45">
        <f>SUMIF($D$8:$D$55,$O33,$G$8:$G$55)+SUMIF($F$8:$F$55,$O33,$I$8:$I$55)</f>
        <v>5</v>
      </c>
      <c r="Q33" s="45">
        <f>SUMIF($D$8:$D$55,$O33,$I$8:$I$55)+SUMIF($F$8:$F$55,$O33,$G$8:$G$55)</f>
        <v>2</v>
      </c>
      <c r="R33" s="46">
        <f>P33-Q33</f>
        <v>3</v>
      </c>
      <c r="S33" s="47">
        <f>SUMIF($D$8:$D$55,$O33,$K$8:$K$55)+SUMIF($F$8:$F$55,$O33,$L$8:$L$55)</f>
        <v>7</v>
      </c>
      <c r="T33" s="94" t="s">
        <v>67</v>
      </c>
      <c r="U33" s="40"/>
      <c r="V33" s="40" t="str">
        <f>O33</f>
        <v>Zwitserland</v>
      </c>
      <c r="W33" s="40" t="s">
        <v>67</v>
      </c>
      <c r="Y33" s="109">
        <f t="shared" si="7"/>
        <v>10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8"/>
        <v>10</v>
      </c>
      <c r="AG33" s="108">
        <f t="shared" si="0"/>
        <v>1</v>
      </c>
      <c r="AH33" s="108">
        <f t="shared" si="1"/>
        <v>1</v>
      </c>
      <c r="AI33" s="108">
        <f t="shared" si="9"/>
        <v>10</v>
      </c>
      <c r="AJ33" s="108">
        <f t="shared" si="2"/>
        <v>0</v>
      </c>
      <c r="AK33" s="108">
        <f t="shared" si="3"/>
        <v>5</v>
      </c>
      <c r="AL33" s="108">
        <f t="shared" si="4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12">
        <v>27</v>
      </c>
      <c r="C34" s="125">
        <v>41811</v>
      </c>
      <c r="D34" s="14" t="s">
        <v>29</v>
      </c>
      <c r="E34" s="15" t="s">
        <v>9</v>
      </c>
      <c r="F34" s="16" t="s">
        <v>33</v>
      </c>
      <c r="G34" s="85">
        <v>2</v>
      </c>
      <c r="H34" s="15" t="s">
        <v>9</v>
      </c>
      <c r="I34" s="90">
        <v>1</v>
      </c>
      <c r="J34" s="17">
        <f t="shared" si="10"/>
        <v>1</v>
      </c>
      <c r="K34" s="11">
        <f t="shared" si="5"/>
        <v>3</v>
      </c>
      <c r="L34" s="11">
        <f t="shared" si="6"/>
        <v>0</v>
      </c>
      <c r="O34" s="48" t="s">
        <v>26</v>
      </c>
      <c r="P34" s="49">
        <f>SUMIF($D$8:$D$55,$O34,$G$8:$G$55)+SUMIF($F$8:$F$55,$O34,$I$8:$I$55)</f>
        <v>3</v>
      </c>
      <c r="Q34" s="49">
        <f>SUMIF($D$8:$D$55,$O34,$I$8:$I$55)+SUMIF($F$8:$F$55,$O34,$G$8:$G$55)</f>
        <v>4</v>
      </c>
      <c r="R34" s="49">
        <f>P34-Q34</f>
        <v>-1</v>
      </c>
      <c r="S34" s="50">
        <f>SUMIF($D$8:$D$55,$O34,$K$8:$K$55)+SUMIF($F$8:$F$55,$O34,$L$8:$L$55)</f>
        <v>4</v>
      </c>
      <c r="T34" s="95" t="s">
        <v>69</v>
      </c>
      <c r="U34" s="40"/>
      <c r="V34" s="40" t="str">
        <f>O34</f>
        <v>Ecuador</v>
      </c>
      <c r="W34" s="40" t="s">
        <v>68</v>
      </c>
      <c r="Y34" s="109">
        <f t="shared" si="7"/>
        <v>5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8"/>
        <v>5</v>
      </c>
      <c r="AG34" s="108">
        <f t="shared" si="0"/>
        <v>0</v>
      </c>
      <c r="AH34" s="108">
        <f t="shared" si="1"/>
        <v>0</v>
      </c>
      <c r="AI34" s="108">
        <f t="shared" si="9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10</v>
      </c>
      <c r="AN34" s="117" t="s">
        <v>26</v>
      </c>
      <c r="AO34" s="115">
        <f>IF(Uitslag!T34="",0,IF(T34=Uitslag!T34,10,0))</f>
        <v>10</v>
      </c>
    </row>
    <row r="35" spans="2:41" ht="15.75" thickBot="1">
      <c r="B35" s="18">
        <v>28</v>
      </c>
      <c r="C35" s="126">
        <v>41811</v>
      </c>
      <c r="D35" s="20" t="s">
        <v>31</v>
      </c>
      <c r="E35" s="21" t="s">
        <v>9</v>
      </c>
      <c r="F35" s="30" t="s">
        <v>35</v>
      </c>
      <c r="G35" s="86">
        <v>1</v>
      </c>
      <c r="H35" s="21" t="s">
        <v>9</v>
      </c>
      <c r="I35" s="91">
        <v>1</v>
      </c>
      <c r="J35" s="23">
        <f t="shared" si="10"/>
        <v>3</v>
      </c>
      <c r="K35" s="11">
        <f t="shared" si="5"/>
        <v>1</v>
      </c>
      <c r="L35" s="11">
        <f t="shared" si="6"/>
        <v>1</v>
      </c>
      <c r="O35" s="48" t="s">
        <v>27</v>
      </c>
      <c r="P35" s="49">
        <f>SUMIF($D$8:$D$55,$O35,$G$8:$G$55)+SUMIF($F$8:$F$55,$O35,$I$8:$I$55)</f>
        <v>4</v>
      </c>
      <c r="Q35" s="49">
        <f>SUMIF($D$8:$D$55,$O35,$I$8:$I$55)+SUMIF($F$8:$F$55,$O35,$G$8:$G$55)</f>
        <v>3</v>
      </c>
      <c r="R35" s="49">
        <f>P35-Q35</f>
        <v>1</v>
      </c>
      <c r="S35" s="50">
        <f>SUMIF($D$8:$D$55,$O35,$K$8:$K$55)+SUMIF($F$8:$F$55,$O35,$L$8:$L$55)</f>
        <v>5</v>
      </c>
      <c r="T35" s="95" t="s">
        <v>68</v>
      </c>
      <c r="U35" s="40"/>
      <c r="V35" s="40" t="str">
        <f>O35</f>
        <v>Frankrijk</v>
      </c>
      <c r="W35" s="40" t="s">
        <v>69</v>
      </c>
      <c r="Y35" s="109">
        <f t="shared" si="7"/>
        <v>5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8"/>
        <v>5</v>
      </c>
      <c r="AG35" s="108">
        <f t="shared" si="0"/>
        <v>0</v>
      </c>
      <c r="AH35" s="108">
        <f t="shared" si="1"/>
        <v>0</v>
      </c>
      <c r="AI35" s="108">
        <f t="shared" si="9"/>
        <v>0</v>
      </c>
      <c r="AJ35" s="108">
        <f t="shared" si="2"/>
        <v>0</v>
      </c>
      <c r="AK35" s="108">
        <f t="shared" si="3"/>
        <v>0</v>
      </c>
      <c r="AL35" s="108">
        <f t="shared" si="4"/>
        <v>5</v>
      </c>
      <c r="AM35" s="120">
        <f>AO35</f>
        <v>0</v>
      </c>
      <c r="AN35" s="117" t="s">
        <v>27</v>
      </c>
      <c r="AO35" s="115">
        <f>IF(Uitslag!T35="",0,IF(T35=Uitslag!T35,10,0))</f>
        <v>0</v>
      </c>
    </row>
    <row r="36" spans="2:41" ht="15.75" thickBot="1">
      <c r="B36" s="24">
        <v>29</v>
      </c>
      <c r="C36" s="127">
        <v>41811</v>
      </c>
      <c r="D36" s="26" t="s">
        <v>34</v>
      </c>
      <c r="E36" s="27" t="s">
        <v>9</v>
      </c>
      <c r="F36" s="28" t="s">
        <v>30</v>
      </c>
      <c r="G36" s="87">
        <v>1</v>
      </c>
      <c r="H36" s="27" t="s">
        <v>9</v>
      </c>
      <c r="I36" s="92">
        <v>0</v>
      </c>
      <c r="J36" s="29">
        <f t="shared" si="10"/>
        <v>1</v>
      </c>
      <c r="K36" s="11">
        <f t="shared" si="5"/>
        <v>3</v>
      </c>
      <c r="L36" s="11">
        <f t="shared" si="6"/>
        <v>0</v>
      </c>
      <c r="O36" s="51" t="s">
        <v>28</v>
      </c>
      <c r="P36" s="52">
        <f>SUMIF($D$8:$D$55,$O36,$G$8:$G$55)+SUMIF($F$8:$F$55,$O36,$I$8:$I$55)</f>
        <v>3</v>
      </c>
      <c r="Q36" s="52">
        <f>SUMIF($D$8:$D$55,$O36,$I$8:$I$55)+SUMIF($F$8:$F$55,$O36,$G$8:$G$55)</f>
        <v>6</v>
      </c>
      <c r="R36" s="52">
        <f>P36-Q36</f>
        <v>-3</v>
      </c>
      <c r="S36" s="53">
        <f>SUMIF($D$8:$D$55,$O36,$K$8:$K$55)+SUMIF($F$8:$F$55,$O36,$L$8:$L$55)</f>
        <v>0</v>
      </c>
      <c r="T36" s="96" t="s">
        <v>70</v>
      </c>
      <c r="U36" s="40"/>
      <c r="V36" s="40" t="str">
        <f>O36</f>
        <v>Honduras</v>
      </c>
      <c r="W36" s="40" t="s">
        <v>70</v>
      </c>
      <c r="Y36" s="109">
        <f t="shared" si="7"/>
        <v>10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8"/>
        <v>10</v>
      </c>
      <c r="AG36" s="108">
        <f t="shared" si="0"/>
        <v>1</v>
      </c>
      <c r="AH36" s="108">
        <f t="shared" si="1"/>
        <v>1</v>
      </c>
      <c r="AI36" s="108">
        <f t="shared" si="9"/>
        <v>10</v>
      </c>
      <c r="AJ36" s="108">
        <f t="shared" si="2"/>
        <v>5</v>
      </c>
      <c r="AK36" s="108">
        <f t="shared" si="3"/>
        <v>0</v>
      </c>
      <c r="AL36" s="108">
        <f t="shared" si="4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12">
        <v>30</v>
      </c>
      <c r="C37" s="125">
        <v>41812</v>
      </c>
      <c r="D37" s="14" t="s">
        <v>37</v>
      </c>
      <c r="E37" s="15" t="s">
        <v>9</v>
      </c>
      <c r="F37" s="16" t="s">
        <v>39</v>
      </c>
      <c r="G37" s="85">
        <v>1</v>
      </c>
      <c r="H37" s="15" t="s">
        <v>9</v>
      </c>
      <c r="I37" s="90">
        <v>1</v>
      </c>
      <c r="J37" s="17">
        <f t="shared" si="10"/>
        <v>3</v>
      </c>
      <c r="K37" s="11">
        <f t="shared" si="5"/>
        <v>1</v>
      </c>
      <c r="L37" s="11">
        <f t="shared" si="6"/>
        <v>1</v>
      </c>
      <c r="O37" s="40"/>
      <c r="P37" s="41"/>
      <c r="Q37" s="41"/>
      <c r="R37" s="41"/>
      <c r="S37" s="41"/>
      <c r="T37" s="41"/>
      <c r="U37" s="40"/>
      <c r="V37" s="40"/>
      <c r="W37" s="40"/>
      <c r="Y37" s="109">
        <f t="shared" si="7"/>
        <v>1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8"/>
        <v>1</v>
      </c>
      <c r="AG37" s="108">
        <f t="shared" si="0"/>
        <v>1</v>
      </c>
      <c r="AH37" s="108">
        <f t="shared" si="1"/>
        <v>0</v>
      </c>
      <c r="AI37" s="108">
        <f t="shared" si="9"/>
        <v>0</v>
      </c>
      <c r="AJ37" s="108">
        <f t="shared" si="2"/>
        <v>0</v>
      </c>
      <c r="AK37" s="108">
        <f t="shared" si="3"/>
        <v>0</v>
      </c>
      <c r="AL37" s="108">
        <f t="shared" si="4"/>
        <v>0</v>
      </c>
      <c r="AN37" s="40"/>
      <c r="AO37" s="41"/>
    </row>
    <row r="38" spans="2:41" ht="15.75" thickBot="1">
      <c r="B38" s="18">
        <v>31</v>
      </c>
      <c r="C38" s="126">
        <v>41812</v>
      </c>
      <c r="D38" s="20" t="s">
        <v>40</v>
      </c>
      <c r="E38" s="21" t="s">
        <v>9</v>
      </c>
      <c r="F38" s="30" t="s">
        <v>38</v>
      </c>
      <c r="G38" s="86">
        <v>1</v>
      </c>
      <c r="H38" s="21" t="s">
        <v>9</v>
      </c>
      <c r="I38" s="91">
        <v>0</v>
      </c>
      <c r="J38" s="23">
        <f t="shared" si="10"/>
        <v>1</v>
      </c>
      <c r="K38" s="11">
        <f t="shared" si="5"/>
        <v>3</v>
      </c>
      <c r="L38" s="11">
        <f t="shared" si="6"/>
        <v>0</v>
      </c>
      <c r="O38" s="72" t="s">
        <v>71</v>
      </c>
      <c r="P38" s="73" t="s">
        <v>42</v>
      </c>
      <c r="Q38" s="73" t="s">
        <v>43</v>
      </c>
      <c r="R38" s="74" t="s">
        <v>44</v>
      </c>
      <c r="S38" s="75" t="s">
        <v>45</v>
      </c>
      <c r="T38" s="76" t="s">
        <v>46</v>
      </c>
      <c r="U38" s="40"/>
      <c r="V38" s="40"/>
      <c r="W38" s="40"/>
      <c r="Y38" s="109">
        <f t="shared" si="7"/>
        <v>0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8"/>
        <v>0</v>
      </c>
      <c r="AG38" s="108">
        <f t="shared" si="0"/>
        <v>0</v>
      </c>
      <c r="AH38" s="108">
        <f t="shared" si="1"/>
        <v>0</v>
      </c>
      <c r="AI38" s="108">
        <f t="shared" si="9"/>
        <v>0</v>
      </c>
      <c r="AJ38" s="108">
        <f t="shared" si="2"/>
        <v>0</v>
      </c>
      <c r="AK38" s="108">
        <f t="shared" si="3"/>
        <v>0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24">
        <v>32</v>
      </c>
      <c r="C39" s="127">
        <v>41812</v>
      </c>
      <c r="D39" s="26" t="s">
        <v>36</v>
      </c>
      <c r="E39" s="27" t="s">
        <v>9</v>
      </c>
      <c r="F39" s="28" t="s">
        <v>32</v>
      </c>
      <c r="G39" s="87">
        <v>1</v>
      </c>
      <c r="H39" s="27" t="s">
        <v>9</v>
      </c>
      <c r="I39" s="92">
        <v>2</v>
      </c>
      <c r="J39" s="29">
        <f t="shared" si="10"/>
        <v>2</v>
      </c>
      <c r="K39" s="11">
        <f t="shared" si="5"/>
        <v>0</v>
      </c>
      <c r="L39" s="11">
        <f t="shared" si="6"/>
        <v>3</v>
      </c>
      <c r="O39" s="44" t="s">
        <v>29</v>
      </c>
      <c r="P39" s="45">
        <f>SUMIF($D$8:$D$55,$O39,$G$8:$G$55)+SUMIF($F$8:$F$55,$O39,$I$8:$I$55)</f>
        <v>8</v>
      </c>
      <c r="Q39" s="45">
        <f>SUMIF($D$8:$D$55,$O39,$I$8:$I$55)+SUMIF($F$8:$F$55,$O39,$G$8:$G$55)</f>
        <v>3</v>
      </c>
      <c r="R39" s="46">
        <f>P39-Q39</f>
        <v>5</v>
      </c>
      <c r="S39" s="47">
        <f>SUMIF($D$8:$D$55,$O39,$K$8:$K$55)+SUMIF($F$8:$F$55,$O39,$L$8:$L$55)</f>
        <v>9</v>
      </c>
      <c r="T39" s="94" t="s">
        <v>72</v>
      </c>
      <c r="U39" s="40"/>
      <c r="V39" s="40" t="str">
        <f>O39</f>
        <v>Argentinië</v>
      </c>
      <c r="W39" s="40" t="s">
        <v>72</v>
      </c>
      <c r="Y39" s="109">
        <f t="shared" si="7"/>
        <v>1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8"/>
        <v>1</v>
      </c>
      <c r="AG39" s="108">
        <f t="shared" si="0"/>
        <v>0</v>
      </c>
      <c r="AH39" s="108">
        <f t="shared" si="1"/>
        <v>1</v>
      </c>
      <c r="AI39" s="108">
        <f t="shared" si="9"/>
        <v>0</v>
      </c>
      <c r="AJ39" s="108">
        <f t="shared" si="2"/>
        <v>0</v>
      </c>
      <c r="AK39" s="108">
        <f t="shared" si="3"/>
        <v>0</v>
      </c>
      <c r="AL39" s="108">
        <f t="shared" si="4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12">
        <v>33</v>
      </c>
      <c r="C40" s="125">
        <v>41813</v>
      </c>
      <c r="D40" s="14" t="s">
        <v>16</v>
      </c>
      <c r="E40" s="15" t="s">
        <v>9</v>
      </c>
      <c r="F40" s="16" t="s">
        <v>13</v>
      </c>
      <c r="G40" s="85">
        <v>1</v>
      </c>
      <c r="H40" s="15" t="s">
        <v>9</v>
      </c>
      <c r="I40" s="90">
        <v>3</v>
      </c>
      <c r="J40" s="17">
        <f t="shared" si="10"/>
        <v>2</v>
      </c>
      <c r="K40" s="11">
        <f t="shared" si="5"/>
        <v>0</v>
      </c>
      <c r="L40" s="11">
        <f t="shared" si="6"/>
        <v>3</v>
      </c>
      <c r="O40" s="48" t="s">
        <v>30</v>
      </c>
      <c r="P40" s="49">
        <f>SUMIF($D$8:$D$55,$O40,$G$8:$G$55)+SUMIF($F$8:$F$55,$O40,$I$8:$I$55)</f>
        <v>2</v>
      </c>
      <c r="Q40" s="49">
        <f>SUMIF($D$8:$D$55,$O40,$I$8:$I$55)+SUMIF($F$8:$F$55,$O40,$G$8:$G$55)</f>
        <v>5</v>
      </c>
      <c r="R40" s="49">
        <f>P40-Q40</f>
        <v>-3</v>
      </c>
      <c r="S40" s="50">
        <f>SUMIF($D$8:$D$55,$O40,$K$8:$K$55)+SUMIF($F$8:$F$55,$O40,$L$8:$L$55)</f>
        <v>1</v>
      </c>
      <c r="T40" s="95" t="s">
        <v>75</v>
      </c>
      <c r="U40" s="40"/>
      <c r="V40" s="40" t="str">
        <f>O40</f>
        <v>Bosnië H.</v>
      </c>
      <c r="W40" s="40" t="s">
        <v>73</v>
      </c>
      <c r="Y40" s="109">
        <f t="shared" si="7"/>
        <v>6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8"/>
        <v>6</v>
      </c>
      <c r="AG40" s="108">
        <f t="shared" si="0"/>
        <v>0</v>
      </c>
      <c r="AH40" s="108">
        <f t="shared" si="1"/>
        <v>1</v>
      </c>
      <c r="AI40" s="108">
        <f t="shared" si="9"/>
        <v>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0</v>
      </c>
      <c r="AN40" s="117" t="s">
        <v>30</v>
      </c>
      <c r="AO40" s="115">
        <f>IF(Uitslag!T40="",0,IF(T40=Uitslag!T40,10,0))</f>
        <v>0</v>
      </c>
    </row>
    <row r="41" spans="2:41" ht="15.75" thickBot="1">
      <c r="B41" s="18">
        <v>34</v>
      </c>
      <c r="C41" s="126">
        <v>41813</v>
      </c>
      <c r="D41" s="32" t="s">
        <v>14</v>
      </c>
      <c r="E41" s="21" t="s">
        <v>9</v>
      </c>
      <c r="F41" s="30" t="s">
        <v>15</v>
      </c>
      <c r="G41" s="86">
        <v>1</v>
      </c>
      <c r="H41" s="21" t="s">
        <v>9</v>
      </c>
      <c r="I41" s="91">
        <v>0</v>
      </c>
      <c r="J41" s="23">
        <f t="shared" si="10"/>
        <v>1</v>
      </c>
      <c r="K41" s="11">
        <f t="shared" si="5"/>
        <v>3</v>
      </c>
      <c r="L41" s="11">
        <f t="shared" si="6"/>
        <v>0</v>
      </c>
      <c r="O41" s="48" t="s">
        <v>33</v>
      </c>
      <c r="P41" s="49">
        <f>SUMIF($D$8:$D$55,$O41,$G$8:$G$55)+SUMIF($F$8:$F$55,$O41,$I$8:$I$55)</f>
        <v>4</v>
      </c>
      <c r="Q41" s="49">
        <f>SUMIF($D$8:$D$55,$O41,$I$8:$I$55)+SUMIF($F$8:$F$55,$O41,$G$8:$G$55)</f>
        <v>5</v>
      </c>
      <c r="R41" s="49">
        <f>P41-Q41</f>
        <v>-1</v>
      </c>
      <c r="S41" s="50">
        <f>SUMIF($D$8:$D$55,$O41,$K$8:$K$55)+SUMIF($F$8:$F$55,$O41,$L$8:$L$55)</f>
        <v>2</v>
      </c>
      <c r="T41" s="95" t="s">
        <v>74</v>
      </c>
      <c r="U41" s="40"/>
      <c r="V41" s="40" t="str">
        <f>O41</f>
        <v>Iran</v>
      </c>
      <c r="W41" s="40" t="s">
        <v>74</v>
      </c>
      <c r="Y41" s="109">
        <f t="shared" si="7"/>
        <v>6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8"/>
        <v>6</v>
      </c>
      <c r="AG41" s="108">
        <f t="shared" si="0"/>
        <v>0</v>
      </c>
      <c r="AH41" s="108">
        <f t="shared" si="1"/>
        <v>1</v>
      </c>
      <c r="AI41" s="108">
        <f t="shared" si="9"/>
        <v>0</v>
      </c>
      <c r="AJ41" s="108">
        <f t="shared" si="2"/>
        <v>5</v>
      </c>
      <c r="AK41" s="108">
        <f t="shared" si="3"/>
        <v>0</v>
      </c>
      <c r="AL41" s="108">
        <f t="shared" si="4"/>
        <v>0</v>
      </c>
      <c r="AM41" s="120">
        <f>AO41</f>
        <v>0</v>
      </c>
      <c r="AN41" s="117" t="s">
        <v>33</v>
      </c>
      <c r="AO41" s="115">
        <f>IF(Uitslag!T41="",0,IF(T41=Uitslag!T41,10,0))</f>
        <v>0</v>
      </c>
    </row>
    <row r="42" spans="2:41" ht="15.75" thickBot="1">
      <c r="B42" s="18">
        <v>35</v>
      </c>
      <c r="C42" s="126">
        <v>41813</v>
      </c>
      <c r="D42" s="20" t="s">
        <v>12</v>
      </c>
      <c r="E42" s="21" t="s">
        <v>9</v>
      </c>
      <c r="F42" s="30" t="s">
        <v>8</v>
      </c>
      <c r="G42" s="86">
        <v>1</v>
      </c>
      <c r="H42" s="21" t="s">
        <v>9</v>
      </c>
      <c r="I42" s="91">
        <v>2</v>
      </c>
      <c r="J42" s="23">
        <f t="shared" si="10"/>
        <v>2</v>
      </c>
      <c r="K42" s="11">
        <f t="shared" si="5"/>
        <v>0</v>
      </c>
      <c r="L42" s="11">
        <f t="shared" si="6"/>
        <v>3</v>
      </c>
      <c r="O42" s="51" t="s">
        <v>34</v>
      </c>
      <c r="P42" s="52">
        <f>SUMIF($D$8:$D$55,$O42,$G$8:$G$55)+SUMIF($F$8:$F$55,$O42,$I$8:$I$55)</f>
        <v>4</v>
      </c>
      <c r="Q42" s="52">
        <f>SUMIF($D$8:$D$55,$O42,$I$8:$I$55)+SUMIF($F$8:$F$55,$O42,$G$8:$G$55)</f>
        <v>5</v>
      </c>
      <c r="R42" s="52">
        <f>P42-Q42</f>
        <v>-1</v>
      </c>
      <c r="S42" s="53">
        <f>SUMIF($D$8:$D$55,$O42,$K$8:$K$55)+SUMIF($F$8:$F$55,$O42,$L$8:$L$55)</f>
        <v>4</v>
      </c>
      <c r="T42" s="96" t="s">
        <v>73</v>
      </c>
      <c r="U42" s="40"/>
      <c r="V42" s="40" t="str">
        <f>O42</f>
        <v>Nigeria</v>
      </c>
      <c r="W42" s="40" t="s">
        <v>75</v>
      </c>
      <c r="Y42" s="109">
        <f t="shared" si="7"/>
        <v>6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8"/>
        <v>6</v>
      </c>
      <c r="AG42" s="108">
        <f t="shared" si="0"/>
        <v>1</v>
      </c>
      <c r="AH42" s="108">
        <f t="shared" si="1"/>
        <v>0</v>
      </c>
      <c r="AI42" s="108">
        <f t="shared" si="9"/>
        <v>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24">
        <v>36</v>
      </c>
      <c r="C43" s="127">
        <v>41813</v>
      </c>
      <c r="D43" s="26" t="s">
        <v>10</v>
      </c>
      <c r="E43" s="27" t="s">
        <v>9</v>
      </c>
      <c r="F43" s="28" t="s">
        <v>11</v>
      </c>
      <c r="G43" s="87">
        <v>1</v>
      </c>
      <c r="H43" s="27" t="s">
        <v>9</v>
      </c>
      <c r="I43" s="92">
        <v>1</v>
      </c>
      <c r="J43" s="29">
        <f t="shared" si="10"/>
        <v>3</v>
      </c>
      <c r="K43" s="11">
        <f t="shared" si="5"/>
        <v>1</v>
      </c>
      <c r="L43" s="11">
        <f t="shared" si="6"/>
        <v>1</v>
      </c>
      <c r="O43" s="40"/>
      <c r="P43" s="41"/>
      <c r="Q43" s="41"/>
      <c r="R43" s="41"/>
      <c r="S43" s="41"/>
      <c r="T43" s="41"/>
      <c r="U43" s="40"/>
      <c r="V43" s="40"/>
      <c r="W43" s="40"/>
      <c r="Y43" s="109">
        <f t="shared" si="7"/>
        <v>1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8"/>
        <v>1</v>
      </c>
      <c r="AG43" s="108">
        <f t="shared" si="0"/>
        <v>1</v>
      </c>
      <c r="AH43" s="108">
        <f t="shared" si="1"/>
        <v>0</v>
      </c>
      <c r="AI43" s="108">
        <f t="shared" si="9"/>
        <v>0</v>
      </c>
      <c r="AJ43" s="108">
        <f t="shared" si="2"/>
        <v>0</v>
      </c>
      <c r="AK43" s="108">
        <f t="shared" si="3"/>
        <v>0</v>
      </c>
      <c r="AL43" s="108">
        <f t="shared" si="4"/>
        <v>0</v>
      </c>
      <c r="AN43" s="40"/>
      <c r="AO43" s="41"/>
    </row>
    <row r="44" spans="2:41" ht="15.75" thickBot="1">
      <c r="B44" s="12">
        <v>37</v>
      </c>
      <c r="C44" s="125">
        <v>41814</v>
      </c>
      <c r="D44" s="14" t="s">
        <v>22</v>
      </c>
      <c r="E44" s="15" t="s">
        <v>9</v>
      </c>
      <c r="F44" s="16" t="s">
        <v>19</v>
      </c>
      <c r="G44" s="85">
        <v>1</v>
      </c>
      <c r="H44" s="15" t="s">
        <v>9</v>
      </c>
      <c r="I44" s="90">
        <v>2</v>
      </c>
      <c r="J44" s="17">
        <f t="shared" si="10"/>
        <v>2</v>
      </c>
      <c r="K44" s="11">
        <f t="shared" si="5"/>
        <v>0</v>
      </c>
      <c r="L44" s="11">
        <f t="shared" si="6"/>
        <v>3</v>
      </c>
      <c r="O44" s="72" t="s">
        <v>76</v>
      </c>
      <c r="P44" s="73" t="s">
        <v>42</v>
      </c>
      <c r="Q44" s="73" t="s">
        <v>43</v>
      </c>
      <c r="R44" s="74" t="s">
        <v>44</v>
      </c>
      <c r="S44" s="75" t="s">
        <v>45</v>
      </c>
      <c r="T44" s="76" t="s">
        <v>46</v>
      </c>
      <c r="U44" s="40"/>
      <c r="V44" s="40"/>
      <c r="W44" s="40"/>
      <c r="Y44" s="109">
        <f t="shared" si="7"/>
        <v>5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8"/>
        <v>5</v>
      </c>
      <c r="AG44" s="108">
        <f t="shared" si="0"/>
        <v>0</v>
      </c>
      <c r="AH44" s="108">
        <f t="shared" si="1"/>
        <v>0</v>
      </c>
      <c r="AI44" s="108">
        <f t="shared" si="9"/>
        <v>0</v>
      </c>
      <c r="AJ44" s="108">
        <f t="shared" si="2"/>
        <v>0</v>
      </c>
      <c r="AK44" s="108">
        <f t="shared" si="3"/>
        <v>5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18">
        <v>38</v>
      </c>
      <c r="C45" s="126">
        <v>41814</v>
      </c>
      <c r="D45" s="20" t="s">
        <v>20</v>
      </c>
      <c r="E45" s="21" t="s">
        <v>9</v>
      </c>
      <c r="F45" s="30" t="s">
        <v>21</v>
      </c>
      <c r="G45" s="86">
        <v>1</v>
      </c>
      <c r="H45" s="21" t="s">
        <v>9</v>
      </c>
      <c r="I45" s="91">
        <v>2</v>
      </c>
      <c r="J45" s="23">
        <f t="shared" si="10"/>
        <v>2</v>
      </c>
      <c r="K45" s="11">
        <f t="shared" si="5"/>
        <v>0</v>
      </c>
      <c r="L45" s="11">
        <f t="shared" si="6"/>
        <v>3</v>
      </c>
      <c r="O45" s="44" t="s">
        <v>31</v>
      </c>
      <c r="P45" s="45">
        <f>SUMIF($D$8:$D$55,$O45,$G$8:$G$55)+SUMIF($F$8:$F$55,$O45,$I$8:$I$55)</f>
        <v>5</v>
      </c>
      <c r="Q45" s="45">
        <f>SUMIF($D$8:$D$55,$O45,$I$8:$I$55)+SUMIF($F$8:$F$55,$O45,$G$8:$G$55)</f>
        <v>3</v>
      </c>
      <c r="R45" s="46">
        <f>P45-Q45</f>
        <v>2</v>
      </c>
      <c r="S45" s="47">
        <f>SUMIF($D$8:$D$55,$O45,$K$8:$K$55)+SUMIF($F$8:$F$55,$O45,$L$8:$L$55)</f>
        <v>5</v>
      </c>
      <c r="T45" s="94" t="s">
        <v>77</v>
      </c>
      <c r="U45" s="40"/>
      <c r="V45" s="40" t="str">
        <f>O45</f>
        <v>Duitsland</v>
      </c>
      <c r="W45" s="40" t="s">
        <v>77</v>
      </c>
      <c r="Y45" s="109">
        <f t="shared" si="7"/>
        <v>0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8"/>
        <v>0</v>
      </c>
      <c r="AG45" s="108">
        <f t="shared" si="0"/>
        <v>0</v>
      </c>
      <c r="AH45" s="108">
        <f t="shared" si="1"/>
        <v>0</v>
      </c>
      <c r="AI45" s="108">
        <f t="shared" si="9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18">
        <v>39</v>
      </c>
      <c r="C46" s="126">
        <v>41814</v>
      </c>
      <c r="D46" s="20" t="s">
        <v>24</v>
      </c>
      <c r="E46" s="21" t="s">
        <v>9</v>
      </c>
      <c r="F46" s="30" t="s">
        <v>17</v>
      </c>
      <c r="G46" s="86">
        <v>2</v>
      </c>
      <c r="H46" s="21" t="s">
        <v>9</v>
      </c>
      <c r="I46" s="91">
        <v>1</v>
      </c>
      <c r="J46" s="23">
        <f t="shared" si="10"/>
        <v>1</v>
      </c>
      <c r="K46" s="11">
        <f t="shared" si="5"/>
        <v>3</v>
      </c>
      <c r="L46" s="11">
        <f t="shared" si="6"/>
        <v>0</v>
      </c>
      <c r="O46" s="48" t="s">
        <v>32</v>
      </c>
      <c r="P46" s="49">
        <f>SUMIF($D$8:$D$55,$O46,$G$8:$G$55)+SUMIF($F$8:$F$55,$O46,$I$8:$I$55)</f>
        <v>5</v>
      </c>
      <c r="Q46" s="49">
        <f>SUMIF($D$8:$D$55,$O46,$I$8:$I$55)+SUMIF($F$8:$F$55,$O46,$G$8:$G$55)</f>
        <v>4</v>
      </c>
      <c r="R46" s="49">
        <f>P46-Q46</f>
        <v>1</v>
      </c>
      <c r="S46" s="50">
        <f>SUMIF($D$8:$D$55,$O46,$K$8:$K$55)+SUMIF($F$8:$F$55,$O46,$L$8:$L$55)</f>
        <v>5</v>
      </c>
      <c r="T46" s="95" t="s">
        <v>78</v>
      </c>
      <c r="U46" s="40"/>
      <c r="V46" s="40" t="str">
        <f>O46</f>
        <v>Portugal</v>
      </c>
      <c r="W46" s="40" t="s">
        <v>78</v>
      </c>
      <c r="Y46" s="109">
        <f t="shared" si="7"/>
        <v>0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8"/>
        <v>0</v>
      </c>
      <c r="AG46" s="108">
        <f t="shared" si="0"/>
        <v>0</v>
      </c>
      <c r="AH46" s="108">
        <f t="shared" si="1"/>
        <v>0</v>
      </c>
      <c r="AI46" s="108">
        <f t="shared" si="9"/>
        <v>0</v>
      </c>
      <c r="AJ46" s="108">
        <f t="shared" si="2"/>
        <v>0</v>
      </c>
      <c r="AK46" s="108">
        <f t="shared" si="3"/>
        <v>0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24">
        <v>40</v>
      </c>
      <c r="C47" s="127">
        <v>41814</v>
      </c>
      <c r="D47" s="26" t="s">
        <v>18</v>
      </c>
      <c r="E47" s="27" t="s">
        <v>9</v>
      </c>
      <c r="F47" s="28" t="s">
        <v>23</v>
      </c>
      <c r="G47" s="87">
        <v>1</v>
      </c>
      <c r="H47" s="27" t="s">
        <v>9</v>
      </c>
      <c r="I47" s="92">
        <v>1</v>
      </c>
      <c r="J47" s="29">
        <f t="shared" si="10"/>
        <v>3</v>
      </c>
      <c r="K47" s="11">
        <f t="shared" si="5"/>
        <v>1</v>
      </c>
      <c r="L47" s="11">
        <f t="shared" si="6"/>
        <v>1</v>
      </c>
      <c r="O47" s="48" t="s">
        <v>35</v>
      </c>
      <c r="P47" s="49">
        <f>SUMIF($D$8:$D$55,$O47,$G$8:$G$55)+SUMIF($F$8:$F$55,$O47,$I$8:$I$55)</f>
        <v>4</v>
      </c>
      <c r="Q47" s="49">
        <f>SUMIF($D$8:$D$55,$O47,$I$8:$I$55)+SUMIF($F$8:$F$55,$O47,$G$8:$G$55)</f>
        <v>3</v>
      </c>
      <c r="R47" s="49">
        <f>P47-Q47</f>
        <v>1</v>
      </c>
      <c r="S47" s="50">
        <f>SUMIF($D$8:$D$55,$O47,$K$8:$K$55)+SUMIF($F$8:$F$55,$O47,$L$8:$L$55)</f>
        <v>5</v>
      </c>
      <c r="T47" s="95" t="s">
        <v>79</v>
      </c>
      <c r="U47" s="40"/>
      <c r="V47" s="40" t="str">
        <f>O47</f>
        <v>Ghana</v>
      </c>
      <c r="W47" s="40" t="s">
        <v>79</v>
      </c>
      <c r="Y47" s="109">
        <f t="shared" si="7"/>
        <v>1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8"/>
        <v>1</v>
      </c>
      <c r="AG47" s="108">
        <f t="shared" si="0"/>
        <v>0</v>
      </c>
      <c r="AH47" s="108">
        <f t="shared" si="1"/>
        <v>1</v>
      </c>
      <c r="AI47" s="108">
        <f t="shared" si="9"/>
        <v>0</v>
      </c>
      <c r="AJ47" s="108">
        <f t="shared" si="2"/>
        <v>0</v>
      </c>
      <c r="AK47" s="108">
        <f t="shared" si="3"/>
        <v>0</v>
      </c>
      <c r="AL47" s="108">
        <f t="shared" si="4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12">
        <v>41</v>
      </c>
      <c r="C48" s="125">
        <v>41815</v>
      </c>
      <c r="D48" s="14" t="s">
        <v>34</v>
      </c>
      <c r="E48" s="15" t="s">
        <v>9</v>
      </c>
      <c r="F48" s="16" t="s">
        <v>29</v>
      </c>
      <c r="G48" s="85">
        <v>1</v>
      </c>
      <c r="H48" s="15" t="s">
        <v>9</v>
      </c>
      <c r="I48" s="90">
        <v>3</v>
      </c>
      <c r="J48" s="17">
        <f t="shared" si="10"/>
        <v>2</v>
      </c>
      <c r="K48" s="11">
        <f t="shared" si="5"/>
        <v>0</v>
      </c>
      <c r="L48" s="11">
        <f t="shared" si="6"/>
        <v>3</v>
      </c>
      <c r="O48" s="51" t="s">
        <v>36</v>
      </c>
      <c r="P48" s="52">
        <f>SUMIF($D$8:$D$55,$O48,$G$8:$G$55)+SUMIF($F$8:$F$55,$O48,$I$8:$I$55)</f>
        <v>2</v>
      </c>
      <c r="Q48" s="52">
        <f>SUMIF($D$8:$D$55,$O48,$I$8:$I$55)+SUMIF($F$8:$F$55,$O48,$G$8:$G$55)</f>
        <v>6</v>
      </c>
      <c r="R48" s="52">
        <f>P48-Q48</f>
        <v>-4</v>
      </c>
      <c r="S48" s="53">
        <f>SUMIF($D$8:$D$55,$O48,$K$8:$K$55)+SUMIF($F$8:$F$55,$O48,$L$8:$L$55)</f>
        <v>0</v>
      </c>
      <c r="T48" s="96" t="s">
        <v>80</v>
      </c>
      <c r="U48" s="40"/>
      <c r="V48" s="40" t="str">
        <f>O48</f>
        <v>Verenigde Staten</v>
      </c>
      <c r="W48" s="40" t="s">
        <v>80</v>
      </c>
      <c r="Y48" s="109">
        <f t="shared" si="7"/>
        <v>6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8"/>
        <v>6</v>
      </c>
      <c r="AG48" s="108">
        <f t="shared" si="0"/>
        <v>0</v>
      </c>
      <c r="AH48" s="108">
        <f t="shared" si="1"/>
        <v>1</v>
      </c>
      <c r="AI48" s="108">
        <f t="shared" si="9"/>
        <v>0</v>
      </c>
      <c r="AJ48" s="108">
        <f t="shared" si="2"/>
        <v>0</v>
      </c>
      <c r="AK48" s="108">
        <f t="shared" si="3"/>
        <v>5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18">
        <v>42</v>
      </c>
      <c r="C49" s="126">
        <v>41815</v>
      </c>
      <c r="D49" s="20" t="s">
        <v>30</v>
      </c>
      <c r="E49" s="21" t="s">
        <v>9</v>
      </c>
      <c r="F49" s="30" t="s">
        <v>33</v>
      </c>
      <c r="G49" s="86">
        <v>1</v>
      </c>
      <c r="H49" s="21" t="s">
        <v>9</v>
      </c>
      <c r="I49" s="91">
        <v>1</v>
      </c>
      <c r="J49" s="23">
        <f t="shared" si="10"/>
        <v>3</v>
      </c>
      <c r="K49" s="11">
        <f t="shared" si="5"/>
        <v>1</v>
      </c>
      <c r="L49" s="11">
        <f t="shared" si="6"/>
        <v>1</v>
      </c>
      <c r="O49" s="40"/>
      <c r="P49" s="41"/>
      <c r="Q49" s="41"/>
      <c r="R49" s="41"/>
      <c r="S49" s="41"/>
      <c r="T49" s="41"/>
      <c r="U49" s="40"/>
      <c r="V49" s="40"/>
      <c r="W49" s="40"/>
      <c r="Y49" s="109">
        <f t="shared" si="7"/>
        <v>1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8"/>
        <v>1</v>
      </c>
      <c r="AG49" s="108">
        <f t="shared" si="0"/>
        <v>0</v>
      </c>
      <c r="AH49" s="108">
        <f t="shared" si="1"/>
        <v>1</v>
      </c>
      <c r="AI49" s="108">
        <f t="shared" si="9"/>
        <v>0</v>
      </c>
      <c r="AJ49" s="108">
        <f t="shared" si="2"/>
        <v>0</v>
      </c>
      <c r="AK49" s="108">
        <f t="shared" si="3"/>
        <v>0</v>
      </c>
      <c r="AL49" s="108">
        <f t="shared" si="4"/>
        <v>0</v>
      </c>
      <c r="AN49" s="40"/>
      <c r="AO49" s="41"/>
    </row>
    <row r="50" spans="2:54" ht="15.75" thickBot="1">
      <c r="B50" s="18">
        <v>43</v>
      </c>
      <c r="C50" s="126">
        <v>41815</v>
      </c>
      <c r="D50" s="20" t="s">
        <v>28</v>
      </c>
      <c r="E50" s="21" t="s">
        <v>9</v>
      </c>
      <c r="F50" s="30" t="s">
        <v>25</v>
      </c>
      <c r="G50" s="86">
        <v>1</v>
      </c>
      <c r="H50" s="21" t="s">
        <v>9</v>
      </c>
      <c r="I50" s="91">
        <v>2</v>
      </c>
      <c r="J50" s="23">
        <f t="shared" si="10"/>
        <v>2</v>
      </c>
      <c r="K50" s="11">
        <f t="shared" si="5"/>
        <v>0</v>
      </c>
      <c r="L50" s="11">
        <f t="shared" si="6"/>
        <v>3</v>
      </c>
      <c r="O50" s="72" t="s">
        <v>81</v>
      </c>
      <c r="P50" s="73" t="s">
        <v>42</v>
      </c>
      <c r="Q50" s="73" t="s">
        <v>43</v>
      </c>
      <c r="R50" s="74" t="s">
        <v>44</v>
      </c>
      <c r="S50" s="75" t="s">
        <v>45</v>
      </c>
      <c r="T50" s="76" t="s">
        <v>46</v>
      </c>
      <c r="U50" s="40"/>
      <c r="V50" s="40"/>
      <c r="W50" s="40"/>
      <c r="Y50" s="109">
        <f t="shared" si="7"/>
        <v>5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8"/>
        <v>5</v>
      </c>
      <c r="AG50" s="108">
        <f t="shared" si="0"/>
        <v>0</v>
      </c>
      <c r="AH50" s="108">
        <f t="shared" si="1"/>
        <v>0</v>
      </c>
      <c r="AI50" s="108">
        <f t="shared" si="9"/>
        <v>0</v>
      </c>
      <c r="AJ50" s="108">
        <f t="shared" si="2"/>
        <v>0</v>
      </c>
      <c r="AK50" s="108">
        <f t="shared" si="3"/>
        <v>5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24">
        <v>44</v>
      </c>
      <c r="C51" s="127">
        <v>41815</v>
      </c>
      <c r="D51" s="26" t="s">
        <v>26</v>
      </c>
      <c r="E51" s="27" t="s">
        <v>9</v>
      </c>
      <c r="F51" s="28" t="s">
        <v>27</v>
      </c>
      <c r="G51" s="87">
        <v>1</v>
      </c>
      <c r="H51" s="27" t="s">
        <v>9</v>
      </c>
      <c r="I51" s="92">
        <v>1</v>
      </c>
      <c r="J51" s="29">
        <f t="shared" si="10"/>
        <v>3</v>
      </c>
      <c r="K51" s="11">
        <f t="shared" si="5"/>
        <v>1</v>
      </c>
      <c r="L51" s="11">
        <f t="shared" si="6"/>
        <v>1</v>
      </c>
      <c r="O51" s="44" t="s">
        <v>37</v>
      </c>
      <c r="P51" s="45">
        <f>SUMIF($D$8:$D$55,$O51,$G$8:$G$55)+SUMIF($F$8:$F$55,$O51,$I$8:$I$55)</f>
        <v>6</v>
      </c>
      <c r="Q51" s="45">
        <f>SUMIF($D$8:$D$55,$O51,$I$8:$I$55)+SUMIF($F$8:$F$55,$O51,$G$8:$G$55)</f>
        <v>3</v>
      </c>
      <c r="R51" s="46">
        <f>P51-Q51</f>
        <v>3</v>
      </c>
      <c r="S51" s="47">
        <f>SUMIF($D$8:$D$55,$O51,$K$8:$K$55)+SUMIF($F$8:$F$55,$O51,$L$8:$L$55)</f>
        <v>7</v>
      </c>
      <c r="T51" s="94" t="s">
        <v>83</v>
      </c>
      <c r="U51" s="40"/>
      <c r="V51" s="40" t="str">
        <f>O51</f>
        <v>België</v>
      </c>
      <c r="W51" s="40" t="s">
        <v>82</v>
      </c>
      <c r="Y51" s="109">
        <f t="shared" si="7"/>
        <v>5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8"/>
        <v>5</v>
      </c>
      <c r="AG51" s="108">
        <f t="shared" si="0"/>
        <v>0</v>
      </c>
      <c r="AH51" s="108">
        <f t="shared" si="1"/>
        <v>0</v>
      </c>
      <c r="AI51" s="108">
        <f t="shared" si="9"/>
        <v>0</v>
      </c>
      <c r="AJ51" s="108">
        <f t="shared" si="2"/>
        <v>0</v>
      </c>
      <c r="AK51" s="108">
        <f t="shared" si="3"/>
        <v>0</v>
      </c>
      <c r="AL51" s="108">
        <f t="shared" si="4"/>
        <v>5</v>
      </c>
      <c r="AM51" s="120">
        <f>AO51</f>
        <v>0</v>
      </c>
      <c r="AN51" s="116" t="s">
        <v>37</v>
      </c>
      <c r="AO51" s="115">
        <f>IF(Uitslag!T51="",0,IF(T51=Uitslag!T51,10,0))</f>
        <v>0</v>
      </c>
    </row>
    <row r="52" spans="2:54" ht="15.75" thickBot="1">
      <c r="B52" s="18">
        <v>45</v>
      </c>
      <c r="C52" s="126">
        <v>41816</v>
      </c>
      <c r="D52" s="20" t="s">
        <v>36</v>
      </c>
      <c r="E52" s="21" t="s">
        <v>9</v>
      </c>
      <c r="F52" s="30" t="s">
        <v>31</v>
      </c>
      <c r="G52" s="86">
        <v>1</v>
      </c>
      <c r="H52" s="21" t="s">
        <v>9</v>
      </c>
      <c r="I52" s="91">
        <v>3</v>
      </c>
      <c r="J52" s="17">
        <f t="shared" si="10"/>
        <v>2</v>
      </c>
      <c r="K52" s="11">
        <f t="shared" si="5"/>
        <v>0</v>
      </c>
      <c r="L52" s="11">
        <f t="shared" si="6"/>
        <v>3</v>
      </c>
      <c r="O52" s="48" t="s">
        <v>38</v>
      </c>
      <c r="P52" s="49">
        <f>SUMIF($D$8:$D$55,$O52,$G$8:$G$55)+SUMIF($F$8:$F$55,$O52,$I$8:$I$55)</f>
        <v>2</v>
      </c>
      <c r="Q52" s="49">
        <f>SUMIF($D$8:$D$55,$O52,$I$8:$I$55)+SUMIF($F$8:$F$55,$O52,$G$8:$G$55)</f>
        <v>7</v>
      </c>
      <c r="R52" s="49">
        <f>P52-Q52</f>
        <v>-5</v>
      </c>
      <c r="S52" s="50">
        <f>SUMIF($D$8:$D$55,$O52,$K$8:$K$55)+SUMIF($F$8:$F$55,$O52,$L$8:$L$55)</f>
        <v>0</v>
      </c>
      <c r="T52" s="95" t="s">
        <v>85</v>
      </c>
      <c r="U52" s="40"/>
      <c r="V52" s="40" t="str">
        <f>O52</f>
        <v>Algerije</v>
      </c>
      <c r="W52" s="40" t="s">
        <v>83</v>
      </c>
      <c r="Y52" s="109">
        <f t="shared" si="7"/>
        <v>5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8"/>
        <v>5</v>
      </c>
      <c r="AG52" s="108">
        <f t="shared" si="0"/>
        <v>0</v>
      </c>
      <c r="AH52" s="108">
        <f t="shared" si="1"/>
        <v>0</v>
      </c>
      <c r="AI52" s="108">
        <f t="shared" si="9"/>
        <v>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18">
        <v>46</v>
      </c>
      <c r="C53" s="126">
        <v>41816</v>
      </c>
      <c r="D53" s="20" t="s">
        <v>32</v>
      </c>
      <c r="E53" s="21" t="s">
        <v>9</v>
      </c>
      <c r="F53" s="30" t="s">
        <v>35</v>
      </c>
      <c r="G53" s="86">
        <v>2</v>
      </c>
      <c r="H53" s="21" t="s">
        <v>9</v>
      </c>
      <c r="I53" s="91">
        <v>2</v>
      </c>
      <c r="J53" s="23">
        <f t="shared" si="10"/>
        <v>3</v>
      </c>
      <c r="K53" s="11">
        <f t="shared" si="5"/>
        <v>1</v>
      </c>
      <c r="L53" s="11">
        <f t="shared" si="6"/>
        <v>1</v>
      </c>
      <c r="O53" s="48" t="s">
        <v>39</v>
      </c>
      <c r="P53" s="49">
        <f>SUMIF($D$8:$D$55,$O53,$G$8:$G$55)+SUMIF($F$8:$F$55,$O53,$I$8:$I$55)</f>
        <v>6</v>
      </c>
      <c r="Q53" s="49">
        <f>SUMIF($D$8:$D$55,$O53,$I$8:$I$55)+SUMIF($F$8:$F$55,$O53,$G$8:$G$55)</f>
        <v>3</v>
      </c>
      <c r="R53" s="49">
        <f>P53-Q53</f>
        <v>3</v>
      </c>
      <c r="S53" s="50">
        <f>SUMIF($D$8:$D$55,$O53,$K$8:$K$55)+SUMIF($F$8:$F$55,$O53,$L$8:$L$55)</f>
        <v>7</v>
      </c>
      <c r="T53" s="95" t="s">
        <v>82</v>
      </c>
      <c r="U53" s="40"/>
      <c r="V53" s="40" t="str">
        <f>O53</f>
        <v>Rusland</v>
      </c>
      <c r="W53" s="40" t="s">
        <v>84</v>
      </c>
      <c r="Y53" s="109">
        <f t="shared" si="7"/>
        <v>1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8"/>
        <v>1</v>
      </c>
      <c r="AG53" s="108">
        <f t="shared" si="0"/>
        <v>1</v>
      </c>
      <c r="AH53" s="108">
        <f t="shared" si="1"/>
        <v>0</v>
      </c>
      <c r="AI53" s="108">
        <f t="shared" si="9"/>
        <v>0</v>
      </c>
      <c r="AJ53" s="108">
        <f t="shared" si="2"/>
        <v>0</v>
      </c>
      <c r="AK53" s="108">
        <f t="shared" si="3"/>
        <v>0</v>
      </c>
      <c r="AL53" s="108">
        <f t="shared" si="4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18">
        <v>47</v>
      </c>
      <c r="C54" s="126">
        <v>41816</v>
      </c>
      <c r="D54" s="20" t="s">
        <v>40</v>
      </c>
      <c r="E54" s="21" t="s">
        <v>9</v>
      </c>
      <c r="F54" s="30" t="s">
        <v>37</v>
      </c>
      <c r="G54" s="86">
        <v>1</v>
      </c>
      <c r="H54" s="21" t="s">
        <v>9</v>
      </c>
      <c r="I54" s="91">
        <v>2</v>
      </c>
      <c r="J54" s="23">
        <f t="shared" si="10"/>
        <v>2</v>
      </c>
      <c r="K54" s="11">
        <f t="shared" si="5"/>
        <v>0</v>
      </c>
      <c r="L54" s="11">
        <f t="shared" si="6"/>
        <v>3</v>
      </c>
      <c r="O54" s="51" t="s">
        <v>40</v>
      </c>
      <c r="P54" s="52">
        <f>SUMIF($D$8:$D$55,$O54,$G$8:$G$55)+SUMIF($F$8:$F$55,$O54,$I$8:$I$55)</f>
        <v>3</v>
      </c>
      <c r="Q54" s="52">
        <f>SUMIF($D$8:$D$55,$O54,$I$8:$I$55)+SUMIF($F$8:$F$55,$O54,$G$8:$G$55)</f>
        <v>4</v>
      </c>
      <c r="R54" s="52">
        <f>P54-Q54</f>
        <v>-1</v>
      </c>
      <c r="S54" s="53">
        <f>SUMIF($D$8:$D$55,$O54,$K$8:$K$55)+SUMIF($F$8:$F$55,$O54,$L$8:$L$55)</f>
        <v>3</v>
      </c>
      <c r="T54" s="96" t="s">
        <v>84</v>
      </c>
      <c r="U54" s="40"/>
      <c r="V54" s="40" t="str">
        <f>O54</f>
        <v>Zuid Korea</v>
      </c>
      <c r="W54" s="40" t="s">
        <v>85</v>
      </c>
      <c r="Y54" s="109">
        <f t="shared" si="7"/>
        <v>5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8"/>
        <v>5</v>
      </c>
      <c r="AG54" s="108">
        <f t="shared" si="0"/>
        <v>0</v>
      </c>
      <c r="AH54" s="108">
        <f t="shared" si="1"/>
        <v>0</v>
      </c>
      <c r="AI54" s="108">
        <f t="shared" si="9"/>
        <v>0</v>
      </c>
      <c r="AJ54" s="108">
        <f t="shared" si="2"/>
        <v>0</v>
      </c>
      <c r="AK54" s="108">
        <f t="shared" si="3"/>
        <v>5</v>
      </c>
      <c r="AL54" s="108">
        <f t="shared" si="4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3">
        <v>48</v>
      </c>
      <c r="C55" s="128">
        <v>41816</v>
      </c>
      <c r="D55" s="35" t="s">
        <v>38</v>
      </c>
      <c r="E55" s="36" t="s">
        <v>9</v>
      </c>
      <c r="F55" s="37" t="s">
        <v>39</v>
      </c>
      <c r="G55" s="88">
        <v>1</v>
      </c>
      <c r="H55" s="36" t="s">
        <v>9</v>
      </c>
      <c r="I55" s="93">
        <v>3</v>
      </c>
      <c r="J55" s="38">
        <f t="shared" si="10"/>
        <v>2</v>
      </c>
      <c r="K55" s="11">
        <f t="shared" si="5"/>
        <v>0</v>
      </c>
      <c r="L55" s="11">
        <f t="shared" si="6"/>
        <v>3</v>
      </c>
      <c r="O55" s="40"/>
      <c r="P55" s="41"/>
      <c r="Q55" s="41"/>
      <c r="R55" s="41"/>
      <c r="S55" s="41"/>
      <c r="T55" s="41"/>
      <c r="U55" s="40"/>
      <c r="V55" s="40"/>
      <c r="W55" s="40"/>
      <c r="Y55" s="109">
        <f t="shared" si="7"/>
        <v>1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8"/>
        <v>1</v>
      </c>
      <c r="AG55" s="108">
        <f t="shared" si="0"/>
        <v>1</v>
      </c>
      <c r="AH55" s="108">
        <f t="shared" si="1"/>
        <v>0</v>
      </c>
      <c r="AI55" s="108">
        <f t="shared" si="9"/>
        <v>0</v>
      </c>
      <c r="AJ55" s="108">
        <f t="shared" si="2"/>
        <v>0</v>
      </c>
      <c r="AK55" s="108">
        <f t="shared" si="3"/>
        <v>0</v>
      </c>
      <c r="AL55" s="108">
        <f t="shared" si="4"/>
        <v>0</v>
      </c>
    </row>
    <row r="56" spans="2:54" ht="15.75" thickBot="1">
      <c r="B56" s="1"/>
      <c r="C56" s="129"/>
      <c r="D56" s="40"/>
      <c r="E56" s="1"/>
      <c r="F56" s="40"/>
      <c r="G56" s="1"/>
      <c r="H56" s="1"/>
      <c r="I56" s="1"/>
      <c r="J56" s="1"/>
      <c r="K56" s="1"/>
      <c r="L56" s="1"/>
      <c r="M56" s="1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195"/>
      <c r="K57" s="1"/>
      <c r="L57" s="1"/>
      <c r="M57" s="1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78" t="s">
        <v>1</v>
      </c>
      <c r="C58" s="122" t="s">
        <v>2</v>
      </c>
      <c r="D58" s="193" t="s">
        <v>3</v>
      </c>
      <c r="E58" s="81"/>
      <c r="F58" s="194" t="s">
        <v>4</v>
      </c>
      <c r="G58" s="867" t="s">
        <v>5</v>
      </c>
      <c r="H58" s="868"/>
      <c r="I58" s="869"/>
      <c r="J58" s="83" t="s">
        <v>6</v>
      </c>
      <c r="K58" s="1"/>
      <c r="L58" s="1"/>
      <c r="M58" s="1"/>
      <c r="O58" s="135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12">
        <v>49</v>
      </c>
      <c r="C59" s="125">
        <v>41818</v>
      </c>
      <c r="D59" s="153" t="str">
        <f>IF(ISERROR(Z59),K59,Z59)</f>
        <v>Brazilië</v>
      </c>
      <c r="E59" s="15" t="s">
        <v>9</v>
      </c>
      <c r="F59" s="56" t="str">
        <f>IF(ISERROR(AA59),L59,AA59)</f>
        <v>Nederland</v>
      </c>
      <c r="G59" s="85">
        <v>2</v>
      </c>
      <c r="H59" s="15" t="s">
        <v>9</v>
      </c>
      <c r="I59" s="97">
        <v>1</v>
      </c>
      <c r="J59" s="98">
        <v>1</v>
      </c>
      <c r="K59" s="57" t="s">
        <v>48</v>
      </c>
      <c r="L59" s="57" t="s">
        <v>53</v>
      </c>
      <c r="M59" s="57">
        <v>1</v>
      </c>
      <c r="O59" s="135">
        <v>2</v>
      </c>
      <c r="P59" s="877" t="s">
        <v>220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3">AF59</f>
        <v>1</v>
      </c>
      <c r="Z59" t="str">
        <f t="shared" ref="Z59:AA65" si="14">IF(K59=""," ",VLOOKUP(K59,$T$9:$V$54,3,FALSE))</f>
        <v>Brazilië</v>
      </c>
      <c r="AA59" t="str">
        <f t="shared" si="14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1</v>
      </c>
      <c r="AG59" s="108">
        <f t="shared" ref="AG59:AG66" si="16">IF(AC59="",0,(IF(G59=AC59,1,0)))</f>
        <v>0</v>
      </c>
      <c r="AH59" s="108">
        <f t="shared" ref="AH59:AH66" si="17">IF(AD59="",0,(IF(I59=AD59,1,0)))</f>
        <v>1</v>
      </c>
      <c r="AI59" s="108">
        <f t="shared" ref="AI59:AI66" si="18">IF(AND(AG59=1,AH59=1),10,0)</f>
        <v>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24">
        <v>50</v>
      </c>
      <c r="C60" s="127">
        <v>41818</v>
      </c>
      <c r="D60" s="154" t="str">
        <f t="shared" ref="D60:D66" si="23">IF(ISERROR(Z60),K60,Z60)</f>
        <v>Japan</v>
      </c>
      <c r="E60" s="27" t="s">
        <v>9</v>
      </c>
      <c r="F60" s="59" t="str">
        <f t="shared" ref="F60:F66" si="24">IF(ISERROR(AA60),L60,AA60)</f>
        <v>Italië</v>
      </c>
      <c r="G60" s="87">
        <v>1</v>
      </c>
      <c r="H60" s="27" t="s">
        <v>9</v>
      </c>
      <c r="I60" s="99">
        <v>0</v>
      </c>
      <c r="J60" s="100">
        <v>1</v>
      </c>
      <c r="K60" s="57" t="s">
        <v>57</v>
      </c>
      <c r="L60" s="57" t="s">
        <v>63</v>
      </c>
      <c r="M60" s="57">
        <v>2</v>
      </c>
      <c r="O60" s="135">
        <v>3</v>
      </c>
      <c r="P60" s="877" t="s">
        <v>225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3"/>
        <v>6</v>
      </c>
      <c r="Z60" t="str">
        <f t="shared" si="14"/>
        <v>Japan</v>
      </c>
      <c r="AA60" t="str">
        <f t="shared" si="14"/>
        <v>Italië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6</v>
      </c>
      <c r="AG60" s="108">
        <f t="shared" si="16"/>
        <v>0</v>
      </c>
      <c r="AH60" s="108">
        <f t="shared" si="17"/>
        <v>1</v>
      </c>
      <c r="AI60" s="108">
        <f t="shared" si="18"/>
        <v>0</v>
      </c>
      <c r="AJ60" s="108">
        <f t="shared" si="19"/>
        <v>5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2"/>
        <v>3</v>
      </c>
    </row>
    <row r="61" spans="2:54">
      <c r="B61" s="12">
        <v>51</v>
      </c>
      <c r="C61" s="125">
        <v>41819</v>
      </c>
      <c r="D61" s="188" t="str">
        <f t="shared" si="23"/>
        <v>Spanje</v>
      </c>
      <c r="E61" s="15" t="s">
        <v>9</v>
      </c>
      <c r="F61" s="56" t="str">
        <f t="shared" si="24"/>
        <v>Mexico</v>
      </c>
      <c r="G61" s="85">
        <v>1</v>
      </c>
      <c r="H61" s="15" t="s">
        <v>9</v>
      </c>
      <c r="I61" s="97">
        <v>0</v>
      </c>
      <c r="J61" s="98">
        <v>1</v>
      </c>
      <c r="K61" s="57" t="s">
        <v>52</v>
      </c>
      <c r="L61" s="57" t="s">
        <v>49</v>
      </c>
      <c r="M61" s="57"/>
      <c r="O61" s="135">
        <v>4</v>
      </c>
      <c r="P61" s="877" t="s">
        <v>209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3"/>
        <v>5</v>
      </c>
      <c r="Z61" t="str">
        <f t="shared" si="14"/>
        <v>Spanje</v>
      </c>
      <c r="AA61" t="str">
        <f t="shared" si="14"/>
        <v>Mexico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5</v>
      </c>
      <c r="AG61" s="108">
        <f t="shared" si="16"/>
        <v>0</v>
      </c>
      <c r="AH61" s="108">
        <f t="shared" si="17"/>
        <v>0</v>
      </c>
      <c r="AI61" s="108">
        <f t="shared" si="18"/>
        <v>0</v>
      </c>
      <c r="AJ61" s="108">
        <f t="shared" si="19"/>
        <v>5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3</v>
      </c>
      <c r="BB61" s="139">
        <f t="shared" si="22"/>
        <v>3</v>
      </c>
    </row>
    <row r="62" spans="2:54">
      <c r="B62" s="24">
        <v>52</v>
      </c>
      <c r="C62" s="127">
        <v>41819</v>
      </c>
      <c r="D62" s="188" t="str">
        <f t="shared" si="23"/>
        <v>Uruguay</v>
      </c>
      <c r="E62" s="27" t="s">
        <v>9</v>
      </c>
      <c r="F62" s="59" t="str">
        <f t="shared" si="24"/>
        <v>Colombia</v>
      </c>
      <c r="G62" s="87">
        <v>3</v>
      </c>
      <c r="H62" s="27" t="s">
        <v>9</v>
      </c>
      <c r="I62" s="99">
        <v>1</v>
      </c>
      <c r="J62" s="100">
        <v>1</v>
      </c>
      <c r="K62" s="57" t="s">
        <v>62</v>
      </c>
      <c r="L62" s="57" t="s">
        <v>58</v>
      </c>
      <c r="M62" s="57"/>
      <c r="O62" s="135">
        <v>5</v>
      </c>
      <c r="P62" s="877" t="s">
        <v>211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3"/>
        <v>1</v>
      </c>
      <c r="Z62" t="str">
        <f t="shared" si="14"/>
        <v>Uruguay</v>
      </c>
      <c r="AA62" t="str">
        <f t="shared" si="14"/>
        <v>Colombia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1</v>
      </c>
      <c r="AG62" s="108">
        <f t="shared" si="16"/>
        <v>0</v>
      </c>
      <c r="AH62" s="108">
        <f t="shared" si="17"/>
        <v>1</v>
      </c>
      <c r="AI62" s="108">
        <f t="shared" si="18"/>
        <v>0</v>
      </c>
      <c r="AJ62" s="108">
        <f t="shared" si="19"/>
        <v>0</v>
      </c>
      <c r="AK62" s="108">
        <f t="shared" si="20"/>
        <v>0</v>
      </c>
      <c r="AL62" s="108">
        <f t="shared" si="21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2"/>
        <v>3</v>
      </c>
    </row>
    <row r="63" spans="2:54">
      <c r="B63" s="12">
        <v>53</v>
      </c>
      <c r="C63" s="125">
        <v>41820</v>
      </c>
      <c r="D63" s="153" t="str">
        <f t="shared" si="23"/>
        <v>Zwitserland</v>
      </c>
      <c r="E63" s="15" t="s">
        <v>9</v>
      </c>
      <c r="F63" s="56" t="str">
        <f t="shared" si="24"/>
        <v>Nigeria</v>
      </c>
      <c r="G63" s="85">
        <v>1</v>
      </c>
      <c r="H63" s="15" t="s">
        <v>9</v>
      </c>
      <c r="I63" s="97">
        <v>0</v>
      </c>
      <c r="J63" s="98">
        <v>1</v>
      </c>
      <c r="K63" s="57" t="s">
        <v>67</v>
      </c>
      <c r="L63" s="57" t="s">
        <v>73</v>
      </c>
      <c r="M63" s="57"/>
      <c r="O63" s="135">
        <v>6</v>
      </c>
      <c r="P63" s="877" t="s">
        <v>226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3"/>
        <v>6</v>
      </c>
      <c r="Z63" t="str">
        <f t="shared" si="14"/>
        <v>Zwitserland</v>
      </c>
      <c r="AA63" t="str">
        <f t="shared" si="14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6</v>
      </c>
      <c r="AG63" s="108">
        <f t="shared" si="16"/>
        <v>0</v>
      </c>
      <c r="AH63" s="108">
        <f t="shared" si="17"/>
        <v>1</v>
      </c>
      <c r="AI63" s="108">
        <f t="shared" si="18"/>
        <v>0</v>
      </c>
      <c r="AJ63" s="108">
        <f t="shared" si="19"/>
        <v>5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3</v>
      </c>
      <c r="BB63" s="139">
        <f t="shared" si="22"/>
        <v>3</v>
      </c>
    </row>
    <row r="64" spans="2:54">
      <c r="B64" s="24">
        <v>54</v>
      </c>
      <c r="C64" s="127">
        <v>41820</v>
      </c>
      <c r="D64" s="154" t="str">
        <f t="shared" si="23"/>
        <v>Duitsland</v>
      </c>
      <c r="E64" s="27" t="s">
        <v>9</v>
      </c>
      <c r="F64" s="59" t="str">
        <f t="shared" si="24"/>
        <v>België</v>
      </c>
      <c r="G64" s="87">
        <v>2</v>
      </c>
      <c r="H64" s="27" t="s">
        <v>9</v>
      </c>
      <c r="I64" s="99">
        <v>1</v>
      </c>
      <c r="J64" s="100">
        <v>1</v>
      </c>
      <c r="K64" s="57" t="s">
        <v>77</v>
      </c>
      <c r="L64" s="57" t="s">
        <v>83</v>
      </c>
      <c r="M64" s="57"/>
      <c r="O64" s="135">
        <v>7</v>
      </c>
      <c r="P64" s="877" t="s">
        <v>213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3"/>
        <v>0</v>
      </c>
      <c r="Z64" t="str">
        <f t="shared" si="14"/>
        <v>Duitsland</v>
      </c>
      <c r="AA64" t="str">
        <f t="shared" si="14"/>
        <v>België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0</v>
      </c>
      <c r="AG64" s="108">
        <f t="shared" si="16"/>
        <v>0</v>
      </c>
      <c r="AH64" s="108">
        <f t="shared" si="17"/>
        <v>0</v>
      </c>
      <c r="AI64" s="108">
        <f t="shared" si="18"/>
        <v>0</v>
      </c>
      <c r="AJ64" s="108">
        <f t="shared" si="19"/>
        <v>0</v>
      </c>
      <c r="AK64" s="108">
        <f t="shared" si="20"/>
        <v>0</v>
      </c>
      <c r="AL64" s="108">
        <f t="shared" si="21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2"/>
        <v>3</v>
      </c>
    </row>
    <row r="65" spans="2:54">
      <c r="B65" s="18">
        <v>55</v>
      </c>
      <c r="C65" s="126">
        <v>41821</v>
      </c>
      <c r="D65" s="153" t="str">
        <f t="shared" si="23"/>
        <v>Argentinië</v>
      </c>
      <c r="E65" s="21" t="s">
        <v>9</v>
      </c>
      <c r="F65" s="60" t="str">
        <f t="shared" si="24"/>
        <v>Frankrijk</v>
      </c>
      <c r="G65" s="86">
        <v>1</v>
      </c>
      <c r="H65" s="21" t="s">
        <v>9</v>
      </c>
      <c r="I65" s="101">
        <v>0</v>
      </c>
      <c r="J65" s="102">
        <v>1</v>
      </c>
      <c r="K65" s="57" t="s">
        <v>72</v>
      </c>
      <c r="L65" s="57" t="s">
        <v>68</v>
      </c>
      <c r="M65" s="57"/>
      <c r="O65" s="135">
        <v>8</v>
      </c>
      <c r="P65" s="877" t="s">
        <v>212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3"/>
        <v>1</v>
      </c>
      <c r="Z65" t="str">
        <f t="shared" si="14"/>
        <v>Argentinië</v>
      </c>
      <c r="AA65" t="str">
        <f t="shared" si="14"/>
        <v>Frankrijk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1</v>
      </c>
      <c r="AG65" s="108">
        <f t="shared" si="16"/>
        <v>0</v>
      </c>
      <c r="AH65" s="108">
        <f t="shared" si="17"/>
        <v>1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2"/>
        <v>3</v>
      </c>
    </row>
    <row r="66" spans="2:54" ht="15.75" thickBot="1">
      <c r="B66" s="33">
        <v>56</v>
      </c>
      <c r="C66" s="128">
        <v>41821</v>
      </c>
      <c r="D66" s="155" t="str">
        <f t="shared" si="23"/>
        <v>Rusland</v>
      </c>
      <c r="E66" s="36" t="s">
        <v>9</v>
      </c>
      <c r="F66" s="62" t="str">
        <f t="shared" si="24"/>
        <v>Portugal</v>
      </c>
      <c r="G66" s="88">
        <v>1</v>
      </c>
      <c r="H66" s="36" t="s">
        <v>9</v>
      </c>
      <c r="I66" s="103">
        <v>2</v>
      </c>
      <c r="J66" s="104">
        <v>2</v>
      </c>
      <c r="K66" s="57" t="s">
        <v>82</v>
      </c>
      <c r="L66" s="57" t="s">
        <v>78</v>
      </c>
      <c r="M66" s="57"/>
      <c r="O66" s="135">
        <v>9</v>
      </c>
      <c r="P66" s="877" t="s">
        <v>214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3"/>
        <v>0</v>
      </c>
      <c r="Z66" t="str">
        <f>IF(K66=""," ",VLOOKUP(K66,$T$9:$V$54,3,FALSE))</f>
        <v>Rusland</v>
      </c>
      <c r="AA66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0</v>
      </c>
      <c r="AG66" s="108">
        <f t="shared" si="16"/>
        <v>0</v>
      </c>
      <c r="AH66" s="108">
        <f t="shared" si="17"/>
        <v>0</v>
      </c>
      <c r="AI66" s="108">
        <f t="shared" si="18"/>
        <v>0</v>
      </c>
      <c r="AJ66" s="108">
        <f t="shared" si="19"/>
        <v>0</v>
      </c>
      <c r="AK66" s="108">
        <f t="shared" si="20"/>
        <v>0</v>
      </c>
      <c r="AL66" s="108">
        <f t="shared" si="21"/>
        <v>0</v>
      </c>
      <c r="AZ66" s="138" t="str">
        <f>Uitslag!P66</f>
        <v>Jonathan de Guzman (m)</v>
      </c>
      <c r="BA66" s="140">
        <f t="shared" si="12"/>
        <v>3</v>
      </c>
      <c r="BB66" s="139">
        <f t="shared" si="22"/>
        <v>3</v>
      </c>
    </row>
    <row r="67" spans="2:54" ht="15.75" thickBot="1">
      <c r="B67" s="1"/>
      <c r="C67" s="129"/>
      <c r="D67" s="40"/>
      <c r="E67" s="1"/>
      <c r="F67" s="40"/>
      <c r="G67" s="1"/>
      <c r="H67" s="1"/>
      <c r="I67" s="1"/>
      <c r="J67" s="1"/>
      <c r="K67" s="1"/>
      <c r="L67" s="1"/>
      <c r="M67" s="1"/>
      <c r="O67" s="135">
        <v>10</v>
      </c>
      <c r="P67" s="877" t="s">
        <v>215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2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195"/>
      <c r="K68" s="1"/>
      <c r="L68" s="1"/>
      <c r="M68" s="1"/>
      <c r="O68" s="135">
        <v>11</v>
      </c>
      <c r="P68" s="877" t="s">
        <v>216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2"/>
        <v>3</v>
      </c>
    </row>
    <row r="69" spans="2:54">
      <c r="B69" s="78" t="s">
        <v>1</v>
      </c>
      <c r="C69" s="122" t="s">
        <v>2</v>
      </c>
      <c r="D69" s="193" t="s">
        <v>3</v>
      </c>
      <c r="E69" s="81"/>
      <c r="F69" s="194" t="s">
        <v>4</v>
      </c>
      <c r="G69" s="867" t="s">
        <v>5</v>
      </c>
      <c r="H69" s="868"/>
      <c r="I69" s="869"/>
      <c r="J69" s="83" t="s">
        <v>6</v>
      </c>
      <c r="K69" s="1"/>
      <c r="L69" s="1"/>
      <c r="M69" s="1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33</v>
      </c>
      <c r="BB69" s="139">
        <f>IF(AND(BA69&lt;&gt;"",BA69=33),15,"nvt")</f>
        <v>15</v>
      </c>
    </row>
    <row r="70" spans="2:54">
      <c r="B70" s="12">
        <v>57</v>
      </c>
      <c r="C70" s="125">
        <v>41824</v>
      </c>
      <c r="D70" s="55" t="str">
        <f>IF(J63="","Winnaar 53",IF(J63=1,D63,F63))</f>
        <v>Zwitserland</v>
      </c>
      <c r="E70" s="15" t="s">
        <v>9</v>
      </c>
      <c r="F70" s="56" t="str">
        <f>IF(J64="","Winnaar 54",IF(J64=1,D64,F64))</f>
        <v>Duitsland</v>
      </c>
      <c r="G70" s="85">
        <v>1</v>
      </c>
      <c r="H70" s="15" t="s">
        <v>9</v>
      </c>
      <c r="I70" s="97">
        <v>2</v>
      </c>
      <c r="J70" s="98">
        <v>2</v>
      </c>
      <c r="K70" s="1"/>
      <c r="L70" s="1"/>
      <c r="M70" s="1"/>
      <c r="V70" t="s">
        <v>133</v>
      </c>
      <c r="W70" t="s">
        <v>126</v>
      </c>
      <c r="X70" t="str">
        <f t="shared" si="11"/>
        <v>Karim Rekik (v)</v>
      </c>
      <c r="Y70" s="109">
        <f>AF70</f>
        <v>5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5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24">
        <v>58</v>
      </c>
      <c r="C71" s="127">
        <v>41824</v>
      </c>
      <c r="D71" s="58" t="str">
        <f>IF(J59="","Winnaar 49",IF(J59=1,D59,F59))</f>
        <v>Brazilië</v>
      </c>
      <c r="E71" s="27" t="s">
        <v>9</v>
      </c>
      <c r="F71" s="59" t="str">
        <f>IF(J60="","Winnaar 50",IF(J60=1,D60,F60))</f>
        <v>Japan</v>
      </c>
      <c r="G71" s="87">
        <v>2</v>
      </c>
      <c r="H71" s="27" t="s">
        <v>9</v>
      </c>
      <c r="I71" s="99">
        <v>1</v>
      </c>
      <c r="J71" s="100">
        <v>1</v>
      </c>
      <c r="K71" s="1"/>
      <c r="L71" s="1"/>
      <c r="M71" s="1"/>
      <c r="V71" t="s">
        <v>133</v>
      </c>
      <c r="W71" t="s">
        <v>194</v>
      </c>
      <c r="X71" t="str">
        <f t="shared" si="11"/>
        <v>Ron Vlaar (v)</v>
      </c>
      <c r="Y71" s="109">
        <f>AF71</f>
        <v>10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10</v>
      </c>
      <c r="AG71" s="108">
        <f>IF(AC71="",0,(IF(G71=AC71,1,0)))</f>
        <v>1</v>
      </c>
      <c r="AH71" s="108">
        <f>IF(AD71="",0,(IF(I71=AD71,1,0)))</f>
        <v>1</v>
      </c>
      <c r="AI71" s="108">
        <f>IF(AND(AG71=1,AH71=1),10,0)</f>
        <v>10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12">
        <v>59</v>
      </c>
      <c r="C72" s="125">
        <v>41825</v>
      </c>
      <c r="D72" s="55" t="str">
        <f>IF(J65="","Winnaar 55",IF(J65=1,D65,F65))</f>
        <v>Argentinië</v>
      </c>
      <c r="E72" s="15" t="s">
        <v>9</v>
      </c>
      <c r="F72" s="56" t="str">
        <f>IF(J66="","Winnaar 56",IF(J66=1,D66,F66))</f>
        <v>Portugal</v>
      </c>
      <c r="G72" s="85">
        <v>1</v>
      </c>
      <c r="H72" s="15" t="s">
        <v>9</v>
      </c>
      <c r="I72" s="97">
        <v>0</v>
      </c>
      <c r="J72" s="98">
        <v>1</v>
      </c>
      <c r="K72" s="1"/>
      <c r="L72" s="1"/>
      <c r="M72" s="1"/>
      <c r="V72" t="s">
        <v>133</v>
      </c>
      <c r="W72" t="s">
        <v>195</v>
      </c>
      <c r="X72" t="str">
        <f t="shared" si="11"/>
        <v>John Heitinga (v)</v>
      </c>
      <c r="Y72" s="109">
        <f>AF72</f>
        <v>10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10</v>
      </c>
      <c r="AG72" s="108">
        <f>IF(AC72="",0,(IF(G72=AC72,1,0)))</f>
        <v>1</v>
      </c>
      <c r="AH72" s="108">
        <f>IF(AD72="",0,(IF(I72=AD72,1,0)))</f>
        <v>1</v>
      </c>
      <c r="AI72" s="108">
        <f>IF(AND(AG72=1,AH72=1),10,0)</f>
        <v>10</v>
      </c>
      <c r="AJ72" s="108">
        <f>IF(AND(G72&gt;I72,AC72&gt;AD72),5,0)</f>
        <v>5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3">
        <v>60</v>
      </c>
      <c r="C73" s="128">
        <v>41825</v>
      </c>
      <c r="D73" s="61" t="str">
        <f>IF(J61="","Winnaar 51",IF(J61=1,D61,F61))</f>
        <v>Spanje</v>
      </c>
      <c r="E73" s="36" t="s">
        <v>9</v>
      </c>
      <c r="F73" s="62" t="str">
        <f>IF(J62="","Winnaar 52",IF(J62=1,D62,F62))</f>
        <v>Uruguay</v>
      </c>
      <c r="G73" s="88">
        <v>1</v>
      </c>
      <c r="H73" s="36" t="s">
        <v>9</v>
      </c>
      <c r="I73" s="103">
        <v>2</v>
      </c>
      <c r="J73" s="104">
        <v>2</v>
      </c>
      <c r="K73" s="1"/>
      <c r="L73" s="1"/>
      <c r="M73" s="1"/>
      <c r="V73" t="s">
        <v>133</v>
      </c>
      <c r="W73" t="s">
        <v>196</v>
      </c>
      <c r="X73" t="str">
        <f t="shared" si="11"/>
        <v>Urby Emanuelson (v)</v>
      </c>
      <c r="Y73" s="109">
        <f>AF73</f>
        <v>0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0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1"/>
      <c r="C74" s="129"/>
      <c r="D74" s="40"/>
      <c r="E74" s="1"/>
      <c r="F74" s="40"/>
      <c r="G74" s="1"/>
      <c r="H74" s="1"/>
      <c r="I74" s="1"/>
      <c r="J74" s="1"/>
      <c r="K74" s="1"/>
      <c r="L74" s="1"/>
      <c r="M74" s="1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195"/>
      <c r="K75" s="1"/>
      <c r="L75" s="1"/>
      <c r="M75" s="1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78" t="s">
        <v>1</v>
      </c>
      <c r="C76" s="122" t="s">
        <v>2</v>
      </c>
      <c r="D76" s="193" t="s">
        <v>3</v>
      </c>
      <c r="E76" s="81"/>
      <c r="F76" s="194" t="s">
        <v>4</v>
      </c>
      <c r="G76" s="867" t="s">
        <v>5</v>
      </c>
      <c r="H76" s="868"/>
      <c r="I76" s="869"/>
      <c r="J76" s="83" t="s">
        <v>6</v>
      </c>
      <c r="K76" s="1"/>
      <c r="L76" s="1"/>
      <c r="M76" s="1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12">
        <v>61</v>
      </c>
      <c r="C77" s="125">
        <v>41828</v>
      </c>
      <c r="D77" s="55" t="str">
        <f>IF(J70="","Winnaar 57",IF(J70=1,D70,F70))</f>
        <v>Duitsland</v>
      </c>
      <c r="E77" s="15" t="s">
        <v>9</v>
      </c>
      <c r="F77" s="56" t="str">
        <f>IF(J71="","Winnaar 58",IF(J71=1,D71,F71))</f>
        <v>Brazilië</v>
      </c>
      <c r="G77" s="85">
        <v>1</v>
      </c>
      <c r="H77" s="15" t="s">
        <v>9</v>
      </c>
      <c r="I77" s="97">
        <v>0</v>
      </c>
      <c r="J77" s="98">
        <v>1</v>
      </c>
      <c r="K77" s="1"/>
      <c r="L77" s="1"/>
      <c r="M77" s="1"/>
      <c r="V77" t="s">
        <v>134</v>
      </c>
      <c r="W77" t="s">
        <v>203</v>
      </c>
      <c r="X77" t="str">
        <f t="shared" si="11"/>
        <v>Marco van Ginkel (m)</v>
      </c>
      <c r="Y77" s="109">
        <f>AF77</f>
        <v>5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5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5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3">
        <v>62</v>
      </c>
      <c r="C78" s="128">
        <v>41829</v>
      </c>
      <c r="D78" s="61" t="str">
        <f>IF(J72="","Winnaar 59",IF(J72=1,D72,F72))</f>
        <v>Argentinië</v>
      </c>
      <c r="E78" s="36" t="s">
        <v>9</v>
      </c>
      <c r="F78" s="62" t="str">
        <f>IF(J73="","Winnaar 60",IF(J73=1,D73,F73))</f>
        <v>Uruguay</v>
      </c>
      <c r="G78" s="88">
        <v>1</v>
      </c>
      <c r="H78" s="36" t="s">
        <v>9</v>
      </c>
      <c r="I78" s="103">
        <v>2</v>
      </c>
      <c r="J78" s="104">
        <v>2</v>
      </c>
      <c r="K78" s="1"/>
      <c r="L78" s="1"/>
      <c r="M78" s="1"/>
      <c r="V78" t="s">
        <v>134</v>
      </c>
      <c r="W78" t="s">
        <v>199</v>
      </c>
      <c r="X78" t="str">
        <f t="shared" si="11"/>
        <v>Leroy Fer (m)</v>
      </c>
      <c r="Y78" s="109">
        <f>AF78</f>
        <v>0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0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1"/>
      <c r="C79" s="129"/>
      <c r="D79" s="40"/>
      <c r="E79" s="1"/>
      <c r="F79" s="40"/>
      <c r="G79" s="1"/>
      <c r="H79" s="1"/>
      <c r="I79" s="1"/>
      <c r="J79" s="1"/>
      <c r="K79" s="1"/>
      <c r="L79" s="1"/>
      <c r="M79" s="1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195"/>
      <c r="K80" s="1"/>
      <c r="L80" s="1"/>
      <c r="M80" s="1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78" t="s">
        <v>1</v>
      </c>
      <c r="C81" s="122" t="s">
        <v>2</v>
      </c>
      <c r="D81" s="193" t="s">
        <v>3</v>
      </c>
      <c r="E81" s="81"/>
      <c r="F81" s="194" t="s">
        <v>4</v>
      </c>
      <c r="G81" s="867" t="s">
        <v>5</v>
      </c>
      <c r="H81" s="868"/>
      <c r="I81" s="869"/>
      <c r="J81" s="83" t="s">
        <v>6</v>
      </c>
      <c r="K81" s="1"/>
      <c r="L81" s="1"/>
      <c r="M81" s="1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2">
        <v>63</v>
      </c>
      <c r="C82" s="130">
        <v>41832</v>
      </c>
      <c r="D82" s="64" t="str">
        <f>IF(J77="","Verliezer 61",IF(J77=1,F77,D77))</f>
        <v>Brazilië</v>
      </c>
      <c r="E82" s="3" t="s">
        <v>9</v>
      </c>
      <c r="F82" s="65" t="str">
        <f>IF(J78="","Verliezer 62",IF(J78=1,F78,D78))</f>
        <v>Argentinië</v>
      </c>
      <c r="G82" s="105">
        <v>1</v>
      </c>
      <c r="H82" s="3" t="s">
        <v>9</v>
      </c>
      <c r="I82" s="106">
        <v>0</v>
      </c>
      <c r="J82" s="107">
        <v>1</v>
      </c>
      <c r="K82" s="1"/>
      <c r="L82" s="1"/>
      <c r="M82" s="1"/>
      <c r="V82" t="s">
        <v>134</v>
      </c>
      <c r="W82" t="s">
        <v>125</v>
      </c>
      <c r="X8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1"/>
      <c r="C83" s="129"/>
      <c r="D83" s="40"/>
      <c r="E83" s="1"/>
      <c r="F83" s="40"/>
      <c r="G83" s="1"/>
      <c r="H83" s="1"/>
      <c r="I83" s="1"/>
      <c r="J83" s="1"/>
      <c r="K83" s="1"/>
      <c r="L83" s="1"/>
      <c r="M83" s="1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195"/>
      <c r="K84" s="1"/>
      <c r="L84" s="1"/>
      <c r="M84" s="1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78" t="s">
        <v>1</v>
      </c>
      <c r="C85" s="122" t="s">
        <v>2</v>
      </c>
      <c r="D85" s="193" t="s">
        <v>3</v>
      </c>
      <c r="E85" s="81"/>
      <c r="F85" s="194" t="s">
        <v>4</v>
      </c>
      <c r="G85" s="867" t="s">
        <v>5</v>
      </c>
      <c r="H85" s="868"/>
      <c r="I85" s="869"/>
      <c r="J85" s="83" t="s">
        <v>6</v>
      </c>
      <c r="K85" s="1"/>
      <c r="L85" s="1"/>
      <c r="M85" s="1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2">
        <v>64</v>
      </c>
      <c r="C86" s="130">
        <v>41833</v>
      </c>
      <c r="D86" s="64" t="str">
        <f>IF(J77="","Winnaar 61",IF(J77=1,D77,F77))</f>
        <v>Duitsland</v>
      </c>
      <c r="E86" s="3" t="s">
        <v>9</v>
      </c>
      <c r="F86" s="65" t="str">
        <f>IF(J78="","Winnaar 62",IF(J78=1,D78,F78))</f>
        <v>Uruguay</v>
      </c>
      <c r="G86" s="105">
        <v>2</v>
      </c>
      <c r="H86" s="3" t="s">
        <v>9</v>
      </c>
      <c r="I86" s="106">
        <v>1</v>
      </c>
      <c r="J86" s="107">
        <v>1</v>
      </c>
      <c r="K86" s="1"/>
      <c r="L86" s="1"/>
      <c r="M86" s="1"/>
      <c r="V86" t="s">
        <v>134</v>
      </c>
      <c r="W86" t="s">
        <v>139</v>
      </c>
      <c r="X86" t="str">
        <f t="shared" si="11"/>
        <v>Nigel de Jong (m)</v>
      </c>
      <c r="Y86" s="109">
        <f>AF86</f>
        <v>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0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Duitsland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50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50</v>
      </c>
      <c r="AV89">
        <f>IF(AR89=0,0,IF(E89=AR89,50,0))</f>
        <v>50</v>
      </c>
      <c r="AW89">
        <f>IF(E89=0,0,IF(OR(E89=AR90),15,0))</f>
        <v>0</v>
      </c>
      <c r="AX89">
        <f>IF(E89=0,0,IF(OR(E89=AR91,E89=AR92),5,0))</f>
        <v>0</v>
      </c>
    </row>
    <row r="90" spans="2:50">
      <c r="C90" s="870">
        <v>2</v>
      </c>
      <c r="D90" s="871"/>
      <c r="E90" s="872" t="str">
        <f>IF(J86=2,D86,IF(J86=1,F86,"Wie wordt 2de?"))</f>
        <v>Uruguay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0</v>
      </c>
      <c r="AV90">
        <f>IF(AR90=0,0,IF(AR90=E90,25,0))</f>
        <v>0</v>
      </c>
      <c r="AW90">
        <f>IF(E90=0,0,IF(OR(E90=AR89,),15,0))</f>
        <v>0</v>
      </c>
      <c r="AX90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Brazilië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10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10</v>
      </c>
      <c r="AV91">
        <f>IF(AR91=0,0,IF(AR91=E91,15,0))</f>
        <v>0</v>
      </c>
      <c r="AW91">
        <f>IF(E91=0,0,IF(OR(E91=AR92),10,0))</f>
        <v>10</v>
      </c>
      <c r="AX91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Argentinië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5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5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5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65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conditionalFormatting sqref="AO9:AO12 AO15:AO18 AO21:AO24 AO27:AO30 AO33:AO36 AO39:AO42 AO45:AO48 AO51:AO54">
    <cfRule type="cellIs" dxfId="215" priority="3" operator="equal">
      <formula>10</formula>
    </cfRule>
  </conditionalFormatting>
  <conditionalFormatting sqref="P58:T58">
    <cfRule type="duplicateValues" dxfId="214" priority="2"/>
  </conditionalFormatting>
  <conditionalFormatting sqref="P58:T68">
    <cfRule type="duplicateValues" dxfId="213" priority="1"/>
  </conditionalFormatting>
  <dataValidations count="10">
    <dataValidation type="list" allowBlank="1" showInputMessage="1" showErrorMessage="1" sqref="P58:P68">
      <formula1>$X$58:$X$98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51:T54">
      <formula1>$W$51:$W$54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A96"/>
  <sheetViews>
    <sheetView workbookViewId="0">
      <selection activeCell="P8" sqref="P8"/>
    </sheetView>
  </sheetViews>
  <sheetFormatPr defaultRowHeight="15"/>
  <cols>
    <col min="1" max="1" width="6.85546875" style="831" bestFit="1" customWidth="1"/>
    <col min="2" max="2" width="33.7109375" style="138" customWidth="1"/>
    <col min="3" max="3" width="7.42578125" style="138" hidden="1" customWidth="1"/>
    <col min="4" max="4" width="10.42578125" bestFit="1" customWidth="1"/>
    <col min="5" max="5" width="1.7109375" bestFit="1" customWidth="1"/>
    <col min="6" max="6" width="10.42578125" bestFit="1" customWidth="1"/>
    <col min="7" max="7" width="2.28515625" style="834" customWidth="1"/>
    <col min="8" max="8" width="10.42578125" bestFit="1" customWidth="1"/>
    <col min="9" max="9" width="1.7109375" bestFit="1" customWidth="1"/>
    <col min="10" max="10" width="10.42578125" bestFit="1" customWidth="1"/>
    <col min="11" max="11" width="2.28515625" style="834" customWidth="1"/>
    <col min="12" max="12" width="10.42578125" bestFit="1" customWidth="1"/>
    <col min="13" max="13" width="1.7109375" bestFit="1" customWidth="1"/>
    <col min="14" max="14" width="10.42578125" bestFit="1" customWidth="1"/>
    <col min="15" max="15" width="2.28515625" style="834" customWidth="1"/>
    <col min="16" max="16" width="10.42578125" bestFit="1" customWidth="1"/>
    <col min="17" max="17" width="1.7109375" bestFit="1" customWidth="1"/>
    <col min="18" max="18" width="10.42578125" bestFit="1" customWidth="1"/>
    <col min="19" max="19" width="2.7109375" style="352" customWidth="1"/>
    <col min="22" max="22" width="31.28515625" customWidth="1"/>
    <col min="23" max="23" width="9.140625" hidden="1" customWidth="1"/>
    <col min="24" max="24" width="11" style="138" bestFit="1" customWidth="1"/>
    <col min="25" max="25" width="11.42578125" style="138" bestFit="1" customWidth="1"/>
    <col min="26" max="26" width="16.5703125" style="138" bestFit="1" customWidth="1"/>
    <col min="27" max="27" width="10.42578125" style="138" bestFit="1" customWidth="1"/>
  </cols>
  <sheetData>
    <row r="1" spans="1:27">
      <c r="A1" s="839" t="s">
        <v>322</v>
      </c>
      <c r="B1" s="840" t="s">
        <v>144</v>
      </c>
      <c r="C1" s="847" t="s">
        <v>321</v>
      </c>
      <c r="D1" s="842" t="str">
        <f>'95'!D77</f>
        <v>Winnaar 57</v>
      </c>
      <c r="E1" s="843" t="s">
        <v>9</v>
      </c>
      <c r="F1" s="844" t="str">
        <f>'95'!F77</f>
        <v>Winnaar 58</v>
      </c>
      <c r="G1" s="849"/>
      <c r="H1" s="842" t="str">
        <f>'95'!D78</f>
        <v>Winnaar 59</v>
      </c>
      <c r="I1" s="843" t="s">
        <v>9</v>
      </c>
      <c r="J1" s="844" t="str">
        <f>'95'!F78</f>
        <v>Winnaar 60</v>
      </c>
      <c r="K1" s="849"/>
      <c r="L1" s="842" t="str">
        <f>'95'!D82</f>
        <v>Verliezer 61</v>
      </c>
      <c r="M1" s="843" t="s">
        <v>9</v>
      </c>
      <c r="N1" s="844" t="str">
        <f>'95'!F82</f>
        <v>Verliezer 62</v>
      </c>
      <c r="O1" s="849"/>
      <c r="P1" s="842" t="str">
        <f>'95'!D86</f>
        <v>Winnaar 61</v>
      </c>
      <c r="Q1" s="843" t="s">
        <v>9</v>
      </c>
      <c r="R1" s="844" t="str">
        <f>'95'!F86</f>
        <v>Winnaar 62</v>
      </c>
      <c r="S1" s="832"/>
      <c r="U1" s="855" t="s">
        <v>322</v>
      </c>
      <c r="V1" s="856" t="s">
        <v>144</v>
      </c>
      <c r="W1" s="856" t="s">
        <v>321</v>
      </c>
      <c r="X1" s="857" t="s">
        <v>340</v>
      </c>
      <c r="Y1" s="856" t="s">
        <v>341</v>
      </c>
      <c r="Z1" s="856" t="s">
        <v>342</v>
      </c>
      <c r="AA1" s="858" t="s">
        <v>343</v>
      </c>
    </row>
    <row r="2" spans="1:27">
      <c r="A2" s="838">
        <v>8</v>
      </c>
      <c r="B2" s="841" t="str">
        <f t="shared" ref="B2:B33" ca="1" si="0">INDIRECT("'"&amp;$A2&amp;"'!N3")</f>
        <v>Gabriella Sabatini (JMK)</v>
      </c>
      <c r="C2" s="848">
        <f t="shared" ref="C2:C33" ca="1" si="1">INDIRECT("'"&amp;$A2&amp;"'!O3")</f>
        <v>496</v>
      </c>
      <c r="D2" s="845">
        <f t="shared" ref="D2:D33" ca="1" si="2">INDIRECT("'"&amp;$A2&amp;"'!G77")</f>
        <v>0</v>
      </c>
      <c r="E2" s="838" t="s">
        <v>9</v>
      </c>
      <c r="F2" s="846">
        <f t="shared" ref="F2:F33" ca="1" si="3">INDIRECT("'"&amp;$A2&amp;"'!i77")</f>
        <v>1</v>
      </c>
      <c r="G2" s="850" t="s">
        <v>323</v>
      </c>
      <c r="H2" s="845">
        <f t="shared" ref="H2:H33" ca="1" si="4">INDIRECT("'"&amp;$A2&amp;"'!G78")</f>
        <v>1</v>
      </c>
      <c r="I2" s="838" t="s">
        <v>9</v>
      </c>
      <c r="J2" s="846">
        <f t="shared" ref="J2:J33" ca="1" si="5">INDIRECT("'"&amp;$A2&amp;"'!i78")</f>
        <v>0</v>
      </c>
      <c r="K2" s="850" t="s">
        <v>323</v>
      </c>
      <c r="L2" s="845">
        <f t="shared" ref="L2:L33" ca="1" si="6">INDIRECT("'"&amp;$A2&amp;"'!G82")</f>
        <v>0</v>
      </c>
      <c r="M2" s="838" t="s">
        <v>9</v>
      </c>
      <c r="N2" s="846">
        <f t="shared" ref="N2:N33" ca="1" si="7">INDIRECT("'"&amp;$A2&amp;"'!i82")</f>
        <v>1</v>
      </c>
      <c r="O2" s="850" t="s">
        <v>323</v>
      </c>
      <c r="P2" s="845">
        <f t="shared" ref="P2:P33" ca="1" si="8">INDIRECT("'"&amp;$A2&amp;"'!G86")</f>
        <v>1</v>
      </c>
      <c r="Q2" s="838" t="s">
        <v>9</v>
      </c>
      <c r="R2" s="846">
        <f t="shared" ref="R2:R33" ca="1" si="9">INDIRECT("'"&amp;$A2&amp;"'!i86")</f>
        <v>2</v>
      </c>
      <c r="S2" s="184"/>
      <c r="U2" s="859">
        <v>8</v>
      </c>
      <c r="V2" s="854" t="str">
        <f t="shared" ref="V2:V33" ca="1" si="10">INDIRECT("'"&amp;$A2&amp;"'!N3")</f>
        <v>Gabriella Sabatini (JMK)</v>
      </c>
      <c r="W2" s="854">
        <f t="shared" ref="W2:W33" ca="1" si="11">INDIRECT("'"&amp;$A2&amp;"'!O3")</f>
        <v>496</v>
      </c>
      <c r="X2" s="854" t="str">
        <f t="shared" ref="X2:X33" ca="1" si="12">INDIRECT("'"&amp;$A2&amp;"'!E89")</f>
        <v>Argentinië</v>
      </c>
      <c r="Y2" s="854" t="str">
        <f t="shared" ref="Y2:Y33" ca="1" si="13">INDIRECT("'"&amp;$A2&amp;"'!E90")</f>
        <v>Brazilië</v>
      </c>
      <c r="Z2" s="854" t="str">
        <f t="shared" ref="Z2:Z33" ca="1" si="14">INDIRECT("'"&amp;$A2&amp;"'!E91")</f>
        <v>Spanje</v>
      </c>
      <c r="AA2" s="860" t="str">
        <f t="shared" ref="AA2:AA33" ca="1" si="15">INDIRECT("'"&amp;$A2&amp;"'!E92")</f>
        <v>Frankrijk</v>
      </c>
    </row>
    <row r="3" spans="1:27">
      <c r="A3" s="838">
        <v>44</v>
      </c>
      <c r="B3" s="841" t="str">
        <f t="shared" ca="1" si="0"/>
        <v>Marcel S.</v>
      </c>
      <c r="C3" s="848">
        <f t="shared" ca="1" si="1"/>
        <v>491</v>
      </c>
      <c r="D3" s="845">
        <f t="shared" ca="1" si="2"/>
        <v>1</v>
      </c>
      <c r="E3" s="864" t="s">
        <v>9</v>
      </c>
      <c r="F3" s="846">
        <f t="shared" ca="1" si="3"/>
        <v>2</v>
      </c>
      <c r="G3" s="850" t="s">
        <v>323</v>
      </c>
      <c r="H3" s="845">
        <f t="shared" ca="1" si="4"/>
        <v>2</v>
      </c>
      <c r="I3" s="864" t="s">
        <v>9</v>
      </c>
      <c r="J3" s="846">
        <f t="shared" ca="1" si="5"/>
        <v>1</v>
      </c>
      <c r="K3" s="850" t="s">
        <v>323</v>
      </c>
      <c r="L3" s="845">
        <f t="shared" ca="1" si="6"/>
        <v>1</v>
      </c>
      <c r="M3" s="864" t="s">
        <v>9</v>
      </c>
      <c r="N3" s="846">
        <f t="shared" ca="1" si="7"/>
        <v>2</v>
      </c>
      <c r="O3" s="850" t="s">
        <v>323</v>
      </c>
      <c r="P3" s="845">
        <f t="shared" ca="1" si="8"/>
        <v>2</v>
      </c>
      <c r="Q3" s="864" t="s">
        <v>9</v>
      </c>
      <c r="R3" s="846">
        <f t="shared" ca="1" si="9"/>
        <v>1</v>
      </c>
      <c r="S3" s="184"/>
      <c r="U3" s="859">
        <v>55</v>
      </c>
      <c r="V3" s="854" t="str">
        <f t="shared" ca="1" si="10"/>
        <v>Marcel S.</v>
      </c>
      <c r="W3" s="854">
        <f t="shared" ca="1" si="11"/>
        <v>491</v>
      </c>
      <c r="X3" s="854" t="str">
        <f t="shared" ca="1" si="12"/>
        <v>Brazilië</v>
      </c>
      <c r="Y3" s="854" t="str">
        <f t="shared" ca="1" si="13"/>
        <v>Argentinië</v>
      </c>
      <c r="Z3" s="854" t="str">
        <f t="shared" ca="1" si="14"/>
        <v>Nederland</v>
      </c>
      <c r="AA3" s="860" t="str">
        <f t="shared" ca="1" si="15"/>
        <v>Duitsland</v>
      </c>
    </row>
    <row r="4" spans="1:27">
      <c r="A4" s="838">
        <v>61</v>
      </c>
      <c r="B4" s="841" t="str">
        <f t="shared" ca="1" si="0"/>
        <v>Koldo V.</v>
      </c>
      <c r="C4" s="848">
        <f t="shared" ca="1" si="1"/>
        <v>448</v>
      </c>
      <c r="D4" s="845">
        <f t="shared" ca="1" si="2"/>
        <v>0</v>
      </c>
      <c r="E4" s="864" t="s">
        <v>9</v>
      </c>
      <c r="F4" s="846">
        <f t="shared" ca="1" si="3"/>
        <v>2</v>
      </c>
      <c r="G4" s="850" t="s">
        <v>323</v>
      </c>
      <c r="H4" s="845">
        <f t="shared" ca="1" si="4"/>
        <v>1</v>
      </c>
      <c r="I4" s="864" t="s">
        <v>9</v>
      </c>
      <c r="J4" s="846">
        <f t="shared" ca="1" si="5"/>
        <v>1</v>
      </c>
      <c r="K4" s="850" t="s">
        <v>323</v>
      </c>
      <c r="L4" s="845">
        <f t="shared" ca="1" si="6"/>
        <v>1</v>
      </c>
      <c r="M4" s="864" t="s">
        <v>9</v>
      </c>
      <c r="N4" s="846">
        <f t="shared" ca="1" si="7"/>
        <v>2</v>
      </c>
      <c r="O4" s="850" t="s">
        <v>323</v>
      </c>
      <c r="P4" s="845">
        <f t="shared" ca="1" si="8"/>
        <v>3</v>
      </c>
      <c r="Q4" s="864" t="s">
        <v>9</v>
      </c>
      <c r="R4" s="846">
        <f t="shared" ca="1" si="9"/>
        <v>2</v>
      </c>
      <c r="S4" s="184"/>
      <c r="U4" s="859">
        <v>44</v>
      </c>
      <c r="V4" s="854" t="str">
        <f t="shared" ca="1" si="10"/>
        <v>Koldo V.</v>
      </c>
      <c r="W4" s="854">
        <f t="shared" ca="1" si="11"/>
        <v>448</v>
      </c>
      <c r="X4" s="854" t="str">
        <f t="shared" ca="1" si="12"/>
        <v>Brazilië</v>
      </c>
      <c r="Y4" s="854" t="str">
        <f t="shared" ca="1" si="13"/>
        <v>Uruguay</v>
      </c>
      <c r="Z4" s="854" t="str">
        <f t="shared" ca="1" si="14"/>
        <v>België</v>
      </c>
      <c r="AA4" s="860" t="str">
        <f t="shared" ca="1" si="15"/>
        <v>Frankrijk</v>
      </c>
    </row>
    <row r="5" spans="1:27">
      <c r="A5" s="838">
        <v>55</v>
      </c>
      <c r="B5" s="841" t="str">
        <f t="shared" ca="1" si="0"/>
        <v>Hugo B.</v>
      </c>
      <c r="C5" s="848">
        <f t="shared" ca="1" si="1"/>
        <v>453</v>
      </c>
      <c r="D5" s="845">
        <f t="shared" ca="1" si="2"/>
        <v>2</v>
      </c>
      <c r="E5" s="864" t="s">
        <v>9</v>
      </c>
      <c r="F5" s="846">
        <f t="shared" ca="1" si="3"/>
        <v>2</v>
      </c>
      <c r="G5" s="850" t="s">
        <v>323</v>
      </c>
      <c r="H5" s="845">
        <f t="shared" ca="1" si="4"/>
        <v>0</v>
      </c>
      <c r="I5" s="864" t="s">
        <v>9</v>
      </c>
      <c r="J5" s="846">
        <f t="shared" ca="1" si="5"/>
        <v>1</v>
      </c>
      <c r="K5" s="850" t="s">
        <v>323</v>
      </c>
      <c r="L5" s="845">
        <f t="shared" ca="1" si="6"/>
        <v>1</v>
      </c>
      <c r="M5" s="864" t="s">
        <v>9</v>
      </c>
      <c r="N5" s="846">
        <f t="shared" ca="1" si="7"/>
        <v>1</v>
      </c>
      <c r="O5" s="850" t="s">
        <v>323</v>
      </c>
      <c r="P5" s="845">
        <f t="shared" ca="1" si="8"/>
        <v>3</v>
      </c>
      <c r="Q5" s="864" t="s">
        <v>9</v>
      </c>
      <c r="R5" s="846">
        <f t="shared" ca="1" si="9"/>
        <v>0</v>
      </c>
      <c r="S5" s="184"/>
      <c r="U5" s="859">
        <v>61</v>
      </c>
      <c r="V5" s="854" t="str">
        <f t="shared" ca="1" si="10"/>
        <v>Hugo B.</v>
      </c>
      <c r="W5" s="854">
        <f t="shared" ca="1" si="11"/>
        <v>453</v>
      </c>
      <c r="X5" s="854" t="str">
        <f t="shared" ca="1" si="12"/>
        <v>Brazilië</v>
      </c>
      <c r="Y5" s="854" t="str">
        <f t="shared" ca="1" si="13"/>
        <v>Nederland</v>
      </c>
      <c r="Z5" s="854" t="str">
        <f t="shared" ca="1" si="14"/>
        <v>Duitsland</v>
      </c>
      <c r="AA5" s="860" t="str">
        <f t="shared" ca="1" si="15"/>
        <v>Argentinië</v>
      </c>
    </row>
    <row r="6" spans="1:27">
      <c r="A6" s="838">
        <v>72</v>
      </c>
      <c r="B6" s="841" t="str">
        <f t="shared" ca="1" si="0"/>
        <v>Jan vd H.</v>
      </c>
      <c r="C6" s="848">
        <f t="shared" ca="1" si="1"/>
        <v>489</v>
      </c>
      <c r="D6" s="845">
        <f t="shared" ca="1" si="2"/>
        <v>2</v>
      </c>
      <c r="E6" s="864" t="s">
        <v>9</v>
      </c>
      <c r="F6" s="846">
        <f t="shared" ca="1" si="3"/>
        <v>1</v>
      </c>
      <c r="G6" s="850" t="s">
        <v>323</v>
      </c>
      <c r="H6" s="845">
        <f t="shared" ca="1" si="4"/>
        <v>1</v>
      </c>
      <c r="I6" s="864" t="s">
        <v>9</v>
      </c>
      <c r="J6" s="846">
        <f t="shared" ca="1" si="5"/>
        <v>3</v>
      </c>
      <c r="K6" s="850" t="s">
        <v>323</v>
      </c>
      <c r="L6" s="845">
        <f t="shared" ca="1" si="6"/>
        <v>2</v>
      </c>
      <c r="M6" s="864" t="s">
        <v>9</v>
      </c>
      <c r="N6" s="846">
        <f t="shared" ca="1" si="7"/>
        <v>0</v>
      </c>
      <c r="O6" s="850" t="s">
        <v>323</v>
      </c>
      <c r="P6" s="845">
        <f t="shared" ca="1" si="8"/>
        <v>1</v>
      </c>
      <c r="Q6" s="864" t="s">
        <v>9</v>
      </c>
      <c r="R6" s="846">
        <f t="shared" ca="1" si="9"/>
        <v>0</v>
      </c>
      <c r="S6" s="184"/>
      <c r="U6" s="859">
        <v>72</v>
      </c>
      <c r="V6" s="854" t="str">
        <f t="shared" ca="1" si="10"/>
        <v>Jan vd H.</v>
      </c>
      <c r="W6" s="854">
        <f t="shared" ca="1" si="11"/>
        <v>489</v>
      </c>
      <c r="X6" s="854" t="str">
        <f t="shared" ca="1" si="12"/>
        <v>Duitsland</v>
      </c>
      <c r="Y6" s="854" t="str">
        <f t="shared" ca="1" si="13"/>
        <v>Spanje</v>
      </c>
      <c r="Z6" s="854" t="str">
        <f t="shared" ca="1" si="14"/>
        <v>Brazilië</v>
      </c>
      <c r="AA6" s="860" t="str">
        <f t="shared" ca="1" si="15"/>
        <v>België</v>
      </c>
    </row>
    <row r="7" spans="1:27">
      <c r="A7" s="838">
        <v>74</v>
      </c>
      <c r="B7" s="841" t="str">
        <f t="shared" ca="1" si="0"/>
        <v>Anneliez</v>
      </c>
      <c r="C7" s="848">
        <f t="shared" ca="1" si="1"/>
        <v>437</v>
      </c>
      <c r="D7" s="845">
        <f t="shared" ca="1" si="2"/>
        <v>0</v>
      </c>
      <c r="E7" s="864" t="s">
        <v>9</v>
      </c>
      <c r="F7" s="846">
        <f t="shared" ca="1" si="3"/>
        <v>2</v>
      </c>
      <c r="G7" s="850" t="s">
        <v>323</v>
      </c>
      <c r="H7" s="845">
        <f t="shared" ca="1" si="4"/>
        <v>2</v>
      </c>
      <c r="I7" s="864" t="s">
        <v>9</v>
      </c>
      <c r="J7" s="846">
        <f t="shared" ca="1" si="5"/>
        <v>0</v>
      </c>
      <c r="K7" s="850" t="s">
        <v>323</v>
      </c>
      <c r="L7" s="845">
        <f t="shared" ca="1" si="6"/>
        <v>1</v>
      </c>
      <c r="M7" s="864" t="s">
        <v>9</v>
      </c>
      <c r="N7" s="846">
        <f t="shared" ca="1" si="7"/>
        <v>0</v>
      </c>
      <c r="O7" s="850" t="s">
        <v>323</v>
      </c>
      <c r="P7" s="845">
        <f t="shared" ca="1" si="8"/>
        <v>1</v>
      </c>
      <c r="Q7" s="864" t="s">
        <v>9</v>
      </c>
      <c r="R7" s="846">
        <f t="shared" ca="1" si="9"/>
        <v>0</v>
      </c>
      <c r="S7" s="184"/>
      <c r="U7" s="859">
        <v>74</v>
      </c>
      <c r="V7" s="854" t="str">
        <f t="shared" ca="1" si="10"/>
        <v>Anneliez</v>
      </c>
      <c r="W7" s="854">
        <f t="shared" ca="1" si="11"/>
        <v>437</v>
      </c>
      <c r="X7" s="854" t="str">
        <f t="shared" ca="1" si="12"/>
        <v>Brazilië</v>
      </c>
      <c r="Y7" s="854" t="str">
        <f t="shared" ca="1" si="13"/>
        <v>Italië</v>
      </c>
      <c r="Z7" s="854" t="str">
        <f t="shared" ca="1" si="14"/>
        <v>Portugal</v>
      </c>
      <c r="AA7" s="860" t="str">
        <f t="shared" ca="1" si="15"/>
        <v>Argentinië</v>
      </c>
    </row>
    <row r="8" spans="1:27">
      <c r="A8" s="838">
        <v>59</v>
      </c>
      <c r="B8" s="841" t="str">
        <f t="shared" ca="1" si="0"/>
        <v xml:space="preserve">Jan L. </v>
      </c>
      <c r="C8" s="848">
        <f t="shared" ca="1" si="1"/>
        <v>459</v>
      </c>
      <c r="D8" s="845">
        <f t="shared" ca="1" si="2"/>
        <v>2</v>
      </c>
      <c r="E8" s="864" t="s">
        <v>9</v>
      </c>
      <c r="F8" s="846">
        <f t="shared" ca="1" si="3"/>
        <v>2</v>
      </c>
      <c r="G8" s="850" t="s">
        <v>323</v>
      </c>
      <c r="H8" s="845">
        <f t="shared" ca="1" si="4"/>
        <v>1</v>
      </c>
      <c r="I8" s="864" t="s">
        <v>9</v>
      </c>
      <c r="J8" s="846">
        <f t="shared" ca="1" si="5"/>
        <v>2</v>
      </c>
      <c r="K8" s="850" t="s">
        <v>323</v>
      </c>
      <c r="L8" s="845">
        <f t="shared" ca="1" si="6"/>
        <v>1</v>
      </c>
      <c r="M8" s="864" t="s">
        <v>9</v>
      </c>
      <c r="N8" s="846">
        <f t="shared" ca="1" si="7"/>
        <v>2</v>
      </c>
      <c r="O8" s="850" t="s">
        <v>323</v>
      </c>
      <c r="P8" s="845">
        <f t="shared" ca="1" si="8"/>
        <v>1</v>
      </c>
      <c r="Q8" s="864" t="s">
        <v>9</v>
      </c>
      <c r="R8" s="846">
        <f t="shared" ca="1" si="9"/>
        <v>1</v>
      </c>
      <c r="S8" s="184"/>
      <c r="U8" s="859">
        <v>59</v>
      </c>
      <c r="V8" s="854" t="str">
        <f t="shared" ca="1" si="10"/>
        <v xml:space="preserve">Jan L. </v>
      </c>
      <c r="W8" s="854">
        <f t="shared" ca="1" si="11"/>
        <v>459</v>
      </c>
      <c r="X8" s="854" t="str">
        <f t="shared" ca="1" si="12"/>
        <v>Uruguay</v>
      </c>
      <c r="Y8" s="854" t="str">
        <f t="shared" ca="1" si="13"/>
        <v>Duitsland</v>
      </c>
      <c r="Z8" s="854" t="str">
        <f t="shared" ca="1" si="14"/>
        <v>Argentinië</v>
      </c>
      <c r="AA8" s="860" t="str">
        <f t="shared" ca="1" si="15"/>
        <v>Nederland</v>
      </c>
    </row>
    <row r="9" spans="1:27">
      <c r="A9" s="838">
        <v>5</v>
      </c>
      <c r="B9" s="841" t="str">
        <f t="shared" ca="1" si="0"/>
        <v>Yvonne J.</v>
      </c>
      <c r="C9" s="848">
        <f t="shared" ca="1" si="1"/>
        <v>454</v>
      </c>
      <c r="D9" s="845">
        <f t="shared" ca="1" si="2"/>
        <v>1</v>
      </c>
      <c r="E9" s="864" t="s">
        <v>9</v>
      </c>
      <c r="F9" s="846">
        <f t="shared" ca="1" si="3"/>
        <v>3</v>
      </c>
      <c r="G9" s="850" t="s">
        <v>323</v>
      </c>
      <c r="H9" s="845">
        <f t="shared" ca="1" si="4"/>
        <v>3</v>
      </c>
      <c r="I9" s="864" t="s">
        <v>9</v>
      </c>
      <c r="J9" s="846">
        <f t="shared" ca="1" si="5"/>
        <v>2</v>
      </c>
      <c r="K9" s="850" t="s">
        <v>323</v>
      </c>
      <c r="L9" s="845">
        <f t="shared" ca="1" si="6"/>
        <v>1</v>
      </c>
      <c r="M9" s="864" t="s">
        <v>9</v>
      </c>
      <c r="N9" s="846">
        <f t="shared" ca="1" si="7"/>
        <v>0</v>
      </c>
      <c r="O9" s="850" t="s">
        <v>323</v>
      </c>
      <c r="P9" s="845">
        <f t="shared" ca="1" si="8"/>
        <v>3</v>
      </c>
      <c r="Q9" s="864" t="s">
        <v>9</v>
      </c>
      <c r="R9" s="846">
        <f t="shared" ca="1" si="9"/>
        <v>1</v>
      </c>
      <c r="S9" s="184"/>
      <c r="U9" s="859">
        <v>34</v>
      </c>
      <c r="V9" s="854" t="str">
        <f t="shared" ca="1" si="10"/>
        <v>Yvonne J.</v>
      </c>
      <c r="W9" s="854">
        <f t="shared" ca="1" si="11"/>
        <v>454</v>
      </c>
      <c r="X9" s="854" t="str">
        <f t="shared" ca="1" si="12"/>
        <v>Brazilië</v>
      </c>
      <c r="Y9" s="854" t="str">
        <f t="shared" ca="1" si="13"/>
        <v>Argentinië</v>
      </c>
      <c r="Z9" s="854" t="str">
        <f t="shared" ca="1" si="14"/>
        <v>Duitsland</v>
      </c>
      <c r="AA9" s="860" t="str">
        <f t="shared" ca="1" si="15"/>
        <v>Spanje</v>
      </c>
    </row>
    <row r="10" spans="1:27">
      <c r="A10" s="838">
        <v>25</v>
      </c>
      <c r="B10" s="841" t="str">
        <f t="shared" ca="1" si="0"/>
        <v>Ricardo B. (introducee Marcel M.)</v>
      </c>
      <c r="C10" s="848">
        <f t="shared" ca="1" si="1"/>
        <v>443</v>
      </c>
      <c r="D10" s="845">
        <f t="shared" ca="1" si="2"/>
        <v>1</v>
      </c>
      <c r="E10" s="864" t="s">
        <v>9</v>
      </c>
      <c r="F10" s="846">
        <f t="shared" ca="1" si="3"/>
        <v>2</v>
      </c>
      <c r="G10" s="850" t="s">
        <v>323</v>
      </c>
      <c r="H10" s="845">
        <f t="shared" ca="1" si="4"/>
        <v>2</v>
      </c>
      <c r="I10" s="864" t="s">
        <v>9</v>
      </c>
      <c r="J10" s="846">
        <f t="shared" ca="1" si="5"/>
        <v>2</v>
      </c>
      <c r="K10" s="850" t="s">
        <v>323</v>
      </c>
      <c r="L10" s="845">
        <f t="shared" ca="1" si="6"/>
        <v>1</v>
      </c>
      <c r="M10" s="864" t="s">
        <v>9</v>
      </c>
      <c r="N10" s="846">
        <f t="shared" ca="1" si="7"/>
        <v>2</v>
      </c>
      <c r="O10" s="850" t="s">
        <v>323</v>
      </c>
      <c r="P10" s="845">
        <f t="shared" ca="1" si="8"/>
        <v>2</v>
      </c>
      <c r="Q10" s="864" t="s">
        <v>9</v>
      </c>
      <c r="R10" s="846">
        <f t="shared" ca="1" si="9"/>
        <v>1</v>
      </c>
      <c r="S10" s="184"/>
      <c r="U10" s="859">
        <v>70</v>
      </c>
      <c r="V10" s="854" t="str">
        <f t="shared" ca="1" si="10"/>
        <v>Ricardo B. (introducee Marcel M.)</v>
      </c>
      <c r="W10" s="854">
        <f t="shared" ca="1" si="11"/>
        <v>443</v>
      </c>
      <c r="X10" s="854" t="str">
        <f t="shared" ca="1" si="12"/>
        <v>Brazilië</v>
      </c>
      <c r="Y10" s="854" t="str">
        <f t="shared" ca="1" si="13"/>
        <v>Spanje</v>
      </c>
      <c r="Z10" s="854" t="str">
        <f t="shared" ca="1" si="14"/>
        <v>Argentinië</v>
      </c>
      <c r="AA10" s="860" t="str">
        <f t="shared" ca="1" si="15"/>
        <v>Duitsland</v>
      </c>
    </row>
    <row r="11" spans="1:27">
      <c r="A11" s="838">
        <v>34</v>
      </c>
      <c r="B11" s="841" t="str">
        <f t="shared" ca="1" si="0"/>
        <v>Ton G.</v>
      </c>
      <c r="C11" s="848">
        <f t="shared" ca="1" si="1"/>
        <v>436</v>
      </c>
      <c r="D11" s="845">
        <f t="shared" ca="1" si="2"/>
        <v>1</v>
      </c>
      <c r="E11" s="864" t="s">
        <v>9</v>
      </c>
      <c r="F11" s="846">
        <f t="shared" ca="1" si="3"/>
        <v>2</v>
      </c>
      <c r="G11" s="850" t="s">
        <v>323</v>
      </c>
      <c r="H11" s="845">
        <f t="shared" ca="1" si="4"/>
        <v>0</v>
      </c>
      <c r="I11" s="864" t="s">
        <v>9</v>
      </c>
      <c r="J11" s="846">
        <f t="shared" ca="1" si="5"/>
        <v>1</v>
      </c>
      <c r="K11" s="850" t="s">
        <v>323</v>
      </c>
      <c r="L11" s="845">
        <f t="shared" ca="1" si="6"/>
        <v>1</v>
      </c>
      <c r="M11" s="864" t="s">
        <v>9</v>
      </c>
      <c r="N11" s="846">
        <f t="shared" ca="1" si="7"/>
        <v>2</v>
      </c>
      <c r="O11" s="850" t="s">
        <v>323</v>
      </c>
      <c r="P11" s="845">
        <f t="shared" ca="1" si="8"/>
        <v>2</v>
      </c>
      <c r="Q11" s="864" t="s">
        <v>9</v>
      </c>
      <c r="R11" s="846">
        <f t="shared" ca="1" si="9"/>
        <v>1</v>
      </c>
      <c r="S11" s="184"/>
      <c r="U11" s="859">
        <v>25</v>
      </c>
      <c r="V11" s="854" t="str">
        <f t="shared" ca="1" si="10"/>
        <v>Ton G.</v>
      </c>
      <c r="W11" s="854">
        <f t="shared" ca="1" si="11"/>
        <v>436</v>
      </c>
      <c r="X11" s="854" t="str">
        <f t="shared" ca="1" si="12"/>
        <v>Brazilië</v>
      </c>
      <c r="Y11" s="854" t="str">
        <f t="shared" ca="1" si="13"/>
        <v>Uruguay</v>
      </c>
      <c r="Z11" s="854" t="str">
        <f t="shared" ca="1" si="14"/>
        <v>Argentinië</v>
      </c>
      <c r="AA11" s="860" t="str">
        <f t="shared" ca="1" si="15"/>
        <v>Duitsland</v>
      </c>
    </row>
    <row r="12" spans="1:27">
      <c r="A12" s="838">
        <v>53</v>
      </c>
      <c r="B12" s="841" t="str">
        <f t="shared" ca="1" si="0"/>
        <v>Martijn V.</v>
      </c>
      <c r="C12" s="848">
        <f t="shared" ca="1" si="1"/>
        <v>449</v>
      </c>
      <c r="D12" s="845">
        <f t="shared" ca="1" si="2"/>
        <v>1</v>
      </c>
      <c r="E12" s="864" t="s">
        <v>9</v>
      </c>
      <c r="F12" s="846">
        <f t="shared" ca="1" si="3"/>
        <v>2</v>
      </c>
      <c r="G12" s="850" t="s">
        <v>323</v>
      </c>
      <c r="H12" s="845">
        <f t="shared" ca="1" si="4"/>
        <v>2</v>
      </c>
      <c r="I12" s="864" t="s">
        <v>9</v>
      </c>
      <c r="J12" s="846">
        <f t="shared" ca="1" si="5"/>
        <v>2</v>
      </c>
      <c r="K12" s="850" t="s">
        <v>323</v>
      </c>
      <c r="L12" s="845">
        <f t="shared" ca="1" si="6"/>
        <v>1</v>
      </c>
      <c r="M12" s="864" t="s">
        <v>9</v>
      </c>
      <c r="N12" s="846">
        <f t="shared" ca="1" si="7"/>
        <v>1</v>
      </c>
      <c r="O12" s="850" t="s">
        <v>323</v>
      </c>
      <c r="P12" s="845">
        <f t="shared" ca="1" si="8"/>
        <v>1</v>
      </c>
      <c r="Q12" s="864" t="s">
        <v>9</v>
      </c>
      <c r="R12" s="846">
        <f t="shared" ca="1" si="9"/>
        <v>1</v>
      </c>
      <c r="S12" s="184"/>
      <c r="U12" s="859">
        <v>53</v>
      </c>
      <c r="V12" s="854" t="str">
        <f t="shared" ca="1" si="10"/>
        <v>Martijn V.</v>
      </c>
      <c r="W12" s="854">
        <f t="shared" ca="1" si="11"/>
        <v>449</v>
      </c>
      <c r="X12" s="854" t="str">
        <f t="shared" ca="1" si="12"/>
        <v>Argentinië</v>
      </c>
      <c r="Y12" s="854" t="str">
        <f t="shared" ca="1" si="13"/>
        <v>Brazilië</v>
      </c>
      <c r="Z12" s="854" t="str">
        <f t="shared" ca="1" si="14"/>
        <v>Spanje</v>
      </c>
      <c r="AA12" s="860" t="str">
        <f t="shared" ca="1" si="15"/>
        <v>Duitsland</v>
      </c>
    </row>
    <row r="13" spans="1:27">
      <c r="A13" s="838">
        <v>78</v>
      </c>
      <c r="B13" s="841" t="str">
        <f t="shared" ca="1" si="0"/>
        <v>Foppe d. J.</v>
      </c>
      <c r="C13" s="848">
        <f t="shared" ca="1" si="1"/>
        <v>444</v>
      </c>
      <c r="D13" s="845">
        <f t="shared" ca="1" si="2"/>
        <v>1</v>
      </c>
      <c r="E13" s="864" t="s">
        <v>9</v>
      </c>
      <c r="F13" s="846">
        <f t="shared" ca="1" si="3"/>
        <v>1</v>
      </c>
      <c r="G13" s="850" t="s">
        <v>323</v>
      </c>
      <c r="H13" s="845">
        <f t="shared" ca="1" si="4"/>
        <v>1</v>
      </c>
      <c r="I13" s="864" t="s">
        <v>9</v>
      </c>
      <c r="J13" s="846">
        <f t="shared" ca="1" si="5"/>
        <v>1</v>
      </c>
      <c r="K13" s="850" t="s">
        <v>323</v>
      </c>
      <c r="L13" s="845">
        <f t="shared" ca="1" si="6"/>
        <v>0</v>
      </c>
      <c r="M13" s="864" t="s">
        <v>9</v>
      </c>
      <c r="N13" s="846">
        <f t="shared" ca="1" si="7"/>
        <v>1</v>
      </c>
      <c r="O13" s="850" t="s">
        <v>323</v>
      </c>
      <c r="P13" s="845">
        <f t="shared" ca="1" si="8"/>
        <v>1</v>
      </c>
      <c r="Q13" s="864" t="s">
        <v>9</v>
      </c>
      <c r="R13" s="846">
        <f t="shared" ca="1" si="9"/>
        <v>1</v>
      </c>
      <c r="S13" s="184"/>
      <c r="U13" s="859">
        <v>23</v>
      </c>
      <c r="V13" s="854" t="str">
        <f t="shared" ca="1" si="10"/>
        <v>Foppe d. J.</v>
      </c>
      <c r="W13" s="854">
        <f t="shared" ca="1" si="11"/>
        <v>444</v>
      </c>
      <c r="X13" s="854" t="str">
        <f t="shared" ca="1" si="12"/>
        <v>Brazilië</v>
      </c>
      <c r="Y13" s="854" t="str">
        <f t="shared" ca="1" si="13"/>
        <v>Spanje</v>
      </c>
      <c r="Z13" s="854" t="str">
        <f t="shared" ca="1" si="14"/>
        <v>Argentinië</v>
      </c>
      <c r="AA13" s="860" t="str">
        <f t="shared" ca="1" si="15"/>
        <v>Duitsland</v>
      </c>
    </row>
    <row r="14" spans="1:27">
      <c r="A14" s="838">
        <v>54</v>
      </c>
      <c r="B14" s="841" t="str">
        <f t="shared" ca="1" si="0"/>
        <v>Jornt B.</v>
      </c>
      <c r="C14" s="848">
        <f t="shared" ca="1" si="1"/>
        <v>498</v>
      </c>
      <c r="D14" s="845">
        <f t="shared" ca="1" si="2"/>
        <v>1</v>
      </c>
      <c r="E14" s="864" t="s">
        <v>9</v>
      </c>
      <c r="F14" s="846">
        <f t="shared" ca="1" si="3"/>
        <v>1</v>
      </c>
      <c r="G14" s="850" t="s">
        <v>323</v>
      </c>
      <c r="H14" s="845">
        <f t="shared" ca="1" si="4"/>
        <v>2</v>
      </c>
      <c r="I14" s="864" t="s">
        <v>9</v>
      </c>
      <c r="J14" s="846">
        <f t="shared" ca="1" si="5"/>
        <v>1</v>
      </c>
      <c r="K14" s="850" t="s">
        <v>323</v>
      </c>
      <c r="L14" s="845">
        <f t="shared" ca="1" si="6"/>
        <v>2</v>
      </c>
      <c r="M14" s="864" t="s">
        <v>9</v>
      </c>
      <c r="N14" s="846">
        <f t="shared" ca="1" si="7"/>
        <v>1</v>
      </c>
      <c r="O14" s="850" t="s">
        <v>323</v>
      </c>
      <c r="P14" s="845">
        <f t="shared" ca="1" si="8"/>
        <v>2</v>
      </c>
      <c r="Q14" s="864" t="s">
        <v>9</v>
      </c>
      <c r="R14" s="846">
        <f t="shared" ca="1" si="9"/>
        <v>1</v>
      </c>
      <c r="S14" s="184"/>
      <c r="U14" s="859">
        <v>5</v>
      </c>
      <c r="V14" s="854" t="str">
        <f t="shared" ca="1" si="10"/>
        <v>Jornt B.</v>
      </c>
      <c r="W14" s="854">
        <f t="shared" ca="1" si="11"/>
        <v>498</v>
      </c>
      <c r="X14" s="854" t="str">
        <f t="shared" ca="1" si="12"/>
        <v>Duitsland</v>
      </c>
      <c r="Y14" s="854" t="str">
        <f t="shared" ca="1" si="13"/>
        <v>Argentinië</v>
      </c>
      <c r="Z14" s="854" t="str">
        <f t="shared" ca="1" si="14"/>
        <v>Brazilië</v>
      </c>
      <c r="AA14" s="860" t="str">
        <f t="shared" ca="1" si="15"/>
        <v>Spanje</v>
      </c>
    </row>
    <row r="15" spans="1:27">
      <c r="A15" s="838">
        <v>70</v>
      </c>
      <c r="B15" s="841" t="str">
        <f t="shared" ca="1" si="0"/>
        <v>Jordy K. (introducee Vivian v V.)</v>
      </c>
      <c r="C15" s="848">
        <f t="shared" ca="1" si="1"/>
        <v>431</v>
      </c>
      <c r="D15" s="845">
        <f t="shared" ca="1" si="2"/>
        <v>0</v>
      </c>
      <c r="E15" s="864" t="s">
        <v>9</v>
      </c>
      <c r="F15" s="846">
        <f t="shared" ca="1" si="3"/>
        <v>1</v>
      </c>
      <c r="G15" s="850" t="s">
        <v>323</v>
      </c>
      <c r="H15" s="845">
        <f t="shared" ca="1" si="4"/>
        <v>1</v>
      </c>
      <c r="I15" s="864" t="s">
        <v>9</v>
      </c>
      <c r="J15" s="846">
        <f t="shared" ca="1" si="5"/>
        <v>1</v>
      </c>
      <c r="K15" s="850" t="s">
        <v>323</v>
      </c>
      <c r="L15" s="845">
        <f t="shared" ca="1" si="6"/>
        <v>1</v>
      </c>
      <c r="M15" s="864" t="s">
        <v>9</v>
      </c>
      <c r="N15" s="846">
        <f t="shared" ca="1" si="7"/>
        <v>0</v>
      </c>
      <c r="O15" s="850" t="s">
        <v>323</v>
      </c>
      <c r="P15" s="845">
        <f t="shared" ca="1" si="8"/>
        <v>2</v>
      </c>
      <c r="Q15" s="864" t="s">
        <v>9</v>
      </c>
      <c r="R15" s="846">
        <f t="shared" ca="1" si="9"/>
        <v>1</v>
      </c>
      <c r="S15" s="184"/>
      <c r="U15" s="859">
        <v>52</v>
      </c>
      <c r="V15" s="854" t="str">
        <f t="shared" ca="1" si="10"/>
        <v>Jordy K. (introducee Vivian v V.)</v>
      </c>
      <c r="W15" s="854">
        <f t="shared" ca="1" si="11"/>
        <v>431</v>
      </c>
      <c r="X15" s="854" t="str">
        <f t="shared" ca="1" si="12"/>
        <v>Brazilië</v>
      </c>
      <c r="Y15" s="854" t="str">
        <f t="shared" ca="1" si="13"/>
        <v>Spanje</v>
      </c>
      <c r="Z15" s="854" t="str">
        <f t="shared" ca="1" si="14"/>
        <v>Duitsland</v>
      </c>
      <c r="AA15" s="860" t="str">
        <f t="shared" ca="1" si="15"/>
        <v>Argentinië</v>
      </c>
    </row>
    <row r="16" spans="1:27">
      <c r="A16" s="838">
        <v>43</v>
      </c>
      <c r="B16" s="841" t="str">
        <f t="shared" ca="1" si="0"/>
        <v>Frank F.</v>
      </c>
      <c r="C16" s="848">
        <f t="shared" ca="1" si="1"/>
        <v>431</v>
      </c>
      <c r="D16" s="845">
        <f t="shared" ca="1" si="2"/>
        <v>1</v>
      </c>
      <c r="E16" s="864" t="s">
        <v>9</v>
      </c>
      <c r="F16" s="846">
        <f t="shared" ca="1" si="3"/>
        <v>2</v>
      </c>
      <c r="G16" s="850" t="s">
        <v>323</v>
      </c>
      <c r="H16" s="845">
        <f t="shared" ca="1" si="4"/>
        <v>1</v>
      </c>
      <c r="I16" s="864" t="s">
        <v>9</v>
      </c>
      <c r="J16" s="846">
        <f t="shared" ca="1" si="5"/>
        <v>2</v>
      </c>
      <c r="K16" s="850" t="s">
        <v>323</v>
      </c>
      <c r="L16" s="845">
        <f t="shared" ca="1" si="6"/>
        <v>1</v>
      </c>
      <c r="M16" s="864" t="s">
        <v>9</v>
      </c>
      <c r="N16" s="846">
        <f t="shared" ca="1" si="7"/>
        <v>2</v>
      </c>
      <c r="O16" s="850" t="s">
        <v>323</v>
      </c>
      <c r="P16" s="845">
        <f t="shared" ca="1" si="8"/>
        <v>2</v>
      </c>
      <c r="Q16" s="864" t="s">
        <v>9</v>
      </c>
      <c r="R16" s="846">
        <f t="shared" ca="1" si="9"/>
        <v>0</v>
      </c>
      <c r="S16" s="184"/>
      <c r="U16" s="859">
        <v>46</v>
      </c>
      <c r="V16" s="854" t="str">
        <f t="shared" ca="1" si="10"/>
        <v>Frank F.</v>
      </c>
      <c r="W16" s="854">
        <f t="shared" ca="1" si="11"/>
        <v>431</v>
      </c>
      <c r="X16" s="854" t="str">
        <f t="shared" ca="1" si="12"/>
        <v>Brazilië</v>
      </c>
      <c r="Y16" s="854" t="str">
        <f t="shared" ca="1" si="13"/>
        <v>Spanje</v>
      </c>
      <c r="Z16" s="854" t="str">
        <f t="shared" ca="1" si="14"/>
        <v>Argentinië</v>
      </c>
      <c r="AA16" s="860" t="str">
        <f t="shared" ca="1" si="15"/>
        <v>Duitsland</v>
      </c>
    </row>
    <row r="17" spans="1:27">
      <c r="A17" s="838">
        <v>57</v>
      </c>
      <c r="B17" s="841" t="str">
        <f t="shared" ca="1" si="0"/>
        <v>Tinka H.</v>
      </c>
      <c r="C17" s="848">
        <f t="shared" ca="1" si="1"/>
        <v>495</v>
      </c>
      <c r="D17" s="845">
        <f t="shared" ca="1" si="2"/>
        <v>2</v>
      </c>
      <c r="E17" s="864" t="s">
        <v>9</v>
      </c>
      <c r="F17" s="846">
        <f t="shared" ca="1" si="3"/>
        <v>1</v>
      </c>
      <c r="G17" s="850" t="s">
        <v>323</v>
      </c>
      <c r="H17" s="845">
        <f t="shared" ca="1" si="4"/>
        <v>1</v>
      </c>
      <c r="I17" s="864" t="s">
        <v>9</v>
      </c>
      <c r="J17" s="846">
        <f t="shared" ca="1" si="5"/>
        <v>0</v>
      </c>
      <c r="K17" s="850" t="s">
        <v>323</v>
      </c>
      <c r="L17" s="845">
        <f t="shared" ca="1" si="6"/>
        <v>2</v>
      </c>
      <c r="M17" s="864" t="s">
        <v>9</v>
      </c>
      <c r="N17" s="846">
        <f t="shared" ca="1" si="7"/>
        <v>1</v>
      </c>
      <c r="O17" s="850" t="s">
        <v>323</v>
      </c>
      <c r="P17" s="845">
        <f t="shared" ca="1" si="8"/>
        <v>2</v>
      </c>
      <c r="Q17" s="864" t="s">
        <v>9</v>
      </c>
      <c r="R17" s="846">
        <f t="shared" ca="1" si="9"/>
        <v>1</v>
      </c>
      <c r="S17" s="184"/>
      <c r="U17" s="859">
        <v>50</v>
      </c>
      <c r="V17" s="854" t="str">
        <f t="shared" ca="1" si="10"/>
        <v>Tinka H.</v>
      </c>
      <c r="W17" s="854">
        <f t="shared" ca="1" si="11"/>
        <v>495</v>
      </c>
      <c r="X17" s="854" t="str">
        <f t="shared" ca="1" si="12"/>
        <v>Duitsland</v>
      </c>
      <c r="Y17" s="854" t="str">
        <f t="shared" ca="1" si="13"/>
        <v>Argentinië</v>
      </c>
      <c r="Z17" s="854" t="str">
        <f t="shared" ca="1" si="14"/>
        <v>Brazilië</v>
      </c>
      <c r="AA17" s="860" t="str">
        <f t="shared" ca="1" si="15"/>
        <v>Spanje</v>
      </c>
    </row>
    <row r="18" spans="1:27">
      <c r="A18" s="838">
        <v>40</v>
      </c>
      <c r="B18" s="841" t="str">
        <f t="shared" ca="1" si="0"/>
        <v>Leo N.</v>
      </c>
      <c r="C18" s="848">
        <f t="shared" ca="1" si="1"/>
        <v>427</v>
      </c>
      <c r="D18" s="845">
        <f t="shared" ca="1" si="2"/>
        <v>1</v>
      </c>
      <c r="E18" s="864" t="s">
        <v>9</v>
      </c>
      <c r="F18" s="846">
        <f t="shared" ca="1" si="3"/>
        <v>3</v>
      </c>
      <c r="G18" s="850" t="s">
        <v>323</v>
      </c>
      <c r="H18" s="845">
        <f t="shared" ca="1" si="4"/>
        <v>1</v>
      </c>
      <c r="I18" s="864" t="s">
        <v>9</v>
      </c>
      <c r="J18" s="846">
        <f t="shared" ca="1" si="5"/>
        <v>2</v>
      </c>
      <c r="K18" s="850" t="s">
        <v>323</v>
      </c>
      <c r="L18" s="845">
        <f t="shared" ca="1" si="6"/>
        <v>2</v>
      </c>
      <c r="M18" s="864" t="s">
        <v>9</v>
      </c>
      <c r="N18" s="846">
        <f t="shared" ca="1" si="7"/>
        <v>0</v>
      </c>
      <c r="O18" s="850" t="s">
        <v>323</v>
      </c>
      <c r="P18" s="845">
        <f t="shared" ca="1" si="8"/>
        <v>2</v>
      </c>
      <c r="Q18" s="864" t="s">
        <v>9</v>
      </c>
      <c r="R18" s="846">
        <f t="shared" ca="1" si="9"/>
        <v>1</v>
      </c>
      <c r="S18" s="184"/>
      <c r="U18" s="859">
        <v>54</v>
      </c>
      <c r="V18" s="854" t="str">
        <f t="shared" ca="1" si="10"/>
        <v>Leo N.</v>
      </c>
      <c r="W18" s="854">
        <f t="shared" ca="1" si="11"/>
        <v>427</v>
      </c>
      <c r="X18" s="854" t="str">
        <f t="shared" ca="1" si="12"/>
        <v>Brazilië</v>
      </c>
      <c r="Y18" s="854" t="str">
        <f t="shared" ca="1" si="13"/>
        <v>Nederland</v>
      </c>
      <c r="Z18" s="854" t="str">
        <f t="shared" ca="1" si="14"/>
        <v>Duitsland</v>
      </c>
      <c r="AA18" s="860" t="str">
        <f t="shared" ca="1" si="15"/>
        <v>Argentinië</v>
      </c>
    </row>
    <row r="19" spans="1:27">
      <c r="A19" s="838">
        <v>23</v>
      </c>
      <c r="B19" s="841" t="str">
        <f t="shared" ca="1" si="0"/>
        <v>Frank S.</v>
      </c>
      <c r="C19" s="848">
        <f t="shared" ca="1" si="1"/>
        <v>462</v>
      </c>
      <c r="D19" s="845">
        <f t="shared" ca="1" si="2"/>
        <v>1</v>
      </c>
      <c r="E19" s="864" t="s">
        <v>9</v>
      </c>
      <c r="F19" s="846">
        <f t="shared" ca="1" si="3"/>
        <v>1</v>
      </c>
      <c r="G19" s="850" t="s">
        <v>323</v>
      </c>
      <c r="H19" s="845">
        <f t="shared" ca="1" si="4"/>
        <v>0</v>
      </c>
      <c r="I19" s="864" t="s">
        <v>9</v>
      </c>
      <c r="J19" s="846">
        <f t="shared" ca="1" si="5"/>
        <v>1</v>
      </c>
      <c r="K19" s="850" t="s">
        <v>323</v>
      </c>
      <c r="L19" s="845">
        <f t="shared" ca="1" si="6"/>
        <v>0</v>
      </c>
      <c r="M19" s="864" t="s">
        <v>9</v>
      </c>
      <c r="N19" s="846">
        <f t="shared" ca="1" si="7"/>
        <v>1</v>
      </c>
      <c r="O19" s="850" t="s">
        <v>323</v>
      </c>
      <c r="P19" s="845">
        <f t="shared" ca="1" si="8"/>
        <v>2</v>
      </c>
      <c r="Q19" s="864" t="s">
        <v>9</v>
      </c>
      <c r="R19" s="846">
        <f t="shared" ca="1" si="9"/>
        <v>0</v>
      </c>
      <c r="S19" s="184"/>
      <c r="U19" s="859">
        <v>78</v>
      </c>
      <c r="V19" s="854" t="str">
        <f t="shared" ca="1" si="10"/>
        <v>Frank S.</v>
      </c>
      <c r="W19" s="854">
        <f t="shared" ca="1" si="11"/>
        <v>462</v>
      </c>
      <c r="X19" s="854" t="str">
        <f t="shared" ca="1" si="12"/>
        <v>Duitsland</v>
      </c>
      <c r="Y19" s="854" t="str">
        <f t="shared" ca="1" si="13"/>
        <v>Spanje</v>
      </c>
      <c r="Z19" s="854" t="str">
        <f t="shared" ca="1" si="14"/>
        <v>België</v>
      </c>
      <c r="AA19" s="860" t="str">
        <f t="shared" ca="1" si="15"/>
        <v>Italië</v>
      </c>
    </row>
    <row r="20" spans="1:27">
      <c r="A20" s="838">
        <v>56</v>
      </c>
      <c r="B20" s="841" t="str">
        <f t="shared" ca="1" si="0"/>
        <v>Gemma R.</v>
      </c>
      <c r="C20" s="848">
        <f t="shared" ca="1" si="1"/>
        <v>432</v>
      </c>
      <c r="D20" s="845">
        <f t="shared" ca="1" si="2"/>
        <v>2</v>
      </c>
      <c r="E20" s="864" t="s">
        <v>9</v>
      </c>
      <c r="F20" s="846">
        <f t="shared" ca="1" si="3"/>
        <v>2</v>
      </c>
      <c r="G20" s="850" t="s">
        <v>323</v>
      </c>
      <c r="H20" s="845">
        <f t="shared" ca="1" si="4"/>
        <v>1</v>
      </c>
      <c r="I20" s="864" t="s">
        <v>9</v>
      </c>
      <c r="J20" s="846">
        <f t="shared" ca="1" si="5"/>
        <v>1</v>
      </c>
      <c r="K20" s="850" t="s">
        <v>323</v>
      </c>
      <c r="L20" s="845">
        <f t="shared" ca="1" si="6"/>
        <v>4</v>
      </c>
      <c r="M20" s="864" t="s">
        <v>9</v>
      </c>
      <c r="N20" s="846">
        <f t="shared" ca="1" si="7"/>
        <v>2</v>
      </c>
      <c r="O20" s="850" t="s">
        <v>323</v>
      </c>
      <c r="P20" s="845">
        <f t="shared" ca="1" si="8"/>
        <v>1</v>
      </c>
      <c r="Q20" s="864" t="s">
        <v>9</v>
      </c>
      <c r="R20" s="846">
        <f t="shared" ca="1" si="9"/>
        <v>2</v>
      </c>
      <c r="S20" s="184"/>
      <c r="U20" s="859">
        <v>48</v>
      </c>
      <c r="V20" s="854" t="str">
        <f t="shared" ca="1" si="10"/>
        <v>Gemma R.</v>
      </c>
      <c r="W20" s="854">
        <f t="shared" ca="1" si="11"/>
        <v>432</v>
      </c>
      <c r="X20" s="854" t="str">
        <f t="shared" ca="1" si="12"/>
        <v>Italië</v>
      </c>
      <c r="Y20" s="854" t="str">
        <f t="shared" ca="1" si="13"/>
        <v>Duitsland</v>
      </c>
      <c r="Z20" s="854" t="str">
        <f t="shared" ca="1" si="14"/>
        <v>Brazilië</v>
      </c>
      <c r="AA20" s="860" t="str">
        <f t="shared" ca="1" si="15"/>
        <v>België</v>
      </c>
    </row>
    <row r="21" spans="1:27">
      <c r="A21" s="838">
        <v>52</v>
      </c>
      <c r="B21" s="841" t="str">
        <f t="shared" ca="1" si="0"/>
        <v>René vd S.</v>
      </c>
      <c r="C21" s="848">
        <f t="shared" ca="1" si="1"/>
        <v>438</v>
      </c>
      <c r="D21" s="845">
        <f t="shared" ca="1" si="2"/>
        <v>2</v>
      </c>
      <c r="E21" s="864" t="s">
        <v>9</v>
      </c>
      <c r="F21" s="846">
        <f t="shared" ca="1" si="3"/>
        <v>1</v>
      </c>
      <c r="G21" s="850" t="s">
        <v>323</v>
      </c>
      <c r="H21" s="845">
        <f t="shared" ca="1" si="4"/>
        <v>2</v>
      </c>
      <c r="I21" s="864" t="s">
        <v>9</v>
      </c>
      <c r="J21" s="846">
        <f t="shared" ca="1" si="5"/>
        <v>1</v>
      </c>
      <c r="K21" s="850" t="s">
        <v>323</v>
      </c>
      <c r="L21" s="845">
        <f t="shared" ca="1" si="6"/>
        <v>2</v>
      </c>
      <c r="M21" s="864" t="s">
        <v>9</v>
      </c>
      <c r="N21" s="846">
        <f t="shared" ca="1" si="7"/>
        <v>1</v>
      </c>
      <c r="O21" s="850" t="s">
        <v>323</v>
      </c>
      <c r="P21" s="845">
        <f t="shared" ca="1" si="8"/>
        <v>3</v>
      </c>
      <c r="Q21" s="864" t="s">
        <v>9</v>
      </c>
      <c r="R21" s="846">
        <f t="shared" ca="1" si="9"/>
        <v>2</v>
      </c>
      <c r="S21" s="184"/>
      <c r="U21" s="859">
        <v>57</v>
      </c>
      <c r="V21" s="854" t="str">
        <f t="shared" ca="1" si="10"/>
        <v>René vd S.</v>
      </c>
      <c r="W21" s="854">
        <f t="shared" ca="1" si="11"/>
        <v>438</v>
      </c>
      <c r="X21" s="854" t="str">
        <f t="shared" ca="1" si="12"/>
        <v>Frankrijk</v>
      </c>
      <c r="Y21" s="854" t="str">
        <f t="shared" ca="1" si="13"/>
        <v>Argentinië</v>
      </c>
      <c r="Z21" s="854" t="str">
        <f t="shared" ca="1" si="14"/>
        <v>Brazilië</v>
      </c>
      <c r="AA21" s="860" t="str">
        <f t="shared" ca="1" si="15"/>
        <v>Spanje</v>
      </c>
    </row>
    <row r="22" spans="1:27">
      <c r="A22" s="838">
        <v>48</v>
      </c>
      <c r="B22" s="841" t="str">
        <f t="shared" ca="1" si="0"/>
        <v>Louis B.</v>
      </c>
      <c r="C22" s="848">
        <f t="shared" ca="1" si="1"/>
        <v>417</v>
      </c>
      <c r="D22" s="845">
        <f t="shared" ca="1" si="2"/>
        <v>0</v>
      </c>
      <c r="E22" s="864" t="s">
        <v>9</v>
      </c>
      <c r="F22" s="846">
        <f t="shared" ca="1" si="3"/>
        <v>1</v>
      </c>
      <c r="G22" s="850" t="s">
        <v>323</v>
      </c>
      <c r="H22" s="845">
        <f t="shared" ca="1" si="4"/>
        <v>1</v>
      </c>
      <c r="I22" s="864" t="s">
        <v>9</v>
      </c>
      <c r="J22" s="846">
        <f t="shared" ca="1" si="5"/>
        <v>1</v>
      </c>
      <c r="K22" s="850" t="s">
        <v>323</v>
      </c>
      <c r="L22" s="845">
        <f t="shared" ca="1" si="6"/>
        <v>3</v>
      </c>
      <c r="M22" s="864" t="s">
        <v>9</v>
      </c>
      <c r="N22" s="846">
        <f t="shared" ca="1" si="7"/>
        <v>2</v>
      </c>
      <c r="O22" s="850" t="s">
        <v>323</v>
      </c>
      <c r="P22" s="845">
        <f t="shared" ca="1" si="8"/>
        <v>2</v>
      </c>
      <c r="Q22" s="864" t="s">
        <v>9</v>
      </c>
      <c r="R22" s="846">
        <f t="shared" ca="1" si="9"/>
        <v>2</v>
      </c>
      <c r="S22" s="184"/>
      <c r="U22" s="859">
        <v>43</v>
      </c>
      <c r="V22" s="854" t="str">
        <f t="shared" ca="1" si="10"/>
        <v>Louis B.</v>
      </c>
      <c r="W22" s="854">
        <f t="shared" ca="1" si="11"/>
        <v>417</v>
      </c>
      <c r="X22" s="854" t="str">
        <f t="shared" ca="1" si="12"/>
        <v>Brazilië</v>
      </c>
      <c r="Y22" s="854" t="str">
        <f t="shared" ca="1" si="13"/>
        <v>Spanje</v>
      </c>
      <c r="Z22" s="854" t="str">
        <f t="shared" ca="1" si="14"/>
        <v>Frankrijk</v>
      </c>
      <c r="AA22" s="860" t="str">
        <f t="shared" ca="1" si="15"/>
        <v>Portugal</v>
      </c>
    </row>
    <row r="23" spans="1:27">
      <c r="A23" s="838">
        <v>16</v>
      </c>
      <c r="B23" s="841" t="str">
        <f t="shared" ca="1" si="0"/>
        <v>Carlione (HUC)</v>
      </c>
      <c r="C23" s="848">
        <f t="shared" ca="1" si="1"/>
        <v>430</v>
      </c>
      <c r="D23" s="845">
        <f t="shared" ca="1" si="2"/>
        <v>1</v>
      </c>
      <c r="E23" s="864" t="s">
        <v>9</v>
      </c>
      <c r="F23" s="846">
        <f t="shared" ca="1" si="3"/>
        <v>2</v>
      </c>
      <c r="G23" s="850" t="s">
        <v>323</v>
      </c>
      <c r="H23" s="845">
        <f t="shared" ca="1" si="4"/>
        <v>1</v>
      </c>
      <c r="I23" s="864" t="s">
        <v>9</v>
      </c>
      <c r="J23" s="846">
        <f t="shared" ca="1" si="5"/>
        <v>1</v>
      </c>
      <c r="K23" s="850" t="s">
        <v>323</v>
      </c>
      <c r="L23" s="845">
        <f t="shared" ca="1" si="6"/>
        <v>0</v>
      </c>
      <c r="M23" s="864" t="s">
        <v>9</v>
      </c>
      <c r="N23" s="846">
        <f t="shared" ca="1" si="7"/>
        <v>1</v>
      </c>
      <c r="O23" s="850" t="s">
        <v>323</v>
      </c>
      <c r="P23" s="845">
        <f t="shared" ca="1" si="8"/>
        <v>0</v>
      </c>
      <c r="Q23" s="864" t="s">
        <v>9</v>
      </c>
      <c r="R23" s="846">
        <f t="shared" ca="1" si="9"/>
        <v>0</v>
      </c>
      <c r="S23" s="184"/>
      <c r="U23" s="859">
        <v>4</v>
      </c>
      <c r="V23" s="854" t="str">
        <f t="shared" ca="1" si="10"/>
        <v>Carlione (HUC)</v>
      </c>
      <c r="W23" s="854">
        <f t="shared" ca="1" si="11"/>
        <v>430</v>
      </c>
      <c r="X23" s="854" t="str">
        <f t="shared" ca="1" si="12"/>
        <v>Nederland</v>
      </c>
      <c r="Y23" s="854" t="str">
        <f t="shared" ca="1" si="13"/>
        <v>Brazilië</v>
      </c>
      <c r="Z23" s="854" t="str">
        <f t="shared" ca="1" si="14"/>
        <v>België</v>
      </c>
      <c r="AA23" s="860" t="str">
        <f t="shared" ca="1" si="15"/>
        <v>Portugal</v>
      </c>
    </row>
    <row r="24" spans="1:27">
      <c r="A24" s="838">
        <v>50</v>
      </c>
      <c r="B24" s="841" t="str">
        <f t="shared" ca="1" si="0"/>
        <v>Maurice vd K.</v>
      </c>
      <c r="C24" s="848">
        <f t="shared" ca="1" si="1"/>
        <v>409</v>
      </c>
      <c r="D24" s="845">
        <f t="shared" ca="1" si="2"/>
        <v>2</v>
      </c>
      <c r="E24" s="864" t="s">
        <v>9</v>
      </c>
      <c r="F24" s="846">
        <f t="shared" ca="1" si="3"/>
        <v>3</v>
      </c>
      <c r="G24" s="850" t="s">
        <v>323</v>
      </c>
      <c r="H24" s="845">
        <f t="shared" ca="1" si="4"/>
        <v>1</v>
      </c>
      <c r="I24" s="864" t="s">
        <v>9</v>
      </c>
      <c r="J24" s="846">
        <f t="shared" ca="1" si="5"/>
        <v>2</v>
      </c>
      <c r="K24" s="850" t="s">
        <v>323</v>
      </c>
      <c r="L24" s="845">
        <f t="shared" ca="1" si="6"/>
        <v>3</v>
      </c>
      <c r="M24" s="864" t="s">
        <v>9</v>
      </c>
      <c r="N24" s="846">
        <f t="shared" ca="1" si="7"/>
        <v>1</v>
      </c>
      <c r="O24" s="850" t="s">
        <v>323</v>
      </c>
      <c r="P24" s="845">
        <f t="shared" ca="1" si="8"/>
        <v>2</v>
      </c>
      <c r="Q24" s="864" t="s">
        <v>9</v>
      </c>
      <c r="R24" s="846">
        <f t="shared" ca="1" si="9"/>
        <v>0</v>
      </c>
      <c r="S24" s="184"/>
      <c r="U24" s="859">
        <v>73</v>
      </c>
      <c r="V24" s="854" t="str">
        <f t="shared" ca="1" si="10"/>
        <v>Maurice vd K.</v>
      </c>
      <c r="W24" s="854">
        <f t="shared" ca="1" si="11"/>
        <v>409</v>
      </c>
      <c r="X24" s="854" t="str">
        <f t="shared" ca="1" si="12"/>
        <v>Brazilië</v>
      </c>
      <c r="Y24" s="854" t="str">
        <f t="shared" ca="1" si="13"/>
        <v>Spanje</v>
      </c>
      <c r="Z24" s="854" t="str">
        <f t="shared" ca="1" si="14"/>
        <v>Argentinië</v>
      </c>
      <c r="AA24" s="860" t="str">
        <f t="shared" ca="1" si="15"/>
        <v>Frankrijk</v>
      </c>
    </row>
    <row r="25" spans="1:27">
      <c r="A25" s="838">
        <v>46</v>
      </c>
      <c r="B25" s="841" t="str">
        <f t="shared" ca="1" si="0"/>
        <v>Corjan H.</v>
      </c>
      <c r="C25" s="848">
        <f t="shared" ca="1" si="1"/>
        <v>416</v>
      </c>
      <c r="D25" s="845">
        <f t="shared" ca="1" si="2"/>
        <v>1</v>
      </c>
      <c r="E25" s="864" t="s">
        <v>9</v>
      </c>
      <c r="F25" s="846">
        <f t="shared" ca="1" si="3"/>
        <v>3</v>
      </c>
      <c r="G25" s="850" t="s">
        <v>323</v>
      </c>
      <c r="H25" s="845">
        <f t="shared" ca="1" si="4"/>
        <v>2</v>
      </c>
      <c r="I25" s="864" t="s">
        <v>9</v>
      </c>
      <c r="J25" s="846">
        <f t="shared" ca="1" si="5"/>
        <v>0</v>
      </c>
      <c r="K25" s="850" t="s">
        <v>323</v>
      </c>
      <c r="L25" s="845">
        <f t="shared" ca="1" si="6"/>
        <v>1</v>
      </c>
      <c r="M25" s="864" t="s">
        <v>9</v>
      </c>
      <c r="N25" s="846">
        <f t="shared" ca="1" si="7"/>
        <v>1</v>
      </c>
      <c r="O25" s="850" t="s">
        <v>323</v>
      </c>
      <c r="P25" s="845">
        <f t="shared" ca="1" si="8"/>
        <v>1</v>
      </c>
      <c r="Q25" s="864" t="s">
        <v>9</v>
      </c>
      <c r="R25" s="846">
        <f t="shared" ca="1" si="9"/>
        <v>2</v>
      </c>
      <c r="S25" s="184"/>
      <c r="U25" s="859">
        <v>40</v>
      </c>
      <c r="V25" s="854" t="str">
        <f t="shared" ca="1" si="10"/>
        <v>Corjan H.</v>
      </c>
      <c r="W25" s="854">
        <f t="shared" ca="1" si="11"/>
        <v>416</v>
      </c>
      <c r="X25" s="854" t="str">
        <f t="shared" ca="1" si="12"/>
        <v>Argentinië</v>
      </c>
      <c r="Y25" s="854" t="str">
        <f t="shared" ca="1" si="13"/>
        <v>Brazilië</v>
      </c>
      <c r="Z25" s="854" t="str">
        <f t="shared" ca="1" si="14"/>
        <v>Frankrijk</v>
      </c>
      <c r="AA25" s="860" t="str">
        <f t="shared" ca="1" si="15"/>
        <v>Spanje</v>
      </c>
    </row>
    <row r="26" spans="1:27">
      <c r="A26" s="838">
        <v>73</v>
      </c>
      <c r="B26" s="841" t="str">
        <f t="shared" ca="1" si="0"/>
        <v>Inday vd S.</v>
      </c>
      <c r="C26" s="848">
        <f t="shared" ca="1" si="1"/>
        <v>406</v>
      </c>
      <c r="D26" s="845">
        <f t="shared" ca="1" si="2"/>
        <v>2</v>
      </c>
      <c r="E26" s="864" t="s">
        <v>9</v>
      </c>
      <c r="F26" s="846">
        <f t="shared" ca="1" si="3"/>
        <v>3</v>
      </c>
      <c r="G26" s="850" t="s">
        <v>323</v>
      </c>
      <c r="H26" s="845">
        <f t="shared" ca="1" si="4"/>
        <v>0</v>
      </c>
      <c r="I26" s="864" t="s">
        <v>9</v>
      </c>
      <c r="J26" s="846">
        <f t="shared" ca="1" si="5"/>
        <v>3</v>
      </c>
      <c r="K26" s="850" t="s">
        <v>323</v>
      </c>
      <c r="L26" s="845">
        <f t="shared" ca="1" si="6"/>
        <v>4</v>
      </c>
      <c r="M26" s="864" t="s">
        <v>9</v>
      </c>
      <c r="N26" s="846">
        <f t="shared" ca="1" si="7"/>
        <v>2</v>
      </c>
      <c r="O26" s="850" t="s">
        <v>323</v>
      </c>
      <c r="P26" s="845">
        <f t="shared" ca="1" si="8"/>
        <v>1</v>
      </c>
      <c r="Q26" s="864" t="s">
        <v>9</v>
      </c>
      <c r="R26" s="846">
        <f t="shared" ca="1" si="9"/>
        <v>0</v>
      </c>
      <c r="S26" s="184"/>
      <c r="U26" s="859">
        <v>17</v>
      </c>
      <c r="V26" s="854" t="str">
        <f t="shared" ca="1" si="10"/>
        <v>Inday vd S.</v>
      </c>
      <c r="W26" s="854">
        <f t="shared" ca="1" si="11"/>
        <v>406</v>
      </c>
      <c r="X26" s="854" t="str">
        <f t="shared" ca="1" si="12"/>
        <v>Nederland</v>
      </c>
      <c r="Y26" s="854" t="str">
        <f t="shared" ca="1" si="13"/>
        <v>Spanje</v>
      </c>
      <c r="Z26" s="854" t="str">
        <f t="shared" ca="1" si="14"/>
        <v>Portugal</v>
      </c>
      <c r="AA26" s="860" t="str">
        <f t="shared" ca="1" si="15"/>
        <v>Argentinië</v>
      </c>
    </row>
    <row r="27" spans="1:27">
      <c r="A27" s="838">
        <v>41</v>
      </c>
      <c r="B27" s="841" t="str">
        <f t="shared" ca="1" si="0"/>
        <v>Thomas H.</v>
      </c>
      <c r="C27" s="848">
        <f t="shared" ca="1" si="1"/>
        <v>421</v>
      </c>
      <c r="D27" s="845">
        <f t="shared" ca="1" si="2"/>
        <v>2</v>
      </c>
      <c r="E27" s="864" t="s">
        <v>9</v>
      </c>
      <c r="F27" s="846">
        <f t="shared" ca="1" si="3"/>
        <v>1</v>
      </c>
      <c r="G27" s="850" t="s">
        <v>323</v>
      </c>
      <c r="H27" s="845">
        <f t="shared" ca="1" si="4"/>
        <v>1</v>
      </c>
      <c r="I27" s="864" t="s">
        <v>9</v>
      </c>
      <c r="J27" s="846">
        <f t="shared" ca="1" si="5"/>
        <v>0</v>
      </c>
      <c r="K27" s="850" t="s">
        <v>323</v>
      </c>
      <c r="L27" s="845">
        <f t="shared" ca="1" si="6"/>
        <v>3</v>
      </c>
      <c r="M27" s="864" t="s">
        <v>9</v>
      </c>
      <c r="N27" s="846">
        <f t="shared" ca="1" si="7"/>
        <v>1</v>
      </c>
      <c r="O27" s="850" t="s">
        <v>323</v>
      </c>
      <c r="P27" s="845">
        <f t="shared" ca="1" si="8"/>
        <v>1</v>
      </c>
      <c r="Q27" s="864" t="s">
        <v>9</v>
      </c>
      <c r="R27" s="846">
        <f t="shared" ca="1" si="9"/>
        <v>2</v>
      </c>
      <c r="S27" s="184"/>
      <c r="U27" s="859">
        <v>16</v>
      </c>
      <c r="V27" s="854" t="str">
        <f t="shared" ca="1" si="10"/>
        <v>Thomas H.</v>
      </c>
      <c r="W27" s="854">
        <f t="shared" ca="1" si="11"/>
        <v>421</v>
      </c>
      <c r="X27" s="854" t="str">
        <f t="shared" ca="1" si="12"/>
        <v>België</v>
      </c>
      <c r="Y27" s="854" t="str">
        <f t="shared" ca="1" si="13"/>
        <v>Duitsland</v>
      </c>
      <c r="Z27" s="854" t="str">
        <f t="shared" ca="1" si="14"/>
        <v>Brazilië</v>
      </c>
      <c r="AA27" s="860" t="str">
        <f t="shared" ca="1" si="15"/>
        <v>Italië</v>
      </c>
    </row>
    <row r="28" spans="1:27">
      <c r="A28" s="838">
        <v>4</v>
      </c>
      <c r="B28" s="841" t="str">
        <f t="shared" ca="1" si="0"/>
        <v>Edwin B.</v>
      </c>
      <c r="C28" s="848">
        <f t="shared" ca="1" si="1"/>
        <v>406</v>
      </c>
      <c r="D28" s="845">
        <f t="shared" ca="1" si="2"/>
        <v>2</v>
      </c>
      <c r="E28" s="864" t="s">
        <v>9</v>
      </c>
      <c r="F28" s="846">
        <f t="shared" ca="1" si="3"/>
        <v>2</v>
      </c>
      <c r="G28" s="850" t="s">
        <v>323</v>
      </c>
      <c r="H28" s="845">
        <f t="shared" ca="1" si="4"/>
        <v>2</v>
      </c>
      <c r="I28" s="864" t="s">
        <v>9</v>
      </c>
      <c r="J28" s="846">
        <f t="shared" ca="1" si="5"/>
        <v>2</v>
      </c>
      <c r="K28" s="850" t="s">
        <v>323</v>
      </c>
      <c r="L28" s="845">
        <f t="shared" ca="1" si="6"/>
        <v>2</v>
      </c>
      <c r="M28" s="864" t="s">
        <v>9</v>
      </c>
      <c r="N28" s="846">
        <f t="shared" ca="1" si="7"/>
        <v>1</v>
      </c>
      <c r="O28" s="850" t="s">
        <v>323</v>
      </c>
      <c r="P28" s="845">
        <f t="shared" ca="1" si="8"/>
        <v>2</v>
      </c>
      <c r="Q28" s="864" t="s">
        <v>9</v>
      </c>
      <c r="R28" s="846">
        <f t="shared" ca="1" si="9"/>
        <v>1</v>
      </c>
      <c r="S28" s="184"/>
      <c r="U28" s="859">
        <v>56</v>
      </c>
      <c r="V28" s="854" t="str">
        <f t="shared" ca="1" si="10"/>
        <v>Edwin B.</v>
      </c>
      <c r="W28" s="854">
        <f t="shared" ca="1" si="11"/>
        <v>406</v>
      </c>
      <c r="X28" s="854" t="str">
        <f t="shared" ca="1" si="12"/>
        <v>Brazilië</v>
      </c>
      <c r="Y28" s="854" t="str">
        <f t="shared" ca="1" si="13"/>
        <v>Spanje</v>
      </c>
      <c r="Z28" s="854" t="str">
        <f t="shared" ca="1" si="14"/>
        <v>Duitsland</v>
      </c>
      <c r="AA28" s="860" t="str">
        <f t="shared" ca="1" si="15"/>
        <v>Argentinië</v>
      </c>
    </row>
    <row r="29" spans="1:27">
      <c r="A29" s="838">
        <v>28</v>
      </c>
      <c r="B29" s="841" t="str">
        <f t="shared" ca="1" si="0"/>
        <v>Edwin de G. (introducee Yvonne J.)</v>
      </c>
      <c r="C29" s="848">
        <f t="shared" ca="1" si="1"/>
        <v>399</v>
      </c>
      <c r="D29" s="845">
        <f t="shared" ca="1" si="2"/>
        <v>0</v>
      </c>
      <c r="E29" s="864" t="s">
        <v>9</v>
      </c>
      <c r="F29" s="846">
        <f t="shared" ca="1" si="3"/>
        <v>0</v>
      </c>
      <c r="G29" s="850" t="s">
        <v>323</v>
      </c>
      <c r="H29" s="845">
        <f t="shared" ca="1" si="4"/>
        <v>0</v>
      </c>
      <c r="I29" s="864" t="s">
        <v>9</v>
      </c>
      <c r="J29" s="846">
        <f t="shared" ca="1" si="5"/>
        <v>1</v>
      </c>
      <c r="K29" s="850" t="s">
        <v>323</v>
      </c>
      <c r="L29" s="845">
        <f t="shared" ca="1" si="6"/>
        <v>2</v>
      </c>
      <c r="M29" s="864" t="s">
        <v>9</v>
      </c>
      <c r="N29" s="846">
        <f t="shared" ca="1" si="7"/>
        <v>0</v>
      </c>
      <c r="O29" s="850" t="s">
        <v>323</v>
      </c>
      <c r="P29" s="845">
        <f t="shared" ca="1" si="8"/>
        <v>0</v>
      </c>
      <c r="Q29" s="864" t="s">
        <v>9</v>
      </c>
      <c r="R29" s="846">
        <f t="shared" ca="1" si="9"/>
        <v>1</v>
      </c>
      <c r="S29" s="184"/>
      <c r="U29" s="859">
        <v>41</v>
      </c>
      <c r="V29" s="854" t="str">
        <f t="shared" ca="1" si="10"/>
        <v>Edwin de G. (introducee Yvonne J.)</v>
      </c>
      <c r="W29" s="854">
        <f t="shared" ca="1" si="11"/>
        <v>399</v>
      </c>
      <c r="X29" s="854" t="str">
        <f t="shared" ca="1" si="12"/>
        <v>Spanje</v>
      </c>
      <c r="Y29" s="854" t="str">
        <f t="shared" ca="1" si="13"/>
        <v>Portugal</v>
      </c>
      <c r="Z29" s="854" t="str">
        <f t="shared" ca="1" si="14"/>
        <v>Brazilië</v>
      </c>
      <c r="AA29" s="860" t="str">
        <f t="shared" ca="1" si="15"/>
        <v>Argentinië</v>
      </c>
    </row>
    <row r="30" spans="1:27">
      <c r="A30" s="838">
        <v>17</v>
      </c>
      <c r="B30" s="841" t="str">
        <f t="shared" ca="1" si="0"/>
        <v>Jochem</v>
      </c>
      <c r="C30" s="848">
        <f t="shared" ca="1" si="1"/>
        <v>390</v>
      </c>
      <c r="D30" s="845">
        <f t="shared" ca="1" si="2"/>
        <v>1</v>
      </c>
      <c r="E30" s="864" t="s">
        <v>9</v>
      </c>
      <c r="F30" s="846">
        <f t="shared" ca="1" si="3"/>
        <v>1</v>
      </c>
      <c r="G30" s="850" t="s">
        <v>323</v>
      </c>
      <c r="H30" s="845">
        <f t="shared" ca="1" si="4"/>
        <v>2</v>
      </c>
      <c r="I30" s="864" t="s">
        <v>9</v>
      </c>
      <c r="J30" s="846">
        <f t="shared" ca="1" si="5"/>
        <v>0</v>
      </c>
      <c r="K30" s="850" t="s">
        <v>323</v>
      </c>
      <c r="L30" s="845">
        <f t="shared" ca="1" si="6"/>
        <v>1</v>
      </c>
      <c r="M30" s="864" t="s">
        <v>9</v>
      </c>
      <c r="N30" s="846">
        <f t="shared" ca="1" si="7"/>
        <v>0</v>
      </c>
      <c r="O30" s="850" t="s">
        <v>323</v>
      </c>
      <c r="P30" s="845">
        <f t="shared" ca="1" si="8"/>
        <v>2</v>
      </c>
      <c r="Q30" s="864" t="s">
        <v>9</v>
      </c>
      <c r="R30" s="846">
        <f t="shared" ca="1" si="9"/>
        <v>0</v>
      </c>
      <c r="S30" s="184"/>
      <c r="U30" s="859">
        <v>27</v>
      </c>
      <c r="V30" s="854" t="str">
        <f t="shared" ca="1" si="10"/>
        <v>Jochem</v>
      </c>
      <c r="W30" s="854">
        <f t="shared" ca="1" si="11"/>
        <v>390</v>
      </c>
      <c r="X30" s="854" t="str">
        <f t="shared" ca="1" si="12"/>
        <v>Brazilië</v>
      </c>
      <c r="Y30" s="854" t="str">
        <f t="shared" ca="1" si="13"/>
        <v>België</v>
      </c>
      <c r="Z30" s="854" t="str">
        <f t="shared" ca="1" si="14"/>
        <v>Frankrijk</v>
      </c>
      <c r="AA30" s="860" t="str">
        <f t="shared" ca="1" si="15"/>
        <v>Uruguay</v>
      </c>
    </row>
    <row r="31" spans="1:27">
      <c r="A31" s="838">
        <v>24</v>
      </c>
      <c r="B31" s="841" t="str">
        <f t="shared" ca="1" si="0"/>
        <v>Marcel M.</v>
      </c>
      <c r="C31" s="848">
        <f t="shared" ca="1" si="1"/>
        <v>445</v>
      </c>
      <c r="D31" s="845">
        <f t="shared" ca="1" si="2"/>
        <v>1</v>
      </c>
      <c r="E31" s="864" t="s">
        <v>9</v>
      </c>
      <c r="F31" s="846">
        <f t="shared" ca="1" si="3"/>
        <v>0</v>
      </c>
      <c r="G31" s="850" t="s">
        <v>323</v>
      </c>
      <c r="H31" s="845">
        <f t="shared" ca="1" si="4"/>
        <v>1</v>
      </c>
      <c r="I31" s="864" t="s">
        <v>9</v>
      </c>
      <c r="J31" s="846">
        <f t="shared" ca="1" si="5"/>
        <v>2</v>
      </c>
      <c r="K31" s="850" t="s">
        <v>323</v>
      </c>
      <c r="L31" s="845">
        <f t="shared" ca="1" si="6"/>
        <v>1</v>
      </c>
      <c r="M31" s="864" t="s">
        <v>9</v>
      </c>
      <c r="N31" s="846">
        <f t="shared" ca="1" si="7"/>
        <v>0</v>
      </c>
      <c r="O31" s="850" t="s">
        <v>323</v>
      </c>
      <c r="P31" s="845">
        <f t="shared" ca="1" si="8"/>
        <v>2</v>
      </c>
      <c r="Q31" s="864" t="s">
        <v>9</v>
      </c>
      <c r="R31" s="846">
        <f t="shared" ca="1" si="9"/>
        <v>1</v>
      </c>
      <c r="S31" s="184"/>
      <c r="U31" s="859">
        <v>66</v>
      </c>
      <c r="V31" s="854" t="str">
        <f t="shared" ca="1" si="10"/>
        <v>Marcel M.</v>
      </c>
      <c r="W31" s="854">
        <f t="shared" ca="1" si="11"/>
        <v>445</v>
      </c>
      <c r="X31" s="854" t="str">
        <f t="shared" ca="1" si="12"/>
        <v>Duitsland</v>
      </c>
      <c r="Y31" s="854" t="str">
        <f t="shared" ca="1" si="13"/>
        <v>Uruguay</v>
      </c>
      <c r="Z31" s="854" t="str">
        <f t="shared" ca="1" si="14"/>
        <v>Brazilië</v>
      </c>
      <c r="AA31" s="860" t="str">
        <f t="shared" ca="1" si="15"/>
        <v>Argentinië</v>
      </c>
    </row>
    <row r="32" spans="1:27">
      <c r="A32" s="838">
        <v>66</v>
      </c>
      <c r="B32" s="841" t="str">
        <f t="shared" ca="1" si="0"/>
        <v>Jorg R.</v>
      </c>
      <c r="C32" s="848">
        <f t="shared" ca="1" si="1"/>
        <v>455</v>
      </c>
      <c r="D32" s="845">
        <f t="shared" ca="1" si="2"/>
        <v>2</v>
      </c>
      <c r="E32" s="864" t="s">
        <v>9</v>
      </c>
      <c r="F32" s="846">
        <f t="shared" ca="1" si="3"/>
        <v>2</v>
      </c>
      <c r="G32" s="850" t="s">
        <v>323</v>
      </c>
      <c r="H32" s="845">
        <f t="shared" ca="1" si="4"/>
        <v>2</v>
      </c>
      <c r="I32" s="864" t="s">
        <v>9</v>
      </c>
      <c r="J32" s="846">
        <f t="shared" ca="1" si="5"/>
        <v>2</v>
      </c>
      <c r="K32" s="850" t="s">
        <v>323</v>
      </c>
      <c r="L32" s="845">
        <f t="shared" ca="1" si="6"/>
        <v>2</v>
      </c>
      <c r="M32" s="864" t="s">
        <v>9</v>
      </c>
      <c r="N32" s="846">
        <f t="shared" ca="1" si="7"/>
        <v>1</v>
      </c>
      <c r="O32" s="850" t="s">
        <v>323</v>
      </c>
      <c r="P32" s="845">
        <f t="shared" ca="1" si="8"/>
        <v>2</v>
      </c>
      <c r="Q32" s="864" t="s">
        <v>9</v>
      </c>
      <c r="R32" s="846">
        <f t="shared" ca="1" si="9"/>
        <v>1</v>
      </c>
      <c r="S32" s="184"/>
      <c r="U32" s="859">
        <v>26</v>
      </c>
      <c r="V32" s="854" t="str">
        <f t="shared" ca="1" si="10"/>
        <v>Jorg R.</v>
      </c>
      <c r="W32" s="854">
        <f t="shared" ca="1" si="11"/>
        <v>455</v>
      </c>
      <c r="X32" s="854" t="str">
        <f t="shared" ca="1" si="12"/>
        <v>Duitsland</v>
      </c>
      <c r="Y32" s="854" t="str">
        <f t="shared" ca="1" si="13"/>
        <v>België</v>
      </c>
      <c r="Z32" s="854" t="str">
        <f t="shared" ca="1" si="14"/>
        <v>Brazilië</v>
      </c>
      <c r="AA32" s="860" t="str">
        <f t="shared" ca="1" si="15"/>
        <v>Nederland</v>
      </c>
    </row>
    <row r="33" spans="1:27">
      <c r="A33" s="838">
        <v>26</v>
      </c>
      <c r="B33" s="841" t="str">
        <f t="shared" ca="1" si="0"/>
        <v>Ricardo M.</v>
      </c>
      <c r="C33" s="848">
        <f t="shared" ca="1" si="1"/>
        <v>401</v>
      </c>
      <c r="D33" s="845">
        <f t="shared" ca="1" si="2"/>
        <v>2</v>
      </c>
      <c r="E33" s="864" t="s">
        <v>9</v>
      </c>
      <c r="F33" s="846">
        <f t="shared" ca="1" si="3"/>
        <v>2</v>
      </c>
      <c r="G33" s="850" t="s">
        <v>323</v>
      </c>
      <c r="H33" s="845">
        <f t="shared" ca="1" si="4"/>
        <v>1</v>
      </c>
      <c r="I33" s="864" t="s">
        <v>9</v>
      </c>
      <c r="J33" s="846">
        <f t="shared" ca="1" si="5"/>
        <v>2</v>
      </c>
      <c r="K33" s="850" t="s">
        <v>323</v>
      </c>
      <c r="L33" s="845">
        <f t="shared" ca="1" si="6"/>
        <v>0</v>
      </c>
      <c r="M33" s="864" t="s">
        <v>9</v>
      </c>
      <c r="N33" s="846">
        <f t="shared" ca="1" si="7"/>
        <v>1</v>
      </c>
      <c r="O33" s="850" t="s">
        <v>323</v>
      </c>
      <c r="P33" s="845">
        <f t="shared" ca="1" si="8"/>
        <v>2</v>
      </c>
      <c r="Q33" s="864" t="s">
        <v>9</v>
      </c>
      <c r="R33" s="846">
        <f t="shared" ca="1" si="9"/>
        <v>1</v>
      </c>
      <c r="S33" s="184"/>
      <c r="U33" s="859">
        <v>24</v>
      </c>
      <c r="V33" s="854" t="str">
        <f t="shared" ca="1" si="10"/>
        <v>Ricardo M.</v>
      </c>
      <c r="W33" s="854">
        <f t="shared" ca="1" si="11"/>
        <v>401</v>
      </c>
      <c r="X33" s="854" t="str">
        <f t="shared" ca="1" si="12"/>
        <v>Brazilië</v>
      </c>
      <c r="Y33" s="854" t="str">
        <f t="shared" ca="1" si="13"/>
        <v>Spanje</v>
      </c>
      <c r="Z33" s="854" t="str">
        <f t="shared" ca="1" si="14"/>
        <v>Argentinië</v>
      </c>
      <c r="AA33" s="860" t="str">
        <f t="shared" ca="1" si="15"/>
        <v>Duitsland</v>
      </c>
    </row>
    <row r="34" spans="1:27">
      <c r="A34" s="838">
        <v>22</v>
      </c>
      <c r="B34" s="841" t="str">
        <f t="shared" ref="B34:B65" ca="1" si="16">INDIRECT("'"&amp;$A34&amp;"'!N3")</f>
        <v>Arthur K.</v>
      </c>
      <c r="C34" s="848">
        <f t="shared" ref="C34:C65" ca="1" si="17">INDIRECT("'"&amp;$A34&amp;"'!O3")</f>
        <v>397</v>
      </c>
      <c r="D34" s="845">
        <f t="shared" ref="D34:D65" ca="1" si="18">INDIRECT("'"&amp;$A34&amp;"'!G77")</f>
        <v>1</v>
      </c>
      <c r="E34" s="864" t="s">
        <v>9</v>
      </c>
      <c r="F34" s="846">
        <f t="shared" ref="F34:F65" ca="1" si="19">INDIRECT("'"&amp;$A34&amp;"'!i77")</f>
        <v>1</v>
      </c>
      <c r="G34" s="850" t="s">
        <v>323</v>
      </c>
      <c r="H34" s="845">
        <f t="shared" ref="H34:H65" ca="1" si="20">INDIRECT("'"&amp;$A34&amp;"'!G78")</f>
        <v>0</v>
      </c>
      <c r="I34" s="864" t="s">
        <v>9</v>
      </c>
      <c r="J34" s="846">
        <f t="shared" ref="J34:J65" ca="1" si="21">INDIRECT("'"&amp;$A34&amp;"'!i78")</f>
        <v>1</v>
      </c>
      <c r="K34" s="850" t="s">
        <v>323</v>
      </c>
      <c r="L34" s="845">
        <f t="shared" ref="L34:L65" ca="1" si="22">INDIRECT("'"&amp;$A34&amp;"'!G82")</f>
        <v>1</v>
      </c>
      <c r="M34" s="864" t="s">
        <v>9</v>
      </c>
      <c r="N34" s="846">
        <f t="shared" ref="N34:N65" ca="1" si="23">INDIRECT("'"&amp;$A34&amp;"'!i82")</f>
        <v>0</v>
      </c>
      <c r="O34" s="850" t="s">
        <v>323</v>
      </c>
      <c r="P34" s="845">
        <f t="shared" ref="P34:P65" ca="1" si="24">INDIRECT("'"&amp;$A34&amp;"'!G86")</f>
        <v>1</v>
      </c>
      <c r="Q34" s="864" t="s">
        <v>9</v>
      </c>
      <c r="R34" s="846">
        <f t="shared" ref="R34:R65" ca="1" si="25">INDIRECT("'"&amp;$A34&amp;"'!i86")</f>
        <v>0</v>
      </c>
      <c r="S34" s="184"/>
      <c r="U34" s="859">
        <v>91</v>
      </c>
      <c r="V34" s="854" t="str">
        <f t="shared" ref="V34:V65" ca="1" si="26">INDIRECT("'"&amp;$A34&amp;"'!N3")</f>
        <v>Arthur K.</v>
      </c>
      <c r="W34" s="854">
        <f t="shared" ref="W34:W65" ca="1" si="27">INDIRECT("'"&amp;$A34&amp;"'!O3")</f>
        <v>397</v>
      </c>
      <c r="X34" s="854" t="str">
        <f t="shared" ref="X34:X65" ca="1" si="28">INDIRECT("'"&amp;$A34&amp;"'!E89")</f>
        <v>Brazilië</v>
      </c>
      <c r="Y34" s="854" t="str">
        <f t="shared" ref="Y34:Y65" ca="1" si="29">INDIRECT("'"&amp;$A34&amp;"'!E90")</f>
        <v>Uruguay</v>
      </c>
      <c r="Z34" s="854" t="str">
        <f t="shared" ref="Z34:Z65" ca="1" si="30">INDIRECT("'"&amp;$A34&amp;"'!E91")</f>
        <v>Duitsland</v>
      </c>
      <c r="AA34" s="860" t="str">
        <f t="shared" ref="AA34:AA65" ca="1" si="31">INDIRECT("'"&amp;$A34&amp;"'!E92")</f>
        <v>Argentinië</v>
      </c>
    </row>
    <row r="35" spans="1:27">
      <c r="A35" s="838">
        <v>91</v>
      </c>
      <c r="B35" s="841" t="str">
        <f t="shared" ca="1" si="16"/>
        <v>Marina P.</v>
      </c>
      <c r="C35" s="848">
        <f t="shared" ca="1" si="17"/>
        <v>398</v>
      </c>
      <c r="D35" s="845">
        <f t="shared" ca="1" si="18"/>
        <v>1</v>
      </c>
      <c r="E35" s="864" t="s">
        <v>9</v>
      </c>
      <c r="F35" s="846">
        <f t="shared" ca="1" si="19"/>
        <v>2</v>
      </c>
      <c r="G35" s="850" t="s">
        <v>323</v>
      </c>
      <c r="H35" s="845">
        <f t="shared" ca="1" si="20"/>
        <v>1</v>
      </c>
      <c r="I35" s="864" t="s">
        <v>9</v>
      </c>
      <c r="J35" s="846">
        <f t="shared" ca="1" si="21"/>
        <v>2</v>
      </c>
      <c r="K35" s="850" t="s">
        <v>323</v>
      </c>
      <c r="L35" s="845">
        <f t="shared" ca="1" si="22"/>
        <v>1</v>
      </c>
      <c r="M35" s="864" t="s">
        <v>9</v>
      </c>
      <c r="N35" s="846">
        <f t="shared" ca="1" si="23"/>
        <v>3</v>
      </c>
      <c r="O35" s="850" t="s">
        <v>323</v>
      </c>
      <c r="P35" s="845">
        <f t="shared" ca="1" si="24"/>
        <v>1</v>
      </c>
      <c r="Q35" s="864" t="s">
        <v>9</v>
      </c>
      <c r="R35" s="846">
        <f t="shared" ca="1" si="25"/>
        <v>0</v>
      </c>
      <c r="S35" s="184"/>
      <c r="U35" s="859">
        <v>22</v>
      </c>
      <c r="V35" s="854" t="str">
        <f t="shared" ca="1" si="26"/>
        <v>Marina P.</v>
      </c>
      <c r="W35" s="854">
        <f t="shared" ca="1" si="27"/>
        <v>398</v>
      </c>
      <c r="X35" s="854" t="str">
        <f t="shared" ca="1" si="28"/>
        <v>Brazilië</v>
      </c>
      <c r="Y35" s="854" t="str">
        <f t="shared" ca="1" si="29"/>
        <v>Uruguay</v>
      </c>
      <c r="Z35" s="854" t="str">
        <f t="shared" ca="1" si="30"/>
        <v>Duitsland</v>
      </c>
      <c r="AA35" s="860" t="str">
        <f t="shared" ca="1" si="31"/>
        <v>Argentinië</v>
      </c>
    </row>
    <row r="36" spans="1:27">
      <c r="A36" s="838">
        <v>35</v>
      </c>
      <c r="B36" s="841" t="str">
        <f t="shared" ca="1" si="16"/>
        <v>Irma</v>
      </c>
      <c r="C36" s="848">
        <f t="shared" ca="1" si="17"/>
        <v>385</v>
      </c>
      <c r="D36" s="845">
        <f t="shared" ca="1" si="18"/>
        <v>4</v>
      </c>
      <c r="E36" s="864" t="s">
        <v>9</v>
      </c>
      <c r="F36" s="846">
        <f t="shared" ca="1" si="19"/>
        <v>3</v>
      </c>
      <c r="G36" s="850" t="s">
        <v>323</v>
      </c>
      <c r="H36" s="845">
        <f t="shared" ca="1" si="20"/>
        <v>3</v>
      </c>
      <c r="I36" s="864" t="s">
        <v>9</v>
      </c>
      <c r="J36" s="846">
        <f t="shared" ca="1" si="21"/>
        <v>2</v>
      </c>
      <c r="K36" s="850" t="s">
        <v>323</v>
      </c>
      <c r="L36" s="845">
        <f t="shared" ca="1" si="22"/>
        <v>1</v>
      </c>
      <c r="M36" s="864" t="s">
        <v>9</v>
      </c>
      <c r="N36" s="846">
        <f t="shared" ca="1" si="23"/>
        <v>2</v>
      </c>
      <c r="O36" s="850" t="s">
        <v>323</v>
      </c>
      <c r="P36" s="845">
        <f t="shared" ca="1" si="24"/>
        <v>2</v>
      </c>
      <c r="Q36" s="864" t="s">
        <v>9</v>
      </c>
      <c r="R36" s="846">
        <f t="shared" ca="1" si="25"/>
        <v>0</v>
      </c>
      <c r="S36" s="184"/>
      <c r="U36" s="859">
        <v>28</v>
      </c>
      <c r="V36" s="854" t="str">
        <f t="shared" ca="1" si="26"/>
        <v>Irma</v>
      </c>
      <c r="W36" s="854">
        <f t="shared" ca="1" si="27"/>
        <v>385</v>
      </c>
      <c r="X36" s="854" t="str">
        <f t="shared" ca="1" si="28"/>
        <v>Japan</v>
      </c>
      <c r="Y36" s="854" t="str">
        <f t="shared" ca="1" si="29"/>
        <v>Zwitserland</v>
      </c>
      <c r="Z36" s="854" t="str">
        <f t="shared" ca="1" si="30"/>
        <v>Italië</v>
      </c>
      <c r="AA36" s="860" t="str">
        <f t="shared" ca="1" si="31"/>
        <v>Argentinië</v>
      </c>
    </row>
    <row r="37" spans="1:27">
      <c r="A37" s="838">
        <v>45</v>
      </c>
      <c r="B37" s="841" t="str">
        <f t="shared" ca="1" si="16"/>
        <v>Jasper S. (introducee Marcel S.)</v>
      </c>
      <c r="C37" s="848">
        <f t="shared" ca="1" si="17"/>
        <v>394</v>
      </c>
      <c r="D37" s="845">
        <f t="shared" ca="1" si="18"/>
        <v>1</v>
      </c>
      <c r="E37" s="864" t="s">
        <v>9</v>
      </c>
      <c r="F37" s="846">
        <f t="shared" ca="1" si="19"/>
        <v>2</v>
      </c>
      <c r="G37" s="850" t="s">
        <v>323</v>
      </c>
      <c r="H37" s="845">
        <f t="shared" ca="1" si="20"/>
        <v>1</v>
      </c>
      <c r="I37" s="864" t="s">
        <v>9</v>
      </c>
      <c r="J37" s="846">
        <f t="shared" ca="1" si="21"/>
        <v>1</v>
      </c>
      <c r="K37" s="850" t="s">
        <v>323</v>
      </c>
      <c r="L37" s="845">
        <f t="shared" ca="1" si="22"/>
        <v>1</v>
      </c>
      <c r="M37" s="864" t="s">
        <v>9</v>
      </c>
      <c r="N37" s="846">
        <f t="shared" ca="1" si="23"/>
        <v>2</v>
      </c>
      <c r="O37" s="850" t="s">
        <v>323</v>
      </c>
      <c r="P37" s="845">
        <f t="shared" ca="1" si="24"/>
        <v>1</v>
      </c>
      <c r="Q37" s="864" t="s">
        <v>9</v>
      </c>
      <c r="R37" s="846">
        <f t="shared" ca="1" si="25"/>
        <v>0</v>
      </c>
      <c r="S37" s="184"/>
      <c r="U37" s="859">
        <v>39</v>
      </c>
      <c r="V37" s="854" t="str">
        <f t="shared" ca="1" si="26"/>
        <v>Jasper S. (introducee Marcel S.)</v>
      </c>
      <c r="W37" s="854">
        <f t="shared" ca="1" si="27"/>
        <v>394</v>
      </c>
      <c r="X37" s="854" t="str">
        <f t="shared" ca="1" si="28"/>
        <v>Brazilië</v>
      </c>
      <c r="Y37" s="854" t="str">
        <f t="shared" ca="1" si="29"/>
        <v>Nederland</v>
      </c>
      <c r="Z37" s="854" t="str">
        <f t="shared" ca="1" si="30"/>
        <v>België</v>
      </c>
      <c r="AA37" s="860" t="str">
        <f t="shared" ca="1" si="31"/>
        <v>Ecuador</v>
      </c>
    </row>
    <row r="38" spans="1:27">
      <c r="A38" s="838">
        <v>68</v>
      </c>
      <c r="B38" s="841" t="str">
        <f t="shared" ca="1" si="16"/>
        <v>Hans V.</v>
      </c>
      <c r="C38" s="848">
        <f t="shared" ca="1" si="17"/>
        <v>434</v>
      </c>
      <c r="D38" s="845">
        <f t="shared" ca="1" si="18"/>
        <v>2</v>
      </c>
      <c r="E38" s="864" t="s">
        <v>9</v>
      </c>
      <c r="F38" s="846">
        <f t="shared" ca="1" si="19"/>
        <v>1</v>
      </c>
      <c r="G38" s="850" t="s">
        <v>323</v>
      </c>
      <c r="H38" s="845">
        <f t="shared" ca="1" si="20"/>
        <v>2</v>
      </c>
      <c r="I38" s="864" t="s">
        <v>9</v>
      </c>
      <c r="J38" s="846">
        <f t="shared" ca="1" si="21"/>
        <v>1</v>
      </c>
      <c r="K38" s="850" t="s">
        <v>323</v>
      </c>
      <c r="L38" s="845">
        <f t="shared" ca="1" si="22"/>
        <v>3</v>
      </c>
      <c r="M38" s="864" t="s">
        <v>9</v>
      </c>
      <c r="N38" s="846">
        <f t="shared" ca="1" si="23"/>
        <v>1</v>
      </c>
      <c r="O38" s="850" t="s">
        <v>323</v>
      </c>
      <c r="P38" s="845">
        <f t="shared" ca="1" si="24"/>
        <v>2</v>
      </c>
      <c r="Q38" s="864" t="s">
        <v>9</v>
      </c>
      <c r="R38" s="846">
        <f t="shared" ca="1" si="25"/>
        <v>1</v>
      </c>
      <c r="S38" s="184"/>
      <c r="U38" s="859">
        <v>10</v>
      </c>
      <c r="V38" s="854" t="str">
        <f t="shared" ca="1" si="26"/>
        <v>Hans V.</v>
      </c>
      <c r="W38" s="854">
        <f t="shared" ca="1" si="27"/>
        <v>434</v>
      </c>
      <c r="X38" s="854" t="str">
        <f t="shared" ca="1" si="28"/>
        <v>Duitsland</v>
      </c>
      <c r="Y38" s="854" t="str">
        <f t="shared" ca="1" si="29"/>
        <v>België</v>
      </c>
      <c r="Z38" s="854" t="str">
        <f t="shared" ca="1" si="30"/>
        <v>Brazilië</v>
      </c>
      <c r="AA38" s="860" t="str">
        <f t="shared" ca="1" si="31"/>
        <v>Spanje</v>
      </c>
    </row>
    <row r="39" spans="1:27">
      <c r="A39" s="838">
        <v>21</v>
      </c>
      <c r="B39" s="841" t="str">
        <f t="shared" ca="1" si="16"/>
        <v>Gerrit T. (introducee René K.)</v>
      </c>
      <c r="C39" s="848">
        <f t="shared" ca="1" si="17"/>
        <v>391</v>
      </c>
      <c r="D39" s="845">
        <f t="shared" ca="1" si="18"/>
        <v>0</v>
      </c>
      <c r="E39" s="864" t="s">
        <v>9</v>
      </c>
      <c r="F39" s="846">
        <f t="shared" ca="1" si="19"/>
        <v>2</v>
      </c>
      <c r="G39" s="850" t="s">
        <v>323</v>
      </c>
      <c r="H39" s="845">
        <f t="shared" ca="1" si="20"/>
        <v>2</v>
      </c>
      <c r="I39" s="864" t="s">
        <v>9</v>
      </c>
      <c r="J39" s="846">
        <f t="shared" ca="1" si="21"/>
        <v>1</v>
      </c>
      <c r="K39" s="850" t="s">
        <v>323</v>
      </c>
      <c r="L39" s="845">
        <f t="shared" ca="1" si="22"/>
        <v>2</v>
      </c>
      <c r="M39" s="864" t="s">
        <v>9</v>
      </c>
      <c r="N39" s="846">
        <f t="shared" ca="1" si="23"/>
        <v>0</v>
      </c>
      <c r="O39" s="850" t="s">
        <v>323</v>
      </c>
      <c r="P39" s="845">
        <f t="shared" ca="1" si="24"/>
        <v>0</v>
      </c>
      <c r="Q39" s="864" t="s">
        <v>9</v>
      </c>
      <c r="R39" s="846">
        <f t="shared" ca="1" si="25"/>
        <v>2</v>
      </c>
      <c r="S39" s="184"/>
      <c r="U39" s="859">
        <v>12</v>
      </c>
      <c r="V39" s="854" t="str">
        <f t="shared" ca="1" si="26"/>
        <v>Gerrit T. (introducee René K.)</v>
      </c>
      <c r="W39" s="854">
        <f t="shared" ca="1" si="27"/>
        <v>391</v>
      </c>
      <c r="X39" s="854" t="str">
        <f t="shared" ca="1" si="28"/>
        <v>Argentinië</v>
      </c>
      <c r="Y39" s="854" t="str">
        <f t="shared" ca="1" si="29"/>
        <v>Brazilië</v>
      </c>
      <c r="Z39" s="854" t="str">
        <f t="shared" ca="1" si="30"/>
        <v>Frankrijk</v>
      </c>
      <c r="AA39" s="860" t="str">
        <f t="shared" ca="1" si="31"/>
        <v>Italië</v>
      </c>
    </row>
    <row r="40" spans="1:27">
      <c r="A40" s="838">
        <v>3</v>
      </c>
      <c r="B40" s="841" t="str">
        <f t="shared" ca="1" si="16"/>
        <v>Anoeska van S.</v>
      </c>
      <c r="C40" s="848">
        <f t="shared" ca="1" si="17"/>
        <v>431</v>
      </c>
      <c r="D40" s="845">
        <f t="shared" ca="1" si="18"/>
        <v>2</v>
      </c>
      <c r="E40" s="864" t="s">
        <v>9</v>
      </c>
      <c r="F40" s="846">
        <f t="shared" ca="1" si="19"/>
        <v>2</v>
      </c>
      <c r="G40" s="850" t="s">
        <v>323</v>
      </c>
      <c r="H40" s="845">
        <f t="shared" ca="1" si="20"/>
        <v>1</v>
      </c>
      <c r="I40" s="864" t="s">
        <v>9</v>
      </c>
      <c r="J40" s="846">
        <f t="shared" ca="1" si="21"/>
        <v>0</v>
      </c>
      <c r="K40" s="850" t="s">
        <v>323</v>
      </c>
      <c r="L40" s="845">
        <f t="shared" ca="1" si="22"/>
        <v>2</v>
      </c>
      <c r="M40" s="864" t="s">
        <v>9</v>
      </c>
      <c r="N40" s="846">
        <f t="shared" ca="1" si="23"/>
        <v>1</v>
      </c>
      <c r="O40" s="850" t="s">
        <v>323</v>
      </c>
      <c r="P40" s="845">
        <f t="shared" ca="1" si="24"/>
        <v>2</v>
      </c>
      <c r="Q40" s="864" t="s">
        <v>9</v>
      </c>
      <c r="R40" s="846">
        <f t="shared" ca="1" si="25"/>
        <v>0</v>
      </c>
      <c r="S40" s="184"/>
      <c r="U40" s="859">
        <v>35</v>
      </c>
      <c r="V40" s="854" t="str">
        <f t="shared" ca="1" si="26"/>
        <v>Anoeska van S.</v>
      </c>
      <c r="W40" s="854">
        <f t="shared" ca="1" si="27"/>
        <v>431</v>
      </c>
      <c r="X40" s="854" t="str">
        <f t="shared" ca="1" si="28"/>
        <v>Duitsland</v>
      </c>
      <c r="Y40" s="854" t="str">
        <f t="shared" ca="1" si="29"/>
        <v>België</v>
      </c>
      <c r="Z40" s="854" t="str">
        <f t="shared" ca="1" si="30"/>
        <v>Brazilië</v>
      </c>
      <c r="AA40" s="860" t="str">
        <f t="shared" ca="1" si="31"/>
        <v>Spanje</v>
      </c>
    </row>
    <row r="41" spans="1:27">
      <c r="A41" s="838">
        <v>39</v>
      </c>
      <c r="B41" s="841" t="str">
        <f t="shared" ca="1" si="16"/>
        <v>Cindy vd B.</v>
      </c>
      <c r="C41" s="848">
        <f t="shared" ca="1" si="17"/>
        <v>394</v>
      </c>
      <c r="D41" s="845">
        <f t="shared" ca="1" si="18"/>
        <v>1</v>
      </c>
      <c r="E41" s="864" t="s">
        <v>9</v>
      </c>
      <c r="F41" s="846">
        <f t="shared" ca="1" si="19"/>
        <v>2</v>
      </c>
      <c r="G41" s="850" t="s">
        <v>323</v>
      </c>
      <c r="H41" s="845">
        <f t="shared" ca="1" si="20"/>
        <v>2</v>
      </c>
      <c r="I41" s="864" t="s">
        <v>9</v>
      </c>
      <c r="J41" s="846">
        <f t="shared" ca="1" si="21"/>
        <v>1</v>
      </c>
      <c r="K41" s="850" t="s">
        <v>323</v>
      </c>
      <c r="L41" s="845">
        <f t="shared" ca="1" si="22"/>
        <v>2</v>
      </c>
      <c r="M41" s="864" t="s">
        <v>9</v>
      </c>
      <c r="N41" s="846">
        <f t="shared" ca="1" si="23"/>
        <v>1</v>
      </c>
      <c r="O41" s="850" t="s">
        <v>323</v>
      </c>
      <c r="P41" s="845">
        <f t="shared" ca="1" si="24"/>
        <v>1</v>
      </c>
      <c r="Q41" s="864" t="s">
        <v>9</v>
      </c>
      <c r="R41" s="846">
        <f t="shared" ca="1" si="25"/>
        <v>2</v>
      </c>
      <c r="S41" s="184"/>
      <c r="U41" s="859">
        <v>69</v>
      </c>
      <c r="V41" s="854" t="str">
        <f t="shared" ca="1" si="26"/>
        <v>Cindy vd B.</v>
      </c>
      <c r="W41" s="854">
        <f t="shared" ca="1" si="27"/>
        <v>394</v>
      </c>
      <c r="X41" s="854" t="str">
        <f t="shared" ca="1" si="28"/>
        <v>Argentinië</v>
      </c>
      <c r="Y41" s="854" t="str">
        <f t="shared" ca="1" si="29"/>
        <v>Brazilië</v>
      </c>
      <c r="Z41" s="854" t="str">
        <f t="shared" ca="1" si="30"/>
        <v>Duitsland</v>
      </c>
      <c r="AA41" s="860" t="str">
        <f t="shared" ca="1" si="31"/>
        <v>Spanje</v>
      </c>
    </row>
    <row r="42" spans="1:27">
      <c r="A42" s="838">
        <v>20</v>
      </c>
      <c r="B42" s="841" t="str">
        <f t="shared" ca="1" si="16"/>
        <v>René K.</v>
      </c>
      <c r="C42" s="848">
        <f t="shared" ca="1" si="17"/>
        <v>404</v>
      </c>
      <c r="D42" s="845">
        <f t="shared" ca="1" si="18"/>
        <v>1</v>
      </c>
      <c r="E42" s="864" t="s">
        <v>9</v>
      </c>
      <c r="F42" s="846">
        <f t="shared" ca="1" si="19"/>
        <v>2</v>
      </c>
      <c r="G42" s="850" t="s">
        <v>323</v>
      </c>
      <c r="H42" s="845">
        <f t="shared" ca="1" si="20"/>
        <v>2</v>
      </c>
      <c r="I42" s="864" t="s">
        <v>9</v>
      </c>
      <c r="J42" s="846">
        <f t="shared" ca="1" si="21"/>
        <v>1</v>
      </c>
      <c r="K42" s="850" t="s">
        <v>323</v>
      </c>
      <c r="L42" s="845">
        <f t="shared" ca="1" si="22"/>
        <v>2</v>
      </c>
      <c r="M42" s="864" t="s">
        <v>9</v>
      </c>
      <c r="N42" s="846">
        <f t="shared" ca="1" si="23"/>
        <v>2</v>
      </c>
      <c r="O42" s="850" t="s">
        <v>323</v>
      </c>
      <c r="P42" s="845">
        <f t="shared" ca="1" si="24"/>
        <v>1</v>
      </c>
      <c r="Q42" s="864" t="s">
        <v>9</v>
      </c>
      <c r="R42" s="846">
        <f t="shared" ca="1" si="25"/>
        <v>1</v>
      </c>
      <c r="S42" s="184"/>
      <c r="U42" s="859">
        <v>62</v>
      </c>
      <c r="V42" s="854" t="str">
        <f t="shared" ca="1" si="26"/>
        <v>René K.</v>
      </c>
      <c r="W42" s="854">
        <f t="shared" ca="1" si="27"/>
        <v>404</v>
      </c>
      <c r="X42" s="854" t="str">
        <f t="shared" ca="1" si="28"/>
        <v>Brazilië</v>
      </c>
      <c r="Y42" s="854" t="str">
        <f t="shared" ca="1" si="29"/>
        <v>Argentinië</v>
      </c>
      <c r="Z42" s="854" t="str">
        <f t="shared" ca="1" si="30"/>
        <v>Uruguay</v>
      </c>
      <c r="AA42" s="860" t="str">
        <f t="shared" ca="1" si="31"/>
        <v>Frankrijk</v>
      </c>
    </row>
    <row r="43" spans="1:27">
      <c r="A43" s="838">
        <v>69</v>
      </c>
      <c r="B43" s="841" t="str">
        <f t="shared" ca="1" si="16"/>
        <v>Vivian v. V.</v>
      </c>
      <c r="C43" s="848">
        <f t="shared" ca="1" si="17"/>
        <v>404</v>
      </c>
      <c r="D43" s="845">
        <f t="shared" ca="1" si="18"/>
        <v>0</v>
      </c>
      <c r="E43" s="864" t="s">
        <v>9</v>
      </c>
      <c r="F43" s="846">
        <f t="shared" ca="1" si="19"/>
        <v>2</v>
      </c>
      <c r="G43" s="850" t="s">
        <v>323</v>
      </c>
      <c r="H43" s="845">
        <f t="shared" ca="1" si="20"/>
        <v>1</v>
      </c>
      <c r="I43" s="864" t="s">
        <v>9</v>
      </c>
      <c r="J43" s="846">
        <f t="shared" ca="1" si="21"/>
        <v>0</v>
      </c>
      <c r="K43" s="850" t="s">
        <v>323</v>
      </c>
      <c r="L43" s="845">
        <f t="shared" ca="1" si="22"/>
        <v>2</v>
      </c>
      <c r="M43" s="864" t="s">
        <v>9</v>
      </c>
      <c r="N43" s="846">
        <f t="shared" ca="1" si="23"/>
        <v>1</v>
      </c>
      <c r="O43" s="850" t="s">
        <v>323</v>
      </c>
      <c r="P43" s="845">
        <f t="shared" ca="1" si="24"/>
        <v>2</v>
      </c>
      <c r="Q43" s="864" t="s">
        <v>9</v>
      </c>
      <c r="R43" s="846">
        <f t="shared" ca="1" si="25"/>
        <v>1</v>
      </c>
      <c r="S43" s="184"/>
      <c r="U43" s="859">
        <v>49</v>
      </c>
      <c r="V43" s="854" t="str">
        <f t="shared" ca="1" si="26"/>
        <v>Vivian v. V.</v>
      </c>
      <c r="W43" s="854">
        <f t="shared" ca="1" si="27"/>
        <v>404</v>
      </c>
      <c r="X43" s="854" t="str">
        <f t="shared" ca="1" si="28"/>
        <v>Brazilië</v>
      </c>
      <c r="Y43" s="854" t="str">
        <f t="shared" ca="1" si="29"/>
        <v>Argentinië</v>
      </c>
      <c r="Z43" s="854" t="str">
        <f t="shared" ca="1" si="30"/>
        <v>Duitsland</v>
      </c>
      <c r="AA43" s="860" t="str">
        <f t="shared" ca="1" si="31"/>
        <v>Spanje</v>
      </c>
    </row>
    <row r="44" spans="1:27">
      <c r="A44" s="838">
        <v>88</v>
      </c>
      <c r="B44" s="841" t="str">
        <f t="shared" ca="1" si="16"/>
        <v>Sanne D. (introducee Kay L.)</v>
      </c>
      <c r="C44" s="848">
        <f t="shared" ca="1" si="17"/>
        <v>428</v>
      </c>
      <c r="D44" s="845">
        <f t="shared" ca="1" si="18"/>
        <v>1</v>
      </c>
      <c r="E44" s="864" t="s">
        <v>9</v>
      </c>
      <c r="F44" s="846">
        <f t="shared" ca="1" si="19"/>
        <v>0</v>
      </c>
      <c r="G44" s="850" t="s">
        <v>323</v>
      </c>
      <c r="H44" s="845">
        <f t="shared" ca="1" si="20"/>
        <v>0</v>
      </c>
      <c r="I44" s="864" t="s">
        <v>9</v>
      </c>
      <c r="J44" s="846">
        <f t="shared" ca="1" si="21"/>
        <v>2</v>
      </c>
      <c r="K44" s="850" t="s">
        <v>323</v>
      </c>
      <c r="L44" s="845">
        <f t="shared" ca="1" si="22"/>
        <v>2</v>
      </c>
      <c r="M44" s="864" t="s">
        <v>9</v>
      </c>
      <c r="N44" s="846">
        <f t="shared" ca="1" si="23"/>
        <v>0</v>
      </c>
      <c r="O44" s="850" t="s">
        <v>323</v>
      </c>
      <c r="P44" s="845">
        <f t="shared" ca="1" si="24"/>
        <v>2</v>
      </c>
      <c r="Q44" s="864" t="s">
        <v>9</v>
      </c>
      <c r="R44" s="846">
        <f t="shared" ca="1" si="25"/>
        <v>1</v>
      </c>
      <c r="S44" s="184"/>
      <c r="U44" s="859">
        <v>68</v>
      </c>
      <c r="V44" s="854" t="str">
        <f t="shared" ca="1" si="26"/>
        <v>Sanne D. (introducee Kay L.)</v>
      </c>
      <c r="W44" s="854">
        <f t="shared" ca="1" si="27"/>
        <v>428</v>
      </c>
      <c r="X44" s="854" t="str">
        <f t="shared" ca="1" si="28"/>
        <v>Duitsland</v>
      </c>
      <c r="Y44" s="854" t="str">
        <f t="shared" ca="1" si="29"/>
        <v>Spanje</v>
      </c>
      <c r="Z44" s="854" t="str">
        <f t="shared" ca="1" si="30"/>
        <v>Brazilië</v>
      </c>
      <c r="AA44" s="860" t="str">
        <f t="shared" ca="1" si="31"/>
        <v>België</v>
      </c>
    </row>
    <row r="45" spans="1:27">
      <c r="A45" s="838">
        <v>30</v>
      </c>
      <c r="B45" s="841" t="str">
        <f t="shared" ca="1" si="16"/>
        <v>Francine S. (introducee Malrini)</v>
      </c>
      <c r="C45" s="848">
        <f t="shared" ca="1" si="17"/>
        <v>394</v>
      </c>
      <c r="D45" s="845">
        <f t="shared" ca="1" si="18"/>
        <v>0</v>
      </c>
      <c r="E45" s="864" t="s">
        <v>9</v>
      </c>
      <c r="F45" s="846">
        <f t="shared" ca="1" si="19"/>
        <v>1</v>
      </c>
      <c r="G45" s="850" t="s">
        <v>323</v>
      </c>
      <c r="H45" s="845">
        <f t="shared" ca="1" si="20"/>
        <v>2</v>
      </c>
      <c r="I45" s="864" t="s">
        <v>9</v>
      </c>
      <c r="J45" s="846">
        <f t="shared" ca="1" si="21"/>
        <v>0</v>
      </c>
      <c r="K45" s="850" t="s">
        <v>323</v>
      </c>
      <c r="L45" s="845">
        <f t="shared" ca="1" si="22"/>
        <v>1</v>
      </c>
      <c r="M45" s="864" t="s">
        <v>9</v>
      </c>
      <c r="N45" s="846">
        <f t="shared" ca="1" si="23"/>
        <v>1</v>
      </c>
      <c r="O45" s="850" t="s">
        <v>323</v>
      </c>
      <c r="P45" s="845">
        <f t="shared" ca="1" si="24"/>
        <v>2</v>
      </c>
      <c r="Q45" s="864" t="s">
        <v>9</v>
      </c>
      <c r="R45" s="846">
        <f t="shared" ca="1" si="25"/>
        <v>3</v>
      </c>
      <c r="S45" s="184"/>
      <c r="U45" s="859">
        <v>45</v>
      </c>
      <c r="V45" s="854" t="str">
        <f t="shared" ca="1" si="26"/>
        <v>Francine S. (introducee Malrini)</v>
      </c>
      <c r="W45" s="854">
        <f t="shared" ca="1" si="27"/>
        <v>394</v>
      </c>
      <c r="X45" s="854" t="str">
        <f t="shared" ca="1" si="28"/>
        <v>Argentinië</v>
      </c>
      <c r="Y45" s="854" t="str">
        <f t="shared" ca="1" si="29"/>
        <v>Brazilië</v>
      </c>
      <c r="Z45" s="854" t="str">
        <f t="shared" ca="1" si="30"/>
        <v>Duitsland</v>
      </c>
      <c r="AA45" s="860" t="str">
        <f t="shared" ca="1" si="31"/>
        <v>Uruguay</v>
      </c>
    </row>
    <row r="46" spans="1:27">
      <c r="A46" s="838">
        <v>92</v>
      </c>
      <c r="B46" s="841" t="str">
        <f t="shared" ca="1" si="16"/>
        <v>Andrea S. (introducee Léon)</v>
      </c>
      <c r="C46" s="848">
        <f t="shared" ca="1" si="17"/>
        <v>389</v>
      </c>
      <c r="D46" s="845">
        <f t="shared" ca="1" si="18"/>
        <v>1</v>
      </c>
      <c r="E46" s="864" t="s">
        <v>9</v>
      </c>
      <c r="F46" s="846">
        <f t="shared" ca="1" si="19"/>
        <v>2</v>
      </c>
      <c r="G46" s="850" t="s">
        <v>323</v>
      </c>
      <c r="H46" s="845">
        <f t="shared" ca="1" si="20"/>
        <v>0</v>
      </c>
      <c r="I46" s="864" t="s">
        <v>9</v>
      </c>
      <c r="J46" s="846">
        <f t="shared" ca="1" si="21"/>
        <v>1</v>
      </c>
      <c r="K46" s="850" t="s">
        <v>323</v>
      </c>
      <c r="L46" s="845">
        <f t="shared" ca="1" si="22"/>
        <v>3</v>
      </c>
      <c r="M46" s="864" t="s">
        <v>9</v>
      </c>
      <c r="N46" s="846">
        <f t="shared" ca="1" si="23"/>
        <v>3</v>
      </c>
      <c r="O46" s="850" t="s">
        <v>323</v>
      </c>
      <c r="P46" s="845">
        <f t="shared" ca="1" si="24"/>
        <v>2</v>
      </c>
      <c r="Q46" s="864" t="s">
        <v>9</v>
      </c>
      <c r="R46" s="846">
        <f t="shared" ca="1" si="25"/>
        <v>1</v>
      </c>
      <c r="S46" s="184"/>
      <c r="U46" s="859">
        <v>88</v>
      </c>
      <c r="V46" s="854" t="str">
        <f t="shared" ca="1" si="26"/>
        <v>Andrea S. (introducee Léon)</v>
      </c>
      <c r="W46" s="854">
        <f t="shared" ca="1" si="27"/>
        <v>389</v>
      </c>
      <c r="X46" s="854" t="str">
        <f t="shared" ca="1" si="28"/>
        <v>Brazilië</v>
      </c>
      <c r="Y46" s="854" t="str">
        <f t="shared" ca="1" si="29"/>
        <v>Nederland</v>
      </c>
      <c r="Z46" s="854" t="str">
        <f t="shared" ca="1" si="30"/>
        <v>Duitsland</v>
      </c>
      <c r="AA46" s="860" t="str">
        <f t="shared" ca="1" si="31"/>
        <v>Argentinië</v>
      </c>
    </row>
    <row r="47" spans="1:27">
      <c r="A47" s="838">
        <v>49</v>
      </c>
      <c r="B47" s="841" t="str">
        <f t="shared" ca="1" si="16"/>
        <v>Léon vh H.</v>
      </c>
      <c r="C47" s="848">
        <f t="shared" ca="1" si="17"/>
        <v>424</v>
      </c>
      <c r="D47" s="845">
        <f t="shared" ca="1" si="18"/>
        <v>2</v>
      </c>
      <c r="E47" s="864" t="s">
        <v>9</v>
      </c>
      <c r="F47" s="846">
        <f t="shared" ca="1" si="19"/>
        <v>1</v>
      </c>
      <c r="G47" s="850" t="s">
        <v>323</v>
      </c>
      <c r="H47" s="845">
        <f t="shared" ca="1" si="20"/>
        <v>2</v>
      </c>
      <c r="I47" s="864" t="s">
        <v>9</v>
      </c>
      <c r="J47" s="846">
        <f t="shared" ca="1" si="21"/>
        <v>3</v>
      </c>
      <c r="K47" s="850" t="s">
        <v>323</v>
      </c>
      <c r="L47" s="845">
        <f t="shared" ca="1" si="22"/>
        <v>0</v>
      </c>
      <c r="M47" s="864" t="s">
        <v>9</v>
      </c>
      <c r="N47" s="846">
        <f t="shared" ca="1" si="23"/>
        <v>2</v>
      </c>
      <c r="O47" s="850" t="s">
        <v>323</v>
      </c>
      <c r="P47" s="845">
        <f t="shared" ca="1" si="24"/>
        <v>3</v>
      </c>
      <c r="Q47" s="864" t="s">
        <v>9</v>
      </c>
      <c r="R47" s="846">
        <f t="shared" ca="1" si="25"/>
        <v>1</v>
      </c>
      <c r="S47" s="184"/>
      <c r="U47" s="859">
        <v>21</v>
      </c>
      <c r="V47" s="854" t="str">
        <f t="shared" ca="1" si="26"/>
        <v>Léon vh H.</v>
      </c>
      <c r="W47" s="854">
        <f t="shared" ca="1" si="27"/>
        <v>424</v>
      </c>
      <c r="X47" s="854" t="str">
        <f t="shared" ca="1" si="28"/>
        <v>Duitsland</v>
      </c>
      <c r="Y47" s="854" t="str">
        <f t="shared" ca="1" si="29"/>
        <v>Spanje</v>
      </c>
      <c r="Z47" s="854" t="str">
        <f t="shared" ca="1" si="30"/>
        <v>België</v>
      </c>
      <c r="AA47" s="860" t="str">
        <f t="shared" ca="1" si="31"/>
        <v>Uruguay</v>
      </c>
    </row>
    <row r="48" spans="1:27">
      <c r="A48" s="838">
        <v>12</v>
      </c>
      <c r="B48" s="841" t="str">
        <f t="shared" ca="1" si="16"/>
        <v>Pascal vd B.</v>
      </c>
      <c r="C48" s="848">
        <f t="shared" ca="1" si="17"/>
        <v>395</v>
      </c>
      <c r="D48" s="845">
        <f t="shared" ca="1" si="18"/>
        <v>1</v>
      </c>
      <c r="E48" s="864" t="s">
        <v>9</v>
      </c>
      <c r="F48" s="846">
        <f t="shared" ca="1" si="19"/>
        <v>2</v>
      </c>
      <c r="G48" s="850" t="s">
        <v>323</v>
      </c>
      <c r="H48" s="845">
        <f t="shared" ca="1" si="20"/>
        <v>2</v>
      </c>
      <c r="I48" s="864" t="s">
        <v>9</v>
      </c>
      <c r="J48" s="846">
        <f t="shared" ca="1" si="21"/>
        <v>1</v>
      </c>
      <c r="K48" s="850" t="s">
        <v>323</v>
      </c>
      <c r="L48" s="845">
        <f t="shared" ca="1" si="22"/>
        <v>1</v>
      </c>
      <c r="M48" s="864" t="s">
        <v>9</v>
      </c>
      <c r="N48" s="846">
        <f t="shared" ca="1" si="23"/>
        <v>1</v>
      </c>
      <c r="O48" s="850" t="s">
        <v>323</v>
      </c>
      <c r="P48" s="845">
        <f t="shared" ca="1" si="24"/>
        <v>2</v>
      </c>
      <c r="Q48" s="864" t="s">
        <v>9</v>
      </c>
      <c r="R48" s="846">
        <f t="shared" ca="1" si="25"/>
        <v>1</v>
      </c>
      <c r="S48" s="184"/>
      <c r="U48" s="859">
        <v>3</v>
      </c>
      <c r="V48" s="854" t="str">
        <f t="shared" ca="1" si="26"/>
        <v>Pascal vd B.</v>
      </c>
      <c r="W48" s="854">
        <f t="shared" ca="1" si="27"/>
        <v>395</v>
      </c>
      <c r="X48" s="854" t="str">
        <f t="shared" ca="1" si="28"/>
        <v>Brazilië</v>
      </c>
      <c r="Y48" s="854" t="str">
        <f t="shared" ca="1" si="29"/>
        <v>Argentinië</v>
      </c>
      <c r="Z48" s="854" t="str">
        <f t="shared" ca="1" si="30"/>
        <v>Portugal</v>
      </c>
      <c r="AA48" s="860" t="str">
        <f t="shared" ca="1" si="31"/>
        <v>Uruguay</v>
      </c>
    </row>
    <row r="49" spans="1:27">
      <c r="A49" s="838">
        <v>62</v>
      </c>
      <c r="B49" s="841" t="str">
        <f t="shared" ca="1" si="16"/>
        <v>Wilbert van D.</v>
      </c>
      <c r="C49" s="848">
        <f t="shared" ca="1" si="17"/>
        <v>426</v>
      </c>
      <c r="D49" s="845">
        <f t="shared" ca="1" si="18"/>
        <v>2</v>
      </c>
      <c r="E49" s="864" t="s">
        <v>9</v>
      </c>
      <c r="F49" s="846">
        <f t="shared" ca="1" si="19"/>
        <v>0</v>
      </c>
      <c r="G49" s="850" t="s">
        <v>323</v>
      </c>
      <c r="H49" s="845">
        <f t="shared" ca="1" si="20"/>
        <v>0</v>
      </c>
      <c r="I49" s="864" t="s">
        <v>9</v>
      </c>
      <c r="J49" s="846">
        <f t="shared" ca="1" si="21"/>
        <v>2</v>
      </c>
      <c r="K49" s="850" t="s">
        <v>323</v>
      </c>
      <c r="L49" s="845">
        <f t="shared" ca="1" si="22"/>
        <v>1</v>
      </c>
      <c r="M49" s="864" t="s">
        <v>9</v>
      </c>
      <c r="N49" s="846">
        <f t="shared" ca="1" si="23"/>
        <v>1</v>
      </c>
      <c r="O49" s="850" t="s">
        <v>323</v>
      </c>
      <c r="P49" s="845">
        <f t="shared" ca="1" si="24"/>
        <v>3</v>
      </c>
      <c r="Q49" s="864" t="s">
        <v>9</v>
      </c>
      <c r="R49" s="846">
        <f t="shared" ca="1" si="25"/>
        <v>0</v>
      </c>
      <c r="S49" s="184"/>
      <c r="U49" s="859">
        <v>30</v>
      </c>
      <c r="V49" s="854" t="str">
        <f t="shared" ca="1" si="26"/>
        <v>Wilbert van D.</v>
      </c>
      <c r="W49" s="854">
        <f t="shared" ca="1" si="27"/>
        <v>426</v>
      </c>
      <c r="X49" s="854" t="str">
        <f t="shared" ca="1" si="28"/>
        <v>Duitsland</v>
      </c>
      <c r="Y49" s="854" t="str">
        <f t="shared" ca="1" si="29"/>
        <v>Spanje</v>
      </c>
      <c r="Z49" s="854" t="str">
        <f t="shared" ca="1" si="30"/>
        <v>Brazilië</v>
      </c>
      <c r="AA49" s="860" t="str">
        <f t="shared" ca="1" si="31"/>
        <v>Portugal</v>
      </c>
    </row>
    <row r="50" spans="1:27">
      <c r="A50" s="838">
        <v>10</v>
      </c>
      <c r="B50" s="841" t="str">
        <f t="shared" ca="1" si="16"/>
        <v>Christian van S.</v>
      </c>
      <c r="C50" s="848">
        <f t="shared" ca="1" si="17"/>
        <v>406</v>
      </c>
      <c r="D50" s="845">
        <f t="shared" ca="1" si="18"/>
        <v>1</v>
      </c>
      <c r="E50" s="864" t="s">
        <v>9</v>
      </c>
      <c r="F50" s="846">
        <f t="shared" ca="1" si="19"/>
        <v>3</v>
      </c>
      <c r="G50" s="850" t="s">
        <v>323</v>
      </c>
      <c r="H50" s="845">
        <f t="shared" ca="1" si="20"/>
        <v>2</v>
      </c>
      <c r="I50" s="864" t="s">
        <v>9</v>
      </c>
      <c r="J50" s="846">
        <f t="shared" ca="1" si="21"/>
        <v>2</v>
      </c>
      <c r="K50" s="850" t="s">
        <v>323</v>
      </c>
      <c r="L50" s="845">
        <f t="shared" ca="1" si="22"/>
        <v>1</v>
      </c>
      <c r="M50" s="864" t="s">
        <v>9</v>
      </c>
      <c r="N50" s="846">
        <f t="shared" ca="1" si="23"/>
        <v>2</v>
      </c>
      <c r="O50" s="850" t="s">
        <v>323</v>
      </c>
      <c r="P50" s="845">
        <f t="shared" ca="1" si="24"/>
        <v>3</v>
      </c>
      <c r="Q50" s="864" t="s">
        <v>9</v>
      </c>
      <c r="R50" s="846">
        <f t="shared" ca="1" si="25"/>
        <v>2</v>
      </c>
      <c r="S50" s="184"/>
      <c r="U50" s="859">
        <v>20</v>
      </c>
      <c r="V50" s="854" t="str">
        <f t="shared" ca="1" si="26"/>
        <v>Christian van S.</v>
      </c>
      <c r="W50" s="854">
        <f t="shared" ca="1" si="27"/>
        <v>406</v>
      </c>
      <c r="X50" s="854" t="str">
        <f t="shared" ca="1" si="28"/>
        <v>Brazilië</v>
      </c>
      <c r="Y50" s="854" t="str">
        <f t="shared" ca="1" si="29"/>
        <v>Argentinië</v>
      </c>
      <c r="Z50" s="854" t="str">
        <f t="shared" ca="1" si="30"/>
        <v>Uruguay</v>
      </c>
      <c r="AA50" s="860" t="str">
        <f t="shared" ca="1" si="31"/>
        <v>Duitsland</v>
      </c>
    </row>
    <row r="51" spans="1:27">
      <c r="A51" s="838">
        <v>27</v>
      </c>
      <c r="B51" s="841" t="str">
        <f t="shared" ca="1" si="16"/>
        <v>Jolise (introducee Ricardo M.)</v>
      </c>
      <c r="C51" s="848">
        <f t="shared" ca="1" si="17"/>
        <v>377</v>
      </c>
      <c r="D51" s="845">
        <f t="shared" ca="1" si="18"/>
        <v>2</v>
      </c>
      <c r="E51" s="864" t="s">
        <v>9</v>
      </c>
      <c r="F51" s="846">
        <f t="shared" ca="1" si="19"/>
        <v>4</v>
      </c>
      <c r="G51" s="850" t="s">
        <v>323</v>
      </c>
      <c r="H51" s="845">
        <f t="shared" ca="1" si="20"/>
        <v>1</v>
      </c>
      <c r="I51" s="864" t="s">
        <v>9</v>
      </c>
      <c r="J51" s="846">
        <f t="shared" ca="1" si="21"/>
        <v>2</v>
      </c>
      <c r="K51" s="850" t="s">
        <v>323</v>
      </c>
      <c r="L51" s="845">
        <f t="shared" ca="1" si="22"/>
        <v>1</v>
      </c>
      <c r="M51" s="864" t="s">
        <v>9</v>
      </c>
      <c r="N51" s="846">
        <f t="shared" ca="1" si="23"/>
        <v>3</v>
      </c>
      <c r="O51" s="850" t="s">
        <v>323</v>
      </c>
      <c r="P51" s="845">
        <f t="shared" ca="1" si="24"/>
        <v>2</v>
      </c>
      <c r="Q51" s="864" t="s">
        <v>9</v>
      </c>
      <c r="R51" s="846">
        <f t="shared" ca="1" si="25"/>
        <v>2</v>
      </c>
      <c r="S51" s="184"/>
      <c r="U51" s="859">
        <v>92</v>
      </c>
      <c r="V51" s="854" t="str">
        <f t="shared" ca="1" si="26"/>
        <v>Jolise (introducee Ricardo M.)</v>
      </c>
      <c r="W51" s="854">
        <f t="shared" ca="1" si="27"/>
        <v>377</v>
      </c>
      <c r="X51" s="854" t="str">
        <f t="shared" ca="1" si="28"/>
        <v>Spanje</v>
      </c>
      <c r="Y51" s="854" t="str">
        <f t="shared" ca="1" si="29"/>
        <v>Brazilië</v>
      </c>
      <c r="Z51" s="854" t="str">
        <f t="shared" ca="1" si="30"/>
        <v>Argentinië</v>
      </c>
      <c r="AA51" s="860" t="str">
        <f t="shared" ca="1" si="31"/>
        <v>Frankrijk</v>
      </c>
    </row>
    <row r="52" spans="1:27">
      <c r="A52" s="838">
        <v>87</v>
      </c>
      <c r="B52" s="841" t="str">
        <f t="shared" ca="1" si="16"/>
        <v>Glen S.</v>
      </c>
      <c r="C52" s="848">
        <f t="shared" ca="1" si="17"/>
        <v>369</v>
      </c>
      <c r="D52" s="845">
        <f t="shared" ca="1" si="18"/>
        <v>0</v>
      </c>
      <c r="E52" s="864" t="s">
        <v>9</v>
      </c>
      <c r="F52" s="846">
        <f t="shared" ca="1" si="19"/>
        <v>2</v>
      </c>
      <c r="G52" s="850" t="s">
        <v>323</v>
      </c>
      <c r="H52" s="845">
        <f t="shared" ca="1" si="20"/>
        <v>0</v>
      </c>
      <c r="I52" s="864" t="s">
        <v>9</v>
      </c>
      <c r="J52" s="846">
        <f t="shared" ca="1" si="21"/>
        <v>2</v>
      </c>
      <c r="K52" s="850" t="s">
        <v>323</v>
      </c>
      <c r="L52" s="845">
        <f t="shared" ca="1" si="22"/>
        <v>0</v>
      </c>
      <c r="M52" s="864" t="s">
        <v>9</v>
      </c>
      <c r="N52" s="846">
        <f t="shared" ca="1" si="23"/>
        <v>2</v>
      </c>
      <c r="O52" s="850" t="s">
        <v>323</v>
      </c>
      <c r="P52" s="845">
        <f t="shared" ca="1" si="24"/>
        <v>2</v>
      </c>
      <c r="Q52" s="864" t="s">
        <v>9</v>
      </c>
      <c r="R52" s="846">
        <f t="shared" ca="1" si="25"/>
        <v>0</v>
      </c>
      <c r="S52" s="184"/>
      <c r="U52" s="859">
        <v>37</v>
      </c>
      <c r="V52" s="854" t="str">
        <f t="shared" ca="1" si="26"/>
        <v>Glen S.</v>
      </c>
      <c r="W52" s="854">
        <f t="shared" ca="1" si="27"/>
        <v>369</v>
      </c>
      <c r="X52" s="854" t="str">
        <f t="shared" ca="1" si="28"/>
        <v>Brazilië</v>
      </c>
      <c r="Y52" s="854" t="str">
        <f t="shared" ca="1" si="29"/>
        <v>Spanje</v>
      </c>
      <c r="Z52" s="854" t="str">
        <f t="shared" ca="1" si="30"/>
        <v>Argentinië</v>
      </c>
      <c r="AA52" s="860" t="str">
        <f t="shared" ca="1" si="31"/>
        <v>Frankrijk</v>
      </c>
    </row>
    <row r="53" spans="1:27">
      <c r="A53" s="838">
        <v>75</v>
      </c>
      <c r="B53" s="841" t="str">
        <f t="shared" ca="1" si="16"/>
        <v>Martinos de Hoekos</v>
      </c>
      <c r="C53" s="848">
        <f t="shared" ca="1" si="17"/>
        <v>390</v>
      </c>
      <c r="D53" s="845">
        <f t="shared" ca="1" si="18"/>
        <v>1</v>
      </c>
      <c r="E53" s="864" t="s">
        <v>9</v>
      </c>
      <c r="F53" s="846">
        <f t="shared" ca="1" si="19"/>
        <v>1</v>
      </c>
      <c r="G53" s="850" t="s">
        <v>323</v>
      </c>
      <c r="H53" s="845">
        <f t="shared" ca="1" si="20"/>
        <v>2</v>
      </c>
      <c r="I53" s="864" t="s">
        <v>9</v>
      </c>
      <c r="J53" s="846">
        <f t="shared" ca="1" si="21"/>
        <v>2</v>
      </c>
      <c r="K53" s="850" t="s">
        <v>323</v>
      </c>
      <c r="L53" s="845">
        <f t="shared" ca="1" si="22"/>
        <v>1</v>
      </c>
      <c r="M53" s="864" t="s">
        <v>9</v>
      </c>
      <c r="N53" s="846">
        <f t="shared" ca="1" si="23"/>
        <v>1</v>
      </c>
      <c r="O53" s="850" t="s">
        <v>323</v>
      </c>
      <c r="P53" s="845">
        <f t="shared" ca="1" si="24"/>
        <v>1</v>
      </c>
      <c r="Q53" s="864" t="s">
        <v>9</v>
      </c>
      <c r="R53" s="846">
        <f t="shared" ca="1" si="25"/>
        <v>1</v>
      </c>
      <c r="S53" s="184"/>
      <c r="U53" s="859">
        <v>15</v>
      </c>
      <c r="V53" s="854" t="str">
        <f t="shared" ca="1" si="26"/>
        <v>Martinos de Hoekos</v>
      </c>
      <c r="W53" s="854">
        <f t="shared" ca="1" si="27"/>
        <v>390</v>
      </c>
      <c r="X53" s="854" t="str">
        <f t="shared" ca="1" si="28"/>
        <v>Portugal</v>
      </c>
      <c r="Y53" s="854" t="str">
        <f t="shared" ca="1" si="29"/>
        <v>Duitsland</v>
      </c>
      <c r="Z53" s="854" t="str">
        <f t="shared" ca="1" si="30"/>
        <v>Spanje</v>
      </c>
      <c r="AA53" s="860" t="str">
        <f t="shared" ca="1" si="31"/>
        <v>Brazilië</v>
      </c>
    </row>
    <row r="54" spans="1:27">
      <c r="A54" s="838">
        <v>37</v>
      </c>
      <c r="B54" s="841" t="str">
        <f t="shared" ca="1" si="16"/>
        <v>Hans D.</v>
      </c>
      <c r="C54" s="848">
        <f t="shared" ca="1" si="17"/>
        <v>371</v>
      </c>
      <c r="D54" s="845">
        <f t="shared" ca="1" si="18"/>
        <v>1</v>
      </c>
      <c r="E54" s="864" t="s">
        <v>9</v>
      </c>
      <c r="F54" s="846">
        <f t="shared" ca="1" si="19"/>
        <v>3</v>
      </c>
      <c r="G54" s="850" t="s">
        <v>323</v>
      </c>
      <c r="H54" s="845">
        <f t="shared" ca="1" si="20"/>
        <v>1</v>
      </c>
      <c r="I54" s="864" t="s">
        <v>9</v>
      </c>
      <c r="J54" s="846">
        <f t="shared" ca="1" si="21"/>
        <v>2</v>
      </c>
      <c r="K54" s="850" t="s">
        <v>323</v>
      </c>
      <c r="L54" s="845">
        <f t="shared" ca="1" si="22"/>
        <v>1</v>
      </c>
      <c r="M54" s="864" t="s">
        <v>9</v>
      </c>
      <c r="N54" s="846">
        <f t="shared" ca="1" si="23"/>
        <v>2</v>
      </c>
      <c r="O54" s="850" t="s">
        <v>323</v>
      </c>
      <c r="P54" s="845">
        <f t="shared" ca="1" si="24"/>
        <v>1</v>
      </c>
      <c r="Q54" s="864" t="s">
        <v>9</v>
      </c>
      <c r="R54" s="846">
        <f t="shared" ca="1" si="25"/>
        <v>2</v>
      </c>
      <c r="S54" s="184"/>
      <c r="U54" s="859">
        <v>75</v>
      </c>
      <c r="V54" s="854" t="str">
        <f t="shared" ca="1" si="26"/>
        <v>Hans D.</v>
      </c>
      <c r="W54" s="854">
        <f t="shared" ca="1" si="27"/>
        <v>371</v>
      </c>
      <c r="X54" s="854" t="str">
        <f t="shared" ca="1" si="28"/>
        <v>Nederland</v>
      </c>
      <c r="Y54" s="854" t="str">
        <f t="shared" ca="1" si="29"/>
        <v>Brazilië</v>
      </c>
      <c r="Z54" s="854" t="str">
        <f t="shared" ca="1" si="30"/>
        <v>Argentinië</v>
      </c>
      <c r="AA54" s="860" t="str">
        <f t="shared" ca="1" si="31"/>
        <v>Duitsland</v>
      </c>
    </row>
    <row r="55" spans="1:27">
      <c r="A55" s="838">
        <v>15</v>
      </c>
      <c r="B55" s="841" t="str">
        <f t="shared" ca="1" si="16"/>
        <v>Alex R. (introducee Sylvia)</v>
      </c>
      <c r="C55" s="848">
        <f t="shared" ca="1" si="17"/>
        <v>365</v>
      </c>
      <c r="D55" s="845">
        <f t="shared" ca="1" si="18"/>
        <v>0</v>
      </c>
      <c r="E55" s="864" t="s">
        <v>9</v>
      </c>
      <c r="F55" s="846">
        <f t="shared" ca="1" si="19"/>
        <v>2</v>
      </c>
      <c r="G55" s="850" t="s">
        <v>323</v>
      </c>
      <c r="H55" s="845">
        <f t="shared" ca="1" si="20"/>
        <v>2</v>
      </c>
      <c r="I55" s="864" t="s">
        <v>9</v>
      </c>
      <c r="J55" s="846">
        <f t="shared" ca="1" si="21"/>
        <v>1</v>
      </c>
      <c r="K55" s="850" t="s">
        <v>323</v>
      </c>
      <c r="L55" s="845">
        <f t="shared" ca="1" si="22"/>
        <v>1</v>
      </c>
      <c r="M55" s="864" t="s">
        <v>9</v>
      </c>
      <c r="N55" s="846">
        <f t="shared" ca="1" si="23"/>
        <v>0</v>
      </c>
      <c r="O55" s="850" t="s">
        <v>323</v>
      </c>
      <c r="P55" s="845">
        <f t="shared" ca="1" si="24"/>
        <v>1</v>
      </c>
      <c r="Q55" s="864" t="s">
        <v>9</v>
      </c>
      <c r="R55" s="846">
        <f t="shared" ca="1" si="25"/>
        <v>2</v>
      </c>
      <c r="S55" s="184"/>
      <c r="U55" s="859">
        <v>60</v>
      </c>
      <c r="V55" s="854" t="str">
        <f t="shared" ca="1" si="26"/>
        <v>Alex R. (introducee Sylvia)</v>
      </c>
      <c r="W55" s="854">
        <f t="shared" ca="1" si="27"/>
        <v>365</v>
      </c>
      <c r="X55" s="854" t="str">
        <f t="shared" ca="1" si="28"/>
        <v>Argentinië</v>
      </c>
      <c r="Y55" s="854" t="str">
        <f t="shared" ca="1" si="29"/>
        <v>Brazilië</v>
      </c>
      <c r="Z55" s="854" t="str">
        <f t="shared" ca="1" si="30"/>
        <v>Frankrijk</v>
      </c>
      <c r="AA55" s="860" t="str">
        <f t="shared" ca="1" si="31"/>
        <v>Italië</v>
      </c>
    </row>
    <row r="56" spans="1:27">
      <c r="A56" s="838">
        <v>79</v>
      </c>
      <c r="B56" s="841" t="str">
        <f t="shared" ca="1" si="16"/>
        <v>Patricia U.</v>
      </c>
      <c r="C56" s="848">
        <f t="shared" ca="1" si="17"/>
        <v>358</v>
      </c>
      <c r="D56" s="845">
        <f t="shared" ca="1" si="18"/>
        <v>2</v>
      </c>
      <c r="E56" s="864" t="s">
        <v>9</v>
      </c>
      <c r="F56" s="846">
        <f t="shared" ca="1" si="19"/>
        <v>0</v>
      </c>
      <c r="G56" s="850" t="s">
        <v>323</v>
      </c>
      <c r="H56" s="845">
        <f t="shared" ca="1" si="20"/>
        <v>1</v>
      </c>
      <c r="I56" s="864" t="s">
        <v>9</v>
      </c>
      <c r="J56" s="846">
        <f t="shared" ca="1" si="21"/>
        <v>1</v>
      </c>
      <c r="K56" s="850" t="s">
        <v>323</v>
      </c>
      <c r="L56" s="845">
        <f t="shared" ca="1" si="22"/>
        <v>1</v>
      </c>
      <c r="M56" s="864" t="s">
        <v>9</v>
      </c>
      <c r="N56" s="846">
        <f t="shared" ca="1" si="23"/>
        <v>1</v>
      </c>
      <c r="O56" s="850" t="s">
        <v>323</v>
      </c>
      <c r="P56" s="845">
        <f t="shared" ca="1" si="24"/>
        <v>2</v>
      </c>
      <c r="Q56" s="864" t="s">
        <v>9</v>
      </c>
      <c r="R56" s="846">
        <f t="shared" ca="1" si="25"/>
        <v>1</v>
      </c>
      <c r="S56" s="184"/>
      <c r="U56" s="859">
        <v>87</v>
      </c>
      <c r="V56" s="854" t="str">
        <f t="shared" ca="1" si="26"/>
        <v>Patricia U.</v>
      </c>
      <c r="W56" s="854">
        <f t="shared" ca="1" si="27"/>
        <v>358</v>
      </c>
      <c r="X56" s="854" t="str">
        <f t="shared" ca="1" si="28"/>
        <v>Nederland</v>
      </c>
      <c r="Y56" s="854" t="str">
        <f t="shared" ca="1" si="29"/>
        <v>Frankrijk</v>
      </c>
      <c r="Z56" s="854" t="str">
        <f t="shared" ca="1" si="30"/>
        <v>Argentinië</v>
      </c>
      <c r="AA56" s="860" t="str">
        <f t="shared" ca="1" si="31"/>
        <v>Ivoorkust</v>
      </c>
    </row>
    <row r="57" spans="1:27">
      <c r="A57" s="838">
        <v>42</v>
      </c>
      <c r="B57" s="841" t="str">
        <f t="shared" ca="1" si="16"/>
        <v>René B.</v>
      </c>
      <c r="C57" s="848">
        <f t="shared" ca="1" si="17"/>
        <v>357</v>
      </c>
      <c r="D57" s="845">
        <f t="shared" ca="1" si="18"/>
        <v>1</v>
      </c>
      <c r="E57" s="864" t="s">
        <v>9</v>
      </c>
      <c r="F57" s="846">
        <f t="shared" ca="1" si="19"/>
        <v>2</v>
      </c>
      <c r="G57" s="850" t="s">
        <v>323</v>
      </c>
      <c r="H57" s="845">
        <f t="shared" ca="1" si="20"/>
        <v>2</v>
      </c>
      <c r="I57" s="864" t="s">
        <v>9</v>
      </c>
      <c r="J57" s="846">
        <f t="shared" ca="1" si="21"/>
        <v>2</v>
      </c>
      <c r="K57" s="850" t="s">
        <v>323</v>
      </c>
      <c r="L57" s="845">
        <f t="shared" ca="1" si="22"/>
        <v>2</v>
      </c>
      <c r="M57" s="864" t="s">
        <v>9</v>
      </c>
      <c r="N57" s="846">
        <f t="shared" ca="1" si="23"/>
        <v>1</v>
      </c>
      <c r="O57" s="850" t="s">
        <v>323</v>
      </c>
      <c r="P57" s="845">
        <f t="shared" ca="1" si="24"/>
        <v>3</v>
      </c>
      <c r="Q57" s="864" t="s">
        <v>9</v>
      </c>
      <c r="R57" s="846">
        <f t="shared" ca="1" si="25"/>
        <v>2</v>
      </c>
      <c r="S57" s="184"/>
      <c r="U57" s="859">
        <v>85</v>
      </c>
      <c r="V57" s="854" t="str">
        <f t="shared" ca="1" si="26"/>
        <v>René B.</v>
      </c>
      <c r="W57" s="854">
        <f t="shared" ca="1" si="27"/>
        <v>357</v>
      </c>
      <c r="X57" s="854" t="str">
        <f t="shared" ca="1" si="28"/>
        <v>Brazilië</v>
      </c>
      <c r="Y57" s="854" t="str">
        <f t="shared" ca="1" si="29"/>
        <v>Spanje</v>
      </c>
      <c r="Z57" s="854" t="str">
        <f t="shared" ca="1" si="30"/>
        <v>Duitsland</v>
      </c>
      <c r="AA57" s="860" t="str">
        <f t="shared" ca="1" si="31"/>
        <v>Portugal</v>
      </c>
    </row>
    <row r="58" spans="1:27">
      <c r="A58" s="838">
        <v>85</v>
      </c>
      <c r="B58" s="841" t="str">
        <f t="shared" ca="1" si="16"/>
        <v>Emiel V.</v>
      </c>
      <c r="C58" s="848">
        <f t="shared" ca="1" si="17"/>
        <v>361</v>
      </c>
      <c r="D58" s="845">
        <f t="shared" ca="1" si="18"/>
        <v>2</v>
      </c>
      <c r="E58" s="864" t="s">
        <v>9</v>
      </c>
      <c r="F58" s="846">
        <f t="shared" ca="1" si="19"/>
        <v>3</v>
      </c>
      <c r="G58" s="850" t="s">
        <v>323</v>
      </c>
      <c r="H58" s="845">
        <f t="shared" ca="1" si="20"/>
        <v>2</v>
      </c>
      <c r="I58" s="864" t="s">
        <v>9</v>
      </c>
      <c r="J58" s="846">
        <f t="shared" ca="1" si="21"/>
        <v>1</v>
      </c>
      <c r="K58" s="850" t="s">
        <v>323</v>
      </c>
      <c r="L58" s="845">
        <f t="shared" ca="1" si="22"/>
        <v>2</v>
      </c>
      <c r="M58" s="864" t="s">
        <v>9</v>
      </c>
      <c r="N58" s="846">
        <f t="shared" ca="1" si="23"/>
        <v>1</v>
      </c>
      <c r="O58" s="850" t="s">
        <v>323</v>
      </c>
      <c r="P58" s="845">
        <f t="shared" ca="1" si="24"/>
        <v>1</v>
      </c>
      <c r="Q58" s="864" t="s">
        <v>9</v>
      </c>
      <c r="R58" s="846">
        <f t="shared" ca="1" si="25"/>
        <v>3</v>
      </c>
      <c r="S58" s="184"/>
      <c r="U58" s="859">
        <v>38</v>
      </c>
      <c r="V58" s="854" t="str">
        <f t="shared" ca="1" si="26"/>
        <v>Emiel V.</v>
      </c>
      <c r="W58" s="854">
        <f t="shared" ca="1" si="27"/>
        <v>361</v>
      </c>
      <c r="X58" s="854" t="str">
        <f t="shared" ca="1" si="28"/>
        <v>Argentinië</v>
      </c>
      <c r="Y58" s="854" t="str">
        <f t="shared" ca="1" si="29"/>
        <v>Brazilië</v>
      </c>
      <c r="Z58" s="854" t="str">
        <f t="shared" ca="1" si="30"/>
        <v>Frankrijk</v>
      </c>
      <c r="AA58" s="860" t="str">
        <f t="shared" ca="1" si="31"/>
        <v>Spanje</v>
      </c>
    </row>
    <row r="59" spans="1:27">
      <c r="A59" s="838">
        <v>60</v>
      </c>
      <c r="B59" s="841" t="str">
        <f t="shared" ca="1" si="16"/>
        <v>Carola L. (introducee Jan L.)</v>
      </c>
      <c r="C59" s="848">
        <f t="shared" ca="1" si="17"/>
        <v>372</v>
      </c>
      <c r="D59" s="845">
        <f t="shared" ca="1" si="18"/>
        <v>1</v>
      </c>
      <c r="E59" s="864" t="s">
        <v>9</v>
      </c>
      <c r="F59" s="846">
        <f t="shared" ca="1" si="19"/>
        <v>1</v>
      </c>
      <c r="G59" s="850" t="s">
        <v>323</v>
      </c>
      <c r="H59" s="845">
        <f t="shared" ca="1" si="20"/>
        <v>1</v>
      </c>
      <c r="I59" s="864" t="s">
        <v>9</v>
      </c>
      <c r="J59" s="846">
        <f t="shared" ca="1" si="21"/>
        <v>1</v>
      </c>
      <c r="K59" s="850" t="s">
        <v>323</v>
      </c>
      <c r="L59" s="845">
        <f t="shared" ca="1" si="22"/>
        <v>1</v>
      </c>
      <c r="M59" s="864" t="s">
        <v>9</v>
      </c>
      <c r="N59" s="846">
        <f t="shared" ca="1" si="23"/>
        <v>3</v>
      </c>
      <c r="O59" s="850" t="s">
        <v>323</v>
      </c>
      <c r="P59" s="845">
        <f t="shared" ca="1" si="24"/>
        <v>2</v>
      </c>
      <c r="Q59" s="864" t="s">
        <v>9</v>
      </c>
      <c r="R59" s="846">
        <f t="shared" ca="1" si="25"/>
        <v>2</v>
      </c>
      <c r="S59" s="184"/>
      <c r="U59" s="859">
        <v>65</v>
      </c>
      <c r="V59" s="854" t="str">
        <f t="shared" ca="1" si="26"/>
        <v>Carola L. (introducee Jan L.)</v>
      </c>
      <c r="W59" s="854">
        <f t="shared" ca="1" si="27"/>
        <v>372</v>
      </c>
      <c r="X59" s="854" t="str">
        <f t="shared" ca="1" si="28"/>
        <v>Spanje</v>
      </c>
      <c r="Y59" s="854" t="str">
        <f t="shared" ca="1" si="29"/>
        <v>Frankrijk</v>
      </c>
      <c r="Z59" s="854" t="str">
        <f t="shared" ca="1" si="30"/>
        <v>Argentinië</v>
      </c>
      <c r="AA59" s="860" t="str">
        <f t="shared" ca="1" si="31"/>
        <v>Nederland</v>
      </c>
    </row>
    <row r="60" spans="1:27">
      <c r="A60" s="838">
        <v>9</v>
      </c>
      <c r="B60" s="841" t="str">
        <f t="shared" ca="1" si="16"/>
        <v>Marco V.</v>
      </c>
      <c r="C60" s="848">
        <f t="shared" ca="1" si="17"/>
        <v>371</v>
      </c>
      <c r="D60" s="845">
        <f t="shared" ca="1" si="18"/>
        <v>2</v>
      </c>
      <c r="E60" s="864" t="s">
        <v>9</v>
      </c>
      <c r="F60" s="846">
        <f t="shared" ca="1" si="19"/>
        <v>2</v>
      </c>
      <c r="G60" s="850" t="s">
        <v>323</v>
      </c>
      <c r="H60" s="845">
        <f t="shared" ca="1" si="20"/>
        <v>3</v>
      </c>
      <c r="I60" s="864" t="s">
        <v>9</v>
      </c>
      <c r="J60" s="846">
        <f t="shared" ca="1" si="21"/>
        <v>1</v>
      </c>
      <c r="K60" s="850" t="s">
        <v>323</v>
      </c>
      <c r="L60" s="845">
        <f t="shared" ca="1" si="22"/>
        <v>0</v>
      </c>
      <c r="M60" s="864" t="s">
        <v>9</v>
      </c>
      <c r="N60" s="846">
        <f t="shared" ca="1" si="23"/>
        <v>1</v>
      </c>
      <c r="O60" s="850" t="s">
        <v>323</v>
      </c>
      <c r="P60" s="845">
        <f t="shared" ca="1" si="24"/>
        <v>2</v>
      </c>
      <c r="Q60" s="864" t="s">
        <v>9</v>
      </c>
      <c r="R60" s="846">
        <f t="shared" ca="1" si="25"/>
        <v>2</v>
      </c>
      <c r="S60" s="184"/>
      <c r="U60" s="859">
        <v>76</v>
      </c>
      <c r="V60" s="854" t="str">
        <f t="shared" ca="1" si="26"/>
        <v>Marco V.</v>
      </c>
      <c r="W60" s="854">
        <f t="shared" ca="1" si="27"/>
        <v>371</v>
      </c>
      <c r="X60" s="854" t="str">
        <f t="shared" ca="1" si="28"/>
        <v>Brazilië</v>
      </c>
      <c r="Y60" s="854" t="str">
        <f t="shared" ca="1" si="29"/>
        <v>Duitsland</v>
      </c>
      <c r="Z60" s="854" t="str">
        <f t="shared" ca="1" si="30"/>
        <v>Chili</v>
      </c>
      <c r="AA60" s="860" t="str">
        <f t="shared" ca="1" si="31"/>
        <v>Portugal</v>
      </c>
    </row>
    <row r="61" spans="1:27">
      <c r="A61" s="838">
        <v>65</v>
      </c>
      <c r="B61" s="841" t="str">
        <f t="shared" ca="1" si="16"/>
        <v>Wim D.</v>
      </c>
      <c r="C61" s="848">
        <f t="shared" ca="1" si="17"/>
        <v>365</v>
      </c>
      <c r="D61" s="845">
        <f t="shared" ca="1" si="18"/>
        <v>2</v>
      </c>
      <c r="E61" s="864" t="s">
        <v>9</v>
      </c>
      <c r="F61" s="846">
        <f t="shared" ca="1" si="19"/>
        <v>3</v>
      </c>
      <c r="G61" s="850" t="s">
        <v>323</v>
      </c>
      <c r="H61" s="845">
        <f t="shared" ca="1" si="20"/>
        <v>1</v>
      </c>
      <c r="I61" s="864" t="s">
        <v>9</v>
      </c>
      <c r="J61" s="846">
        <f t="shared" ca="1" si="21"/>
        <v>3</v>
      </c>
      <c r="K61" s="850" t="s">
        <v>323</v>
      </c>
      <c r="L61" s="845">
        <f t="shared" ca="1" si="22"/>
        <v>2</v>
      </c>
      <c r="M61" s="864" t="s">
        <v>9</v>
      </c>
      <c r="N61" s="846">
        <f t="shared" ca="1" si="23"/>
        <v>0</v>
      </c>
      <c r="O61" s="850" t="s">
        <v>323</v>
      </c>
      <c r="P61" s="845">
        <f t="shared" ca="1" si="24"/>
        <v>1</v>
      </c>
      <c r="Q61" s="864" t="s">
        <v>9</v>
      </c>
      <c r="R61" s="846">
        <f t="shared" ca="1" si="25"/>
        <v>3</v>
      </c>
      <c r="S61" s="184"/>
      <c r="U61" s="859">
        <v>29</v>
      </c>
      <c r="V61" s="854" t="str">
        <f t="shared" ca="1" si="26"/>
        <v>Wim D.</v>
      </c>
      <c r="W61" s="854">
        <f t="shared" ca="1" si="27"/>
        <v>365</v>
      </c>
      <c r="X61" s="854" t="str">
        <f t="shared" ca="1" si="28"/>
        <v>Nederland</v>
      </c>
      <c r="Y61" s="854" t="str">
        <f t="shared" ca="1" si="29"/>
        <v>Duitsland</v>
      </c>
      <c r="Z61" s="854" t="str">
        <f t="shared" ca="1" si="30"/>
        <v>Brazilië</v>
      </c>
      <c r="AA61" s="860" t="str">
        <f t="shared" ca="1" si="31"/>
        <v>Portugal</v>
      </c>
    </row>
    <row r="62" spans="1:27">
      <c r="A62" s="838">
        <v>38</v>
      </c>
      <c r="B62" s="841" t="str">
        <f t="shared" ca="1" si="16"/>
        <v>Jacco S. (introducee Martin S.)</v>
      </c>
      <c r="C62" s="848">
        <f t="shared" ca="1" si="17"/>
        <v>349</v>
      </c>
      <c r="D62" s="845">
        <f t="shared" ca="1" si="18"/>
        <v>1</v>
      </c>
      <c r="E62" s="864" t="s">
        <v>9</v>
      </c>
      <c r="F62" s="846">
        <f t="shared" ca="1" si="19"/>
        <v>2</v>
      </c>
      <c r="G62" s="850" t="s">
        <v>323</v>
      </c>
      <c r="H62" s="845">
        <f t="shared" ca="1" si="20"/>
        <v>1</v>
      </c>
      <c r="I62" s="864" t="s">
        <v>9</v>
      </c>
      <c r="J62" s="846">
        <f t="shared" ca="1" si="21"/>
        <v>2</v>
      </c>
      <c r="K62" s="850" t="s">
        <v>323</v>
      </c>
      <c r="L62" s="845">
        <f t="shared" ca="1" si="22"/>
        <v>2</v>
      </c>
      <c r="M62" s="864" t="s">
        <v>9</v>
      </c>
      <c r="N62" s="846">
        <f t="shared" ca="1" si="23"/>
        <v>1</v>
      </c>
      <c r="O62" s="850" t="s">
        <v>323</v>
      </c>
      <c r="P62" s="845">
        <f t="shared" ca="1" si="24"/>
        <v>1</v>
      </c>
      <c r="Q62" s="864" t="s">
        <v>9</v>
      </c>
      <c r="R62" s="846">
        <f t="shared" ca="1" si="25"/>
        <v>0</v>
      </c>
      <c r="S62" s="184"/>
      <c r="U62" s="859">
        <v>47</v>
      </c>
      <c r="V62" s="854" t="str">
        <f t="shared" ca="1" si="26"/>
        <v>Jacco S. (introducee Martin S.)</v>
      </c>
      <c r="W62" s="854">
        <f t="shared" ca="1" si="27"/>
        <v>349</v>
      </c>
      <c r="X62" s="854" t="str">
        <f t="shared" ca="1" si="28"/>
        <v>Brazilië</v>
      </c>
      <c r="Y62" s="854" t="str">
        <f t="shared" ca="1" si="29"/>
        <v>Spanje</v>
      </c>
      <c r="Z62" s="854" t="str">
        <f t="shared" ca="1" si="30"/>
        <v>Duitsland</v>
      </c>
      <c r="AA62" s="860" t="str">
        <f t="shared" ca="1" si="31"/>
        <v>Argentinië</v>
      </c>
    </row>
    <row r="63" spans="1:27">
      <c r="A63" s="838">
        <v>29</v>
      </c>
      <c r="B63" s="841" t="str">
        <f t="shared" ca="1" si="16"/>
        <v>Malrini</v>
      </c>
      <c r="C63" s="848">
        <f t="shared" ca="1" si="17"/>
        <v>350</v>
      </c>
      <c r="D63" s="845">
        <f t="shared" ca="1" si="18"/>
        <v>1</v>
      </c>
      <c r="E63" s="864" t="s">
        <v>9</v>
      </c>
      <c r="F63" s="846">
        <f t="shared" ca="1" si="19"/>
        <v>2</v>
      </c>
      <c r="G63" s="850" t="s">
        <v>323</v>
      </c>
      <c r="H63" s="845">
        <f t="shared" ca="1" si="20"/>
        <v>2</v>
      </c>
      <c r="I63" s="864" t="s">
        <v>9</v>
      </c>
      <c r="J63" s="846">
        <f t="shared" ca="1" si="21"/>
        <v>2</v>
      </c>
      <c r="K63" s="850" t="s">
        <v>323</v>
      </c>
      <c r="L63" s="845">
        <f t="shared" ca="1" si="22"/>
        <v>0</v>
      </c>
      <c r="M63" s="864" t="s">
        <v>9</v>
      </c>
      <c r="N63" s="846">
        <f t="shared" ca="1" si="23"/>
        <v>2</v>
      </c>
      <c r="O63" s="850" t="s">
        <v>323</v>
      </c>
      <c r="P63" s="845">
        <f t="shared" ca="1" si="24"/>
        <v>0</v>
      </c>
      <c r="Q63" s="864" t="s">
        <v>9</v>
      </c>
      <c r="R63" s="846">
        <f t="shared" ca="1" si="25"/>
        <v>1</v>
      </c>
      <c r="S63" s="184"/>
      <c r="U63" s="859">
        <v>89</v>
      </c>
      <c r="V63" s="854" t="str">
        <f t="shared" ca="1" si="26"/>
        <v>Malrini</v>
      </c>
      <c r="W63" s="854">
        <f t="shared" ca="1" si="27"/>
        <v>350</v>
      </c>
      <c r="X63" s="854" t="str">
        <f t="shared" ca="1" si="28"/>
        <v>België</v>
      </c>
      <c r="Y63" s="854" t="str">
        <f t="shared" ca="1" si="29"/>
        <v>Brazilië</v>
      </c>
      <c r="Z63" s="854" t="str">
        <f t="shared" ca="1" si="30"/>
        <v>Uruguay</v>
      </c>
      <c r="AA63" s="860" t="str">
        <f t="shared" ca="1" si="31"/>
        <v>Portugal</v>
      </c>
    </row>
    <row r="64" spans="1:27">
      <c r="A64" s="838">
        <v>47</v>
      </c>
      <c r="B64" s="841" t="str">
        <f t="shared" ca="1" si="16"/>
        <v>Quinn H. (introducee Corjan)</v>
      </c>
      <c r="C64" s="848">
        <f t="shared" ca="1" si="17"/>
        <v>397</v>
      </c>
      <c r="D64" s="845">
        <f t="shared" ca="1" si="18"/>
        <v>1</v>
      </c>
      <c r="E64" s="864" t="s">
        <v>9</v>
      </c>
      <c r="F64" s="846">
        <f t="shared" ca="1" si="19"/>
        <v>0</v>
      </c>
      <c r="G64" s="850" t="s">
        <v>323</v>
      </c>
      <c r="H64" s="845">
        <f t="shared" ca="1" si="20"/>
        <v>1</v>
      </c>
      <c r="I64" s="864" t="s">
        <v>9</v>
      </c>
      <c r="J64" s="846">
        <f t="shared" ca="1" si="21"/>
        <v>2</v>
      </c>
      <c r="K64" s="850" t="s">
        <v>323</v>
      </c>
      <c r="L64" s="845">
        <f t="shared" ca="1" si="22"/>
        <v>2</v>
      </c>
      <c r="M64" s="864" t="s">
        <v>9</v>
      </c>
      <c r="N64" s="846">
        <f t="shared" ca="1" si="23"/>
        <v>1</v>
      </c>
      <c r="O64" s="850" t="s">
        <v>323</v>
      </c>
      <c r="P64" s="845">
        <f t="shared" ca="1" si="24"/>
        <v>2</v>
      </c>
      <c r="Q64" s="864" t="s">
        <v>9</v>
      </c>
      <c r="R64" s="846">
        <f t="shared" ca="1" si="25"/>
        <v>1</v>
      </c>
      <c r="S64" s="184"/>
      <c r="U64" s="859">
        <v>9</v>
      </c>
      <c r="V64" s="854" t="str">
        <f t="shared" ca="1" si="26"/>
        <v>Quinn H. (introducee Corjan)</v>
      </c>
      <c r="W64" s="854">
        <f t="shared" ca="1" si="27"/>
        <v>397</v>
      </c>
      <c r="X64" s="854" t="str">
        <f t="shared" ca="1" si="28"/>
        <v>Duitsland</v>
      </c>
      <c r="Y64" s="854" t="str">
        <f t="shared" ca="1" si="29"/>
        <v>Spanje</v>
      </c>
      <c r="Z64" s="854" t="str">
        <f t="shared" ca="1" si="30"/>
        <v>Brazilië</v>
      </c>
      <c r="AA64" s="860" t="str">
        <f t="shared" ca="1" si="31"/>
        <v>Argentinië</v>
      </c>
    </row>
    <row r="65" spans="1:27">
      <c r="A65" s="838">
        <v>89</v>
      </c>
      <c r="B65" s="841" t="str">
        <f t="shared" ca="1" si="16"/>
        <v>Kees H. (introducee Thomas H.)</v>
      </c>
      <c r="C65" s="848">
        <f t="shared" ca="1" si="17"/>
        <v>337</v>
      </c>
      <c r="D65" s="845">
        <f t="shared" ca="1" si="18"/>
        <v>1</v>
      </c>
      <c r="E65" s="864" t="s">
        <v>9</v>
      </c>
      <c r="F65" s="846">
        <f t="shared" ca="1" si="19"/>
        <v>3</v>
      </c>
      <c r="G65" s="850" t="s">
        <v>323</v>
      </c>
      <c r="H65" s="845">
        <f t="shared" ca="1" si="20"/>
        <v>1</v>
      </c>
      <c r="I65" s="864" t="s">
        <v>9</v>
      </c>
      <c r="J65" s="846">
        <f t="shared" ca="1" si="21"/>
        <v>3</v>
      </c>
      <c r="K65" s="850" t="s">
        <v>323</v>
      </c>
      <c r="L65" s="845">
        <f t="shared" ca="1" si="22"/>
        <v>3</v>
      </c>
      <c r="M65" s="864" t="s">
        <v>9</v>
      </c>
      <c r="N65" s="846">
        <f t="shared" ca="1" si="23"/>
        <v>1</v>
      </c>
      <c r="O65" s="850" t="s">
        <v>323</v>
      </c>
      <c r="P65" s="845">
        <f t="shared" ca="1" si="24"/>
        <v>3</v>
      </c>
      <c r="Q65" s="864" t="s">
        <v>9</v>
      </c>
      <c r="R65" s="846">
        <f t="shared" ca="1" si="25"/>
        <v>2</v>
      </c>
      <c r="S65" s="184"/>
      <c r="U65" s="859">
        <v>64</v>
      </c>
      <c r="V65" s="854" t="str">
        <f t="shared" ca="1" si="26"/>
        <v>Kees H. (introducee Thomas H.)</v>
      </c>
      <c r="W65" s="854">
        <f t="shared" ca="1" si="27"/>
        <v>337</v>
      </c>
      <c r="X65" s="854" t="str">
        <f t="shared" ca="1" si="28"/>
        <v>Brazilië</v>
      </c>
      <c r="Y65" s="854" t="str">
        <f t="shared" ca="1" si="29"/>
        <v>Spanje</v>
      </c>
      <c r="Z65" s="854" t="str">
        <f t="shared" ca="1" si="30"/>
        <v>Frankrijk</v>
      </c>
      <c r="AA65" s="860" t="str">
        <f t="shared" ca="1" si="31"/>
        <v>Portugal</v>
      </c>
    </row>
    <row r="66" spans="1:27">
      <c r="A66" s="838">
        <v>51</v>
      </c>
      <c r="B66" s="841" t="str">
        <f t="shared" ref="B66:B95" ca="1" si="32">INDIRECT("'"&amp;$A66&amp;"'!N3")</f>
        <v>Jos S.</v>
      </c>
      <c r="C66" s="848">
        <f t="shared" ref="C66:C95" ca="1" si="33">INDIRECT("'"&amp;$A66&amp;"'!O3")</f>
        <v>372</v>
      </c>
      <c r="D66" s="845">
        <f t="shared" ref="D66:D95" ca="1" si="34">INDIRECT("'"&amp;$A66&amp;"'!G77")</f>
        <v>1</v>
      </c>
      <c r="E66" s="864" t="s">
        <v>9</v>
      </c>
      <c r="F66" s="846">
        <f t="shared" ref="F66:F95" ca="1" si="35">INDIRECT("'"&amp;$A66&amp;"'!i77")</f>
        <v>1</v>
      </c>
      <c r="G66" s="850" t="s">
        <v>323</v>
      </c>
      <c r="H66" s="845">
        <f t="shared" ref="H66:H95" ca="1" si="36">INDIRECT("'"&amp;$A66&amp;"'!G78")</f>
        <v>1</v>
      </c>
      <c r="I66" s="864" t="s">
        <v>9</v>
      </c>
      <c r="J66" s="846">
        <f t="shared" ref="J66:J95" ca="1" si="37">INDIRECT("'"&amp;$A66&amp;"'!i78")</f>
        <v>1</v>
      </c>
      <c r="K66" s="850" t="s">
        <v>323</v>
      </c>
      <c r="L66" s="845">
        <f t="shared" ref="L66:L95" ca="1" si="38">INDIRECT("'"&amp;$A66&amp;"'!G82")</f>
        <v>1</v>
      </c>
      <c r="M66" s="864" t="s">
        <v>9</v>
      </c>
      <c r="N66" s="846">
        <f t="shared" ref="N66:N95" ca="1" si="39">INDIRECT("'"&amp;$A66&amp;"'!i82")</f>
        <v>0</v>
      </c>
      <c r="O66" s="850" t="s">
        <v>323</v>
      </c>
      <c r="P66" s="845">
        <f t="shared" ref="P66:P95" ca="1" si="40">INDIRECT("'"&amp;$A66&amp;"'!G86")</f>
        <v>2</v>
      </c>
      <c r="Q66" s="864" t="s">
        <v>9</v>
      </c>
      <c r="R66" s="846">
        <f t="shared" ref="R66:R95" ca="1" si="41">INDIRECT("'"&amp;$A66&amp;"'!i86")</f>
        <v>0</v>
      </c>
      <c r="S66" s="184"/>
      <c r="U66" s="859">
        <v>82</v>
      </c>
      <c r="V66" s="854" t="str">
        <f t="shared" ref="V66:V95" ca="1" si="42">INDIRECT("'"&amp;$A66&amp;"'!N3")</f>
        <v>Jos S.</v>
      </c>
      <c r="W66" s="854">
        <f t="shared" ref="W66:W95" ca="1" si="43">INDIRECT("'"&amp;$A66&amp;"'!O3")</f>
        <v>372</v>
      </c>
      <c r="X66" s="854" t="str">
        <f t="shared" ref="X66:X95" ca="1" si="44">INDIRECT("'"&amp;$A66&amp;"'!E89")</f>
        <v>Brazilië</v>
      </c>
      <c r="Y66" s="854" t="str">
        <f t="shared" ref="Y66:Y95" ca="1" si="45">INDIRECT("'"&amp;$A66&amp;"'!E90")</f>
        <v>Argentinië</v>
      </c>
      <c r="Z66" s="854" t="str">
        <f t="shared" ref="Z66:Z95" ca="1" si="46">INDIRECT("'"&amp;$A66&amp;"'!E91")</f>
        <v>Duitsland</v>
      </c>
      <c r="AA66" s="860" t="str">
        <f t="shared" ref="AA66:AA95" ca="1" si="47">INDIRECT("'"&amp;$A66&amp;"'!E92")</f>
        <v>Spanje</v>
      </c>
    </row>
    <row r="67" spans="1:27">
      <c r="A67" s="838">
        <v>2</v>
      </c>
      <c r="B67" s="841" t="str">
        <f t="shared" ca="1" si="32"/>
        <v>Margret N.</v>
      </c>
      <c r="C67" s="848">
        <f t="shared" ca="1" si="33"/>
        <v>353</v>
      </c>
      <c r="D67" s="845">
        <f t="shared" ca="1" si="34"/>
        <v>1</v>
      </c>
      <c r="E67" s="864" t="s">
        <v>9</v>
      </c>
      <c r="F67" s="846">
        <f t="shared" ca="1" si="35"/>
        <v>2</v>
      </c>
      <c r="G67" s="850" t="s">
        <v>323</v>
      </c>
      <c r="H67" s="845">
        <f t="shared" ca="1" si="36"/>
        <v>1</v>
      </c>
      <c r="I67" s="864" t="s">
        <v>9</v>
      </c>
      <c r="J67" s="846">
        <f t="shared" ca="1" si="37"/>
        <v>1</v>
      </c>
      <c r="K67" s="850" t="s">
        <v>323</v>
      </c>
      <c r="L67" s="845">
        <f t="shared" ca="1" si="38"/>
        <v>2</v>
      </c>
      <c r="M67" s="864" t="s">
        <v>9</v>
      </c>
      <c r="N67" s="846">
        <f t="shared" ca="1" si="39"/>
        <v>2</v>
      </c>
      <c r="O67" s="850" t="s">
        <v>323</v>
      </c>
      <c r="P67" s="845">
        <f t="shared" ca="1" si="40"/>
        <v>1</v>
      </c>
      <c r="Q67" s="864" t="s">
        <v>9</v>
      </c>
      <c r="R67" s="846">
        <f t="shared" ca="1" si="41"/>
        <v>1</v>
      </c>
      <c r="S67" s="184"/>
      <c r="U67" s="859">
        <v>79</v>
      </c>
      <c r="V67" s="854" t="str">
        <f t="shared" ca="1" si="42"/>
        <v>Margret N.</v>
      </c>
      <c r="W67" s="854">
        <f t="shared" ca="1" si="43"/>
        <v>353</v>
      </c>
      <c r="X67" s="854" t="str">
        <f t="shared" ca="1" si="44"/>
        <v>Nederland</v>
      </c>
      <c r="Y67" s="854" t="str">
        <f t="shared" ca="1" si="45"/>
        <v>Italië</v>
      </c>
      <c r="Z67" s="854" t="str">
        <f t="shared" ca="1" si="46"/>
        <v>Argentinië</v>
      </c>
      <c r="AA67" s="860" t="str">
        <f t="shared" ca="1" si="47"/>
        <v>Duitsland</v>
      </c>
    </row>
    <row r="68" spans="1:27">
      <c r="A68" s="838">
        <v>64</v>
      </c>
      <c r="B68" s="841" t="str">
        <f t="shared" ca="1" si="32"/>
        <v>Marcel H. (introducee Marjan)</v>
      </c>
      <c r="C68" s="848">
        <f t="shared" ca="1" si="33"/>
        <v>386</v>
      </c>
      <c r="D68" s="845">
        <f t="shared" ca="1" si="34"/>
        <v>2</v>
      </c>
      <c r="E68" s="864" t="s">
        <v>9</v>
      </c>
      <c r="F68" s="846">
        <f t="shared" ca="1" si="35"/>
        <v>1</v>
      </c>
      <c r="G68" s="850" t="s">
        <v>323</v>
      </c>
      <c r="H68" s="845">
        <f t="shared" ca="1" si="36"/>
        <v>1</v>
      </c>
      <c r="I68" s="864" t="s">
        <v>9</v>
      </c>
      <c r="J68" s="846">
        <f t="shared" ca="1" si="37"/>
        <v>3</v>
      </c>
      <c r="K68" s="850" t="s">
        <v>323</v>
      </c>
      <c r="L68" s="845">
        <f t="shared" ca="1" si="38"/>
        <v>3</v>
      </c>
      <c r="M68" s="864" t="s">
        <v>9</v>
      </c>
      <c r="N68" s="846">
        <f t="shared" ca="1" si="39"/>
        <v>1</v>
      </c>
      <c r="O68" s="850" t="s">
        <v>323</v>
      </c>
      <c r="P68" s="845">
        <f t="shared" ca="1" si="40"/>
        <v>2</v>
      </c>
      <c r="Q68" s="864" t="s">
        <v>9</v>
      </c>
      <c r="R68" s="846">
        <f t="shared" ca="1" si="41"/>
        <v>0</v>
      </c>
      <c r="S68" s="184"/>
      <c r="U68" s="859">
        <v>42</v>
      </c>
      <c r="V68" s="854" t="str">
        <f t="shared" ca="1" si="42"/>
        <v>Marcel H. (introducee Marjan)</v>
      </c>
      <c r="W68" s="854">
        <f t="shared" ca="1" si="43"/>
        <v>386</v>
      </c>
      <c r="X68" s="854" t="str">
        <f t="shared" ca="1" si="44"/>
        <v>Duitsland</v>
      </c>
      <c r="Y68" s="854" t="str">
        <f t="shared" ca="1" si="45"/>
        <v>Italië</v>
      </c>
      <c r="Z68" s="854" t="str">
        <f t="shared" ca="1" si="46"/>
        <v>Brazilië</v>
      </c>
      <c r="AA68" s="860" t="str">
        <f t="shared" ca="1" si="47"/>
        <v>Portugal</v>
      </c>
    </row>
    <row r="69" spans="1:27">
      <c r="A69" s="838">
        <v>76</v>
      </c>
      <c r="B69" s="841" t="str">
        <f t="shared" ca="1" si="32"/>
        <v>Radjesh S.</v>
      </c>
      <c r="C69" s="848">
        <f t="shared" ca="1" si="33"/>
        <v>340</v>
      </c>
      <c r="D69" s="845">
        <f t="shared" ca="1" si="34"/>
        <v>0</v>
      </c>
      <c r="E69" s="864" t="s">
        <v>9</v>
      </c>
      <c r="F69" s="846">
        <f t="shared" ca="1" si="35"/>
        <v>1</v>
      </c>
      <c r="G69" s="850" t="s">
        <v>323</v>
      </c>
      <c r="H69" s="845">
        <f t="shared" ca="1" si="36"/>
        <v>1</v>
      </c>
      <c r="I69" s="864" t="s">
        <v>9</v>
      </c>
      <c r="J69" s="846">
        <f t="shared" ca="1" si="37"/>
        <v>1</v>
      </c>
      <c r="K69" s="850" t="s">
        <v>323</v>
      </c>
      <c r="L69" s="845">
        <f t="shared" ca="1" si="38"/>
        <v>0</v>
      </c>
      <c r="M69" s="864" t="s">
        <v>9</v>
      </c>
      <c r="N69" s="846">
        <f t="shared" ca="1" si="39"/>
        <v>1</v>
      </c>
      <c r="O69" s="850" t="s">
        <v>323</v>
      </c>
      <c r="P69" s="845">
        <f t="shared" ca="1" si="40"/>
        <v>1</v>
      </c>
      <c r="Q69" s="864" t="s">
        <v>9</v>
      </c>
      <c r="R69" s="846">
        <f t="shared" ca="1" si="41"/>
        <v>1</v>
      </c>
      <c r="S69" s="184"/>
      <c r="U69" s="859">
        <v>81</v>
      </c>
      <c r="V69" s="854" t="str">
        <f t="shared" ca="1" si="42"/>
        <v>Radjesh S.</v>
      </c>
      <c r="W69" s="854">
        <f t="shared" ca="1" si="43"/>
        <v>340</v>
      </c>
      <c r="X69" s="854" t="str">
        <f t="shared" ca="1" si="44"/>
        <v>Engeland</v>
      </c>
      <c r="Y69" s="854" t="str">
        <f t="shared" ca="1" si="45"/>
        <v>Italië</v>
      </c>
      <c r="Z69" s="854" t="str">
        <f t="shared" ca="1" si="46"/>
        <v>België</v>
      </c>
      <c r="AA69" s="860" t="str">
        <f t="shared" ca="1" si="47"/>
        <v>Rusland</v>
      </c>
    </row>
    <row r="70" spans="1:27">
      <c r="A70" s="838">
        <v>82</v>
      </c>
      <c r="B70" s="841" t="str">
        <f t="shared" ca="1" si="32"/>
        <v>René vd B.</v>
      </c>
      <c r="C70" s="848">
        <f t="shared" ca="1" si="33"/>
        <v>332</v>
      </c>
      <c r="D70" s="845">
        <f t="shared" ca="1" si="34"/>
        <v>1</v>
      </c>
      <c r="E70" s="864" t="s">
        <v>9</v>
      </c>
      <c r="F70" s="846">
        <f t="shared" ca="1" si="35"/>
        <v>2</v>
      </c>
      <c r="G70" s="850" t="s">
        <v>323</v>
      </c>
      <c r="H70" s="845">
        <f t="shared" ca="1" si="36"/>
        <v>1</v>
      </c>
      <c r="I70" s="864" t="s">
        <v>9</v>
      </c>
      <c r="J70" s="846">
        <f t="shared" ca="1" si="37"/>
        <v>3</v>
      </c>
      <c r="K70" s="850" t="s">
        <v>323</v>
      </c>
      <c r="L70" s="845">
        <f t="shared" ca="1" si="38"/>
        <v>2</v>
      </c>
      <c r="M70" s="864" t="s">
        <v>9</v>
      </c>
      <c r="N70" s="846">
        <f t="shared" ca="1" si="39"/>
        <v>1</v>
      </c>
      <c r="O70" s="850" t="s">
        <v>323</v>
      </c>
      <c r="P70" s="845">
        <f t="shared" ca="1" si="40"/>
        <v>2</v>
      </c>
      <c r="Q70" s="864" t="s">
        <v>9</v>
      </c>
      <c r="R70" s="846">
        <f t="shared" ca="1" si="41"/>
        <v>1</v>
      </c>
      <c r="S70" s="184"/>
      <c r="U70" s="859">
        <v>13</v>
      </c>
      <c r="V70" s="854" t="str">
        <f t="shared" ca="1" si="42"/>
        <v>René vd B.</v>
      </c>
      <c r="W70" s="854">
        <f t="shared" ca="1" si="43"/>
        <v>332</v>
      </c>
      <c r="X70" s="854" t="str">
        <f t="shared" ca="1" si="44"/>
        <v>Brazilië</v>
      </c>
      <c r="Y70" s="854" t="str">
        <f t="shared" ca="1" si="45"/>
        <v>Spanje</v>
      </c>
      <c r="Z70" s="854" t="str">
        <f t="shared" ca="1" si="46"/>
        <v>Duitsland</v>
      </c>
      <c r="AA70" s="860" t="str">
        <f t="shared" ca="1" si="47"/>
        <v>België</v>
      </c>
    </row>
    <row r="71" spans="1:27">
      <c r="A71" s="838">
        <v>94</v>
      </c>
      <c r="B71" s="841" t="str">
        <f t="shared" ca="1" si="32"/>
        <v>Jonas S. (introducee Robért)</v>
      </c>
      <c r="C71" s="848">
        <f t="shared" ca="1" si="33"/>
        <v>342</v>
      </c>
      <c r="D71" s="845">
        <f t="shared" ca="1" si="34"/>
        <v>1</v>
      </c>
      <c r="E71" s="864" t="s">
        <v>9</v>
      </c>
      <c r="F71" s="846">
        <f t="shared" ca="1" si="35"/>
        <v>2</v>
      </c>
      <c r="G71" s="850" t="s">
        <v>323</v>
      </c>
      <c r="H71" s="845">
        <f t="shared" ca="1" si="36"/>
        <v>0</v>
      </c>
      <c r="I71" s="864" t="s">
        <v>9</v>
      </c>
      <c r="J71" s="846">
        <f t="shared" ca="1" si="37"/>
        <v>1</v>
      </c>
      <c r="K71" s="850" t="s">
        <v>323</v>
      </c>
      <c r="L71" s="845">
        <f t="shared" ca="1" si="38"/>
        <v>2</v>
      </c>
      <c r="M71" s="864" t="s">
        <v>9</v>
      </c>
      <c r="N71" s="846">
        <f t="shared" ca="1" si="39"/>
        <v>1</v>
      </c>
      <c r="O71" s="850" t="s">
        <v>323</v>
      </c>
      <c r="P71" s="845">
        <f t="shared" ca="1" si="40"/>
        <v>1</v>
      </c>
      <c r="Q71" s="864" t="s">
        <v>9</v>
      </c>
      <c r="R71" s="846">
        <f t="shared" ca="1" si="41"/>
        <v>1</v>
      </c>
      <c r="S71" s="184"/>
      <c r="U71" s="859">
        <v>83</v>
      </c>
      <c r="V71" s="854" t="str">
        <f t="shared" ca="1" si="42"/>
        <v>Jonas S. (introducee Robért)</v>
      </c>
      <c r="W71" s="854">
        <f t="shared" ca="1" si="43"/>
        <v>342</v>
      </c>
      <c r="X71" s="854" t="str">
        <f t="shared" ca="1" si="44"/>
        <v>Brazilië</v>
      </c>
      <c r="Y71" s="854" t="str">
        <f t="shared" ca="1" si="45"/>
        <v>Spanje</v>
      </c>
      <c r="Z71" s="854" t="str">
        <f t="shared" ca="1" si="46"/>
        <v>Duitsland</v>
      </c>
      <c r="AA71" s="860" t="str">
        <f t="shared" ca="1" si="47"/>
        <v>Argentinië</v>
      </c>
    </row>
    <row r="72" spans="1:27">
      <c r="A72" s="838">
        <v>83</v>
      </c>
      <c r="B72" s="841" t="str">
        <f t="shared" ca="1" si="32"/>
        <v>Miranda H.</v>
      </c>
      <c r="C72" s="848">
        <f t="shared" ca="1" si="33"/>
        <v>332</v>
      </c>
      <c r="D72" s="845">
        <f t="shared" ca="1" si="34"/>
        <v>2</v>
      </c>
      <c r="E72" s="864" t="s">
        <v>9</v>
      </c>
      <c r="F72" s="846">
        <f t="shared" ca="1" si="35"/>
        <v>1</v>
      </c>
      <c r="G72" s="850" t="s">
        <v>323</v>
      </c>
      <c r="H72" s="845">
        <f t="shared" ca="1" si="36"/>
        <v>2</v>
      </c>
      <c r="I72" s="864" t="s">
        <v>9</v>
      </c>
      <c r="J72" s="846">
        <f t="shared" ca="1" si="37"/>
        <v>2</v>
      </c>
      <c r="K72" s="850" t="s">
        <v>323</v>
      </c>
      <c r="L72" s="845">
        <f t="shared" ca="1" si="38"/>
        <v>2</v>
      </c>
      <c r="M72" s="864" t="s">
        <v>9</v>
      </c>
      <c r="N72" s="846">
        <f t="shared" ca="1" si="39"/>
        <v>1</v>
      </c>
      <c r="O72" s="850" t="s">
        <v>323</v>
      </c>
      <c r="P72" s="845">
        <f t="shared" ca="1" si="40"/>
        <v>2</v>
      </c>
      <c r="Q72" s="864" t="s">
        <v>9</v>
      </c>
      <c r="R72" s="846">
        <f t="shared" ca="1" si="41"/>
        <v>1</v>
      </c>
      <c r="S72" s="184"/>
      <c r="U72" s="859">
        <v>2</v>
      </c>
      <c r="V72" s="854" t="str">
        <f t="shared" ca="1" si="42"/>
        <v>Miranda H.</v>
      </c>
      <c r="W72" s="854">
        <f t="shared" ca="1" si="43"/>
        <v>332</v>
      </c>
      <c r="X72" s="854" t="str">
        <f t="shared" ca="1" si="44"/>
        <v>Frankrijk</v>
      </c>
      <c r="Y72" s="854" t="str">
        <f t="shared" ca="1" si="45"/>
        <v>Engeland</v>
      </c>
      <c r="Z72" s="854" t="str">
        <f t="shared" ca="1" si="46"/>
        <v>Italië</v>
      </c>
      <c r="AA72" s="860" t="str">
        <f t="shared" ca="1" si="47"/>
        <v>Duitsland</v>
      </c>
    </row>
    <row r="73" spans="1:27">
      <c r="A73" s="838">
        <v>80</v>
      </c>
      <c r="B73" s="841" t="str">
        <f t="shared" ca="1" si="32"/>
        <v>Ronald v. E.</v>
      </c>
      <c r="C73" s="848">
        <f t="shared" ca="1" si="33"/>
        <v>340</v>
      </c>
      <c r="D73" s="845">
        <f t="shared" ca="1" si="34"/>
        <v>3</v>
      </c>
      <c r="E73" s="864" t="s">
        <v>9</v>
      </c>
      <c r="F73" s="846">
        <f t="shared" ca="1" si="35"/>
        <v>2</v>
      </c>
      <c r="G73" s="850" t="s">
        <v>323</v>
      </c>
      <c r="H73" s="845">
        <f t="shared" ca="1" si="36"/>
        <v>1</v>
      </c>
      <c r="I73" s="864" t="s">
        <v>9</v>
      </c>
      <c r="J73" s="846">
        <f t="shared" ca="1" si="37"/>
        <v>2</v>
      </c>
      <c r="K73" s="850" t="s">
        <v>323</v>
      </c>
      <c r="L73" s="845">
        <f t="shared" ca="1" si="38"/>
        <v>2</v>
      </c>
      <c r="M73" s="864" t="s">
        <v>9</v>
      </c>
      <c r="N73" s="846">
        <f t="shared" ca="1" si="39"/>
        <v>3</v>
      </c>
      <c r="O73" s="850" t="s">
        <v>323</v>
      </c>
      <c r="P73" s="845">
        <f t="shared" ca="1" si="40"/>
        <v>1</v>
      </c>
      <c r="Q73" s="864" t="s">
        <v>9</v>
      </c>
      <c r="R73" s="846">
        <f t="shared" ca="1" si="41"/>
        <v>2</v>
      </c>
      <c r="S73" s="184"/>
      <c r="U73" s="859">
        <v>94</v>
      </c>
      <c r="V73" s="854" t="str">
        <f t="shared" ca="1" si="42"/>
        <v>Ronald v. E.</v>
      </c>
      <c r="W73" s="854">
        <f t="shared" ca="1" si="43"/>
        <v>340</v>
      </c>
      <c r="X73" s="854" t="str">
        <f t="shared" ca="1" si="44"/>
        <v>Italië</v>
      </c>
      <c r="Y73" s="854" t="str">
        <f t="shared" ca="1" si="45"/>
        <v>Portugal</v>
      </c>
      <c r="Z73" s="854" t="str">
        <f t="shared" ca="1" si="46"/>
        <v>Verenigde Staten</v>
      </c>
      <c r="AA73" s="860" t="str">
        <f t="shared" ca="1" si="47"/>
        <v>Brazilië</v>
      </c>
    </row>
    <row r="74" spans="1:27">
      <c r="A74" s="838">
        <v>81</v>
      </c>
      <c r="B74" s="841" t="str">
        <f t="shared" ca="1" si="32"/>
        <v>Stijn v. D.</v>
      </c>
      <c r="C74" s="848">
        <f t="shared" ca="1" si="33"/>
        <v>352</v>
      </c>
      <c r="D74" s="845">
        <f t="shared" ca="1" si="34"/>
        <v>1</v>
      </c>
      <c r="E74" s="864" t="s">
        <v>9</v>
      </c>
      <c r="F74" s="846">
        <f t="shared" ca="1" si="35"/>
        <v>1</v>
      </c>
      <c r="G74" s="850" t="s">
        <v>323</v>
      </c>
      <c r="H74" s="845">
        <f t="shared" ca="1" si="36"/>
        <v>2</v>
      </c>
      <c r="I74" s="864" t="s">
        <v>9</v>
      </c>
      <c r="J74" s="846">
        <f t="shared" ca="1" si="37"/>
        <v>1</v>
      </c>
      <c r="K74" s="850" t="s">
        <v>323</v>
      </c>
      <c r="L74" s="845">
        <f t="shared" ca="1" si="38"/>
        <v>1</v>
      </c>
      <c r="M74" s="864" t="s">
        <v>9</v>
      </c>
      <c r="N74" s="846">
        <f t="shared" ca="1" si="39"/>
        <v>1</v>
      </c>
      <c r="O74" s="850" t="s">
        <v>323</v>
      </c>
      <c r="P74" s="845">
        <f t="shared" ca="1" si="40"/>
        <v>2</v>
      </c>
      <c r="Q74" s="864" t="s">
        <v>9</v>
      </c>
      <c r="R74" s="846">
        <f t="shared" ca="1" si="41"/>
        <v>1</v>
      </c>
      <c r="S74" s="184"/>
      <c r="U74" s="859">
        <v>63</v>
      </c>
      <c r="V74" s="854" t="str">
        <f t="shared" ca="1" si="42"/>
        <v>Stijn v. D.</v>
      </c>
      <c r="W74" s="854">
        <f t="shared" ca="1" si="43"/>
        <v>352</v>
      </c>
      <c r="X74" s="854" t="str">
        <f t="shared" ca="1" si="44"/>
        <v>Brazilië</v>
      </c>
      <c r="Y74" s="854" t="str">
        <f t="shared" ca="1" si="45"/>
        <v>Argentinië</v>
      </c>
      <c r="Z74" s="854" t="str">
        <f t="shared" ca="1" si="46"/>
        <v>Spanje</v>
      </c>
      <c r="AA74" s="860" t="str">
        <f t="shared" ca="1" si="47"/>
        <v>Duitsland</v>
      </c>
    </row>
    <row r="75" spans="1:27">
      <c r="A75" s="838">
        <v>31</v>
      </c>
      <c r="B75" s="841" t="str">
        <f t="shared" ca="1" si="32"/>
        <v>Kay L.</v>
      </c>
      <c r="C75" s="848">
        <f t="shared" ca="1" si="33"/>
        <v>334</v>
      </c>
      <c r="D75" s="845">
        <f t="shared" ca="1" si="34"/>
        <v>2</v>
      </c>
      <c r="E75" s="864" t="s">
        <v>9</v>
      </c>
      <c r="F75" s="846">
        <f t="shared" ca="1" si="35"/>
        <v>3</v>
      </c>
      <c r="G75" s="850" t="s">
        <v>323</v>
      </c>
      <c r="H75" s="845">
        <f t="shared" ca="1" si="36"/>
        <v>1</v>
      </c>
      <c r="I75" s="864" t="s">
        <v>9</v>
      </c>
      <c r="J75" s="846">
        <f t="shared" ca="1" si="37"/>
        <v>3</v>
      </c>
      <c r="K75" s="850" t="s">
        <v>323</v>
      </c>
      <c r="L75" s="845">
        <f t="shared" ca="1" si="38"/>
        <v>0</v>
      </c>
      <c r="M75" s="864" t="s">
        <v>9</v>
      </c>
      <c r="N75" s="846">
        <f t="shared" ca="1" si="39"/>
        <v>1</v>
      </c>
      <c r="O75" s="850" t="s">
        <v>323</v>
      </c>
      <c r="P75" s="845">
        <f t="shared" ca="1" si="40"/>
        <v>1</v>
      </c>
      <c r="Q75" s="864" t="s">
        <v>9</v>
      </c>
      <c r="R75" s="846">
        <f t="shared" ca="1" si="41"/>
        <v>2</v>
      </c>
      <c r="S75" s="184"/>
      <c r="U75" s="859">
        <v>51</v>
      </c>
      <c r="V75" s="854" t="str">
        <f t="shared" ca="1" si="42"/>
        <v>Kay L.</v>
      </c>
      <c r="W75" s="854">
        <f t="shared" ca="1" si="43"/>
        <v>334</v>
      </c>
      <c r="X75" s="854" t="str">
        <f t="shared" ca="1" si="44"/>
        <v>Nederland</v>
      </c>
      <c r="Y75" s="854" t="str">
        <f t="shared" ca="1" si="45"/>
        <v>Spanje</v>
      </c>
      <c r="Z75" s="854" t="str">
        <f t="shared" ca="1" si="46"/>
        <v>Argentinië</v>
      </c>
      <c r="AA75" s="860" t="str">
        <f t="shared" ca="1" si="47"/>
        <v>Duitsland</v>
      </c>
    </row>
    <row r="76" spans="1:27">
      <c r="A76" s="838">
        <v>32</v>
      </c>
      <c r="B76" s="841" t="str">
        <f t="shared" ca="1" si="32"/>
        <v>Esther v/d L.</v>
      </c>
      <c r="C76" s="848">
        <f t="shared" ca="1" si="33"/>
        <v>391</v>
      </c>
      <c r="D76" s="845">
        <f t="shared" ca="1" si="34"/>
        <v>0</v>
      </c>
      <c r="E76" s="864" t="s">
        <v>9</v>
      </c>
      <c r="F76" s="846">
        <f t="shared" ca="1" si="35"/>
        <v>0</v>
      </c>
      <c r="G76" s="850" t="s">
        <v>323</v>
      </c>
      <c r="H76" s="845">
        <f t="shared" ca="1" si="36"/>
        <v>0</v>
      </c>
      <c r="I76" s="864" t="s">
        <v>9</v>
      </c>
      <c r="J76" s="846">
        <f t="shared" ca="1" si="37"/>
        <v>0</v>
      </c>
      <c r="K76" s="850" t="s">
        <v>323</v>
      </c>
      <c r="L76" s="845">
        <f t="shared" ca="1" si="38"/>
        <v>0</v>
      </c>
      <c r="M76" s="864" t="s">
        <v>9</v>
      </c>
      <c r="N76" s="846">
        <f t="shared" ca="1" si="39"/>
        <v>0</v>
      </c>
      <c r="O76" s="850" t="s">
        <v>323</v>
      </c>
      <c r="P76" s="845">
        <f t="shared" ca="1" si="40"/>
        <v>0</v>
      </c>
      <c r="Q76" s="864" t="s">
        <v>9</v>
      </c>
      <c r="R76" s="846">
        <f t="shared" ca="1" si="41"/>
        <v>0</v>
      </c>
      <c r="S76" s="184"/>
      <c r="U76" s="859">
        <v>80</v>
      </c>
      <c r="V76" s="854" t="str">
        <f t="shared" ca="1" si="42"/>
        <v>Esther v/d L.</v>
      </c>
      <c r="W76" s="854">
        <f t="shared" ca="1" si="43"/>
        <v>391</v>
      </c>
      <c r="X76" s="854" t="str">
        <f t="shared" ca="1" si="44"/>
        <v>Duitsland</v>
      </c>
      <c r="Y76" s="854" t="str">
        <f t="shared" ca="1" si="45"/>
        <v>Portugal</v>
      </c>
      <c r="Z76" s="854" t="str">
        <f t="shared" ca="1" si="46"/>
        <v>Brazilië</v>
      </c>
      <c r="AA76" s="860" t="str">
        <f t="shared" ca="1" si="47"/>
        <v>Spanje</v>
      </c>
    </row>
    <row r="77" spans="1:27">
      <c r="A77" s="838">
        <v>13</v>
      </c>
      <c r="B77" s="841" t="str">
        <f t="shared" ca="1" si="32"/>
        <v>Astrid vd B. (introducee Pascal)</v>
      </c>
      <c r="C77" s="848">
        <f t="shared" ca="1" si="33"/>
        <v>346</v>
      </c>
      <c r="D77" s="845">
        <f t="shared" ca="1" si="34"/>
        <v>1</v>
      </c>
      <c r="E77" s="864" t="s">
        <v>9</v>
      </c>
      <c r="F77" s="846">
        <f t="shared" ca="1" si="35"/>
        <v>3</v>
      </c>
      <c r="G77" s="850" t="s">
        <v>323</v>
      </c>
      <c r="H77" s="845">
        <f t="shared" ca="1" si="36"/>
        <v>3</v>
      </c>
      <c r="I77" s="864" t="s">
        <v>9</v>
      </c>
      <c r="J77" s="846">
        <f t="shared" ca="1" si="37"/>
        <v>2</v>
      </c>
      <c r="K77" s="850" t="s">
        <v>323</v>
      </c>
      <c r="L77" s="845">
        <f t="shared" ca="1" si="38"/>
        <v>1</v>
      </c>
      <c r="M77" s="864" t="s">
        <v>9</v>
      </c>
      <c r="N77" s="846">
        <f t="shared" ca="1" si="39"/>
        <v>3</v>
      </c>
      <c r="O77" s="850" t="s">
        <v>323</v>
      </c>
      <c r="P77" s="845">
        <f t="shared" ca="1" si="40"/>
        <v>3</v>
      </c>
      <c r="Q77" s="864" t="s">
        <v>9</v>
      </c>
      <c r="R77" s="846">
        <f t="shared" ca="1" si="41"/>
        <v>1</v>
      </c>
      <c r="S77" s="184"/>
      <c r="U77" s="859">
        <v>31</v>
      </c>
      <c r="V77" s="854" t="str">
        <f t="shared" ca="1" si="42"/>
        <v>Astrid vd B. (introducee Pascal)</v>
      </c>
      <c r="W77" s="854">
        <f t="shared" ca="1" si="43"/>
        <v>346</v>
      </c>
      <c r="X77" s="854" t="str">
        <f t="shared" ca="1" si="44"/>
        <v>Brazilië</v>
      </c>
      <c r="Y77" s="854" t="str">
        <f t="shared" ca="1" si="45"/>
        <v>Argentinië</v>
      </c>
      <c r="Z77" s="854" t="str">
        <f t="shared" ca="1" si="46"/>
        <v>Spanje</v>
      </c>
      <c r="AA77" s="860" t="str">
        <f t="shared" ca="1" si="47"/>
        <v>Frankrijk</v>
      </c>
    </row>
    <row r="78" spans="1:27">
      <c r="A78" s="838">
        <v>84</v>
      </c>
      <c r="B78" s="841" t="str">
        <f t="shared" ca="1" si="32"/>
        <v>Rob F.</v>
      </c>
      <c r="C78" s="848">
        <f t="shared" ca="1" si="33"/>
        <v>351</v>
      </c>
      <c r="D78" s="845">
        <f t="shared" ca="1" si="34"/>
        <v>1</v>
      </c>
      <c r="E78" s="864" t="s">
        <v>9</v>
      </c>
      <c r="F78" s="846">
        <f t="shared" ca="1" si="35"/>
        <v>2</v>
      </c>
      <c r="G78" s="850" t="s">
        <v>323</v>
      </c>
      <c r="H78" s="845">
        <f t="shared" ca="1" si="36"/>
        <v>1</v>
      </c>
      <c r="I78" s="864" t="s">
        <v>9</v>
      </c>
      <c r="J78" s="846">
        <f t="shared" ca="1" si="37"/>
        <v>1</v>
      </c>
      <c r="K78" s="850" t="s">
        <v>323</v>
      </c>
      <c r="L78" s="845">
        <f t="shared" ca="1" si="38"/>
        <v>1</v>
      </c>
      <c r="M78" s="864" t="s">
        <v>9</v>
      </c>
      <c r="N78" s="846">
        <f t="shared" ca="1" si="39"/>
        <v>1</v>
      </c>
      <c r="O78" s="850" t="s">
        <v>323</v>
      </c>
      <c r="P78" s="845">
        <f t="shared" ca="1" si="40"/>
        <v>2</v>
      </c>
      <c r="Q78" s="864" t="s">
        <v>9</v>
      </c>
      <c r="R78" s="846">
        <f t="shared" ca="1" si="41"/>
        <v>0</v>
      </c>
      <c r="S78" s="184"/>
      <c r="U78" s="859">
        <v>32</v>
      </c>
      <c r="V78" s="854" t="str">
        <f t="shared" ca="1" si="42"/>
        <v>Rob F.</v>
      </c>
      <c r="W78" s="854">
        <f t="shared" ca="1" si="43"/>
        <v>351</v>
      </c>
      <c r="X78" s="854" t="str">
        <f t="shared" ca="1" si="44"/>
        <v>Brazilië</v>
      </c>
      <c r="Y78" s="854" t="str">
        <f t="shared" ca="1" si="45"/>
        <v>Argentinië</v>
      </c>
      <c r="Z78" s="854" t="str">
        <f t="shared" ca="1" si="46"/>
        <v>Spanje</v>
      </c>
      <c r="AA78" s="860" t="str">
        <f t="shared" ca="1" si="47"/>
        <v>Duitsland</v>
      </c>
    </row>
    <row r="79" spans="1:27">
      <c r="A79" s="838">
        <v>63</v>
      </c>
      <c r="B79" s="841" t="str">
        <f t="shared" ca="1" si="32"/>
        <v>Annelies J.</v>
      </c>
      <c r="C79" s="848">
        <f t="shared" ca="1" si="33"/>
        <v>333</v>
      </c>
      <c r="D79" s="845">
        <f t="shared" ca="1" si="34"/>
        <v>0</v>
      </c>
      <c r="E79" s="864" t="s">
        <v>9</v>
      </c>
      <c r="F79" s="846">
        <f t="shared" ca="1" si="35"/>
        <v>0</v>
      </c>
      <c r="G79" s="850" t="s">
        <v>323</v>
      </c>
      <c r="H79" s="845">
        <f t="shared" ca="1" si="36"/>
        <v>1</v>
      </c>
      <c r="I79" s="864" t="s">
        <v>9</v>
      </c>
      <c r="J79" s="846">
        <f t="shared" ca="1" si="37"/>
        <v>1</v>
      </c>
      <c r="K79" s="850" t="s">
        <v>323</v>
      </c>
      <c r="L79" s="845">
        <f t="shared" ca="1" si="38"/>
        <v>0</v>
      </c>
      <c r="M79" s="864" t="s">
        <v>9</v>
      </c>
      <c r="N79" s="846">
        <f t="shared" ca="1" si="39"/>
        <v>1</v>
      </c>
      <c r="O79" s="850" t="s">
        <v>323</v>
      </c>
      <c r="P79" s="845">
        <f t="shared" ca="1" si="40"/>
        <v>1</v>
      </c>
      <c r="Q79" s="864" t="s">
        <v>9</v>
      </c>
      <c r="R79" s="846">
        <f t="shared" ca="1" si="41"/>
        <v>1</v>
      </c>
      <c r="S79" s="184"/>
      <c r="U79" s="859">
        <v>7</v>
      </c>
      <c r="V79" s="854" t="str">
        <f t="shared" ca="1" si="42"/>
        <v>Annelies J.</v>
      </c>
      <c r="W79" s="854">
        <f t="shared" ca="1" si="43"/>
        <v>333</v>
      </c>
      <c r="X79" s="854" t="str">
        <f t="shared" ca="1" si="44"/>
        <v>Brazilië</v>
      </c>
      <c r="Y79" s="854" t="str">
        <f t="shared" ca="1" si="45"/>
        <v>Portugal</v>
      </c>
      <c r="Z79" s="854" t="str">
        <f t="shared" ca="1" si="46"/>
        <v>Australië</v>
      </c>
      <c r="AA79" s="860" t="str">
        <f t="shared" ca="1" si="47"/>
        <v>Duitsland</v>
      </c>
    </row>
    <row r="80" spans="1:27">
      <c r="A80" s="838">
        <v>7</v>
      </c>
      <c r="B80" s="841" t="str">
        <f t="shared" ca="1" si="32"/>
        <v>Miranda v/d V</v>
      </c>
      <c r="C80" s="848">
        <f t="shared" ca="1" si="33"/>
        <v>333</v>
      </c>
      <c r="D80" s="845">
        <f t="shared" ca="1" si="34"/>
        <v>1</v>
      </c>
      <c r="E80" s="864" t="s">
        <v>9</v>
      </c>
      <c r="F80" s="846">
        <f t="shared" ca="1" si="35"/>
        <v>0</v>
      </c>
      <c r="G80" s="850" t="s">
        <v>323</v>
      </c>
      <c r="H80" s="845">
        <f t="shared" ca="1" si="36"/>
        <v>1</v>
      </c>
      <c r="I80" s="864" t="s">
        <v>9</v>
      </c>
      <c r="J80" s="846">
        <f t="shared" ca="1" si="37"/>
        <v>2</v>
      </c>
      <c r="K80" s="850" t="s">
        <v>323</v>
      </c>
      <c r="L80" s="845">
        <f t="shared" ca="1" si="38"/>
        <v>1</v>
      </c>
      <c r="M80" s="864" t="s">
        <v>9</v>
      </c>
      <c r="N80" s="846">
        <f t="shared" ca="1" si="39"/>
        <v>3</v>
      </c>
      <c r="O80" s="850" t="s">
        <v>323</v>
      </c>
      <c r="P80" s="845">
        <f t="shared" ca="1" si="40"/>
        <v>1</v>
      </c>
      <c r="Q80" s="864" t="s">
        <v>9</v>
      </c>
      <c r="R80" s="846">
        <f t="shared" ca="1" si="41"/>
        <v>2</v>
      </c>
      <c r="S80" s="184"/>
      <c r="U80" s="859">
        <v>1</v>
      </c>
      <c r="V80" s="854" t="str">
        <f t="shared" ca="1" si="42"/>
        <v>Miranda v/d V</v>
      </c>
      <c r="W80" s="854">
        <f t="shared" ca="1" si="43"/>
        <v>333</v>
      </c>
      <c r="X80" s="854" t="str">
        <f t="shared" ca="1" si="44"/>
        <v>Engeland</v>
      </c>
      <c r="Y80" s="854" t="str">
        <f t="shared" ca="1" si="45"/>
        <v>Duitsland</v>
      </c>
      <c r="Z80" s="854" t="str">
        <f t="shared" ca="1" si="46"/>
        <v>Argentinië</v>
      </c>
      <c r="AA80" s="860" t="str">
        <f t="shared" ca="1" si="47"/>
        <v>Italië</v>
      </c>
    </row>
    <row r="81" spans="1:27">
      <c r="A81" s="838">
        <v>93</v>
      </c>
      <c r="B81" s="841" t="str">
        <f t="shared" ca="1" si="32"/>
        <v>Robért S.</v>
      </c>
      <c r="C81" s="848">
        <f t="shared" ca="1" si="33"/>
        <v>338</v>
      </c>
      <c r="D81" s="845">
        <f t="shared" ca="1" si="34"/>
        <v>1</v>
      </c>
      <c r="E81" s="864" t="s">
        <v>9</v>
      </c>
      <c r="F81" s="846">
        <f t="shared" ca="1" si="35"/>
        <v>1</v>
      </c>
      <c r="G81" s="850" t="s">
        <v>323</v>
      </c>
      <c r="H81" s="845">
        <f t="shared" ca="1" si="36"/>
        <v>1</v>
      </c>
      <c r="I81" s="864" t="s">
        <v>9</v>
      </c>
      <c r="J81" s="846">
        <f t="shared" ca="1" si="37"/>
        <v>1</v>
      </c>
      <c r="K81" s="850" t="s">
        <v>323</v>
      </c>
      <c r="L81" s="845">
        <f t="shared" ca="1" si="38"/>
        <v>2</v>
      </c>
      <c r="M81" s="864" t="s">
        <v>9</v>
      </c>
      <c r="N81" s="846">
        <f t="shared" ca="1" si="39"/>
        <v>2</v>
      </c>
      <c r="O81" s="850" t="s">
        <v>323</v>
      </c>
      <c r="P81" s="845">
        <f t="shared" ca="1" si="40"/>
        <v>1</v>
      </c>
      <c r="Q81" s="864" t="s">
        <v>9</v>
      </c>
      <c r="R81" s="846">
        <f t="shared" ca="1" si="41"/>
        <v>1</v>
      </c>
      <c r="S81" s="184"/>
      <c r="U81" s="859">
        <v>18</v>
      </c>
      <c r="V81" s="854" t="str">
        <f t="shared" ca="1" si="42"/>
        <v>Robért S.</v>
      </c>
      <c r="W81" s="854">
        <f t="shared" ca="1" si="43"/>
        <v>338</v>
      </c>
      <c r="X81" s="854" t="str">
        <f t="shared" ca="1" si="44"/>
        <v>Argentinië</v>
      </c>
      <c r="Y81" s="854" t="str">
        <f t="shared" ca="1" si="45"/>
        <v>Brazilië</v>
      </c>
      <c r="Z81" s="854" t="str">
        <f t="shared" ca="1" si="46"/>
        <v>Frankrijk</v>
      </c>
      <c r="AA81" s="860" t="str">
        <f t="shared" ca="1" si="47"/>
        <v>Kroatië</v>
      </c>
    </row>
    <row r="82" spans="1:27">
      <c r="A82" s="838">
        <v>19</v>
      </c>
      <c r="B82" s="841" t="str">
        <f t="shared" ca="1" si="32"/>
        <v>Marcel B.</v>
      </c>
      <c r="C82" s="848">
        <f t="shared" ca="1" si="33"/>
        <v>369</v>
      </c>
      <c r="D82" s="845">
        <f t="shared" ca="1" si="34"/>
        <v>1</v>
      </c>
      <c r="E82" s="864" t="s">
        <v>9</v>
      </c>
      <c r="F82" s="846">
        <f t="shared" ca="1" si="35"/>
        <v>1</v>
      </c>
      <c r="G82" s="850" t="s">
        <v>323</v>
      </c>
      <c r="H82" s="845">
        <f t="shared" ca="1" si="36"/>
        <v>0</v>
      </c>
      <c r="I82" s="864" t="s">
        <v>9</v>
      </c>
      <c r="J82" s="846">
        <f t="shared" ca="1" si="37"/>
        <v>1</v>
      </c>
      <c r="K82" s="850" t="s">
        <v>323</v>
      </c>
      <c r="L82" s="845">
        <f t="shared" ca="1" si="38"/>
        <v>2</v>
      </c>
      <c r="M82" s="864" t="s">
        <v>9</v>
      </c>
      <c r="N82" s="846">
        <f t="shared" ca="1" si="39"/>
        <v>0</v>
      </c>
      <c r="O82" s="850" t="s">
        <v>323</v>
      </c>
      <c r="P82" s="845">
        <f t="shared" ca="1" si="40"/>
        <v>1</v>
      </c>
      <c r="Q82" s="864" t="s">
        <v>9</v>
      </c>
      <c r="R82" s="846">
        <f t="shared" ca="1" si="41"/>
        <v>0</v>
      </c>
      <c r="S82" s="184"/>
      <c r="U82" s="859">
        <v>33</v>
      </c>
      <c r="V82" s="854" t="str">
        <f t="shared" ca="1" si="42"/>
        <v>Marcel B.</v>
      </c>
      <c r="W82" s="854">
        <f t="shared" ca="1" si="43"/>
        <v>369</v>
      </c>
      <c r="X82" s="854" t="str">
        <f t="shared" ca="1" si="44"/>
        <v>Duitsland</v>
      </c>
      <c r="Y82" s="854" t="str">
        <f t="shared" ca="1" si="45"/>
        <v>Spanje</v>
      </c>
      <c r="Z82" s="854" t="str">
        <f t="shared" ca="1" si="46"/>
        <v>Brazilië</v>
      </c>
      <c r="AA82" s="860" t="str">
        <f t="shared" ca="1" si="47"/>
        <v>Nigeria</v>
      </c>
    </row>
    <row r="83" spans="1:27">
      <c r="A83" s="838">
        <v>1</v>
      </c>
      <c r="B83" s="841" t="str">
        <f t="shared" ca="1" si="32"/>
        <v>Martin S.</v>
      </c>
      <c r="C83" s="848">
        <f t="shared" ca="1" si="33"/>
        <v>325</v>
      </c>
      <c r="D83" s="845">
        <f t="shared" ca="1" si="34"/>
        <v>1</v>
      </c>
      <c r="E83" s="864" t="s">
        <v>9</v>
      </c>
      <c r="F83" s="846">
        <f t="shared" ca="1" si="35"/>
        <v>1</v>
      </c>
      <c r="G83" s="850" t="s">
        <v>323</v>
      </c>
      <c r="H83" s="845">
        <f t="shared" ca="1" si="36"/>
        <v>1</v>
      </c>
      <c r="I83" s="864" t="s">
        <v>9</v>
      </c>
      <c r="J83" s="846">
        <f t="shared" ca="1" si="37"/>
        <v>0</v>
      </c>
      <c r="K83" s="850" t="s">
        <v>323</v>
      </c>
      <c r="L83" s="845">
        <f t="shared" ca="1" si="38"/>
        <v>1</v>
      </c>
      <c r="M83" s="864" t="s">
        <v>9</v>
      </c>
      <c r="N83" s="846">
        <f t="shared" ca="1" si="39"/>
        <v>2</v>
      </c>
      <c r="O83" s="850" t="s">
        <v>323</v>
      </c>
      <c r="P83" s="845">
        <f t="shared" ca="1" si="40"/>
        <v>1</v>
      </c>
      <c r="Q83" s="864" t="s">
        <v>9</v>
      </c>
      <c r="R83" s="846">
        <f t="shared" ca="1" si="41"/>
        <v>0</v>
      </c>
      <c r="S83" s="184"/>
      <c r="U83" s="859">
        <v>84</v>
      </c>
      <c r="V83" s="854" t="str">
        <f t="shared" ca="1" si="42"/>
        <v>Martin S.</v>
      </c>
      <c r="W83" s="854">
        <f t="shared" ca="1" si="43"/>
        <v>325</v>
      </c>
      <c r="X83" s="854" t="str">
        <f t="shared" ca="1" si="44"/>
        <v>Brazilië</v>
      </c>
      <c r="Y83" s="854" t="str">
        <f t="shared" ca="1" si="45"/>
        <v>Duitsland</v>
      </c>
      <c r="Z83" s="854" t="str">
        <f t="shared" ca="1" si="46"/>
        <v>Spanje</v>
      </c>
      <c r="AA83" s="860" t="str">
        <f t="shared" ca="1" si="47"/>
        <v>Portugal</v>
      </c>
    </row>
    <row r="84" spans="1:27">
      <c r="A84" s="838">
        <v>6</v>
      </c>
      <c r="B84" s="841" t="str">
        <f t="shared" ca="1" si="32"/>
        <v>Daan V.</v>
      </c>
      <c r="C84" s="848">
        <f t="shared" ca="1" si="33"/>
        <v>300</v>
      </c>
      <c r="D84" s="845">
        <f t="shared" ca="1" si="34"/>
        <v>2</v>
      </c>
      <c r="E84" s="864" t="s">
        <v>9</v>
      </c>
      <c r="F84" s="846">
        <f t="shared" ca="1" si="35"/>
        <v>2</v>
      </c>
      <c r="G84" s="850" t="s">
        <v>323</v>
      </c>
      <c r="H84" s="845">
        <f t="shared" ca="1" si="36"/>
        <v>1</v>
      </c>
      <c r="I84" s="864" t="s">
        <v>9</v>
      </c>
      <c r="J84" s="846">
        <f t="shared" ca="1" si="37"/>
        <v>2</v>
      </c>
      <c r="K84" s="850" t="s">
        <v>323</v>
      </c>
      <c r="L84" s="845">
        <f t="shared" ca="1" si="38"/>
        <v>2</v>
      </c>
      <c r="M84" s="864" t="s">
        <v>9</v>
      </c>
      <c r="N84" s="846">
        <f t="shared" ca="1" si="39"/>
        <v>1</v>
      </c>
      <c r="O84" s="850" t="s">
        <v>323</v>
      </c>
      <c r="P84" s="845">
        <f t="shared" ca="1" si="40"/>
        <v>14</v>
      </c>
      <c r="Q84" s="864" t="s">
        <v>9</v>
      </c>
      <c r="R84" s="846">
        <f t="shared" ca="1" si="41"/>
        <v>0</v>
      </c>
      <c r="S84" s="184"/>
      <c r="U84" s="859">
        <v>93</v>
      </c>
      <c r="V84" s="854" t="str">
        <f t="shared" ca="1" si="42"/>
        <v>Daan V.</v>
      </c>
      <c r="W84" s="854">
        <f t="shared" ca="1" si="43"/>
        <v>300</v>
      </c>
      <c r="X84" s="854" t="str">
        <f t="shared" ca="1" si="44"/>
        <v>Nederland</v>
      </c>
      <c r="Y84" s="854" t="str">
        <f t="shared" ca="1" si="45"/>
        <v>Spanje</v>
      </c>
      <c r="Z84" s="854" t="str">
        <f t="shared" ca="1" si="46"/>
        <v>Duitsland</v>
      </c>
      <c r="AA84" s="860" t="str">
        <f t="shared" ca="1" si="47"/>
        <v>Portugal</v>
      </c>
    </row>
    <row r="85" spans="1:27">
      <c r="A85" s="838">
        <v>18</v>
      </c>
      <c r="B85" s="841" t="str">
        <f t="shared" ca="1" si="32"/>
        <v>Mariëlle de K.</v>
      </c>
      <c r="C85" s="848">
        <f t="shared" ca="1" si="33"/>
        <v>306</v>
      </c>
      <c r="D85" s="845">
        <f t="shared" ca="1" si="34"/>
        <v>1</v>
      </c>
      <c r="E85" s="864" t="s">
        <v>9</v>
      </c>
      <c r="F85" s="846">
        <f t="shared" ca="1" si="35"/>
        <v>0</v>
      </c>
      <c r="G85" s="850" t="s">
        <v>323</v>
      </c>
      <c r="H85" s="845">
        <f t="shared" ca="1" si="36"/>
        <v>1</v>
      </c>
      <c r="I85" s="864" t="s">
        <v>9</v>
      </c>
      <c r="J85" s="846">
        <f t="shared" ca="1" si="37"/>
        <v>1</v>
      </c>
      <c r="K85" s="850" t="s">
        <v>323</v>
      </c>
      <c r="L85" s="845">
        <f t="shared" ca="1" si="38"/>
        <v>2</v>
      </c>
      <c r="M85" s="864" t="s">
        <v>9</v>
      </c>
      <c r="N85" s="846">
        <f t="shared" ca="1" si="39"/>
        <v>1</v>
      </c>
      <c r="O85" s="850" t="s">
        <v>323</v>
      </c>
      <c r="P85" s="845">
        <f t="shared" ca="1" si="40"/>
        <v>3</v>
      </c>
      <c r="Q85" s="864" t="s">
        <v>9</v>
      </c>
      <c r="R85" s="846">
        <f t="shared" ca="1" si="41"/>
        <v>1</v>
      </c>
      <c r="S85" s="184"/>
      <c r="U85" s="859">
        <v>6</v>
      </c>
      <c r="V85" s="854" t="str">
        <f t="shared" ca="1" si="42"/>
        <v>Mariëlle de K.</v>
      </c>
      <c r="W85" s="854">
        <f t="shared" ca="1" si="43"/>
        <v>306</v>
      </c>
      <c r="X85" s="854" t="str">
        <f t="shared" ca="1" si="44"/>
        <v>Portugal</v>
      </c>
      <c r="Y85" s="854" t="str">
        <f t="shared" ca="1" si="45"/>
        <v>Spanje</v>
      </c>
      <c r="Z85" s="854" t="str">
        <f t="shared" ca="1" si="46"/>
        <v>Brazilië</v>
      </c>
      <c r="AA85" s="860" t="str">
        <f t="shared" ca="1" si="47"/>
        <v>Duitsland</v>
      </c>
    </row>
    <row r="86" spans="1:27">
      <c r="A86" s="838">
        <v>33</v>
      </c>
      <c r="B86" s="841" t="str">
        <f t="shared" ca="1" si="32"/>
        <v>Kim B. (introducee Esther vd L.)</v>
      </c>
      <c r="C86" s="848">
        <f t="shared" ca="1" si="33"/>
        <v>325</v>
      </c>
      <c r="D86" s="845">
        <f t="shared" ca="1" si="34"/>
        <v>1</v>
      </c>
      <c r="E86" s="864" t="s">
        <v>9</v>
      </c>
      <c r="F86" s="846">
        <f t="shared" ca="1" si="35"/>
        <v>2</v>
      </c>
      <c r="G86" s="850" t="s">
        <v>323</v>
      </c>
      <c r="H86" s="845">
        <f t="shared" ca="1" si="36"/>
        <v>2</v>
      </c>
      <c r="I86" s="864" t="s">
        <v>9</v>
      </c>
      <c r="J86" s="846">
        <f t="shared" ca="1" si="37"/>
        <v>1</v>
      </c>
      <c r="K86" s="850" t="s">
        <v>323</v>
      </c>
      <c r="L86" s="845">
        <f t="shared" ca="1" si="38"/>
        <v>0</v>
      </c>
      <c r="M86" s="864" t="s">
        <v>9</v>
      </c>
      <c r="N86" s="846">
        <f t="shared" ca="1" si="39"/>
        <v>1</v>
      </c>
      <c r="O86" s="850" t="s">
        <v>323</v>
      </c>
      <c r="P86" s="845">
        <f t="shared" ca="1" si="40"/>
        <v>2</v>
      </c>
      <c r="Q86" s="864" t="s">
        <v>9</v>
      </c>
      <c r="R86" s="846">
        <f t="shared" ca="1" si="41"/>
        <v>1</v>
      </c>
      <c r="S86" s="184"/>
      <c r="U86" s="859">
        <v>19</v>
      </c>
      <c r="V86" s="854" t="str">
        <f t="shared" ca="1" si="42"/>
        <v>Kim B. (introducee Esther vd L.)</v>
      </c>
      <c r="W86" s="854">
        <f t="shared" ca="1" si="43"/>
        <v>325</v>
      </c>
      <c r="X86" s="854" t="str">
        <f t="shared" ca="1" si="44"/>
        <v>Brazilië</v>
      </c>
      <c r="Y86" s="854" t="str">
        <f t="shared" ca="1" si="45"/>
        <v>Argentinië</v>
      </c>
      <c r="Z86" s="854" t="str">
        <f t="shared" ca="1" si="46"/>
        <v>Spanje</v>
      </c>
      <c r="AA86" s="860" t="str">
        <f t="shared" ca="1" si="47"/>
        <v>Duitsland</v>
      </c>
    </row>
    <row r="87" spans="1:27">
      <c r="A87" s="838">
        <v>11</v>
      </c>
      <c r="B87" s="841" t="str">
        <f t="shared" ca="1" si="32"/>
        <v>Eric B.</v>
      </c>
      <c r="C87" s="848">
        <f t="shared" ca="1" si="33"/>
        <v>308</v>
      </c>
      <c r="D87" s="845">
        <f t="shared" ca="1" si="34"/>
        <v>1</v>
      </c>
      <c r="E87" s="864" t="s">
        <v>9</v>
      </c>
      <c r="F87" s="846">
        <f t="shared" ca="1" si="35"/>
        <v>1</v>
      </c>
      <c r="G87" s="850" t="s">
        <v>323</v>
      </c>
      <c r="H87" s="845">
        <f t="shared" ca="1" si="36"/>
        <v>1</v>
      </c>
      <c r="I87" s="864" t="s">
        <v>9</v>
      </c>
      <c r="J87" s="846">
        <f t="shared" ca="1" si="37"/>
        <v>0</v>
      </c>
      <c r="K87" s="850" t="s">
        <v>323</v>
      </c>
      <c r="L87" s="845">
        <f t="shared" ca="1" si="38"/>
        <v>1</v>
      </c>
      <c r="M87" s="864" t="s">
        <v>9</v>
      </c>
      <c r="N87" s="846">
        <f t="shared" ca="1" si="39"/>
        <v>2</v>
      </c>
      <c r="O87" s="850" t="s">
        <v>323</v>
      </c>
      <c r="P87" s="845">
        <f t="shared" ca="1" si="40"/>
        <v>2</v>
      </c>
      <c r="Q87" s="864" t="s">
        <v>9</v>
      </c>
      <c r="R87" s="846">
        <f t="shared" ca="1" si="41"/>
        <v>1</v>
      </c>
      <c r="S87" s="184"/>
      <c r="U87" s="859">
        <v>86</v>
      </c>
      <c r="V87" s="854" t="str">
        <f t="shared" ca="1" si="42"/>
        <v>Eric B.</v>
      </c>
      <c r="W87" s="854">
        <f t="shared" ca="1" si="43"/>
        <v>308</v>
      </c>
      <c r="X87" s="854" t="str">
        <f t="shared" ca="1" si="44"/>
        <v>Nederland</v>
      </c>
      <c r="Y87" s="854" t="str">
        <f t="shared" ca="1" si="45"/>
        <v>Duitsland</v>
      </c>
      <c r="Z87" s="854" t="str">
        <f t="shared" ca="1" si="46"/>
        <v>Spanje</v>
      </c>
      <c r="AA87" s="860" t="str">
        <f t="shared" ca="1" si="47"/>
        <v>Portugal</v>
      </c>
    </row>
    <row r="88" spans="1:27">
      <c r="A88" s="838">
        <v>67</v>
      </c>
      <c r="B88" s="841" t="str">
        <f t="shared" ca="1" si="32"/>
        <v>Bert vd S</v>
      </c>
      <c r="C88" s="848">
        <f t="shared" ca="1" si="33"/>
        <v>294</v>
      </c>
      <c r="D88" s="845">
        <f t="shared" ca="1" si="34"/>
        <v>1</v>
      </c>
      <c r="E88" s="864" t="s">
        <v>9</v>
      </c>
      <c r="F88" s="846">
        <f t="shared" ca="1" si="35"/>
        <v>3</v>
      </c>
      <c r="G88" s="850" t="s">
        <v>323</v>
      </c>
      <c r="H88" s="845">
        <f t="shared" ca="1" si="36"/>
        <v>2</v>
      </c>
      <c r="I88" s="864" t="s">
        <v>9</v>
      </c>
      <c r="J88" s="846">
        <f t="shared" ca="1" si="37"/>
        <v>3</v>
      </c>
      <c r="K88" s="850" t="s">
        <v>323</v>
      </c>
      <c r="L88" s="845">
        <f t="shared" ca="1" si="38"/>
        <v>1</v>
      </c>
      <c r="M88" s="864" t="s">
        <v>9</v>
      </c>
      <c r="N88" s="846">
        <f t="shared" ca="1" si="39"/>
        <v>2</v>
      </c>
      <c r="O88" s="850" t="s">
        <v>323</v>
      </c>
      <c r="P88" s="845">
        <f t="shared" ca="1" si="40"/>
        <v>1</v>
      </c>
      <c r="Q88" s="864" t="s">
        <v>9</v>
      </c>
      <c r="R88" s="846">
        <f t="shared" ca="1" si="41"/>
        <v>2</v>
      </c>
      <c r="S88" s="184"/>
      <c r="U88" s="859">
        <v>67</v>
      </c>
      <c r="V88" s="854" t="str">
        <f t="shared" ca="1" si="42"/>
        <v>Bert vd S</v>
      </c>
      <c r="W88" s="854">
        <f t="shared" ca="1" si="43"/>
        <v>294</v>
      </c>
      <c r="X88" s="854" t="str">
        <f t="shared" ca="1" si="44"/>
        <v>Spanje</v>
      </c>
      <c r="Y88" s="854" t="str">
        <f t="shared" ca="1" si="45"/>
        <v>Brazilië</v>
      </c>
      <c r="Z88" s="854" t="str">
        <f t="shared" ca="1" si="46"/>
        <v>Argentinië</v>
      </c>
      <c r="AA88" s="860" t="str">
        <f t="shared" ca="1" si="47"/>
        <v>Portugal</v>
      </c>
    </row>
    <row r="89" spans="1:27">
      <c r="A89" s="838">
        <v>86</v>
      </c>
      <c r="B89" s="841" t="str">
        <f t="shared" ca="1" si="32"/>
        <v>Arnoud J.</v>
      </c>
      <c r="C89" s="848">
        <f t="shared" ca="1" si="33"/>
        <v>303</v>
      </c>
      <c r="D89" s="845">
        <f t="shared" ca="1" si="34"/>
        <v>1</v>
      </c>
      <c r="E89" s="864" t="s">
        <v>9</v>
      </c>
      <c r="F89" s="846">
        <f t="shared" ca="1" si="35"/>
        <v>2</v>
      </c>
      <c r="G89" s="850" t="s">
        <v>323</v>
      </c>
      <c r="H89" s="845">
        <f t="shared" ca="1" si="36"/>
        <v>0</v>
      </c>
      <c r="I89" s="864" t="s">
        <v>9</v>
      </c>
      <c r="J89" s="846">
        <f t="shared" ca="1" si="37"/>
        <v>1</v>
      </c>
      <c r="K89" s="850" t="s">
        <v>323</v>
      </c>
      <c r="L89" s="845">
        <f t="shared" ca="1" si="38"/>
        <v>1</v>
      </c>
      <c r="M89" s="864" t="s">
        <v>9</v>
      </c>
      <c r="N89" s="846">
        <f t="shared" ca="1" si="39"/>
        <v>2</v>
      </c>
      <c r="O89" s="850" t="s">
        <v>323</v>
      </c>
      <c r="P89" s="845">
        <f t="shared" ca="1" si="40"/>
        <v>2</v>
      </c>
      <c r="Q89" s="864" t="s">
        <v>9</v>
      </c>
      <c r="R89" s="846">
        <f t="shared" ca="1" si="41"/>
        <v>1</v>
      </c>
      <c r="S89" s="184"/>
      <c r="U89" s="859">
        <v>11</v>
      </c>
      <c r="V89" s="854" t="str">
        <f t="shared" ca="1" si="42"/>
        <v>Arnoud J.</v>
      </c>
      <c r="W89" s="854">
        <f t="shared" ca="1" si="43"/>
        <v>303</v>
      </c>
      <c r="X89" s="854" t="str">
        <f t="shared" ca="1" si="44"/>
        <v>Argentinië</v>
      </c>
      <c r="Y89" s="854" t="str">
        <f t="shared" ca="1" si="45"/>
        <v>Nederland</v>
      </c>
      <c r="Z89" s="854" t="str">
        <f t="shared" ca="1" si="46"/>
        <v>Italië</v>
      </c>
      <c r="AA89" s="860" t="str">
        <f t="shared" ca="1" si="47"/>
        <v>Frankrijk</v>
      </c>
    </row>
    <row r="90" spans="1:27">
      <c r="A90" s="838">
        <v>58</v>
      </c>
      <c r="B90" s="841" t="str">
        <f t="shared" ca="1" si="32"/>
        <v>Kees K.</v>
      </c>
      <c r="C90" s="848">
        <f t="shared" ca="1" si="33"/>
        <v>286</v>
      </c>
      <c r="D90" s="845">
        <f t="shared" ca="1" si="34"/>
        <v>2</v>
      </c>
      <c r="E90" s="864" t="s">
        <v>9</v>
      </c>
      <c r="F90" s="846">
        <f t="shared" ca="1" si="35"/>
        <v>1</v>
      </c>
      <c r="G90" s="850" t="s">
        <v>323</v>
      </c>
      <c r="H90" s="845">
        <f t="shared" ca="1" si="36"/>
        <v>2</v>
      </c>
      <c r="I90" s="864" t="s">
        <v>9</v>
      </c>
      <c r="J90" s="846">
        <f t="shared" ca="1" si="37"/>
        <v>2</v>
      </c>
      <c r="K90" s="850" t="s">
        <v>323</v>
      </c>
      <c r="L90" s="845">
        <f t="shared" ca="1" si="38"/>
        <v>1</v>
      </c>
      <c r="M90" s="864" t="s">
        <v>9</v>
      </c>
      <c r="N90" s="846">
        <f t="shared" ca="1" si="39"/>
        <v>2</v>
      </c>
      <c r="O90" s="850" t="s">
        <v>323</v>
      </c>
      <c r="P90" s="845">
        <f t="shared" ca="1" si="40"/>
        <v>1</v>
      </c>
      <c r="Q90" s="864" t="s">
        <v>9</v>
      </c>
      <c r="R90" s="846">
        <f t="shared" ca="1" si="41"/>
        <v>2</v>
      </c>
      <c r="S90" s="184"/>
      <c r="U90" s="859">
        <v>14</v>
      </c>
      <c r="V90" s="854" t="str">
        <f t="shared" ca="1" si="42"/>
        <v>Kees K.</v>
      </c>
      <c r="W90" s="854">
        <f t="shared" ca="1" si="43"/>
        <v>286</v>
      </c>
      <c r="X90" s="854" t="str">
        <f t="shared" ca="1" si="44"/>
        <v>Spanje</v>
      </c>
      <c r="Y90" s="854" t="str">
        <f t="shared" ca="1" si="45"/>
        <v>Zuid Korea</v>
      </c>
      <c r="Z90" s="854" t="str">
        <f t="shared" ca="1" si="46"/>
        <v>Algerije</v>
      </c>
      <c r="AA90" s="860" t="str">
        <f t="shared" ca="1" si="47"/>
        <v>Chili</v>
      </c>
    </row>
    <row r="91" spans="1:27">
      <c r="A91" s="838">
        <v>90</v>
      </c>
      <c r="B91" s="841" t="str">
        <f t="shared" ca="1" si="32"/>
        <v>Marjan V.</v>
      </c>
      <c r="C91" s="848">
        <f t="shared" ca="1" si="33"/>
        <v>334</v>
      </c>
      <c r="D91" s="845">
        <f t="shared" ca="1" si="34"/>
        <v>2</v>
      </c>
      <c r="E91" s="864" t="s">
        <v>9</v>
      </c>
      <c r="F91" s="846">
        <f t="shared" ca="1" si="35"/>
        <v>1</v>
      </c>
      <c r="G91" s="850" t="s">
        <v>323</v>
      </c>
      <c r="H91" s="845">
        <f t="shared" ca="1" si="36"/>
        <v>1</v>
      </c>
      <c r="I91" s="864" t="s">
        <v>9</v>
      </c>
      <c r="J91" s="846">
        <f t="shared" ca="1" si="37"/>
        <v>2</v>
      </c>
      <c r="K91" s="850" t="s">
        <v>323</v>
      </c>
      <c r="L91" s="845">
        <f t="shared" ca="1" si="38"/>
        <v>2</v>
      </c>
      <c r="M91" s="864" t="s">
        <v>9</v>
      </c>
      <c r="N91" s="846">
        <f t="shared" ca="1" si="39"/>
        <v>1</v>
      </c>
      <c r="O91" s="850" t="s">
        <v>323</v>
      </c>
      <c r="P91" s="845">
        <f t="shared" ca="1" si="40"/>
        <v>1</v>
      </c>
      <c r="Q91" s="864" t="s">
        <v>9</v>
      </c>
      <c r="R91" s="846">
        <f t="shared" ca="1" si="41"/>
        <v>1</v>
      </c>
      <c r="S91" s="184"/>
      <c r="U91" s="859">
        <v>58</v>
      </c>
      <c r="V91" s="854" t="str">
        <f t="shared" ca="1" si="42"/>
        <v>Marjan V.</v>
      </c>
      <c r="W91" s="854">
        <f t="shared" ca="1" si="43"/>
        <v>334</v>
      </c>
      <c r="X91" s="854" t="str">
        <f t="shared" ca="1" si="44"/>
        <v>Duitsland</v>
      </c>
      <c r="Y91" s="854" t="str">
        <f t="shared" ca="1" si="45"/>
        <v>Spanje</v>
      </c>
      <c r="Z91" s="854" t="str">
        <f t="shared" ca="1" si="46"/>
        <v>Italië</v>
      </c>
      <c r="AA91" s="860" t="str">
        <f t="shared" ca="1" si="47"/>
        <v>Argentinië</v>
      </c>
    </row>
    <row r="92" spans="1:27">
      <c r="A92" s="838">
        <v>14</v>
      </c>
      <c r="B92" s="841" t="str">
        <f t="shared" ca="1" si="32"/>
        <v>Sylvia R.</v>
      </c>
      <c r="C92" s="848">
        <f t="shared" ca="1" si="33"/>
        <v>289</v>
      </c>
      <c r="D92" s="845">
        <f t="shared" ca="1" si="34"/>
        <v>0</v>
      </c>
      <c r="E92" s="864" t="s">
        <v>9</v>
      </c>
      <c r="F92" s="846">
        <f t="shared" ca="1" si="35"/>
        <v>1</v>
      </c>
      <c r="G92" s="850" t="s">
        <v>323</v>
      </c>
      <c r="H92" s="845">
        <f t="shared" ca="1" si="36"/>
        <v>0</v>
      </c>
      <c r="I92" s="864" t="s">
        <v>9</v>
      </c>
      <c r="J92" s="846">
        <f t="shared" ca="1" si="37"/>
        <v>1</v>
      </c>
      <c r="K92" s="850" t="s">
        <v>323</v>
      </c>
      <c r="L92" s="845">
        <f t="shared" ca="1" si="38"/>
        <v>0</v>
      </c>
      <c r="M92" s="864" t="s">
        <v>9</v>
      </c>
      <c r="N92" s="846">
        <f t="shared" ca="1" si="39"/>
        <v>2</v>
      </c>
      <c r="O92" s="850" t="s">
        <v>323</v>
      </c>
      <c r="P92" s="845">
        <f t="shared" ca="1" si="40"/>
        <v>1</v>
      </c>
      <c r="Q92" s="864" t="s">
        <v>9</v>
      </c>
      <c r="R92" s="846">
        <f t="shared" ca="1" si="41"/>
        <v>0</v>
      </c>
      <c r="S92" s="184"/>
      <c r="U92" s="859">
        <v>90</v>
      </c>
      <c r="V92" s="854" t="str">
        <f t="shared" ca="1" si="42"/>
        <v>Sylvia R.</v>
      </c>
      <c r="W92" s="854">
        <f t="shared" ca="1" si="43"/>
        <v>289</v>
      </c>
      <c r="X92" s="854" t="str">
        <f t="shared" ca="1" si="44"/>
        <v>Brazilië</v>
      </c>
      <c r="Y92" s="854" t="str">
        <f t="shared" ca="1" si="45"/>
        <v>Spanje</v>
      </c>
      <c r="Z92" s="854" t="str">
        <f t="shared" ca="1" si="46"/>
        <v>Argentinië</v>
      </c>
      <c r="AA92" s="860" t="str">
        <f t="shared" ca="1" si="47"/>
        <v>Frankrijk</v>
      </c>
    </row>
    <row r="93" spans="1:27">
      <c r="A93" s="838">
        <v>71</v>
      </c>
      <c r="B93" s="841" t="str">
        <f t="shared" ca="1" si="32"/>
        <v>Sylvia W.</v>
      </c>
      <c r="C93" s="848">
        <f t="shared" ca="1" si="33"/>
        <v>282</v>
      </c>
      <c r="D93" s="845">
        <f t="shared" ca="1" si="34"/>
        <v>1</v>
      </c>
      <c r="E93" s="864" t="s">
        <v>9</v>
      </c>
      <c r="F93" s="846">
        <f t="shared" ca="1" si="35"/>
        <v>2</v>
      </c>
      <c r="G93" s="850" t="s">
        <v>323</v>
      </c>
      <c r="H93" s="845">
        <f t="shared" ca="1" si="36"/>
        <v>0</v>
      </c>
      <c r="I93" s="864" t="s">
        <v>9</v>
      </c>
      <c r="J93" s="846">
        <f t="shared" ca="1" si="37"/>
        <v>2</v>
      </c>
      <c r="K93" s="850" t="s">
        <v>323</v>
      </c>
      <c r="L93" s="845">
        <f t="shared" ca="1" si="38"/>
        <v>0</v>
      </c>
      <c r="M93" s="864" t="s">
        <v>9</v>
      </c>
      <c r="N93" s="846">
        <f t="shared" ca="1" si="39"/>
        <v>2</v>
      </c>
      <c r="O93" s="850" t="s">
        <v>323</v>
      </c>
      <c r="P93" s="845">
        <f t="shared" ca="1" si="40"/>
        <v>2</v>
      </c>
      <c r="Q93" s="864" t="s">
        <v>9</v>
      </c>
      <c r="R93" s="846">
        <f t="shared" ca="1" si="41"/>
        <v>0</v>
      </c>
      <c r="S93" s="184"/>
      <c r="U93" s="859">
        <v>71</v>
      </c>
      <c r="V93" s="854" t="str">
        <f t="shared" ca="1" si="42"/>
        <v>Sylvia W.</v>
      </c>
      <c r="W93" s="854">
        <f t="shared" ca="1" si="43"/>
        <v>282</v>
      </c>
      <c r="X93" s="854" t="str">
        <f t="shared" ca="1" si="44"/>
        <v>Nederland</v>
      </c>
      <c r="Y93" s="854" t="str">
        <f t="shared" ca="1" si="45"/>
        <v>Spanje</v>
      </c>
      <c r="Z93" s="854" t="str">
        <f t="shared" ca="1" si="46"/>
        <v>Duitsland</v>
      </c>
      <c r="AA93" s="860" t="str">
        <f t="shared" ca="1" si="47"/>
        <v>Frankrijk</v>
      </c>
    </row>
    <row r="94" spans="1:27">
      <c r="A94" s="838">
        <v>36</v>
      </c>
      <c r="B94" s="841" t="str">
        <f t="shared" ca="1" si="32"/>
        <v>Sabine O.</v>
      </c>
      <c r="C94" s="848">
        <f t="shared" ca="1" si="33"/>
        <v>266</v>
      </c>
      <c r="D94" s="845">
        <f t="shared" ca="1" si="34"/>
        <v>1</v>
      </c>
      <c r="E94" s="864" t="s">
        <v>9</v>
      </c>
      <c r="F94" s="846">
        <f t="shared" ca="1" si="35"/>
        <v>3</v>
      </c>
      <c r="G94" s="850" t="s">
        <v>323</v>
      </c>
      <c r="H94" s="845">
        <f t="shared" ca="1" si="36"/>
        <v>2</v>
      </c>
      <c r="I94" s="864" t="s">
        <v>9</v>
      </c>
      <c r="J94" s="846">
        <f t="shared" ca="1" si="37"/>
        <v>2</v>
      </c>
      <c r="K94" s="850" t="s">
        <v>323</v>
      </c>
      <c r="L94" s="845">
        <f t="shared" ca="1" si="38"/>
        <v>2</v>
      </c>
      <c r="M94" s="864" t="s">
        <v>9</v>
      </c>
      <c r="N94" s="846">
        <f t="shared" ca="1" si="39"/>
        <v>2</v>
      </c>
      <c r="O94" s="850" t="s">
        <v>323</v>
      </c>
      <c r="P94" s="845">
        <f t="shared" ca="1" si="40"/>
        <v>2</v>
      </c>
      <c r="Q94" s="864" t="s">
        <v>9</v>
      </c>
      <c r="R94" s="846">
        <f t="shared" ca="1" si="41"/>
        <v>3</v>
      </c>
      <c r="S94" s="184"/>
      <c r="U94" s="859">
        <v>77</v>
      </c>
      <c r="V94" s="854" t="str">
        <f t="shared" ca="1" si="42"/>
        <v>Sabine O.</v>
      </c>
      <c r="W94" s="854">
        <f t="shared" ca="1" si="43"/>
        <v>266</v>
      </c>
      <c r="X94" s="854" t="str">
        <f t="shared" ca="1" si="44"/>
        <v>Argentinië</v>
      </c>
      <c r="Y94" s="854" t="str">
        <f t="shared" ca="1" si="45"/>
        <v>Uruguay</v>
      </c>
      <c r="Z94" s="854" t="str">
        <f t="shared" ca="1" si="46"/>
        <v>Ecuador</v>
      </c>
      <c r="AA94" s="860" t="str">
        <f t="shared" ca="1" si="47"/>
        <v>Spanje</v>
      </c>
    </row>
    <row r="95" spans="1:27" ht="15.75" thickBot="1">
      <c r="A95" s="838">
        <v>77</v>
      </c>
      <c r="B95" s="841" t="str">
        <f t="shared" ca="1" si="32"/>
        <v>Yair S.</v>
      </c>
      <c r="C95" s="848">
        <f t="shared" ca="1" si="33"/>
        <v>309</v>
      </c>
      <c r="D95" s="845">
        <f t="shared" ca="1" si="34"/>
        <v>1</v>
      </c>
      <c r="E95" s="864" t="s">
        <v>9</v>
      </c>
      <c r="F95" s="846">
        <f t="shared" ca="1" si="35"/>
        <v>2</v>
      </c>
      <c r="G95" s="850" t="s">
        <v>323</v>
      </c>
      <c r="H95" s="845">
        <f t="shared" ca="1" si="36"/>
        <v>0</v>
      </c>
      <c r="I95" s="864" t="s">
        <v>9</v>
      </c>
      <c r="J95" s="846">
        <f t="shared" ca="1" si="37"/>
        <v>2</v>
      </c>
      <c r="K95" s="850" t="s">
        <v>323</v>
      </c>
      <c r="L95" s="845">
        <f t="shared" ca="1" si="38"/>
        <v>3</v>
      </c>
      <c r="M95" s="864" t="s">
        <v>9</v>
      </c>
      <c r="N95" s="846">
        <f t="shared" ca="1" si="39"/>
        <v>1</v>
      </c>
      <c r="O95" s="850" t="s">
        <v>323</v>
      </c>
      <c r="P95" s="845">
        <f t="shared" ca="1" si="40"/>
        <v>2</v>
      </c>
      <c r="Q95" s="864" t="s">
        <v>9</v>
      </c>
      <c r="R95" s="846">
        <f t="shared" ca="1" si="41"/>
        <v>1</v>
      </c>
      <c r="S95" s="184"/>
      <c r="U95" s="861">
        <v>36</v>
      </c>
      <c r="V95" s="862" t="str">
        <f t="shared" ca="1" si="42"/>
        <v>Yair S.</v>
      </c>
      <c r="W95" s="862">
        <f t="shared" ca="1" si="43"/>
        <v>309</v>
      </c>
      <c r="X95" s="862" t="str">
        <f t="shared" ca="1" si="44"/>
        <v>Duitsland</v>
      </c>
      <c r="Y95" s="862" t="str">
        <f t="shared" ca="1" si="45"/>
        <v>Spanje</v>
      </c>
      <c r="Z95" s="862" t="str">
        <f t="shared" ca="1" si="46"/>
        <v>Nigeria</v>
      </c>
      <c r="AA95" s="863" t="str">
        <f t="shared" ca="1" si="47"/>
        <v>Brazilië</v>
      </c>
    </row>
    <row r="96" spans="1:27">
      <c r="D96" s="183"/>
      <c r="E96" s="184"/>
      <c r="F96" s="185"/>
      <c r="G96" s="833"/>
      <c r="H96" s="183"/>
      <c r="I96" s="184"/>
      <c r="J96" s="185"/>
      <c r="K96" s="833"/>
      <c r="L96" s="183"/>
      <c r="M96" s="184"/>
      <c r="N96" s="185"/>
      <c r="O96" s="833"/>
      <c r="P96" s="183"/>
      <c r="Q96" s="184"/>
      <c r="R96" s="185"/>
      <c r="S96" s="184"/>
    </row>
  </sheetData>
  <sortState ref="A1:R95">
    <sortCondition descending="1" ref="C2"/>
  </sortState>
  <phoneticPr fontId="24" type="noConversion"/>
  <conditionalFormatting sqref="X1:AA1048576">
    <cfRule type="cellIs" dxfId="304" priority="19" operator="equal">
      <formula>"Uruguay"</formula>
    </cfRule>
    <cfRule type="cellIs" dxfId="303" priority="18" operator="equal">
      <formula>"Spanje"</formula>
    </cfRule>
    <cfRule type="cellIs" dxfId="302" priority="17" operator="equal">
      <formula>"Portugal"</formula>
    </cfRule>
    <cfRule type="cellIs" dxfId="301" priority="16" operator="equal">
      <formula>"Italië"</formula>
    </cfRule>
    <cfRule type="cellIs" dxfId="300" priority="15" operator="equal">
      <formula>"Japan"</formula>
    </cfRule>
    <cfRule type="cellIs" dxfId="299" priority="14" operator="equal">
      <formula>"Chili"</formula>
    </cfRule>
    <cfRule type="cellIs" dxfId="298" priority="13" operator="equal">
      <formula>"Australië"</formula>
    </cfRule>
    <cfRule type="cellIs" dxfId="297" priority="12" operator="equal">
      <formula>"Kroatië"</formula>
    </cfRule>
    <cfRule type="cellIs" dxfId="296" priority="11" operator="equal">
      <formula>"Ecuador"</formula>
    </cfRule>
    <cfRule type="cellIs" dxfId="295" priority="10" operator="equal">
      <formula>"Zuid Korea"</formula>
    </cfRule>
    <cfRule type="cellIs" dxfId="294" priority="9" operator="equal">
      <formula>"Algerije"</formula>
    </cfRule>
    <cfRule type="cellIs" dxfId="293" priority="8" operator="equal">
      <formula>"Nigeria"</formula>
    </cfRule>
    <cfRule type="cellIs" dxfId="292" priority="7" operator="equal">
      <formula>"Engeland"</formula>
    </cfRule>
    <cfRule type="cellIs" dxfId="291" priority="6" operator="equal">
      <formula>"Ivoorkust"</formula>
    </cfRule>
    <cfRule type="cellIs" dxfId="290" priority="5" operator="equal">
      <formula>"Rusland"</formula>
    </cfRule>
    <cfRule type="cellIs" dxfId="289" priority="4" operator="equal">
      <formula>"Zwitserland"</formula>
    </cfRule>
    <cfRule type="cellIs" dxfId="288" priority="3" operator="equal">
      <formula>"Verenigde Staten"</formula>
    </cfRule>
    <cfRule type="cellIs" dxfId="287" priority="2" operator="equal">
      <formula>"Frankrijk"</formula>
    </cfRule>
    <cfRule type="cellIs" dxfId="286" priority="1" operator="equal">
      <formula>"België"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B1:BB98"/>
  <sheetViews>
    <sheetView topLeftCell="A43" zoomScale="70" zoomScaleNormal="70" workbookViewId="0">
      <selection activeCell="O73" sqref="O73"/>
    </sheetView>
  </sheetViews>
  <sheetFormatPr defaultRowHeight="15" outlineLevelCol="2"/>
  <cols>
    <col min="1" max="1" width="3.42578125" customWidth="1"/>
    <col min="2" max="2" width="3.5703125" bestFit="1" customWidth="1"/>
    <col min="3" max="3" width="11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325</v>
      </c>
      <c r="E3" s="145"/>
      <c r="F3" s="145"/>
      <c r="N3" t="str">
        <f>D3</f>
        <v>Ricardo B. (introducee Marcel M.)</v>
      </c>
      <c r="O3" s="144">
        <f>SUM(P3:S3)</f>
        <v>443</v>
      </c>
      <c r="P3" s="109">
        <f>SUM(Y8:Y86)</f>
        <v>221</v>
      </c>
      <c r="Q3" s="109">
        <f>SUM(AM4:AM55)</f>
        <v>180</v>
      </c>
      <c r="R3" s="109">
        <f>SUM(AP89:AP92)</f>
        <v>15</v>
      </c>
      <c r="S3" s="109">
        <f>SUM(BB58:BB69)</f>
        <v>27</v>
      </c>
      <c r="T3" s="109">
        <f>COUNTIF(AF8:AF86,10)</f>
        <v>5</v>
      </c>
      <c r="U3" s="109" t="str">
        <f>E89</f>
        <v>Brazilië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M6" s="352"/>
      <c r="N6" s="352"/>
      <c r="O6" s="392"/>
      <c r="P6" s="393"/>
      <c r="Q6" s="393"/>
      <c r="R6" s="393"/>
      <c r="S6" s="393"/>
      <c r="T6" s="393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18" t="s">
        <v>3</v>
      </c>
      <c r="E7" s="419"/>
      <c r="F7" s="420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M7" s="352"/>
      <c r="N7" s="352"/>
      <c r="O7" s="353"/>
      <c r="P7" s="393"/>
      <c r="Q7" s="393"/>
      <c r="R7" s="393"/>
      <c r="S7" s="393"/>
      <c r="T7" s="393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3</v>
      </c>
      <c r="H8" s="360" t="s">
        <v>9</v>
      </c>
      <c r="I8" s="439">
        <v>1</v>
      </c>
      <c r="J8" s="362">
        <f>IF(I8="","",IF(G8&gt;I8,1,IF(G8&lt;I8,2,3)))</f>
        <v>1</v>
      </c>
      <c r="K8" s="363">
        <f>IF(I8="","",IF($G8&gt;$I8,3,IF($G8=$I8,1,0)))</f>
        <v>3</v>
      </c>
      <c r="L8" s="363">
        <f>IF(I8="","",IF($G8&lt;$I8,3,IF($G8=$I8,1,0)))</f>
        <v>0</v>
      </c>
      <c r="M8" s="352"/>
      <c r="N8" s="352"/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40"/>
      <c r="V8" s="40"/>
      <c r="W8" s="40"/>
      <c r="Y8" s="109">
        <f>AF8</f>
        <v>10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10</v>
      </c>
      <c r="AG8" s="108">
        <f t="shared" ref="AG8:AG55" si="0">IF(AC8="",0,(IF(G8=AC8,1,0)))</f>
        <v>1</v>
      </c>
      <c r="AH8" s="108">
        <f t="shared" ref="AH8:AH55" si="1">IF(AD8="",0,(IF(I8=AD8,1,0)))</f>
        <v>1</v>
      </c>
      <c r="AI8" s="108">
        <f>IF(AND(AG8=1,AH8=1),10,0)</f>
        <v>10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2</v>
      </c>
      <c r="H9" s="367" t="s">
        <v>9</v>
      </c>
      <c r="I9" s="440">
        <v>2</v>
      </c>
      <c r="J9" s="369">
        <f t="shared" ref="J9:J55" si="5">IF(I9="","",IF(G9&gt;I9,1,IF(G9&lt;I9,2,3)))</f>
        <v>3</v>
      </c>
      <c r="K9" s="363">
        <f t="shared" ref="K9:K55" si="6">IF(I9="","",IF($G9&gt;$I9,3,IF($G9=$I9,1,0)))</f>
        <v>1</v>
      </c>
      <c r="L9" s="363">
        <f t="shared" ref="L9:L55" si="7">IF(I9="","",IF($G9&lt;$I9,3,IF($G9=$I9,1,0)))</f>
        <v>1</v>
      </c>
      <c r="M9" s="352"/>
      <c r="N9" s="352"/>
      <c r="O9" s="394" t="s">
        <v>8</v>
      </c>
      <c r="P9" s="395">
        <f>SUMIF($D$8:$D$55,$O9,$G$8:$G$55)+SUMIF($F$8:$F$55,$O9,$I$8:$I$55)</f>
        <v>7</v>
      </c>
      <c r="Q9" s="395">
        <f>SUMIF($D$8:$D$55,$O9,$I$8:$I$55)+SUMIF($F$8:$F$55,$O9,$G$8:$G$55)</f>
        <v>2</v>
      </c>
      <c r="R9" s="396">
        <f>P9-Q9</f>
        <v>5</v>
      </c>
      <c r="S9" s="397">
        <f>SUMIF($D$8:$D$55,$O9,$K$8:$K$55)+SUMIF($F$8:$F$55,$O9,$L$8:$L$55)</f>
        <v>9</v>
      </c>
      <c r="T9" s="444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0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0</v>
      </c>
      <c r="AG9" s="108">
        <f t="shared" si="0"/>
        <v>0</v>
      </c>
      <c r="AH9" s="108">
        <f t="shared" si="1"/>
        <v>0</v>
      </c>
      <c r="AI9" s="108">
        <f t="shared" ref="AI9:AI55" si="10">IF(AND(AG9=1,AH9=1),10,0)</f>
        <v>0</v>
      </c>
      <c r="AJ9" s="108">
        <f t="shared" si="2"/>
        <v>0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2</v>
      </c>
      <c r="H10" s="373" t="s">
        <v>9</v>
      </c>
      <c r="I10" s="441">
        <v>1</v>
      </c>
      <c r="J10" s="375">
        <f t="shared" si="5"/>
        <v>1</v>
      </c>
      <c r="K10" s="363">
        <f t="shared" si="6"/>
        <v>3</v>
      </c>
      <c r="L10" s="363">
        <f t="shared" si="7"/>
        <v>0</v>
      </c>
      <c r="M10" s="352"/>
      <c r="N10" s="352"/>
      <c r="O10" s="398" t="s">
        <v>10</v>
      </c>
      <c r="P10" s="399">
        <f>SUMIF($D$8:$D$55,$O10,$G$8:$G$55)+SUMIF($F$8:$F$55,$O10,$I$8:$I$55)</f>
        <v>2</v>
      </c>
      <c r="Q10" s="399">
        <f>SUMIF($D$8:$D$55,$O10,$I$8:$I$55)+SUMIF($F$8:$F$55,$O10,$G$8:$G$55)</f>
        <v>4</v>
      </c>
      <c r="R10" s="399">
        <f>P10-Q10</f>
        <v>-2</v>
      </c>
      <c r="S10" s="400">
        <f>SUMIF($D$8:$D$55,$O10,$K$8:$K$55)+SUMIF($F$8:$F$55,$O10,$L$8:$L$55)</f>
        <v>2</v>
      </c>
      <c r="T10" s="445" t="s">
        <v>47</v>
      </c>
      <c r="U10" s="40"/>
      <c r="V10" s="40" t="str">
        <f>O10</f>
        <v>Kroatië</v>
      </c>
      <c r="W10" s="40" t="s">
        <v>49</v>
      </c>
      <c r="Y10" s="109">
        <f t="shared" si="8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0</v>
      </c>
      <c r="AG10" s="108">
        <f t="shared" si="0"/>
        <v>0</v>
      </c>
      <c r="AH10" s="108">
        <f t="shared" si="1"/>
        <v>0</v>
      </c>
      <c r="AI10" s="108">
        <f t="shared" si="10"/>
        <v>0</v>
      </c>
      <c r="AJ10" s="108">
        <f t="shared" si="2"/>
        <v>0</v>
      </c>
      <c r="AK10" s="108">
        <f t="shared" si="3"/>
        <v>0</v>
      </c>
      <c r="AL10" s="108">
        <f t="shared" si="4"/>
        <v>0</v>
      </c>
      <c r="AM10" s="120">
        <f>AO10</f>
        <v>10</v>
      </c>
      <c r="AN10" s="117" t="s">
        <v>10</v>
      </c>
      <c r="AO10" s="115">
        <f>IF(Uitslag!T10="",0,IF(T10=Uitslag!T10,10,0))</f>
        <v>10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2</v>
      </c>
      <c r="H11" s="379" t="s">
        <v>9</v>
      </c>
      <c r="I11" s="442">
        <v>1</v>
      </c>
      <c r="J11" s="381">
        <f t="shared" si="5"/>
        <v>1</v>
      </c>
      <c r="K11" s="363">
        <f t="shared" si="6"/>
        <v>3</v>
      </c>
      <c r="L11" s="363">
        <f t="shared" si="7"/>
        <v>0</v>
      </c>
      <c r="M11" s="352"/>
      <c r="N11" s="352"/>
      <c r="O11" s="398" t="s">
        <v>11</v>
      </c>
      <c r="P11" s="399">
        <f>SUMIF($D$8:$D$55,$O11,$G$8:$G$55)+SUMIF($F$8:$F$55,$O11,$I$8:$I$55)</f>
        <v>4</v>
      </c>
      <c r="Q11" s="399">
        <f>SUMIF($D$8:$D$55,$O11,$I$8:$I$55)+SUMIF($F$8:$F$55,$O11,$G$8:$G$55)</f>
        <v>5</v>
      </c>
      <c r="R11" s="399">
        <f>P11-Q11</f>
        <v>-1</v>
      </c>
      <c r="S11" s="400">
        <f>SUMIF($D$8:$D$55,$O11,$K$8:$K$55)+SUMIF($F$8:$F$55,$O11,$L$8:$L$55)</f>
        <v>2</v>
      </c>
      <c r="T11" s="445" t="s">
        <v>49</v>
      </c>
      <c r="U11" s="40"/>
      <c r="V11" s="40" t="str">
        <f>O11</f>
        <v>Mexico</v>
      </c>
      <c r="W11" s="40" t="s">
        <v>47</v>
      </c>
      <c r="Y11" s="109">
        <f t="shared" si="8"/>
        <v>6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6</v>
      </c>
      <c r="AG11" s="108">
        <f t="shared" si="0"/>
        <v>0</v>
      </c>
      <c r="AH11" s="108">
        <f t="shared" si="1"/>
        <v>1</v>
      </c>
      <c r="AI11" s="108">
        <f t="shared" si="10"/>
        <v>0</v>
      </c>
      <c r="AJ11" s="108">
        <f t="shared" si="2"/>
        <v>5</v>
      </c>
      <c r="AK11" s="108">
        <f t="shared" si="3"/>
        <v>0</v>
      </c>
      <c r="AL11" s="108">
        <f t="shared" si="4"/>
        <v>0</v>
      </c>
      <c r="AM11" s="120">
        <f>AO11</f>
        <v>10</v>
      </c>
      <c r="AN11" s="117" t="s">
        <v>11</v>
      </c>
      <c r="AO11" s="115">
        <f>IF(Uitslag!T11="",0,IF(T11=Uitslag!T11,10,0))</f>
        <v>10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2</v>
      </c>
      <c r="H12" s="367" t="s">
        <v>9</v>
      </c>
      <c r="I12" s="440">
        <v>1</v>
      </c>
      <c r="J12" s="369">
        <f t="shared" si="5"/>
        <v>1</v>
      </c>
      <c r="K12" s="363">
        <f t="shared" si="6"/>
        <v>3</v>
      </c>
      <c r="L12" s="363">
        <f t="shared" si="7"/>
        <v>0</v>
      </c>
      <c r="M12" s="352"/>
      <c r="N12" s="352"/>
      <c r="O12" s="401" t="s">
        <v>12</v>
      </c>
      <c r="P12" s="402">
        <f>SUMIF($D$8:$D$55,$O12,$G$8:$G$55)+SUMIF($F$8:$F$55,$O12,$I$8:$I$55)</f>
        <v>2</v>
      </c>
      <c r="Q12" s="402">
        <f>SUMIF($D$8:$D$55,$O12,$I$8:$I$55)+SUMIF($F$8:$F$55,$O12,$G$8:$G$55)</f>
        <v>4</v>
      </c>
      <c r="R12" s="402">
        <f>P12-Q12</f>
        <v>-2</v>
      </c>
      <c r="S12" s="403">
        <f>SUMIF($D$8:$D$55,$O12,$K$8:$K$55)+SUMIF($F$8:$F$55,$O12,$L$8:$L$55)</f>
        <v>2</v>
      </c>
      <c r="T12" s="446" t="s">
        <v>50</v>
      </c>
      <c r="U12" s="40"/>
      <c r="V12" s="40" t="str">
        <f>O12</f>
        <v>Kameroen</v>
      </c>
      <c r="W12" s="40" t="s">
        <v>50</v>
      </c>
      <c r="Y12" s="109">
        <f t="shared" si="8"/>
        <v>5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5</v>
      </c>
      <c r="AG12" s="108">
        <f t="shared" si="0"/>
        <v>0</v>
      </c>
      <c r="AH12" s="108">
        <f t="shared" si="1"/>
        <v>0</v>
      </c>
      <c r="AI12" s="108">
        <f t="shared" si="10"/>
        <v>0</v>
      </c>
      <c r="AJ12" s="108">
        <f t="shared" si="2"/>
        <v>5</v>
      </c>
      <c r="AK12" s="108">
        <f t="shared" si="3"/>
        <v>0</v>
      </c>
      <c r="AL12" s="108">
        <f t="shared" si="4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3</v>
      </c>
      <c r="H13" s="373" t="s">
        <v>9</v>
      </c>
      <c r="I13" s="441">
        <v>1</v>
      </c>
      <c r="J13" s="375">
        <f t="shared" si="5"/>
        <v>1</v>
      </c>
      <c r="K13" s="363">
        <f t="shared" si="6"/>
        <v>3</v>
      </c>
      <c r="L13" s="363">
        <f t="shared" si="7"/>
        <v>0</v>
      </c>
      <c r="M13" s="352"/>
      <c r="N13" s="352"/>
      <c r="O13" s="392"/>
      <c r="P13" s="393"/>
      <c r="Q13" s="393"/>
      <c r="R13" s="393"/>
      <c r="S13" s="393"/>
      <c r="T13" s="393"/>
      <c r="U13" s="40"/>
      <c r="V13" s="40"/>
      <c r="W13" s="40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0"/>
        <v>0</v>
      </c>
      <c r="AH13" s="108">
        <f t="shared" si="1"/>
        <v>0</v>
      </c>
      <c r="AI13" s="108">
        <f t="shared" si="10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40"/>
      <c r="AO13" s="41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2</v>
      </c>
      <c r="H14" s="373" t="s">
        <v>9</v>
      </c>
      <c r="I14" s="441">
        <v>2</v>
      </c>
      <c r="J14" s="375">
        <f t="shared" si="5"/>
        <v>3</v>
      </c>
      <c r="K14" s="363">
        <f t="shared" si="6"/>
        <v>1</v>
      </c>
      <c r="L14" s="363">
        <f t="shared" si="7"/>
        <v>1</v>
      </c>
      <c r="M14" s="352"/>
      <c r="N14" s="352"/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40"/>
      <c r="V14" s="40"/>
      <c r="W14" s="40"/>
      <c r="Y14" s="109">
        <f t="shared" si="8"/>
        <v>1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</v>
      </c>
      <c r="AG14" s="108">
        <f t="shared" si="0"/>
        <v>0</v>
      </c>
      <c r="AH14" s="108">
        <f t="shared" si="1"/>
        <v>1</v>
      </c>
      <c r="AI14" s="108">
        <f t="shared" si="10"/>
        <v>0</v>
      </c>
      <c r="AJ14" s="108">
        <f t="shared" si="2"/>
        <v>0</v>
      </c>
      <c r="AK14" s="108">
        <f t="shared" si="3"/>
        <v>0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2</v>
      </c>
      <c r="H15" s="379" t="s">
        <v>9</v>
      </c>
      <c r="I15" s="442">
        <v>1</v>
      </c>
      <c r="J15" s="381">
        <f t="shared" si="5"/>
        <v>1</v>
      </c>
      <c r="K15" s="363">
        <f t="shared" si="6"/>
        <v>3</v>
      </c>
      <c r="L15" s="363">
        <f t="shared" si="7"/>
        <v>0</v>
      </c>
      <c r="M15" s="352"/>
      <c r="N15" s="352"/>
      <c r="O15" s="394" t="s">
        <v>13</v>
      </c>
      <c r="P15" s="395">
        <f>SUMIF($D$8:$D$55,$O15,$G$8:$G$55)+SUMIF($F$8:$F$55,$O15,$I$8:$I$55)</f>
        <v>6</v>
      </c>
      <c r="Q15" s="395">
        <f>SUMIF($D$8:$D$55,$O15,$I$8:$I$55)+SUMIF($F$8:$F$55,$O15,$G$8:$G$55)</f>
        <v>3</v>
      </c>
      <c r="R15" s="396">
        <f>P15-Q15</f>
        <v>3</v>
      </c>
      <c r="S15" s="397">
        <f>SUMIF($D$8:$D$55,$O15,$K$8:$K$55)+SUMIF($F$8:$F$55,$O15,$L$8:$L$55)</f>
        <v>7</v>
      </c>
      <c r="T15" s="444" t="s">
        <v>52</v>
      </c>
      <c r="U15" s="40"/>
      <c r="V15" s="40" t="str">
        <f>O15</f>
        <v>Spanje</v>
      </c>
      <c r="W15" s="40" t="s">
        <v>52</v>
      </c>
      <c r="Y15" s="109">
        <f t="shared" si="8"/>
        <v>10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10</v>
      </c>
      <c r="AG15" s="108">
        <f t="shared" si="0"/>
        <v>1</v>
      </c>
      <c r="AH15" s="108">
        <f t="shared" si="1"/>
        <v>1</v>
      </c>
      <c r="AI15" s="108">
        <f t="shared" si="10"/>
        <v>10</v>
      </c>
      <c r="AJ15" s="108">
        <f t="shared" si="2"/>
        <v>5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2</v>
      </c>
      <c r="H16" s="367" t="s">
        <v>9</v>
      </c>
      <c r="I16" s="440">
        <v>1</v>
      </c>
      <c r="J16" s="369">
        <f t="shared" si="5"/>
        <v>1</v>
      </c>
      <c r="K16" s="363">
        <f t="shared" si="6"/>
        <v>3</v>
      </c>
      <c r="L16" s="363">
        <f t="shared" si="7"/>
        <v>0</v>
      </c>
      <c r="M16" s="352"/>
      <c r="N16" s="352"/>
      <c r="O16" s="404" t="s">
        <v>14</v>
      </c>
      <c r="P16" s="399">
        <f>SUMIF($D$8:$D$55,$O16,$G$8:$G$55)+SUMIF($F$8:$F$55,$O16,$I$8:$I$55)</f>
        <v>6</v>
      </c>
      <c r="Q16" s="399">
        <f>SUMIF($D$8:$D$55,$O16,$I$8:$I$55)+SUMIF($F$8:$F$55,$O16,$G$8:$G$55)</f>
        <v>4</v>
      </c>
      <c r="R16" s="399">
        <f>P16-Q16</f>
        <v>2</v>
      </c>
      <c r="S16" s="400">
        <f>SUMIF($D$8:$D$55,$O16,$K$8:$K$55)+SUMIF($F$8:$F$55,$O16,$L$8:$L$55)</f>
        <v>6</v>
      </c>
      <c r="T16" s="445" t="s">
        <v>53</v>
      </c>
      <c r="U16" s="40"/>
      <c r="V16" s="40" t="str">
        <f>O16</f>
        <v>Nederland</v>
      </c>
      <c r="W16" s="40" t="s">
        <v>53</v>
      </c>
      <c r="Y16" s="109">
        <f t="shared" si="8"/>
        <v>10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10</v>
      </c>
      <c r="AG16" s="108">
        <f t="shared" si="0"/>
        <v>1</v>
      </c>
      <c r="AH16" s="108">
        <f t="shared" si="1"/>
        <v>1</v>
      </c>
      <c r="AI16" s="108">
        <f t="shared" si="10"/>
        <v>10</v>
      </c>
      <c r="AJ16" s="108">
        <f t="shared" si="2"/>
        <v>5</v>
      </c>
      <c r="AK16" s="108">
        <f t="shared" si="3"/>
        <v>0</v>
      </c>
      <c r="AL16" s="108">
        <f t="shared" si="4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3</v>
      </c>
      <c r="H17" s="373" t="s">
        <v>9</v>
      </c>
      <c r="I17" s="441">
        <v>1</v>
      </c>
      <c r="J17" s="375">
        <f t="shared" si="5"/>
        <v>1</v>
      </c>
      <c r="K17" s="363">
        <f t="shared" si="6"/>
        <v>3</v>
      </c>
      <c r="L17" s="363">
        <f t="shared" si="7"/>
        <v>0</v>
      </c>
      <c r="M17" s="352"/>
      <c r="N17" s="352"/>
      <c r="O17" s="398" t="s">
        <v>15</v>
      </c>
      <c r="P17" s="399">
        <f>SUMIF($D$8:$D$55,$O17,$G$8:$G$55)+SUMIF($F$8:$F$55,$O17,$I$8:$I$55)</f>
        <v>5</v>
      </c>
      <c r="Q17" s="399">
        <f>SUMIF($D$8:$D$55,$O17,$I$8:$I$55)+SUMIF($F$8:$F$55,$O17,$G$8:$G$55)</f>
        <v>5</v>
      </c>
      <c r="R17" s="399">
        <f>P17-Q17</f>
        <v>0</v>
      </c>
      <c r="S17" s="400">
        <f>SUMIF($D$8:$D$55,$O17,$K$8:$K$55)+SUMIF($F$8:$F$55,$O17,$L$8:$L$55)</f>
        <v>4</v>
      </c>
      <c r="T17" s="445" t="s">
        <v>54</v>
      </c>
      <c r="U17" s="40"/>
      <c r="V17" s="40" t="str">
        <f>O17</f>
        <v>Chili</v>
      </c>
      <c r="W17" s="40" t="s">
        <v>54</v>
      </c>
      <c r="Y17" s="109">
        <f t="shared" si="8"/>
        <v>6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6</v>
      </c>
      <c r="AG17" s="108">
        <f t="shared" si="0"/>
        <v>1</v>
      </c>
      <c r="AH17" s="108">
        <f t="shared" si="1"/>
        <v>0</v>
      </c>
      <c r="AI17" s="108">
        <f t="shared" si="10"/>
        <v>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3</v>
      </c>
      <c r="H18" s="379" t="s">
        <v>9</v>
      </c>
      <c r="I18" s="442">
        <v>1</v>
      </c>
      <c r="J18" s="381">
        <f t="shared" si="5"/>
        <v>1</v>
      </c>
      <c r="K18" s="363">
        <f t="shared" si="6"/>
        <v>3</v>
      </c>
      <c r="L18" s="363">
        <f t="shared" si="7"/>
        <v>0</v>
      </c>
      <c r="M18" s="352"/>
      <c r="N18" s="352"/>
      <c r="O18" s="401" t="s">
        <v>16</v>
      </c>
      <c r="P18" s="402">
        <f>SUMIF($D$8:$D$55,$O18,$G$8:$G$55)+SUMIF($F$8:$F$55,$O18,$I$8:$I$55)</f>
        <v>2</v>
      </c>
      <c r="Q18" s="402">
        <f>SUMIF($D$8:$D$55,$O18,$I$8:$I$55)+SUMIF($F$8:$F$55,$O18,$G$8:$G$55)</f>
        <v>7</v>
      </c>
      <c r="R18" s="402">
        <f>P18-Q18</f>
        <v>-5</v>
      </c>
      <c r="S18" s="403">
        <f>SUMIF($D$8:$D$55,$O18,$K$8:$K$55)+SUMIF($F$8:$F$55,$O18,$L$8:$L$55)</f>
        <v>0</v>
      </c>
      <c r="T18" s="446" t="s">
        <v>55</v>
      </c>
      <c r="U18" s="40"/>
      <c r="V18" s="40" t="str">
        <f>O18</f>
        <v>Australië</v>
      </c>
      <c r="W18" s="40" t="s">
        <v>55</v>
      </c>
      <c r="Y18" s="109">
        <f t="shared" si="8"/>
        <v>6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6</v>
      </c>
      <c r="AG18" s="108">
        <f t="shared" si="0"/>
        <v>0</v>
      </c>
      <c r="AH18" s="108">
        <f t="shared" si="1"/>
        <v>1</v>
      </c>
      <c r="AI18" s="108">
        <f t="shared" si="10"/>
        <v>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2</v>
      </c>
      <c r="H19" s="367" t="s">
        <v>9</v>
      </c>
      <c r="I19" s="440">
        <v>2</v>
      </c>
      <c r="J19" s="369">
        <f t="shared" si="5"/>
        <v>3</v>
      </c>
      <c r="K19" s="363">
        <f t="shared" si="6"/>
        <v>1</v>
      </c>
      <c r="L19" s="363">
        <f t="shared" si="7"/>
        <v>1</v>
      </c>
      <c r="M19" s="352"/>
      <c r="N19" s="352"/>
      <c r="O19" s="392"/>
      <c r="P19" s="393"/>
      <c r="Q19" s="393"/>
      <c r="R19" s="393"/>
      <c r="S19" s="393"/>
      <c r="T19" s="393"/>
      <c r="U19" s="40"/>
      <c r="V19" s="40"/>
      <c r="W19" s="40"/>
      <c r="Y19" s="109">
        <f t="shared" si="8"/>
        <v>0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0</v>
      </c>
      <c r="AG19" s="108">
        <f t="shared" si="0"/>
        <v>0</v>
      </c>
      <c r="AH19" s="108">
        <f t="shared" si="1"/>
        <v>0</v>
      </c>
      <c r="AI19" s="108">
        <f t="shared" si="10"/>
        <v>0</v>
      </c>
      <c r="AJ19" s="108">
        <f t="shared" si="2"/>
        <v>0</v>
      </c>
      <c r="AK19" s="108">
        <f t="shared" si="3"/>
        <v>0</v>
      </c>
      <c r="AL19" s="108">
        <f t="shared" si="4"/>
        <v>0</v>
      </c>
      <c r="AN19" s="40"/>
      <c r="AO19" s="41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0</v>
      </c>
      <c r="H20" s="373" t="s">
        <v>9</v>
      </c>
      <c r="I20" s="441">
        <v>1</v>
      </c>
      <c r="J20" s="375">
        <f t="shared" si="5"/>
        <v>2</v>
      </c>
      <c r="K20" s="363">
        <f t="shared" si="6"/>
        <v>0</v>
      </c>
      <c r="L20" s="363">
        <f t="shared" si="7"/>
        <v>3</v>
      </c>
      <c r="M20" s="352"/>
      <c r="N20" s="352"/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40"/>
      <c r="V20" s="40"/>
      <c r="W20" s="40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0"/>
        <v>1</v>
      </c>
      <c r="AH20" s="108">
        <f t="shared" si="1"/>
        <v>0</v>
      </c>
      <c r="AI20" s="108">
        <f t="shared" si="10"/>
        <v>0</v>
      </c>
      <c r="AJ20" s="108">
        <f t="shared" si="2"/>
        <v>0</v>
      </c>
      <c r="AK20" s="108">
        <f t="shared" si="3"/>
        <v>0</v>
      </c>
      <c r="AL20" s="108">
        <f t="shared" si="4"/>
        <v>0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2</v>
      </c>
      <c r="H21" s="379" t="s">
        <v>9</v>
      </c>
      <c r="I21" s="442">
        <v>2</v>
      </c>
      <c r="J21" s="381">
        <f t="shared" si="5"/>
        <v>3</v>
      </c>
      <c r="K21" s="363">
        <f t="shared" si="6"/>
        <v>1</v>
      </c>
      <c r="L21" s="363">
        <f t="shared" si="7"/>
        <v>1</v>
      </c>
      <c r="M21" s="352"/>
      <c r="N21" s="352"/>
      <c r="O21" s="394" t="s">
        <v>17</v>
      </c>
      <c r="P21" s="395">
        <f>SUMIF($D$8:$D$55,$O21,$G$8:$G$55)+SUMIF($F$8:$F$55,$O21,$I$8:$I$55)</f>
        <v>5</v>
      </c>
      <c r="Q21" s="395">
        <f>SUMIF($D$8:$D$55,$O21,$I$8:$I$55)+SUMIF($F$8:$F$55,$O21,$G$8:$G$55)</f>
        <v>3</v>
      </c>
      <c r="R21" s="396">
        <f>P21-Q21</f>
        <v>2</v>
      </c>
      <c r="S21" s="397">
        <f>SUMIF($D$8:$D$55,$O21,$K$8:$K$55)+SUMIF($F$8:$F$55,$O21,$L$8:$L$55)</f>
        <v>7</v>
      </c>
      <c r="T21" s="444" t="s">
        <v>57</v>
      </c>
      <c r="U21" s="40"/>
      <c r="V21" s="40" t="str">
        <f>O21</f>
        <v>Colombia</v>
      </c>
      <c r="W21" s="40" t="s">
        <v>57</v>
      </c>
      <c r="Y21" s="109">
        <f t="shared" si="8"/>
        <v>1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1</v>
      </c>
      <c r="AG21" s="108">
        <f t="shared" si="0"/>
        <v>0</v>
      </c>
      <c r="AH21" s="108">
        <f t="shared" si="1"/>
        <v>1</v>
      </c>
      <c r="AI21" s="108">
        <f t="shared" si="10"/>
        <v>0</v>
      </c>
      <c r="AJ21" s="108">
        <f t="shared" si="2"/>
        <v>0</v>
      </c>
      <c r="AK21" s="108">
        <f t="shared" si="3"/>
        <v>0</v>
      </c>
      <c r="AL21" s="108">
        <f t="shared" si="4"/>
        <v>0</v>
      </c>
      <c r="AM21" s="120">
        <f>AO21</f>
        <v>10</v>
      </c>
      <c r="AN21" s="116" t="s">
        <v>17</v>
      </c>
      <c r="AO21" s="115">
        <f>IF(Uitslag!T21="",0,IF(T21=Uitslag!T21,10,0))</f>
        <v>10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3</v>
      </c>
      <c r="H22" s="367" t="s">
        <v>9</v>
      </c>
      <c r="I22" s="440">
        <v>1</v>
      </c>
      <c r="J22" s="369">
        <f t="shared" si="5"/>
        <v>1</v>
      </c>
      <c r="K22" s="363">
        <f t="shared" si="6"/>
        <v>3</v>
      </c>
      <c r="L22" s="363">
        <f t="shared" si="7"/>
        <v>0</v>
      </c>
      <c r="M22" s="352"/>
      <c r="N22" s="352"/>
      <c r="O22" s="398" t="s">
        <v>18</v>
      </c>
      <c r="P22" s="399">
        <f>SUMIF($D$8:$D$55,$O22,$G$8:$G$55)+SUMIF($F$8:$F$55,$O22,$I$8:$I$55)</f>
        <v>2</v>
      </c>
      <c r="Q22" s="399">
        <f>SUMIF($D$8:$D$55,$O22,$I$8:$I$55)+SUMIF($F$8:$F$55,$O22,$G$8:$G$55)</f>
        <v>5</v>
      </c>
      <c r="R22" s="399">
        <f>P22-Q22</f>
        <v>-3</v>
      </c>
      <c r="S22" s="400">
        <f>SUMIF($D$8:$D$55,$O22,$K$8:$K$55)+SUMIF($F$8:$F$55,$O22,$L$8:$L$55)</f>
        <v>0</v>
      </c>
      <c r="T22" s="445" t="s">
        <v>60</v>
      </c>
      <c r="U22" s="40"/>
      <c r="V22" s="40" t="str">
        <f>O22</f>
        <v>Griekenland</v>
      </c>
      <c r="W22" s="40" t="s">
        <v>58</v>
      </c>
      <c r="Y22" s="109">
        <f t="shared" si="8"/>
        <v>6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6</v>
      </c>
      <c r="AG22" s="108">
        <f t="shared" si="0"/>
        <v>0</v>
      </c>
      <c r="AH22" s="108">
        <f t="shared" si="1"/>
        <v>1</v>
      </c>
      <c r="AI22" s="108">
        <f t="shared" si="10"/>
        <v>0</v>
      </c>
      <c r="AJ22" s="108">
        <f t="shared" si="2"/>
        <v>5</v>
      </c>
      <c r="AK22" s="108">
        <f t="shared" si="3"/>
        <v>0</v>
      </c>
      <c r="AL22" s="108">
        <f t="shared" si="4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2</v>
      </c>
      <c r="H23" s="373" t="s">
        <v>9</v>
      </c>
      <c r="I23" s="441">
        <v>1</v>
      </c>
      <c r="J23" s="375">
        <f t="shared" si="5"/>
        <v>1</v>
      </c>
      <c r="K23" s="363">
        <f t="shared" si="6"/>
        <v>3</v>
      </c>
      <c r="L23" s="363">
        <f t="shared" si="7"/>
        <v>0</v>
      </c>
      <c r="M23" s="352"/>
      <c r="N23" s="352"/>
      <c r="O23" s="398" t="s">
        <v>23</v>
      </c>
      <c r="P23" s="399">
        <f>SUMIF($D$8:$D$55,$O23,$G$8:$G$55)+SUMIF($F$8:$F$55,$O23,$I$8:$I$55)</f>
        <v>6</v>
      </c>
      <c r="Q23" s="399">
        <f>SUMIF($D$8:$D$55,$O23,$I$8:$I$55)+SUMIF($F$8:$F$55,$O23,$G$8:$G$55)</f>
        <v>5</v>
      </c>
      <c r="R23" s="399">
        <f>P23-Q23</f>
        <v>1</v>
      </c>
      <c r="S23" s="400">
        <f>SUMIF($D$8:$D$55,$O23,$K$8:$K$55)+SUMIF($F$8:$F$55,$O23,$L$8:$L$55)</f>
        <v>6</v>
      </c>
      <c r="T23" s="445" t="s">
        <v>58</v>
      </c>
      <c r="U23" s="40"/>
      <c r="V23" s="40" t="str">
        <f>O23</f>
        <v>Ivoorkust</v>
      </c>
      <c r="W23" s="40" t="s">
        <v>59</v>
      </c>
      <c r="Y23" s="109">
        <f t="shared" si="8"/>
        <v>0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0</v>
      </c>
      <c r="AG23" s="108">
        <f t="shared" si="0"/>
        <v>0</v>
      </c>
      <c r="AH23" s="108">
        <f t="shared" si="1"/>
        <v>0</v>
      </c>
      <c r="AI23" s="108">
        <f t="shared" si="10"/>
        <v>0</v>
      </c>
      <c r="AJ23" s="108">
        <f t="shared" si="2"/>
        <v>0</v>
      </c>
      <c r="AK23" s="108">
        <f t="shared" si="3"/>
        <v>0</v>
      </c>
      <c r="AL23" s="108">
        <f t="shared" si="4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2</v>
      </c>
      <c r="H24" s="379" t="s">
        <v>9</v>
      </c>
      <c r="I24" s="442">
        <v>1</v>
      </c>
      <c r="J24" s="381">
        <f t="shared" si="5"/>
        <v>1</v>
      </c>
      <c r="K24" s="363">
        <f t="shared" si="6"/>
        <v>3</v>
      </c>
      <c r="L24" s="363">
        <f t="shared" si="7"/>
        <v>0</v>
      </c>
      <c r="M24" s="352"/>
      <c r="N24" s="352"/>
      <c r="O24" s="401" t="s">
        <v>24</v>
      </c>
      <c r="P24" s="402">
        <f>SUMIF($D$8:$D$55,$O24,$G$8:$G$55)+SUMIF($F$8:$F$55,$O24,$I$8:$I$55)</f>
        <v>2</v>
      </c>
      <c r="Q24" s="402">
        <f>SUMIF($D$8:$D$55,$O24,$I$8:$I$55)+SUMIF($F$8:$F$55,$O24,$G$8:$G$55)</f>
        <v>2</v>
      </c>
      <c r="R24" s="402">
        <f>P24-Q24</f>
        <v>0</v>
      </c>
      <c r="S24" s="403">
        <f>SUMIF($D$8:$D$55,$O24,$K$8:$K$55)+SUMIF($F$8:$F$55,$O24,$L$8:$L$55)</f>
        <v>4</v>
      </c>
      <c r="T24" s="446" t="s">
        <v>59</v>
      </c>
      <c r="U24" s="40"/>
      <c r="V24" s="40" t="str">
        <f>O24</f>
        <v>Japan</v>
      </c>
      <c r="W24" s="40" t="s">
        <v>60</v>
      </c>
      <c r="Y24" s="109">
        <f t="shared" si="8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</v>
      </c>
      <c r="AG24" s="108">
        <f t="shared" si="0"/>
        <v>0</v>
      </c>
      <c r="AH24" s="108">
        <f t="shared" si="1"/>
        <v>1</v>
      </c>
      <c r="AI24" s="108">
        <f t="shared" si="10"/>
        <v>0</v>
      </c>
      <c r="AJ24" s="108">
        <f t="shared" si="2"/>
        <v>0</v>
      </c>
      <c r="AK24" s="108">
        <f t="shared" si="3"/>
        <v>0</v>
      </c>
      <c r="AL24" s="108">
        <f t="shared" si="4"/>
        <v>0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1</v>
      </c>
      <c r="H25" s="367" t="s">
        <v>9</v>
      </c>
      <c r="I25" s="440">
        <v>3</v>
      </c>
      <c r="J25" s="369">
        <f t="shared" si="5"/>
        <v>2</v>
      </c>
      <c r="K25" s="363">
        <f t="shared" si="6"/>
        <v>0</v>
      </c>
      <c r="L25" s="363">
        <f t="shared" si="7"/>
        <v>3</v>
      </c>
      <c r="M25" s="352"/>
      <c r="N25" s="352"/>
      <c r="O25" s="392"/>
      <c r="P25" s="393"/>
      <c r="Q25" s="393"/>
      <c r="R25" s="393"/>
      <c r="S25" s="393"/>
      <c r="T25" s="393"/>
      <c r="U25" s="40"/>
      <c r="V25" s="40"/>
      <c r="W25" s="40"/>
      <c r="Y25" s="109">
        <f t="shared" si="8"/>
        <v>6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6</v>
      </c>
      <c r="AG25" s="108">
        <f t="shared" si="0"/>
        <v>0</v>
      </c>
      <c r="AH25" s="108">
        <f t="shared" si="1"/>
        <v>1</v>
      </c>
      <c r="AI25" s="108">
        <f t="shared" si="10"/>
        <v>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40"/>
      <c r="AO25" s="41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2</v>
      </c>
      <c r="H26" s="373" t="s">
        <v>9</v>
      </c>
      <c r="I26" s="441">
        <v>2</v>
      </c>
      <c r="J26" s="375">
        <f t="shared" si="5"/>
        <v>3</v>
      </c>
      <c r="K26" s="363">
        <f t="shared" si="6"/>
        <v>1</v>
      </c>
      <c r="L26" s="363">
        <f t="shared" si="7"/>
        <v>1</v>
      </c>
      <c r="M26" s="352"/>
      <c r="N26" s="352"/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40"/>
      <c r="V26" s="40"/>
      <c r="W26" s="40"/>
      <c r="Y26" s="109">
        <f t="shared" si="8"/>
        <v>1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1</v>
      </c>
      <c r="AG26" s="108">
        <f t="shared" si="0"/>
        <v>0</v>
      </c>
      <c r="AH26" s="108">
        <f t="shared" si="1"/>
        <v>1</v>
      </c>
      <c r="AI26" s="108">
        <f t="shared" si="10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0</v>
      </c>
      <c r="H27" s="379" t="s">
        <v>9</v>
      </c>
      <c r="I27" s="442">
        <v>0</v>
      </c>
      <c r="J27" s="381">
        <f t="shared" si="5"/>
        <v>3</v>
      </c>
      <c r="K27" s="363">
        <f t="shared" si="6"/>
        <v>1</v>
      </c>
      <c r="L27" s="363">
        <f t="shared" si="7"/>
        <v>1</v>
      </c>
      <c r="M27" s="352"/>
      <c r="N27" s="352"/>
      <c r="O27" s="394" t="s">
        <v>19</v>
      </c>
      <c r="P27" s="395">
        <f>SUMIF($D$8:$D$55,$O27,$G$8:$G$55)+SUMIF($F$8:$F$55,$O27,$I$8:$I$55)</f>
        <v>6</v>
      </c>
      <c r="Q27" s="395">
        <f>SUMIF($D$8:$D$55,$O27,$I$8:$I$55)+SUMIF($F$8:$F$55,$O27,$G$8:$G$55)</f>
        <v>4</v>
      </c>
      <c r="R27" s="396">
        <f>P27-Q27</f>
        <v>2</v>
      </c>
      <c r="S27" s="397">
        <f>SUMIF($D$8:$D$55,$O27,$K$8:$K$55)+SUMIF($F$8:$F$55,$O27,$L$8:$L$55)</f>
        <v>6</v>
      </c>
      <c r="T27" s="444" t="s">
        <v>63</v>
      </c>
      <c r="U27" s="40"/>
      <c r="V27" s="40" t="str">
        <f>O27</f>
        <v>Uruguay</v>
      </c>
      <c r="W27" s="40" t="s">
        <v>62</v>
      </c>
      <c r="Y27" s="109">
        <f t="shared" si="8"/>
        <v>1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1</v>
      </c>
      <c r="AG27" s="108">
        <f t="shared" si="0"/>
        <v>1</v>
      </c>
      <c r="AH27" s="108">
        <f t="shared" si="1"/>
        <v>0</v>
      </c>
      <c r="AI27" s="108">
        <f t="shared" si="10"/>
        <v>0</v>
      </c>
      <c r="AJ27" s="108">
        <f t="shared" si="2"/>
        <v>0</v>
      </c>
      <c r="AK27" s="108">
        <f t="shared" si="3"/>
        <v>0</v>
      </c>
      <c r="AL27" s="108">
        <f t="shared" si="4"/>
        <v>0</v>
      </c>
      <c r="AM27" s="120">
        <f>AO27</f>
        <v>10</v>
      </c>
      <c r="AN27" s="116" t="s">
        <v>19</v>
      </c>
      <c r="AO27" s="115">
        <f>IF(Uitslag!T27="",0,IF(T27=Uitslag!T27,10,0))</f>
        <v>10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3</v>
      </c>
      <c r="H28" s="367" t="s">
        <v>9</v>
      </c>
      <c r="I28" s="440">
        <v>2</v>
      </c>
      <c r="J28" s="369">
        <f t="shared" si="5"/>
        <v>1</v>
      </c>
      <c r="K28" s="363">
        <f t="shared" si="6"/>
        <v>3</v>
      </c>
      <c r="L28" s="363">
        <f t="shared" si="7"/>
        <v>0</v>
      </c>
      <c r="M28" s="352"/>
      <c r="N28" s="352"/>
      <c r="O28" s="398" t="s">
        <v>20</v>
      </c>
      <c r="P28" s="399">
        <f>SUMIF($D$8:$D$55,$O28,$G$8:$G$55)+SUMIF($F$8:$F$55,$O28,$I$8:$I$55)</f>
        <v>3</v>
      </c>
      <c r="Q28" s="399">
        <f>SUMIF($D$8:$D$55,$O28,$I$8:$I$55)+SUMIF($F$8:$F$55,$O28,$G$8:$G$55)</f>
        <v>8</v>
      </c>
      <c r="R28" s="399">
        <f>P28-Q28</f>
        <v>-5</v>
      </c>
      <c r="S28" s="400">
        <f>SUMIF($D$8:$D$55,$O28,$K$8:$K$55)+SUMIF($F$8:$F$55,$O28,$L$8:$L$55)</f>
        <v>0</v>
      </c>
      <c r="T28" s="445" t="s">
        <v>65</v>
      </c>
      <c r="U28" s="40"/>
      <c r="V28" s="40" t="str">
        <f>O28</f>
        <v>Costa Rica</v>
      </c>
      <c r="W28" s="40" t="s">
        <v>63</v>
      </c>
      <c r="Y28" s="109">
        <f t="shared" si="8"/>
        <v>5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5</v>
      </c>
      <c r="AG28" s="108">
        <f t="shared" si="0"/>
        <v>0</v>
      </c>
      <c r="AH28" s="108">
        <f t="shared" si="1"/>
        <v>0</v>
      </c>
      <c r="AI28" s="108">
        <f t="shared" si="10"/>
        <v>0</v>
      </c>
      <c r="AJ28" s="108">
        <f t="shared" si="2"/>
        <v>5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2</v>
      </c>
      <c r="H29" s="373" t="s">
        <v>9</v>
      </c>
      <c r="I29" s="441">
        <v>1</v>
      </c>
      <c r="J29" s="375">
        <f t="shared" si="5"/>
        <v>1</v>
      </c>
      <c r="K29" s="363">
        <f t="shared" si="6"/>
        <v>3</v>
      </c>
      <c r="L29" s="363">
        <f t="shared" si="7"/>
        <v>0</v>
      </c>
      <c r="M29" s="352"/>
      <c r="N29" s="352"/>
      <c r="O29" s="398" t="s">
        <v>21</v>
      </c>
      <c r="P29" s="399">
        <f>SUMIF($D$8:$D$55,$O29,$G$8:$G$55)+SUMIF($F$8:$F$55,$O29,$I$8:$I$55)</f>
        <v>5</v>
      </c>
      <c r="Q29" s="399">
        <f>SUMIF($D$8:$D$55,$O29,$I$8:$I$55)+SUMIF($F$8:$F$55,$O29,$G$8:$G$55)</f>
        <v>5</v>
      </c>
      <c r="R29" s="399">
        <f>P29-Q29</f>
        <v>0</v>
      </c>
      <c r="S29" s="400">
        <f>SUMIF($D$8:$D$55,$O29,$K$8:$K$55)+SUMIF($F$8:$F$55,$O29,$L$8:$L$55)</f>
        <v>4</v>
      </c>
      <c r="T29" s="445" t="s">
        <v>64</v>
      </c>
      <c r="U29" s="40"/>
      <c r="V29" s="40" t="str">
        <f>O29</f>
        <v>Engeland</v>
      </c>
      <c r="W29" s="40" t="s">
        <v>64</v>
      </c>
      <c r="Y29" s="109">
        <f t="shared" si="8"/>
        <v>10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10</v>
      </c>
      <c r="AG29" s="108">
        <f t="shared" si="0"/>
        <v>1</v>
      </c>
      <c r="AH29" s="108">
        <f t="shared" si="1"/>
        <v>1</v>
      </c>
      <c r="AI29" s="108">
        <f t="shared" si="10"/>
        <v>10</v>
      </c>
      <c r="AJ29" s="108">
        <f t="shared" si="2"/>
        <v>5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1</v>
      </c>
      <c r="H30" s="379" t="s">
        <v>9</v>
      </c>
      <c r="I30" s="442">
        <v>0</v>
      </c>
      <c r="J30" s="381">
        <f t="shared" si="5"/>
        <v>1</v>
      </c>
      <c r="K30" s="363">
        <f t="shared" si="6"/>
        <v>3</v>
      </c>
      <c r="L30" s="363">
        <f t="shared" si="7"/>
        <v>0</v>
      </c>
      <c r="M30" s="352"/>
      <c r="N30" s="352"/>
      <c r="O30" s="401" t="s">
        <v>22</v>
      </c>
      <c r="P30" s="402">
        <f>SUMIF($D$8:$D$55,$O30,$G$8:$G$55)+SUMIF($F$8:$F$55,$O30,$I$8:$I$55)</f>
        <v>7</v>
      </c>
      <c r="Q30" s="402">
        <f>SUMIF($D$8:$D$55,$O30,$I$8:$I$55)+SUMIF($F$8:$F$55,$O30,$G$8:$G$55)</f>
        <v>4</v>
      </c>
      <c r="R30" s="402">
        <f>P30-Q30</f>
        <v>3</v>
      </c>
      <c r="S30" s="403">
        <f>SUMIF($D$8:$D$55,$O30,$K$8:$K$55)+SUMIF($F$8:$F$55,$O30,$L$8:$L$55)</f>
        <v>7</v>
      </c>
      <c r="T30" s="446" t="s">
        <v>62</v>
      </c>
      <c r="U30" s="40"/>
      <c r="V30" s="40" t="str">
        <f>O30</f>
        <v>Italië</v>
      </c>
      <c r="W30" s="40" t="s">
        <v>65</v>
      </c>
      <c r="Y30" s="109">
        <f t="shared" si="8"/>
        <v>1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1</v>
      </c>
      <c r="AG30" s="108">
        <f t="shared" si="0"/>
        <v>0</v>
      </c>
      <c r="AH30" s="108">
        <f t="shared" si="1"/>
        <v>1</v>
      </c>
      <c r="AI30" s="108">
        <f t="shared" si="10"/>
        <v>0</v>
      </c>
      <c r="AJ30" s="108">
        <f t="shared" si="2"/>
        <v>0</v>
      </c>
      <c r="AK30" s="108">
        <f t="shared" si="3"/>
        <v>0</v>
      </c>
      <c r="AL30" s="108">
        <f t="shared" si="4"/>
        <v>0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3</v>
      </c>
      <c r="H31" s="367" t="s">
        <v>9</v>
      </c>
      <c r="I31" s="440">
        <v>1</v>
      </c>
      <c r="J31" s="369">
        <f t="shared" si="5"/>
        <v>1</v>
      </c>
      <c r="K31" s="363">
        <f t="shared" si="6"/>
        <v>3</v>
      </c>
      <c r="L31" s="363">
        <f t="shared" si="7"/>
        <v>0</v>
      </c>
      <c r="M31" s="352"/>
      <c r="N31" s="352"/>
      <c r="O31" s="392"/>
      <c r="P31" s="393"/>
      <c r="Q31" s="393"/>
      <c r="R31" s="393"/>
      <c r="S31" s="393"/>
      <c r="T31" s="393"/>
      <c r="U31" s="40"/>
      <c r="V31" s="40"/>
      <c r="W31" s="40"/>
      <c r="Y31" s="109">
        <f t="shared" si="8"/>
        <v>1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1</v>
      </c>
      <c r="AG31" s="108">
        <f t="shared" si="0"/>
        <v>0</v>
      </c>
      <c r="AH31" s="108">
        <f t="shared" si="1"/>
        <v>1</v>
      </c>
      <c r="AI31" s="108">
        <f t="shared" si="10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40"/>
      <c r="AO31" s="41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1</v>
      </c>
      <c r="H32" s="373" t="s">
        <v>9</v>
      </c>
      <c r="I32" s="441">
        <v>2</v>
      </c>
      <c r="J32" s="375">
        <f t="shared" si="5"/>
        <v>2</v>
      </c>
      <c r="K32" s="363">
        <f t="shared" si="6"/>
        <v>0</v>
      </c>
      <c r="L32" s="363">
        <f t="shared" si="7"/>
        <v>3</v>
      </c>
      <c r="M32" s="352"/>
      <c r="N32" s="352"/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40"/>
      <c r="V32" s="40"/>
      <c r="W32" s="40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0"/>
        <v>0</v>
      </c>
      <c r="AH32" s="108">
        <f t="shared" si="1"/>
        <v>0</v>
      </c>
      <c r="AI32" s="108">
        <f t="shared" si="10"/>
        <v>0</v>
      </c>
      <c r="AJ32" s="108">
        <f t="shared" si="2"/>
        <v>0</v>
      </c>
      <c r="AK32" s="108">
        <f t="shared" si="3"/>
        <v>5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1</v>
      </c>
      <c r="H33" s="379" t="s">
        <v>9</v>
      </c>
      <c r="I33" s="442">
        <v>2</v>
      </c>
      <c r="J33" s="381">
        <f t="shared" si="5"/>
        <v>2</v>
      </c>
      <c r="K33" s="363">
        <f t="shared" si="6"/>
        <v>0</v>
      </c>
      <c r="L33" s="363">
        <f t="shared" si="7"/>
        <v>3</v>
      </c>
      <c r="M33" s="352"/>
      <c r="N33" s="352"/>
      <c r="O33" s="394" t="s">
        <v>25</v>
      </c>
      <c r="P33" s="395">
        <f>SUMIF($D$8:$D$55,$O33,$G$8:$G$55)+SUMIF($F$8:$F$55,$O33,$I$8:$I$55)</f>
        <v>5</v>
      </c>
      <c r="Q33" s="395">
        <f>SUMIF($D$8:$D$55,$O33,$I$8:$I$55)+SUMIF($F$8:$F$55,$O33,$G$8:$G$55)</f>
        <v>4</v>
      </c>
      <c r="R33" s="396">
        <f>P33-Q33</f>
        <v>1</v>
      </c>
      <c r="S33" s="397">
        <f>SUMIF($D$8:$D$55,$O33,$K$8:$K$55)+SUMIF($F$8:$F$55,$O33,$L$8:$L$55)</f>
        <v>6</v>
      </c>
      <c r="T33" s="444" t="s">
        <v>68</v>
      </c>
      <c r="U33" s="40"/>
      <c r="V33" s="40" t="str">
        <f>O33</f>
        <v>Zwitserland</v>
      </c>
      <c r="W33" s="40" t="s">
        <v>67</v>
      </c>
      <c r="Y33" s="109">
        <f t="shared" si="8"/>
        <v>10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10</v>
      </c>
      <c r="AG33" s="108">
        <f t="shared" si="0"/>
        <v>1</v>
      </c>
      <c r="AH33" s="108">
        <f t="shared" si="1"/>
        <v>1</v>
      </c>
      <c r="AI33" s="108">
        <f t="shared" si="10"/>
        <v>10</v>
      </c>
      <c r="AJ33" s="108">
        <f t="shared" si="2"/>
        <v>0</v>
      </c>
      <c r="AK33" s="108">
        <f t="shared" si="3"/>
        <v>5</v>
      </c>
      <c r="AL33" s="108">
        <f t="shared" si="4"/>
        <v>0</v>
      </c>
      <c r="AM33" s="120">
        <f>AO33</f>
        <v>10</v>
      </c>
      <c r="AN33" s="116" t="s">
        <v>25</v>
      </c>
      <c r="AO33" s="115">
        <f>IF(Uitslag!T33="",0,IF(T33=Uitslag!T33,10,0))</f>
        <v>10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3</v>
      </c>
      <c r="H34" s="367" t="s">
        <v>9</v>
      </c>
      <c r="I34" s="440">
        <v>1</v>
      </c>
      <c r="J34" s="369">
        <f t="shared" si="5"/>
        <v>1</v>
      </c>
      <c r="K34" s="363">
        <f t="shared" si="6"/>
        <v>3</v>
      </c>
      <c r="L34" s="363">
        <f t="shared" si="7"/>
        <v>0</v>
      </c>
      <c r="M34" s="352"/>
      <c r="N34" s="352"/>
      <c r="O34" s="398" t="s">
        <v>26</v>
      </c>
      <c r="P34" s="399">
        <f>SUMIF($D$8:$D$55,$O34,$G$8:$G$55)+SUMIF($F$8:$F$55,$O34,$I$8:$I$55)</f>
        <v>3</v>
      </c>
      <c r="Q34" s="399">
        <f>SUMIF($D$8:$D$55,$O34,$I$8:$I$55)+SUMIF($F$8:$F$55,$O34,$G$8:$G$55)</f>
        <v>5</v>
      </c>
      <c r="R34" s="399">
        <f>P34-Q34</f>
        <v>-2</v>
      </c>
      <c r="S34" s="400">
        <f>SUMIF($D$8:$D$55,$O34,$K$8:$K$55)+SUMIF($F$8:$F$55,$O34,$L$8:$L$55)</f>
        <v>3</v>
      </c>
      <c r="T34" s="445" t="s">
        <v>69</v>
      </c>
      <c r="U34" s="40"/>
      <c r="V34" s="40" t="str">
        <f>O34</f>
        <v>Ecuador</v>
      </c>
      <c r="W34" s="40" t="s">
        <v>68</v>
      </c>
      <c r="Y34" s="109">
        <f t="shared" si="8"/>
        <v>5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5</v>
      </c>
      <c r="AG34" s="108">
        <f t="shared" si="0"/>
        <v>0</v>
      </c>
      <c r="AH34" s="108">
        <f t="shared" si="1"/>
        <v>0</v>
      </c>
      <c r="AI34" s="108">
        <f t="shared" si="10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10</v>
      </c>
      <c r="AN34" s="117" t="s">
        <v>26</v>
      </c>
      <c r="AO34" s="115">
        <f>IF(Uitslag!T34="",0,IF(T34=Uitslag!T34,10,0))</f>
        <v>10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2</v>
      </c>
      <c r="H35" s="373" t="s">
        <v>9</v>
      </c>
      <c r="I35" s="441">
        <v>1</v>
      </c>
      <c r="J35" s="375">
        <f t="shared" si="5"/>
        <v>1</v>
      </c>
      <c r="K35" s="363">
        <f t="shared" si="6"/>
        <v>3</v>
      </c>
      <c r="L35" s="363">
        <f t="shared" si="7"/>
        <v>0</v>
      </c>
      <c r="M35" s="352"/>
      <c r="N35" s="352"/>
      <c r="O35" s="398" t="s">
        <v>27</v>
      </c>
      <c r="P35" s="399">
        <f>SUMIF($D$8:$D$55,$O35,$G$8:$G$55)+SUMIF($F$8:$F$55,$O35,$I$8:$I$55)</f>
        <v>7</v>
      </c>
      <c r="Q35" s="399">
        <f>SUMIF($D$8:$D$55,$O35,$I$8:$I$55)+SUMIF($F$8:$F$55,$O35,$G$8:$G$55)</f>
        <v>2</v>
      </c>
      <c r="R35" s="399">
        <f>P35-Q35</f>
        <v>5</v>
      </c>
      <c r="S35" s="400">
        <f>SUMIF($D$8:$D$55,$O35,$K$8:$K$55)+SUMIF($F$8:$F$55,$O35,$L$8:$L$55)</f>
        <v>9</v>
      </c>
      <c r="T35" s="445" t="s">
        <v>67</v>
      </c>
      <c r="U35" s="40"/>
      <c r="V35" s="40" t="str">
        <f>O35</f>
        <v>Frankrijk</v>
      </c>
      <c r="W35" s="40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0"/>
        <v>1</v>
      </c>
      <c r="AH35" s="108">
        <f t="shared" si="1"/>
        <v>0</v>
      </c>
      <c r="AI35" s="108">
        <f t="shared" si="10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2</v>
      </c>
      <c r="H36" s="379" t="s">
        <v>9</v>
      </c>
      <c r="I36" s="442">
        <v>1</v>
      </c>
      <c r="J36" s="381">
        <f t="shared" si="5"/>
        <v>1</v>
      </c>
      <c r="K36" s="363">
        <f t="shared" si="6"/>
        <v>3</v>
      </c>
      <c r="L36" s="363">
        <f t="shared" si="7"/>
        <v>0</v>
      </c>
      <c r="M36" s="352"/>
      <c r="N36" s="352"/>
      <c r="O36" s="401" t="s">
        <v>28</v>
      </c>
      <c r="P36" s="402">
        <f>SUMIF($D$8:$D$55,$O36,$G$8:$G$55)+SUMIF($F$8:$F$55,$O36,$I$8:$I$55)</f>
        <v>3</v>
      </c>
      <c r="Q36" s="402">
        <f>SUMIF($D$8:$D$55,$O36,$I$8:$I$55)+SUMIF($F$8:$F$55,$O36,$G$8:$G$55)</f>
        <v>7</v>
      </c>
      <c r="R36" s="402">
        <f>P36-Q36</f>
        <v>-4</v>
      </c>
      <c r="S36" s="403">
        <f>SUMIF($D$8:$D$55,$O36,$K$8:$K$55)+SUMIF($F$8:$F$55,$O36,$L$8:$L$55)</f>
        <v>0</v>
      </c>
      <c r="T36" s="446" t="s">
        <v>70</v>
      </c>
      <c r="U36" s="40"/>
      <c r="V36" s="40" t="str">
        <f>O36</f>
        <v>Honduras</v>
      </c>
      <c r="W36" s="40" t="s">
        <v>70</v>
      </c>
      <c r="Y36" s="109">
        <f t="shared" si="8"/>
        <v>5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5</v>
      </c>
      <c r="AG36" s="108">
        <f t="shared" si="0"/>
        <v>0</v>
      </c>
      <c r="AH36" s="108">
        <f t="shared" si="1"/>
        <v>0</v>
      </c>
      <c r="AI36" s="108">
        <f t="shared" si="10"/>
        <v>0</v>
      </c>
      <c r="AJ36" s="108">
        <f t="shared" si="2"/>
        <v>5</v>
      </c>
      <c r="AK36" s="108">
        <f t="shared" si="3"/>
        <v>0</v>
      </c>
      <c r="AL36" s="108">
        <f t="shared" si="4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2</v>
      </c>
      <c r="H37" s="367" t="s">
        <v>9</v>
      </c>
      <c r="I37" s="440">
        <v>2</v>
      </c>
      <c r="J37" s="369">
        <f t="shared" si="5"/>
        <v>3</v>
      </c>
      <c r="K37" s="363">
        <f t="shared" si="6"/>
        <v>1</v>
      </c>
      <c r="L37" s="363">
        <f t="shared" si="7"/>
        <v>1</v>
      </c>
      <c r="M37" s="352"/>
      <c r="N37" s="352"/>
      <c r="O37" s="392"/>
      <c r="P37" s="393"/>
      <c r="Q37" s="393"/>
      <c r="R37" s="393"/>
      <c r="S37" s="393"/>
      <c r="T37" s="393"/>
      <c r="U37" s="40"/>
      <c r="V37" s="40"/>
      <c r="W37" s="40"/>
      <c r="Y37" s="109">
        <f t="shared" si="8"/>
        <v>0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0</v>
      </c>
      <c r="AG37" s="108">
        <f t="shared" si="0"/>
        <v>0</v>
      </c>
      <c r="AH37" s="108">
        <f t="shared" si="1"/>
        <v>0</v>
      </c>
      <c r="AI37" s="108">
        <f t="shared" si="10"/>
        <v>0</v>
      </c>
      <c r="AJ37" s="108">
        <f t="shared" si="2"/>
        <v>0</v>
      </c>
      <c r="AK37" s="108">
        <f t="shared" si="3"/>
        <v>0</v>
      </c>
      <c r="AL37" s="108">
        <f t="shared" si="4"/>
        <v>0</v>
      </c>
      <c r="AN37" s="40"/>
      <c r="AO37" s="41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1</v>
      </c>
      <c r="H38" s="373" t="s">
        <v>9</v>
      </c>
      <c r="I38" s="441">
        <v>2</v>
      </c>
      <c r="J38" s="375">
        <f t="shared" si="5"/>
        <v>2</v>
      </c>
      <c r="K38" s="363">
        <f t="shared" si="6"/>
        <v>0</v>
      </c>
      <c r="L38" s="363">
        <f t="shared" si="7"/>
        <v>3</v>
      </c>
      <c r="M38" s="352"/>
      <c r="N38" s="352"/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40"/>
      <c r="V38" s="40"/>
      <c r="W38" s="40"/>
      <c r="Y38" s="109">
        <f t="shared" si="8"/>
        <v>5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5</v>
      </c>
      <c r="AG38" s="108">
        <f t="shared" si="0"/>
        <v>0</v>
      </c>
      <c r="AH38" s="108">
        <f t="shared" si="1"/>
        <v>0</v>
      </c>
      <c r="AI38" s="108">
        <f t="shared" si="10"/>
        <v>0</v>
      </c>
      <c r="AJ38" s="108">
        <f t="shared" si="2"/>
        <v>0</v>
      </c>
      <c r="AK38" s="108">
        <f t="shared" si="3"/>
        <v>5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2</v>
      </c>
      <c r="H39" s="379" t="s">
        <v>9</v>
      </c>
      <c r="I39" s="442">
        <v>3</v>
      </c>
      <c r="J39" s="381">
        <f t="shared" si="5"/>
        <v>2</v>
      </c>
      <c r="K39" s="363">
        <f t="shared" si="6"/>
        <v>0</v>
      </c>
      <c r="L39" s="363">
        <f t="shared" si="7"/>
        <v>3</v>
      </c>
      <c r="M39" s="352"/>
      <c r="N39" s="352"/>
      <c r="O39" s="394" t="s">
        <v>29</v>
      </c>
      <c r="P39" s="395">
        <f>SUMIF($D$8:$D$55,$O39,$G$8:$G$55)+SUMIF($F$8:$F$55,$O39,$I$8:$I$55)</f>
        <v>9</v>
      </c>
      <c r="Q39" s="395">
        <f>SUMIF($D$8:$D$55,$O39,$I$8:$I$55)+SUMIF($F$8:$F$55,$O39,$G$8:$G$55)</f>
        <v>3</v>
      </c>
      <c r="R39" s="396">
        <f>P39-Q39</f>
        <v>6</v>
      </c>
      <c r="S39" s="397">
        <f>SUMIF($D$8:$D$55,$O39,$K$8:$K$55)+SUMIF($F$8:$F$55,$O39,$L$8:$L$55)</f>
        <v>9</v>
      </c>
      <c r="T39" s="444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1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1</v>
      </c>
      <c r="AG39" s="108">
        <f t="shared" si="0"/>
        <v>1</v>
      </c>
      <c r="AH39" s="108">
        <f t="shared" si="1"/>
        <v>0</v>
      </c>
      <c r="AI39" s="108">
        <f t="shared" si="10"/>
        <v>0</v>
      </c>
      <c r="AJ39" s="108">
        <f t="shared" si="2"/>
        <v>0</v>
      </c>
      <c r="AK39" s="108">
        <f t="shared" si="3"/>
        <v>0</v>
      </c>
      <c r="AL39" s="108">
        <f t="shared" si="4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0</v>
      </c>
      <c r="H40" s="367" t="s">
        <v>9</v>
      </c>
      <c r="I40" s="440">
        <v>2</v>
      </c>
      <c r="J40" s="369">
        <f t="shared" si="5"/>
        <v>2</v>
      </c>
      <c r="K40" s="363">
        <f t="shared" si="6"/>
        <v>0</v>
      </c>
      <c r="L40" s="363">
        <f t="shared" si="7"/>
        <v>3</v>
      </c>
      <c r="M40" s="352"/>
      <c r="N40" s="352"/>
      <c r="O40" s="398" t="s">
        <v>30</v>
      </c>
      <c r="P40" s="399">
        <f>SUMIF($D$8:$D$55,$O40,$G$8:$G$55)+SUMIF($F$8:$F$55,$O40,$I$8:$I$55)</f>
        <v>3</v>
      </c>
      <c r="Q40" s="399">
        <f>SUMIF($D$8:$D$55,$O40,$I$8:$I$55)+SUMIF($F$8:$F$55,$O40,$G$8:$G$55)</f>
        <v>6</v>
      </c>
      <c r="R40" s="399">
        <f>P40-Q40</f>
        <v>-3</v>
      </c>
      <c r="S40" s="400">
        <f>SUMIF($D$8:$D$55,$O40,$K$8:$K$55)+SUMIF($F$8:$F$55,$O40,$L$8:$L$55)</f>
        <v>1</v>
      </c>
      <c r="T40" s="445" t="s">
        <v>74</v>
      </c>
      <c r="U40" s="40"/>
      <c r="V40" s="40" t="str">
        <f>O40</f>
        <v>Bosnië H.</v>
      </c>
      <c r="W40" s="40" t="s">
        <v>73</v>
      </c>
      <c r="Y40" s="109">
        <f t="shared" si="8"/>
        <v>6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6</v>
      </c>
      <c r="AG40" s="108">
        <f t="shared" si="0"/>
        <v>1</v>
      </c>
      <c r="AH40" s="108">
        <f t="shared" si="1"/>
        <v>0</v>
      </c>
      <c r="AI40" s="108">
        <f t="shared" si="10"/>
        <v>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2</v>
      </c>
      <c r="H41" s="373" t="s">
        <v>9</v>
      </c>
      <c r="I41" s="441">
        <v>1</v>
      </c>
      <c r="J41" s="375">
        <f t="shared" si="5"/>
        <v>1</v>
      </c>
      <c r="K41" s="363">
        <f t="shared" si="6"/>
        <v>3</v>
      </c>
      <c r="L41" s="363">
        <f t="shared" si="7"/>
        <v>0</v>
      </c>
      <c r="M41" s="352"/>
      <c r="N41" s="352"/>
      <c r="O41" s="398" t="s">
        <v>33</v>
      </c>
      <c r="P41" s="399">
        <f>SUMIF($D$8:$D$55,$O41,$G$8:$G$55)+SUMIF($F$8:$F$55,$O41,$I$8:$I$55)</f>
        <v>2</v>
      </c>
      <c r="Q41" s="399">
        <f>SUMIF($D$8:$D$55,$O41,$I$8:$I$55)+SUMIF($F$8:$F$55,$O41,$G$8:$G$55)</f>
        <v>5</v>
      </c>
      <c r="R41" s="399">
        <f>P41-Q41</f>
        <v>-3</v>
      </c>
      <c r="S41" s="400">
        <f>SUMIF($D$8:$D$55,$O41,$K$8:$K$55)+SUMIF($F$8:$F$55,$O41,$L$8:$L$55)</f>
        <v>1</v>
      </c>
      <c r="T41" s="445" t="s">
        <v>75</v>
      </c>
      <c r="U41" s="40"/>
      <c r="V41" s="40" t="str">
        <f>O41</f>
        <v>Iran</v>
      </c>
      <c r="W41" s="40" t="s">
        <v>74</v>
      </c>
      <c r="Y41" s="109">
        <f t="shared" si="8"/>
        <v>6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6</v>
      </c>
      <c r="AG41" s="108">
        <f t="shared" si="0"/>
        <v>1</v>
      </c>
      <c r="AH41" s="108">
        <f t="shared" si="1"/>
        <v>0</v>
      </c>
      <c r="AI41" s="108">
        <f t="shared" si="10"/>
        <v>0</v>
      </c>
      <c r="AJ41" s="108">
        <f t="shared" si="2"/>
        <v>5</v>
      </c>
      <c r="AK41" s="108">
        <f t="shared" si="3"/>
        <v>0</v>
      </c>
      <c r="AL41" s="108">
        <f t="shared" si="4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0</v>
      </c>
      <c r="H42" s="373" t="s">
        <v>9</v>
      </c>
      <c r="I42" s="441">
        <v>2</v>
      </c>
      <c r="J42" s="375">
        <f t="shared" si="5"/>
        <v>2</v>
      </c>
      <c r="K42" s="363">
        <f t="shared" si="6"/>
        <v>0</v>
      </c>
      <c r="L42" s="363">
        <f t="shared" si="7"/>
        <v>3</v>
      </c>
      <c r="M42" s="352"/>
      <c r="N42" s="352"/>
      <c r="O42" s="401" t="s">
        <v>34</v>
      </c>
      <c r="P42" s="402">
        <f>SUMIF($D$8:$D$55,$O42,$G$8:$G$55)+SUMIF($F$8:$F$55,$O42,$I$8:$I$55)</f>
        <v>4</v>
      </c>
      <c r="Q42" s="402">
        <f>SUMIF($D$8:$D$55,$O42,$I$8:$I$55)+SUMIF($F$8:$F$55,$O42,$G$8:$G$55)</f>
        <v>4</v>
      </c>
      <c r="R42" s="402">
        <f>P42-Q42</f>
        <v>0</v>
      </c>
      <c r="S42" s="403">
        <f>SUMIF($D$8:$D$55,$O42,$K$8:$K$55)+SUMIF($F$8:$F$55,$O42,$L$8:$L$55)</f>
        <v>6</v>
      </c>
      <c r="T42" s="446" t="s">
        <v>73</v>
      </c>
      <c r="U42" s="40"/>
      <c r="V42" s="40" t="str">
        <f>O42</f>
        <v>Nigeria</v>
      </c>
      <c r="W42" s="40" t="s">
        <v>75</v>
      </c>
      <c r="Y42" s="109">
        <f t="shared" si="8"/>
        <v>5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5</v>
      </c>
      <c r="AG42" s="108">
        <f t="shared" si="0"/>
        <v>0</v>
      </c>
      <c r="AH42" s="108">
        <f t="shared" si="1"/>
        <v>0</v>
      </c>
      <c r="AI42" s="108">
        <f t="shared" si="10"/>
        <v>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1</v>
      </c>
      <c r="H43" s="379" t="s">
        <v>9</v>
      </c>
      <c r="I43" s="442">
        <v>1</v>
      </c>
      <c r="J43" s="381">
        <f t="shared" si="5"/>
        <v>3</v>
      </c>
      <c r="K43" s="363">
        <f t="shared" si="6"/>
        <v>1</v>
      </c>
      <c r="L43" s="363">
        <f t="shared" si="7"/>
        <v>1</v>
      </c>
      <c r="M43" s="352"/>
      <c r="N43" s="352"/>
      <c r="O43" s="392"/>
      <c r="P43" s="393"/>
      <c r="Q43" s="393"/>
      <c r="R43" s="393"/>
      <c r="S43" s="393"/>
      <c r="T43" s="393"/>
      <c r="U43" s="40"/>
      <c r="V43" s="40"/>
      <c r="W43" s="40"/>
      <c r="Y43" s="109">
        <f t="shared" si="8"/>
        <v>1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1</v>
      </c>
      <c r="AG43" s="108">
        <f t="shared" si="0"/>
        <v>1</v>
      </c>
      <c r="AH43" s="108">
        <f t="shared" si="1"/>
        <v>0</v>
      </c>
      <c r="AI43" s="108">
        <f t="shared" si="10"/>
        <v>0</v>
      </c>
      <c r="AJ43" s="108">
        <f t="shared" si="2"/>
        <v>0</v>
      </c>
      <c r="AK43" s="108">
        <f t="shared" si="3"/>
        <v>0</v>
      </c>
      <c r="AL43" s="108">
        <f t="shared" si="4"/>
        <v>0</v>
      </c>
      <c r="AN43" s="40"/>
      <c r="AO43" s="41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2</v>
      </c>
      <c r="H44" s="367" t="s">
        <v>9</v>
      </c>
      <c r="I44" s="440">
        <v>1</v>
      </c>
      <c r="J44" s="369">
        <f t="shared" si="5"/>
        <v>1</v>
      </c>
      <c r="K44" s="363">
        <f t="shared" si="6"/>
        <v>3</v>
      </c>
      <c r="L44" s="363">
        <f t="shared" si="7"/>
        <v>0</v>
      </c>
      <c r="M44" s="352"/>
      <c r="N44" s="352"/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40"/>
      <c r="V44" s="40"/>
      <c r="W44" s="40"/>
      <c r="Y44" s="109">
        <f t="shared" si="8"/>
        <v>1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1</v>
      </c>
      <c r="AG44" s="108">
        <f t="shared" si="0"/>
        <v>0</v>
      </c>
      <c r="AH44" s="108">
        <f t="shared" si="1"/>
        <v>1</v>
      </c>
      <c r="AI44" s="108">
        <f t="shared" si="10"/>
        <v>0</v>
      </c>
      <c r="AJ44" s="108">
        <f t="shared" si="2"/>
        <v>0</v>
      </c>
      <c r="AK44" s="108">
        <f t="shared" si="3"/>
        <v>0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1</v>
      </c>
      <c r="H45" s="373" t="s">
        <v>9</v>
      </c>
      <c r="I45" s="441">
        <v>2</v>
      </c>
      <c r="J45" s="375">
        <f t="shared" si="5"/>
        <v>2</v>
      </c>
      <c r="K45" s="363">
        <f t="shared" si="6"/>
        <v>0</v>
      </c>
      <c r="L45" s="363">
        <f t="shared" si="7"/>
        <v>3</v>
      </c>
      <c r="M45" s="352"/>
      <c r="N45" s="352"/>
      <c r="O45" s="394" t="s">
        <v>31</v>
      </c>
      <c r="P45" s="395">
        <f>SUMIF($D$8:$D$55,$O45,$G$8:$G$55)+SUMIF($F$8:$F$55,$O45,$I$8:$I$55)</f>
        <v>7</v>
      </c>
      <c r="Q45" s="395">
        <f>SUMIF($D$8:$D$55,$O45,$I$8:$I$55)+SUMIF($F$8:$F$55,$O45,$G$8:$G$55)</f>
        <v>4</v>
      </c>
      <c r="R45" s="396">
        <f>P45-Q45</f>
        <v>3</v>
      </c>
      <c r="S45" s="397">
        <f>SUMIF($D$8:$D$55,$O45,$K$8:$K$55)+SUMIF($F$8:$F$55,$O45,$L$8:$L$55)</f>
        <v>7</v>
      </c>
      <c r="T45" s="444" t="s">
        <v>77</v>
      </c>
      <c r="U45" s="40"/>
      <c r="V45" s="40" t="str">
        <f>O45</f>
        <v>Duitsland</v>
      </c>
      <c r="W45" s="40" t="s">
        <v>77</v>
      </c>
      <c r="Y45" s="109">
        <f t="shared" si="8"/>
        <v>0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0</v>
      </c>
      <c r="AG45" s="108">
        <f t="shared" si="0"/>
        <v>0</v>
      </c>
      <c r="AH45" s="108">
        <f t="shared" si="1"/>
        <v>0</v>
      </c>
      <c r="AI45" s="108">
        <f t="shared" si="10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0</v>
      </c>
      <c r="H46" s="373" t="s">
        <v>9</v>
      </c>
      <c r="I46" s="441">
        <v>0</v>
      </c>
      <c r="J46" s="375">
        <f t="shared" si="5"/>
        <v>3</v>
      </c>
      <c r="K46" s="363">
        <f t="shared" si="6"/>
        <v>1</v>
      </c>
      <c r="L46" s="363">
        <f t="shared" si="7"/>
        <v>1</v>
      </c>
      <c r="M46" s="352"/>
      <c r="N46" s="352"/>
      <c r="O46" s="398" t="s">
        <v>32</v>
      </c>
      <c r="P46" s="399">
        <f>SUMIF($D$8:$D$55,$O46,$G$8:$G$55)+SUMIF($F$8:$F$55,$O46,$I$8:$I$55)</f>
        <v>7</v>
      </c>
      <c r="Q46" s="399">
        <f>SUMIF($D$8:$D$55,$O46,$I$8:$I$55)+SUMIF($F$8:$F$55,$O46,$G$8:$G$55)</f>
        <v>4</v>
      </c>
      <c r="R46" s="399">
        <f>P46-Q46</f>
        <v>3</v>
      </c>
      <c r="S46" s="400">
        <f>SUMIF($D$8:$D$55,$O46,$K$8:$K$55)+SUMIF($F$8:$F$55,$O46,$L$8:$L$55)</f>
        <v>7</v>
      </c>
      <c r="T46" s="445" t="s">
        <v>78</v>
      </c>
      <c r="U46" s="40"/>
      <c r="V46" s="40" t="str">
        <f>O46</f>
        <v>Portugal</v>
      </c>
      <c r="W46" s="40" t="s">
        <v>78</v>
      </c>
      <c r="Y46" s="109">
        <f t="shared" si="8"/>
        <v>0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0</v>
      </c>
      <c r="AG46" s="108">
        <f t="shared" si="0"/>
        <v>0</v>
      </c>
      <c r="AH46" s="108">
        <f t="shared" si="1"/>
        <v>0</v>
      </c>
      <c r="AI46" s="108">
        <f t="shared" si="10"/>
        <v>0</v>
      </c>
      <c r="AJ46" s="108">
        <f t="shared" si="2"/>
        <v>0</v>
      </c>
      <c r="AK46" s="108">
        <f t="shared" si="3"/>
        <v>0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1</v>
      </c>
      <c r="H47" s="379" t="s">
        <v>9</v>
      </c>
      <c r="I47" s="442">
        <v>2</v>
      </c>
      <c r="J47" s="381">
        <f t="shared" si="5"/>
        <v>2</v>
      </c>
      <c r="K47" s="363">
        <f t="shared" si="6"/>
        <v>0</v>
      </c>
      <c r="L47" s="363">
        <f t="shared" si="7"/>
        <v>3</v>
      </c>
      <c r="M47" s="352"/>
      <c r="N47" s="352"/>
      <c r="O47" s="398" t="s">
        <v>35</v>
      </c>
      <c r="P47" s="399">
        <f>SUMIF($D$8:$D$55,$O47,$G$8:$G$55)+SUMIF($F$8:$F$55,$O47,$I$8:$I$55)</f>
        <v>3</v>
      </c>
      <c r="Q47" s="399">
        <f>SUMIF($D$8:$D$55,$O47,$I$8:$I$55)+SUMIF($F$8:$F$55,$O47,$G$8:$G$55)</f>
        <v>6</v>
      </c>
      <c r="R47" s="399">
        <f>P47-Q47</f>
        <v>-3</v>
      </c>
      <c r="S47" s="400">
        <f>SUMIF($D$8:$D$55,$O47,$K$8:$K$55)+SUMIF($F$8:$F$55,$O47,$L$8:$L$55)</f>
        <v>1</v>
      </c>
      <c r="T47" s="445" t="s">
        <v>79</v>
      </c>
      <c r="U47" s="40"/>
      <c r="V47" s="40" t="str">
        <f>O47</f>
        <v>Ghana</v>
      </c>
      <c r="W47" s="40" t="s">
        <v>79</v>
      </c>
      <c r="Y47" s="109">
        <f t="shared" si="8"/>
        <v>0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0</v>
      </c>
      <c r="AG47" s="108">
        <f t="shared" si="0"/>
        <v>0</v>
      </c>
      <c r="AH47" s="108">
        <f t="shared" si="1"/>
        <v>0</v>
      </c>
      <c r="AI47" s="108">
        <f t="shared" si="10"/>
        <v>0</v>
      </c>
      <c r="AJ47" s="108">
        <f t="shared" si="2"/>
        <v>0</v>
      </c>
      <c r="AK47" s="108">
        <f t="shared" si="3"/>
        <v>0</v>
      </c>
      <c r="AL47" s="108">
        <f t="shared" si="4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1</v>
      </c>
      <c r="H48" s="367" t="s">
        <v>9</v>
      </c>
      <c r="I48" s="440">
        <v>3</v>
      </c>
      <c r="J48" s="369">
        <f t="shared" si="5"/>
        <v>2</v>
      </c>
      <c r="K48" s="363">
        <f t="shared" si="6"/>
        <v>0</v>
      </c>
      <c r="L48" s="363">
        <f t="shared" si="7"/>
        <v>3</v>
      </c>
      <c r="M48" s="352"/>
      <c r="N48" s="352"/>
      <c r="O48" s="401" t="s">
        <v>36</v>
      </c>
      <c r="P48" s="402">
        <f>SUMIF($D$8:$D$55,$O48,$G$8:$G$55)+SUMIF($F$8:$F$55,$O48,$I$8:$I$55)</f>
        <v>5</v>
      </c>
      <c r="Q48" s="402">
        <f>SUMIF($D$8:$D$55,$O48,$I$8:$I$55)+SUMIF($F$8:$F$55,$O48,$G$8:$G$55)</f>
        <v>8</v>
      </c>
      <c r="R48" s="402">
        <f>P48-Q48</f>
        <v>-3</v>
      </c>
      <c r="S48" s="403">
        <f>SUMIF($D$8:$D$55,$O48,$K$8:$K$55)+SUMIF($F$8:$F$55,$O48,$L$8:$L$55)</f>
        <v>1</v>
      </c>
      <c r="T48" s="446" t="s">
        <v>80</v>
      </c>
      <c r="U48" s="40"/>
      <c r="V48" s="40" t="str">
        <f>O48</f>
        <v>Verenigde Staten</v>
      </c>
      <c r="W48" s="40" t="s">
        <v>80</v>
      </c>
      <c r="Y48" s="109">
        <f t="shared" si="8"/>
        <v>6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6</v>
      </c>
      <c r="AG48" s="108">
        <f t="shared" si="0"/>
        <v>0</v>
      </c>
      <c r="AH48" s="108">
        <f t="shared" si="1"/>
        <v>1</v>
      </c>
      <c r="AI48" s="108">
        <f t="shared" si="10"/>
        <v>0</v>
      </c>
      <c r="AJ48" s="108">
        <f t="shared" si="2"/>
        <v>0</v>
      </c>
      <c r="AK48" s="108">
        <f t="shared" si="3"/>
        <v>5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1</v>
      </c>
      <c r="H49" s="373" t="s">
        <v>9</v>
      </c>
      <c r="I49" s="441">
        <v>1</v>
      </c>
      <c r="J49" s="375">
        <f t="shared" si="5"/>
        <v>3</v>
      </c>
      <c r="K49" s="363">
        <f t="shared" si="6"/>
        <v>1</v>
      </c>
      <c r="L49" s="363">
        <f t="shared" si="7"/>
        <v>1</v>
      </c>
      <c r="M49" s="352"/>
      <c r="N49" s="352"/>
      <c r="O49" s="392"/>
      <c r="P49" s="393"/>
      <c r="Q49" s="393"/>
      <c r="R49" s="393"/>
      <c r="S49" s="393"/>
      <c r="T49" s="393"/>
      <c r="U49" s="40"/>
      <c r="V49" s="40"/>
      <c r="W49" s="40"/>
      <c r="Y49" s="109">
        <f t="shared" si="8"/>
        <v>1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1</v>
      </c>
      <c r="AG49" s="108">
        <f t="shared" si="0"/>
        <v>0</v>
      </c>
      <c r="AH49" s="108">
        <f t="shared" si="1"/>
        <v>1</v>
      </c>
      <c r="AI49" s="108">
        <f t="shared" si="10"/>
        <v>0</v>
      </c>
      <c r="AJ49" s="108">
        <f t="shared" si="2"/>
        <v>0</v>
      </c>
      <c r="AK49" s="108">
        <f t="shared" si="3"/>
        <v>0</v>
      </c>
      <c r="AL49" s="108">
        <f t="shared" si="4"/>
        <v>0</v>
      </c>
      <c r="AN49" s="40"/>
      <c r="AO49" s="41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1</v>
      </c>
      <c r="H50" s="373" t="s">
        <v>9</v>
      </c>
      <c r="I50" s="441">
        <v>2</v>
      </c>
      <c r="J50" s="375">
        <f t="shared" si="5"/>
        <v>2</v>
      </c>
      <c r="K50" s="363">
        <f t="shared" si="6"/>
        <v>0</v>
      </c>
      <c r="L50" s="363">
        <f t="shared" si="7"/>
        <v>3</v>
      </c>
      <c r="M50" s="352"/>
      <c r="N50" s="352"/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40"/>
      <c r="V50" s="40"/>
      <c r="W50" s="40"/>
      <c r="Y50" s="109">
        <f t="shared" si="8"/>
        <v>5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5</v>
      </c>
      <c r="AG50" s="108">
        <f t="shared" si="0"/>
        <v>0</v>
      </c>
      <c r="AH50" s="108">
        <f t="shared" si="1"/>
        <v>0</v>
      </c>
      <c r="AI50" s="108">
        <f t="shared" si="10"/>
        <v>0</v>
      </c>
      <c r="AJ50" s="108">
        <f t="shared" si="2"/>
        <v>0</v>
      </c>
      <c r="AK50" s="108">
        <f t="shared" si="3"/>
        <v>5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0</v>
      </c>
      <c r="H51" s="379" t="s">
        <v>9</v>
      </c>
      <c r="I51" s="442">
        <v>2</v>
      </c>
      <c r="J51" s="381">
        <f t="shared" si="5"/>
        <v>2</v>
      </c>
      <c r="K51" s="363">
        <f t="shared" si="6"/>
        <v>0</v>
      </c>
      <c r="L51" s="363">
        <f>IF(I51="","",IF($G51&lt;$I51,3,IF($G51=$I51,1,0)))</f>
        <v>3</v>
      </c>
      <c r="M51" s="352"/>
      <c r="N51" s="352"/>
      <c r="O51" s="394" t="s">
        <v>37</v>
      </c>
      <c r="P51" s="395">
        <f>SUMIF($D$8:$D$55,$O51,$G$8:$G$55)+SUMIF($F$8:$F$55,$O51,$I$8:$I$55)</f>
        <v>8</v>
      </c>
      <c r="Q51" s="395">
        <f>SUMIF($D$8:$D$55,$O51,$I$8:$I$55)+SUMIF($F$8:$F$55,$O51,$G$8:$G$55)</f>
        <v>4</v>
      </c>
      <c r="R51" s="396">
        <f>P51-Q51</f>
        <v>4</v>
      </c>
      <c r="S51" s="397">
        <f>SUMIF($D$8:$D$55,$O51,$K$8:$K$55)+SUMIF($F$8:$F$55,$O51,$L$8:$L$55)</f>
        <v>7</v>
      </c>
      <c r="T51" s="444" t="s">
        <v>82</v>
      </c>
      <c r="U51" s="40"/>
      <c r="V51" s="40" t="str">
        <f>O51</f>
        <v>België</v>
      </c>
      <c r="W51" s="40" t="s">
        <v>82</v>
      </c>
      <c r="Y51" s="109">
        <f t="shared" si="8"/>
        <v>1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1</v>
      </c>
      <c r="AG51" s="108">
        <f t="shared" si="0"/>
        <v>1</v>
      </c>
      <c r="AH51" s="108">
        <f t="shared" si="1"/>
        <v>0</v>
      </c>
      <c r="AI51" s="108">
        <f t="shared" si="10"/>
        <v>0</v>
      </c>
      <c r="AJ51" s="108">
        <f t="shared" si="2"/>
        <v>0</v>
      </c>
      <c r="AK51" s="108">
        <f t="shared" si="3"/>
        <v>0</v>
      </c>
      <c r="AL51" s="108">
        <f t="shared" si="4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1</v>
      </c>
      <c r="H52" s="373" t="s">
        <v>9</v>
      </c>
      <c r="I52" s="441">
        <v>3</v>
      </c>
      <c r="J52" s="369">
        <f t="shared" si="5"/>
        <v>2</v>
      </c>
      <c r="K52" s="363">
        <f t="shared" si="6"/>
        <v>0</v>
      </c>
      <c r="L52" s="363">
        <f t="shared" si="7"/>
        <v>3</v>
      </c>
      <c r="M52" s="352"/>
      <c r="N52" s="352"/>
      <c r="O52" s="398" t="s">
        <v>38</v>
      </c>
      <c r="P52" s="399">
        <f>SUMIF($D$8:$D$55,$O52,$G$8:$G$55)+SUMIF($F$8:$F$55,$O52,$I$8:$I$55)</f>
        <v>4</v>
      </c>
      <c r="Q52" s="399">
        <f>SUMIF($D$8:$D$55,$O52,$I$8:$I$55)+SUMIF($F$8:$F$55,$O52,$G$8:$G$55)</f>
        <v>6</v>
      </c>
      <c r="R52" s="399">
        <f>P52-Q52</f>
        <v>-2</v>
      </c>
      <c r="S52" s="400">
        <f>SUMIF($D$8:$D$55,$O52,$K$8:$K$55)+SUMIF($F$8:$F$55,$O52,$L$8:$L$55)</f>
        <v>3</v>
      </c>
      <c r="T52" s="445" t="s">
        <v>84</v>
      </c>
      <c r="U52" s="40"/>
      <c r="V52" s="40" t="str">
        <f>O52</f>
        <v>Algerije</v>
      </c>
      <c r="W52" s="40" t="s">
        <v>83</v>
      </c>
      <c r="Y52" s="109">
        <f t="shared" si="8"/>
        <v>5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5</v>
      </c>
      <c r="AG52" s="108">
        <f t="shared" si="0"/>
        <v>0</v>
      </c>
      <c r="AH52" s="108">
        <f t="shared" si="1"/>
        <v>0</v>
      </c>
      <c r="AI52" s="108">
        <f t="shared" si="10"/>
        <v>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2</v>
      </c>
      <c r="H53" s="373" t="s">
        <v>9</v>
      </c>
      <c r="I53" s="441">
        <v>0</v>
      </c>
      <c r="J53" s="375">
        <f t="shared" si="5"/>
        <v>1</v>
      </c>
      <c r="K53" s="363">
        <f t="shared" si="6"/>
        <v>3</v>
      </c>
      <c r="L53" s="363">
        <f t="shared" si="7"/>
        <v>0</v>
      </c>
      <c r="M53" s="352"/>
      <c r="N53" s="352"/>
      <c r="O53" s="398" t="s">
        <v>39</v>
      </c>
      <c r="P53" s="399">
        <f>SUMIF($D$8:$D$55,$O53,$G$8:$G$55)+SUMIF($F$8:$F$55,$O53,$I$8:$I$55)</f>
        <v>6</v>
      </c>
      <c r="Q53" s="399">
        <f>SUMIF($D$8:$D$55,$O53,$I$8:$I$55)+SUMIF($F$8:$F$55,$O53,$G$8:$G$55)</f>
        <v>4</v>
      </c>
      <c r="R53" s="399">
        <f>P53-Q53</f>
        <v>2</v>
      </c>
      <c r="S53" s="400">
        <f>SUMIF($D$8:$D$55,$O53,$K$8:$K$55)+SUMIF($F$8:$F$55,$O53,$L$8:$L$55)</f>
        <v>7</v>
      </c>
      <c r="T53" s="445" t="s">
        <v>83</v>
      </c>
      <c r="U53" s="40"/>
      <c r="V53" s="40" t="str">
        <f>O53</f>
        <v>Rusland</v>
      </c>
      <c r="W53" s="40" t="s">
        <v>84</v>
      </c>
      <c r="Y53" s="109">
        <f t="shared" si="8"/>
        <v>6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6</v>
      </c>
      <c r="AG53" s="108">
        <f t="shared" si="0"/>
        <v>1</v>
      </c>
      <c r="AH53" s="108">
        <f t="shared" si="1"/>
        <v>0</v>
      </c>
      <c r="AI53" s="108">
        <f t="shared" si="10"/>
        <v>0</v>
      </c>
      <c r="AJ53" s="108">
        <f t="shared" si="2"/>
        <v>5</v>
      </c>
      <c r="AK53" s="108">
        <f t="shared" si="3"/>
        <v>0</v>
      </c>
      <c r="AL53" s="108">
        <f t="shared" si="4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1</v>
      </c>
      <c r="H54" s="373" t="s">
        <v>9</v>
      </c>
      <c r="I54" s="441">
        <v>3</v>
      </c>
      <c r="J54" s="375">
        <f t="shared" si="5"/>
        <v>2</v>
      </c>
      <c r="K54" s="363">
        <f t="shared" si="6"/>
        <v>0</v>
      </c>
      <c r="L54" s="363">
        <f t="shared" si="7"/>
        <v>3</v>
      </c>
      <c r="M54" s="352"/>
      <c r="N54" s="352"/>
      <c r="O54" s="401" t="s">
        <v>40</v>
      </c>
      <c r="P54" s="402">
        <f>SUMIF($D$8:$D$55,$O54,$G$8:$G$55)+SUMIF($F$8:$F$55,$O54,$I$8:$I$55)</f>
        <v>3</v>
      </c>
      <c r="Q54" s="402">
        <f>SUMIF($D$8:$D$55,$O54,$I$8:$I$55)+SUMIF($F$8:$F$55,$O54,$G$8:$G$55)</f>
        <v>7</v>
      </c>
      <c r="R54" s="402">
        <f>P54-Q54</f>
        <v>-4</v>
      </c>
      <c r="S54" s="403">
        <f>SUMIF($D$8:$D$55,$O54,$K$8:$K$55)+SUMIF($F$8:$F$55,$O54,$L$8:$L$55)</f>
        <v>0</v>
      </c>
      <c r="T54" s="446" t="s">
        <v>85</v>
      </c>
      <c r="U54" s="40"/>
      <c r="V54" s="40" t="str">
        <f>O54</f>
        <v>Zuid Korea</v>
      </c>
      <c r="W54" s="40" t="s">
        <v>85</v>
      </c>
      <c r="Y54" s="109">
        <f t="shared" si="8"/>
        <v>5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5</v>
      </c>
      <c r="AG54" s="108">
        <f t="shared" si="0"/>
        <v>0</v>
      </c>
      <c r="AH54" s="108">
        <f t="shared" si="1"/>
        <v>0</v>
      </c>
      <c r="AI54" s="108">
        <f t="shared" si="10"/>
        <v>0</v>
      </c>
      <c r="AJ54" s="108">
        <f t="shared" si="2"/>
        <v>0</v>
      </c>
      <c r="AK54" s="108">
        <f t="shared" si="3"/>
        <v>5</v>
      </c>
      <c r="AL54" s="108">
        <f t="shared" si="4"/>
        <v>0</v>
      </c>
      <c r="AM54" s="120">
        <f>AO54</f>
        <v>10</v>
      </c>
      <c r="AN54" s="118" t="s">
        <v>40</v>
      </c>
      <c r="AO54" s="115">
        <f>IF(Uitslag!T54="",0,IF(T54=Uitslag!T54,10,0))</f>
        <v>10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1</v>
      </c>
      <c r="H55" s="388" t="s">
        <v>9</v>
      </c>
      <c r="I55" s="443">
        <v>2</v>
      </c>
      <c r="J55" s="390">
        <f t="shared" si="5"/>
        <v>2</v>
      </c>
      <c r="K55" s="363">
        <f t="shared" si="6"/>
        <v>0</v>
      </c>
      <c r="L55" s="363">
        <f t="shared" si="7"/>
        <v>3</v>
      </c>
      <c r="M55" s="352"/>
      <c r="N55" s="352"/>
      <c r="O55" s="392"/>
      <c r="P55" s="393"/>
      <c r="Q55" s="393"/>
      <c r="R55" s="393"/>
      <c r="S55" s="393"/>
      <c r="T55" s="393"/>
      <c r="U55" s="40"/>
      <c r="V55" s="40"/>
      <c r="W55" s="40"/>
      <c r="Y55" s="109">
        <f t="shared" si="8"/>
        <v>1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</v>
      </c>
      <c r="AG55" s="108">
        <f t="shared" si="0"/>
        <v>1</v>
      </c>
      <c r="AH55" s="108">
        <f t="shared" si="1"/>
        <v>0</v>
      </c>
      <c r="AI55" s="108">
        <f t="shared" si="10"/>
        <v>0</v>
      </c>
      <c r="AJ55" s="108">
        <f t="shared" si="2"/>
        <v>0</v>
      </c>
      <c r="AK55" s="108">
        <f t="shared" si="3"/>
        <v>0</v>
      </c>
      <c r="AL55" s="108">
        <f t="shared" si="4"/>
        <v>0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N56" s="352"/>
      <c r="O56" s="352"/>
      <c r="P56" s="352"/>
      <c r="Q56" s="352"/>
      <c r="R56" s="352"/>
      <c r="S56" s="352"/>
      <c r="T56" s="352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27"/>
      <c r="K57" s="353"/>
      <c r="L57" s="353"/>
      <c r="M57" s="353"/>
      <c r="N57" s="352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32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N58" s="352"/>
      <c r="O58" s="458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>IF(ISERROR(Z59),K59,Z59)</f>
        <v>Brazilië</v>
      </c>
      <c r="E59" s="367" t="s">
        <v>9</v>
      </c>
      <c r="F59" s="406" t="str">
        <f>IF(ISERROR(AA59),L59,AA59)</f>
        <v>Nederland</v>
      </c>
      <c r="G59" s="435">
        <v>2</v>
      </c>
      <c r="H59" s="367" t="s">
        <v>9</v>
      </c>
      <c r="I59" s="447">
        <v>1</v>
      </c>
      <c r="J59" s="448">
        <v>1</v>
      </c>
      <c r="K59" s="407" t="s">
        <v>48</v>
      </c>
      <c r="L59" s="407" t="s">
        <v>53</v>
      </c>
      <c r="M59" s="407">
        <v>1</v>
      </c>
      <c r="N59" s="352"/>
      <c r="O59" s="458">
        <v>2</v>
      </c>
      <c r="P59" s="877" t="s">
        <v>220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3">AF59</f>
        <v>1</v>
      </c>
      <c r="Z59" t="str">
        <f t="shared" ref="Z59:AA65" si="14">IF(K59=""," ",VLOOKUP(K59,$T$9:$V$54,3,FALSE))</f>
        <v>Brazilië</v>
      </c>
      <c r="AA59" t="str">
        <f t="shared" si="14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1</v>
      </c>
      <c r="AG59" s="108">
        <f t="shared" ref="AG59:AG66" si="16">IF(AC59="",0,(IF(G59=AC59,1,0)))</f>
        <v>0</v>
      </c>
      <c r="AH59" s="108">
        <f t="shared" ref="AH59:AH66" si="17">IF(AD59="",0,(IF(I59=AD59,1,0)))</f>
        <v>1</v>
      </c>
      <c r="AI59" s="108">
        <f t="shared" ref="AI59:AI66" si="18">IF(AND(AG59=1,AH59=1),10,0)</f>
        <v>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376">
        <v>50</v>
      </c>
      <c r="C60" s="466">
        <v>41818</v>
      </c>
      <c r="D60" s="460" t="str">
        <f t="shared" ref="D60:D66" si="23">IF(ISERROR(Z60),K60,Z60)</f>
        <v>Colombia</v>
      </c>
      <c r="E60" s="379" t="s">
        <v>9</v>
      </c>
      <c r="F60" s="409" t="str">
        <f t="shared" ref="F60:F66" si="24">IF(ISERROR(AA60),L60,AA60)</f>
        <v>Uruguay</v>
      </c>
      <c r="G60" s="437">
        <v>2</v>
      </c>
      <c r="H60" s="379" t="s">
        <v>9</v>
      </c>
      <c r="I60" s="449">
        <v>2</v>
      </c>
      <c r="J60" s="450">
        <v>2</v>
      </c>
      <c r="K60" s="407" t="s">
        <v>57</v>
      </c>
      <c r="L60" s="407" t="s">
        <v>63</v>
      </c>
      <c r="M60" s="407">
        <v>2</v>
      </c>
      <c r="N60" s="352"/>
      <c r="O60" s="458">
        <v>3</v>
      </c>
      <c r="P60" s="877" t="s">
        <v>209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3"/>
        <v>1</v>
      </c>
      <c r="Z60" t="str">
        <f t="shared" si="14"/>
        <v>Colombia</v>
      </c>
      <c r="AA60" t="str">
        <f t="shared" si="14"/>
        <v>Uruguay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1</v>
      </c>
      <c r="AG60" s="108">
        <f t="shared" si="16"/>
        <v>1</v>
      </c>
      <c r="AH60" s="108">
        <f t="shared" si="17"/>
        <v>0</v>
      </c>
      <c r="AI60" s="108">
        <f t="shared" si="18"/>
        <v>0</v>
      </c>
      <c r="AJ60" s="108">
        <f t="shared" si="19"/>
        <v>0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2"/>
        <v>3</v>
      </c>
    </row>
    <row r="61" spans="2:54">
      <c r="B61" s="364">
        <v>51</v>
      </c>
      <c r="C61" s="465">
        <v>41819</v>
      </c>
      <c r="D61" s="464" t="str">
        <f t="shared" si="23"/>
        <v>Spanje</v>
      </c>
      <c r="E61" s="367" t="s">
        <v>9</v>
      </c>
      <c r="F61" s="406" t="str">
        <f t="shared" si="24"/>
        <v>Mexico</v>
      </c>
      <c r="G61" s="435">
        <v>3</v>
      </c>
      <c r="H61" s="367" t="s">
        <v>9</v>
      </c>
      <c r="I61" s="447">
        <v>1</v>
      </c>
      <c r="J61" s="448">
        <v>1</v>
      </c>
      <c r="K61" s="407" t="s">
        <v>52</v>
      </c>
      <c r="L61" s="407" t="s">
        <v>49</v>
      </c>
      <c r="M61" s="407"/>
      <c r="N61" s="352"/>
      <c r="O61" s="458">
        <v>4</v>
      </c>
      <c r="P61" s="877" t="s">
        <v>225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3"/>
        <v>6</v>
      </c>
      <c r="Z61" t="str">
        <f t="shared" si="14"/>
        <v>Spanje</v>
      </c>
      <c r="AA61" t="str">
        <f t="shared" si="14"/>
        <v>Mexico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6</v>
      </c>
      <c r="AG61" s="108">
        <f t="shared" si="16"/>
        <v>0</v>
      </c>
      <c r="AH61" s="108">
        <f t="shared" si="17"/>
        <v>1</v>
      </c>
      <c r="AI61" s="108">
        <f t="shared" si="18"/>
        <v>0</v>
      </c>
      <c r="AJ61" s="108">
        <f t="shared" si="19"/>
        <v>5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3</v>
      </c>
      <c r="BB61" s="139">
        <f t="shared" si="22"/>
        <v>3</v>
      </c>
    </row>
    <row r="62" spans="2:54">
      <c r="B62" s="376">
        <v>52</v>
      </c>
      <c r="C62" s="466">
        <v>41819</v>
      </c>
      <c r="D62" s="464" t="str">
        <f t="shared" si="23"/>
        <v>Italië</v>
      </c>
      <c r="E62" s="379" t="s">
        <v>9</v>
      </c>
      <c r="F62" s="409" t="str">
        <f t="shared" si="24"/>
        <v>Ivoorkust</v>
      </c>
      <c r="G62" s="437">
        <v>2</v>
      </c>
      <c r="H62" s="379" t="s">
        <v>9</v>
      </c>
      <c r="I62" s="449">
        <v>1</v>
      </c>
      <c r="J62" s="450">
        <v>1</v>
      </c>
      <c r="K62" s="407" t="s">
        <v>62</v>
      </c>
      <c r="L62" s="407" t="s">
        <v>58</v>
      </c>
      <c r="M62" s="407"/>
      <c r="N62" s="352"/>
      <c r="O62" s="458">
        <v>5</v>
      </c>
      <c r="P62" s="877" t="s">
        <v>211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3"/>
        <v>1</v>
      </c>
      <c r="Z62" t="str">
        <f t="shared" si="14"/>
        <v>Italië</v>
      </c>
      <c r="AA62" t="str">
        <f t="shared" si="14"/>
        <v>Ivoorkust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1</v>
      </c>
      <c r="AG62" s="108">
        <f t="shared" si="16"/>
        <v>0</v>
      </c>
      <c r="AH62" s="108">
        <f t="shared" si="17"/>
        <v>1</v>
      </c>
      <c r="AI62" s="108">
        <f t="shared" si="18"/>
        <v>0</v>
      </c>
      <c r="AJ62" s="108">
        <f t="shared" si="19"/>
        <v>0</v>
      </c>
      <c r="AK62" s="108">
        <f t="shared" si="20"/>
        <v>0</v>
      </c>
      <c r="AL62" s="108">
        <f t="shared" si="21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2"/>
        <v>3</v>
      </c>
    </row>
    <row r="63" spans="2:54">
      <c r="B63" s="364">
        <v>53</v>
      </c>
      <c r="C63" s="465">
        <v>41820</v>
      </c>
      <c r="D63" s="459" t="str">
        <f t="shared" si="23"/>
        <v>Frankrijk</v>
      </c>
      <c r="E63" s="367" t="s">
        <v>9</v>
      </c>
      <c r="F63" s="406" t="str">
        <f t="shared" si="24"/>
        <v>Nigeria</v>
      </c>
      <c r="G63" s="435">
        <v>2</v>
      </c>
      <c r="H63" s="367" t="s">
        <v>9</v>
      </c>
      <c r="I63" s="447">
        <v>1</v>
      </c>
      <c r="J63" s="448">
        <v>1</v>
      </c>
      <c r="K63" s="407" t="s">
        <v>67</v>
      </c>
      <c r="L63" s="407" t="s">
        <v>73</v>
      </c>
      <c r="M63" s="407"/>
      <c r="N63" s="352"/>
      <c r="O63" s="458">
        <v>6</v>
      </c>
      <c r="P63" s="877" t="s">
        <v>213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3"/>
        <v>6</v>
      </c>
      <c r="Z63" t="str">
        <f t="shared" si="14"/>
        <v>Frankrijk</v>
      </c>
      <c r="AA63" t="str">
        <f t="shared" si="14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6</v>
      </c>
      <c r="AG63" s="108">
        <f t="shared" si="16"/>
        <v>1</v>
      </c>
      <c r="AH63" s="108">
        <f t="shared" si="17"/>
        <v>0</v>
      </c>
      <c r="AI63" s="108">
        <f t="shared" si="18"/>
        <v>0</v>
      </c>
      <c r="AJ63" s="108">
        <f t="shared" si="19"/>
        <v>5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3</v>
      </c>
      <c r="BB63" s="139">
        <f t="shared" si="22"/>
        <v>3</v>
      </c>
    </row>
    <row r="64" spans="2:54">
      <c r="B64" s="376">
        <v>54</v>
      </c>
      <c r="C64" s="466">
        <v>41820</v>
      </c>
      <c r="D64" s="460" t="str">
        <f t="shared" si="23"/>
        <v>Duitsland</v>
      </c>
      <c r="E64" s="379" t="s">
        <v>9</v>
      </c>
      <c r="F64" s="409" t="str">
        <f t="shared" si="24"/>
        <v>Rusland</v>
      </c>
      <c r="G64" s="437">
        <v>3</v>
      </c>
      <c r="H64" s="379" t="s">
        <v>9</v>
      </c>
      <c r="I64" s="449">
        <v>2</v>
      </c>
      <c r="J64" s="450">
        <v>1</v>
      </c>
      <c r="K64" s="407" t="s">
        <v>77</v>
      </c>
      <c r="L64" s="407" t="s">
        <v>83</v>
      </c>
      <c r="M64" s="407"/>
      <c r="N64" s="352"/>
      <c r="O64" s="458">
        <v>7</v>
      </c>
      <c r="P64" s="877" t="s">
        <v>221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3"/>
        <v>0</v>
      </c>
      <c r="Z64" t="str">
        <f t="shared" si="14"/>
        <v>Duitsland</v>
      </c>
      <c r="AA64" t="str">
        <f t="shared" si="14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0</v>
      </c>
      <c r="AG64" s="108">
        <f t="shared" si="16"/>
        <v>0</v>
      </c>
      <c r="AH64" s="108">
        <f t="shared" si="17"/>
        <v>0</v>
      </c>
      <c r="AI64" s="108">
        <f t="shared" si="18"/>
        <v>0</v>
      </c>
      <c r="AJ64" s="108">
        <f t="shared" si="19"/>
        <v>0</v>
      </c>
      <c r="AK64" s="108">
        <f t="shared" si="20"/>
        <v>0</v>
      </c>
      <c r="AL64" s="108">
        <f t="shared" si="21"/>
        <v>0</v>
      </c>
      <c r="AZ64" s="138" t="str">
        <f>Uitslag!P64</f>
        <v>Wesley Sneijder (m)</v>
      </c>
      <c r="BA64" s="140">
        <f t="shared" si="12"/>
        <v>0</v>
      </c>
      <c r="BB64" s="139">
        <f t="shared" si="22"/>
        <v>0</v>
      </c>
    </row>
    <row r="65" spans="2:54">
      <c r="B65" s="370">
        <v>55</v>
      </c>
      <c r="C65" s="467">
        <v>41821</v>
      </c>
      <c r="D65" s="459" t="str">
        <f t="shared" si="23"/>
        <v>Argentinië</v>
      </c>
      <c r="E65" s="373" t="s">
        <v>9</v>
      </c>
      <c r="F65" s="410" t="str">
        <f t="shared" si="24"/>
        <v>Zwitserland</v>
      </c>
      <c r="G65" s="436">
        <v>2</v>
      </c>
      <c r="H65" s="373" t="s">
        <v>9</v>
      </c>
      <c r="I65" s="451">
        <v>0</v>
      </c>
      <c r="J65" s="452">
        <v>1</v>
      </c>
      <c r="K65" s="407" t="s">
        <v>72</v>
      </c>
      <c r="L65" s="407" t="s">
        <v>68</v>
      </c>
      <c r="M65" s="407"/>
      <c r="N65" s="352"/>
      <c r="O65" s="458">
        <v>8</v>
      </c>
      <c r="P65" s="877" t="s">
        <v>214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3"/>
        <v>1</v>
      </c>
      <c r="Z65" t="str">
        <f t="shared" si="14"/>
        <v>Argentinië</v>
      </c>
      <c r="AA65" t="str">
        <f t="shared" si="14"/>
        <v>Zwitserland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1</v>
      </c>
      <c r="AG65" s="108">
        <f t="shared" si="16"/>
        <v>0</v>
      </c>
      <c r="AH65" s="108">
        <f t="shared" si="17"/>
        <v>1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2"/>
        <v>3</v>
      </c>
    </row>
    <row r="66" spans="2:54" ht="15.75" thickBot="1">
      <c r="B66" s="385">
        <v>56</v>
      </c>
      <c r="C66" s="462">
        <v>41821</v>
      </c>
      <c r="D66" s="461" t="str">
        <f t="shared" si="23"/>
        <v>België</v>
      </c>
      <c r="E66" s="388" t="s">
        <v>9</v>
      </c>
      <c r="F66" s="412" t="str">
        <f t="shared" si="24"/>
        <v>Portugal</v>
      </c>
      <c r="G66" s="438">
        <v>2</v>
      </c>
      <c r="H66" s="388" t="s">
        <v>9</v>
      </c>
      <c r="I66" s="453">
        <v>2</v>
      </c>
      <c r="J66" s="454">
        <v>2</v>
      </c>
      <c r="K66" s="407" t="s">
        <v>82</v>
      </c>
      <c r="L66" s="407" t="s">
        <v>78</v>
      </c>
      <c r="M66" s="407"/>
      <c r="N66" s="352"/>
      <c r="O66" s="458">
        <v>9</v>
      </c>
      <c r="P66" s="877" t="s">
        <v>215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3"/>
        <v>5</v>
      </c>
      <c r="Z66" t="str">
        <f>IF(K66=""," ",VLOOKUP(K66,$T$9:$V$54,3,FALSE))</f>
        <v>België</v>
      </c>
      <c r="AA66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5</v>
      </c>
      <c r="AG66" s="108">
        <f t="shared" si="16"/>
        <v>0</v>
      </c>
      <c r="AH66" s="108">
        <f t="shared" si="17"/>
        <v>0</v>
      </c>
      <c r="AI66" s="108">
        <f t="shared" si="18"/>
        <v>0</v>
      </c>
      <c r="AJ66" s="108">
        <f t="shared" si="19"/>
        <v>0</v>
      </c>
      <c r="AK66" s="108">
        <f t="shared" si="20"/>
        <v>0</v>
      </c>
      <c r="AL66" s="108">
        <f t="shared" si="21"/>
        <v>5</v>
      </c>
      <c r="AZ66" s="138" t="str">
        <f>Uitslag!P66</f>
        <v>Jonathan de Guzman (m)</v>
      </c>
      <c r="BA66" s="140">
        <f t="shared" si="12"/>
        <v>3</v>
      </c>
      <c r="BB66" s="139">
        <f t="shared" si="22"/>
        <v>3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N67" s="352"/>
      <c r="O67" s="458">
        <v>10</v>
      </c>
      <c r="P67" s="877" t="s">
        <v>216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2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27"/>
      <c r="K68" s="353"/>
      <c r="L68" s="353"/>
      <c r="M68" s="353"/>
      <c r="N68" s="352"/>
      <c r="O68" s="458">
        <v>11</v>
      </c>
      <c r="P68" s="877" t="s">
        <v>235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0</v>
      </c>
      <c r="BB68" s="139">
        <f t="shared" si="22"/>
        <v>0</v>
      </c>
    </row>
    <row r="69" spans="2:54">
      <c r="B69" s="428" t="s">
        <v>1</v>
      </c>
      <c r="C69" s="429" t="s">
        <v>2</v>
      </c>
      <c r="D69" s="430" t="s">
        <v>3</v>
      </c>
      <c r="E69" s="431"/>
      <c r="F69" s="432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N69" s="352"/>
      <c r="O69" s="352"/>
      <c r="P69" s="352"/>
      <c r="Q69" s="352"/>
      <c r="R69" s="352"/>
      <c r="S69" s="352"/>
      <c r="T69" s="352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27</v>
      </c>
      <c r="BB69" s="139" t="str">
        <f>IF(AND(BA69&lt;&gt;"",BA69=33),15,"nvt")</f>
        <v>nvt</v>
      </c>
    </row>
    <row r="70" spans="2:54">
      <c r="B70" s="364">
        <v>57</v>
      </c>
      <c r="C70" s="365">
        <v>41824</v>
      </c>
      <c r="D70" s="405" t="str">
        <f>IF(J63="","Winnaar 53",IF(J63=1,D63,F63))</f>
        <v>Frankrijk</v>
      </c>
      <c r="E70" s="367" t="s">
        <v>9</v>
      </c>
      <c r="F70" s="406" t="str">
        <f>IF(J64="","Winnaar 54",IF(J64=1,D64,F64))</f>
        <v>Duitsland</v>
      </c>
      <c r="G70" s="435">
        <v>1</v>
      </c>
      <c r="H70" s="367" t="s">
        <v>9</v>
      </c>
      <c r="I70" s="447">
        <v>2</v>
      </c>
      <c r="J70" s="448">
        <v>2</v>
      </c>
      <c r="K70" s="353"/>
      <c r="L70" s="353"/>
      <c r="M70" s="353"/>
      <c r="N70" s="352"/>
      <c r="O70" s="352"/>
      <c r="P70" s="352"/>
      <c r="Q70" s="352"/>
      <c r="R70" s="352"/>
      <c r="S70" s="352"/>
      <c r="T70" s="352"/>
      <c r="V70" t="s">
        <v>133</v>
      </c>
      <c r="W70" t="s">
        <v>126</v>
      </c>
      <c r="X70" t="str">
        <f t="shared" si="11"/>
        <v>Karim Rekik (v)</v>
      </c>
      <c r="Y70" s="109">
        <f>AF70</f>
        <v>5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5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Brazilië</v>
      </c>
      <c r="E71" s="379" t="s">
        <v>9</v>
      </c>
      <c r="F71" s="409" t="str">
        <f>IF(J60="","Winnaar 50",IF(J60=1,D60,F60))</f>
        <v>Uruguay</v>
      </c>
      <c r="G71" s="437">
        <v>3</v>
      </c>
      <c r="H71" s="379" t="s">
        <v>9</v>
      </c>
      <c r="I71" s="449">
        <v>1</v>
      </c>
      <c r="J71" s="450">
        <v>1</v>
      </c>
      <c r="K71" s="353"/>
      <c r="L71" s="353"/>
      <c r="M71" s="353"/>
      <c r="N71" s="352"/>
      <c r="O71" s="352"/>
      <c r="P71" s="352"/>
      <c r="Q71" s="352"/>
      <c r="R71" s="352"/>
      <c r="S71" s="352"/>
      <c r="T71" s="352"/>
      <c r="V71" t="s">
        <v>133</v>
      </c>
      <c r="W71" t="s">
        <v>194</v>
      </c>
      <c r="X71" t="str">
        <f t="shared" si="11"/>
        <v>Ron Vlaar (v)</v>
      </c>
      <c r="Y71" s="109">
        <f>AF71</f>
        <v>6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6</v>
      </c>
      <c r="AG71" s="108">
        <f>IF(AC71="",0,(IF(G71=AC71,1,0)))</f>
        <v>0</v>
      </c>
      <c r="AH71" s="108">
        <f>IF(AD71="",0,(IF(I71=AD71,1,0)))</f>
        <v>1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Argentinië</v>
      </c>
      <c r="E72" s="367" t="s">
        <v>9</v>
      </c>
      <c r="F72" s="406" t="str">
        <f>IF(J66="","Winnaar 56",IF(J66=1,D66,F66))</f>
        <v>Portugal</v>
      </c>
      <c r="G72" s="435">
        <v>2</v>
      </c>
      <c r="H72" s="367" t="s">
        <v>9</v>
      </c>
      <c r="I72" s="447">
        <v>1</v>
      </c>
      <c r="J72" s="448">
        <v>1</v>
      </c>
      <c r="K72" s="353"/>
      <c r="L72" s="353"/>
      <c r="M72" s="353"/>
      <c r="N72" s="352"/>
      <c r="O72" s="352"/>
      <c r="P72" s="352"/>
      <c r="Q72" s="352"/>
      <c r="R72" s="352"/>
      <c r="S72" s="352"/>
      <c r="T72" s="352"/>
      <c r="V72" t="s">
        <v>133</v>
      </c>
      <c r="W72" t="s">
        <v>195</v>
      </c>
      <c r="X72" t="str">
        <f t="shared" si="11"/>
        <v>John Heitinga (v)</v>
      </c>
      <c r="Y72" s="109">
        <f>AF72</f>
        <v>5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5</v>
      </c>
      <c r="AG72" s="108">
        <f>IF(AC72="",0,(IF(G72=AC72,1,0)))</f>
        <v>0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5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Spanje</v>
      </c>
      <c r="E73" s="388" t="s">
        <v>9</v>
      </c>
      <c r="F73" s="412" t="str">
        <f>IF(J62="","Winnaar 52",IF(J62=1,D62,F62))</f>
        <v>Italië</v>
      </c>
      <c r="G73" s="438">
        <v>2</v>
      </c>
      <c r="H73" s="388" t="s">
        <v>9</v>
      </c>
      <c r="I73" s="453">
        <v>2</v>
      </c>
      <c r="J73" s="454">
        <v>1</v>
      </c>
      <c r="K73" s="353"/>
      <c r="L73" s="353"/>
      <c r="M73" s="353"/>
      <c r="N73" s="352"/>
      <c r="O73" s="352"/>
      <c r="P73" s="352"/>
      <c r="Q73" s="352"/>
      <c r="R73" s="352"/>
      <c r="S73" s="352"/>
      <c r="T73" s="352"/>
      <c r="V73" t="s">
        <v>133</v>
      </c>
      <c r="W73" t="s">
        <v>196</v>
      </c>
      <c r="X73" t="str">
        <f t="shared" si="11"/>
        <v>Urby Emanuelson (v)</v>
      </c>
      <c r="Y73" s="109">
        <f>AF73</f>
        <v>5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5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5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N74" s="352"/>
      <c r="O74" s="352"/>
      <c r="P74" s="352"/>
      <c r="Q74" s="352"/>
      <c r="R74" s="352"/>
      <c r="S74" s="352"/>
      <c r="T74" s="352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27"/>
      <c r="K75" s="353"/>
      <c r="L75" s="353"/>
      <c r="M75" s="353"/>
      <c r="N75" s="352"/>
      <c r="O75" s="352"/>
      <c r="P75" s="352"/>
      <c r="Q75" s="352"/>
      <c r="R75" s="352"/>
      <c r="S75" s="352"/>
      <c r="T75" s="352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30" t="s">
        <v>3</v>
      </c>
      <c r="E76" s="431"/>
      <c r="F76" s="432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N76" s="352"/>
      <c r="O76" s="352"/>
      <c r="P76" s="352"/>
      <c r="Q76" s="352"/>
      <c r="R76" s="352"/>
      <c r="S76" s="352"/>
      <c r="T76" s="352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Duitsland</v>
      </c>
      <c r="E77" s="367" t="s">
        <v>9</v>
      </c>
      <c r="F77" s="406" t="str">
        <f>IF(J71="","Winnaar 58",IF(J71=1,D71,F71))</f>
        <v>Brazilië</v>
      </c>
      <c r="G77" s="435">
        <v>1</v>
      </c>
      <c r="H77" s="367" t="s">
        <v>9</v>
      </c>
      <c r="I77" s="447">
        <v>2</v>
      </c>
      <c r="J77" s="448">
        <v>2</v>
      </c>
      <c r="K77" s="353"/>
      <c r="L77" s="353"/>
      <c r="M77" s="353"/>
      <c r="N77" s="352"/>
      <c r="O77" s="352"/>
      <c r="P77" s="352"/>
      <c r="Q77" s="352"/>
      <c r="R77" s="352"/>
      <c r="S77" s="352"/>
      <c r="T77" s="352"/>
      <c r="V77" t="s">
        <v>134</v>
      </c>
      <c r="W77" t="s">
        <v>203</v>
      </c>
      <c r="X77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Argentinië</v>
      </c>
      <c r="E78" s="388" t="s">
        <v>9</v>
      </c>
      <c r="F78" s="412" t="str">
        <f>IF(J73="","Winnaar 60",IF(J73=1,D73,F73))</f>
        <v>Spanje</v>
      </c>
      <c r="G78" s="438">
        <v>2</v>
      </c>
      <c r="H78" s="388" t="s">
        <v>9</v>
      </c>
      <c r="I78" s="453">
        <v>2</v>
      </c>
      <c r="J78" s="454">
        <v>2</v>
      </c>
      <c r="K78" s="353"/>
      <c r="L78" s="353"/>
      <c r="M78" s="353"/>
      <c r="N78" s="352"/>
      <c r="O78" s="352"/>
      <c r="P78" s="352"/>
      <c r="Q78" s="352"/>
      <c r="R78" s="352"/>
      <c r="S78" s="352"/>
      <c r="T78" s="352"/>
      <c r="V78" t="s">
        <v>134</v>
      </c>
      <c r="W78" t="s">
        <v>199</v>
      </c>
      <c r="X78" t="str">
        <f t="shared" si="11"/>
        <v>Leroy Fer (m)</v>
      </c>
      <c r="Y78" s="109">
        <f>AF78</f>
        <v>5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5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5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N79" s="352"/>
      <c r="O79" s="352"/>
      <c r="P79" s="352"/>
      <c r="Q79" s="352"/>
      <c r="R79" s="352"/>
      <c r="S79" s="352"/>
      <c r="T79" s="352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27"/>
      <c r="K80" s="353"/>
      <c r="L80" s="353"/>
      <c r="M80" s="353"/>
      <c r="N80" s="352"/>
      <c r="O80" s="352"/>
      <c r="P80" s="352"/>
      <c r="Q80" s="352"/>
      <c r="R80" s="352"/>
      <c r="S80" s="352"/>
      <c r="T80" s="352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30" t="s">
        <v>3</v>
      </c>
      <c r="E81" s="431"/>
      <c r="F81" s="432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N81" s="352"/>
      <c r="O81" s="352"/>
      <c r="P81" s="352"/>
      <c r="Q81" s="352"/>
      <c r="R81" s="352"/>
      <c r="S81" s="352"/>
      <c r="T81" s="352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Duitsland</v>
      </c>
      <c r="E82" s="355" t="s">
        <v>9</v>
      </c>
      <c r="F82" s="415" t="str">
        <f>IF(J78="","Verliezer 62",IF(J78=1,F78,D78))</f>
        <v>Argentinië</v>
      </c>
      <c r="G82" s="455">
        <v>1</v>
      </c>
      <c r="H82" s="355" t="s">
        <v>9</v>
      </c>
      <c r="I82" s="456">
        <v>2</v>
      </c>
      <c r="J82" s="457">
        <v>2</v>
      </c>
      <c r="K82" s="353"/>
      <c r="L82" s="353"/>
      <c r="M82" s="353"/>
      <c r="N82" s="352"/>
      <c r="O82" s="352"/>
      <c r="P82" s="352"/>
      <c r="Q82" s="352"/>
      <c r="R82" s="352"/>
      <c r="S82" s="352"/>
      <c r="T82" s="352"/>
      <c r="V82" t="s">
        <v>134</v>
      </c>
      <c r="W82" t="s">
        <v>125</v>
      </c>
      <c r="X82" t="str">
        <f t="shared" si="11"/>
        <v>Georginio Wijnaldum (m)</v>
      </c>
      <c r="Y82" s="109">
        <f>AF82</f>
        <v>5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5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5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N83" s="352"/>
      <c r="O83" s="352"/>
      <c r="P83" s="352"/>
      <c r="Q83" s="352"/>
      <c r="R83" s="352"/>
      <c r="S83" s="352"/>
      <c r="T83" s="352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27"/>
      <c r="K84" s="353"/>
      <c r="L84" s="353"/>
      <c r="M84" s="353"/>
      <c r="N84" s="352"/>
      <c r="O84" s="352"/>
      <c r="P84" s="352"/>
      <c r="Q84" s="352"/>
      <c r="R84" s="352"/>
      <c r="S84" s="352"/>
      <c r="T84" s="352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30" t="s">
        <v>3</v>
      </c>
      <c r="E85" s="431"/>
      <c r="F85" s="432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N85" s="352"/>
      <c r="O85" s="352"/>
      <c r="P85" s="352"/>
      <c r="Q85" s="352"/>
      <c r="R85" s="352"/>
      <c r="S85" s="352"/>
      <c r="T85" s="352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Brazilië</v>
      </c>
      <c r="E86" s="355" t="s">
        <v>9</v>
      </c>
      <c r="F86" s="415" t="str">
        <f>IF(J78="","Winnaar 62",IF(J78=1,D78,F78))</f>
        <v>Spanje</v>
      </c>
      <c r="G86" s="455">
        <v>2</v>
      </c>
      <c r="H86" s="355" t="s">
        <v>9</v>
      </c>
      <c r="I86" s="456">
        <v>1</v>
      </c>
      <c r="J86" s="457">
        <v>1</v>
      </c>
      <c r="K86" s="353"/>
      <c r="L86" s="353"/>
      <c r="M86" s="353"/>
      <c r="N86" s="352"/>
      <c r="O86" s="352"/>
      <c r="P86" s="352"/>
      <c r="Q86" s="352"/>
      <c r="R86" s="352"/>
      <c r="S86" s="352"/>
      <c r="T86" s="352"/>
      <c r="V86" t="s">
        <v>134</v>
      </c>
      <c r="W86" t="s">
        <v>139</v>
      </c>
      <c r="X86" t="str">
        <f t="shared" si="11"/>
        <v>Nigel de Jong (m)</v>
      </c>
      <c r="Y86" s="109">
        <f>AF86</f>
        <v>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0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Brazilië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5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5</v>
      </c>
      <c r="AV89">
        <f>IF(AR89=0,0,IF(E89=AR89,50,0))</f>
        <v>0</v>
      </c>
      <c r="AW89">
        <f>IF(E89=0,0,IF(OR(E89=AR90),15,0))</f>
        <v>0</v>
      </c>
      <c r="AX89">
        <f>IF(E89=0,0,IF(OR(E89=AR91,E89=AR92),5,0))</f>
        <v>5</v>
      </c>
    </row>
    <row r="90" spans="2:50">
      <c r="C90" s="870">
        <v>2</v>
      </c>
      <c r="D90" s="871"/>
      <c r="E90" s="872" t="str">
        <f>IF(J86=2,D86,IF(J86=1,F86,"Wie wordt 2de?"))</f>
        <v>Spanje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0</v>
      </c>
      <c r="AV90">
        <f>IF(AR90=0,0,IF(AR90=E90,25,0))</f>
        <v>0</v>
      </c>
      <c r="AW90">
        <f>IF(E90=0,0,IF(OR(E90=AR89,),15,0))</f>
        <v>0</v>
      </c>
      <c r="AX90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Argentinië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5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5</v>
      </c>
      <c r="AV91">
        <f>IF(AR91=0,0,IF(AR91=E91,15,0))</f>
        <v>0</v>
      </c>
      <c r="AW91">
        <f>IF(E91=0,0,IF(OR(E91=AR92),10,0))</f>
        <v>0</v>
      </c>
      <c r="AX91">
        <f>IF(E91=0,0,IF(OR(E91=AR89,E91=AR90),5,0))</f>
        <v>5</v>
      </c>
    </row>
    <row r="92" spans="2:50">
      <c r="C92" s="870">
        <v>4</v>
      </c>
      <c r="D92" s="871"/>
      <c r="E92" s="872" t="str">
        <f>IF(J82=2,D82,IF(J82=1,F82,"Wie wordt 4de?"))</f>
        <v>Duitsland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5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5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5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15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conditionalFormatting sqref="AO9:AO12 AO15:AO18 AO21:AO24 AO27:AO30 AO33:AO36 AO39:AO42 AO45:AO48 AO51:AO54">
    <cfRule type="cellIs" dxfId="212" priority="3" operator="equal">
      <formula>10</formula>
    </cfRule>
  </conditionalFormatting>
  <conditionalFormatting sqref="P58:T58">
    <cfRule type="duplicateValues" dxfId="211" priority="2"/>
  </conditionalFormatting>
  <conditionalFormatting sqref="P58:T68">
    <cfRule type="duplicateValues" dxfId="210" priority="1"/>
  </conditionalFormatting>
  <dataValidations count="10">
    <dataValidation type="list" allowBlank="1" showInputMessage="1" showErrorMessage="1" sqref="P58:P68">
      <formula1>$X$58:$X$98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51:T54">
      <formula1>$W$51:$W$54</formula1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B1:BB98"/>
  <sheetViews>
    <sheetView topLeftCell="A40" zoomScale="70" zoomScaleNormal="70" workbookViewId="0">
      <selection activeCell="P58" sqref="P58:T68"/>
    </sheetView>
  </sheetViews>
  <sheetFormatPr defaultRowHeight="15" outlineLevelCol="2"/>
  <cols>
    <col min="1" max="1" width="3.42578125" customWidth="1"/>
    <col min="2" max="2" width="3.5703125" bestFit="1" customWidth="1"/>
    <col min="3" max="3" width="11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145" t="s">
        <v>252</v>
      </c>
      <c r="E3" s="145"/>
      <c r="F3" s="145"/>
      <c r="N3" t="str">
        <f>D3</f>
        <v>Ricardo M.</v>
      </c>
      <c r="O3" s="144">
        <f>SUM(P3:S3)</f>
        <v>401</v>
      </c>
      <c r="P3" s="109">
        <f>SUM(Y8:Y86)</f>
        <v>216</v>
      </c>
      <c r="Q3" s="109">
        <f>SUM(AM4:AM55)</f>
        <v>140</v>
      </c>
      <c r="R3" s="109">
        <f>SUM(AP89:AP92)</f>
        <v>15</v>
      </c>
      <c r="S3" s="109">
        <f>SUM(BB58:BB69)</f>
        <v>30</v>
      </c>
      <c r="T3" s="109">
        <f>COUNTIF(AF8:AF86,10)</f>
        <v>5</v>
      </c>
      <c r="U3" s="109" t="str">
        <f>E89</f>
        <v>Brazilië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1"/>
      <c r="L6" s="1"/>
      <c r="O6" s="40"/>
      <c r="P6" s="41"/>
      <c r="Q6" s="41"/>
      <c r="R6" s="41"/>
      <c r="S6" s="41"/>
      <c r="T6" s="41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66" t="s">
        <v>1</v>
      </c>
      <c r="C7" s="67" t="s">
        <v>2</v>
      </c>
      <c r="D7" s="196" t="s">
        <v>3</v>
      </c>
      <c r="E7" s="69"/>
      <c r="F7" s="197" t="s">
        <v>4</v>
      </c>
      <c r="G7" s="880" t="s">
        <v>5</v>
      </c>
      <c r="H7" s="881"/>
      <c r="I7" s="882"/>
      <c r="J7" s="71" t="s">
        <v>6</v>
      </c>
      <c r="K7" s="4" t="s">
        <v>7</v>
      </c>
      <c r="L7" s="4" t="s">
        <v>7</v>
      </c>
      <c r="O7" s="1"/>
      <c r="P7" s="41"/>
      <c r="Q7" s="41"/>
      <c r="R7" s="41"/>
      <c r="S7" s="41"/>
      <c r="T7" s="41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5">
        <v>1</v>
      </c>
      <c r="C8" s="6">
        <v>41802</v>
      </c>
      <c r="D8" s="7" t="s">
        <v>8</v>
      </c>
      <c r="E8" s="8" t="s">
        <v>9</v>
      </c>
      <c r="F8" s="9" t="s">
        <v>10</v>
      </c>
      <c r="G8" s="84">
        <v>3</v>
      </c>
      <c r="H8" s="8" t="s">
        <v>9</v>
      </c>
      <c r="I8" s="192">
        <v>1</v>
      </c>
      <c r="J8" s="10">
        <f t="shared" ref="J8:J55" si="0">IF(I8="","",IF(G8&gt;I8,1,IF(G8&lt;I8,2,3)))</f>
        <v>1</v>
      </c>
      <c r="K8" s="11">
        <f t="shared" ref="K8:K55" si="1">IF(I8="","",IF($G8&gt;$I8,3,IF($G8=$I8,1,0)))</f>
        <v>3</v>
      </c>
      <c r="L8" s="11">
        <f t="shared" ref="L8:L55" si="2">IF(I8="","",IF($G8&lt;$I8,3,IF($G8=$I8,1,0)))</f>
        <v>0</v>
      </c>
      <c r="O8" s="72" t="s">
        <v>41</v>
      </c>
      <c r="P8" s="73" t="s">
        <v>42</v>
      </c>
      <c r="Q8" s="73" t="s">
        <v>43</v>
      </c>
      <c r="R8" s="74" t="s">
        <v>44</v>
      </c>
      <c r="S8" s="75" t="s">
        <v>45</v>
      </c>
      <c r="T8" s="76" t="s">
        <v>46</v>
      </c>
      <c r="U8" s="40"/>
      <c r="V8" s="40"/>
      <c r="W8" s="40"/>
      <c r="Y8" s="109">
        <f>AF8</f>
        <v>10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10</v>
      </c>
      <c r="AG8" s="108">
        <f t="shared" ref="AG8:AG55" si="3">IF(AC8="",0,(IF(G8=AC8,1,0)))</f>
        <v>1</v>
      </c>
      <c r="AH8" s="108">
        <f t="shared" ref="AH8:AH55" si="4">IF(AD8="",0,(IF(I8=AD8,1,0)))</f>
        <v>1</v>
      </c>
      <c r="AI8" s="108">
        <f>IF(AND(AG8=1,AH8=1),10,0)</f>
        <v>10</v>
      </c>
      <c r="AJ8" s="108">
        <f t="shared" ref="AJ8:AJ55" si="5">IF(AND(G8&gt;I8,AC8&gt;AD8),5,0)</f>
        <v>5</v>
      </c>
      <c r="AK8" s="108">
        <f t="shared" ref="AK8:AK55" si="6">IF(AND(G8&lt;I8,AC8&lt;AD8),5,0)</f>
        <v>0</v>
      </c>
      <c r="AL8" s="108">
        <f t="shared" ref="AL8:AL55" si="7">IF(AND(G8=I8,AC8=AD8),5,0)</f>
        <v>0</v>
      </c>
      <c r="AN8" s="42" t="s">
        <v>41</v>
      </c>
      <c r="AO8" s="43" t="s">
        <v>46</v>
      </c>
    </row>
    <row r="9" spans="2:54" ht="15.75" thickBot="1">
      <c r="B9" s="12">
        <v>2</v>
      </c>
      <c r="C9" s="13">
        <v>41803</v>
      </c>
      <c r="D9" s="14" t="s">
        <v>11</v>
      </c>
      <c r="E9" s="15" t="s">
        <v>9</v>
      </c>
      <c r="F9" s="16" t="s">
        <v>12</v>
      </c>
      <c r="G9" s="85">
        <v>0</v>
      </c>
      <c r="H9" s="15" t="s">
        <v>9</v>
      </c>
      <c r="I9" s="90">
        <v>2</v>
      </c>
      <c r="J9" s="17">
        <f t="shared" si="0"/>
        <v>2</v>
      </c>
      <c r="K9" s="11">
        <f t="shared" si="1"/>
        <v>0</v>
      </c>
      <c r="L9" s="11">
        <f t="shared" si="2"/>
        <v>3</v>
      </c>
      <c r="O9" s="44" t="s">
        <v>8</v>
      </c>
      <c r="P9" s="45">
        <f>SUMIF($D$8:$D$55,$O9,$G$8:$G$55)+SUMIF($F$8:$F$55,$O9,$I$8:$I$55)</f>
        <v>7</v>
      </c>
      <c r="Q9" s="45">
        <f>SUMIF($D$8:$D$55,$O9,$I$8:$I$55)+SUMIF($F$8:$F$55,$O9,$G$8:$G$55)</f>
        <v>3</v>
      </c>
      <c r="R9" s="46">
        <f>P9-Q9</f>
        <v>4</v>
      </c>
      <c r="S9" s="47">
        <f>SUMIF($D$8:$D$55,$O9,$K$8:$K$55)+SUMIF($F$8:$F$55,$O9,$L$8:$L$55)</f>
        <v>9</v>
      </c>
      <c r="T9" s="94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0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0</v>
      </c>
      <c r="AG9" s="108">
        <f t="shared" si="3"/>
        <v>0</v>
      </c>
      <c r="AH9" s="108">
        <f t="shared" si="4"/>
        <v>0</v>
      </c>
      <c r="AI9" s="108">
        <f t="shared" ref="AI9:AI55" si="10">IF(AND(AG9=1,AH9=1),10,0)</f>
        <v>0</v>
      </c>
      <c r="AJ9" s="108">
        <f t="shared" si="5"/>
        <v>0</v>
      </c>
      <c r="AK9" s="108">
        <f t="shared" si="6"/>
        <v>0</v>
      </c>
      <c r="AL9" s="108">
        <f t="shared" si="7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18">
        <v>3</v>
      </c>
      <c r="C10" s="19">
        <v>41803</v>
      </c>
      <c r="D10" s="20" t="s">
        <v>13</v>
      </c>
      <c r="E10" s="21" t="s">
        <v>9</v>
      </c>
      <c r="F10" s="22" t="s">
        <v>14</v>
      </c>
      <c r="G10" s="86">
        <v>3</v>
      </c>
      <c r="H10" s="21" t="s">
        <v>9</v>
      </c>
      <c r="I10" s="91">
        <v>1</v>
      </c>
      <c r="J10" s="23">
        <f t="shared" si="0"/>
        <v>1</v>
      </c>
      <c r="K10" s="11">
        <f t="shared" si="1"/>
        <v>3</v>
      </c>
      <c r="L10" s="11">
        <f t="shared" si="2"/>
        <v>0</v>
      </c>
      <c r="O10" s="48" t="s">
        <v>10</v>
      </c>
      <c r="P10" s="49">
        <f>SUMIF($D$8:$D$55,$O10,$G$8:$G$55)+SUMIF($F$8:$F$55,$O10,$I$8:$I$55)</f>
        <v>4</v>
      </c>
      <c r="Q10" s="49">
        <f>SUMIF($D$8:$D$55,$O10,$I$8:$I$55)+SUMIF($F$8:$F$55,$O10,$G$8:$G$55)</f>
        <v>6</v>
      </c>
      <c r="R10" s="49">
        <f>P10-Q10</f>
        <v>-2</v>
      </c>
      <c r="S10" s="50">
        <f>SUMIF($D$8:$D$55,$O10,$K$8:$K$55)+SUMIF($F$8:$F$55,$O10,$L$8:$L$55)</f>
        <v>2</v>
      </c>
      <c r="T10" s="95" t="s">
        <v>47</v>
      </c>
      <c r="U10" s="40"/>
      <c r="V10" s="40" t="str">
        <f>O10</f>
        <v>Kroatië</v>
      </c>
      <c r="W10" s="40" t="s">
        <v>49</v>
      </c>
      <c r="Y10" s="109">
        <f t="shared" si="8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0</v>
      </c>
      <c r="AG10" s="108">
        <f t="shared" si="3"/>
        <v>0</v>
      </c>
      <c r="AH10" s="108">
        <f t="shared" si="4"/>
        <v>0</v>
      </c>
      <c r="AI10" s="108">
        <f t="shared" si="10"/>
        <v>0</v>
      </c>
      <c r="AJ10" s="108">
        <f t="shared" si="5"/>
        <v>0</v>
      </c>
      <c r="AK10" s="108">
        <f t="shared" si="6"/>
        <v>0</v>
      </c>
      <c r="AL10" s="108">
        <f t="shared" si="7"/>
        <v>0</v>
      </c>
      <c r="AM10" s="120">
        <f>AO10</f>
        <v>10</v>
      </c>
      <c r="AN10" s="117" t="s">
        <v>10</v>
      </c>
      <c r="AO10" s="115">
        <f>IF(Uitslag!T10="",0,IF(T10=Uitslag!T10,10,0))</f>
        <v>10</v>
      </c>
    </row>
    <row r="11" spans="2:54" ht="15.75" thickBot="1">
      <c r="B11" s="24">
        <v>4</v>
      </c>
      <c r="C11" s="25">
        <v>41803</v>
      </c>
      <c r="D11" s="26" t="s">
        <v>15</v>
      </c>
      <c r="E11" s="27" t="s">
        <v>9</v>
      </c>
      <c r="F11" s="28" t="s">
        <v>16</v>
      </c>
      <c r="G11" s="87">
        <v>1</v>
      </c>
      <c r="H11" s="27" t="s">
        <v>9</v>
      </c>
      <c r="I11" s="92">
        <v>0</v>
      </c>
      <c r="J11" s="29">
        <f t="shared" si="0"/>
        <v>1</v>
      </c>
      <c r="K11" s="11">
        <f t="shared" si="1"/>
        <v>3</v>
      </c>
      <c r="L11" s="11">
        <f t="shared" si="2"/>
        <v>0</v>
      </c>
      <c r="O11" s="48" t="s">
        <v>11</v>
      </c>
      <c r="P11" s="49">
        <f>SUMIF($D$8:$D$55,$O11,$G$8:$G$55)+SUMIF($F$8:$F$55,$O11,$I$8:$I$55)</f>
        <v>2</v>
      </c>
      <c r="Q11" s="49">
        <f>SUMIF($D$8:$D$55,$O11,$I$8:$I$55)+SUMIF($F$8:$F$55,$O11,$G$8:$G$55)</f>
        <v>5</v>
      </c>
      <c r="R11" s="49">
        <f>P11-Q11</f>
        <v>-3</v>
      </c>
      <c r="S11" s="50">
        <f>SUMIF($D$8:$D$55,$O11,$K$8:$K$55)+SUMIF($F$8:$F$55,$O11,$L$8:$L$55)</f>
        <v>1</v>
      </c>
      <c r="T11" s="95" t="s">
        <v>50</v>
      </c>
      <c r="U11" s="40"/>
      <c r="V11" s="40" t="str">
        <f>O11</f>
        <v>Mexico</v>
      </c>
      <c r="W11" s="40" t="s">
        <v>47</v>
      </c>
      <c r="Y11" s="109">
        <f t="shared" si="8"/>
        <v>5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5</v>
      </c>
      <c r="AG11" s="108">
        <f t="shared" si="3"/>
        <v>0</v>
      </c>
      <c r="AH11" s="108">
        <f t="shared" si="4"/>
        <v>0</v>
      </c>
      <c r="AI11" s="108">
        <f t="shared" si="10"/>
        <v>0</v>
      </c>
      <c r="AJ11" s="108">
        <f t="shared" si="5"/>
        <v>5</v>
      </c>
      <c r="AK11" s="108">
        <f t="shared" si="6"/>
        <v>0</v>
      </c>
      <c r="AL11" s="108">
        <f t="shared" si="7"/>
        <v>0</v>
      </c>
      <c r="AM11" s="120">
        <f>AO11</f>
        <v>0</v>
      </c>
      <c r="AN11" s="117" t="s">
        <v>11</v>
      </c>
      <c r="AO11" s="115">
        <f>IF(Uitslag!T11="",0,IF(T11=Uitslag!T11,10,0))</f>
        <v>0</v>
      </c>
    </row>
    <row r="12" spans="2:54" ht="15.75" thickBot="1">
      <c r="B12" s="12">
        <v>5</v>
      </c>
      <c r="C12" s="13">
        <v>41804</v>
      </c>
      <c r="D12" s="14" t="s">
        <v>17</v>
      </c>
      <c r="E12" s="15" t="s">
        <v>9</v>
      </c>
      <c r="F12" s="16" t="s">
        <v>18</v>
      </c>
      <c r="G12" s="85">
        <v>2</v>
      </c>
      <c r="H12" s="15" t="s">
        <v>9</v>
      </c>
      <c r="I12" s="90">
        <v>1</v>
      </c>
      <c r="J12" s="17">
        <f t="shared" si="0"/>
        <v>1</v>
      </c>
      <c r="K12" s="11">
        <f t="shared" si="1"/>
        <v>3</v>
      </c>
      <c r="L12" s="11">
        <f t="shared" si="2"/>
        <v>0</v>
      </c>
      <c r="O12" s="51" t="s">
        <v>12</v>
      </c>
      <c r="P12" s="52">
        <f>SUMIF($D$8:$D$55,$O12,$G$8:$G$55)+SUMIF($F$8:$F$55,$O12,$I$8:$I$55)</f>
        <v>5</v>
      </c>
      <c r="Q12" s="52">
        <f>SUMIF($D$8:$D$55,$O12,$I$8:$I$55)+SUMIF($F$8:$F$55,$O12,$G$8:$G$55)</f>
        <v>4</v>
      </c>
      <c r="R12" s="52">
        <f>P12-Q12</f>
        <v>1</v>
      </c>
      <c r="S12" s="53">
        <f>SUMIF($D$8:$D$55,$O12,$K$8:$K$55)+SUMIF($F$8:$F$55,$O12,$L$8:$L$55)</f>
        <v>4</v>
      </c>
      <c r="T12" s="96" t="s">
        <v>49</v>
      </c>
      <c r="U12" s="40"/>
      <c r="V12" s="40" t="str">
        <f>O12</f>
        <v>Kameroen</v>
      </c>
      <c r="W12" s="40" t="s">
        <v>50</v>
      </c>
      <c r="Y12" s="109">
        <f t="shared" si="8"/>
        <v>5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5</v>
      </c>
      <c r="AG12" s="108">
        <f t="shared" si="3"/>
        <v>0</v>
      </c>
      <c r="AH12" s="108">
        <f t="shared" si="4"/>
        <v>0</v>
      </c>
      <c r="AI12" s="108">
        <f t="shared" si="10"/>
        <v>0</v>
      </c>
      <c r="AJ12" s="108">
        <f t="shared" si="5"/>
        <v>5</v>
      </c>
      <c r="AK12" s="108">
        <f t="shared" si="6"/>
        <v>0</v>
      </c>
      <c r="AL12" s="108">
        <f t="shared" si="7"/>
        <v>0</v>
      </c>
      <c r="AM12" s="120">
        <f>AO12</f>
        <v>0</v>
      </c>
      <c r="AN12" s="118" t="s">
        <v>12</v>
      </c>
      <c r="AO12" s="115">
        <f>IF(Uitslag!T12="",0,IF(T12=Uitslag!T12,10,0))</f>
        <v>0</v>
      </c>
    </row>
    <row r="13" spans="2:54" ht="15.75" thickBot="1">
      <c r="B13" s="18">
        <v>6</v>
      </c>
      <c r="C13" s="19">
        <v>41804</v>
      </c>
      <c r="D13" s="20" t="s">
        <v>19</v>
      </c>
      <c r="E13" s="21" t="s">
        <v>9</v>
      </c>
      <c r="F13" s="30" t="s">
        <v>20</v>
      </c>
      <c r="G13" s="86">
        <v>2</v>
      </c>
      <c r="H13" s="21" t="s">
        <v>9</v>
      </c>
      <c r="I13" s="91">
        <v>0</v>
      </c>
      <c r="J13" s="23">
        <f t="shared" si="0"/>
        <v>1</v>
      </c>
      <c r="K13" s="11">
        <f t="shared" si="1"/>
        <v>3</v>
      </c>
      <c r="L13" s="11">
        <f t="shared" si="2"/>
        <v>0</v>
      </c>
      <c r="O13" s="40"/>
      <c r="P13" s="41"/>
      <c r="Q13" s="41"/>
      <c r="R13" s="41"/>
      <c r="S13" s="41"/>
      <c r="T13" s="41"/>
      <c r="U13" s="40"/>
      <c r="V13" s="40"/>
      <c r="W13" s="40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3"/>
        <v>0</v>
      </c>
      <c r="AH13" s="108">
        <f t="shared" si="4"/>
        <v>0</v>
      </c>
      <c r="AI13" s="108">
        <f t="shared" si="10"/>
        <v>0</v>
      </c>
      <c r="AJ13" s="108">
        <f t="shared" si="5"/>
        <v>0</v>
      </c>
      <c r="AK13" s="108">
        <f t="shared" si="6"/>
        <v>0</v>
      </c>
      <c r="AL13" s="108">
        <f t="shared" si="7"/>
        <v>0</v>
      </c>
      <c r="AN13" s="40"/>
      <c r="AO13" s="41"/>
    </row>
    <row r="14" spans="2:54" ht="15.75" thickBot="1">
      <c r="B14" s="18">
        <v>7</v>
      </c>
      <c r="C14" s="19">
        <v>41804</v>
      </c>
      <c r="D14" s="20" t="s">
        <v>21</v>
      </c>
      <c r="E14" s="21" t="s">
        <v>9</v>
      </c>
      <c r="F14" s="30" t="s">
        <v>22</v>
      </c>
      <c r="G14" s="86">
        <v>2</v>
      </c>
      <c r="H14" s="21" t="s">
        <v>9</v>
      </c>
      <c r="I14" s="91">
        <v>1</v>
      </c>
      <c r="J14" s="23">
        <f t="shared" si="0"/>
        <v>1</v>
      </c>
      <c r="K14" s="11">
        <f t="shared" si="1"/>
        <v>3</v>
      </c>
      <c r="L14" s="11">
        <f t="shared" si="2"/>
        <v>0</v>
      </c>
      <c r="O14" s="72" t="s">
        <v>51</v>
      </c>
      <c r="P14" s="73" t="s">
        <v>42</v>
      </c>
      <c r="Q14" s="73" t="s">
        <v>43</v>
      </c>
      <c r="R14" s="74" t="s">
        <v>44</v>
      </c>
      <c r="S14" s="75" t="s">
        <v>45</v>
      </c>
      <c r="T14" s="76" t="s">
        <v>46</v>
      </c>
      <c r="U14" s="40"/>
      <c r="V14" s="40"/>
      <c r="W14" s="40"/>
      <c r="Y14" s="109">
        <f t="shared" si="8"/>
        <v>0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0</v>
      </c>
      <c r="AG14" s="108">
        <f t="shared" si="3"/>
        <v>0</v>
      </c>
      <c r="AH14" s="108">
        <f t="shared" si="4"/>
        <v>0</v>
      </c>
      <c r="AI14" s="108">
        <f t="shared" si="10"/>
        <v>0</v>
      </c>
      <c r="AJ14" s="108">
        <f t="shared" si="5"/>
        <v>0</v>
      </c>
      <c r="AK14" s="108">
        <f t="shared" si="6"/>
        <v>0</v>
      </c>
      <c r="AL14" s="108">
        <f t="shared" si="7"/>
        <v>0</v>
      </c>
      <c r="AN14" s="42" t="s">
        <v>51</v>
      </c>
      <c r="AO14" s="43" t="s">
        <v>46</v>
      </c>
    </row>
    <row r="15" spans="2:54" ht="15.75" thickBot="1">
      <c r="B15" s="24">
        <v>8</v>
      </c>
      <c r="C15" s="25">
        <v>41804</v>
      </c>
      <c r="D15" s="26" t="s">
        <v>23</v>
      </c>
      <c r="E15" s="27" t="s">
        <v>9</v>
      </c>
      <c r="F15" s="28" t="s">
        <v>24</v>
      </c>
      <c r="G15" s="87">
        <v>2</v>
      </c>
      <c r="H15" s="27" t="s">
        <v>9</v>
      </c>
      <c r="I15" s="92">
        <v>1</v>
      </c>
      <c r="J15" s="29">
        <f t="shared" si="0"/>
        <v>1</v>
      </c>
      <c r="K15" s="11">
        <f t="shared" si="1"/>
        <v>3</v>
      </c>
      <c r="L15" s="11">
        <f t="shared" si="2"/>
        <v>0</v>
      </c>
      <c r="O15" s="44" t="s">
        <v>13</v>
      </c>
      <c r="P15" s="45">
        <f>SUMIF($D$8:$D$55,$O15,$G$8:$G$55)+SUMIF($F$8:$F$55,$O15,$I$8:$I$55)</f>
        <v>8</v>
      </c>
      <c r="Q15" s="45">
        <f>SUMIF($D$8:$D$55,$O15,$I$8:$I$55)+SUMIF($F$8:$F$55,$O15,$G$8:$G$55)</f>
        <v>2</v>
      </c>
      <c r="R15" s="46">
        <f>P15-Q15</f>
        <v>6</v>
      </c>
      <c r="S15" s="47">
        <f>SUMIF($D$8:$D$55,$O15,$K$8:$K$55)+SUMIF($F$8:$F$55,$O15,$L$8:$L$55)</f>
        <v>9</v>
      </c>
      <c r="T15" s="94" t="s">
        <v>52</v>
      </c>
      <c r="U15" s="40"/>
      <c r="V15" s="40" t="str">
        <f>O15</f>
        <v>Spanje</v>
      </c>
      <c r="W15" s="40" t="s">
        <v>52</v>
      </c>
      <c r="Y15" s="109">
        <f t="shared" si="8"/>
        <v>10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10</v>
      </c>
      <c r="AG15" s="108">
        <f t="shared" si="3"/>
        <v>1</v>
      </c>
      <c r="AH15" s="108">
        <f t="shared" si="4"/>
        <v>1</v>
      </c>
      <c r="AI15" s="108">
        <f t="shared" si="10"/>
        <v>10</v>
      </c>
      <c r="AJ15" s="108">
        <f t="shared" si="5"/>
        <v>5</v>
      </c>
      <c r="AK15" s="108">
        <f t="shared" si="6"/>
        <v>0</v>
      </c>
      <c r="AL15" s="108">
        <f t="shared" si="7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12">
        <v>9</v>
      </c>
      <c r="C16" s="13">
        <v>41805</v>
      </c>
      <c r="D16" s="14" t="s">
        <v>25</v>
      </c>
      <c r="E16" s="15" t="s">
        <v>9</v>
      </c>
      <c r="F16" s="16" t="s">
        <v>26</v>
      </c>
      <c r="G16" s="85">
        <v>3</v>
      </c>
      <c r="H16" s="15" t="s">
        <v>9</v>
      </c>
      <c r="I16" s="90">
        <v>1</v>
      </c>
      <c r="J16" s="17">
        <f t="shared" si="0"/>
        <v>1</v>
      </c>
      <c r="K16" s="11">
        <f t="shared" si="1"/>
        <v>3</v>
      </c>
      <c r="L16" s="11">
        <f t="shared" si="2"/>
        <v>0</v>
      </c>
      <c r="O16" s="54" t="s">
        <v>14</v>
      </c>
      <c r="P16" s="49">
        <f>SUMIF($D$8:$D$55,$O16,$G$8:$G$55)+SUMIF($F$8:$F$55,$O16,$I$8:$I$55)</f>
        <v>5</v>
      </c>
      <c r="Q16" s="49">
        <f>SUMIF($D$8:$D$55,$O16,$I$8:$I$55)+SUMIF($F$8:$F$55,$O16,$G$8:$G$55)</f>
        <v>4</v>
      </c>
      <c r="R16" s="49">
        <f>P16-Q16</f>
        <v>1</v>
      </c>
      <c r="S16" s="50">
        <f>SUMIF($D$8:$D$55,$O16,$K$8:$K$55)+SUMIF($F$8:$F$55,$O16,$L$8:$L$55)</f>
        <v>6</v>
      </c>
      <c r="T16" s="95" t="s">
        <v>53</v>
      </c>
      <c r="U16" s="40"/>
      <c r="V16" s="40" t="str">
        <f>O16</f>
        <v>Nederland</v>
      </c>
      <c r="W16" s="40" t="s">
        <v>53</v>
      </c>
      <c r="Y16" s="109">
        <f t="shared" si="8"/>
        <v>6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6</v>
      </c>
      <c r="AG16" s="108">
        <f t="shared" si="3"/>
        <v>0</v>
      </c>
      <c r="AH16" s="108">
        <f t="shared" si="4"/>
        <v>1</v>
      </c>
      <c r="AI16" s="108">
        <f t="shared" si="10"/>
        <v>0</v>
      </c>
      <c r="AJ16" s="108">
        <f t="shared" si="5"/>
        <v>5</v>
      </c>
      <c r="AK16" s="108">
        <f t="shared" si="6"/>
        <v>0</v>
      </c>
      <c r="AL16" s="108">
        <f t="shared" si="7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18">
        <v>10</v>
      </c>
      <c r="C17" s="19">
        <v>41805</v>
      </c>
      <c r="D17" s="20" t="s">
        <v>27</v>
      </c>
      <c r="E17" s="21" t="s">
        <v>9</v>
      </c>
      <c r="F17" s="30" t="s">
        <v>28</v>
      </c>
      <c r="G17" s="86">
        <v>5</v>
      </c>
      <c r="H17" s="21" t="s">
        <v>9</v>
      </c>
      <c r="I17" s="91">
        <v>0</v>
      </c>
      <c r="J17" s="23">
        <f t="shared" si="0"/>
        <v>1</v>
      </c>
      <c r="K17" s="11">
        <f t="shared" si="1"/>
        <v>3</v>
      </c>
      <c r="L17" s="11">
        <f t="shared" si="2"/>
        <v>0</v>
      </c>
      <c r="O17" s="48" t="s">
        <v>15</v>
      </c>
      <c r="P17" s="49">
        <f>SUMIF($D$8:$D$55,$O17,$G$8:$G$55)+SUMIF($F$8:$F$55,$O17,$I$8:$I$55)</f>
        <v>2</v>
      </c>
      <c r="Q17" s="49">
        <f>SUMIF($D$8:$D$55,$O17,$I$8:$I$55)+SUMIF($F$8:$F$55,$O17,$G$8:$G$55)</f>
        <v>4</v>
      </c>
      <c r="R17" s="49">
        <f>P17-Q17</f>
        <v>-2</v>
      </c>
      <c r="S17" s="50">
        <f>SUMIF($D$8:$D$55,$O17,$K$8:$K$55)+SUMIF($F$8:$F$55,$O17,$L$8:$L$55)</f>
        <v>3</v>
      </c>
      <c r="T17" s="95" t="s">
        <v>54</v>
      </c>
      <c r="U17" s="40"/>
      <c r="V17" s="40" t="str">
        <f>O17</f>
        <v>Chili</v>
      </c>
      <c r="W17" s="40" t="s">
        <v>54</v>
      </c>
      <c r="Y17" s="109">
        <f t="shared" si="8"/>
        <v>6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6</v>
      </c>
      <c r="AG17" s="108">
        <f t="shared" si="3"/>
        <v>0</v>
      </c>
      <c r="AH17" s="108">
        <f t="shared" si="4"/>
        <v>1</v>
      </c>
      <c r="AI17" s="108">
        <f t="shared" si="10"/>
        <v>0</v>
      </c>
      <c r="AJ17" s="108">
        <f t="shared" si="5"/>
        <v>5</v>
      </c>
      <c r="AK17" s="108">
        <f t="shared" si="6"/>
        <v>0</v>
      </c>
      <c r="AL17" s="108">
        <f t="shared" si="7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24">
        <v>11</v>
      </c>
      <c r="C18" s="25">
        <v>41805</v>
      </c>
      <c r="D18" s="26" t="s">
        <v>29</v>
      </c>
      <c r="E18" s="27" t="s">
        <v>9</v>
      </c>
      <c r="F18" s="28" t="s">
        <v>30</v>
      </c>
      <c r="G18" s="87">
        <v>4</v>
      </c>
      <c r="H18" s="27" t="s">
        <v>9</v>
      </c>
      <c r="I18" s="92">
        <v>1</v>
      </c>
      <c r="J18" s="29">
        <f t="shared" si="0"/>
        <v>1</v>
      </c>
      <c r="K18" s="11">
        <f t="shared" si="1"/>
        <v>3</v>
      </c>
      <c r="L18" s="11">
        <f t="shared" si="2"/>
        <v>0</v>
      </c>
      <c r="O18" s="51" t="s">
        <v>16</v>
      </c>
      <c r="P18" s="52">
        <f>SUMIF($D$8:$D$55,$O18,$G$8:$G$55)+SUMIF($F$8:$F$55,$O18,$I$8:$I$55)</f>
        <v>1</v>
      </c>
      <c r="Q18" s="52">
        <f>SUMIF($D$8:$D$55,$O18,$I$8:$I$55)+SUMIF($F$8:$F$55,$O18,$G$8:$G$55)</f>
        <v>6</v>
      </c>
      <c r="R18" s="52">
        <f>P18-Q18</f>
        <v>-5</v>
      </c>
      <c r="S18" s="53">
        <f>SUMIF($D$8:$D$55,$O18,$K$8:$K$55)+SUMIF($F$8:$F$55,$O18,$L$8:$L$55)</f>
        <v>0</v>
      </c>
      <c r="T18" s="96" t="s">
        <v>55</v>
      </c>
      <c r="U18" s="40"/>
      <c r="V18" s="40" t="str">
        <f>O18</f>
        <v>Australië</v>
      </c>
      <c r="W18" s="40" t="s">
        <v>55</v>
      </c>
      <c r="Y18" s="109">
        <f t="shared" si="8"/>
        <v>6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6</v>
      </c>
      <c r="AG18" s="108">
        <f t="shared" si="3"/>
        <v>0</v>
      </c>
      <c r="AH18" s="108">
        <f t="shared" si="4"/>
        <v>1</v>
      </c>
      <c r="AI18" s="108">
        <f t="shared" si="10"/>
        <v>0</v>
      </c>
      <c r="AJ18" s="108">
        <f t="shared" si="5"/>
        <v>5</v>
      </c>
      <c r="AK18" s="108">
        <f t="shared" si="6"/>
        <v>0</v>
      </c>
      <c r="AL18" s="108">
        <f t="shared" si="7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12">
        <v>12</v>
      </c>
      <c r="C19" s="13">
        <v>41806</v>
      </c>
      <c r="D19" s="14" t="s">
        <v>31</v>
      </c>
      <c r="E19" s="15" t="s">
        <v>9</v>
      </c>
      <c r="F19" s="16" t="s">
        <v>32</v>
      </c>
      <c r="G19" s="85">
        <v>4</v>
      </c>
      <c r="H19" s="15" t="s">
        <v>9</v>
      </c>
      <c r="I19" s="90">
        <v>2</v>
      </c>
      <c r="J19" s="17">
        <f t="shared" si="0"/>
        <v>1</v>
      </c>
      <c r="K19" s="11">
        <f t="shared" si="1"/>
        <v>3</v>
      </c>
      <c r="L19" s="11">
        <f t="shared" si="2"/>
        <v>0</v>
      </c>
      <c r="O19" s="40"/>
      <c r="P19" s="41"/>
      <c r="Q19" s="41"/>
      <c r="R19" s="41"/>
      <c r="S19" s="41"/>
      <c r="T19" s="41"/>
      <c r="U19" s="40"/>
      <c r="V19" s="40"/>
      <c r="W19" s="40"/>
      <c r="Y19" s="109">
        <f t="shared" si="8"/>
        <v>6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6</v>
      </c>
      <c r="AG19" s="108">
        <f t="shared" si="3"/>
        <v>1</v>
      </c>
      <c r="AH19" s="108">
        <f t="shared" si="4"/>
        <v>0</v>
      </c>
      <c r="AI19" s="108">
        <f t="shared" si="10"/>
        <v>0</v>
      </c>
      <c r="AJ19" s="108">
        <f t="shared" si="5"/>
        <v>5</v>
      </c>
      <c r="AK19" s="108">
        <f t="shared" si="6"/>
        <v>0</v>
      </c>
      <c r="AL19" s="108">
        <f t="shared" si="7"/>
        <v>0</v>
      </c>
      <c r="AN19" s="40"/>
      <c r="AO19" s="41"/>
    </row>
    <row r="20" spans="2:41" ht="15.75" thickBot="1">
      <c r="B20" s="18">
        <v>13</v>
      </c>
      <c r="C20" s="19">
        <v>41806</v>
      </c>
      <c r="D20" s="20" t="s">
        <v>33</v>
      </c>
      <c r="E20" s="21" t="s">
        <v>9</v>
      </c>
      <c r="F20" s="30" t="s">
        <v>34</v>
      </c>
      <c r="G20" s="86">
        <v>0</v>
      </c>
      <c r="H20" s="21" t="s">
        <v>9</v>
      </c>
      <c r="I20" s="91">
        <v>2</v>
      </c>
      <c r="J20" s="23">
        <f t="shared" si="0"/>
        <v>2</v>
      </c>
      <c r="K20" s="11">
        <f t="shared" si="1"/>
        <v>0</v>
      </c>
      <c r="L20" s="11">
        <f t="shared" si="2"/>
        <v>3</v>
      </c>
      <c r="O20" s="72" t="s">
        <v>56</v>
      </c>
      <c r="P20" s="73" t="s">
        <v>42</v>
      </c>
      <c r="Q20" s="73" t="s">
        <v>43</v>
      </c>
      <c r="R20" s="74" t="s">
        <v>44</v>
      </c>
      <c r="S20" s="75" t="s">
        <v>45</v>
      </c>
      <c r="T20" s="76" t="s">
        <v>46</v>
      </c>
      <c r="U20" s="40"/>
      <c r="V20" s="40"/>
      <c r="W20" s="40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3"/>
        <v>1</v>
      </c>
      <c r="AH20" s="108">
        <f t="shared" si="4"/>
        <v>0</v>
      </c>
      <c r="AI20" s="108">
        <f t="shared" si="10"/>
        <v>0</v>
      </c>
      <c r="AJ20" s="108">
        <f t="shared" si="5"/>
        <v>0</v>
      </c>
      <c r="AK20" s="108">
        <f t="shared" si="6"/>
        <v>0</v>
      </c>
      <c r="AL20" s="108">
        <f t="shared" si="7"/>
        <v>0</v>
      </c>
      <c r="AN20" s="42" t="s">
        <v>56</v>
      </c>
      <c r="AO20" s="43" t="s">
        <v>46</v>
      </c>
    </row>
    <row r="21" spans="2:41" ht="15.75" thickBot="1">
      <c r="B21" s="24">
        <v>14</v>
      </c>
      <c r="C21" s="25">
        <v>41806</v>
      </c>
      <c r="D21" s="26" t="s">
        <v>35</v>
      </c>
      <c r="E21" s="27" t="s">
        <v>9</v>
      </c>
      <c r="F21" s="28" t="s">
        <v>36</v>
      </c>
      <c r="G21" s="87">
        <v>3</v>
      </c>
      <c r="H21" s="27" t="s">
        <v>9</v>
      </c>
      <c r="I21" s="92">
        <v>1</v>
      </c>
      <c r="J21" s="29">
        <f t="shared" si="0"/>
        <v>1</v>
      </c>
      <c r="K21" s="11">
        <f t="shared" si="1"/>
        <v>3</v>
      </c>
      <c r="L21" s="11">
        <f t="shared" si="2"/>
        <v>0</v>
      </c>
      <c r="O21" s="44" t="s">
        <v>17</v>
      </c>
      <c r="P21" s="45">
        <f>SUMIF($D$8:$D$55,$O21,$G$8:$G$55)+SUMIF($F$8:$F$55,$O21,$I$8:$I$55)</f>
        <v>3</v>
      </c>
      <c r="Q21" s="45">
        <f>SUMIF($D$8:$D$55,$O21,$I$8:$I$55)+SUMIF($F$8:$F$55,$O21,$G$8:$G$55)</f>
        <v>3</v>
      </c>
      <c r="R21" s="46">
        <f>P21-Q21</f>
        <v>0</v>
      </c>
      <c r="S21" s="47">
        <f>SUMIF($D$8:$D$55,$O21,$K$8:$K$55)+SUMIF($F$8:$F$55,$O21,$L$8:$L$55)</f>
        <v>6</v>
      </c>
      <c r="T21" s="94" t="s">
        <v>58</v>
      </c>
      <c r="U21" s="40"/>
      <c r="V21" s="40" t="str">
        <f>O21</f>
        <v>Colombia</v>
      </c>
      <c r="W21" s="40" t="s">
        <v>57</v>
      </c>
      <c r="Y21" s="109">
        <f t="shared" si="8"/>
        <v>0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0</v>
      </c>
      <c r="AG21" s="108">
        <f t="shared" si="3"/>
        <v>0</v>
      </c>
      <c r="AH21" s="108">
        <f t="shared" si="4"/>
        <v>0</v>
      </c>
      <c r="AI21" s="108">
        <f t="shared" si="10"/>
        <v>0</v>
      </c>
      <c r="AJ21" s="108">
        <f t="shared" si="5"/>
        <v>0</v>
      </c>
      <c r="AK21" s="108">
        <f t="shared" si="6"/>
        <v>0</v>
      </c>
      <c r="AL21" s="108">
        <f t="shared" si="7"/>
        <v>0</v>
      </c>
      <c r="AM21" s="120">
        <f>AO21</f>
        <v>0</v>
      </c>
      <c r="AN21" s="116" t="s">
        <v>17</v>
      </c>
      <c r="AO21" s="115">
        <f>IF(Uitslag!T21="",0,IF(T21=Uitslag!T21,10,0))</f>
        <v>0</v>
      </c>
    </row>
    <row r="22" spans="2:41" ht="15.75" thickBot="1">
      <c r="B22" s="12">
        <v>15</v>
      </c>
      <c r="C22" s="13">
        <v>41807</v>
      </c>
      <c r="D22" s="14" t="s">
        <v>37</v>
      </c>
      <c r="E22" s="15" t="s">
        <v>9</v>
      </c>
      <c r="F22" s="16" t="s">
        <v>38</v>
      </c>
      <c r="G22" s="85">
        <v>2</v>
      </c>
      <c r="H22" s="15" t="s">
        <v>9</v>
      </c>
      <c r="I22" s="90">
        <v>0</v>
      </c>
      <c r="J22" s="17">
        <f t="shared" si="0"/>
        <v>1</v>
      </c>
      <c r="K22" s="11">
        <f t="shared" si="1"/>
        <v>3</v>
      </c>
      <c r="L22" s="11">
        <f t="shared" si="2"/>
        <v>0</v>
      </c>
      <c r="O22" s="48" t="s">
        <v>18</v>
      </c>
      <c r="P22" s="49">
        <f>SUMIF($D$8:$D$55,$O22,$G$8:$G$55)+SUMIF($F$8:$F$55,$O22,$I$8:$I$55)</f>
        <v>2</v>
      </c>
      <c r="Q22" s="49">
        <f>SUMIF($D$8:$D$55,$O22,$I$8:$I$55)+SUMIF($F$8:$F$55,$O22,$G$8:$G$55)</f>
        <v>5</v>
      </c>
      <c r="R22" s="49">
        <f>P22-Q22</f>
        <v>-3</v>
      </c>
      <c r="S22" s="50">
        <f>SUMIF($D$8:$D$55,$O22,$K$8:$K$55)+SUMIF($F$8:$F$55,$O22,$L$8:$L$55)</f>
        <v>0</v>
      </c>
      <c r="T22" s="95" t="s">
        <v>60</v>
      </c>
      <c r="U22" s="40"/>
      <c r="V22" s="40" t="str">
        <f>O22</f>
        <v>Griekenland</v>
      </c>
      <c r="W22" s="40" t="s">
        <v>58</v>
      </c>
      <c r="Y22" s="109">
        <f t="shared" si="8"/>
        <v>6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6</v>
      </c>
      <c r="AG22" s="108">
        <f t="shared" si="3"/>
        <v>1</v>
      </c>
      <c r="AH22" s="108">
        <f t="shared" si="4"/>
        <v>0</v>
      </c>
      <c r="AI22" s="108">
        <f t="shared" si="10"/>
        <v>0</v>
      </c>
      <c r="AJ22" s="108">
        <f t="shared" si="5"/>
        <v>5</v>
      </c>
      <c r="AK22" s="108">
        <f t="shared" si="6"/>
        <v>0</v>
      </c>
      <c r="AL22" s="108">
        <f t="shared" si="7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18">
        <v>16</v>
      </c>
      <c r="C23" s="19">
        <v>41807</v>
      </c>
      <c r="D23" s="20" t="s">
        <v>8</v>
      </c>
      <c r="E23" s="21" t="s">
        <v>9</v>
      </c>
      <c r="F23" s="30" t="s">
        <v>11</v>
      </c>
      <c r="G23" s="86">
        <v>2</v>
      </c>
      <c r="H23" s="21" t="s">
        <v>9</v>
      </c>
      <c r="I23" s="91">
        <v>1</v>
      </c>
      <c r="J23" s="23">
        <f t="shared" si="0"/>
        <v>1</v>
      </c>
      <c r="K23" s="11">
        <f t="shared" si="1"/>
        <v>3</v>
      </c>
      <c r="L23" s="11">
        <f t="shared" si="2"/>
        <v>0</v>
      </c>
      <c r="O23" s="48" t="s">
        <v>23</v>
      </c>
      <c r="P23" s="49">
        <f>SUMIF($D$8:$D$55,$O23,$G$8:$G$55)+SUMIF($F$8:$F$55,$O23,$I$8:$I$55)</f>
        <v>6</v>
      </c>
      <c r="Q23" s="49">
        <f>SUMIF($D$8:$D$55,$O23,$I$8:$I$55)+SUMIF($F$8:$F$55,$O23,$G$8:$G$55)</f>
        <v>2</v>
      </c>
      <c r="R23" s="49">
        <f>P23-Q23</f>
        <v>4</v>
      </c>
      <c r="S23" s="50">
        <f>SUMIF($D$8:$D$55,$O23,$K$8:$K$55)+SUMIF($F$8:$F$55,$O23,$L$8:$L$55)</f>
        <v>9</v>
      </c>
      <c r="T23" s="95" t="s">
        <v>57</v>
      </c>
      <c r="U23" s="40"/>
      <c r="V23" s="40" t="str">
        <f>O23</f>
        <v>Ivoorkust</v>
      </c>
      <c r="W23" s="40" t="s">
        <v>59</v>
      </c>
      <c r="Y23" s="109">
        <f t="shared" si="8"/>
        <v>0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0</v>
      </c>
      <c r="AG23" s="108">
        <f t="shared" si="3"/>
        <v>0</v>
      </c>
      <c r="AH23" s="108">
        <f t="shared" si="4"/>
        <v>0</v>
      </c>
      <c r="AI23" s="108">
        <f t="shared" si="10"/>
        <v>0</v>
      </c>
      <c r="AJ23" s="108">
        <f t="shared" si="5"/>
        <v>0</v>
      </c>
      <c r="AK23" s="108">
        <f t="shared" si="6"/>
        <v>0</v>
      </c>
      <c r="AL23" s="108">
        <f t="shared" si="7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24">
        <v>17</v>
      </c>
      <c r="C24" s="25">
        <v>41807</v>
      </c>
      <c r="D24" s="26" t="s">
        <v>39</v>
      </c>
      <c r="E24" s="27" t="s">
        <v>9</v>
      </c>
      <c r="F24" s="28" t="s">
        <v>40</v>
      </c>
      <c r="G24" s="87">
        <v>1</v>
      </c>
      <c r="H24" s="27" t="s">
        <v>9</v>
      </c>
      <c r="I24" s="92">
        <v>0</v>
      </c>
      <c r="J24" s="29">
        <f t="shared" si="0"/>
        <v>1</v>
      </c>
      <c r="K24" s="11">
        <f t="shared" si="1"/>
        <v>3</v>
      </c>
      <c r="L24" s="11">
        <f t="shared" si="2"/>
        <v>0</v>
      </c>
      <c r="O24" s="51" t="s">
        <v>24</v>
      </c>
      <c r="P24" s="52">
        <f>SUMIF($D$8:$D$55,$O24,$G$8:$G$55)+SUMIF($F$8:$F$55,$O24,$I$8:$I$55)</f>
        <v>2</v>
      </c>
      <c r="Q24" s="52">
        <f>SUMIF($D$8:$D$55,$O24,$I$8:$I$55)+SUMIF($F$8:$F$55,$O24,$G$8:$G$55)</f>
        <v>3</v>
      </c>
      <c r="R24" s="52">
        <f>P24-Q24</f>
        <v>-1</v>
      </c>
      <c r="S24" s="53">
        <f>SUMIF($D$8:$D$55,$O24,$K$8:$K$55)+SUMIF($F$8:$F$55,$O24,$L$8:$L$55)</f>
        <v>3</v>
      </c>
      <c r="T24" s="96" t="s">
        <v>59</v>
      </c>
      <c r="U24" s="40"/>
      <c r="V24" s="40" t="str">
        <f>O24</f>
        <v>Japan</v>
      </c>
      <c r="W24" s="40" t="s">
        <v>60</v>
      </c>
      <c r="Y24" s="109">
        <f t="shared" si="8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</v>
      </c>
      <c r="AG24" s="108">
        <f t="shared" si="3"/>
        <v>1</v>
      </c>
      <c r="AH24" s="108">
        <f t="shared" si="4"/>
        <v>0</v>
      </c>
      <c r="AI24" s="108">
        <f t="shared" si="10"/>
        <v>0</v>
      </c>
      <c r="AJ24" s="108">
        <f t="shared" si="5"/>
        <v>0</v>
      </c>
      <c r="AK24" s="108">
        <f t="shared" si="6"/>
        <v>0</v>
      </c>
      <c r="AL24" s="108">
        <f t="shared" si="7"/>
        <v>0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12">
        <v>18</v>
      </c>
      <c r="C25" s="13">
        <v>41808</v>
      </c>
      <c r="D25" s="14" t="s">
        <v>16</v>
      </c>
      <c r="E25" s="15" t="s">
        <v>9</v>
      </c>
      <c r="F25" s="31" t="s">
        <v>14</v>
      </c>
      <c r="G25" s="85">
        <v>0</v>
      </c>
      <c r="H25" s="15" t="s">
        <v>9</v>
      </c>
      <c r="I25" s="90">
        <v>2</v>
      </c>
      <c r="J25" s="17">
        <f t="shared" si="0"/>
        <v>2</v>
      </c>
      <c r="K25" s="11">
        <f t="shared" si="1"/>
        <v>0</v>
      </c>
      <c r="L25" s="11">
        <f t="shared" si="2"/>
        <v>3</v>
      </c>
      <c r="O25" s="40"/>
      <c r="P25" s="41"/>
      <c r="Q25" s="41"/>
      <c r="R25" s="41"/>
      <c r="S25" s="41"/>
      <c r="T25" s="41"/>
      <c r="U25" s="40"/>
      <c r="V25" s="40"/>
      <c r="W25" s="40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3"/>
        <v>0</v>
      </c>
      <c r="AH25" s="108">
        <f t="shared" si="4"/>
        <v>0</v>
      </c>
      <c r="AI25" s="108">
        <f t="shared" si="10"/>
        <v>0</v>
      </c>
      <c r="AJ25" s="108">
        <f t="shared" si="5"/>
        <v>0</v>
      </c>
      <c r="AK25" s="108">
        <f t="shared" si="6"/>
        <v>5</v>
      </c>
      <c r="AL25" s="108">
        <f t="shared" si="7"/>
        <v>0</v>
      </c>
      <c r="AN25" s="40"/>
      <c r="AO25" s="41"/>
    </row>
    <row r="26" spans="2:41" ht="15.75" thickBot="1">
      <c r="B26" s="18">
        <v>19</v>
      </c>
      <c r="C26" s="19">
        <v>41808</v>
      </c>
      <c r="D26" s="20" t="s">
        <v>13</v>
      </c>
      <c r="E26" s="21" t="s">
        <v>9</v>
      </c>
      <c r="F26" s="30" t="s">
        <v>15</v>
      </c>
      <c r="G26" s="86">
        <v>2</v>
      </c>
      <c r="H26" s="21" t="s">
        <v>9</v>
      </c>
      <c r="I26" s="91">
        <v>0</v>
      </c>
      <c r="J26" s="23">
        <f t="shared" si="0"/>
        <v>1</v>
      </c>
      <c r="K26" s="11">
        <f t="shared" si="1"/>
        <v>3</v>
      </c>
      <c r="L26" s="11">
        <f t="shared" si="2"/>
        <v>0</v>
      </c>
      <c r="O26" s="72" t="s">
        <v>61</v>
      </c>
      <c r="P26" s="73" t="s">
        <v>42</v>
      </c>
      <c r="Q26" s="73" t="s">
        <v>43</v>
      </c>
      <c r="R26" s="74" t="s">
        <v>44</v>
      </c>
      <c r="S26" s="75" t="s">
        <v>45</v>
      </c>
      <c r="T26" s="76" t="s">
        <v>46</v>
      </c>
      <c r="U26" s="40"/>
      <c r="V26" s="40"/>
      <c r="W26" s="40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3"/>
        <v>0</v>
      </c>
      <c r="AH26" s="108">
        <f t="shared" si="4"/>
        <v>0</v>
      </c>
      <c r="AI26" s="108">
        <f t="shared" si="10"/>
        <v>0</v>
      </c>
      <c r="AJ26" s="108">
        <f t="shared" si="5"/>
        <v>0</v>
      </c>
      <c r="AK26" s="108">
        <f t="shared" si="6"/>
        <v>0</v>
      </c>
      <c r="AL26" s="108">
        <f t="shared" si="7"/>
        <v>0</v>
      </c>
      <c r="AN26" s="42" t="s">
        <v>61</v>
      </c>
      <c r="AO26" s="43" t="s">
        <v>46</v>
      </c>
    </row>
    <row r="27" spans="2:41" ht="15.75" thickBot="1">
      <c r="B27" s="24">
        <v>20</v>
      </c>
      <c r="C27" s="25">
        <v>41808</v>
      </c>
      <c r="D27" s="26" t="s">
        <v>12</v>
      </c>
      <c r="E27" s="27" t="s">
        <v>9</v>
      </c>
      <c r="F27" s="28" t="s">
        <v>10</v>
      </c>
      <c r="G27" s="87">
        <v>2</v>
      </c>
      <c r="H27" s="27" t="s">
        <v>9</v>
      </c>
      <c r="I27" s="92">
        <v>2</v>
      </c>
      <c r="J27" s="29">
        <f t="shared" si="0"/>
        <v>3</v>
      </c>
      <c r="K27" s="11">
        <f t="shared" si="1"/>
        <v>1</v>
      </c>
      <c r="L27" s="11">
        <f t="shared" si="2"/>
        <v>1</v>
      </c>
      <c r="O27" s="44" t="s">
        <v>19</v>
      </c>
      <c r="P27" s="45">
        <f>SUMIF($D$8:$D$55,$O27,$G$8:$G$55)+SUMIF($F$8:$F$55,$O27,$I$8:$I$55)</f>
        <v>6</v>
      </c>
      <c r="Q27" s="45">
        <f>SUMIF($D$8:$D$55,$O27,$I$8:$I$55)+SUMIF($F$8:$F$55,$O27,$G$8:$G$55)</f>
        <v>2</v>
      </c>
      <c r="R27" s="46">
        <f>P27-Q27</f>
        <v>4</v>
      </c>
      <c r="S27" s="47">
        <f>SUMIF($D$8:$D$55,$O27,$K$8:$K$55)+SUMIF($F$8:$F$55,$O27,$L$8:$L$55)</f>
        <v>9</v>
      </c>
      <c r="T27" s="94" t="s">
        <v>62</v>
      </c>
      <c r="U27" s="40"/>
      <c r="V27" s="40" t="str">
        <f>O27</f>
        <v>Uruguay</v>
      </c>
      <c r="W27" s="40" t="s">
        <v>62</v>
      </c>
      <c r="Y27" s="109">
        <f t="shared" si="8"/>
        <v>0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0</v>
      </c>
      <c r="AG27" s="108">
        <f t="shared" si="3"/>
        <v>0</v>
      </c>
      <c r="AH27" s="108">
        <f t="shared" si="4"/>
        <v>0</v>
      </c>
      <c r="AI27" s="108">
        <f t="shared" si="10"/>
        <v>0</v>
      </c>
      <c r="AJ27" s="108">
        <f t="shared" si="5"/>
        <v>0</v>
      </c>
      <c r="AK27" s="108">
        <f t="shared" si="6"/>
        <v>0</v>
      </c>
      <c r="AL27" s="108">
        <f t="shared" si="7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12">
        <v>21</v>
      </c>
      <c r="C28" s="13">
        <v>41809</v>
      </c>
      <c r="D28" s="14" t="s">
        <v>17</v>
      </c>
      <c r="E28" s="15" t="s">
        <v>9</v>
      </c>
      <c r="F28" s="16" t="s">
        <v>23</v>
      </c>
      <c r="G28" s="85">
        <v>0</v>
      </c>
      <c r="H28" s="15" t="s">
        <v>9</v>
      </c>
      <c r="I28" s="90">
        <v>2</v>
      </c>
      <c r="J28" s="17">
        <f t="shared" si="0"/>
        <v>2</v>
      </c>
      <c r="K28" s="11">
        <f t="shared" si="1"/>
        <v>0</v>
      </c>
      <c r="L28" s="11">
        <f t="shared" si="2"/>
        <v>3</v>
      </c>
      <c r="O28" s="48" t="s">
        <v>20</v>
      </c>
      <c r="P28" s="49">
        <f>SUMIF($D$8:$D$55,$O28,$G$8:$G$55)+SUMIF($F$8:$F$55,$O28,$I$8:$I$55)</f>
        <v>0</v>
      </c>
      <c r="Q28" s="49">
        <f>SUMIF($D$8:$D$55,$O28,$I$8:$I$55)+SUMIF($F$8:$F$55,$O28,$G$8:$G$55)</f>
        <v>6</v>
      </c>
      <c r="R28" s="49">
        <f>P28-Q28</f>
        <v>-6</v>
      </c>
      <c r="S28" s="50">
        <f>SUMIF($D$8:$D$55,$O28,$K$8:$K$55)+SUMIF($F$8:$F$55,$O28,$L$8:$L$55)</f>
        <v>0</v>
      </c>
      <c r="T28" s="95" t="s">
        <v>65</v>
      </c>
      <c r="U28" s="40"/>
      <c r="V28" s="40" t="str">
        <f>O28</f>
        <v>Costa Rica</v>
      </c>
      <c r="W28" s="40" t="s">
        <v>63</v>
      </c>
      <c r="Y28" s="109">
        <f t="shared" si="8"/>
        <v>0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0</v>
      </c>
      <c r="AG28" s="108">
        <f t="shared" si="3"/>
        <v>0</v>
      </c>
      <c r="AH28" s="108">
        <f t="shared" si="4"/>
        <v>0</v>
      </c>
      <c r="AI28" s="108">
        <f t="shared" si="10"/>
        <v>0</v>
      </c>
      <c r="AJ28" s="108">
        <f t="shared" si="5"/>
        <v>0</v>
      </c>
      <c r="AK28" s="108">
        <f t="shared" si="6"/>
        <v>0</v>
      </c>
      <c r="AL28" s="108">
        <f t="shared" si="7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18">
        <v>22</v>
      </c>
      <c r="C29" s="19">
        <v>41809</v>
      </c>
      <c r="D29" s="20" t="s">
        <v>19</v>
      </c>
      <c r="E29" s="21" t="s">
        <v>9</v>
      </c>
      <c r="F29" s="30" t="s">
        <v>21</v>
      </c>
      <c r="G29" s="86">
        <v>3</v>
      </c>
      <c r="H29" s="21" t="s">
        <v>9</v>
      </c>
      <c r="I29" s="91">
        <v>2</v>
      </c>
      <c r="J29" s="23">
        <f t="shared" si="0"/>
        <v>1</v>
      </c>
      <c r="K29" s="11">
        <f t="shared" si="1"/>
        <v>3</v>
      </c>
      <c r="L29" s="11">
        <f t="shared" si="2"/>
        <v>0</v>
      </c>
      <c r="O29" s="48" t="s">
        <v>21</v>
      </c>
      <c r="P29" s="49">
        <f>SUMIF($D$8:$D$55,$O29,$G$8:$G$55)+SUMIF($F$8:$F$55,$O29,$I$8:$I$55)</f>
        <v>6</v>
      </c>
      <c r="Q29" s="49">
        <f>SUMIF($D$8:$D$55,$O29,$I$8:$I$55)+SUMIF($F$8:$F$55,$O29,$G$8:$G$55)</f>
        <v>4</v>
      </c>
      <c r="R29" s="49">
        <f>P29-Q29</f>
        <v>2</v>
      </c>
      <c r="S29" s="50">
        <f>SUMIF($D$8:$D$55,$O29,$K$8:$K$55)+SUMIF($F$8:$F$55,$O29,$L$8:$L$55)</f>
        <v>6</v>
      </c>
      <c r="T29" s="95" t="s">
        <v>63</v>
      </c>
      <c r="U29" s="40"/>
      <c r="V29" s="40" t="str">
        <f>O29</f>
        <v>Engeland</v>
      </c>
      <c r="W29" s="40" t="s">
        <v>64</v>
      </c>
      <c r="Y29" s="109">
        <f t="shared" si="8"/>
        <v>5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5</v>
      </c>
      <c r="AG29" s="108">
        <f t="shared" si="3"/>
        <v>0</v>
      </c>
      <c r="AH29" s="108">
        <f t="shared" si="4"/>
        <v>0</v>
      </c>
      <c r="AI29" s="108">
        <f t="shared" si="10"/>
        <v>0</v>
      </c>
      <c r="AJ29" s="108">
        <f t="shared" si="5"/>
        <v>5</v>
      </c>
      <c r="AK29" s="108">
        <f t="shared" si="6"/>
        <v>0</v>
      </c>
      <c r="AL29" s="108">
        <f t="shared" si="7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24">
        <v>23</v>
      </c>
      <c r="C30" s="25">
        <v>41809</v>
      </c>
      <c r="D30" s="26" t="s">
        <v>24</v>
      </c>
      <c r="E30" s="27" t="s">
        <v>9</v>
      </c>
      <c r="F30" s="28" t="s">
        <v>18</v>
      </c>
      <c r="G30" s="87">
        <v>1</v>
      </c>
      <c r="H30" s="27" t="s">
        <v>9</v>
      </c>
      <c r="I30" s="92">
        <v>0</v>
      </c>
      <c r="J30" s="29">
        <f t="shared" si="0"/>
        <v>1</v>
      </c>
      <c r="K30" s="11">
        <f t="shared" si="1"/>
        <v>3</v>
      </c>
      <c r="L30" s="11">
        <f t="shared" si="2"/>
        <v>0</v>
      </c>
      <c r="O30" s="51" t="s">
        <v>22</v>
      </c>
      <c r="P30" s="52">
        <f>SUMIF($D$8:$D$55,$O30,$G$8:$G$55)+SUMIF($F$8:$F$55,$O30,$I$8:$I$55)</f>
        <v>3</v>
      </c>
      <c r="Q30" s="52">
        <f>SUMIF($D$8:$D$55,$O30,$I$8:$I$55)+SUMIF($F$8:$F$55,$O30,$G$8:$G$55)</f>
        <v>3</v>
      </c>
      <c r="R30" s="52">
        <f>P30-Q30</f>
        <v>0</v>
      </c>
      <c r="S30" s="53">
        <f>SUMIF($D$8:$D$55,$O30,$K$8:$K$55)+SUMIF($F$8:$F$55,$O30,$L$8:$L$55)</f>
        <v>3</v>
      </c>
      <c r="T30" s="96" t="s">
        <v>64</v>
      </c>
      <c r="U30" s="40"/>
      <c r="V30" s="40" t="str">
        <f>O30</f>
        <v>Italië</v>
      </c>
      <c r="W30" s="40" t="s">
        <v>65</v>
      </c>
      <c r="Y30" s="109">
        <f t="shared" si="8"/>
        <v>1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1</v>
      </c>
      <c r="AG30" s="108">
        <f t="shared" si="3"/>
        <v>0</v>
      </c>
      <c r="AH30" s="108">
        <f t="shared" si="4"/>
        <v>1</v>
      </c>
      <c r="AI30" s="108">
        <f t="shared" si="10"/>
        <v>0</v>
      </c>
      <c r="AJ30" s="108">
        <f t="shared" si="5"/>
        <v>0</v>
      </c>
      <c r="AK30" s="108">
        <f t="shared" si="6"/>
        <v>0</v>
      </c>
      <c r="AL30" s="108">
        <f t="shared" si="7"/>
        <v>0</v>
      </c>
      <c r="AM30" s="120">
        <f>AO30</f>
        <v>10</v>
      </c>
      <c r="AN30" s="118" t="s">
        <v>22</v>
      </c>
      <c r="AO30" s="115">
        <f>IF(Uitslag!T30="",0,IF(T30=Uitslag!T30,10,0))</f>
        <v>10</v>
      </c>
    </row>
    <row r="31" spans="2:41" ht="15.75" thickBot="1">
      <c r="B31" s="12">
        <v>24</v>
      </c>
      <c r="C31" s="13">
        <v>41810</v>
      </c>
      <c r="D31" s="14" t="s">
        <v>22</v>
      </c>
      <c r="E31" s="15" t="s">
        <v>9</v>
      </c>
      <c r="F31" s="16" t="s">
        <v>20</v>
      </c>
      <c r="G31" s="85">
        <v>2</v>
      </c>
      <c r="H31" s="15" t="s">
        <v>9</v>
      </c>
      <c r="I31" s="90">
        <v>0</v>
      </c>
      <c r="J31" s="17">
        <f t="shared" si="0"/>
        <v>1</v>
      </c>
      <c r="K31" s="11">
        <f t="shared" si="1"/>
        <v>3</v>
      </c>
      <c r="L31" s="11">
        <f t="shared" si="2"/>
        <v>0</v>
      </c>
      <c r="O31" s="40"/>
      <c r="P31" s="41"/>
      <c r="Q31" s="41"/>
      <c r="R31" s="41"/>
      <c r="S31" s="41"/>
      <c r="T31" s="41"/>
      <c r="U31" s="40"/>
      <c r="V31" s="40"/>
      <c r="W31" s="40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3"/>
        <v>0</v>
      </c>
      <c r="AH31" s="108">
        <f t="shared" si="4"/>
        <v>0</v>
      </c>
      <c r="AI31" s="108">
        <f t="shared" si="10"/>
        <v>0</v>
      </c>
      <c r="AJ31" s="108">
        <f t="shared" si="5"/>
        <v>0</v>
      </c>
      <c r="AK31" s="108">
        <f t="shared" si="6"/>
        <v>0</v>
      </c>
      <c r="AL31" s="108">
        <f t="shared" si="7"/>
        <v>0</v>
      </c>
      <c r="AN31" s="40"/>
      <c r="AO31" s="41"/>
    </row>
    <row r="32" spans="2:41" ht="15.75" thickBot="1">
      <c r="B32" s="18">
        <v>25</v>
      </c>
      <c r="C32" s="19">
        <v>41810</v>
      </c>
      <c r="D32" s="20" t="s">
        <v>25</v>
      </c>
      <c r="E32" s="21" t="s">
        <v>9</v>
      </c>
      <c r="F32" s="30" t="s">
        <v>27</v>
      </c>
      <c r="G32" s="86">
        <v>0</v>
      </c>
      <c r="H32" s="21" t="s">
        <v>9</v>
      </c>
      <c r="I32" s="91">
        <v>2</v>
      </c>
      <c r="J32" s="23">
        <f t="shared" si="0"/>
        <v>2</v>
      </c>
      <c r="K32" s="11">
        <f t="shared" si="1"/>
        <v>0</v>
      </c>
      <c r="L32" s="11">
        <f t="shared" si="2"/>
        <v>3</v>
      </c>
      <c r="O32" s="72" t="s">
        <v>66</v>
      </c>
      <c r="P32" s="73" t="s">
        <v>42</v>
      </c>
      <c r="Q32" s="73" t="s">
        <v>43</v>
      </c>
      <c r="R32" s="74" t="s">
        <v>44</v>
      </c>
      <c r="S32" s="75" t="s">
        <v>45</v>
      </c>
      <c r="T32" s="76" t="s">
        <v>46</v>
      </c>
      <c r="U32" s="40"/>
      <c r="V32" s="40"/>
      <c r="W32" s="40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3"/>
        <v>0</v>
      </c>
      <c r="AH32" s="108">
        <f t="shared" si="4"/>
        <v>0</v>
      </c>
      <c r="AI32" s="108">
        <f t="shared" si="10"/>
        <v>0</v>
      </c>
      <c r="AJ32" s="108">
        <f t="shared" si="5"/>
        <v>0</v>
      </c>
      <c r="AK32" s="108">
        <f t="shared" si="6"/>
        <v>5</v>
      </c>
      <c r="AL32" s="108">
        <f t="shared" si="7"/>
        <v>0</v>
      </c>
      <c r="AN32" s="42" t="s">
        <v>66</v>
      </c>
      <c r="AO32" s="43" t="s">
        <v>46</v>
      </c>
    </row>
    <row r="33" spans="2:41" ht="15.75" thickBot="1">
      <c r="B33" s="24">
        <v>26</v>
      </c>
      <c r="C33" s="25">
        <v>41810</v>
      </c>
      <c r="D33" s="26" t="s">
        <v>28</v>
      </c>
      <c r="E33" s="27" t="s">
        <v>9</v>
      </c>
      <c r="F33" s="28" t="s">
        <v>26</v>
      </c>
      <c r="G33" s="87">
        <v>0</v>
      </c>
      <c r="H33" s="27" t="s">
        <v>9</v>
      </c>
      <c r="I33" s="92">
        <v>3</v>
      </c>
      <c r="J33" s="29">
        <f t="shared" si="0"/>
        <v>2</v>
      </c>
      <c r="K33" s="11">
        <f t="shared" si="1"/>
        <v>0</v>
      </c>
      <c r="L33" s="11">
        <f t="shared" si="2"/>
        <v>3</v>
      </c>
      <c r="O33" s="44" t="s">
        <v>25</v>
      </c>
      <c r="P33" s="45">
        <f>SUMIF($D$8:$D$55,$O33,$G$8:$G$55)+SUMIF($F$8:$F$55,$O33,$I$8:$I$55)</f>
        <v>7</v>
      </c>
      <c r="Q33" s="45">
        <f>SUMIF($D$8:$D$55,$O33,$I$8:$I$55)+SUMIF($F$8:$F$55,$O33,$G$8:$G$55)</f>
        <v>4</v>
      </c>
      <c r="R33" s="46">
        <f>P33-Q33</f>
        <v>3</v>
      </c>
      <c r="S33" s="47">
        <f>SUMIF($D$8:$D$55,$O33,$K$8:$K$55)+SUMIF($F$8:$F$55,$O33,$L$8:$L$55)</f>
        <v>6</v>
      </c>
      <c r="T33" s="94" t="s">
        <v>68</v>
      </c>
      <c r="U33" s="40"/>
      <c r="V33" s="40" t="str">
        <f>O33</f>
        <v>Zwitserland</v>
      </c>
      <c r="W33" s="40" t="s">
        <v>67</v>
      </c>
      <c r="Y33" s="109">
        <f t="shared" si="8"/>
        <v>5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5</v>
      </c>
      <c r="AG33" s="108">
        <f t="shared" si="3"/>
        <v>0</v>
      </c>
      <c r="AH33" s="108">
        <f t="shared" si="4"/>
        <v>0</v>
      </c>
      <c r="AI33" s="108">
        <f t="shared" si="10"/>
        <v>0</v>
      </c>
      <c r="AJ33" s="108">
        <f t="shared" si="5"/>
        <v>0</v>
      </c>
      <c r="AK33" s="108">
        <f t="shared" si="6"/>
        <v>5</v>
      </c>
      <c r="AL33" s="108">
        <f t="shared" si="7"/>
        <v>0</v>
      </c>
      <c r="AM33" s="120">
        <f>AO33</f>
        <v>10</v>
      </c>
      <c r="AN33" s="116" t="s">
        <v>25</v>
      </c>
      <c r="AO33" s="115">
        <f>IF(Uitslag!T33="",0,IF(T33=Uitslag!T33,10,0))</f>
        <v>10</v>
      </c>
    </row>
    <row r="34" spans="2:41" ht="15.75" thickBot="1">
      <c r="B34" s="12">
        <v>27</v>
      </c>
      <c r="C34" s="13">
        <v>41811</v>
      </c>
      <c r="D34" s="14" t="s">
        <v>29</v>
      </c>
      <c r="E34" s="15" t="s">
        <v>9</v>
      </c>
      <c r="F34" s="16" t="s">
        <v>33</v>
      </c>
      <c r="G34" s="85">
        <v>3</v>
      </c>
      <c r="H34" s="15" t="s">
        <v>9</v>
      </c>
      <c r="I34" s="90">
        <v>0</v>
      </c>
      <c r="J34" s="17">
        <f t="shared" si="0"/>
        <v>1</v>
      </c>
      <c r="K34" s="11">
        <f t="shared" si="1"/>
        <v>3</v>
      </c>
      <c r="L34" s="11">
        <f t="shared" si="2"/>
        <v>0</v>
      </c>
      <c r="O34" s="48" t="s">
        <v>26</v>
      </c>
      <c r="P34" s="49">
        <f>SUMIF($D$8:$D$55,$O34,$G$8:$G$55)+SUMIF($F$8:$F$55,$O34,$I$8:$I$55)</f>
        <v>4</v>
      </c>
      <c r="Q34" s="49">
        <f>SUMIF($D$8:$D$55,$O34,$I$8:$I$55)+SUMIF($F$8:$F$55,$O34,$G$8:$G$55)</f>
        <v>5</v>
      </c>
      <c r="R34" s="49">
        <f>P34-Q34</f>
        <v>-1</v>
      </c>
      <c r="S34" s="50">
        <f>SUMIF($D$8:$D$55,$O34,$K$8:$K$55)+SUMIF($F$8:$F$55,$O34,$L$8:$L$55)</f>
        <v>3</v>
      </c>
      <c r="T34" s="95" t="s">
        <v>69</v>
      </c>
      <c r="U34" s="40"/>
      <c r="V34" s="40" t="str">
        <f>O34</f>
        <v>Ecuador</v>
      </c>
      <c r="W34" s="40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3"/>
        <v>0</v>
      </c>
      <c r="AH34" s="108">
        <f t="shared" si="4"/>
        <v>1</v>
      </c>
      <c r="AI34" s="108">
        <f t="shared" si="10"/>
        <v>0</v>
      </c>
      <c r="AJ34" s="108">
        <f t="shared" si="5"/>
        <v>5</v>
      </c>
      <c r="AK34" s="108">
        <f t="shared" si="6"/>
        <v>0</v>
      </c>
      <c r="AL34" s="108">
        <f t="shared" si="7"/>
        <v>0</v>
      </c>
      <c r="AM34" s="120">
        <f>AO34</f>
        <v>10</v>
      </c>
      <c r="AN34" s="117" t="s">
        <v>26</v>
      </c>
      <c r="AO34" s="115">
        <f>IF(Uitslag!T34="",0,IF(T34=Uitslag!T34,10,0))</f>
        <v>10</v>
      </c>
    </row>
    <row r="35" spans="2:41" ht="15.75" thickBot="1">
      <c r="B35" s="18">
        <v>28</v>
      </c>
      <c r="C35" s="19">
        <v>41811</v>
      </c>
      <c r="D35" s="20" t="s">
        <v>31</v>
      </c>
      <c r="E35" s="21" t="s">
        <v>9</v>
      </c>
      <c r="F35" s="30" t="s">
        <v>35</v>
      </c>
      <c r="G35" s="86">
        <v>2</v>
      </c>
      <c r="H35" s="21" t="s">
        <v>9</v>
      </c>
      <c r="I35" s="91">
        <v>0</v>
      </c>
      <c r="J35" s="23">
        <f t="shared" si="0"/>
        <v>1</v>
      </c>
      <c r="K35" s="11">
        <f t="shared" si="1"/>
        <v>3</v>
      </c>
      <c r="L35" s="11">
        <f t="shared" si="2"/>
        <v>0</v>
      </c>
      <c r="O35" s="48" t="s">
        <v>27</v>
      </c>
      <c r="P35" s="49">
        <f>SUMIF($D$8:$D$55,$O35,$G$8:$G$55)+SUMIF($F$8:$F$55,$O35,$I$8:$I$55)</f>
        <v>9</v>
      </c>
      <c r="Q35" s="49">
        <f>SUMIF($D$8:$D$55,$O35,$I$8:$I$55)+SUMIF($F$8:$F$55,$O35,$G$8:$G$55)</f>
        <v>0</v>
      </c>
      <c r="R35" s="49">
        <f>P35-Q35</f>
        <v>9</v>
      </c>
      <c r="S35" s="50">
        <f>SUMIF($D$8:$D$55,$O35,$K$8:$K$55)+SUMIF($F$8:$F$55,$O35,$L$8:$L$55)</f>
        <v>9</v>
      </c>
      <c r="T35" s="95" t="s">
        <v>67</v>
      </c>
      <c r="U35" s="40"/>
      <c r="V35" s="40" t="str">
        <f>O35</f>
        <v>Frankrijk</v>
      </c>
      <c r="W35" s="40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3"/>
        <v>1</v>
      </c>
      <c r="AH35" s="108">
        <f t="shared" si="4"/>
        <v>0</v>
      </c>
      <c r="AI35" s="108">
        <f t="shared" si="10"/>
        <v>0</v>
      </c>
      <c r="AJ35" s="108">
        <f t="shared" si="5"/>
        <v>0</v>
      </c>
      <c r="AK35" s="108">
        <f t="shared" si="6"/>
        <v>0</v>
      </c>
      <c r="AL35" s="108">
        <f t="shared" si="7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24">
        <v>29</v>
      </c>
      <c r="C36" s="25">
        <v>41811</v>
      </c>
      <c r="D36" s="26" t="s">
        <v>34</v>
      </c>
      <c r="E36" s="27" t="s">
        <v>9</v>
      </c>
      <c r="F36" s="28" t="s">
        <v>30</v>
      </c>
      <c r="G36" s="87">
        <v>2</v>
      </c>
      <c r="H36" s="27" t="s">
        <v>9</v>
      </c>
      <c r="I36" s="92">
        <v>1</v>
      </c>
      <c r="J36" s="29">
        <f t="shared" si="0"/>
        <v>1</v>
      </c>
      <c r="K36" s="11">
        <f t="shared" si="1"/>
        <v>3</v>
      </c>
      <c r="L36" s="11">
        <f t="shared" si="2"/>
        <v>0</v>
      </c>
      <c r="O36" s="51" t="s">
        <v>28</v>
      </c>
      <c r="P36" s="52">
        <f>SUMIF($D$8:$D$55,$O36,$G$8:$G$55)+SUMIF($F$8:$F$55,$O36,$I$8:$I$55)</f>
        <v>1</v>
      </c>
      <c r="Q36" s="52">
        <f>SUMIF($D$8:$D$55,$O36,$I$8:$I$55)+SUMIF($F$8:$F$55,$O36,$G$8:$G$55)</f>
        <v>12</v>
      </c>
      <c r="R36" s="52">
        <f>P36-Q36</f>
        <v>-11</v>
      </c>
      <c r="S36" s="53">
        <f>SUMIF($D$8:$D$55,$O36,$K$8:$K$55)+SUMIF($F$8:$F$55,$O36,$L$8:$L$55)</f>
        <v>0</v>
      </c>
      <c r="T36" s="96" t="s">
        <v>70</v>
      </c>
      <c r="U36" s="40"/>
      <c r="V36" s="40" t="str">
        <f>O36</f>
        <v>Honduras</v>
      </c>
      <c r="W36" s="40" t="s">
        <v>70</v>
      </c>
      <c r="Y36" s="109">
        <f t="shared" si="8"/>
        <v>5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5</v>
      </c>
      <c r="AG36" s="108">
        <f t="shared" si="3"/>
        <v>0</v>
      </c>
      <c r="AH36" s="108">
        <f t="shared" si="4"/>
        <v>0</v>
      </c>
      <c r="AI36" s="108">
        <f t="shared" si="10"/>
        <v>0</v>
      </c>
      <c r="AJ36" s="108">
        <f t="shared" si="5"/>
        <v>5</v>
      </c>
      <c r="AK36" s="108">
        <f t="shared" si="6"/>
        <v>0</v>
      </c>
      <c r="AL36" s="108">
        <f t="shared" si="7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12">
        <v>30</v>
      </c>
      <c r="C37" s="13">
        <v>41812</v>
      </c>
      <c r="D37" s="14" t="s">
        <v>37</v>
      </c>
      <c r="E37" s="15" t="s">
        <v>9</v>
      </c>
      <c r="F37" s="16" t="s">
        <v>39</v>
      </c>
      <c r="G37" s="85">
        <v>3</v>
      </c>
      <c r="H37" s="15" t="s">
        <v>9</v>
      </c>
      <c r="I37" s="90">
        <v>1</v>
      </c>
      <c r="J37" s="17">
        <f t="shared" si="0"/>
        <v>1</v>
      </c>
      <c r="K37" s="11">
        <f t="shared" si="1"/>
        <v>3</v>
      </c>
      <c r="L37" s="11">
        <f t="shared" si="2"/>
        <v>0</v>
      </c>
      <c r="O37" s="40"/>
      <c r="P37" s="41"/>
      <c r="Q37" s="41"/>
      <c r="R37" s="41"/>
      <c r="S37" s="41"/>
      <c r="T37" s="41"/>
      <c r="U37" s="40"/>
      <c r="V37" s="40"/>
      <c r="W37" s="40"/>
      <c r="Y37" s="109">
        <f t="shared" si="8"/>
        <v>5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5</v>
      </c>
      <c r="AG37" s="108">
        <f t="shared" si="3"/>
        <v>0</v>
      </c>
      <c r="AH37" s="108">
        <f t="shared" si="4"/>
        <v>0</v>
      </c>
      <c r="AI37" s="108">
        <f t="shared" si="10"/>
        <v>0</v>
      </c>
      <c r="AJ37" s="108">
        <f t="shared" si="5"/>
        <v>5</v>
      </c>
      <c r="AK37" s="108">
        <f t="shared" si="6"/>
        <v>0</v>
      </c>
      <c r="AL37" s="108">
        <f t="shared" si="7"/>
        <v>0</v>
      </c>
      <c r="AN37" s="40"/>
      <c r="AO37" s="41"/>
    </row>
    <row r="38" spans="2:41" ht="15.75" thickBot="1">
      <c r="B38" s="18">
        <v>31</v>
      </c>
      <c r="C38" s="19">
        <v>41812</v>
      </c>
      <c r="D38" s="20" t="s">
        <v>40</v>
      </c>
      <c r="E38" s="21" t="s">
        <v>9</v>
      </c>
      <c r="F38" s="30" t="s">
        <v>38</v>
      </c>
      <c r="G38" s="86">
        <v>2</v>
      </c>
      <c r="H38" s="21" t="s">
        <v>9</v>
      </c>
      <c r="I38" s="91">
        <v>0</v>
      </c>
      <c r="J38" s="23">
        <f t="shared" si="0"/>
        <v>1</v>
      </c>
      <c r="K38" s="11">
        <f t="shared" si="1"/>
        <v>3</v>
      </c>
      <c r="L38" s="11">
        <f t="shared" si="2"/>
        <v>0</v>
      </c>
      <c r="O38" s="72" t="s">
        <v>71</v>
      </c>
      <c r="P38" s="73" t="s">
        <v>42</v>
      </c>
      <c r="Q38" s="73" t="s">
        <v>43</v>
      </c>
      <c r="R38" s="74" t="s">
        <v>44</v>
      </c>
      <c r="S38" s="75" t="s">
        <v>45</v>
      </c>
      <c r="T38" s="76" t="s">
        <v>46</v>
      </c>
      <c r="U38" s="40"/>
      <c r="V38" s="40"/>
      <c r="W38" s="40"/>
      <c r="Y38" s="109">
        <f t="shared" si="8"/>
        <v>1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1</v>
      </c>
      <c r="AG38" s="108">
        <f t="shared" si="3"/>
        <v>1</v>
      </c>
      <c r="AH38" s="108">
        <f t="shared" si="4"/>
        <v>0</v>
      </c>
      <c r="AI38" s="108">
        <f t="shared" si="10"/>
        <v>0</v>
      </c>
      <c r="AJ38" s="108">
        <f t="shared" si="5"/>
        <v>0</v>
      </c>
      <c r="AK38" s="108">
        <f t="shared" si="6"/>
        <v>0</v>
      </c>
      <c r="AL38" s="108">
        <f t="shared" si="7"/>
        <v>0</v>
      </c>
      <c r="AN38" s="42" t="s">
        <v>71</v>
      </c>
      <c r="AO38" s="43" t="s">
        <v>46</v>
      </c>
    </row>
    <row r="39" spans="2:41" ht="15.75" thickBot="1">
      <c r="B39" s="24">
        <v>32</v>
      </c>
      <c r="C39" s="25">
        <v>41812</v>
      </c>
      <c r="D39" s="26" t="s">
        <v>36</v>
      </c>
      <c r="E39" s="27" t="s">
        <v>9</v>
      </c>
      <c r="F39" s="28" t="s">
        <v>32</v>
      </c>
      <c r="G39" s="87">
        <v>0</v>
      </c>
      <c r="H39" s="27" t="s">
        <v>9</v>
      </c>
      <c r="I39" s="92">
        <v>3</v>
      </c>
      <c r="J39" s="29">
        <f t="shared" si="0"/>
        <v>2</v>
      </c>
      <c r="K39" s="11">
        <f t="shared" si="1"/>
        <v>0</v>
      </c>
      <c r="L39" s="11">
        <f t="shared" si="2"/>
        <v>3</v>
      </c>
      <c r="O39" s="44" t="s">
        <v>29</v>
      </c>
      <c r="P39" s="45">
        <f>SUMIF($D$8:$D$55,$O39,$G$8:$G$55)+SUMIF($F$8:$F$55,$O39,$I$8:$I$55)</f>
        <v>9</v>
      </c>
      <c r="Q39" s="45">
        <f>SUMIF($D$8:$D$55,$O39,$I$8:$I$55)+SUMIF($F$8:$F$55,$O39,$G$8:$G$55)</f>
        <v>2</v>
      </c>
      <c r="R39" s="46">
        <f>P39-Q39</f>
        <v>7</v>
      </c>
      <c r="S39" s="47">
        <f>SUMIF($D$8:$D$55,$O39,$K$8:$K$55)+SUMIF($F$8:$F$55,$O39,$L$8:$L$55)</f>
        <v>9</v>
      </c>
      <c r="T39" s="94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0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0</v>
      </c>
      <c r="AG39" s="108">
        <f t="shared" si="3"/>
        <v>0</v>
      </c>
      <c r="AH39" s="108">
        <f t="shared" si="4"/>
        <v>0</v>
      </c>
      <c r="AI39" s="108">
        <f t="shared" si="10"/>
        <v>0</v>
      </c>
      <c r="AJ39" s="108">
        <f t="shared" si="5"/>
        <v>0</v>
      </c>
      <c r="AK39" s="108">
        <f t="shared" si="6"/>
        <v>0</v>
      </c>
      <c r="AL39" s="108">
        <f t="shared" si="7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12">
        <v>33</v>
      </c>
      <c r="C40" s="13">
        <v>41813</v>
      </c>
      <c r="D40" s="14" t="s">
        <v>16</v>
      </c>
      <c r="E40" s="15" t="s">
        <v>9</v>
      </c>
      <c r="F40" s="16" t="s">
        <v>13</v>
      </c>
      <c r="G40" s="85">
        <v>1</v>
      </c>
      <c r="H40" s="15" t="s">
        <v>9</v>
      </c>
      <c r="I40" s="90">
        <v>3</v>
      </c>
      <c r="J40" s="17">
        <f t="shared" si="0"/>
        <v>2</v>
      </c>
      <c r="K40" s="11">
        <f t="shared" si="1"/>
        <v>0</v>
      </c>
      <c r="L40" s="11">
        <f t="shared" si="2"/>
        <v>3</v>
      </c>
      <c r="O40" s="48" t="s">
        <v>30</v>
      </c>
      <c r="P40" s="49">
        <f>SUMIF($D$8:$D$55,$O40,$G$8:$G$55)+SUMIF($F$8:$F$55,$O40,$I$8:$I$55)</f>
        <v>4</v>
      </c>
      <c r="Q40" s="49">
        <f>SUMIF($D$8:$D$55,$O40,$I$8:$I$55)+SUMIF($F$8:$F$55,$O40,$G$8:$G$55)</f>
        <v>7</v>
      </c>
      <c r="R40" s="49">
        <f>P40-Q40</f>
        <v>-3</v>
      </c>
      <c r="S40" s="50">
        <f>SUMIF($D$8:$D$55,$O40,$K$8:$K$55)+SUMIF($F$8:$F$55,$O40,$L$8:$L$55)</f>
        <v>3</v>
      </c>
      <c r="T40" s="95" t="s">
        <v>74</v>
      </c>
      <c r="U40" s="40"/>
      <c r="V40" s="40" t="str">
        <f>O40</f>
        <v>Bosnië H.</v>
      </c>
      <c r="W40" s="40" t="s">
        <v>73</v>
      </c>
      <c r="Y40" s="109">
        <f t="shared" si="8"/>
        <v>6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6</v>
      </c>
      <c r="AG40" s="108">
        <f t="shared" si="3"/>
        <v>0</v>
      </c>
      <c r="AH40" s="108">
        <f t="shared" si="4"/>
        <v>1</v>
      </c>
      <c r="AI40" s="108">
        <f t="shared" si="10"/>
        <v>0</v>
      </c>
      <c r="AJ40" s="108">
        <f t="shared" si="5"/>
        <v>0</v>
      </c>
      <c r="AK40" s="108">
        <f t="shared" si="6"/>
        <v>5</v>
      </c>
      <c r="AL40" s="108">
        <f t="shared" si="7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18">
        <v>34</v>
      </c>
      <c r="C41" s="19">
        <v>41813</v>
      </c>
      <c r="D41" s="32" t="s">
        <v>14</v>
      </c>
      <c r="E41" s="21" t="s">
        <v>9</v>
      </c>
      <c r="F41" s="30" t="s">
        <v>15</v>
      </c>
      <c r="G41" s="86">
        <v>2</v>
      </c>
      <c r="H41" s="21" t="s">
        <v>9</v>
      </c>
      <c r="I41" s="91">
        <v>1</v>
      </c>
      <c r="J41" s="23">
        <f t="shared" si="0"/>
        <v>1</v>
      </c>
      <c r="K41" s="11">
        <f t="shared" si="1"/>
        <v>3</v>
      </c>
      <c r="L41" s="11">
        <f t="shared" si="2"/>
        <v>0</v>
      </c>
      <c r="O41" s="48" t="s">
        <v>33</v>
      </c>
      <c r="P41" s="49">
        <f>SUMIF($D$8:$D$55,$O41,$G$8:$G$55)+SUMIF($F$8:$F$55,$O41,$I$8:$I$55)</f>
        <v>1</v>
      </c>
      <c r="Q41" s="49">
        <f>SUMIF($D$8:$D$55,$O41,$I$8:$I$55)+SUMIF($F$8:$F$55,$O41,$G$8:$G$55)</f>
        <v>7</v>
      </c>
      <c r="R41" s="49">
        <f>P41-Q41</f>
        <v>-6</v>
      </c>
      <c r="S41" s="50">
        <f>SUMIF($D$8:$D$55,$O41,$K$8:$K$55)+SUMIF($F$8:$F$55,$O41,$L$8:$L$55)</f>
        <v>0</v>
      </c>
      <c r="T41" s="95" t="s">
        <v>75</v>
      </c>
      <c r="U41" s="40"/>
      <c r="V41" s="40" t="str">
        <f>O41</f>
        <v>Iran</v>
      </c>
      <c r="W41" s="40" t="s">
        <v>74</v>
      </c>
      <c r="Y41" s="109">
        <f t="shared" si="8"/>
        <v>6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6</v>
      </c>
      <c r="AG41" s="108">
        <f t="shared" si="3"/>
        <v>1</v>
      </c>
      <c r="AH41" s="108">
        <f t="shared" si="4"/>
        <v>0</v>
      </c>
      <c r="AI41" s="108">
        <f t="shared" si="10"/>
        <v>0</v>
      </c>
      <c r="AJ41" s="108">
        <f t="shared" si="5"/>
        <v>5</v>
      </c>
      <c r="AK41" s="108">
        <f t="shared" si="6"/>
        <v>0</v>
      </c>
      <c r="AL41" s="108">
        <f t="shared" si="7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18">
        <v>35</v>
      </c>
      <c r="C42" s="19">
        <v>41813</v>
      </c>
      <c r="D42" s="20" t="s">
        <v>12</v>
      </c>
      <c r="E42" s="21" t="s">
        <v>9</v>
      </c>
      <c r="F42" s="30" t="s">
        <v>8</v>
      </c>
      <c r="G42" s="86">
        <v>1</v>
      </c>
      <c r="H42" s="21" t="s">
        <v>9</v>
      </c>
      <c r="I42" s="91">
        <v>2</v>
      </c>
      <c r="J42" s="23">
        <f t="shared" si="0"/>
        <v>2</v>
      </c>
      <c r="K42" s="11">
        <f t="shared" si="1"/>
        <v>0</v>
      </c>
      <c r="L42" s="11">
        <f t="shared" si="2"/>
        <v>3</v>
      </c>
      <c r="O42" s="51" t="s">
        <v>34</v>
      </c>
      <c r="P42" s="52">
        <f>SUMIF($D$8:$D$55,$O42,$G$8:$G$55)+SUMIF($F$8:$F$55,$O42,$I$8:$I$55)</f>
        <v>5</v>
      </c>
      <c r="Q42" s="52">
        <f>SUMIF($D$8:$D$55,$O42,$I$8:$I$55)+SUMIF($F$8:$F$55,$O42,$G$8:$G$55)</f>
        <v>3</v>
      </c>
      <c r="R42" s="52">
        <f>P42-Q42</f>
        <v>2</v>
      </c>
      <c r="S42" s="53">
        <f>SUMIF($D$8:$D$55,$O42,$K$8:$K$55)+SUMIF($F$8:$F$55,$O42,$L$8:$L$55)</f>
        <v>6</v>
      </c>
      <c r="T42" s="96" t="s">
        <v>73</v>
      </c>
      <c r="U42" s="40"/>
      <c r="V42" s="40" t="str">
        <f>O42</f>
        <v>Nigeria</v>
      </c>
      <c r="W42" s="40" t="s">
        <v>75</v>
      </c>
      <c r="Y42" s="109">
        <f t="shared" si="8"/>
        <v>6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6</v>
      </c>
      <c r="AG42" s="108">
        <f t="shared" si="3"/>
        <v>1</v>
      </c>
      <c r="AH42" s="108">
        <f t="shared" si="4"/>
        <v>0</v>
      </c>
      <c r="AI42" s="108">
        <f t="shared" si="10"/>
        <v>0</v>
      </c>
      <c r="AJ42" s="108">
        <f t="shared" si="5"/>
        <v>0</v>
      </c>
      <c r="AK42" s="108">
        <f t="shared" si="6"/>
        <v>5</v>
      </c>
      <c r="AL42" s="108">
        <f t="shared" si="7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24">
        <v>36</v>
      </c>
      <c r="C43" s="25">
        <v>41813</v>
      </c>
      <c r="D43" s="26" t="s">
        <v>10</v>
      </c>
      <c r="E43" s="27" t="s">
        <v>9</v>
      </c>
      <c r="F43" s="28" t="s">
        <v>11</v>
      </c>
      <c r="G43" s="87">
        <v>1</v>
      </c>
      <c r="H43" s="27" t="s">
        <v>9</v>
      </c>
      <c r="I43" s="92">
        <v>1</v>
      </c>
      <c r="J43" s="29">
        <f t="shared" si="0"/>
        <v>3</v>
      </c>
      <c r="K43" s="11">
        <f t="shared" si="1"/>
        <v>1</v>
      </c>
      <c r="L43" s="11">
        <f t="shared" si="2"/>
        <v>1</v>
      </c>
      <c r="O43" s="40"/>
      <c r="P43" s="41"/>
      <c r="Q43" s="41"/>
      <c r="R43" s="41"/>
      <c r="S43" s="41"/>
      <c r="T43" s="41"/>
      <c r="U43" s="40"/>
      <c r="V43" s="40"/>
      <c r="W43" s="40"/>
      <c r="Y43" s="109">
        <f t="shared" si="8"/>
        <v>1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1</v>
      </c>
      <c r="AG43" s="108">
        <f t="shared" si="3"/>
        <v>1</v>
      </c>
      <c r="AH43" s="108">
        <f t="shared" si="4"/>
        <v>0</v>
      </c>
      <c r="AI43" s="108">
        <f t="shared" si="10"/>
        <v>0</v>
      </c>
      <c r="AJ43" s="108">
        <f t="shared" si="5"/>
        <v>0</v>
      </c>
      <c r="AK43" s="108">
        <f t="shared" si="6"/>
        <v>0</v>
      </c>
      <c r="AL43" s="108">
        <f t="shared" si="7"/>
        <v>0</v>
      </c>
      <c r="AN43" s="40"/>
      <c r="AO43" s="41"/>
    </row>
    <row r="44" spans="2:41" ht="15.75" thickBot="1">
      <c r="B44" s="12">
        <v>37</v>
      </c>
      <c r="C44" s="13">
        <v>41814</v>
      </c>
      <c r="D44" s="14" t="s">
        <v>22</v>
      </c>
      <c r="E44" s="15" t="s">
        <v>9</v>
      </c>
      <c r="F44" s="16" t="s">
        <v>19</v>
      </c>
      <c r="G44" s="85">
        <v>0</v>
      </c>
      <c r="H44" s="15" t="s">
        <v>9</v>
      </c>
      <c r="I44" s="90">
        <v>1</v>
      </c>
      <c r="J44" s="17">
        <f t="shared" si="0"/>
        <v>2</v>
      </c>
      <c r="K44" s="11">
        <f t="shared" si="1"/>
        <v>0</v>
      </c>
      <c r="L44" s="11">
        <f t="shared" si="2"/>
        <v>3</v>
      </c>
      <c r="O44" s="72" t="s">
        <v>76</v>
      </c>
      <c r="P44" s="73" t="s">
        <v>42</v>
      </c>
      <c r="Q44" s="73" t="s">
        <v>43</v>
      </c>
      <c r="R44" s="74" t="s">
        <v>44</v>
      </c>
      <c r="S44" s="75" t="s">
        <v>45</v>
      </c>
      <c r="T44" s="76" t="s">
        <v>46</v>
      </c>
      <c r="U44" s="40"/>
      <c r="V44" s="40"/>
      <c r="W44" s="40"/>
      <c r="Y44" s="109">
        <f t="shared" si="8"/>
        <v>10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10</v>
      </c>
      <c r="AG44" s="108">
        <f t="shared" si="3"/>
        <v>1</v>
      </c>
      <c r="AH44" s="108">
        <f t="shared" si="4"/>
        <v>1</v>
      </c>
      <c r="AI44" s="108">
        <f t="shared" si="10"/>
        <v>10</v>
      </c>
      <c r="AJ44" s="108">
        <f t="shared" si="5"/>
        <v>0</v>
      </c>
      <c r="AK44" s="108">
        <f t="shared" si="6"/>
        <v>5</v>
      </c>
      <c r="AL44" s="108">
        <f t="shared" si="7"/>
        <v>0</v>
      </c>
      <c r="AN44" s="42" t="s">
        <v>76</v>
      </c>
      <c r="AO44" s="43" t="s">
        <v>46</v>
      </c>
    </row>
    <row r="45" spans="2:41" ht="15.75" thickBot="1">
      <c r="B45" s="18">
        <v>38</v>
      </c>
      <c r="C45" s="19">
        <v>41814</v>
      </c>
      <c r="D45" s="20" t="s">
        <v>20</v>
      </c>
      <c r="E45" s="21" t="s">
        <v>9</v>
      </c>
      <c r="F45" s="30" t="s">
        <v>21</v>
      </c>
      <c r="G45" s="86">
        <v>0</v>
      </c>
      <c r="H45" s="21" t="s">
        <v>9</v>
      </c>
      <c r="I45" s="91">
        <v>2</v>
      </c>
      <c r="J45" s="23">
        <f t="shared" si="0"/>
        <v>2</v>
      </c>
      <c r="K45" s="11">
        <f t="shared" si="1"/>
        <v>0</v>
      </c>
      <c r="L45" s="11">
        <f t="shared" si="2"/>
        <v>3</v>
      </c>
      <c r="O45" s="44" t="s">
        <v>31</v>
      </c>
      <c r="P45" s="45">
        <f>SUMIF($D$8:$D$55,$O45,$G$8:$G$55)+SUMIF($F$8:$F$55,$O45,$I$8:$I$55)</f>
        <v>9</v>
      </c>
      <c r="Q45" s="45">
        <f>SUMIF($D$8:$D$55,$O45,$I$8:$I$55)+SUMIF($F$8:$F$55,$O45,$G$8:$G$55)</f>
        <v>2</v>
      </c>
      <c r="R45" s="46">
        <f>P45-Q45</f>
        <v>7</v>
      </c>
      <c r="S45" s="47">
        <f>SUMIF($D$8:$D$55,$O45,$K$8:$K$55)+SUMIF($F$8:$F$55,$O45,$L$8:$L$55)</f>
        <v>9</v>
      </c>
      <c r="T45" s="94" t="s">
        <v>77</v>
      </c>
      <c r="U45" s="40"/>
      <c r="V45" s="40" t="str">
        <f>O45</f>
        <v>Duitsland</v>
      </c>
      <c r="W45" s="40" t="s">
        <v>77</v>
      </c>
      <c r="Y45" s="109">
        <f t="shared" si="8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1</v>
      </c>
      <c r="AG45" s="108">
        <f t="shared" si="3"/>
        <v>1</v>
      </c>
      <c r="AH45" s="108">
        <f t="shared" si="4"/>
        <v>0</v>
      </c>
      <c r="AI45" s="108">
        <f t="shared" si="10"/>
        <v>0</v>
      </c>
      <c r="AJ45" s="108">
        <f t="shared" si="5"/>
        <v>0</v>
      </c>
      <c r="AK45" s="108">
        <f t="shared" si="6"/>
        <v>0</v>
      </c>
      <c r="AL45" s="108">
        <f t="shared" si="7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18">
        <v>39</v>
      </c>
      <c r="C46" s="19">
        <v>41814</v>
      </c>
      <c r="D46" s="20" t="s">
        <v>24</v>
      </c>
      <c r="E46" s="21" t="s">
        <v>9</v>
      </c>
      <c r="F46" s="30" t="s">
        <v>17</v>
      </c>
      <c r="G46" s="86">
        <v>0</v>
      </c>
      <c r="H46" s="21" t="s">
        <v>9</v>
      </c>
      <c r="I46" s="91">
        <v>1</v>
      </c>
      <c r="J46" s="23">
        <f t="shared" si="0"/>
        <v>2</v>
      </c>
      <c r="K46" s="11">
        <f t="shared" si="1"/>
        <v>0</v>
      </c>
      <c r="L46" s="11">
        <f t="shared" si="2"/>
        <v>3</v>
      </c>
      <c r="O46" s="48" t="s">
        <v>32</v>
      </c>
      <c r="P46" s="49">
        <f>SUMIF($D$8:$D$55,$O46,$G$8:$G$55)+SUMIF($F$8:$F$55,$O46,$I$8:$I$55)</f>
        <v>7</v>
      </c>
      <c r="Q46" s="49">
        <f>SUMIF($D$8:$D$55,$O46,$I$8:$I$55)+SUMIF($F$8:$F$55,$O46,$G$8:$G$55)</f>
        <v>4</v>
      </c>
      <c r="R46" s="49">
        <f>P46-Q46</f>
        <v>3</v>
      </c>
      <c r="S46" s="50">
        <f>SUMIF($D$8:$D$55,$O46,$K$8:$K$55)+SUMIF($F$8:$F$55,$O46,$L$8:$L$55)</f>
        <v>6</v>
      </c>
      <c r="T46" s="95" t="s">
        <v>78</v>
      </c>
      <c r="U46" s="40"/>
      <c r="V46" s="40" t="str">
        <f>O46</f>
        <v>Portugal</v>
      </c>
      <c r="W46" s="40" t="s">
        <v>78</v>
      </c>
      <c r="Y46" s="109">
        <f t="shared" si="8"/>
        <v>5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5</v>
      </c>
      <c r="AG46" s="108">
        <f t="shared" si="3"/>
        <v>0</v>
      </c>
      <c r="AH46" s="108">
        <f t="shared" si="4"/>
        <v>0</v>
      </c>
      <c r="AI46" s="108">
        <f t="shared" si="10"/>
        <v>0</v>
      </c>
      <c r="AJ46" s="108">
        <f t="shared" si="5"/>
        <v>0</v>
      </c>
      <c r="AK46" s="108">
        <f t="shared" si="6"/>
        <v>5</v>
      </c>
      <c r="AL46" s="108">
        <f t="shared" si="7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24">
        <v>40</v>
      </c>
      <c r="C47" s="25">
        <v>41814</v>
      </c>
      <c r="D47" s="26" t="s">
        <v>18</v>
      </c>
      <c r="E47" s="27" t="s">
        <v>9</v>
      </c>
      <c r="F47" s="28" t="s">
        <v>23</v>
      </c>
      <c r="G47" s="87">
        <v>1</v>
      </c>
      <c r="H47" s="27" t="s">
        <v>9</v>
      </c>
      <c r="I47" s="92">
        <v>2</v>
      </c>
      <c r="J47" s="29">
        <f t="shared" si="0"/>
        <v>2</v>
      </c>
      <c r="K47" s="11">
        <f t="shared" si="1"/>
        <v>0</v>
      </c>
      <c r="L47" s="11">
        <f t="shared" si="2"/>
        <v>3</v>
      </c>
      <c r="O47" s="48" t="s">
        <v>35</v>
      </c>
      <c r="P47" s="49">
        <f>SUMIF($D$8:$D$55,$O47,$G$8:$G$55)+SUMIF($F$8:$F$55,$O47,$I$8:$I$55)</f>
        <v>3</v>
      </c>
      <c r="Q47" s="49">
        <f>SUMIF($D$8:$D$55,$O47,$I$8:$I$55)+SUMIF($F$8:$F$55,$O47,$G$8:$G$55)</f>
        <v>5</v>
      </c>
      <c r="R47" s="49">
        <f>P47-Q47</f>
        <v>-2</v>
      </c>
      <c r="S47" s="50">
        <f>SUMIF($D$8:$D$55,$O47,$K$8:$K$55)+SUMIF($F$8:$F$55,$O47,$L$8:$L$55)</f>
        <v>3</v>
      </c>
      <c r="T47" s="95" t="s">
        <v>79</v>
      </c>
      <c r="U47" s="40"/>
      <c r="V47" s="40" t="str">
        <f>O47</f>
        <v>Ghana</v>
      </c>
      <c r="W47" s="40" t="s">
        <v>79</v>
      </c>
      <c r="Y47" s="109">
        <f t="shared" si="8"/>
        <v>0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0</v>
      </c>
      <c r="AG47" s="108">
        <f t="shared" si="3"/>
        <v>0</v>
      </c>
      <c r="AH47" s="108">
        <f t="shared" si="4"/>
        <v>0</v>
      </c>
      <c r="AI47" s="108">
        <f t="shared" si="10"/>
        <v>0</v>
      </c>
      <c r="AJ47" s="108">
        <f t="shared" si="5"/>
        <v>0</v>
      </c>
      <c r="AK47" s="108">
        <f t="shared" si="6"/>
        <v>0</v>
      </c>
      <c r="AL47" s="108">
        <f t="shared" si="7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12">
        <v>41</v>
      </c>
      <c r="C48" s="13">
        <v>41815</v>
      </c>
      <c r="D48" s="14" t="s">
        <v>34</v>
      </c>
      <c r="E48" s="15" t="s">
        <v>9</v>
      </c>
      <c r="F48" s="16" t="s">
        <v>29</v>
      </c>
      <c r="G48" s="85">
        <v>1</v>
      </c>
      <c r="H48" s="15" t="s">
        <v>9</v>
      </c>
      <c r="I48" s="90">
        <v>2</v>
      </c>
      <c r="J48" s="17">
        <f t="shared" si="0"/>
        <v>2</v>
      </c>
      <c r="K48" s="11">
        <f t="shared" si="1"/>
        <v>0</v>
      </c>
      <c r="L48" s="11">
        <f t="shared" si="2"/>
        <v>3</v>
      </c>
      <c r="O48" s="51" t="s">
        <v>36</v>
      </c>
      <c r="P48" s="52">
        <f>SUMIF($D$8:$D$55,$O48,$G$8:$G$55)+SUMIF($F$8:$F$55,$O48,$I$8:$I$55)</f>
        <v>1</v>
      </c>
      <c r="Q48" s="52">
        <f>SUMIF($D$8:$D$55,$O48,$I$8:$I$55)+SUMIF($F$8:$F$55,$O48,$G$8:$G$55)</f>
        <v>9</v>
      </c>
      <c r="R48" s="52">
        <f>P48-Q48</f>
        <v>-8</v>
      </c>
      <c r="S48" s="53">
        <f>SUMIF($D$8:$D$55,$O48,$K$8:$K$55)+SUMIF($F$8:$F$55,$O48,$L$8:$L$55)</f>
        <v>0</v>
      </c>
      <c r="T48" s="96" t="s">
        <v>80</v>
      </c>
      <c r="U48" s="40"/>
      <c r="V48" s="40" t="str">
        <f>O48</f>
        <v>Verenigde Staten</v>
      </c>
      <c r="W48" s="40" t="s">
        <v>80</v>
      </c>
      <c r="Y48" s="109">
        <f t="shared" si="8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5</v>
      </c>
      <c r="AG48" s="108">
        <f t="shared" si="3"/>
        <v>0</v>
      </c>
      <c r="AH48" s="108">
        <f t="shared" si="4"/>
        <v>0</v>
      </c>
      <c r="AI48" s="108">
        <f t="shared" si="10"/>
        <v>0</v>
      </c>
      <c r="AJ48" s="108">
        <f t="shared" si="5"/>
        <v>0</v>
      </c>
      <c r="AK48" s="108">
        <f t="shared" si="6"/>
        <v>5</v>
      </c>
      <c r="AL48" s="108">
        <f t="shared" si="7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18">
        <v>42</v>
      </c>
      <c r="C49" s="19">
        <v>41815</v>
      </c>
      <c r="D49" s="20" t="s">
        <v>30</v>
      </c>
      <c r="E49" s="21" t="s">
        <v>9</v>
      </c>
      <c r="F49" s="30" t="s">
        <v>33</v>
      </c>
      <c r="G49" s="86">
        <v>2</v>
      </c>
      <c r="H49" s="21" t="s">
        <v>9</v>
      </c>
      <c r="I49" s="91">
        <v>1</v>
      </c>
      <c r="J49" s="23">
        <f t="shared" si="0"/>
        <v>1</v>
      </c>
      <c r="K49" s="11">
        <f t="shared" si="1"/>
        <v>3</v>
      </c>
      <c r="L49" s="11">
        <f t="shared" si="2"/>
        <v>0</v>
      </c>
      <c r="O49" s="40"/>
      <c r="P49" s="41"/>
      <c r="Q49" s="41"/>
      <c r="R49" s="41"/>
      <c r="S49" s="41"/>
      <c r="T49" s="41"/>
      <c r="U49" s="40"/>
      <c r="V49" s="40"/>
      <c r="W49" s="40"/>
      <c r="Y49" s="109">
        <f t="shared" si="8"/>
        <v>6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6</v>
      </c>
      <c r="AG49" s="108">
        <f t="shared" si="3"/>
        <v>0</v>
      </c>
      <c r="AH49" s="108">
        <f t="shared" si="4"/>
        <v>1</v>
      </c>
      <c r="AI49" s="108">
        <f t="shared" si="10"/>
        <v>0</v>
      </c>
      <c r="AJ49" s="108">
        <f t="shared" si="5"/>
        <v>5</v>
      </c>
      <c r="AK49" s="108">
        <f t="shared" si="6"/>
        <v>0</v>
      </c>
      <c r="AL49" s="108">
        <f t="shared" si="7"/>
        <v>0</v>
      </c>
      <c r="AN49" s="40"/>
      <c r="AO49" s="41"/>
    </row>
    <row r="50" spans="2:54" ht="15.75" thickBot="1">
      <c r="B50" s="18">
        <v>43</v>
      </c>
      <c r="C50" s="19">
        <v>41815</v>
      </c>
      <c r="D50" s="20" t="s">
        <v>28</v>
      </c>
      <c r="E50" s="21" t="s">
        <v>9</v>
      </c>
      <c r="F50" s="30" t="s">
        <v>25</v>
      </c>
      <c r="G50" s="86">
        <v>1</v>
      </c>
      <c r="H50" s="21" t="s">
        <v>9</v>
      </c>
      <c r="I50" s="91">
        <v>4</v>
      </c>
      <c r="J50" s="23">
        <f t="shared" si="0"/>
        <v>2</v>
      </c>
      <c r="K50" s="11">
        <f t="shared" si="1"/>
        <v>0</v>
      </c>
      <c r="L50" s="11">
        <f t="shared" si="2"/>
        <v>3</v>
      </c>
      <c r="O50" s="72" t="s">
        <v>81</v>
      </c>
      <c r="P50" s="73" t="s">
        <v>42</v>
      </c>
      <c r="Q50" s="73" t="s">
        <v>43</v>
      </c>
      <c r="R50" s="74" t="s">
        <v>44</v>
      </c>
      <c r="S50" s="75" t="s">
        <v>45</v>
      </c>
      <c r="T50" s="76" t="s">
        <v>46</v>
      </c>
      <c r="U50" s="40"/>
      <c r="V50" s="40"/>
      <c r="W50" s="40"/>
      <c r="Y50" s="109">
        <f t="shared" si="8"/>
        <v>5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5</v>
      </c>
      <c r="AG50" s="108">
        <f t="shared" si="3"/>
        <v>0</v>
      </c>
      <c r="AH50" s="108">
        <f t="shared" si="4"/>
        <v>0</v>
      </c>
      <c r="AI50" s="108">
        <f t="shared" si="10"/>
        <v>0</v>
      </c>
      <c r="AJ50" s="108">
        <f t="shared" si="5"/>
        <v>0</v>
      </c>
      <c r="AK50" s="108">
        <f t="shared" si="6"/>
        <v>5</v>
      </c>
      <c r="AL50" s="108">
        <f t="shared" si="7"/>
        <v>0</v>
      </c>
      <c r="AN50" s="42" t="s">
        <v>81</v>
      </c>
      <c r="AO50" s="43" t="s">
        <v>46</v>
      </c>
    </row>
    <row r="51" spans="2:54" ht="15.75" thickBot="1">
      <c r="B51" s="24">
        <v>44</v>
      </c>
      <c r="C51" s="25">
        <v>41815</v>
      </c>
      <c r="D51" s="26" t="s">
        <v>26</v>
      </c>
      <c r="E51" s="27" t="s">
        <v>9</v>
      </c>
      <c r="F51" s="28" t="s">
        <v>27</v>
      </c>
      <c r="G51" s="87">
        <v>0</v>
      </c>
      <c r="H51" s="27" t="s">
        <v>9</v>
      </c>
      <c r="I51" s="92">
        <v>2</v>
      </c>
      <c r="J51" s="29">
        <f t="shared" si="0"/>
        <v>2</v>
      </c>
      <c r="K51" s="11">
        <f t="shared" si="1"/>
        <v>0</v>
      </c>
      <c r="L51" s="11">
        <f t="shared" si="2"/>
        <v>3</v>
      </c>
      <c r="O51" s="44" t="s">
        <v>37</v>
      </c>
      <c r="P51" s="45">
        <f>SUMIF($D$8:$D$55,$O51,$G$8:$G$55)+SUMIF($F$8:$F$55,$O51,$I$8:$I$55)</f>
        <v>8</v>
      </c>
      <c r="Q51" s="45">
        <f>SUMIF($D$8:$D$55,$O51,$I$8:$I$55)+SUMIF($F$8:$F$55,$O51,$G$8:$G$55)</f>
        <v>1</v>
      </c>
      <c r="R51" s="46">
        <f>P51-Q51</f>
        <v>7</v>
      </c>
      <c r="S51" s="47">
        <f>SUMIF($D$8:$D$55,$O51,$K$8:$K$55)+SUMIF($F$8:$F$55,$O51,$L$8:$L$55)</f>
        <v>9</v>
      </c>
      <c r="T51" s="94" t="s">
        <v>82</v>
      </c>
      <c r="U51" s="40"/>
      <c r="V51" s="40" t="str">
        <f>O51</f>
        <v>België</v>
      </c>
      <c r="W51" s="40" t="s">
        <v>82</v>
      </c>
      <c r="Y51" s="109">
        <f t="shared" si="8"/>
        <v>1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1</v>
      </c>
      <c r="AG51" s="108">
        <f t="shared" si="3"/>
        <v>1</v>
      </c>
      <c r="AH51" s="108">
        <f t="shared" si="4"/>
        <v>0</v>
      </c>
      <c r="AI51" s="108">
        <f t="shared" si="10"/>
        <v>0</v>
      </c>
      <c r="AJ51" s="108">
        <f t="shared" si="5"/>
        <v>0</v>
      </c>
      <c r="AK51" s="108">
        <f t="shared" si="6"/>
        <v>0</v>
      </c>
      <c r="AL51" s="108">
        <f t="shared" si="7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18">
        <v>45</v>
      </c>
      <c r="C52" s="19">
        <v>41816</v>
      </c>
      <c r="D52" s="20" t="s">
        <v>36</v>
      </c>
      <c r="E52" s="21" t="s">
        <v>9</v>
      </c>
      <c r="F52" s="30" t="s">
        <v>31</v>
      </c>
      <c r="G52" s="86">
        <v>0</v>
      </c>
      <c r="H52" s="21" t="s">
        <v>9</v>
      </c>
      <c r="I52" s="91">
        <v>3</v>
      </c>
      <c r="J52" s="17">
        <f t="shared" si="0"/>
        <v>2</v>
      </c>
      <c r="K52" s="11">
        <f t="shared" si="1"/>
        <v>0</v>
      </c>
      <c r="L52" s="11">
        <f t="shared" si="2"/>
        <v>3</v>
      </c>
      <c r="O52" s="48" t="s">
        <v>38</v>
      </c>
      <c r="P52" s="49">
        <f>SUMIF($D$8:$D$55,$O52,$G$8:$G$55)+SUMIF($F$8:$F$55,$O52,$I$8:$I$55)</f>
        <v>1</v>
      </c>
      <c r="Q52" s="49">
        <f>SUMIF($D$8:$D$55,$O52,$I$8:$I$55)+SUMIF($F$8:$F$55,$O52,$G$8:$G$55)</f>
        <v>5</v>
      </c>
      <c r="R52" s="49">
        <f>P52-Q52</f>
        <v>-4</v>
      </c>
      <c r="S52" s="50">
        <f>SUMIF($D$8:$D$55,$O52,$K$8:$K$55)+SUMIF($F$8:$F$55,$O52,$L$8:$L$55)</f>
        <v>1</v>
      </c>
      <c r="T52" s="95" t="s">
        <v>85</v>
      </c>
      <c r="U52" s="40"/>
      <c r="V52" s="40" t="str">
        <f>O52</f>
        <v>Algerije</v>
      </c>
      <c r="W52" s="40" t="s">
        <v>83</v>
      </c>
      <c r="Y52" s="109">
        <f t="shared" si="8"/>
        <v>6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6</v>
      </c>
      <c r="AG52" s="108">
        <f t="shared" si="3"/>
        <v>1</v>
      </c>
      <c r="AH52" s="108">
        <f t="shared" si="4"/>
        <v>0</v>
      </c>
      <c r="AI52" s="108">
        <f t="shared" si="10"/>
        <v>0</v>
      </c>
      <c r="AJ52" s="108">
        <f t="shared" si="5"/>
        <v>0</v>
      </c>
      <c r="AK52" s="108">
        <f t="shared" si="6"/>
        <v>5</v>
      </c>
      <c r="AL52" s="108">
        <f t="shared" si="7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18">
        <v>46</v>
      </c>
      <c r="C53" s="19">
        <v>41816</v>
      </c>
      <c r="D53" s="20" t="s">
        <v>32</v>
      </c>
      <c r="E53" s="21" t="s">
        <v>9</v>
      </c>
      <c r="F53" s="30" t="s">
        <v>35</v>
      </c>
      <c r="G53" s="86">
        <v>2</v>
      </c>
      <c r="H53" s="21" t="s">
        <v>9</v>
      </c>
      <c r="I53" s="91">
        <v>0</v>
      </c>
      <c r="J53" s="23">
        <f t="shared" si="0"/>
        <v>1</v>
      </c>
      <c r="K53" s="11">
        <f t="shared" si="1"/>
        <v>3</v>
      </c>
      <c r="L53" s="11">
        <f t="shared" si="2"/>
        <v>0</v>
      </c>
      <c r="O53" s="48" t="s">
        <v>39</v>
      </c>
      <c r="P53" s="49">
        <f>SUMIF($D$8:$D$55,$O53,$G$8:$G$55)+SUMIF($F$8:$F$55,$O53,$I$8:$I$55)</f>
        <v>3</v>
      </c>
      <c r="Q53" s="49">
        <f>SUMIF($D$8:$D$55,$O53,$I$8:$I$55)+SUMIF($F$8:$F$55,$O53,$G$8:$G$55)</f>
        <v>4</v>
      </c>
      <c r="R53" s="49">
        <f>P53-Q53</f>
        <v>-1</v>
      </c>
      <c r="S53" s="50">
        <f>SUMIF($D$8:$D$55,$O53,$K$8:$K$55)+SUMIF($F$8:$F$55,$O53,$L$8:$L$55)</f>
        <v>4</v>
      </c>
      <c r="T53" s="95" t="s">
        <v>83</v>
      </c>
      <c r="U53" s="40"/>
      <c r="V53" s="40" t="str">
        <f>O53</f>
        <v>Rusland</v>
      </c>
      <c r="W53" s="40" t="s">
        <v>84</v>
      </c>
      <c r="Y53" s="109">
        <f t="shared" si="8"/>
        <v>6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6</v>
      </c>
      <c r="AG53" s="108">
        <f t="shared" si="3"/>
        <v>1</v>
      </c>
      <c r="AH53" s="108">
        <f t="shared" si="4"/>
        <v>0</v>
      </c>
      <c r="AI53" s="108">
        <f t="shared" si="10"/>
        <v>0</v>
      </c>
      <c r="AJ53" s="108">
        <f t="shared" si="5"/>
        <v>5</v>
      </c>
      <c r="AK53" s="108">
        <f t="shared" si="6"/>
        <v>0</v>
      </c>
      <c r="AL53" s="108">
        <f t="shared" si="7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18">
        <v>47</v>
      </c>
      <c r="C54" s="19">
        <v>41816</v>
      </c>
      <c r="D54" s="20" t="s">
        <v>40</v>
      </c>
      <c r="E54" s="21" t="s">
        <v>9</v>
      </c>
      <c r="F54" s="30" t="s">
        <v>37</v>
      </c>
      <c r="G54" s="86">
        <v>0</v>
      </c>
      <c r="H54" s="21" t="s">
        <v>9</v>
      </c>
      <c r="I54" s="91">
        <v>3</v>
      </c>
      <c r="J54" s="23">
        <f t="shared" si="0"/>
        <v>2</v>
      </c>
      <c r="K54" s="11">
        <f t="shared" si="1"/>
        <v>0</v>
      </c>
      <c r="L54" s="11">
        <f t="shared" si="2"/>
        <v>3</v>
      </c>
      <c r="O54" s="51" t="s">
        <v>40</v>
      </c>
      <c r="P54" s="52">
        <f>SUMIF($D$8:$D$55,$O54,$G$8:$G$55)+SUMIF($F$8:$F$55,$O54,$I$8:$I$55)</f>
        <v>2</v>
      </c>
      <c r="Q54" s="52">
        <f>SUMIF($D$8:$D$55,$O54,$I$8:$I$55)+SUMIF($F$8:$F$55,$O54,$G$8:$G$55)</f>
        <v>4</v>
      </c>
      <c r="R54" s="52">
        <f>P54-Q54</f>
        <v>-2</v>
      </c>
      <c r="S54" s="53">
        <f>SUMIF($D$8:$D$55,$O54,$K$8:$K$55)+SUMIF($F$8:$F$55,$O54,$L$8:$L$55)</f>
        <v>3</v>
      </c>
      <c r="T54" s="96" t="s">
        <v>84</v>
      </c>
      <c r="U54" s="40"/>
      <c r="V54" s="40" t="str">
        <f>O54</f>
        <v>Zuid Korea</v>
      </c>
      <c r="W54" s="40" t="s">
        <v>85</v>
      </c>
      <c r="Y54" s="109">
        <f t="shared" si="8"/>
        <v>6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6</v>
      </c>
      <c r="AG54" s="108">
        <f t="shared" si="3"/>
        <v>1</v>
      </c>
      <c r="AH54" s="108">
        <f t="shared" si="4"/>
        <v>0</v>
      </c>
      <c r="AI54" s="108">
        <f t="shared" si="10"/>
        <v>0</v>
      </c>
      <c r="AJ54" s="108">
        <f t="shared" si="5"/>
        <v>0</v>
      </c>
      <c r="AK54" s="108">
        <f t="shared" si="6"/>
        <v>5</v>
      </c>
      <c r="AL54" s="108">
        <f t="shared" si="7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3">
        <v>48</v>
      </c>
      <c r="C55" s="34">
        <v>41816</v>
      </c>
      <c r="D55" s="35" t="s">
        <v>38</v>
      </c>
      <c r="E55" s="36" t="s">
        <v>9</v>
      </c>
      <c r="F55" s="37" t="s">
        <v>39</v>
      </c>
      <c r="G55" s="88">
        <v>1</v>
      </c>
      <c r="H55" s="36" t="s">
        <v>9</v>
      </c>
      <c r="I55" s="93">
        <v>1</v>
      </c>
      <c r="J55" s="38">
        <f t="shared" si="0"/>
        <v>3</v>
      </c>
      <c r="K55" s="11">
        <f t="shared" si="1"/>
        <v>1</v>
      </c>
      <c r="L55" s="11">
        <f t="shared" si="2"/>
        <v>1</v>
      </c>
      <c r="O55" s="40"/>
      <c r="P55" s="41"/>
      <c r="Q55" s="41"/>
      <c r="R55" s="41"/>
      <c r="S55" s="41"/>
      <c r="T55" s="41"/>
      <c r="U55" s="40"/>
      <c r="V55" s="40"/>
      <c r="W55" s="40"/>
      <c r="Y55" s="109">
        <f t="shared" si="8"/>
        <v>10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10</v>
      </c>
      <c r="AG55" s="108">
        <f t="shared" si="3"/>
        <v>1</v>
      </c>
      <c r="AH55" s="108">
        <f t="shared" si="4"/>
        <v>1</v>
      </c>
      <c r="AI55" s="108">
        <f t="shared" si="10"/>
        <v>10</v>
      </c>
      <c r="AJ55" s="108">
        <f t="shared" si="5"/>
        <v>0</v>
      </c>
      <c r="AK55" s="108">
        <f t="shared" si="6"/>
        <v>0</v>
      </c>
      <c r="AL55" s="108">
        <f t="shared" si="7"/>
        <v>5</v>
      </c>
    </row>
    <row r="56" spans="2:54" ht="15.75" thickBot="1">
      <c r="B56" s="1"/>
      <c r="C56" s="39"/>
      <c r="D56" s="40"/>
      <c r="E56" s="1"/>
      <c r="F56" s="40"/>
      <c r="G56" s="1"/>
      <c r="H56" s="1"/>
      <c r="I56" s="1"/>
      <c r="J56" s="1"/>
      <c r="K56" s="1"/>
      <c r="L56" s="1"/>
      <c r="M56" s="1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195"/>
      <c r="K57" s="1"/>
      <c r="L57" s="1"/>
      <c r="M57" s="1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78" t="s">
        <v>1</v>
      </c>
      <c r="C58" s="79" t="s">
        <v>2</v>
      </c>
      <c r="D58" s="187" t="s">
        <v>3</v>
      </c>
      <c r="E58" s="81"/>
      <c r="F58" s="194" t="s">
        <v>4</v>
      </c>
      <c r="G58" s="867" t="s">
        <v>5</v>
      </c>
      <c r="H58" s="868"/>
      <c r="I58" s="869"/>
      <c r="J58" s="83" t="s">
        <v>6</v>
      </c>
      <c r="K58" s="1"/>
      <c r="L58" s="1"/>
      <c r="M58" s="1"/>
      <c r="O58" s="135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12">
        <v>49</v>
      </c>
      <c r="C59" s="189">
        <v>41818</v>
      </c>
      <c r="D59" s="153" t="str">
        <f t="shared" ref="D59:D66" si="13">IF(ISERROR(Z59),K59,Z59)</f>
        <v>Brazilië</v>
      </c>
      <c r="E59" s="15" t="s">
        <v>9</v>
      </c>
      <c r="F59" s="56" t="str">
        <f t="shared" ref="F59:F66" si="14">IF(ISERROR(AA59),L59,AA59)</f>
        <v>Nederland</v>
      </c>
      <c r="G59" s="85">
        <v>3</v>
      </c>
      <c r="H59" s="15" t="s">
        <v>9</v>
      </c>
      <c r="I59" s="97">
        <v>1</v>
      </c>
      <c r="J59" s="98">
        <v>1</v>
      </c>
      <c r="K59" s="57" t="s">
        <v>48</v>
      </c>
      <c r="L59" s="57" t="s">
        <v>53</v>
      </c>
      <c r="M59" s="57">
        <v>1</v>
      </c>
      <c r="O59" s="135">
        <v>2</v>
      </c>
      <c r="P59" s="877" t="s">
        <v>212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5">AF59</f>
        <v>1</v>
      </c>
      <c r="Z59" t="str">
        <f t="shared" ref="Z59:AA65" si="16">IF(K59=""," ",VLOOKUP(K59,$T$9:$V$54,3,FALSE))</f>
        <v>Brazilië</v>
      </c>
      <c r="AA59" t="str">
        <f t="shared" si="16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7">IF(OR(AC59="",AD59=""),0,(IF(SUM(AG59:AL59)&gt;10,10,SUM(AG59:AL59))))</f>
        <v>1</v>
      </c>
      <c r="AG59" s="108">
        <f t="shared" ref="AG59:AG66" si="18">IF(AC59="",0,(IF(G59=AC59,1,0)))</f>
        <v>0</v>
      </c>
      <c r="AH59" s="108">
        <f t="shared" ref="AH59:AH66" si="19">IF(AD59="",0,(IF(I59=AD59,1,0)))</f>
        <v>1</v>
      </c>
      <c r="AI59" s="108">
        <f t="shared" ref="AI59:AI66" si="20">IF(AND(AG59=1,AH59=1),10,0)</f>
        <v>0</v>
      </c>
      <c r="AJ59" s="108">
        <f t="shared" ref="AJ59:AJ66" si="21">IF(AND(G59&gt;I59,AC59&gt;AD59),5,0)</f>
        <v>0</v>
      </c>
      <c r="AK59" s="108">
        <f t="shared" ref="AK59:AK66" si="22">IF(AND(G59&lt;I59,AC59&lt;AD59),5,0)</f>
        <v>0</v>
      </c>
      <c r="AL59" s="108">
        <f t="shared" ref="AL59:AL66" si="23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4">BA59</f>
        <v>3</v>
      </c>
    </row>
    <row r="60" spans="2:54">
      <c r="B60" s="24">
        <v>50</v>
      </c>
      <c r="C60" s="190">
        <v>41818</v>
      </c>
      <c r="D60" s="154" t="str">
        <f t="shared" si="13"/>
        <v>Ivoorkust</v>
      </c>
      <c r="E60" s="27" t="s">
        <v>9</v>
      </c>
      <c r="F60" s="59" t="str">
        <f t="shared" si="14"/>
        <v>Engeland</v>
      </c>
      <c r="G60" s="87">
        <v>1</v>
      </c>
      <c r="H60" s="27" t="s">
        <v>9</v>
      </c>
      <c r="I60" s="99">
        <v>2</v>
      </c>
      <c r="J60" s="100">
        <v>2</v>
      </c>
      <c r="K60" s="57" t="s">
        <v>57</v>
      </c>
      <c r="L60" s="57" t="s">
        <v>63</v>
      </c>
      <c r="M60" s="57">
        <v>2</v>
      </c>
      <c r="O60" s="135">
        <v>3</v>
      </c>
      <c r="P60" s="877" t="s">
        <v>211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5"/>
        <v>0</v>
      </c>
      <c r="Z60" t="str">
        <f t="shared" si="16"/>
        <v>Ivoorkust</v>
      </c>
      <c r="AA60" t="str">
        <f t="shared" si="16"/>
        <v>Engeland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7"/>
        <v>0</v>
      </c>
      <c r="AG60" s="108">
        <f t="shared" si="18"/>
        <v>0</v>
      </c>
      <c r="AH60" s="108">
        <f t="shared" si="19"/>
        <v>0</v>
      </c>
      <c r="AI60" s="108">
        <f t="shared" si="20"/>
        <v>0</v>
      </c>
      <c r="AJ60" s="108">
        <f t="shared" si="21"/>
        <v>0</v>
      </c>
      <c r="AK60" s="108">
        <f t="shared" si="22"/>
        <v>0</v>
      </c>
      <c r="AL60" s="108">
        <f t="shared" si="23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4"/>
        <v>3</v>
      </c>
    </row>
    <row r="61" spans="2:54">
      <c r="B61" s="12">
        <v>51</v>
      </c>
      <c r="C61" s="189">
        <v>41819</v>
      </c>
      <c r="D61" s="188" t="str">
        <f t="shared" si="13"/>
        <v>Spanje</v>
      </c>
      <c r="E61" s="15" t="s">
        <v>9</v>
      </c>
      <c r="F61" s="56" t="str">
        <f t="shared" si="14"/>
        <v>Kameroen</v>
      </c>
      <c r="G61" s="85">
        <v>2</v>
      </c>
      <c r="H61" s="15" t="s">
        <v>9</v>
      </c>
      <c r="I61" s="97">
        <v>0</v>
      </c>
      <c r="J61" s="98">
        <v>1</v>
      </c>
      <c r="K61" s="57" t="s">
        <v>52</v>
      </c>
      <c r="L61" s="57" t="s">
        <v>49</v>
      </c>
      <c r="M61" s="57"/>
      <c r="O61" s="135">
        <v>4</v>
      </c>
      <c r="P61" s="877" t="s">
        <v>209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5"/>
        <v>6</v>
      </c>
      <c r="Z61" t="str">
        <f t="shared" si="16"/>
        <v>Spanje</v>
      </c>
      <c r="AA61" t="str">
        <f t="shared" si="16"/>
        <v>Kameroen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7"/>
        <v>6</v>
      </c>
      <c r="AG61" s="108">
        <f t="shared" si="18"/>
        <v>1</v>
      </c>
      <c r="AH61" s="108">
        <f t="shared" si="19"/>
        <v>0</v>
      </c>
      <c r="AI61" s="108">
        <f t="shared" si="20"/>
        <v>0</v>
      </c>
      <c r="AJ61" s="108">
        <f t="shared" si="21"/>
        <v>5</v>
      </c>
      <c r="AK61" s="108">
        <f t="shared" si="22"/>
        <v>0</v>
      </c>
      <c r="AL61" s="108">
        <f t="shared" si="23"/>
        <v>0</v>
      </c>
      <c r="AZ61" s="138" t="str">
        <f>Uitslag!P61</f>
        <v>Ron Vlaar (v)</v>
      </c>
      <c r="BA61" s="140">
        <f t="shared" si="12"/>
        <v>3</v>
      </c>
      <c r="BB61" s="139">
        <f t="shared" si="24"/>
        <v>3</v>
      </c>
    </row>
    <row r="62" spans="2:54">
      <c r="B62" s="24">
        <v>52</v>
      </c>
      <c r="C62" s="190">
        <v>41819</v>
      </c>
      <c r="D62" s="188" t="str">
        <f t="shared" si="13"/>
        <v>Uruguay</v>
      </c>
      <c r="E62" s="27" t="s">
        <v>9</v>
      </c>
      <c r="F62" s="59" t="str">
        <f t="shared" si="14"/>
        <v>Colombia</v>
      </c>
      <c r="G62" s="87">
        <v>2</v>
      </c>
      <c r="H62" s="27" t="s">
        <v>9</v>
      </c>
      <c r="I62" s="99">
        <v>0</v>
      </c>
      <c r="J62" s="100">
        <v>1</v>
      </c>
      <c r="K62" s="57" t="s">
        <v>62</v>
      </c>
      <c r="L62" s="57" t="s">
        <v>58</v>
      </c>
      <c r="M62" s="57"/>
      <c r="O62" s="135">
        <v>5</v>
      </c>
      <c r="P62" s="877" t="s">
        <v>220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5"/>
        <v>0</v>
      </c>
      <c r="Z62" t="str">
        <f t="shared" si="16"/>
        <v>Uruguay</v>
      </c>
      <c r="AA62" t="str">
        <f t="shared" si="16"/>
        <v>Colombia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7"/>
        <v>0</v>
      </c>
      <c r="AG62" s="108">
        <f t="shared" si="18"/>
        <v>0</v>
      </c>
      <c r="AH62" s="108">
        <f t="shared" si="19"/>
        <v>0</v>
      </c>
      <c r="AI62" s="108">
        <f t="shared" si="20"/>
        <v>0</v>
      </c>
      <c r="AJ62" s="108">
        <f t="shared" si="21"/>
        <v>0</v>
      </c>
      <c r="AK62" s="108">
        <f t="shared" si="22"/>
        <v>0</v>
      </c>
      <c r="AL62" s="108">
        <f t="shared" si="23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4"/>
        <v>3</v>
      </c>
    </row>
    <row r="63" spans="2:54">
      <c r="B63" s="12">
        <v>53</v>
      </c>
      <c r="C63" s="189">
        <v>41820</v>
      </c>
      <c r="D63" s="153" t="str">
        <f t="shared" si="13"/>
        <v>Frankrijk</v>
      </c>
      <c r="E63" s="15" t="s">
        <v>9</v>
      </c>
      <c r="F63" s="56" t="str">
        <f t="shared" si="14"/>
        <v>Nigeria</v>
      </c>
      <c r="G63" s="85">
        <v>2</v>
      </c>
      <c r="H63" s="15" t="s">
        <v>9</v>
      </c>
      <c r="I63" s="97">
        <v>0</v>
      </c>
      <c r="J63" s="98">
        <v>1</v>
      </c>
      <c r="K63" s="57" t="s">
        <v>67</v>
      </c>
      <c r="L63" s="57" t="s">
        <v>73</v>
      </c>
      <c r="M63" s="57"/>
      <c r="O63" s="135">
        <v>6</v>
      </c>
      <c r="P63" s="877" t="s">
        <v>225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5"/>
        <v>10</v>
      </c>
      <c r="Z63" t="str">
        <f t="shared" si="16"/>
        <v>Frankrijk</v>
      </c>
      <c r="AA63" t="str">
        <f t="shared" si="16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7"/>
        <v>10</v>
      </c>
      <c r="AG63" s="108">
        <f t="shared" si="18"/>
        <v>1</v>
      </c>
      <c r="AH63" s="108">
        <f t="shared" si="19"/>
        <v>1</v>
      </c>
      <c r="AI63" s="108">
        <f t="shared" si="20"/>
        <v>10</v>
      </c>
      <c r="AJ63" s="108">
        <f t="shared" si="21"/>
        <v>5</v>
      </c>
      <c r="AK63" s="108">
        <f t="shared" si="22"/>
        <v>0</v>
      </c>
      <c r="AL63" s="108">
        <f t="shared" si="23"/>
        <v>0</v>
      </c>
      <c r="AZ63" s="138" t="str">
        <f>Uitslag!P63</f>
        <v>Daley Blind (v)</v>
      </c>
      <c r="BA63" s="140">
        <f t="shared" si="12"/>
        <v>3</v>
      </c>
      <c r="BB63" s="139">
        <f t="shared" si="24"/>
        <v>3</v>
      </c>
    </row>
    <row r="64" spans="2:54">
      <c r="B64" s="24">
        <v>54</v>
      </c>
      <c r="C64" s="190">
        <v>41820</v>
      </c>
      <c r="D64" s="154" t="str">
        <f t="shared" si="13"/>
        <v>Duitsland</v>
      </c>
      <c r="E64" s="27" t="s">
        <v>9</v>
      </c>
      <c r="F64" s="59" t="str">
        <f t="shared" si="14"/>
        <v>Rusland</v>
      </c>
      <c r="G64" s="87">
        <v>3</v>
      </c>
      <c r="H64" s="27" t="s">
        <v>9</v>
      </c>
      <c r="I64" s="99">
        <v>1</v>
      </c>
      <c r="J64" s="100">
        <v>1</v>
      </c>
      <c r="K64" s="57" t="s">
        <v>77</v>
      </c>
      <c r="L64" s="57" t="s">
        <v>83</v>
      </c>
      <c r="M64" s="57"/>
      <c r="O64" s="135">
        <v>7</v>
      </c>
      <c r="P64" s="877" t="s">
        <v>221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5"/>
        <v>0</v>
      </c>
      <c r="Z64" t="str">
        <f t="shared" si="16"/>
        <v>Duitsland</v>
      </c>
      <c r="AA64" t="str">
        <f t="shared" si="16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7"/>
        <v>0</v>
      </c>
      <c r="AG64" s="108">
        <f t="shared" si="18"/>
        <v>0</v>
      </c>
      <c r="AH64" s="108">
        <f t="shared" si="19"/>
        <v>0</v>
      </c>
      <c r="AI64" s="108">
        <f t="shared" si="20"/>
        <v>0</v>
      </c>
      <c r="AJ64" s="108">
        <f t="shared" si="21"/>
        <v>0</v>
      </c>
      <c r="AK64" s="108">
        <f t="shared" si="22"/>
        <v>0</v>
      </c>
      <c r="AL64" s="108">
        <f t="shared" si="23"/>
        <v>0</v>
      </c>
      <c r="AZ64" s="138" t="str">
        <f>Uitslag!P64</f>
        <v>Wesley Sneijder (m)</v>
      </c>
      <c r="BA64" s="140">
        <f t="shared" si="12"/>
        <v>0</v>
      </c>
      <c r="BB64" s="139">
        <f t="shared" si="24"/>
        <v>0</v>
      </c>
    </row>
    <row r="65" spans="2:54">
      <c r="B65" s="18">
        <v>55</v>
      </c>
      <c r="C65" s="191">
        <v>41821</v>
      </c>
      <c r="D65" s="153" t="str">
        <f t="shared" si="13"/>
        <v>Argentinië</v>
      </c>
      <c r="E65" s="21" t="s">
        <v>9</v>
      </c>
      <c r="F65" s="60" t="str">
        <f t="shared" si="14"/>
        <v>Zwitserland</v>
      </c>
      <c r="G65" s="86">
        <v>3</v>
      </c>
      <c r="H65" s="21" t="s">
        <v>9</v>
      </c>
      <c r="I65" s="101">
        <v>2</v>
      </c>
      <c r="J65" s="102">
        <v>1</v>
      </c>
      <c r="K65" s="57" t="s">
        <v>72</v>
      </c>
      <c r="L65" s="57" t="s">
        <v>68</v>
      </c>
      <c r="M65" s="57"/>
      <c r="O65" s="135">
        <v>8</v>
      </c>
      <c r="P65" s="877" t="s">
        <v>213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5"/>
        <v>0</v>
      </c>
      <c r="Z65" t="str">
        <f t="shared" si="16"/>
        <v>Argentinië</v>
      </c>
      <c r="AA65" t="str">
        <f t="shared" si="16"/>
        <v>Zwitserland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7"/>
        <v>0</v>
      </c>
      <c r="AG65" s="108">
        <f t="shared" si="18"/>
        <v>0</v>
      </c>
      <c r="AH65" s="108">
        <f t="shared" si="19"/>
        <v>0</v>
      </c>
      <c r="AI65" s="108">
        <f t="shared" si="20"/>
        <v>0</v>
      </c>
      <c r="AJ65" s="108">
        <f t="shared" si="21"/>
        <v>0</v>
      </c>
      <c r="AK65" s="108">
        <f t="shared" si="22"/>
        <v>0</v>
      </c>
      <c r="AL65" s="108">
        <f t="shared" si="23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4"/>
        <v>3</v>
      </c>
    </row>
    <row r="66" spans="2:54" ht="15.75" thickBot="1">
      <c r="B66" s="33">
        <v>56</v>
      </c>
      <c r="C66" s="186">
        <v>41821</v>
      </c>
      <c r="D66" s="155" t="str">
        <f t="shared" si="13"/>
        <v>België</v>
      </c>
      <c r="E66" s="36" t="s">
        <v>9</v>
      </c>
      <c r="F66" s="62" t="str">
        <f t="shared" si="14"/>
        <v>Portugal</v>
      </c>
      <c r="G66" s="88">
        <v>1</v>
      </c>
      <c r="H66" s="36" t="s">
        <v>9</v>
      </c>
      <c r="I66" s="103">
        <v>1</v>
      </c>
      <c r="J66" s="104">
        <v>2</v>
      </c>
      <c r="K66" s="57" t="s">
        <v>82</v>
      </c>
      <c r="L66" s="57" t="s">
        <v>78</v>
      </c>
      <c r="M66" s="57"/>
      <c r="O66" s="135">
        <v>9</v>
      </c>
      <c r="P66" s="877" t="s">
        <v>214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5"/>
        <v>5</v>
      </c>
      <c r="Z66" t="str">
        <f>IF(K66=""," ",VLOOKUP(K66,$T$9:$V$54,3,FALSE))</f>
        <v>België</v>
      </c>
      <c r="AA66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7"/>
        <v>5</v>
      </c>
      <c r="AG66" s="108">
        <f t="shared" si="18"/>
        <v>0</v>
      </c>
      <c r="AH66" s="108">
        <f t="shared" si="19"/>
        <v>0</v>
      </c>
      <c r="AI66" s="108">
        <f t="shared" si="20"/>
        <v>0</v>
      </c>
      <c r="AJ66" s="108">
        <f t="shared" si="21"/>
        <v>0</v>
      </c>
      <c r="AK66" s="108">
        <f t="shared" si="22"/>
        <v>0</v>
      </c>
      <c r="AL66" s="108">
        <f t="shared" si="23"/>
        <v>5</v>
      </c>
      <c r="AZ66" s="138" t="str">
        <f>Uitslag!P66</f>
        <v>Jonathan de Guzman (m)</v>
      </c>
      <c r="BA66" s="140">
        <f t="shared" si="12"/>
        <v>3</v>
      </c>
      <c r="BB66" s="139">
        <f t="shared" si="24"/>
        <v>3</v>
      </c>
    </row>
    <row r="67" spans="2:54" ht="15.75" thickBot="1">
      <c r="B67" s="1"/>
      <c r="C67" s="39"/>
      <c r="D67" s="40"/>
      <c r="E67" s="1"/>
      <c r="F67" s="40"/>
      <c r="G67" s="1"/>
      <c r="H67" s="1"/>
      <c r="I67" s="1"/>
      <c r="J67" s="1"/>
      <c r="K67" s="1"/>
      <c r="L67" s="1"/>
      <c r="M67" s="1"/>
      <c r="O67" s="135">
        <v>10</v>
      </c>
      <c r="P67" s="877" t="s">
        <v>216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4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195"/>
      <c r="K68" s="1"/>
      <c r="L68" s="1"/>
      <c r="M68" s="1"/>
      <c r="O68" s="135">
        <v>11</v>
      </c>
      <c r="P68" s="877" t="s">
        <v>215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4"/>
        <v>3</v>
      </c>
    </row>
    <row r="69" spans="2:54">
      <c r="B69" s="78" t="s">
        <v>1</v>
      </c>
      <c r="C69" s="79" t="s">
        <v>2</v>
      </c>
      <c r="D69" s="193" t="s">
        <v>3</v>
      </c>
      <c r="E69" s="81"/>
      <c r="F69" s="194" t="s">
        <v>4</v>
      </c>
      <c r="G69" s="867" t="s">
        <v>5</v>
      </c>
      <c r="H69" s="868"/>
      <c r="I69" s="869"/>
      <c r="J69" s="83" t="s">
        <v>6</v>
      </c>
      <c r="K69" s="1"/>
      <c r="L69" s="1"/>
      <c r="M69" s="1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30</v>
      </c>
      <c r="BB69" s="139" t="str">
        <f>IF(AND(BA69&lt;&gt;"",BA69=33),15,"nvt")</f>
        <v>nvt</v>
      </c>
    </row>
    <row r="70" spans="2:54">
      <c r="B70" s="12">
        <v>57</v>
      </c>
      <c r="C70" s="13">
        <v>41824</v>
      </c>
      <c r="D70" s="55" t="str">
        <f>IF(J63="","Winnaar 53",IF(J63=1,D63,F63))</f>
        <v>Frankrijk</v>
      </c>
      <c r="E70" s="15" t="s">
        <v>9</v>
      </c>
      <c r="F70" s="56" t="str">
        <f>IF(J64="","Winnaar 54",IF(J64=1,D64,F64))</f>
        <v>Duitsland</v>
      </c>
      <c r="G70" s="85">
        <v>1</v>
      </c>
      <c r="H70" s="15" t="s">
        <v>9</v>
      </c>
      <c r="I70" s="97">
        <v>1</v>
      </c>
      <c r="J70" s="98">
        <v>2</v>
      </c>
      <c r="K70" s="1"/>
      <c r="L70" s="1"/>
      <c r="M70" s="1"/>
      <c r="V70" t="s">
        <v>133</v>
      </c>
      <c r="W70" t="s">
        <v>126</v>
      </c>
      <c r="X70" t="str">
        <f t="shared" si="11"/>
        <v>Karim Rekik (v)</v>
      </c>
      <c r="Y70" s="109">
        <f>AF70</f>
        <v>1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1</v>
      </c>
      <c r="AG70" s="108">
        <f>IF(AC70="",0,(IF(G70=AC70,1,0)))</f>
        <v>0</v>
      </c>
      <c r="AH70" s="108">
        <f>IF(AD70="",0,(IF(I70=AD70,1,0)))</f>
        <v>1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0</v>
      </c>
      <c r="AL70" s="108">
        <f>IF(AND(G70=I70,AC70=AD70),5,0)</f>
        <v>0</v>
      </c>
    </row>
    <row r="71" spans="2:54">
      <c r="B71" s="24">
        <v>58</v>
      </c>
      <c r="C71" s="25">
        <v>41824</v>
      </c>
      <c r="D71" s="58" t="str">
        <f>IF(J59="","Winnaar 49",IF(J59=1,D59,F59))</f>
        <v>Brazilië</v>
      </c>
      <c r="E71" s="27" t="s">
        <v>9</v>
      </c>
      <c r="F71" s="59" t="str">
        <f>IF(J60="","Winnaar 50",IF(J60=1,D60,F60))</f>
        <v>Engeland</v>
      </c>
      <c r="G71" s="87">
        <v>2</v>
      </c>
      <c r="H71" s="27" t="s">
        <v>9</v>
      </c>
      <c r="I71" s="99">
        <v>0</v>
      </c>
      <c r="J71" s="100">
        <v>1</v>
      </c>
      <c r="K71" s="1"/>
      <c r="L71" s="1"/>
      <c r="M71" s="1"/>
      <c r="V71" t="s">
        <v>133</v>
      </c>
      <c r="W71" t="s">
        <v>194</v>
      </c>
      <c r="X71" t="str">
        <f t="shared" si="11"/>
        <v>Ron Vlaar (v)</v>
      </c>
      <c r="Y71" s="109">
        <f>AF71</f>
        <v>6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6</v>
      </c>
      <c r="AG71" s="108">
        <f>IF(AC71="",0,(IF(G71=AC71,1,0)))</f>
        <v>1</v>
      </c>
      <c r="AH71" s="108">
        <f>IF(AD71="",0,(IF(I71=AD71,1,0)))</f>
        <v>0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12">
        <v>59</v>
      </c>
      <c r="C72" s="13">
        <v>41825</v>
      </c>
      <c r="D72" s="55" t="str">
        <f>IF(J65="","Winnaar 55",IF(J65=1,D65,F65))</f>
        <v>Argentinië</v>
      </c>
      <c r="E72" s="15" t="s">
        <v>9</v>
      </c>
      <c r="F72" s="56" t="str">
        <f>IF(J66="","Winnaar 56",IF(J66=1,D66,F66))</f>
        <v>Portugal</v>
      </c>
      <c r="G72" s="85">
        <v>2</v>
      </c>
      <c r="H72" s="15" t="s">
        <v>9</v>
      </c>
      <c r="I72" s="97">
        <v>2</v>
      </c>
      <c r="J72" s="98">
        <v>1</v>
      </c>
      <c r="K72" s="1"/>
      <c r="L72" s="1"/>
      <c r="M72" s="1"/>
      <c r="V72" t="s">
        <v>133</v>
      </c>
      <c r="W72" t="s">
        <v>195</v>
      </c>
      <c r="X72" t="str">
        <f t="shared" si="11"/>
        <v>John Heitinga (v)</v>
      </c>
      <c r="Y72" s="109">
        <f>AF72</f>
        <v>0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0</v>
      </c>
      <c r="AG72" s="108">
        <f>IF(AC72="",0,(IF(G72=AC72,1,0)))</f>
        <v>0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0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3">
        <v>60</v>
      </c>
      <c r="C73" s="34">
        <v>41825</v>
      </c>
      <c r="D73" s="61" t="str">
        <f>IF(J61="","Winnaar 51",IF(J61=1,D61,F61))</f>
        <v>Spanje</v>
      </c>
      <c r="E73" s="36" t="s">
        <v>9</v>
      </c>
      <c r="F73" s="62" t="str">
        <f>IF(J62="","Winnaar 52",IF(J62=1,D62,F62))</f>
        <v>Uruguay</v>
      </c>
      <c r="G73" s="88">
        <v>2</v>
      </c>
      <c r="H73" s="36" t="s">
        <v>9</v>
      </c>
      <c r="I73" s="103">
        <v>1</v>
      </c>
      <c r="J73" s="104">
        <v>1</v>
      </c>
      <c r="K73" s="1"/>
      <c r="L73" s="1"/>
      <c r="M73" s="1"/>
      <c r="V73" t="s">
        <v>133</v>
      </c>
      <c r="W73" t="s">
        <v>196</v>
      </c>
      <c r="X73" t="str">
        <f t="shared" si="11"/>
        <v>Urby Emanuelson (v)</v>
      </c>
      <c r="Y73" s="109">
        <f>AF73</f>
        <v>0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0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1"/>
      <c r="C74" s="39"/>
      <c r="D74" s="40"/>
      <c r="E74" s="1"/>
      <c r="F74" s="40"/>
      <c r="G74" s="1"/>
      <c r="H74" s="1"/>
      <c r="I74" s="1"/>
      <c r="J74" s="1"/>
      <c r="K74" s="1"/>
      <c r="L74" s="1"/>
      <c r="M74" s="1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195"/>
      <c r="K75" s="1"/>
      <c r="L75" s="1"/>
      <c r="M75" s="1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78" t="s">
        <v>1</v>
      </c>
      <c r="C76" s="79" t="s">
        <v>2</v>
      </c>
      <c r="D76" s="193" t="s">
        <v>3</v>
      </c>
      <c r="E76" s="81"/>
      <c r="F76" s="194" t="s">
        <v>4</v>
      </c>
      <c r="G76" s="867" t="s">
        <v>5</v>
      </c>
      <c r="H76" s="868"/>
      <c r="I76" s="869"/>
      <c r="J76" s="83" t="s">
        <v>6</v>
      </c>
      <c r="K76" s="1"/>
      <c r="L76" s="1"/>
      <c r="M76" s="1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12">
        <v>61</v>
      </c>
      <c r="C77" s="13">
        <v>41828</v>
      </c>
      <c r="D77" s="55" t="str">
        <f>IF(J70="","Winnaar 57",IF(J70=1,D70,F70))</f>
        <v>Duitsland</v>
      </c>
      <c r="E77" s="15" t="s">
        <v>9</v>
      </c>
      <c r="F77" s="56" t="str">
        <f>IF(J71="","Winnaar 58",IF(J71=1,D71,F71))</f>
        <v>Brazilië</v>
      </c>
      <c r="G77" s="85">
        <v>2</v>
      </c>
      <c r="H77" s="15" t="s">
        <v>9</v>
      </c>
      <c r="I77" s="97">
        <v>2</v>
      </c>
      <c r="J77" s="98">
        <v>2</v>
      </c>
      <c r="K77" s="1"/>
      <c r="L77" s="1"/>
      <c r="M77" s="1"/>
      <c r="V77" t="s">
        <v>134</v>
      </c>
      <c r="W77" t="s">
        <v>203</v>
      </c>
      <c r="X77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3">
        <v>62</v>
      </c>
      <c r="C78" s="34">
        <v>41829</v>
      </c>
      <c r="D78" s="61" t="str">
        <f>IF(J72="","Winnaar 59",IF(J72=1,D72,F72))</f>
        <v>Argentinië</v>
      </c>
      <c r="E78" s="36" t="s">
        <v>9</v>
      </c>
      <c r="F78" s="62" t="str">
        <f>IF(J73="","Winnaar 60",IF(J73=1,D73,F73))</f>
        <v>Spanje</v>
      </c>
      <c r="G78" s="88">
        <v>1</v>
      </c>
      <c r="H78" s="36" t="s">
        <v>9</v>
      </c>
      <c r="I78" s="103">
        <v>2</v>
      </c>
      <c r="J78" s="104">
        <v>2</v>
      </c>
      <c r="K78" s="1"/>
      <c r="L78" s="1"/>
      <c r="M78" s="1"/>
      <c r="V78" t="s">
        <v>134</v>
      </c>
      <c r="W78" t="s">
        <v>199</v>
      </c>
      <c r="X78" t="str">
        <f t="shared" si="11"/>
        <v>Leroy Fer (m)</v>
      </c>
      <c r="Y78" s="109">
        <f>AF78</f>
        <v>0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0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1"/>
      <c r="C79" s="39"/>
      <c r="D79" s="40"/>
      <c r="E79" s="1"/>
      <c r="F79" s="40"/>
      <c r="G79" s="1"/>
      <c r="H79" s="1"/>
      <c r="I79" s="1"/>
      <c r="J79" s="1"/>
      <c r="K79" s="1"/>
      <c r="L79" s="1"/>
      <c r="M79" s="1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195"/>
      <c r="K80" s="1"/>
      <c r="L80" s="1"/>
      <c r="M80" s="1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78" t="s">
        <v>1</v>
      </c>
      <c r="C81" s="79" t="s">
        <v>2</v>
      </c>
      <c r="D81" s="193" t="s">
        <v>3</v>
      </c>
      <c r="E81" s="81"/>
      <c r="F81" s="194" t="s">
        <v>4</v>
      </c>
      <c r="G81" s="867" t="s">
        <v>5</v>
      </c>
      <c r="H81" s="868"/>
      <c r="I81" s="869"/>
      <c r="J81" s="83" t="s">
        <v>6</v>
      </c>
      <c r="K81" s="1"/>
      <c r="L81" s="1"/>
      <c r="M81" s="1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2">
        <v>63</v>
      </c>
      <c r="C82" s="63">
        <v>41832</v>
      </c>
      <c r="D82" s="64" t="str">
        <f>IF(J77="","Verliezer 61",IF(J77=1,F77,D77))</f>
        <v>Duitsland</v>
      </c>
      <c r="E82" s="3" t="s">
        <v>9</v>
      </c>
      <c r="F82" s="65" t="str">
        <f>IF(J78="","Verliezer 62",IF(J78=1,F78,D78))</f>
        <v>Argentinië</v>
      </c>
      <c r="G82" s="105">
        <v>0</v>
      </c>
      <c r="H82" s="3" t="s">
        <v>9</v>
      </c>
      <c r="I82" s="106">
        <v>1</v>
      </c>
      <c r="J82" s="107">
        <v>2</v>
      </c>
      <c r="K82" s="1"/>
      <c r="L82" s="1"/>
      <c r="M82" s="1"/>
      <c r="V82" t="s">
        <v>134</v>
      </c>
      <c r="W82" t="s">
        <v>125</v>
      </c>
      <c r="X82" t="str">
        <f t="shared" si="11"/>
        <v>Georginio Wijnaldum (m)</v>
      </c>
      <c r="Y82" s="109">
        <f>AF82</f>
        <v>6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6</v>
      </c>
      <c r="AG82" s="108">
        <f>IF(AC82="",0,(IF(G82=AC82,1,0)))</f>
        <v>1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5</v>
      </c>
      <c r="AL82" s="108">
        <f>IF(AND(G82=I82,AC82=AD82),5,0)</f>
        <v>0</v>
      </c>
    </row>
    <row r="83" spans="2:50" ht="15.75" thickBot="1">
      <c r="B83" s="1"/>
      <c r="C83" s="39"/>
      <c r="D83" s="40"/>
      <c r="E83" s="1"/>
      <c r="F83" s="40"/>
      <c r="G83" s="1"/>
      <c r="H83" s="1"/>
      <c r="I83" s="1"/>
      <c r="J83" s="1"/>
      <c r="K83" s="1"/>
      <c r="L83" s="1"/>
      <c r="M83" s="1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195"/>
      <c r="K84" s="1"/>
      <c r="L84" s="1"/>
      <c r="M84" s="1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78" t="s">
        <v>1</v>
      </c>
      <c r="C85" s="79" t="s">
        <v>2</v>
      </c>
      <c r="D85" s="193" t="s">
        <v>3</v>
      </c>
      <c r="E85" s="81"/>
      <c r="F85" s="194" t="s">
        <v>4</v>
      </c>
      <c r="G85" s="867" t="s">
        <v>5</v>
      </c>
      <c r="H85" s="868"/>
      <c r="I85" s="869"/>
      <c r="J85" s="83" t="s">
        <v>6</v>
      </c>
      <c r="K85" s="1"/>
      <c r="L85" s="1"/>
      <c r="M85" s="1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2">
        <v>64</v>
      </c>
      <c r="C86" s="63">
        <v>41833</v>
      </c>
      <c r="D86" s="64" t="str">
        <f>IF(J77="","Winnaar 61",IF(J77=1,D77,F77))</f>
        <v>Brazilië</v>
      </c>
      <c r="E86" s="3" t="s">
        <v>9</v>
      </c>
      <c r="F86" s="65" t="str">
        <f>IF(J78="","Winnaar 62",IF(J78=1,D78,F78))</f>
        <v>Spanje</v>
      </c>
      <c r="G86" s="105">
        <v>2</v>
      </c>
      <c r="H86" s="3" t="s">
        <v>9</v>
      </c>
      <c r="I86" s="106">
        <v>1</v>
      </c>
      <c r="J86" s="107">
        <v>1</v>
      </c>
      <c r="K86" s="1"/>
      <c r="L86" s="1"/>
      <c r="M86" s="1"/>
      <c r="V86" t="s">
        <v>134</v>
      </c>
      <c r="W86" t="s">
        <v>139</v>
      </c>
      <c r="X86" t="str">
        <f t="shared" si="11"/>
        <v>Nigel de Jong (m)</v>
      </c>
      <c r="Y86" s="109">
        <f>AF86</f>
        <v>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0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Brazilië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5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5</v>
      </c>
      <c r="AV89">
        <f>IF(AR89=0,0,IF(E89=AR89,50,0))</f>
        <v>0</v>
      </c>
      <c r="AW89">
        <f>IF(E89=0,0,IF(OR(E89=AR90),15,0))</f>
        <v>0</v>
      </c>
      <c r="AX89">
        <f>IF(E89=0,0,IF(OR(E89=AR91,E89=AR92),5,0))</f>
        <v>5</v>
      </c>
    </row>
    <row r="90" spans="2:50">
      <c r="C90" s="870">
        <v>2</v>
      </c>
      <c r="D90" s="871"/>
      <c r="E90" s="872" t="str">
        <f>IF(J86=2,D86,IF(J86=1,F86,"Wie wordt 2de?"))</f>
        <v>Spanje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0</v>
      </c>
      <c r="AV90">
        <f>IF(AR90=0,0,IF(AR90=E90,25,0))</f>
        <v>0</v>
      </c>
      <c r="AW90">
        <f>IF(E90=0,0,IF(OR(E90=AR89,),15,0))</f>
        <v>0</v>
      </c>
      <c r="AX90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Argentinië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5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5</v>
      </c>
      <c r="AV91">
        <f>IF(AR91=0,0,IF(AR91=E91,15,0))</f>
        <v>0</v>
      </c>
      <c r="AW91">
        <f>IF(E91=0,0,IF(OR(E91=AR92),10,0))</f>
        <v>0</v>
      </c>
      <c r="AX91">
        <f>IF(E91=0,0,IF(OR(E91=AR89,E91=AR90),5,0))</f>
        <v>5</v>
      </c>
    </row>
    <row r="92" spans="2:50">
      <c r="C92" s="870">
        <v>4</v>
      </c>
      <c r="D92" s="871"/>
      <c r="E92" s="872" t="str">
        <f>IF(J82=2,D82,IF(J82=1,F82,"Wie wordt 4de?"))</f>
        <v>Duitsland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5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5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5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15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conditionalFormatting sqref="AO9:AO12 AO15:AO18 AO21:AO24 AO27:AO30 AO33:AO36 AO39:AO42 AO45:AO48 AO51:AO54">
    <cfRule type="cellIs" dxfId="209" priority="3" operator="equal">
      <formula>10</formula>
    </cfRule>
  </conditionalFormatting>
  <conditionalFormatting sqref="P58:T58">
    <cfRule type="duplicateValues" dxfId="208" priority="2"/>
  </conditionalFormatting>
  <conditionalFormatting sqref="P58:T68">
    <cfRule type="duplicateValues" dxfId="207" priority="1"/>
  </conditionalFormatting>
  <dataValidations count="10">
    <dataValidation type="list" allowBlank="1" showInputMessage="1" showErrorMessage="1" sqref="P58:P68">
      <formula1>$X$58:$X$98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51:T54">
      <formula1>$W$51:$W$54</formula1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B1:BB98"/>
  <sheetViews>
    <sheetView topLeftCell="A40" zoomScale="70" zoomScaleNormal="70" workbookViewId="0">
      <selection activeCell="P58" sqref="P58:T68"/>
    </sheetView>
  </sheetViews>
  <sheetFormatPr defaultRowHeight="15" outlineLevelCol="2"/>
  <cols>
    <col min="1" max="1" width="3.42578125" customWidth="1"/>
    <col min="2" max="2" width="3.5703125" bestFit="1" customWidth="1"/>
    <col min="3" max="3" width="11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331</v>
      </c>
      <c r="E3" s="145"/>
      <c r="F3" s="145"/>
      <c r="N3" t="str">
        <f>D3</f>
        <v>Jolise (introducee Ricardo M.)</v>
      </c>
      <c r="O3" s="144">
        <f>SUM(P3:S3)</f>
        <v>377</v>
      </c>
      <c r="P3" s="109">
        <f>SUM(Y8:Y86)</f>
        <v>213</v>
      </c>
      <c r="Q3" s="109">
        <f>SUM(AM4:AM55)</f>
        <v>130</v>
      </c>
      <c r="R3" s="109">
        <f>SUM(AP89:AP92)</f>
        <v>10</v>
      </c>
      <c r="S3" s="109">
        <f>SUM(BB58:BB69)</f>
        <v>24</v>
      </c>
      <c r="T3" s="109">
        <f>COUNTIF(AF8:AF86,10)</f>
        <v>5</v>
      </c>
      <c r="U3" s="109" t="str">
        <f>E89</f>
        <v>Spanje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M6" s="352"/>
      <c r="N6" s="352"/>
      <c r="O6" s="392"/>
      <c r="P6" s="393"/>
      <c r="Q6" s="393"/>
      <c r="R6" s="393"/>
      <c r="S6" s="393"/>
      <c r="T6" s="393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80" t="s">
        <v>3</v>
      </c>
      <c r="E7" s="419"/>
      <c r="F7" s="481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M7" s="352"/>
      <c r="N7" s="352"/>
      <c r="O7" s="353"/>
      <c r="P7" s="393"/>
      <c r="Q7" s="393"/>
      <c r="R7" s="393"/>
      <c r="S7" s="393"/>
      <c r="T7" s="393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4</v>
      </c>
      <c r="H8" s="360" t="s">
        <v>9</v>
      </c>
      <c r="I8" s="478">
        <v>1</v>
      </c>
      <c r="J8" s="362">
        <f t="shared" ref="J8:J55" si="0">IF(I8="","",IF(G8&gt;I8,1,IF(G8&lt;I8,2,3)))</f>
        <v>1</v>
      </c>
      <c r="K8" s="363">
        <f t="shared" ref="K8:K55" si="1">IF(I8="","",IF($G8&gt;$I8,3,IF($G8=$I8,1,0)))</f>
        <v>3</v>
      </c>
      <c r="L8" s="363">
        <f t="shared" ref="L8:L55" si="2">IF(I8="","",IF($G8&lt;$I8,3,IF($G8=$I8,1,0)))</f>
        <v>0</v>
      </c>
      <c r="M8" s="352"/>
      <c r="N8" s="352"/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40"/>
      <c r="V8" s="40"/>
      <c r="W8" s="40"/>
      <c r="Y8" s="109">
        <f>AF8</f>
        <v>6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6</v>
      </c>
      <c r="AG8" s="108">
        <f t="shared" ref="AG8:AG55" si="3">IF(AC8="",0,(IF(G8=AC8,1,0)))</f>
        <v>0</v>
      </c>
      <c r="AH8" s="108">
        <f t="shared" ref="AH8:AH55" si="4">IF(AD8="",0,(IF(I8=AD8,1,0)))</f>
        <v>1</v>
      </c>
      <c r="AI8" s="108">
        <f>IF(AND(AG8=1,AH8=1),10,0)</f>
        <v>0</v>
      </c>
      <c r="AJ8" s="108">
        <f t="shared" ref="AJ8:AJ55" si="5">IF(AND(G8&gt;I8,AC8&gt;AD8),5,0)</f>
        <v>5</v>
      </c>
      <c r="AK8" s="108">
        <f t="shared" ref="AK8:AK55" si="6">IF(AND(G8&lt;I8,AC8&lt;AD8),5,0)</f>
        <v>0</v>
      </c>
      <c r="AL8" s="108">
        <f t="shared" ref="AL8:AL55" si="7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3</v>
      </c>
      <c r="H9" s="367" t="s">
        <v>9</v>
      </c>
      <c r="I9" s="440">
        <v>2</v>
      </c>
      <c r="J9" s="369">
        <f t="shared" si="0"/>
        <v>1</v>
      </c>
      <c r="K9" s="363">
        <f t="shared" si="1"/>
        <v>3</v>
      </c>
      <c r="L9" s="363">
        <f t="shared" si="2"/>
        <v>0</v>
      </c>
      <c r="M9" s="352"/>
      <c r="N9" s="352"/>
      <c r="O9" s="394" t="s">
        <v>8</v>
      </c>
      <c r="P9" s="395">
        <f>SUMIF($D$8:$D$55,$O9,$G$8:$G$55)+SUMIF($F$8:$F$55,$O9,$I$8:$I$55)</f>
        <v>8</v>
      </c>
      <c r="Q9" s="395">
        <f>SUMIF($D$8:$D$55,$O9,$I$8:$I$55)+SUMIF($F$8:$F$55,$O9,$G$8:$G$55)</f>
        <v>2</v>
      </c>
      <c r="R9" s="396">
        <f>P9-Q9</f>
        <v>6</v>
      </c>
      <c r="S9" s="397">
        <f>SUMIF($D$8:$D$55,$O9,$K$8:$K$55)+SUMIF($F$8:$F$55,$O9,$L$8:$L$55)</f>
        <v>9</v>
      </c>
      <c r="T9" s="444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5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5</v>
      </c>
      <c r="AG9" s="108">
        <f t="shared" si="3"/>
        <v>0</v>
      </c>
      <c r="AH9" s="108">
        <f t="shared" si="4"/>
        <v>0</v>
      </c>
      <c r="AI9" s="108">
        <f t="shared" ref="AI9:AI55" si="10">IF(AND(AG9=1,AH9=1),10,0)</f>
        <v>0</v>
      </c>
      <c r="AJ9" s="108">
        <f t="shared" si="5"/>
        <v>5</v>
      </c>
      <c r="AK9" s="108">
        <f t="shared" si="6"/>
        <v>0</v>
      </c>
      <c r="AL9" s="108">
        <f t="shared" si="7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2</v>
      </c>
      <c r="H10" s="373" t="s">
        <v>9</v>
      </c>
      <c r="I10" s="441">
        <v>1</v>
      </c>
      <c r="J10" s="375">
        <f t="shared" si="0"/>
        <v>1</v>
      </c>
      <c r="K10" s="363">
        <f t="shared" si="1"/>
        <v>3</v>
      </c>
      <c r="L10" s="363">
        <f t="shared" si="2"/>
        <v>0</v>
      </c>
      <c r="M10" s="352"/>
      <c r="N10" s="352"/>
      <c r="O10" s="398" t="s">
        <v>10</v>
      </c>
      <c r="P10" s="399">
        <f>SUMIF($D$8:$D$55,$O10,$G$8:$G$55)+SUMIF($F$8:$F$55,$O10,$I$8:$I$55)</f>
        <v>1</v>
      </c>
      <c r="Q10" s="399">
        <f>SUMIF($D$8:$D$55,$O10,$I$8:$I$55)+SUMIF($F$8:$F$55,$O10,$G$8:$G$55)</f>
        <v>7</v>
      </c>
      <c r="R10" s="399">
        <f>P10-Q10</f>
        <v>-6</v>
      </c>
      <c r="S10" s="400">
        <f>SUMIF($D$8:$D$55,$O10,$K$8:$K$55)+SUMIF($F$8:$F$55,$O10,$L$8:$L$55)</f>
        <v>0</v>
      </c>
      <c r="T10" s="445" t="s">
        <v>50</v>
      </c>
      <c r="U10" s="40"/>
      <c r="V10" s="40" t="str">
        <f>O10</f>
        <v>Kroatië</v>
      </c>
      <c r="W10" s="40" t="s">
        <v>49</v>
      </c>
      <c r="Y10" s="109">
        <f t="shared" si="8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0</v>
      </c>
      <c r="AG10" s="108">
        <f t="shared" si="3"/>
        <v>0</v>
      </c>
      <c r="AH10" s="108">
        <f t="shared" si="4"/>
        <v>0</v>
      </c>
      <c r="AI10" s="108">
        <f t="shared" si="10"/>
        <v>0</v>
      </c>
      <c r="AJ10" s="108">
        <f t="shared" si="5"/>
        <v>0</v>
      </c>
      <c r="AK10" s="108">
        <f t="shared" si="6"/>
        <v>0</v>
      </c>
      <c r="AL10" s="108">
        <f t="shared" si="7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2</v>
      </c>
      <c r="H11" s="379" t="s">
        <v>9</v>
      </c>
      <c r="I11" s="442">
        <v>1</v>
      </c>
      <c r="J11" s="381">
        <f t="shared" si="0"/>
        <v>1</v>
      </c>
      <c r="K11" s="363">
        <f t="shared" si="1"/>
        <v>3</v>
      </c>
      <c r="L11" s="363">
        <f t="shared" si="2"/>
        <v>0</v>
      </c>
      <c r="M11" s="352"/>
      <c r="N11" s="352"/>
      <c r="O11" s="398" t="s">
        <v>11</v>
      </c>
      <c r="P11" s="399">
        <f>SUMIF($D$8:$D$55,$O11,$G$8:$G$55)+SUMIF($F$8:$F$55,$O11,$I$8:$I$55)</f>
        <v>5</v>
      </c>
      <c r="Q11" s="399">
        <f>SUMIF($D$8:$D$55,$O11,$I$8:$I$55)+SUMIF($F$8:$F$55,$O11,$G$8:$G$55)</f>
        <v>4</v>
      </c>
      <c r="R11" s="399">
        <f>P11-Q11</f>
        <v>1</v>
      </c>
      <c r="S11" s="400">
        <f>SUMIF($D$8:$D$55,$O11,$K$8:$K$55)+SUMIF($F$8:$F$55,$O11,$L$8:$L$55)</f>
        <v>6</v>
      </c>
      <c r="T11" s="445" t="s">
        <v>49</v>
      </c>
      <c r="U11" s="40"/>
      <c r="V11" s="40" t="str">
        <f>O11</f>
        <v>Mexico</v>
      </c>
      <c r="W11" s="40" t="s">
        <v>47</v>
      </c>
      <c r="Y11" s="109">
        <f t="shared" si="8"/>
        <v>6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6</v>
      </c>
      <c r="AG11" s="108">
        <f t="shared" si="3"/>
        <v>0</v>
      </c>
      <c r="AH11" s="108">
        <f t="shared" si="4"/>
        <v>1</v>
      </c>
      <c r="AI11" s="108">
        <f t="shared" si="10"/>
        <v>0</v>
      </c>
      <c r="AJ11" s="108">
        <f t="shared" si="5"/>
        <v>5</v>
      </c>
      <c r="AK11" s="108">
        <f t="shared" si="6"/>
        <v>0</v>
      </c>
      <c r="AL11" s="108">
        <f t="shared" si="7"/>
        <v>0</v>
      </c>
      <c r="AM11" s="120">
        <f>AO11</f>
        <v>10</v>
      </c>
      <c r="AN11" s="117" t="s">
        <v>11</v>
      </c>
      <c r="AO11" s="115">
        <f>IF(Uitslag!T11="",0,IF(T11=Uitslag!T11,10,0))</f>
        <v>10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1</v>
      </c>
      <c r="H12" s="367" t="s">
        <v>9</v>
      </c>
      <c r="I12" s="440">
        <v>1</v>
      </c>
      <c r="J12" s="369">
        <f t="shared" si="0"/>
        <v>3</v>
      </c>
      <c r="K12" s="363">
        <f t="shared" si="1"/>
        <v>1</v>
      </c>
      <c r="L12" s="363">
        <f t="shared" si="2"/>
        <v>1</v>
      </c>
      <c r="M12" s="352"/>
      <c r="N12" s="352"/>
      <c r="O12" s="401" t="s">
        <v>12</v>
      </c>
      <c r="P12" s="402">
        <f>SUMIF($D$8:$D$55,$O12,$G$8:$G$55)+SUMIF($F$8:$F$55,$O12,$I$8:$I$55)</f>
        <v>4</v>
      </c>
      <c r="Q12" s="402">
        <f>SUMIF($D$8:$D$55,$O12,$I$8:$I$55)+SUMIF($F$8:$F$55,$O12,$G$8:$G$55)</f>
        <v>5</v>
      </c>
      <c r="R12" s="402">
        <f>P12-Q12</f>
        <v>-1</v>
      </c>
      <c r="S12" s="403">
        <f>SUMIF($D$8:$D$55,$O12,$K$8:$K$55)+SUMIF($F$8:$F$55,$O12,$L$8:$L$55)</f>
        <v>3</v>
      </c>
      <c r="T12" s="446" t="s">
        <v>47</v>
      </c>
      <c r="U12" s="40"/>
      <c r="V12" s="40" t="str">
        <f>O12</f>
        <v>Kameroen</v>
      </c>
      <c r="W12" s="40" t="s">
        <v>50</v>
      </c>
      <c r="Y12" s="109">
        <f t="shared" si="8"/>
        <v>0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0</v>
      </c>
      <c r="AG12" s="108">
        <f t="shared" si="3"/>
        <v>0</v>
      </c>
      <c r="AH12" s="108">
        <f t="shared" si="4"/>
        <v>0</v>
      </c>
      <c r="AI12" s="108">
        <f t="shared" si="10"/>
        <v>0</v>
      </c>
      <c r="AJ12" s="108">
        <f t="shared" si="5"/>
        <v>0</v>
      </c>
      <c r="AK12" s="108">
        <f t="shared" si="6"/>
        <v>0</v>
      </c>
      <c r="AL12" s="108">
        <f t="shared" si="7"/>
        <v>0</v>
      </c>
      <c r="AM12" s="120">
        <f>AO12</f>
        <v>0</v>
      </c>
      <c r="AN12" s="118" t="s">
        <v>12</v>
      </c>
      <c r="AO12" s="115">
        <f>IF(Uitslag!T12="",0,IF(T12=Uitslag!T12,10,0))</f>
        <v>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3</v>
      </c>
      <c r="H13" s="373" t="s">
        <v>9</v>
      </c>
      <c r="I13" s="441">
        <v>1</v>
      </c>
      <c r="J13" s="375">
        <f t="shared" si="0"/>
        <v>1</v>
      </c>
      <c r="K13" s="363">
        <f t="shared" si="1"/>
        <v>3</v>
      </c>
      <c r="L13" s="363">
        <f t="shared" si="2"/>
        <v>0</v>
      </c>
      <c r="M13" s="352"/>
      <c r="N13" s="352"/>
      <c r="O13" s="392"/>
      <c r="P13" s="393"/>
      <c r="Q13" s="393"/>
      <c r="R13" s="393"/>
      <c r="S13" s="393"/>
      <c r="T13" s="393"/>
      <c r="U13" s="40"/>
      <c r="V13" s="40"/>
      <c r="W13" s="40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3"/>
        <v>0</v>
      </c>
      <c r="AH13" s="108">
        <f t="shared" si="4"/>
        <v>0</v>
      </c>
      <c r="AI13" s="108">
        <f t="shared" si="10"/>
        <v>0</v>
      </c>
      <c r="AJ13" s="108">
        <f t="shared" si="5"/>
        <v>0</v>
      </c>
      <c r="AK13" s="108">
        <f t="shared" si="6"/>
        <v>0</v>
      </c>
      <c r="AL13" s="108">
        <f t="shared" si="7"/>
        <v>0</v>
      </c>
      <c r="AN13" s="40"/>
      <c r="AO13" s="41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1</v>
      </c>
      <c r="H14" s="373" t="s">
        <v>9</v>
      </c>
      <c r="I14" s="441">
        <v>2</v>
      </c>
      <c r="J14" s="375">
        <f t="shared" si="0"/>
        <v>2</v>
      </c>
      <c r="K14" s="363">
        <f t="shared" si="1"/>
        <v>0</v>
      </c>
      <c r="L14" s="363">
        <f t="shared" si="2"/>
        <v>3</v>
      </c>
      <c r="M14" s="352"/>
      <c r="N14" s="352"/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40"/>
      <c r="V14" s="40"/>
      <c r="W14" s="40"/>
      <c r="Y14" s="109">
        <f t="shared" si="8"/>
        <v>10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10</v>
      </c>
      <c r="AG14" s="108">
        <f t="shared" si="3"/>
        <v>1</v>
      </c>
      <c r="AH14" s="108">
        <f t="shared" si="4"/>
        <v>1</v>
      </c>
      <c r="AI14" s="108">
        <f t="shared" si="10"/>
        <v>10</v>
      </c>
      <c r="AJ14" s="108">
        <f t="shared" si="5"/>
        <v>0</v>
      </c>
      <c r="AK14" s="108">
        <f t="shared" si="6"/>
        <v>5</v>
      </c>
      <c r="AL14" s="108">
        <f t="shared" si="7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2</v>
      </c>
      <c r="H15" s="379" t="s">
        <v>9</v>
      </c>
      <c r="I15" s="442">
        <v>0</v>
      </c>
      <c r="J15" s="381">
        <f t="shared" si="0"/>
        <v>1</v>
      </c>
      <c r="K15" s="363">
        <f t="shared" si="1"/>
        <v>3</v>
      </c>
      <c r="L15" s="363">
        <f t="shared" si="2"/>
        <v>0</v>
      </c>
      <c r="M15" s="352"/>
      <c r="N15" s="352"/>
      <c r="O15" s="394" t="s">
        <v>13</v>
      </c>
      <c r="P15" s="395">
        <f>SUMIF($D$8:$D$55,$O15,$G$8:$G$55)+SUMIF($F$8:$F$55,$O15,$I$8:$I$55)</f>
        <v>8</v>
      </c>
      <c r="Q15" s="395">
        <f>SUMIF($D$8:$D$55,$O15,$I$8:$I$55)+SUMIF($F$8:$F$55,$O15,$G$8:$G$55)</f>
        <v>2</v>
      </c>
      <c r="R15" s="396">
        <f>P15-Q15</f>
        <v>6</v>
      </c>
      <c r="S15" s="397">
        <f>SUMIF($D$8:$D$55,$O15,$K$8:$K$55)+SUMIF($F$8:$F$55,$O15,$L$8:$L$55)</f>
        <v>9</v>
      </c>
      <c r="T15" s="444" t="s">
        <v>52</v>
      </c>
      <c r="U15" s="40"/>
      <c r="V15" s="40" t="str">
        <f>O15</f>
        <v>Spanje</v>
      </c>
      <c r="W15" s="40" t="s">
        <v>52</v>
      </c>
      <c r="Y15" s="109">
        <f t="shared" si="8"/>
        <v>6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6</v>
      </c>
      <c r="AG15" s="108">
        <f t="shared" si="3"/>
        <v>1</v>
      </c>
      <c r="AH15" s="108">
        <f t="shared" si="4"/>
        <v>0</v>
      </c>
      <c r="AI15" s="108">
        <f t="shared" si="10"/>
        <v>0</v>
      </c>
      <c r="AJ15" s="108">
        <f t="shared" si="5"/>
        <v>5</v>
      </c>
      <c r="AK15" s="108">
        <f t="shared" si="6"/>
        <v>0</v>
      </c>
      <c r="AL15" s="108">
        <f t="shared" si="7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2</v>
      </c>
      <c r="H16" s="367" t="s">
        <v>9</v>
      </c>
      <c r="I16" s="440">
        <v>0</v>
      </c>
      <c r="J16" s="369">
        <f t="shared" si="0"/>
        <v>1</v>
      </c>
      <c r="K16" s="363">
        <f t="shared" si="1"/>
        <v>3</v>
      </c>
      <c r="L16" s="363">
        <f t="shared" si="2"/>
        <v>0</v>
      </c>
      <c r="M16" s="352"/>
      <c r="N16" s="352"/>
      <c r="O16" s="404" t="s">
        <v>14</v>
      </c>
      <c r="P16" s="399">
        <f>SUMIF($D$8:$D$55,$O16,$G$8:$G$55)+SUMIF($F$8:$F$55,$O16,$I$8:$I$55)</f>
        <v>5</v>
      </c>
      <c r="Q16" s="399">
        <f>SUMIF($D$8:$D$55,$O16,$I$8:$I$55)+SUMIF($F$8:$F$55,$O16,$G$8:$G$55)</f>
        <v>4</v>
      </c>
      <c r="R16" s="399">
        <f>P16-Q16</f>
        <v>1</v>
      </c>
      <c r="S16" s="400">
        <f>SUMIF($D$8:$D$55,$O16,$K$8:$K$55)+SUMIF($F$8:$F$55,$O16,$L$8:$L$55)</f>
        <v>6</v>
      </c>
      <c r="T16" s="445" t="s">
        <v>53</v>
      </c>
      <c r="U16" s="40"/>
      <c r="V16" s="40" t="str">
        <f>O16</f>
        <v>Nederland</v>
      </c>
      <c r="W16" s="40" t="s">
        <v>53</v>
      </c>
      <c r="Y16" s="109">
        <f t="shared" si="8"/>
        <v>6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6</v>
      </c>
      <c r="AG16" s="108">
        <f t="shared" si="3"/>
        <v>1</v>
      </c>
      <c r="AH16" s="108">
        <f t="shared" si="4"/>
        <v>0</v>
      </c>
      <c r="AI16" s="108">
        <f t="shared" si="10"/>
        <v>0</v>
      </c>
      <c r="AJ16" s="108">
        <f t="shared" si="5"/>
        <v>5</v>
      </c>
      <c r="AK16" s="108">
        <f t="shared" si="6"/>
        <v>0</v>
      </c>
      <c r="AL16" s="108">
        <f t="shared" si="7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3</v>
      </c>
      <c r="H17" s="373" t="s">
        <v>9</v>
      </c>
      <c r="I17" s="441">
        <v>0</v>
      </c>
      <c r="J17" s="375">
        <f t="shared" si="0"/>
        <v>1</v>
      </c>
      <c r="K17" s="363">
        <f t="shared" si="1"/>
        <v>3</v>
      </c>
      <c r="L17" s="363">
        <f t="shared" si="2"/>
        <v>0</v>
      </c>
      <c r="M17" s="352"/>
      <c r="N17" s="352"/>
      <c r="O17" s="398" t="s">
        <v>15</v>
      </c>
      <c r="P17" s="399">
        <f>SUMIF($D$8:$D$55,$O17,$G$8:$G$55)+SUMIF($F$8:$F$55,$O17,$I$8:$I$55)</f>
        <v>4</v>
      </c>
      <c r="Q17" s="399">
        <f>SUMIF($D$8:$D$55,$O17,$I$8:$I$55)+SUMIF($F$8:$F$55,$O17,$G$8:$G$55)</f>
        <v>6</v>
      </c>
      <c r="R17" s="399">
        <f>P17-Q17</f>
        <v>-2</v>
      </c>
      <c r="S17" s="400">
        <f>SUMIF($D$8:$D$55,$O17,$K$8:$K$55)+SUMIF($F$8:$F$55,$O17,$L$8:$L$55)</f>
        <v>3</v>
      </c>
      <c r="T17" s="445" t="s">
        <v>54</v>
      </c>
      <c r="U17" s="40"/>
      <c r="V17" s="40" t="str">
        <f>O17</f>
        <v>Chili</v>
      </c>
      <c r="W17" s="40" t="s">
        <v>54</v>
      </c>
      <c r="Y17" s="109">
        <f t="shared" si="8"/>
        <v>10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10</v>
      </c>
      <c r="AG17" s="108">
        <f t="shared" si="3"/>
        <v>1</v>
      </c>
      <c r="AH17" s="108">
        <f t="shared" si="4"/>
        <v>1</v>
      </c>
      <c r="AI17" s="108">
        <f t="shared" si="10"/>
        <v>10</v>
      </c>
      <c r="AJ17" s="108">
        <f t="shared" si="5"/>
        <v>5</v>
      </c>
      <c r="AK17" s="108">
        <f t="shared" si="6"/>
        <v>0</v>
      </c>
      <c r="AL17" s="108">
        <f t="shared" si="7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3</v>
      </c>
      <c r="H18" s="379" t="s">
        <v>9</v>
      </c>
      <c r="I18" s="442">
        <v>0</v>
      </c>
      <c r="J18" s="381">
        <f t="shared" si="0"/>
        <v>1</v>
      </c>
      <c r="K18" s="363">
        <f t="shared" si="1"/>
        <v>3</v>
      </c>
      <c r="L18" s="363">
        <f t="shared" si="2"/>
        <v>0</v>
      </c>
      <c r="M18" s="352"/>
      <c r="N18" s="352"/>
      <c r="O18" s="401" t="s">
        <v>16</v>
      </c>
      <c r="P18" s="402">
        <f>SUMIF($D$8:$D$55,$O18,$G$8:$G$55)+SUMIF($F$8:$F$55,$O18,$I$8:$I$55)</f>
        <v>2</v>
      </c>
      <c r="Q18" s="402">
        <f>SUMIF($D$8:$D$55,$O18,$I$8:$I$55)+SUMIF($F$8:$F$55,$O18,$G$8:$G$55)</f>
        <v>7</v>
      </c>
      <c r="R18" s="402">
        <f>P18-Q18</f>
        <v>-5</v>
      </c>
      <c r="S18" s="403">
        <f>SUMIF($D$8:$D$55,$O18,$K$8:$K$55)+SUMIF($F$8:$F$55,$O18,$L$8:$L$55)</f>
        <v>0</v>
      </c>
      <c r="T18" s="446" t="s">
        <v>55</v>
      </c>
      <c r="U18" s="40"/>
      <c r="V18" s="40" t="str">
        <f>O18</f>
        <v>Australië</v>
      </c>
      <c r="W18" s="40" t="s">
        <v>55</v>
      </c>
      <c r="Y18" s="109">
        <f t="shared" si="8"/>
        <v>5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5</v>
      </c>
      <c r="AG18" s="108">
        <f t="shared" si="3"/>
        <v>0</v>
      </c>
      <c r="AH18" s="108">
        <f t="shared" si="4"/>
        <v>0</v>
      </c>
      <c r="AI18" s="108">
        <f t="shared" si="10"/>
        <v>0</v>
      </c>
      <c r="AJ18" s="108">
        <f t="shared" si="5"/>
        <v>5</v>
      </c>
      <c r="AK18" s="108">
        <f t="shared" si="6"/>
        <v>0</v>
      </c>
      <c r="AL18" s="108">
        <f t="shared" si="7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2</v>
      </c>
      <c r="H19" s="367" t="s">
        <v>9</v>
      </c>
      <c r="I19" s="440">
        <v>2</v>
      </c>
      <c r="J19" s="369">
        <f t="shared" si="0"/>
        <v>3</v>
      </c>
      <c r="K19" s="363">
        <f t="shared" si="1"/>
        <v>1</v>
      </c>
      <c r="L19" s="363">
        <f t="shared" si="2"/>
        <v>1</v>
      </c>
      <c r="M19" s="352"/>
      <c r="N19" s="352"/>
      <c r="O19" s="392"/>
      <c r="P19" s="393"/>
      <c r="Q19" s="393"/>
      <c r="R19" s="393"/>
      <c r="S19" s="393"/>
      <c r="T19" s="393"/>
      <c r="U19" s="40"/>
      <c r="V19" s="40"/>
      <c r="W19" s="40"/>
      <c r="Y19" s="109">
        <f t="shared" si="8"/>
        <v>0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0</v>
      </c>
      <c r="AG19" s="108">
        <f t="shared" si="3"/>
        <v>0</v>
      </c>
      <c r="AH19" s="108">
        <f t="shared" si="4"/>
        <v>0</v>
      </c>
      <c r="AI19" s="108">
        <f t="shared" si="10"/>
        <v>0</v>
      </c>
      <c r="AJ19" s="108">
        <f t="shared" si="5"/>
        <v>0</v>
      </c>
      <c r="AK19" s="108">
        <f t="shared" si="6"/>
        <v>0</v>
      </c>
      <c r="AL19" s="108">
        <f t="shared" si="7"/>
        <v>0</v>
      </c>
      <c r="AN19" s="40"/>
      <c r="AO19" s="41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0</v>
      </c>
      <c r="H20" s="373" t="s">
        <v>9</v>
      </c>
      <c r="I20" s="441">
        <v>1</v>
      </c>
      <c r="J20" s="375">
        <f t="shared" si="0"/>
        <v>2</v>
      </c>
      <c r="K20" s="363">
        <f t="shared" si="1"/>
        <v>0</v>
      </c>
      <c r="L20" s="363">
        <f t="shared" si="2"/>
        <v>3</v>
      </c>
      <c r="M20" s="352"/>
      <c r="N20" s="352"/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40"/>
      <c r="V20" s="40"/>
      <c r="W20" s="40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3"/>
        <v>1</v>
      </c>
      <c r="AH20" s="108">
        <f t="shared" si="4"/>
        <v>0</v>
      </c>
      <c r="AI20" s="108">
        <f t="shared" si="10"/>
        <v>0</v>
      </c>
      <c r="AJ20" s="108">
        <f t="shared" si="5"/>
        <v>0</v>
      </c>
      <c r="AK20" s="108">
        <f t="shared" si="6"/>
        <v>0</v>
      </c>
      <c r="AL20" s="108">
        <f t="shared" si="7"/>
        <v>0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2</v>
      </c>
      <c r="H21" s="379" t="s">
        <v>9</v>
      </c>
      <c r="I21" s="442">
        <v>1</v>
      </c>
      <c r="J21" s="381">
        <f t="shared" si="0"/>
        <v>1</v>
      </c>
      <c r="K21" s="363">
        <f t="shared" si="1"/>
        <v>3</v>
      </c>
      <c r="L21" s="363">
        <f t="shared" si="2"/>
        <v>0</v>
      </c>
      <c r="M21" s="352"/>
      <c r="N21" s="352"/>
      <c r="O21" s="394" t="s">
        <v>17</v>
      </c>
      <c r="P21" s="395">
        <f>SUMIF($D$8:$D$55,$O21,$G$8:$G$55)+SUMIF($F$8:$F$55,$O21,$I$8:$I$55)</f>
        <v>2</v>
      </c>
      <c r="Q21" s="395">
        <f>SUMIF($D$8:$D$55,$O21,$I$8:$I$55)+SUMIF($F$8:$F$55,$O21,$G$8:$G$55)</f>
        <v>5</v>
      </c>
      <c r="R21" s="396">
        <f>P21-Q21</f>
        <v>-3</v>
      </c>
      <c r="S21" s="397">
        <f>SUMIF($D$8:$D$55,$O21,$K$8:$K$55)+SUMIF($F$8:$F$55,$O21,$L$8:$L$55)</f>
        <v>1</v>
      </c>
      <c r="T21" s="444" t="s">
        <v>60</v>
      </c>
      <c r="U21" s="40"/>
      <c r="V21" s="40" t="str">
        <f>O21</f>
        <v>Colombia</v>
      </c>
      <c r="W21" s="40" t="s">
        <v>57</v>
      </c>
      <c r="Y21" s="109">
        <f t="shared" si="8"/>
        <v>0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0</v>
      </c>
      <c r="AG21" s="108">
        <f t="shared" si="3"/>
        <v>0</v>
      </c>
      <c r="AH21" s="108">
        <f t="shared" si="4"/>
        <v>0</v>
      </c>
      <c r="AI21" s="108">
        <f t="shared" si="10"/>
        <v>0</v>
      </c>
      <c r="AJ21" s="108">
        <f t="shared" si="5"/>
        <v>0</v>
      </c>
      <c r="AK21" s="108">
        <f t="shared" si="6"/>
        <v>0</v>
      </c>
      <c r="AL21" s="108">
        <f t="shared" si="7"/>
        <v>0</v>
      </c>
      <c r="AM21" s="120">
        <f>AO21</f>
        <v>0</v>
      </c>
      <c r="AN21" s="116" t="s">
        <v>17</v>
      </c>
      <c r="AO21" s="115">
        <f>IF(Uitslag!T21="",0,IF(T21=Uitslag!T21,10,0))</f>
        <v>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3</v>
      </c>
      <c r="H22" s="367" t="s">
        <v>9</v>
      </c>
      <c r="I22" s="440">
        <v>1</v>
      </c>
      <c r="J22" s="369">
        <f t="shared" si="0"/>
        <v>1</v>
      </c>
      <c r="K22" s="363">
        <f t="shared" si="1"/>
        <v>3</v>
      </c>
      <c r="L22" s="363">
        <f t="shared" si="2"/>
        <v>0</v>
      </c>
      <c r="M22" s="352"/>
      <c r="N22" s="352"/>
      <c r="O22" s="398" t="s">
        <v>18</v>
      </c>
      <c r="P22" s="399">
        <f>SUMIF($D$8:$D$55,$O22,$G$8:$G$55)+SUMIF($F$8:$F$55,$O22,$I$8:$I$55)</f>
        <v>3</v>
      </c>
      <c r="Q22" s="399">
        <f>SUMIF($D$8:$D$55,$O22,$I$8:$I$55)+SUMIF($F$8:$F$55,$O22,$G$8:$G$55)</f>
        <v>4</v>
      </c>
      <c r="R22" s="399">
        <f>P22-Q22</f>
        <v>-1</v>
      </c>
      <c r="S22" s="400">
        <f>SUMIF($D$8:$D$55,$O22,$K$8:$K$55)+SUMIF($F$8:$F$55,$O22,$L$8:$L$55)</f>
        <v>2</v>
      </c>
      <c r="T22" s="445" t="s">
        <v>59</v>
      </c>
      <c r="U22" s="40"/>
      <c r="V22" s="40" t="str">
        <f>O22</f>
        <v>Griekenland</v>
      </c>
      <c r="W22" s="40" t="s">
        <v>58</v>
      </c>
      <c r="Y22" s="109">
        <f t="shared" si="8"/>
        <v>6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6</v>
      </c>
      <c r="AG22" s="108">
        <f t="shared" si="3"/>
        <v>0</v>
      </c>
      <c r="AH22" s="108">
        <f t="shared" si="4"/>
        <v>1</v>
      </c>
      <c r="AI22" s="108">
        <f t="shared" si="10"/>
        <v>0</v>
      </c>
      <c r="AJ22" s="108">
        <f t="shared" si="5"/>
        <v>5</v>
      </c>
      <c r="AK22" s="108">
        <f t="shared" si="6"/>
        <v>0</v>
      </c>
      <c r="AL22" s="108">
        <f t="shared" si="7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2</v>
      </c>
      <c r="H23" s="373" t="s">
        <v>9</v>
      </c>
      <c r="I23" s="441">
        <v>0</v>
      </c>
      <c r="J23" s="375">
        <f t="shared" si="0"/>
        <v>1</v>
      </c>
      <c r="K23" s="363">
        <f t="shared" si="1"/>
        <v>3</v>
      </c>
      <c r="L23" s="363">
        <f t="shared" si="2"/>
        <v>0</v>
      </c>
      <c r="M23" s="352"/>
      <c r="N23" s="352"/>
      <c r="O23" s="398" t="s">
        <v>23</v>
      </c>
      <c r="P23" s="399">
        <f>SUMIF($D$8:$D$55,$O23,$G$8:$G$55)+SUMIF($F$8:$F$55,$O23,$I$8:$I$55)</f>
        <v>6</v>
      </c>
      <c r="Q23" s="399">
        <f>SUMIF($D$8:$D$55,$O23,$I$8:$I$55)+SUMIF($F$8:$F$55,$O23,$G$8:$G$55)</f>
        <v>2</v>
      </c>
      <c r="R23" s="399">
        <f>P23-Q23</f>
        <v>4</v>
      </c>
      <c r="S23" s="400">
        <f>SUMIF($D$8:$D$55,$O23,$K$8:$K$55)+SUMIF($F$8:$F$55,$O23,$L$8:$L$55)</f>
        <v>9</v>
      </c>
      <c r="T23" s="445" t="s">
        <v>57</v>
      </c>
      <c r="U23" s="40"/>
      <c r="V23" s="40" t="str">
        <f>O23</f>
        <v>Ivoorkust</v>
      </c>
      <c r="W23" s="40" t="s">
        <v>59</v>
      </c>
      <c r="Y23" s="109">
        <f t="shared" si="8"/>
        <v>1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1</v>
      </c>
      <c r="AG23" s="108">
        <f t="shared" si="3"/>
        <v>0</v>
      </c>
      <c r="AH23" s="108">
        <f t="shared" si="4"/>
        <v>1</v>
      </c>
      <c r="AI23" s="108">
        <f t="shared" si="10"/>
        <v>0</v>
      </c>
      <c r="AJ23" s="108">
        <f t="shared" si="5"/>
        <v>0</v>
      </c>
      <c r="AK23" s="108">
        <f t="shared" si="6"/>
        <v>0</v>
      </c>
      <c r="AL23" s="108">
        <f t="shared" si="7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2</v>
      </c>
      <c r="H24" s="379" t="s">
        <v>9</v>
      </c>
      <c r="I24" s="442">
        <v>1</v>
      </c>
      <c r="J24" s="381">
        <f t="shared" si="0"/>
        <v>1</v>
      </c>
      <c r="K24" s="363">
        <f t="shared" si="1"/>
        <v>3</v>
      </c>
      <c r="L24" s="363">
        <f t="shared" si="2"/>
        <v>0</v>
      </c>
      <c r="M24" s="352"/>
      <c r="N24" s="352"/>
      <c r="O24" s="401" t="s">
        <v>24</v>
      </c>
      <c r="P24" s="402">
        <f>SUMIF($D$8:$D$55,$O24,$G$8:$G$55)+SUMIF($F$8:$F$55,$O24,$I$8:$I$55)</f>
        <v>3</v>
      </c>
      <c r="Q24" s="402">
        <f>SUMIF($D$8:$D$55,$O24,$I$8:$I$55)+SUMIF($F$8:$F$55,$O24,$G$8:$G$55)</f>
        <v>3</v>
      </c>
      <c r="R24" s="402">
        <f>P24-Q24</f>
        <v>0</v>
      </c>
      <c r="S24" s="403">
        <f>SUMIF($D$8:$D$55,$O24,$K$8:$K$55)+SUMIF($F$8:$F$55,$O24,$L$8:$L$55)</f>
        <v>4</v>
      </c>
      <c r="T24" s="446" t="s">
        <v>58</v>
      </c>
      <c r="U24" s="40"/>
      <c r="V24" s="40" t="str">
        <f>O24</f>
        <v>Japan</v>
      </c>
      <c r="W24" s="40" t="s">
        <v>60</v>
      </c>
      <c r="Y24" s="109">
        <f t="shared" si="8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</v>
      </c>
      <c r="AG24" s="108">
        <f t="shared" si="3"/>
        <v>0</v>
      </c>
      <c r="AH24" s="108">
        <f t="shared" si="4"/>
        <v>1</v>
      </c>
      <c r="AI24" s="108">
        <f t="shared" si="10"/>
        <v>0</v>
      </c>
      <c r="AJ24" s="108">
        <f t="shared" si="5"/>
        <v>0</v>
      </c>
      <c r="AK24" s="108">
        <f t="shared" si="6"/>
        <v>0</v>
      </c>
      <c r="AL24" s="108">
        <f t="shared" si="7"/>
        <v>0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1</v>
      </c>
      <c r="H25" s="367" t="s">
        <v>9</v>
      </c>
      <c r="I25" s="440">
        <v>2</v>
      </c>
      <c r="J25" s="369">
        <f t="shared" si="0"/>
        <v>2</v>
      </c>
      <c r="K25" s="363">
        <f t="shared" si="1"/>
        <v>0</v>
      </c>
      <c r="L25" s="363">
        <f t="shared" si="2"/>
        <v>3</v>
      </c>
      <c r="M25" s="352"/>
      <c r="N25" s="352"/>
      <c r="O25" s="392"/>
      <c r="P25" s="393"/>
      <c r="Q25" s="393"/>
      <c r="R25" s="393"/>
      <c r="S25" s="393"/>
      <c r="T25" s="393"/>
      <c r="U25" s="40"/>
      <c r="V25" s="40"/>
      <c r="W25" s="40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3"/>
        <v>0</v>
      </c>
      <c r="AH25" s="108">
        <f t="shared" si="4"/>
        <v>0</v>
      </c>
      <c r="AI25" s="108">
        <f t="shared" si="10"/>
        <v>0</v>
      </c>
      <c r="AJ25" s="108">
        <f t="shared" si="5"/>
        <v>0</v>
      </c>
      <c r="AK25" s="108">
        <f t="shared" si="6"/>
        <v>5</v>
      </c>
      <c r="AL25" s="108">
        <f t="shared" si="7"/>
        <v>0</v>
      </c>
      <c r="AN25" s="40"/>
      <c r="AO25" s="41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3</v>
      </c>
      <c r="H26" s="373" t="s">
        <v>9</v>
      </c>
      <c r="I26" s="441">
        <v>1</v>
      </c>
      <c r="J26" s="375">
        <f t="shared" si="0"/>
        <v>1</v>
      </c>
      <c r="K26" s="363">
        <f t="shared" si="1"/>
        <v>3</v>
      </c>
      <c r="L26" s="363">
        <f t="shared" si="2"/>
        <v>0</v>
      </c>
      <c r="M26" s="352"/>
      <c r="N26" s="352"/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40"/>
      <c r="V26" s="40"/>
      <c r="W26" s="40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3"/>
        <v>0</v>
      </c>
      <c r="AH26" s="108">
        <f t="shared" si="4"/>
        <v>0</v>
      </c>
      <c r="AI26" s="108">
        <f t="shared" si="10"/>
        <v>0</v>
      </c>
      <c r="AJ26" s="108">
        <f t="shared" si="5"/>
        <v>0</v>
      </c>
      <c r="AK26" s="108">
        <f t="shared" si="6"/>
        <v>0</v>
      </c>
      <c r="AL26" s="108">
        <f t="shared" si="7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1</v>
      </c>
      <c r="H27" s="379" t="s">
        <v>9</v>
      </c>
      <c r="I27" s="442">
        <v>0</v>
      </c>
      <c r="J27" s="381">
        <f t="shared" si="0"/>
        <v>1</v>
      </c>
      <c r="K27" s="363">
        <f t="shared" si="1"/>
        <v>3</v>
      </c>
      <c r="L27" s="363">
        <f t="shared" si="2"/>
        <v>0</v>
      </c>
      <c r="M27" s="352"/>
      <c r="N27" s="352"/>
      <c r="O27" s="394" t="s">
        <v>19</v>
      </c>
      <c r="P27" s="395">
        <f>SUMIF($D$8:$D$55,$O27,$G$8:$G$55)+SUMIF($F$8:$F$55,$O27,$I$8:$I$55)</f>
        <v>6</v>
      </c>
      <c r="Q27" s="395">
        <f>SUMIF($D$8:$D$55,$O27,$I$8:$I$55)+SUMIF($F$8:$F$55,$O27,$G$8:$G$55)</f>
        <v>4</v>
      </c>
      <c r="R27" s="396">
        <f>P27-Q27</f>
        <v>2</v>
      </c>
      <c r="S27" s="397">
        <f>SUMIF($D$8:$D$55,$O27,$K$8:$K$55)+SUMIF($F$8:$F$55,$O27,$L$8:$L$55)</f>
        <v>5</v>
      </c>
      <c r="T27" s="444" t="s">
        <v>63</v>
      </c>
      <c r="U27" s="40"/>
      <c r="V27" s="40" t="str">
        <f>O27</f>
        <v>Uruguay</v>
      </c>
      <c r="W27" s="40" t="s">
        <v>62</v>
      </c>
      <c r="Y27" s="109">
        <f t="shared" si="8"/>
        <v>0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0</v>
      </c>
      <c r="AG27" s="108">
        <f t="shared" si="3"/>
        <v>0</v>
      </c>
      <c r="AH27" s="108">
        <f t="shared" si="4"/>
        <v>0</v>
      </c>
      <c r="AI27" s="108">
        <f t="shared" si="10"/>
        <v>0</v>
      </c>
      <c r="AJ27" s="108">
        <f t="shared" si="5"/>
        <v>0</v>
      </c>
      <c r="AK27" s="108">
        <f t="shared" si="6"/>
        <v>0</v>
      </c>
      <c r="AL27" s="108">
        <f t="shared" si="7"/>
        <v>0</v>
      </c>
      <c r="AM27" s="120">
        <f>AO27</f>
        <v>10</v>
      </c>
      <c r="AN27" s="116" t="s">
        <v>19</v>
      </c>
      <c r="AO27" s="115">
        <f>IF(Uitslag!T27="",0,IF(T27=Uitslag!T27,10,0))</f>
        <v>10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1</v>
      </c>
      <c r="H28" s="367" t="s">
        <v>9</v>
      </c>
      <c r="I28" s="440">
        <v>2</v>
      </c>
      <c r="J28" s="369">
        <f t="shared" si="0"/>
        <v>2</v>
      </c>
      <c r="K28" s="363">
        <f t="shared" si="1"/>
        <v>0</v>
      </c>
      <c r="L28" s="363">
        <f t="shared" si="2"/>
        <v>3</v>
      </c>
      <c r="M28" s="352"/>
      <c r="N28" s="352"/>
      <c r="O28" s="398" t="s">
        <v>20</v>
      </c>
      <c r="P28" s="399">
        <f>SUMIF($D$8:$D$55,$O28,$G$8:$G$55)+SUMIF($F$8:$F$55,$O28,$I$8:$I$55)</f>
        <v>2</v>
      </c>
      <c r="Q28" s="399">
        <f>SUMIF($D$8:$D$55,$O28,$I$8:$I$55)+SUMIF($F$8:$F$55,$O28,$G$8:$G$55)</f>
        <v>8</v>
      </c>
      <c r="R28" s="399">
        <f>P28-Q28</f>
        <v>-6</v>
      </c>
      <c r="S28" s="400">
        <f>SUMIF($D$8:$D$55,$O28,$K$8:$K$55)+SUMIF($F$8:$F$55,$O28,$L$8:$L$55)</f>
        <v>0</v>
      </c>
      <c r="T28" s="445" t="s">
        <v>65</v>
      </c>
      <c r="U28" s="40"/>
      <c r="V28" s="40" t="str">
        <f>O28</f>
        <v>Costa Rica</v>
      </c>
      <c r="W28" s="40" t="s">
        <v>63</v>
      </c>
      <c r="Y28" s="109">
        <f t="shared" si="8"/>
        <v>0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0</v>
      </c>
      <c r="AG28" s="108">
        <f t="shared" si="3"/>
        <v>0</v>
      </c>
      <c r="AH28" s="108">
        <f t="shared" si="4"/>
        <v>0</v>
      </c>
      <c r="AI28" s="108">
        <f t="shared" si="10"/>
        <v>0</v>
      </c>
      <c r="AJ28" s="108">
        <f t="shared" si="5"/>
        <v>0</v>
      </c>
      <c r="AK28" s="108">
        <f t="shared" si="6"/>
        <v>0</v>
      </c>
      <c r="AL28" s="108">
        <f t="shared" si="7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2</v>
      </c>
      <c r="H29" s="373" t="s">
        <v>9</v>
      </c>
      <c r="I29" s="441">
        <v>2</v>
      </c>
      <c r="J29" s="375">
        <f t="shared" si="0"/>
        <v>3</v>
      </c>
      <c r="K29" s="363">
        <f t="shared" si="1"/>
        <v>1</v>
      </c>
      <c r="L29" s="363">
        <f t="shared" si="2"/>
        <v>1</v>
      </c>
      <c r="M29" s="352"/>
      <c r="N29" s="352"/>
      <c r="O29" s="398" t="s">
        <v>21</v>
      </c>
      <c r="P29" s="399">
        <f>SUMIF($D$8:$D$55,$O29,$G$8:$G$55)+SUMIF($F$8:$F$55,$O29,$I$8:$I$55)</f>
        <v>6</v>
      </c>
      <c r="Q29" s="399">
        <f>SUMIF($D$8:$D$55,$O29,$I$8:$I$55)+SUMIF($F$8:$F$55,$O29,$G$8:$G$55)</f>
        <v>5</v>
      </c>
      <c r="R29" s="399">
        <f>P29-Q29</f>
        <v>1</v>
      </c>
      <c r="S29" s="400">
        <f>SUMIF($D$8:$D$55,$O29,$K$8:$K$55)+SUMIF($F$8:$F$55,$O29,$L$8:$L$55)</f>
        <v>4</v>
      </c>
      <c r="T29" s="445" t="s">
        <v>64</v>
      </c>
      <c r="U29" s="40"/>
      <c r="V29" s="40" t="str">
        <f>O29</f>
        <v>Engeland</v>
      </c>
      <c r="W29" s="40" t="s">
        <v>64</v>
      </c>
      <c r="Y29" s="109">
        <f t="shared" si="8"/>
        <v>1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1</v>
      </c>
      <c r="AG29" s="108">
        <f t="shared" si="3"/>
        <v>1</v>
      </c>
      <c r="AH29" s="108">
        <f t="shared" si="4"/>
        <v>0</v>
      </c>
      <c r="AI29" s="108">
        <f t="shared" si="10"/>
        <v>0</v>
      </c>
      <c r="AJ29" s="108">
        <f t="shared" si="5"/>
        <v>0</v>
      </c>
      <c r="AK29" s="108">
        <f t="shared" si="6"/>
        <v>0</v>
      </c>
      <c r="AL29" s="108">
        <f t="shared" si="7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1</v>
      </c>
      <c r="H30" s="379" t="s">
        <v>9</v>
      </c>
      <c r="I30" s="442">
        <v>1</v>
      </c>
      <c r="J30" s="381">
        <f t="shared" si="0"/>
        <v>3</v>
      </c>
      <c r="K30" s="363">
        <f t="shared" si="1"/>
        <v>1</v>
      </c>
      <c r="L30" s="363">
        <f t="shared" si="2"/>
        <v>1</v>
      </c>
      <c r="M30" s="352"/>
      <c r="N30" s="352"/>
      <c r="O30" s="401" t="s">
        <v>22</v>
      </c>
      <c r="P30" s="402">
        <f>SUMIF($D$8:$D$55,$O30,$G$8:$G$55)+SUMIF($F$8:$F$55,$O30,$I$8:$I$55)</f>
        <v>5</v>
      </c>
      <c r="Q30" s="402">
        <f>SUMIF($D$8:$D$55,$O30,$I$8:$I$55)+SUMIF($F$8:$F$55,$O30,$G$8:$G$55)</f>
        <v>2</v>
      </c>
      <c r="R30" s="402">
        <f>P30-Q30</f>
        <v>3</v>
      </c>
      <c r="S30" s="403">
        <f>SUMIF($D$8:$D$55,$O30,$K$8:$K$55)+SUMIF($F$8:$F$55,$O30,$L$8:$L$55)</f>
        <v>7</v>
      </c>
      <c r="T30" s="446" t="s">
        <v>62</v>
      </c>
      <c r="U30" s="40"/>
      <c r="V30" s="40" t="str">
        <f>O30</f>
        <v>Italië</v>
      </c>
      <c r="W30" s="40" t="s">
        <v>65</v>
      </c>
      <c r="Y30" s="109">
        <f t="shared" si="8"/>
        <v>5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5</v>
      </c>
      <c r="AG30" s="108">
        <f t="shared" si="3"/>
        <v>0</v>
      </c>
      <c r="AH30" s="108">
        <f t="shared" si="4"/>
        <v>0</v>
      </c>
      <c r="AI30" s="108">
        <f t="shared" si="10"/>
        <v>0</v>
      </c>
      <c r="AJ30" s="108">
        <f t="shared" si="5"/>
        <v>0</v>
      </c>
      <c r="AK30" s="108">
        <f t="shared" si="6"/>
        <v>0</v>
      </c>
      <c r="AL30" s="108">
        <f t="shared" si="7"/>
        <v>5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2</v>
      </c>
      <c r="H31" s="367" t="s">
        <v>9</v>
      </c>
      <c r="I31" s="440">
        <v>0</v>
      </c>
      <c r="J31" s="369">
        <f t="shared" si="0"/>
        <v>1</v>
      </c>
      <c r="K31" s="363">
        <f t="shared" si="1"/>
        <v>3</v>
      </c>
      <c r="L31" s="363">
        <f t="shared" si="2"/>
        <v>0</v>
      </c>
      <c r="M31" s="352"/>
      <c r="N31" s="352"/>
      <c r="O31" s="392"/>
      <c r="P31" s="393"/>
      <c r="Q31" s="393"/>
      <c r="R31" s="393"/>
      <c r="S31" s="393"/>
      <c r="T31" s="393"/>
      <c r="U31" s="40"/>
      <c r="V31" s="40"/>
      <c r="W31" s="40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3"/>
        <v>0</v>
      </c>
      <c r="AH31" s="108">
        <f t="shared" si="4"/>
        <v>0</v>
      </c>
      <c r="AI31" s="108">
        <f t="shared" si="10"/>
        <v>0</v>
      </c>
      <c r="AJ31" s="108">
        <f t="shared" si="5"/>
        <v>0</v>
      </c>
      <c r="AK31" s="108">
        <f t="shared" si="6"/>
        <v>0</v>
      </c>
      <c r="AL31" s="108">
        <f t="shared" si="7"/>
        <v>0</v>
      </c>
      <c r="AN31" s="40"/>
      <c r="AO31" s="41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0</v>
      </c>
      <c r="H32" s="373" t="s">
        <v>9</v>
      </c>
      <c r="I32" s="441">
        <v>3</v>
      </c>
      <c r="J32" s="375">
        <f t="shared" si="0"/>
        <v>2</v>
      </c>
      <c r="K32" s="363">
        <f t="shared" si="1"/>
        <v>0</v>
      </c>
      <c r="L32" s="363">
        <f t="shared" si="2"/>
        <v>3</v>
      </c>
      <c r="M32" s="352"/>
      <c r="N32" s="352"/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40"/>
      <c r="V32" s="40"/>
      <c r="W32" s="40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3"/>
        <v>0</v>
      </c>
      <c r="AH32" s="108">
        <f t="shared" si="4"/>
        <v>0</v>
      </c>
      <c r="AI32" s="108">
        <f t="shared" si="10"/>
        <v>0</v>
      </c>
      <c r="AJ32" s="108">
        <f t="shared" si="5"/>
        <v>0</v>
      </c>
      <c r="AK32" s="108">
        <f t="shared" si="6"/>
        <v>5</v>
      </c>
      <c r="AL32" s="108">
        <f t="shared" si="7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0</v>
      </c>
      <c r="H33" s="379" t="s">
        <v>9</v>
      </c>
      <c r="I33" s="442">
        <v>1</v>
      </c>
      <c r="J33" s="381">
        <f t="shared" si="0"/>
        <v>2</v>
      </c>
      <c r="K33" s="363">
        <f t="shared" si="1"/>
        <v>0</v>
      </c>
      <c r="L33" s="363">
        <f t="shared" si="2"/>
        <v>3</v>
      </c>
      <c r="M33" s="352"/>
      <c r="N33" s="352"/>
      <c r="O33" s="394" t="s">
        <v>25</v>
      </c>
      <c r="P33" s="395">
        <f>SUMIF($D$8:$D$55,$O33,$G$8:$G$55)+SUMIF($F$8:$F$55,$O33,$I$8:$I$55)</f>
        <v>4</v>
      </c>
      <c r="Q33" s="395">
        <f>SUMIF($D$8:$D$55,$O33,$I$8:$I$55)+SUMIF($F$8:$F$55,$O33,$G$8:$G$55)</f>
        <v>4</v>
      </c>
      <c r="R33" s="396">
        <f>P33-Q33</f>
        <v>0</v>
      </c>
      <c r="S33" s="397">
        <f>SUMIF($D$8:$D$55,$O33,$K$8:$K$55)+SUMIF($F$8:$F$55,$O33,$L$8:$L$55)</f>
        <v>6</v>
      </c>
      <c r="T33" s="444" t="s">
        <v>68</v>
      </c>
      <c r="U33" s="40"/>
      <c r="V33" s="40" t="str">
        <f>O33</f>
        <v>Zwitserland</v>
      </c>
      <c r="W33" s="40" t="s">
        <v>67</v>
      </c>
      <c r="Y33" s="109">
        <f t="shared" si="8"/>
        <v>5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5</v>
      </c>
      <c r="AG33" s="108">
        <f t="shared" si="3"/>
        <v>0</v>
      </c>
      <c r="AH33" s="108">
        <f t="shared" si="4"/>
        <v>0</v>
      </c>
      <c r="AI33" s="108">
        <f t="shared" si="10"/>
        <v>0</v>
      </c>
      <c r="AJ33" s="108">
        <f t="shared" si="5"/>
        <v>0</v>
      </c>
      <c r="AK33" s="108">
        <f t="shared" si="6"/>
        <v>5</v>
      </c>
      <c r="AL33" s="108">
        <f t="shared" si="7"/>
        <v>0</v>
      </c>
      <c r="AM33" s="120">
        <f>AO33</f>
        <v>10</v>
      </c>
      <c r="AN33" s="116" t="s">
        <v>25</v>
      </c>
      <c r="AO33" s="115">
        <f>IF(Uitslag!T33="",0,IF(T33=Uitslag!T33,10,0))</f>
        <v>10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3</v>
      </c>
      <c r="H34" s="367" t="s">
        <v>9</v>
      </c>
      <c r="I34" s="440">
        <v>1</v>
      </c>
      <c r="J34" s="369">
        <f t="shared" si="0"/>
        <v>1</v>
      </c>
      <c r="K34" s="363">
        <f t="shared" si="1"/>
        <v>3</v>
      </c>
      <c r="L34" s="363">
        <f t="shared" si="2"/>
        <v>0</v>
      </c>
      <c r="M34" s="352"/>
      <c r="N34" s="352"/>
      <c r="O34" s="398" t="s">
        <v>26</v>
      </c>
      <c r="P34" s="399">
        <f>SUMIF($D$8:$D$55,$O34,$G$8:$G$55)+SUMIF($F$8:$F$55,$O34,$I$8:$I$55)</f>
        <v>1</v>
      </c>
      <c r="Q34" s="399">
        <f>SUMIF($D$8:$D$55,$O34,$I$8:$I$55)+SUMIF($F$8:$F$55,$O34,$G$8:$G$55)</f>
        <v>4</v>
      </c>
      <c r="R34" s="399">
        <f>P34-Q34</f>
        <v>-3</v>
      </c>
      <c r="S34" s="400">
        <f>SUMIF($D$8:$D$55,$O34,$K$8:$K$55)+SUMIF($F$8:$F$55,$O34,$L$8:$L$55)</f>
        <v>3</v>
      </c>
      <c r="T34" s="445" t="s">
        <v>69</v>
      </c>
      <c r="U34" s="40"/>
      <c r="V34" s="40" t="str">
        <f>O34</f>
        <v>Ecuador</v>
      </c>
      <c r="W34" s="40" t="s">
        <v>68</v>
      </c>
      <c r="Y34" s="109">
        <f t="shared" si="8"/>
        <v>5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5</v>
      </c>
      <c r="AG34" s="108">
        <f t="shared" si="3"/>
        <v>0</v>
      </c>
      <c r="AH34" s="108">
        <f t="shared" si="4"/>
        <v>0</v>
      </c>
      <c r="AI34" s="108">
        <f t="shared" si="10"/>
        <v>0</v>
      </c>
      <c r="AJ34" s="108">
        <f t="shared" si="5"/>
        <v>5</v>
      </c>
      <c r="AK34" s="108">
        <f t="shared" si="6"/>
        <v>0</v>
      </c>
      <c r="AL34" s="108">
        <f t="shared" si="7"/>
        <v>0</v>
      </c>
      <c r="AM34" s="120">
        <f>AO34</f>
        <v>10</v>
      </c>
      <c r="AN34" s="117" t="s">
        <v>26</v>
      </c>
      <c r="AO34" s="115">
        <f>IF(Uitslag!T34="",0,IF(T34=Uitslag!T34,10,0))</f>
        <v>10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1</v>
      </c>
      <c r="H35" s="373" t="s">
        <v>9</v>
      </c>
      <c r="I35" s="441">
        <v>1</v>
      </c>
      <c r="J35" s="375">
        <f t="shared" si="0"/>
        <v>3</v>
      </c>
      <c r="K35" s="363">
        <f t="shared" si="1"/>
        <v>1</v>
      </c>
      <c r="L35" s="363">
        <f t="shared" si="2"/>
        <v>1</v>
      </c>
      <c r="M35" s="352"/>
      <c r="N35" s="352"/>
      <c r="O35" s="398" t="s">
        <v>27</v>
      </c>
      <c r="P35" s="399">
        <f>SUMIF($D$8:$D$55,$O35,$G$8:$G$55)+SUMIF($F$8:$F$55,$O35,$I$8:$I$55)</f>
        <v>8</v>
      </c>
      <c r="Q35" s="399">
        <f>SUMIF($D$8:$D$55,$O35,$I$8:$I$55)+SUMIF($F$8:$F$55,$O35,$G$8:$G$55)</f>
        <v>0</v>
      </c>
      <c r="R35" s="399">
        <f>P35-Q35</f>
        <v>8</v>
      </c>
      <c r="S35" s="400">
        <f>SUMIF($D$8:$D$55,$O35,$K$8:$K$55)+SUMIF($F$8:$F$55,$O35,$L$8:$L$55)</f>
        <v>9</v>
      </c>
      <c r="T35" s="445" t="s">
        <v>67</v>
      </c>
      <c r="U35" s="40"/>
      <c r="V35" s="40" t="str">
        <f>O35</f>
        <v>Frankrijk</v>
      </c>
      <c r="W35" s="40" t="s">
        <v>69</v>
      </c>
      <c r="Y35" s="109">
        <f t="shared" si="8"/>
        <v>5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5</v>
      </c>
      <c r="AG35" s="108">
        <f t="shared" si="3"/>
        <v>0</v>
      </c>
      <c r="AH35" s="108">
        <f t="shared" si="4"/>
        <v>0</v>
      </c>
      <c r="AI35" s="108">
        <f t="shared" si="10"/>
        <v>0</v>
      </c>
      <c r="AJ35" s="108">
        <f t="shared" si="5"/>
        <v>0</v>
      </c>
      <c r="AK35" s="108">
        <f t="shared" si="6"/>
        <v>0</v>
      </c>
      <c r="AL35" s="108">
        <f t="shared" si="7"/>
        <v>5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2</v>
      </c>
      <c r="H36" s="379" t="s">
        <v>9</v>
      </c>
      <c r="I36" s="442">
        <v>1</v>
      </c>
      <c r="J36" s="381">
        <f t="shared" si="0"/>
        <v>1</v>
      </c>
      <c r="K36" s="363">
        <f t="shared" si="1"/>
        <v>3</v>
      </c>
      <c r="L36" s="363">
        <f t="shared" si="2"/>
        <v>0</v>
      </c>
      <c r="M36" s="352"/>
      <c r="N36" s="352"/>
      <c r="O36" s="401" t="s">
        <v>28</v>
      </c>
      <c r="P36" s="402">
        <f>SUMIF($D$8:$D$55,$O36,$G$8:$G$55)+SUMIF($F$8:$F$55,$O36,$I$8:$I$55)</f>
        <v>1</v>
      </c>
      <c r="Q36" s="402">
        <f>SUMIF($D$8:$D$55,$O36,$I$8:$I$55)+SUMIF($F$8:$F$55,$O36,$G$8:$G$55)</f>
        <v>6</v>
      </c>
      <c r="R36" s="402">
        <f>P36-Q36</f>
        <v>-5</v>
      </c>
      <c r="S36" s="403">
        <f>SUMIF($D$8:$D$55,$O36,$K$8:$K$55)+SUMIF($F$8:$F$55,$O36,$L$8:$L$55)</f>
        <v>0</v>
      </c>
      <c r="T36" s="446" t="s">
        <v>70</v>
      </c>
      <c r="U36" s="40"/>
      <c r="V36" s="40" t="str">
        <f>O36</f>
        <v>Honduras</v>
      </c>
      <c r="W36" s="40" t="s">
        <v>70</v>
      </c>
      <c r="Y36" s="109">
        <f t="shared" si="8"/>
        <v>5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5</v>
      </c>
      <c r="AG36" s="108">
        <f t="shared" si="3"/>
        <v>0</v>
      </c>
      <c r="AH36" s="108">
        <f t="shared" si="4"/>
        <v>0</v>
      </c>
      <c r="AI36" s="108">
        <f t="shared" si="10"/>
        <v>0</v>
      </c>
      <c r="AJ36" s="108">
        <f t="shared" si="5"/>
        <v>5</v>
      </c>
      <c r="AK36" s="108">
        <f t="shared" si="6"/>
        <v>0</v>
      </c>
      <c r="AL36" s="108">
        <f t="shared" si="7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2</v>
      </c>
      <c r="H37" s="367" t="s">
        <v>9</v>
      </c>
      <c r="I37" s="440">
        <v>0</v>
      </c>
      <c r="J37" s="369">
        <f t="shared" si="0"/>
        <v>1</v>
      </c>
      <c r="K37" s="363">
        <f t="shared" si="1"/>
        <v>3</v>
      </c>
      <c r="L37" s="363">
        <f t="shared" si="2"/>
        <v>0</v>
      </c>
      <c r="M37" s="352"/>
      <c r="N37" s="352"/>
      <c r="O37" s="392"/>
      <c r="P37" s="393"/>
      <c r="Q37" s="393"/>
      <c r="R37" s="393"/>
      <c r="S37" s="393"/>
      <c r="T37" s="393"/>
      <c r="U37" s="40"/>
      <c r="V37" s="40"/>
      <c r="W37" s="40"/>
      <c r="Y37" s="109">
        <f t="shared" si="8"/>
        <v>6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6</v>
      </c>
      <c r="AG37" s="108">
        <f t="shared" si="3"/>
        <v>0</v>
      </c>
      <c r="AH37" s="108">
        <f t="shared" si="4"/>
        <v>1</v>
      </c>
      <c r="AI37" s="108">
        <f t="shared" si="10"/>
        <v>0</v>
      </c>
      <c r="AJ37" s="108">
        <f t="shared" si="5"/>
        <v>5</v>
      </c>
      <c r="AK37" s="108">
        <f t="shared" si="6"/>
        <v>0</v>
      </c>
      <c r="AL37" s="108">
        <f t="shared" si="7"/>
        <v>0</v>
      </c>
      <c r="AN37" s="40"/>
      <c r="AO37" s="41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1</v>
      </c>
      <c r="H38" s="373" t="s">
        <v>9</v>
      </c>
      <c r="I38" s="441">
        <v>0</v>
      </c>
      <c r="J38" s="375">
        <f t="shared" si="0"/>
        <v>1</v>
      </c>
      <c r="K38" s="363">
        <f t="shared" si="1"/>
        <v>3</v>
      </c>
      <c r="L38" s="363">
        <f t="shared" si="2"/>
        <v>0</v>
      </c>
      <c r="M38" s="352"/>
      <c r="N38" s="352"/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40"/>
      <c r="V38" s="40"/>
      <c r="W38" s="40"/>
      <c r="Y38" s="109">
        <f t="shared" si="8"/>
        <v>0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0</v>
      </c>
      <c r="AG38" s="108">
        <f t="shared" si="3"/>
        <v>0</v>
      </c>
      <c r="AH38" s="108">
        <f t="shared" si="4"/>
        <v>0</v>
      </c>
      <c r="AI38" s="108">
        <f t="shared" si="10"/>
        <v>0</v>
      </c>
      <c r="AJ38" s="108">
        <f t="shared" si="5"/>
        <v>0</v>
      </c>
      <c r="AK38" s="108">
        <f t="shared" si="6"/>
        <v>0</v>
      </c>
      <c r="AL38" s="108">
        <f t="shared" si="7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0</v>
      </c>
      <c r="H39" s="379" t="s">
        <v>9</v>
      </c>
      <c r="I39" s="442">
        <v>2</v>
      </c>
      <c r="J39" s="381">
        <f t="shared" si="0"/>
        <v>2</v>
      </c>
      <c r="K39" s="363">
        <f t="shared" si="1"/>
        <v>0</v>
      </c>
      <c r="L39" s="363">
        <f t="shared" si="2"/>
        <v>3</v>
      </c>
      <c r="M39" s="352"/>
      <c r="N39" s="352"/>
      <c r="O39" s="394" t="s">
        <v>29</v>
      </c>
      <c r="P39" s="395">
        <f>SUMIF($D$8:$D$55,$O39,$G$8:$G$55)+SUMIF($F$8:$F$55,$O39,$I$8:$I$55)</f>
        <v>9</v>
      </c>
      <c r="Q39" s="395">
        <f>SUMIF($D$8:$D$55,$O39,$I$8:$I$55)+SUMIF($F$8:$F$55,$O39,$G$8:$G$55)</f>
        <v>1</v>
      </c>
      <c r="R39" s="396">
        <f>P39-Q39</f>
        <v>8</v>
      </c>
      <c r="S39" s="397">
        <f>SUMIF($D$8:$D$55,$O39,$K$8:$K$55)+SUMIF($F$8:$F$55,$O39,$L$8:$L$55)</f>
        <v>9</v>
      </c>
      <c r="T39" s="444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1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1</v>
      </c>
      <c r="AG39" s="108">
        <f t="shared" si="3"/>
        <v>0</v>
      </c>
      <c r="AH39" s="108">
        <f t="shared" si="4"/>
        <v>1</v>
      </c>
      <c r="AI39" s="108">
        <f t="shared" si="10"/>
        <v>0</v>
      </c>
      <c r="AJ39" s="108">
        <f t="shared" si="5"/>
        <v>0</v>
      </c>
      <c r="AK39" s="108">
        <f t="shared" si="6"/>
        <v>0</v>
      </c>
      <c r="AL39" s="108">
        <f t="shared" si="7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0</v>
      </c>
      <c r="H40" s="367" t="s">
        <v>9</v>
      </c>
      <c r="I40" s="440">
        <v>3</v>
      </c>
      <c r="J40" s="369">
        <f t="shared" si="0"/>
        <v>2</v>
      </c>
      <c r="K40" s="363">
        <f t="shared" si="1"/>
        <v>0</v>
      </c>
      <c r="L40" s="363">
        <f t="shared" si="2"/>
        <v>3</v>
      </c>
      <c r="M40" s="352"/>
      <c r="N40" s="352"/>
      <c r="O40" s="398" t="s">
        <v>30</v>
      </c>
      <c r="P40" s="399">
        <f>SUMIF($D$8:$D$55,$O40,$G$8:$G$55)+SUMIF($F$8:$F$55,$O40,$I$8:$I$55)</f>
        <v>2</v>
      </c>
      <c r="Q40" s="399">
        <f>SUMIF($D$8:$D$55,$O40,$I$8:$I$55)+SUMIF($F$8:$F$55,$O40,$G$8:$G$55)</f>
        <v>7</v>
      </c>
      <c r="R40" s="399">
        <f>P40-Q40</f>
        <v>-5</v>
      </c>
      <c r="S40" s="400">
        <f>SUMIF($D$8:$D$55,$O40,$K$8:$K$55)+SUMIF($F$8:$F$55,$O40,$L$8:$L$55)</f>
        <v>0</v>
      </c>
      <c r="T40" s="445" t="s">
        <v>74</v>
      </c>
      <c r="U40" s="40"/>
      <c r="V40" s="40" t="str">
        <f>O40</f>
        <v>Bosnië H.</v>
      </c>
      <c r="W40" s="40" t="s">
        <v>73</v>
      </c>
      <c r="Y40" s="109">
        <f t="shared" si="8"/>
        <v>10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10</v>
      </c>
      <c r="AG40" s="108">
        <f t="shared" si="3"/>
        <v>1</v>
      </c>
      <c r="AH40" s="108">
        <f t="shared" si="4"/>
        <v>1</v>
      </c>
      <c r="AI40" s="108">
        <f t="shared" si="10"/>
        <v>10</v>
      </c>
      <c r="AJ40" s="108">
        <f t="shared" si="5"/>
        <v>0</v>
      </c>
      <c r="AK40" s="108">
        <f t="shared" si="6"/>
        <v>5</v>
      </c>
      <c r="AL40" s="108">
        <f t="shared" si="7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2</v>
      </c>
      <c r="H41" s="373" t="s">
        <v>9</v>
      </c>
      <c r="I41" s="441">
        <v>1</v>
      </c>
      <c r="J41" s="375">
        <f t="shared" si="0"/>
        <v>1</v>
      </c>
      <c r="K41" s="363">
        <f t="shared" si="1"/>
        <v>3</v>
      </c>
      <c r="L41" s="363">
        <f t="shared" si="2"/>
        <v>0</v>
      </c>
      <c r="M41" s="352"/>
      <c r="N41" s="352"/>
      <c r="O41" s="398" t="s">
        <v>33</v>
      </c>
      <c r="P41" s="399">
        <f>SUMIF($D$8:$D$55,$O41,$G$8:$G$55)+SUMIF($F$8:$F$55,$O41,$I$8:$I$55)</f>
        <v>3</v>
      </c>
      <c r="Q41" s="399">
        <f>SUMIF($D$8:$D$55,$O41,$I$8:$I$55)+SUMIF($F$8:$F$55,$O41,$G$8:$G$55)</f>
        <v>5</v>
      </c>
      <c r="R41" s="399">
        <f>P41-Q41</f>
        <v>-2</v>
      </c>
      <c r="S41" s="400">
        <f>SUMIF($D$8:$D$55,$O41,$K$8:$K$55)+SUMIF($F$8:$F$55,$O41,$L$8:$L$55)</f>
        <v>3</v>
      </c>
      <c r="T41" s="445" t="s">
        <v>75</v>
      </c>
      <c r="U41" s="40"/>
      <c r="V41" s="40" t="str">
        <f>O41</f>
        <v>Iran</v>
      </c>
      <c r="W41" s="40" t="s">
        <v>74</v>
      </c>
      <c r="Y41" s="109">
        <f t="shared" si="8"/>
        <v>6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6</v>
      </c>
      <c r="AG41" s="108">
        <f t="shared" si="3"/>
        <v>1</v>
      </c>
      <c r="AH41" s="108">
        <f t="shared" si="4"/>
        <v>0</v>
      </c>
      <c r="AI41" s="108">
        <f t="shared" si="10"/>
        <v>0</v>
      </c>
      <c r="AJ41" s="108">
        <f t="shared" si="5"/>
        <v>5</v>
      </c>
      <c r="AK41" s="108">
        <f t="shared" si="6"/>
        <v>0</v>
      </c>
      <c r="AL41" s="108">
        <f t="shared" si="7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1</v>
      </c>
      <c r="H42" s="373" t="s">
        <v>9</v>
      </c>
      <c r="I42" s="441">
        <v>2</v>
      </c>
      <c r="J42" s="375">
        <f t="shared" si="0"/>
        <v>2</v>
      </c>
      <c r="K42" s="363">
        <f t="shared" si="1"/>
        <v>0</v>
      </c>
      <c r="L42" s="363">
        <f t="shared" si="2"/>
        <v>3</v>
      </c>
      <c r="M42" s="352"/>
      <c r="N42" s="352"/>
      <c r="O42" s="401" t="s">
        <v>34</v>
      </c>
      <c r="P42" s="402">
        <f>SUMIF($D$8:$D$55,$O42,$G$8:$G$55)+SUMIF($F$8:$F$55,$O42,$I$8:$I$55)</f>
        <v>3</v>
      </c>
      <c r="Q42" s="402">
        <f>SUMIF($D$8:$D$55,$O42,$I$8:$I$55)+SUMIF($F$8:$F$55,$O42,$G$8:$G$55)</f>
        <v>4</v>
      </c>
      <c r="R42" s="402">
        <f>P42-Q42</f>
        <v>-1</v>
      </c>
      <c r="S42" s="403">
        <f>SUMIF($D$8:$D$55,$O42,$K$8:$K$55)+SUMIF($F$8:$F$55,$O42,$L$8:$L$55)</f>
        <v>6</v>
      </c>
      <c r="T42" s="446" t="s">
        <v>73</v>
      </c>
      <c r="U42" s="40"/>
      <c r="V42" s="40" t="str">
        <f>O42</f>
        <v>Nigeria</v>
      </c>
      <c r="W42" s="40" t="s">
        <v>75</v>
      </c>
      <c r="Y42" s="109">
        <f t="shared" si="8"/>
        <v>6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6</v>
      </c>
      <c r="AG42" s="108">
        <f t="shared" si="3"/>
        <v>1</v>
      </c>
      <c r="AH42" s="108">
        <f t="shared" si="4"/>
        <v>0</v>
      </c>
      <c r="AI42" s="108">
        <f t="shared" si="10"/>
        <v>0</v>
      </c>
      <c r="AJ42" s="108">
        <f t="shared" si="5"/>
        <v>0</v>
      </c>
      <c r="AK42" s="108">
        <f t="shared" si="6"/>
        <v>5</v>
      </c>
      <c r="AL42" s="108">
        <f t="shared" si="7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0</v>
      </c>
      <c r="H43" s="379" t="s">
        <v>9</v>
      </c>
      <c r="I43" s="442">
        <v>2</v>
      </c>
      <c r="J43" s="381">
        <f t="shared" si="0"/>
        <v>2</v>
      </c>
      <c r="K43" s="363">
        <f t="shared" si="1"/>
        <v>0</v>
      </c>
      <c r="L43" s="363">
        <f t="shared" si="2"/>
        <v>3</v>
      </c>
      <c r="M43" s="352"/>
      <c r="N43" s="352"/>
      <c r="O43" s="392"/>
      <c r="P43" s="393"/>
      <c r="Q43" s="393"/>
      <c r="R43" s="393"/>
      <c r="S43" s="393"/>
      <c r="T43" s="393"/>
      <c r="U43" s="40"/>
      <c r="V43" s="40"/>
      <c r="W43" s="40"/>
      <c r="Y43" s="109">
        <f t="shared" si="8"/>
        <v>5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5</v>
      </c>
      <c r="AG43" s="108">
        <f t="shared" si="3"/>
        <v>0</v>
      </c>
      <c r="AH43" s="108">
        <f t="shared" si="4"/>
        <v>0</v>
      </c>
      <c r="AI43" s="108">
        <f t="shared" si="10"/>
        <v>0</v>
      </c>
      <c r="AJ43" s="108">
        <f t="shared" si="5"/>
        <v>0</v>
      </c>
      <c r="AK43" s="108">
        <f t="shared" si="6"/>
        <v>5</v>
      </c>
      <c r="AL43" s="108">
        <f t="shared" si="7"/>
        <v>0</v>
      </c>
      <c r="AN43" s="40"/>
      <c r="AO43" s="41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1</v>
      </c>
      <c r="H44" s="367" t="s">
        <v>9</v>
      </c>
      <c r="I44" s="440">
        <v>1</v>
      </c>
      <c r="J44" s="369">
        <f t="shared" si="0"/>
        <v>3</v>
      </c>
      <c r="K44" s="363">
        <f t="shared" si="1"/>
        <v>1</v>
      </c>
      <c r="L44" s="363">
        <f t="shared" si="2"/>
        <v>1</v>
      </c>
      <c r="M44" s="352"/>
      <c r="N44" s="352"/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40"/>
      <c r="V44" s="40"/>
      <c r="W44" s="40"/>
      <c r="Y44" s="109">
        <f t="shared" si="8"/>
        <v>1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1</v>
      </c>
      <c r="AG44" s="108">
        <f t="shared" si="3"/>
        <v>0</v>
      </c>
      <c r="AH44" s="108">
        <f t="shared" si="4"/>
        <v>1</v>
      </c>
      <c r="AI44" s="108">
        <f t="shared" si="10"/>
        <v>0</v>
      </c>
      <c r="AJ44" s="108">
        <f t="shared" si="5"/>
        <v>0</v>
      </c>
      <c r="AK44" s="108">
        <f t="shared" si="6"/>
        <v>0</v>
      </c>
      <c r="AL44" s="108">
        <f t="shared" si="7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1</v>
      </c>
      <c r="H45" s="373" t="s">
        <v>9</v>
      </c>
      <c r="I45" s="441">
        <v>3</v>
      </c>
      <c r="J45" s="375">
        <f t="shared" si="0"/>
        <v>2</v>
      </c>
      <c r="K45" s="363">
        <f t="shared" si="1"/>
        <v>0</v>
      </c>
      <c r="L45" s="363">
        <f t="shared" si="2"/>
        <v>3</v>
      </c>
      <c r="M45" s="352"/>
      <c r="N45" s="352"/>
      <c r="O45" s="394" t="s">
        <v>31</v>
      </c>
      <c r="P45" s="395">
        <f>SUMIF($D$8:$D$55,$O45,$G$8:$G$55)+SUMIF($F$8:$F$55,$O45,$I$8:$I$55)</f>
        <v>6</v>
      </c>
      <c r="Q45" s="395">
        <f>SUMIF($D$8:$D$55,$O45,$I$8:$I$55)+SUMIF($F$8:$F$55,$O45,$G$8:$G$55)</f>
        <v>4</v>
      </c>
      <c r="R45" s="396">
        <f>P45-Q45</f>
        <v>2</v>
      </c>
      <c r="S45" s="397">
        <f>SUMIF($D$8:$D$55,$O45,$K$8:$K$55)+SUMIF($F$8:$F$55,$O45,$L$8:$L$55)</f>
        <v>5</v>
      </c>
      <c r="T45" s="444" t="s">
        <v>78</v>
      </c>
      <c r="U45" s="40"/>
      <c r="V45" s="40" t="str">
        <f>O45</f>
        <v>Duitsland</v>
      </c>
      <c r="W45" s="40" t="s">
        <v>77</v>
      </c>
      <c r="Y45" s="109">
        <f t="shared" si="8"/>
        <v>0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0</v>
      </c>
      <c r="AG45" s="108">
        <f t="shared" si="3"/>
        <v>0</v>
      </c>
      <c r="AH45" s="108">
        <f t="shared" si="4"/>
        <v>0</v>
      </c>
      <c r="AI45" s="108">
        <f t="shared" si="10"/>
        <v>0</v>
      </c>
      <c r="AJ45" s="108">
        <f t="shared" si="5"/>
        <v>0</v>
      </c>
      <c r="AK45" s="108">
        <f t="shared" si="6"/>
        <v>0</v>
      </c>
      <c r="AL45" s="108">
        <f t="shared" si="7"/>
        <v>0</v>
      </c>
      <c r="AM45" s="120">
        <f>AO45</f>
        <v>0</v>
      </c>
      <c r="AN45" s="116" t="s">
        <v>31</v>
      </c>
      <c r="AO45" s="115">
        <f>IF(Uitslag!T45="",0,IF(T45=Uitslag!T45,10,0))</f>
        <v>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2</v>
      </c>
      <c r="H46" s="373" t="s">
        <v>9</v>
      </c>
      <c r="I46" s="441">
        <v>0</v>
      </c>
      <c r="J46" s="375">
        <f t="shared" si="0"/>
        <v>1</v>
      </c>
      <c r="K46" s="363">
        <f t="shared" si="1"/>
        <v>3</v>
      </c>
      <c r="L46" s="363">
        <f t="shared" si="2"/>
        <v>0</v>
      </c>
      <c r="M46" s="352"/>
      <c r="N46" s="352"/>
      <c r="O46" s="398" t="s">
        <v>32</v>
      </c>
      <c r="P46" s="399">
        <f>SUMIF($D$8:$D$55,$O46,$G$8:$G$55)+SUMIF($F$8:$F$55,$O46,$I$8:$I$55)</f>
        <v>6</v>
      </c>
      <c r="Q46" s="399">
        <f>SUMIF($D$8:$D$55,$O46,$I$8:$I$55)+SUMIF($F$8:$F$55,$O46,$G$8:$G$55)</f>
        <v>3</v>
      </c>
      <c r="R46" s="399">
        <f>P46-Q46</f>
        <v>3</v>
      </c>
      <c r="S46" s="400">
        <f>SUMIF($D$8:$D$55,$O46,$K$8:$K$55)+SUMIF($F$8:$F$55,$O46,$L$8:$L$55)</f>
        <v>7</v>
      </c>
      <c r="T46" s="445" t="s">
        <v>77</v>
      </c>
      <c r="U46" s="40"/>
      <c r="V46" s="40" t="str">
        <f>O46</f>
        <v>Portugal</v>
      </c>
      <c r="W46" s="40" t="s">
        <v>78</v>
      </c>
      <c r="Y46" s="109">
        <f t="shared" si="8"/>
        <v>0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0</v>
      </c>
      <c r="AG46" s="108">
        <f t="shared" si="3"/>
        <v>0</v>
      </c>
      <c r="AH46" s="108">
        <f t="shared" si="4"/>
        <v>0</v>
      </c>
      <c r="AI46" s="108">
        <f t="shared" si="10"/>
        <v>0</v>
      </c>
      <c r="AJ46" s="108">
        <f t="shared" si="5"/>
        <v>0</v>
      </c>
      <c r="AK46" s="108">
        <f t="shared" si="6"/>
        <v>0</v>
      </c>
      <c r="AL46" s="108">
        <f t="shared" si="7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1</v>
      </c>
      <c r="H47" s="379" t="s">
        <v>9</v>
      </c>
      <c r="I47" s="442">
        <v>2</v>
      </c>
      <c r="J47" s="381">
        <f t="shared" si="0"/>
        <v>2</v>
      </c>
      <c r="K47" s="363">
        <f t="shared" si="1"/>
        <v>0</v>
      </c>
      <c r="L47" s="363">
        <f t="shared" si="2"/>
        <v>3</v>
      </c>
      <c r="M47" s="352"/>
      <c r="N47" s="352"/>
      <c r="O47" s="398" t="s">
        <v>35</v>
      </c>
      <c r="P47" s="399">
        <f>SUMIF($D$8:$D$55,$O47,$G$8:$G$55)+SUMIF($F$8:$F$55,$O47,$I$8:$I$55)</f>
        <v>4</v>
      </c>
      <c r="Q47" s="399">
        <f>SUMIF($D$8:$D$55,$O47,$I$8:$I$55)+SUMIF($F$8:$F$55,$O47,$G$8:$G$55)</f>
        <v>4</v>
      </c>
      <c r="R47" s="399">
        <f>P47-Q47</f>
        <v>0</v>
      </c>
      <c r="S47" s="400">
        <f>SUMIF($D$8:$D$55,$O47,$K$8:$K$55)+SUMIF($F$8:$F$55,$O47,$L$8:$L$55)</f>
        <v>4</v>
      </c>
      <c r="T47" s="445" t="s">
        <v>79</v>
      </c>
      <c r="U47" s="40"/>
      <c r="V47" s="40" t="str">
        <f>O47</f>
        <v>Ghana</v>
      </c>
      <c r="W47" s="40" t="s">
        <v>79</v>
      </c>
      <c r="Y47" s="109">
        <f t="shared" si="8"/>
        <v>0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0</v>
      </c>
      <c r="AG47" s="108">
        <f t="shared" si="3"/>
        <v>0</v>
      </c>
      <c r="AH47" s="108">
        <f t="shared" si="4"/>
        <v>0</v>
      </c>
      <c r="AI47" s="108">
        <f t="shared" si="10"/>
        <v>0</v>
      </c>
      <c r="AJ47" s="108">
        <f t="shared" si="5"/>
        <v>0</v>
      </c>
      <c r="AK47" s="108">
        <f t="shared" si="6"/>
        <v>0</v>
      </c>
      <c r="AL47" s="108">
        <f t="shared" si="7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0</v>
      </c>
      <c r="H48" s="367" t="s">
        <v>9</v>
      </c>
      <c r="I48" s="440">
        <v>3</v>
      </c>
      <c r="J48" s="369">
        <f t="shared" si="0"/>
        <v>2</v>
      </c>
      <c r="K48" s="363">
        <f t="shared" si="1"/>
        <v>0</v>
      </c>
      <c r="L48" s="363">
        <f t="shared" si="2"/>
        <v>3</v>
      </c>
      <c r="M48" s="352"/>
      <c r="N48" s="352"/>
      <c r="O48" s="401" t="s">
        <v>36</v>
      </c>
      <c r="P48" s="402">
        <f>SUMIF($D$8:$D$55,$O48,$G$8:$G$55)+SUMIF($F$8:$F$55,$O48,$I$8:$I$55)</f>
        <v>2</v>
      </c>
      <c r="Q48" s="402">
        <f>SUMIF($D$8:$D$55,$O48,$I$8:$I$55)+SUMIF($F$8:$F$55,$O48,$G$8:$G$55)</f>
        <v>7</v>
      </c>
      <c r="R48" s="402">
        <f>P48-Q48</f>
        <v>-5</v>
      </c>
      <c r="S48" s="403">
        <f>SUMIF($D$8:$D$55,$O48,$K$8:$K$55)+SUMIF($F$8:$F$55,$O48,$L$8:$L$55)</f>
        <v>0</v>
      </c>
      <c r="T48" s="446" t="s">
        <v>80</v>
      </c>
      <c r="U48" s="40"/>
      <c r="V48" s="40" t="str">
        <f>O48</f>
        <v>Verenigde Staten</v>
      </c>
      <c r="W48" s="40" t="s">
        <v>80</v>
      </c>
      <c r="Y48" s="109">
        <f t="shared" si="8"/>
        <v>6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6</v>
      </c>
      <c r="AG48" s="108">
        <f t="shared" si="3"/>
        <v>0</v>
      </c>
      <c r="AH48" s="108">
        <f t="shared" si="4"/>
        <v>1</v>
      </c>
      <c r="AI48" s="108">
        <f t="shared" si="10"/>
        <v>0</v>
      </c>
      <c r="AJ48" s="108">
        <f t="shared" si="5"/>
        <v>0</v>
      </c>
      <c r="AK48" s="108">
        <f t="shared" si="6"/>
        <v>5</v>
      </c>
      <c r="AL48" s="108">
        <f t="shared" si="7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1</v>
      </c>
      <c r="H49" s="373" t="s">
        <v>9</v>
      </c>
      <c r="I49" s="441">
        <v>2</v>
      </c>
      <c r="J49" s="375">
        <f t="shared" si="0"/>
        <v>2</v>
      </c>
      <c r="K49" s="363">
        <f t="shared" si="1"/>
        <v>0</v>
      </c>
      <c r="L49" s="363">
        <f t="shared" si="2"/>
        <v>3</v>
      </c>
      <c r="M49" s="352"/>
      <c r="N49" s="352"/>
      <c r="O49" s="392"/>
      <c r="P49" s="393"/>
      <c r="Q49" s="393"/>
      <c r="R49" s="393"/>
      <c r="S49" s="393"/>
      <c r="T49" s="393"/>
      <c r="U49" s="40"/>
      <c r="V49" s="40"/>
      <c r="W49" s="40"/>
      <c r="Y49" s="109">
        <f t="shared" si="8"/>
        <v>0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0</v>
      </c>
      <c r="AG49" s="108">
        <f t="shared" si="3"/>
        <v>0</v>
      </c>
      <c r="AH49" s="108">
        <f t="shared" si="4"/>
        <v>0</v>
      </c>
      <c r="AI49" s="108">
        <f t="shared" si="10"/>
        <v>0</v>
      </c>
      <c r="AJ49" s="108">
        <f t="shared" si="5"/>
        <v>0</v>
      </c>
      <c r="AK49" s="108">
        <f t="shared" si="6"/>
        <v>0</v>
      </c>
      <c r="AL49" s="108">
        <f t="shared" si="7"/>
        <v>0</v>
      </c>
      <c r="AN49" s="40"/>
      <c r="AO49" s="41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1</v>
      </c>
      <c r="H50" s="373" t="s">
        <v>9</v>
      </c>
      <c r="I50" s="441">
        <v>2</v>
      </c>
      <c r="J50" s="375">
        <f t="shared" si="0"/>
        <v>2</v>
      </c>
      <c r="K50" s="363">
        <f t="shared" si="1"/>
        <v>0</v>
      </c>
      <c r="L50" s="363">
        <f t="shared" si="2"/>
        <v>3</v>
      </c>
      <c r="M50" s="352"/>
      <c r="N50" s="352"/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40"/>
      <c r="V50" s="40"/>
      <c r="W50" s="40"/>
      <c r="Y50" s="109">
        <f t="shared" si="8"/>
        <v>5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5</v>
      </c>
      <c r="AG50" s="108">
        <f t="shared" si="3"/>
        <v>0</v>
      </c>
      <c r="AH50" s="108">
        <f t="shared" si="4"/>
        <v>0</v>
      </c>
      <c r="AI50" s="108">
        <f t="shared" si="10"/>
        <v>0</v>
      </c>
      <c r="AJ50" s="108">
        <f t="shared" si="5"/>
        <v>0</v>
      </c>
      <c r="AK50" s="108">
        <f t="shared" si="6"/>
        <v>5</v>
      </c>
      <c r="AL50" s="108">
        <f t="shared" si="7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0</v>
      </c>
      <c r="H51" s="379" t="s">
        <v>9</v>
      </c>
      <c r="I51" s="442">
        <v>2</v>
      </c>
      <c r="J51" s="381">
        <f t="shared" si="0"/>
        <v>2</v>
      </c>
      <c r="K51" s="363">
        <f t="shared" si="1"/>
        <v>0</v>
      </c>
      <c r="L51" s="363">
        <f t="shared" si="2"/>
        <v>3</v>
      </c>
      <c r="M51" s="352"/>
      <c r="N51" s="352"/>
      <c r="O51" s="394" t="s">
        <v>37</v>
      </c>
      <c r="P51" s="395">
        <f>SUMIF($D$8:$D$55,$O51,$G$8:$G$55)+SUMIF($F$8:$F$55,$O51,$I$8:$I$55)</f>
        <v>7</v>
      </c>
      <c r="Q51" s="395">
        <f>SUMIF($D$8:$D$55,$O51,$I$8:$I$55)+SUMIF($F$8:$F$55,$O51,$G$8:$G$55)</f>
        <v>2</v>
      </c>
      <c r="R51" s="396">
        <f>P51-Q51</f>
        <v>5</v>
      </c>
      <c r="S51" s="397">
        <f>SUMIF($D$8:$D$55,$O51,$K$8:$K$55)+SUMIF($F$8:$F$55,$O51,$L$8:$L$55)</f>
        <v>9</v>
      </c>
      <c r="T51" s="444" t="s">
        <v>82</v>
      </c>
      <c r="U51" s="40"/>
      <c r="V51" s="40" t="str">
        <f>O51</f>
        <v>België</v>
      </c>
      <c r="W51" s="40" t="s">
        <v>82</v>
      </c>
      <c r="Y51" s="109">
        <f t="shared" si="8"/>
        <v>1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1</v>
      </c>
      <c r="AG51" s="108">
        <f t="shared" si="3"/>
        <v>1</v>
      </c>
      <c r="AH51" s="108">
        <f t="shared" si="4"/>
        <v>0</v>
      </c>
      <c r="AI51" s="108">
        <f t="shared" si="10"/>
        <v>0</v>
      </c>
      <c r="AJ51" s="108">
        <f t="shared" si="5"/>
        <v>0</v>
      </c>
      <c r="AK51" s="108">
        <f t="shared" si="6"/>
        <v>0</v>
      </c>
      <c r="AL51" s="108">
        <f t="shared" si="7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1</v>
      </c>
      <c r="H52" s="373" t="s">
        <v>9</v>
      </c>
      <c r="I52" s="441">
        <v>3</v>
      </c>
      <c r="J52" s="369">
        <f t="shared" si="0"/>
        <v>2</v>
      </c>
      <c r="K52" s="363">
        <f t="shared" si="1"/>
        <v>0</v>
      </c>
      <c r="L52" s="363">
        <f t="shared" si="2"/>
        <v>3</v>
      </c>
      <c r="M52" s="352"/>
      <c r="N52" s="352"/>
      <c r="O52" s="398" t="s">
        <v>38</v>
      </c>
      <c r="P52" s="399">
        <f>SUMIF($D$8:$D$55,$O52,$G$8:$G$55)+SUMIF($F$8:$F$55,$O52,$I$8:$I$55)</f>
        <v>2</v>
      </c>
      <c r="Q52" s="399">
        <f>SUMIF($D$8:$D$55,$O52,$I$8:$I$55)+SUMIF($F$8:$F$55,$O52,$G$8:$G$55)</f>
        <v>5</v>
      </c>
      <c r="R52" s="399">
        <f>P52-Q52</f>
        <v>-3</v>
      </c>
      <c r="S52" s="400">
        <f>SUMIF($D$8:$D$55,$O52,$K$8:$K$55)+SUMIF($F$8:$F$55,$O52,$L$8:$L$55)</f>
        <v>1</v>
      </c>
      <c r="T52" s="445" t="s">
        <v>85</v>
      </c>
      <c r="U52" s="40"/>
      <c r="V52" s="40" t="str">
        <f>O52</f>
        <v>Algerije</v>
      </c>
      <c r="W52" s="40" t="s">
        <v>83</v>
      </c>
      <c r="Y52" s="109">
        <f t="shared" si="8"/>
        <v>5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5</v>
      </c>
      <c r="AG52" s="108">
        <f t="shared" si="3"/>
        <v>0</v>
      </c>
      <c r="AH52" s="108">
        <f t="shared" si="4"/>
        <v>0</v>
      </c>
      <c r="AI52" s="108">
        <f t="shared" si="10"/>
        <v>0</v>
      </c>
      <c r="AJ52" s="108">
        <f t="shared" si="5"/>
        <v>0</v>
      </c>
      <c r="AK52" s="108">
        <f t="shared" si="6"/>
        <v>5</v>
      </c>
      <c r="AL52" s="108">
        <f t="shared" si="7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2</v>
      </c>
      <c r="H53" s="373" t="s">
        <v>9</v>
      </c>
      <c r="I53" s="441">
        <v>1</v>
      </c>
      <c r="J53" s="375">
        <f t="shared" si="0"/>
        <v>1</v>
      </c>
      <c r="K53" s="363">
        <f t="shared" si="1"/>
        <v>3</v>
      </c>
      <c r="L53" s="363">
        <f t="shared" si="2"/>
        <v>0</v>
      </c>
      <c r="M53" s="352"/>
      <c r="N53" s="352"/>
      <c r="O53" s="398" t="s">
        <v>39</v>
      </c>
      <c r="P53" s="399">
        <f>SUMIF($D$8:$D$55,$O53,$G$8:$G$55)+SUMIF($F$8:$F$55,$O53,$I$8:$I$55)</f>
        <v>3</v>
      </c>
      <c r="Q53" s="399">
        <f>SUMIF($D$8:$D$55,$O53,$I$8:$I$55)+SUMIF($F$8:$F$55,$O53,$G$8:$G$55)</f>
        <v>4</v>
      </c>
      <c r="R53" s="399">
        <f>P53-Q53</f>
        <v>-1</v>
      </c>
      <c r="S53" s="400">
        <f>SUMIF($D$8:$D$55,$O53,$K$8:$K$55)+SUMIF($F$8:$F$55,$O53,$L$8:$L$55)</f>
        <v>4</v>
      </c>
      <c r="T53" s="445" t="s">
        <v>83</v>
      </c>
      <c r="U53" s="40"/>
      <c r="V53" s="40" t="str">
        <f>O53</f>
        <v>Rusland</v>
      </c>
      <c r="W53" s="40" t="s">
        <v>84</v>
      </c>
      <c r="Y53" s="109">
        <f t="shared" si="8"/>
        <v>10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10</v>
      </c>
      <c r="AG53" s="108">
        <f t="shared" si="3"/>
        <v>1</v>
      </c>
      <c r="AH53" s="108">
        <f t="shared" si="4"/>
        <v>1</v>
      </c>
      <c r="AI53" s="108">
        <f t="shared" si="10"/>
        <v>10</v>
      </c>
      <c r="AJ53" s="108">
        <f t="shared" si="5"/>
        <v>5</v>
      </c>
      <c r="AK53" s="108">
        <f t="shared" si="6"/>
        <v>0</v>
      </c>
      <c r="AL53" s="108">
        <f t="shared" si="7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1</v>
      </c>
      <c r="H54" s="373" t="s">
        <v>9</v>
      </c>
      <c r="I54" s="441">
        <v>2</v>
      </c>
      <c r="J54" s="375">
        <f t="shared" si="0"/>
        <v>2</v>
      </c>
      <c r="K54" s="363">
        <f t="shared" si="1"/>
        <v>0</v>
      </c>
      <c r="L54" s="363">
        <f t="shared" si="2"/>
        <v>3</v>
      </c>
      <c r="M54" s="352"/>
      <c r="N54" s="352"/>
      <c r="O54" s="401" t="s">
        <v>40</v>
      </c>
      <c r="P54" s="402">
        <f>SUMIF($D$8:$D$55,$O54,$G$8:$G$55)+SUMIF($F$8:$F$55,$O54,$I$8:$I$55)</f>
        <v>3</v>
      </c>
      <c r="Q54" s="402">
        <f>SUMIF($D$8:$D$55,$O54,$I$8:$I$55)+SUMIF($F$8:$F$55,$O54,$G$8:$G$55)</f>
        <v>4</v>
      </c>
      <c r="R54" s="402">
        <f>P54-Q54</f>
        <v>-1</v>
      </c>
      <c r="S54" s="403">
        <f>SUMIF($D$8:$D$55,$O54,$K$8:$K$55)+SUMIF($F$8:$F$55,$O54,$L$8:$L$55)</f>
        <v>3</v>
      </c>
      <c r="T54" s="446" t="s">
        <v>84</v>
      </c>
      <c r="U54" s="40"/>
      <c r="V54" s="40" t="str">
        <f>O54</f>
        <v>Zuid Korea</v>
      </c>
      <c r="W54" s="40" t="s">
        <v>85</v>
      </c>
      <c r="Y54" s="109">
        <f t="shared" si="8"/>
        <v>5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5</v>
      </c>
      <c r="AG54" s="108">
        <f t="shared" si="3"/>
        <v>0</v>
      </c>
      <c r="AH54" s="108">
        <f t="shared" si="4"/>
        <v>0</v>
      </c>
      <c r="AI54" s="108">
        <f t="shared" si="10"/>
        <v>0</v>
      </c>
      <c r="AJ54" s="108">
        <f t="shared" si="5"/>
        <v>0</v>
      </c>
      <c r="AK54" s="108">
        <f t="shared" si="6"/>
        <v>5</v>
      </c>
      <c r="AL54" s="108">
        <f t="shared" si="7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1</v>
      </c>
      <c r="H55" s="388" t="s">
        <v>9</v>
      </c>
      <c r="I55" s="443">
        <v>1</v>
      </c>
      <c r="J55" s="390">
        <f t="shared" si="0"/>
        <v>3</v>
      </c>
      <c r="K55" s="363">
        <f t="shared" si="1"/>
        <v>1</v>
      </c>
      <c r="L55" s="363">
        <f t="shared" si="2"/>
        <v>1</v>
      </c>
      <c r="M55" s="352"/>
      <c r="N55" s="352"/>
      <c r="O55" s="392"/>
      <c r="P55" s="393"/>
      <c r="Q55" s="393"/>
      <c r="R55" s="393"/>
      <c r="S55" s="393"/>
      <c r="T55" s="393"/>
      <c r="U55" s="40"/>
      <c r="V55" s="40"/>
      <c r="W55" s="40"/>
      <c r="Y55" s="109">
        <f t="shared" si="8"/>
        <v>10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10</v>
      </c>
      <c r="AG55" s="108">
        <f t="shared" si="3"/>
        <v>1</v>
      </c>
      <c r="AH55" s="108">
        <f t="shared" si="4"/>
        <v>1</v>
      </c>
      <c r="AI55" s="108">
        <f t="shared" si="10"/>
        <v>10</v>
      </c>
      <c r="AJ55" s="108">
        <f t="shared" si="5"/>
        <v>0</v>
      </c>
      <c r="AK55" s="108">
        <f t="shared" si="6"/>
        <v>0</v>
      </c>
      <c r="AL55" s="108">
        <f t="shared" si="7"/>
        <v>5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N56" s="352"/>
      <c r="O56" s="352"/>
      <c r="P56" s="352"/>
      <c r="Q56" s="352"/>
      <c r="R56" s="352"/>
      <c r="S56" s="352"/>
      <c r="T56" s="352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79"/>
      <c r="K57" s="353"/>
      <c r="L57" s="353"/>
      <c r="M57" s="353"/>
      <c r="N57" s="352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77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N58" s="352"/>
      <c r="O58" s="458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 t="shared" ref="D59:D66" si="13">IF(ISERROR(Z59),K59,Z59)</f>
        <v>Brazilië</v>
      </c>
      <c r="E59" s="367" t="s">
        <v>9</v>
      </c>
      <c r="F59" s="406" t="str">
        <f t="shared" ref="F59:F66" si="14">IF(ISERROR(AA59),L59,AA59)</f>
        <v>Nederland</v>
      </c>
      <c r="G59" s="435">
        <v>2</v>
      </c>
      <c r="H59" s="367" t="s">
        <v>9</v>
      </c>
      <c r="I59" s="447">
        <v>1</v>
      </c>
      <c r="J59" s="448">
        <v>1</v>
      </c>
      <c r="K59" s="407" t="s">
        <v>48</v>
      </c>
      <c r="L59" s="407" t="s">
        <v>53</v>
      </c>
      <c r="M59" s="407">
        <v>1</v>
      </c>
      <c r="N59" s="352"/>
      <c r="O59" s="458">
        <v>2</v>
      </c>
      <c r="P59" s="877" t="s">
        <v>219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5">AF59</f>
        <v>1</v>
      </c>
      <c r="Z59" t="str">
        <f t="shared" ref="Z59:AA65" si="16">IF(K59=""," ",VLOOKUP(K59,$T$9:$V$54,3,FALSE))</f>
        <v>Brazilië</v>
      </c>
      <c r="AA59" t="str">
        <f t="shared" si="16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7">IF(OR(AC59="",AD59=""),0,(IF(SUM(AG59:AL59)&gt;10,10,SUM(AG59:AL59))))</f>
        <v>1</v>
      </c>
      <c r="AG59" s="108">
        <f t="shared" ref="AG59:AG66" si="18">IF(AC59="",0,(IF(G59=AC59,1,0)))</f>
        <v>0</v>
      </c>
      <c r="AH59" s="108">
        <f t="shared" ref="AH59:AH66" si="19">IF(AD59="",0,(IF(I59=AD59,1,0)))</f>
        <v>1</v>
      </c>
      <c r="AI59" s="108">
        <f t="shared" ref="AI59:AI66" si="20">IF(AND(AG59=1,AH59=1),10,0)</f>
        <v>0</v>
      </c>
      <c r="AJ59" s="108">
        <f t="shared" ref="AJ59:AJ66" si="21">IF(AND(G59&gt;I59,AC59&gt;AD59),5,0)</f>
        <v>0</v>
      </c>
      <c r="AK59" s="108">
        <f t="shared" ref="AK59:AK66" si="22">IF(AND(G59&lt;I59,AC59&lt;AD59),5,0)</f>
        <v>0</v>
      </c>
      <c r="AL59" s="108">
        <f t="shared" ref="AL59:AL66" si="23">IF(AND(G59=I59,AC59=AD59),5,0)</f>
        <v>0</v>
      </c>
      <c r="AZ59" s="138" t="str">
        <f>Uitslag!P59</f>
        <v>Daryl Janmaat (v)</v>
      </c>
      <c r="BA59" s="140">
        <f t="shared" si="12"/>
        <v>0</v>
      </c>
      <c r="BB59" s="139">
        <f t="shared" ref="BB59:BB68" si="24">BA59</f>
        <v>0</v>
      </c>
    </row>
    <row r="60" spans="2:54">
      <c r="B60" s="376">
        <v>50</v>
      </c>
      <c r="C60" s="466">
        <v>41818</v>
      </c>
      <c r="D60" s="460" t="str">
        <f t="shared" si="13"/>
        <v>Ivoorkust</v>
      </c>
      <c r="E60" s="379" t="s">
        <v>9</v>
      </c>
      <c r="F60" s="409" t="str">
        <f t="shared" si="14"/>
        <v>Uruguay</v>
      </c>
      <c r="G60" s="437">
        <v>2</v>
      </c>
      <c r="H60" s="379" t="s">
        <v>9</v>
      </c>
      <c r="I60" s="449">
        <v>2</v>
      </c>
      <c r="J60" s="450">
        <v>2</v>
      </c>
      <c r="K60" s="407" t="s">
        <v>57</v>
      </c>
      <c r="L60" s="407" t="s">
        <v>63</v>
      </c>
      <c r="M60" s="407">
        <v>2</v>
      </c>
      <c r="N60" s="352"/>
      <c r="O60" s="458">
        <v>3</v>
      </c>
      <c r="P60" s="877" t="s">
        <v>212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5"/>
        <v>1</v>
      </c>
      <c r="Z60" t="str">
        <f t="shared" si="16"/>
        <v>Ivoorkust</v>
      </c>
      <c r="AA60" t="str">
        <f t="shared" si="16"/>
        <v>Uruguay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7"/>
        <v>1</v>
      </c>
      <c r="AG60" s="108">
        <f t="shared" si="18"/>
        <v>1</v>
      </c>
      <c r="AH60" s="108">
        <f t="shared" si="19"/>
        <v>0</v>
      </c>
      <c r="AI60" s="108">
        <f t="shared" si="20"/>
        <v>0</v>
      </c>
      <c r="AJ60" s="108">
        <f t="shared" si="21"/>
        <v>0</v>
      </c>
      <c r="AK60" s="108">
        <f t="shared" si="22"/>
        <v>0</v>
      </c>
      <c r="AL60" s="108">
        <f t="shared" si="23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4"/>
        <v>3</v>
      </c>
    </row>
    <row r="61" spans="2:54">
      <c r="B61" s="364">
        <v>51</v>
      </c>
      <c r="C61" s="465">
        <v>41819</v>
      </c>
      <c r="D61" s="464" t="str">
        <f t="shared" si="13"/>
        <v>Spanje</v>
      </c>
      <c r="E61" s="367" t="s">
        <v>9</v>
      </c>
      <c r="F61" s="406" t="str">
        <f t="shared" si="14"/>
        <v>Mexico</v>
      </c>
      <c r="G61" s="435">
        <v>2</v>
      </c>
      <c r="H61" s="367" t="s">
        <v>9</v>
      </c>
      <c r="I61" s="447">
        <v>0</v>
      </c>
      <c r="J61" s="448">
        <v>1</v>
      </c>
      <c r="K61" s="407" t="s">
        <v>52</v>
      </c>
      <c r="L61" s="407" t="s">
        <v>49</v>
      </c>
      <c r="M61" s="407"/>
      <c r="N61" s="352"/>
      <c r="O61" s="458">
        <v>4</v>
      </c>
      <c r="P61" s="877" t="s">
        <v>211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5"/>
        <v>6</v>
      </c>
      <c r="Z61" t="str">
        <f t="shared" si="16"/>
        <v>Spanje</v>
      </c>
      <c r="AA61" t="str">
        <f t="shared" si="16"/>
        <v>Mexico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7"/>
        <v>6</v>
      </c>
      <c r="AG61" s="108">
        <f t="shared" si="18"/>
        <v>1</v>
      </c>
      <c r="AH61" s="108">
        <f t="shared" si="19"/>
        <v>0</v>
      </c>
      <c r="AI61" s="108">
        <f t="shared" si="20"/>
        <v>0</v>
      </c>
      <c r="AJ61" s="108">
        <f t="shared" si="21"/>
        <v>5</v>
      </c>
      <c r="AK61" s="108">
        <f t="shared" si="22"/>
        <v>0</v>
      </c>
      <c r="AL61" s="108">
        <f t="shared" si="23"/>
        <v>0</v>
      </c>
      <c r="AZ61" s="138" t="str">
        <f>Uitslag!P61</f>
        <v>Ron Vlaar (v)</v>
      </c>
      <c r="BA61" s="140">
        <f t="shared" si="12"/>
        <v>3</v>
      </c>
      <c r="BB61" s="139">
        <f t="shared" si="24"/>
        <v>3</v>
      </c>
    </row>
    <row r="62" spans="2:54">
      <c r="B62" s="376">
        <v>52</v>
      </c>
      <c r="C62" s="466">
        <v>41819</v>
      </c>
      <c r="D62" s="464" t="str">
        <f t="shared" si="13"/>
        <v>Italië</v>
      </c>
      <c r="E62" s="379" t="s">
        <v>9</v>
      </c>
      <c r="F62" s="409" t="str">
        <f t="shared" si="14"/>
        <v>Japan</v>
      </c>
      <c r="G62" s="437">
        <v>1</v>
      </c>
      <c r="H62" s="379" t="s">
        <v>9</v>
      </c>
      <c r="I62" s="449">
        <v>0</v>
      </c>
      <c r="J62" s="450">
        <v>1</v>
      </c>
      <c r="K62" s="407" t="s">
        <v>62</v>
      </c>
      <c r="L62" s="407" t="s">
        <v>58</v>
      </c>
      <c r="M62" s="407"/>
      <c r="N62" s="352"/>
      <c r="O62" s="458">
        <v>5</v>
      </c>
      <c r="P62" s="877" t="s">
        <v>225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5"/>
        <v>1</v>
      </c>
      <c r="Z62" t="str">
        <f t="shared" si="16"/>
        <v>Italië</v>
      </c>
      <c r="AA62" t="str">
        <f t="shared" si="16"/>
        <v>Japan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7"/>
        <v>1</v>
      </c>
      <c r="AG62" s="108">
        <f t="shared" si="18"/>
        <v>1</v>
      </c>
      <c r="AH62" s="108">
        <f t="shared" si="19"/>
        <v>0</v>
      </c>
      <c r="AI62" s="108">
        <f t="shared" si="20"/>
        <v>0</v>
      </c>
      <c r="AJ62" s="108">
        <f t="shared" si="21"/>
        <v>0</v>
      </c>
      <c r="AK62" s="108">
        <f t="shared" si="22"/>
        <v>0</v>
      </c>
      <c r="AL62" s="108">
        <f t="shared" si="23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4"/>
        <v>3</v>
      </c>
    </row>
    <row r="63" spans="2:54">
      <c r="B63" s="364">
        <v>53</v>
      </c>
      <c r="C63" s="465">
        <v>41820</v>
      </c>
      <c r="D63" s="459" t="str">
        <f t="shared" si="13"/>
        <v>Frankrijk</v>
      </c>
      <c r="E63" s="367" t="s">
        <v>9</v>
      </c>
      <c r="F63" s="406" t="str">
        <f t="shared" si="14"/>
        <v>Nigeria</v>
      </c>
      <c r="G63" s="435">
        <v>3</v>
      </c>
      <c r="H63" s="367" t="s">
        <v>9</v>
      </c>
      <c r="I63" s="447">
        <v>1</v>
      </c>
      <c r="J63" s="448">
        <v>1</v>
      </c>
      <c r="K63" s="407" t="s">
        <v>67</v>
      </c>
      <c r="L63" s="407" t="s">
        <v>73</v>
      </c>
      <c r="M63" s="407"/>
      <c r="N63" s="352"/>
      <c r="O63" s="458">
        <v>6</v>
      </c>
      <c r="P63" s="877" t="s">
        <v>220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5"/>
        <v>5</v>
      </c>
      <c r="Z63" t="str">
        <f t="shared" si="16"/>
        <v>Frankrijk</v>
      </c>
      <c r="AA63" t="str">
        <f t="shared" si="16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7"/>
        <v>5</v>
      </c>
      <c r="AG63" s="108">
        <f t="shared" si="18"/>
        <v>0</v>
      </c>
      <c r="AH63" s="108">
        <f t="shared" si="19"/>
        <v>0</v>
      </c>
      <c r="AI63" s="108">
        <f t="shared" si="20"/>
        <v>0</v>
      </c>
      <c r="AJ63" s="108">
        <f t="shared" si="21"/>
        <v>5</v>
      </c>
      <c r="AK63" s="108">
        <f t="shared" si="22"/>
        <v>0</v>
      </c>
      <c r="AL63" s="108">
        <f t="shared" si="23"/>
        <v>0</v>
      </c>
      <c r="AZ63" s="138" t="str">
        <f>Uitslag!P63</f>
        <v>Daley Blind (v)</v>
      </c>
      <c r="BA63" s="140">
        <f t="shared" si="12"/>
        <v>3</v>
      </c>
      <c r="BB63" s="139">
        <f t="shared" si="24"/>
        <v>3</v>
      </c>
    </row>
    <row r="64" spans="2:54">
      <c r="B64" s="376">
        <v>54</v>
      </c>
      <c r="C64" s="466">
        <v>41820</v>
      </c>
      <c r="D64" s="460" t="str">
        <f t="shared" si="13"/>
        <v>Portugal</v>
      </c>
      <c r="E64" s="379" t="s">
        <v>9</v>
      </c>
      <c r="F64" s="409" t="str">
        <f t="shared" si="14"/>
        <v>Rusland</v>
      </c>
      <c r="G64" s="437">
        <v>2</v>
      </c>
      <c r="H64" s="379" t="s">
        <v>9</v>
      </c>
      <c r="I64" s="449">
        <v>1</v>
      </c>
      <c r="J64" s="450">
        <v>1</v>
      </c>
      <c r="K64" s="407" t="s">
        <v>77</v>
      </c>
      <c r="L64" s="407" t="s">
        <v>83</v>
      </c>
      <c r="M64" s="407"/>
      <c r="N64" s="352"/>
      <c r="O64" s="458">
        <v>7</v>
      </c>
      <c r="P64" s="877" t="s">
        <v>221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5"/>
        <v>0</v>
      </c>
      <c r="Z64" t="str">
        <f t="shared" si="16"/>
        <v>Portugal</v>
      </c>
      <c r="AA64" t="str">
        <f t="shared" si="16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7"/>
        <v>0</v>
      </c>
      <c r="AG64" s="108">
        <f t="shared" si="18"/>
        <v>0</v>
      </c>
      <c r="AH64" s="108">
        <f t="shared" si="19"/>
        <v>0</v>
      </c>
      <c r="AI64" s="108">
        <f t="shared" si="20"/>
        <v>0</v>
      </c>
      <c r="AJ64" s="108">
        <f t="shared" si="21"/>
        <v>0</v>
      </c>
      <c r="AK64" s="108">
        <f t="shared" si="22"/>
        <v>0</v>
      </c>
      <c r="AL64" s="108">
        <f t="shared" si="23"/>
        <v>0</v>
      </c>
      <c r="AZ64" s="138" t="str">
        <f>Uitslag!P64</f>
        <v>Wesley Sneijder (m)</v>
      </c>
      <c r="BA64" s="140">
        <f t="shared" si="12"/>
        <v>0</v>
      </c>
      <c r="BB64" s="139">
        <f t="shared" si="24"/>
        <v>0</v>
      </c>
    </row>
    <row r="65" spans="2:54">
      <c r="B65" s="370">
        <v>55</v>
      </c>
      <c r="C65" s="467">
        <v>41821</v>
      </c>
      <c r="D65" s="459" t="str">
        <f t="shared" si="13"/>
        <v>Argentinië</v>
      </c>
      <c r="E65" s="373" t="s">
        <v>9</v>
      </c>
      <c r="F65" s="410" t="str">
        <f t="shared" si="14"/>
        <v>Zwitserland</v>
      </c>
      <c r="G65" s="436">
        <v>3</v>
      </c>
      <c r="H65" s="373" t="s">
        <v>9</v>
      </c>
      <c r="I65" s="451">
        <v>0</v>
      </c>
      <c r="J65" s="452">
        <v>1</v>
      </c>
      <c r="K65" s="407" t="s">
        <v>72</v>
      </c>
      <c r="L65" s="407" t="s">
        <v>68</v>
      </c>
      <c r="M65" s="407"/>
      <c r="N65" s="352"/>
      <c r="O65" s="458">
        <v>8</v>
      </c>
      <c r="P65" s="877" t="s">
        <v>214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5"/>
        <v>1</v>
      </c>
      <c r="Z65" t="str">
        <f t="shared" si="16"/>
        <v>Argentinië</v>
      </c>
      <c r="AA65" t="str">
        <f t="shared" si="16"/>
        <v>Zwitserland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7"/>
        <v>1</v>
      </c>
      <c r="AG65" s="108">
        <f t="shared" si="18"/>
        <v>0</v>
      </c>
      <c r="AH65" s="108">
        <f t="shared" si="19"/>
        <v>1</v>
      </c>
      <c r="AI65" s="108">
        <f t="shared" si="20"/>
        <v>0</v>
      </c>
      <c r="AJ65" s="108">
        <f t="shared" si="21"/>
        <v>0</v>
      </c>
      <c r="AK65" s="108">
        <f t="shared" si="22"/>
        <v>0</v>
      </c>
      <c r="AL65" s="108">
        <f t="shared" si="23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4"/>
        <v>3</v>
      </c>
    </row>
    <row r="66" spans="2:54" ht="15.75" thickBot="1">
      <c r="B66" s="385">
        <v>56</v>
      </c>
      <c r="C66" s="462">
        <v>41821</v>
      </c>
      <c r="D66" s="461" t="str">
        <f t="shared" si="13"/>
        <v>België</v>
      </c>
      <c r="E66" s="388" t="s">
        <v>9</v>
      </c>
      <c r="F66" s="412" t="str">
        <f t="shared" si="14"/>
        <v>Duitsland</v>
      </c>
      <c r="G66" s="438">
        <v>2</v>
      </c>
      <c r="H66" s="388" t="s">
        <v>9</v>
      </c>
      <c r="I66" s="453">
        <v>3</v>
      </c>
      <c r="J66" s="454">
        <v>2</v>
      </c>
      <c r="K66" s="407" t="s">
        <v>82</v>
      </c>
      <c r="L66" s="407" t="s">
        <v>78</v>
      </c>
      <c r="M66" s="407"/>
      <c r="N66" s="352"/>
      <c r="O66" s="458">
        <v>9</v>
      </c>
      <c r="P66" s="877" t="s">
        <v>216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5"/>
        <v>0</v>
      </c>
      <c r="Z66" t="str">
        <f>IF(K66=""," ",VLOOKUP(K66,$T$9:$V$54,3,FALSE))</f>
        <v>België</v>
      </c>
      <c r="AA66" t="str">
        <f>IF(L66=""," ",VLOOKUP(L66,$T$9:$V$54,3,FALSE))</f>
        <v>Duitsland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7"/>
        <v>0</v>
      </c>
      <c r="AG66" s="108">
        <f t="shared" si="18"/>
        <v>0</v>
      </c>
      <c r="AH66" s="108">
        <f t="shared" si="19"/>
        <v>0</v>
      </c>
      <c r="AI66" s="108">
        <f t="shared" si="20"/>
        <v>0</v>
      </c>
      <c r="AJ66" s="108">
        <f t="shared" si="21"/>
        <v>0</v>
      </c>
      <c r="AK66" s="108">
        <f t="shared" si="22"/>
        <v>0</v>
      </c>
      <c r="AL66" s="108">
        <f t="shared" si="23"/>
        <v>0</v>
      </c>
      <c r="AZ66" s="138" t="str">
        <f>Uitslag!P66</f>
        <v>Jonathan de Guzman (m)</v>
      </c>
      <c r="BA66" s="140">
        <f t="shared" si="12"/>
        <v>3</v>
      </c>
      <c r="BB66" s="139">
        <f t="shared" si="24"/>
        <v>3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N67" s="352"/>
      <c r="O67" s="458">
        <v>10</v>
      </c>
      <c r="P67" s="877" t="s">
        <v>215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4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79"/>
      <c r="K68" s="353"/>
      <c r="L68" s="353"/>
      <c r="M68" s="353"/>
      <c r="N68" s="352"/>
      <c r="O68" s="458">
        <v>11</v>
      </c>
      <c r="P68" s="877" t="s">
        <v>235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0</v>
      </c>
      <c r="BB68" s="139">
        <f t="shared" si="24"/>
        <v>0</v>
      </c>
    </row>
    <row r="69" spans="2:54">
      <c r="B69" s="428" t="s">
        <v>1</v>
      </c>
      <c r="C69" s="429" t="s">
        <v>2</v>
      </c>
      <c r="D69" s="476" t="s">
        <v>3</v>
      </c>
      <c r="E69" s="431"/>
      <c r="F69" s="477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N69" s="352"/>
      <c r="O69" s="352"/>
      <c r="P69" s="352"/>
      <c r="Q69" s="352"/>
      <c r="R69" s="352"/>
      <c r="S69" s="352"/>
      <c r="T69" s="352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24</v>
      </c>
      <c r="BB69" s="139" t="str">
        <f>IF(AND(BA69&lt;&gt;"",BA69=33),15,"nvt")</f>
        <v>nvt</v>
      </c>
    </row>
    <row r="70" spans="2:54">
      <c r="B70" s="364">
        <v>57</v>
      </c>
      <c r="C70" s="365">
        <v>41824</v>
      </c>
      <c r="D70" s="405" t="str">
        <f>IF(J63="","Winnaar 53",IF(J63=1,D63,F63))</f>
        <v>Frankrijk</v>
      </c>
      <c r="E70" s="367" t="s">
        <v>9</v>
      </c>
      <c r="F70" s="406" t="str">
        <f>IF(J64="","Winnaar 54",IF(J64=1,D64,F64))</f>
        <v>Portugal</v>
      </c>
      <c r="G70" s="435">
        <v>4</v>
      </c>
      <c r="H70" s="367" t="s">
        <v>9</v>
      </c>
      <c r="I70" s="447">
        <v>2</v>
      </c>
      <c r="J70" s="448">
        <v>1</v>
      </c>
      <c r="K70" s="353"/>
      <c r="L70" s="353"/>
      <c r="M70" s="353"/>
      <c r="N70" s="352"/>
      <c r="O70" s="352"/>
      <c r="P70" s="352"/>
      <c r="Q70" s="352"/>
      <c r="R70" s="352"/>
      <c r="S70" s="352"/>
      <c r="T70" s="352"/>
      <c r="V70" t="s">
        <v>133</v>
      </c>
      <c r="W70" t="s">
        <v>126</v>
      </c>
      <c r="X70" t="str">
        <f t="shared" si="11"/>
        <v>Karim Rekik (v)</v>
      </c>
      <c r="Y70" s="109">
        <f>AF70</f>
        <v>0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0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0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Brazilië</v>
      </c>
      <c r="E71" s="379" t="s">
        <v>9</v>
      </c>
      <c r="F71" s="409" t="str">
        <f>IF(J60="","Winnaar 50",IF(J60=1,D60,F60))</f>
        <v>Uruguay</v>
      </c>
      <c r="G71" s="437">
        <v>3</v>
      </c>
      <c r="H71" s="379" t="s">
        <v>9</v>
      </c>
      <c r="I71" s="449">
        <v>2</v>
      </c>
      <c r="J71" s="450">
        <v>1</v>
      </c>
      <c r="K71" s="353"/>
      <c r="L71" s="353"/>
      <c r="M71" s="353"/>
      <c r="N71" s="352"/>
      <c r="O71" s="352"/>
      <c r="P71" s="352"/>
      <c r="Q71" s="352"/>
      <c r="R71" s="352"/>
      <c r="S71" s="352"/>
      <c r="T71" s="352"/>
      <c r="V71" t="s">
        <v>133</v>
      </c>
      <c r="W71" t="s">
        <v>194</v>
      </c>
      <c r="X71" t="str">
        <f t="shared" si="11"/>
        <v>Ron Vlaar (v)</v>
      </c>
      <c r="Y71" s="109">
        <f>AF71</f>
        <v>5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5</v>
      </c>
      <c r="AG71" s="108">
        <f>IF(AC71="",0,(IF(G71=AC71,1,0)))</f>
        <v>0</v>
      </c>
      <c r="AH71" s="108">
        <f>IF(AD71="",0,(IF(I71=AD71,1,0)))</f>
        <v>0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Argentinië</v>
      </c>
      <c r="E72" s="367" t="s">
        <v>9</v>
      </c>
      <c r="F72" s="406" t="str">
        <f>IF(J66="","Winnaar 56",IF(J66=1,D66,F66))</f>
        <v>Duitsland</v>
      </c>
      <c r="G72" s="435">
        <v>3</v>
      </c>
      <c r="H72" s="367" t="s">
        <v>9</v>
      </c>
      <c r="I72" s="447">
        <v>1</v>
      </c>
      <c r="J72" s="448">
        <v>1</v>
      </c>
      <c r="K72" s="353"/>
      <c r="L72" s="353"/>
      <c r="M72" s="353"/>
      <c r="N72" s="352"/>
      <c r="O72" s="352"/>
      <c r="P72" s="352"/>
      <c r="Q72" s="352"/>
      <c r="R72" s="352"/>
      <c r="S72" s="352"/>
      <c r="T72" s="352"/>
      <c r="V72" t="s">
        <v>133</v>
      </c>
      <c r="W72" t="s">
        <v>195</v>
      </c>
      <c r="X72" t="str">
        <f t="shared" si="11"/>
        <v>John Heitinga (v)</v>
      </c>
      <c r="Y72" s="109">
        <f>AF72</f>
        <v>5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5</v>
      </c>
      <c r="AG72" s="108">
        <f>IF(AC72="",0,(IF(G72=AC72,1,0)))</f>
        <v>0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5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Spanje</v>
      </c>
      <c r="E73" s="388" t="s">
        <v>9</v>
      </c>
      <c r="F73" s="412" t="str">
        <f>IF(J62="","Winnaar 52",IF(J62=1,D62,F62))</f>
        <v>Italië</v>
      </c>
      <c r="G73" s="438">
        <v>2</v>
      </c>
      <c r="H73" s="388" t="s">
        <v>9</v>
      </c>
      <c r="I73" s="453">
        <v>0</v>
      </c>
      <c r="J73" s="454">
        <v>1</v>
      </c>
      <c r="K73" s="353"/>
      <c r="L73" s="353"/>
      <c r="M73" s="353"/>
      <c r="N73" s="352"/>
      <c r="O73" s="352"/>
      <c r="P73" s="352"/>
      <c r="Q73" s="352"/>
      <c r="R73" s="352"/>
      <c r="S73" s="352"/>
      <c r="T73" s="352"/>
      <c r="V73" t="s">
        <v>133</v>
      </c>
      <c r="W73" t="s">
        <v>196</v>
      </c>
      <c r="X73" t="str">
        <f t="shared" si="11"/>
        <v>Urby Emanuelson (v)</v>
      </c>
      <c r="Y73" s="109">
        <f>AF73</f>
        <v>1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1</v>
      </c>
      <c r="AG73" s="108">
        <f>IF(AC73="",0,(IF(G73=AC73,1,0)))</f>
        <v>0</v>
      </c>
      <c r="AH73" s="108">
        <f>IF(AD73="",0,(IF(I73=AD73,1,0)))</f>
        <v>1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N74" s="352"/>
      <c r="O74" s="352"/>
      <c r="P74" s="352"/>
      <c r="Q74" s="352"/>
      <c r="R74" s="352"/>
      <c r="S74" s="352"/>
      <c r="T74" s="352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79"/>
      <c r="K75" s="353"/>
      <c r="L75" s="353"/>
      <c r="M75" s="353"/>
      <c r="N75" s="352"/>
      <c r="O75" s="352"/>
      <c r="P75" s="352"/>
      <c r="Q75" s="352"/>
      <c r="R75" s="352"/>
      <c r="S75" s="352"/>
      <c r="T75" s="352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76" t="s">
        <v>3</v>
      </c>
      <c r="E76" s="431"/>
      <c r="F76" s="477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N76" s="352"/>
      <c r="O76" s="352"/>
      <c r="P76" s="352"/>
      <c r="Q76" s="352"/>
      <c r="R76" s="352"/>
      <c r="S76" s="352"/>
      <c r="T76" s="352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Frankrijk</v>
      </c>
      <c r="E77" s="367" t="s">
        <v>9</v>
      </c>
      <c r="F77" s="406" t="str">
        <f>IF(J71="","Winnaar 58",IF(J71=1,D71,F71))</f>
        <v>Brazilië</v>
      </c>
      <c r="G77" s="435">
        <v>2</v>
      </c>
      <c r="H77" s="367" t="s">
        <v>9</v>
      </c>
      <c r="I77" s="447">
        <v>4</v>
      </c>
      <c r="J77" s="448">
        <v>2</v>
      </c>
      <c r="K77" s="353"/>
      <c r="L77" s="353"/>
      <c r="M77" s="353"/>
      <c r="N77" s="352"/>
      <c r="O77" s="352"/>
      <c r="P77" s="352"/>
      <c r="Q77" s="352"/>
      <c r="R77" s="352"/>
      <c r="S77" s="352"/>
      <c r="T77" s="352"/>
      <c r="V77" t="s">
        <v>134</v>
      </c>
      <c r="W77" t="s">
        <v>203</v>
      </c>
      <c r="X77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Argentinië</v>
      </c>
      <c r="E78" s="388" t="s">
        <v>9</v>
      </c>
      <c r="F78" s="412" t="str">
        <f>IF(J73="","Winnaar 60",IF(J73=1,D73,F73))</f>
        <v>Spanje</v>
      </c>
      <c r="G78" s="438">
        <v>1</v>
      </c>
      <c r="H78" s="388" t="s">
        <v>9</v>
      </c>
      <c r="I78" s="453">
        <v>2</v>
      </c>
      <c r="J78" s="454">
        <v>2</v>
      </c>
      <c r="K78" s="353"/>
      <c r="L78" s="353"/>
      <c r="M78" s="353"/>
      <c r="N78" s="352"/>
      <c r="O78" s="352"/>
      <c r="P78" s="352"/>
      <c r="Q78" s="352"/>
      <c r="R78" s="352"/>
      <c r="S78" s="352"/>
      <c r="T78" s="352"/>
      <c r="V78" t="s">
        <v>134</v>
      </c>
      <c r="W78" t="s">
        <v>199</v>
      </c>
      <c r="X78" t="str">
        <f t="shared" si="11"/>
        <v>Leroy Fer (m)</v>
      </c>
      <c r="Y78" s="109">
        <f>AF78</f>
        <v>0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0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N79" s="352"/>
      <c r="O79" s="352"/>
      <c r="P79" s="352"/>
      <c r="Q79" s="352"/>
      <c r="R79" s="352"/>
      <c r="S79" s="352"/>
      <c r="T79" s="352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79"/>
      <c r="K80" s="353"/>
      <c r="L80" s="353"/>
      <c r="M80" s="353"/>
      <c r="N80" s="352"/>
      <c r="O80" s="352"/>
      <c r="P80" s="352"/>
      <c r="Q80" s="352"/>
      <c r="R80" s="352"/>
      <c r="S80" s="352"/>
      <c r="T80" s="352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76" t="s">
        <v>3</v>
      </c>
      <c r="E81" s="431"/>
      <c r="F81" s="477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N81" s="352"/>
      <c r="O81" s="352"/>
      <c r="P81" s="352"/>
      <c r="Q81" s="352"/>
      <c r="R81" s="352"/>
      <c r="S81" s="352"/>
      <c r="T81" s="352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Frankrijk</v>
      </c>
      <c r="E82" s="355" t="s">
        <v>9</v>
      </c>
      <c r="F82" s="415" t="str">
        <f>IF(J78="","Verliezer 62",IF(J78=1,F78,D78))</f>
        <v>Argentinië</v>
      </c>
      <c r="G82" s="455">
        <v>1</v>
      </c>
      <c r="H82" s="355" t="s">
        <v>9</v>
      </c>
      <c r="I82" s="456">
        <v>3</v>
      </c>
      <c r="J82" s="457">
        <v>2</v>
      </c>
      <c r="K82" s="353"/>
      <c r="L82" s="353"/>
      <c r="M82" s="353"/>
      <c r="N82" s="352"/>
      <c r="O82" s="352"/>
      <c r="P82" s="352"/>
      <c r="Q82" s="352"/>
      <c r="R82" s="352"/>
      <c r="S82" s="352"/>
      <c r="T82" s="352"/>
      <c r="V82" t="s">
        <v>134</v>
      </c>
      <c r="W82" t="s">
        <v>125</v>
      </c>
      <c r="X82" t="str">
        <f t="shared" si="11"/>
        <v>Georginio Wijnaldum (m)</v>
      </c>
      <c r="Y82" s="109">
        <f>AF82</f>
        <v>6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6</v>
      </c>
      <c r="AG82" s="108">
        <f>IF(AC82="",0,(IF(G82=AC82,1,0)))</f>
        <v>0</v>
      </c>
      <c r="AH82" s="108">
        <f>IF(AD82="",0,(IF(I82=AD82,1,0)))</f>
        <v>1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5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N83" s="352"/>
      <c r="O83" s="352"/>
      <c r="P83" s="352"/>
      <c r="Q83" s="352"/>
      <c r="R83" s="352"/>
      <c r="S83" s="352"/>
      <c r="T83" s="352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79"/>
      <c r="K84" s="353"/>
      <c r="L84" s="353"/>
      <c r="M84" s="353"/>
      <c r="N84" s="352"/>
      <c r="O84" s="352"/>
      <c r="P84" s="352"/>
      <c r="Q84" s="352"/>
      <c r="R84" s="352"/>
      <c r="S84" s="352"/>
      <c r="T84" s="352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76" t="s">
        <v>3</v>
      </c>
      <c r="E85" s="431"/>
      <c r="F85" s="477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N85" s="352"/>
      <c r="O85" s="352"/>
      <c r="P85" s="352"/>
      <c r="Q85" s="352"/>
      <c r="R85" s="352"/>
      <c r="S85" s="352"/>
      <c r="T85" s="352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Brazilië</v>
      </c>
      <c r="E86" s="355" t="s">
        <v>9</v>
      </c>
      <c r="F86" s="415" t="str">
        <f>IF(J78="","Winnaar 62",IF(J78=1,D78,F78))</f>
        <v>Spanje</v>
      </c>
      <c r="G86" s="455">
        <v>2</v>
      </c>
      <c r="H86" s="355" t="s">
        <v>9</v>
      </c>
      <c r="I86" s="456">
        <v>2</v>
      </c>
      <c r="J86" s="457">
        <v>2</v>
      </c>
      <c r="K86" s="353"/>
      <c r="L86" s="353"/>
      <c r="M86" s="353"/>
      <c r="N86" s="352"/>
      <c r="O86" s="352"/>
      <c r="P86" s="352"/>
      <c r="Q86" s="352"/>
      <c r="R86" s="352"/>
      <c r="S86" s="352"/>
      <c r="T86" s="352"/>
      <c r="V86" t="s">
        <v>134</v>
      </c>
      <c r="W86" t="s">
        <v>139</v>
      </c>
      <c r="X86" t="str">
        <f t="shared" si="11"/>
        <v>Nigel de Jong (m)</v>
      </c>
      <c r="Y86" s="109">
        <f>AF86</f>
        <v>5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5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5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Spanje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0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0</v>
      </c>
      <c r="AV89">
        <f>IF(AR89=0,0,IF(E89=AR89,50,0))</f>
        <v>0</v>
      </c>
      <c r="AW89">
        <f>IF(E89=0,0,IF(OR(E89=AR90),15,0))</f>
        <v>0</v>
      </c>
      <c r="AX89">
        <f>IF(E89=0,0,IF(OR(E89=AR91,E89=AR92),5,0))</f>
        <v>0</v>
      </c>
    </row>
    <row r="90" spans="2:50">
      <c r="C90" s="870">
        <v>2</v>
      </c>
      <c r="D90" s="871"/>
      <c r="E90" s="872" t="str">
        <f>IF(J86=2,D86,IF(J86=1,F86,"Wie wordt 2de?"))</f>
        <v>Brazilië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5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5</v>
      </c>
      <c r="AV90">
        <f>IF(AR90=0,0,IF(AR90=E90,25,0))</f>
        <v>0</v>
      </c>
      <c r="AW90">
        <f>IF(E90=0,0,IF(OR(E90=AR89,),15,0))</f>
        <v>0</v>
      </c>
      <c r="AX90">
        <f>IF(E90=0,0,IF(OR(E90=AR91,E90=AR92),5,0))</f>
        <v>5</v>
      </c>
    </row>
    <row r="91" spans="2:50">
      <c r="C91" s="870">
        <v>3</v>
      </c>
      <c r="D91" s="871"/>
      <c r="E91" s="872" t="str">
        <f>IF(J82=1,D82,IF(J82=2,F82,"Wie wordt 3de?"))</f>
        <v>Argentinië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5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5</v>
      </c>
      <c r="AV91">
        <f>IF(AR91=0,0,IF(AR91=E91,15,0))</f>
        <v>0</v>
      </c>
      <c r="AW91">
        <f>IF(E91=0,0,IF(OR(E91=AR92),10,0))</f>
        <v>0</v>
      </c>
      <c r="AX91">
        <f>IF(E91=0,0,IF(OR(E91=AR89,E91=AR90),5,0))</f>
        <v>5</v>
      </c>
    </row>
    <row r="92" spans="2:50">
      <c r="C92" s="870">
        <v>4</v>
      </c>
      <c r="D92" s="871"/>
      <c r="E92" s="872" t="str">
        <f>IF(J82=2,D82,IF(J82=1,F82,"Wie wordt 4de?"))</f>
        <v>Frankrijk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0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0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10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conditionalFormatting sqref="AO9:AO12 AO15:AO18 AO21:AO24 AO27:AO30 AO33:AO36 AO39:AO42 AO45:AO48 AO51:AO54">
    <cfRule type="cellIs" dxfId="206" priority="3" operator="equal">
      <formula>10</formula>
    </cfRule>
  </conditionalFormatting>
  <conditionalFormatting sqref="P58:T58">
    <cfRule type="duplicateValues" dxfId="205" priority="2"/>
  </conditionalFormatting>
  <conditionalFormatting sqref="P58:T68">
    <cfRule type="duplicateValues" dxfId="204" priority="1"/>
  </conditionalFormatting>
  <dataValidations count="10">
    <dataValidation type="list" allowBlank="1" showInputMessage="1" showErrorMessage="1" sqref="P58:P68">
      <formula1>$X$58:$X$98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51:T54">
      <formula1>$W$51:$W$54</formula1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B1:BB98"/>
  <sheetViews>
    <sheetView topLeftCell="A40" zoomScale="70" zoomScaleNormal="70" workbookViewId="0">
      <selection activeCell="P58" sqref="P58:T68"/>
    </sheetView>
  </sheetViews>
  <sheetFormatPr defaultRowHeight="15" outlineLevelCol="2"/>
  <cols>
    <col min="1" max="1" width="3.42578125" customWidth="1"/>
    <col min="2" max="2" width="3.5703125" bestFit="1" customWidth="1"/>
    <col min="3" max="3" width="11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324</v>
      </c>
      <c r="E3" s="145"/>
      <c r="F3" s="145"/>
      <c r="N3" t="str">
        <f>D3</f>
        <v>Edwin de G. (introducee Yvonne J.)</v>
      </c>
      <c r="O3" s="144">
        <f>SUM(P3:S3)</f>
        <v>399</v>
      </c>
      <c r="P3" s="109">
        <f>SUM(Y8:Y86)</f>
        <v>197</v>
      </c>
      <c r="Q3" s="109">
        <f>SUM(AM4:AM55)</f>
        <v>160</v>
      </c>
      <c r="R3" s="109">
        <f>SUM(AP89:AP92)</f>
        <v>15</v>
      </c>
      <c r="S3" s="109">
        <f>SUM(BB58:BB69)</f>
        <v>27</v>
      </c>
      <c r="T3" s="109">
        <f>COUNTIF(AF8:AF86,10)</f>
        <v>7</v>
      </c>
      <c r="U3" s="109" t="str">
        <f>E89</f>
        <v>Spanje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1"/>
      <c r="L6" s="1"/>
      <c r="O6" s="40"/>
      <c r="P6" s="41"/>
      <c r="Q6" s="41"/>
      <c r="R6" s="41"/>
      <c r="S6" s="41"/>
      <c r="T6" s="41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66" t="s">
        <v>1</v>
      </c>
      <c r="C7" s="67" t="s">
        <v>2</v>
      </c>
      <c r="D7" s="202" t="s">
        <v>3</v>
      </c>
      <c r="E7" s="69"/>
      <c r="F7" s="203" t="s">
        <v>4</v>
      </c>
      <c r="G7" s="880" t="s">
        <v>5</v>
      </c>
      <c r="H7" s="881"/>
      <c r="I7" s="882"/>
      <c r="J7" s="71" t="s">
        <v>6</v>
      </c>
      <c r="K7" s="4" t="s">
        <v>7</v>
      </c>
      <c r="L7" s="4" t="s">
        <v>7</v>
      </c>
      <c r="O7" s="1"/>
      <c r="P7" s="41"/>
      <c r="Q7" s="41"/>
      <c r="R7" s="41"/>
      <c r="S7" s="41"/>
      <c r="T7" s="41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5">
        <v>1</v>
      </c>
      <c r="C8" s="6">
        <v>41802</v>
      </c>
      <c r="D8" s="7" t="s">
        <v>8</v>
      </c>
      <c r="E8" s="8" t="s">
        <v>9</v>
      </c>
      <c r="F8" s="9" t="s">
        <v>10</v>
      </c>
      <c r="G8" s="84">
        <v>3</v>
      </c>
      <c r="H8" s="8" t="s">
        <v>9</v>
      </c>
      <c r="I8" s="200">
        <v>0</v>
      </c>
      <c r="J8" s="10">
        <f>IF(I8="","",IF(G8&gt;I8,1,IF(G8&lt;I8,2,3)))</f>
        <v>1</v>
      </c>
      <c r="K8" s="11">
        <f>IF(I8="","",IF($G8&gt;$I8,3,IF($G8=$I8,1,0)))</f>
        <v>3</v>
      </c>
      <c r="L8" s="11">
        <f>IF(I8="","",IF($G8&lt;$I8,3,IF($G8=$I8,1,0)))</f>
        <v>0</v>
      </c>
      <c r="O8" s="72" t="s">
        <v>41</v>
      </c>
      <c r="P8" s="73" t="s">
        <v>42</v>
      </c>
      <c r="Q8" s="73" t="s">
        <v>43</v>
      </c>
      <c r="R8" s="74" t="s">
        <v>44</v>
      </c>
      <c r="S8" s="75" t="s">
        <v>45</v>
      </c>
      <c r="T8" s="76" t="s">
        <v>46</v>
      </c>
      <c r="U8" s="40"/>
      <c r="V8" s="40"/>
      <c r="W8" s="40"/>
      <c r="Y8" s="109">
        <f>AF8</f>
        <v>6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6</v>
      </c>
      <c r="AG8" s="108">
        <f t="shared" ref="AG8:AG55" si="0">IF(AC8="",0,(IF(G8=AC8,1,0)))</f>
        <v>1</v>
      </c>
      <c r="AH8" s="108">
        <f t="shared" ref="AH8:AH55" si="1">IF(AD8="",0,(IF(I8=AD8,1,0)))</f>
        <v>0</v>
      </c>
      <c r="AI8" s="108">
        <f>IF(AND(AG8=1,AH8=1),10,0)</f>
        <v>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12">
        <v>2</v>
      </c>
      <c r="C9" s="13">
        <v>41803</v>
      </c>
      <c r="D9" s="14" t="s">
        <v>11</v>
      </c>
      <c r="E9" s="15" t="s">
        <v>9</v>
      </c>
      <c r="F9" s="16" t="s">
        <v>12</v>
      </c>
      <c r="G9" s="85">
        <v>2</v>
      </c>
      <c r="H9" s="15" t="s">
        <v>9</v>
      </c>
      <c r="I9" s="90">
        <v>0</v>
      </c>
      <c r="J9" s="17">
        <f t="shared" ref="J9:J55" si="5">IF(I9="","",IF(G9&gt;I9,1,IF(G9&lt;I9,2,3)))</f>
        <v>1</v>
      </c>
      <c r="K9" s="11">
        <f t="shared" ref="K9:K55" si="6">IF(I9="","",IF($G9&gt;$I9,3,IF($G9=$I9,1,0)))</f>
        <v>3</v>
      </c>
      <c r="L9" s="11">
        <f t="shared" ref="L9:L55" si="7">IF(I9="","",IF($G9&lt;$I9,3,IF($G9=$I9,1,0)))</f>
        <v>0</v>
      </c>
      <c r="O9" s="44" t="s">
        <v>8</v>
      </c>
      <c r="P9" s="45">
        <f>SUMIF($D$8:$D$55,$O9,$G$8:$G$55)+SUMIF($F$8:$F$55,$O9,$I$8:$I$55)</f>
        <v>9</v>
      </c>
      <c r="Q9" s="45">
        <f>SUMIF($D$8:$D$55,$O9,$I$8:$I$55)+SUMIF($F$8:$F$55,$O9,$G$8:$G$55)</f>
        <v>0</v>
      </c>
      <c r="R9" s="46">
        <f>P9-Q9</f>
        <v>9</v>
      </c>
      <c r="S9" s="47">
        <f>SUMIF($D$8:$D$55,$O9,$K$8:$K$55)+SUMIF($F$8:$F$55,$O9,$L$8:$L$55)</f>
        <v>9</v>
      </c>
      <c r="T9" s="94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6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6</v>
      </c>
      <c r="AG9" s="108">
        <f t="shared" si="0"/>
        <v>0</v>
      </c>
      <c r="AH9" s="108">
        <f t="shared" si="1"/>
        <v>1</v>
      </c>
      <c r="AI9" s="108">
        <f t="shared" ref="AI9:AI55" si="10">IF(AND(AG9=1,AH9=1),10,0)</f>
        <v>0</v>
      </c>
      <c r="AJ9" s="108">
        <f t="shared" si="2"/>
        <v>5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18">
        <v>3</v>
      </c>
      <c r="C10" s="19">
        <v>41803</v>
      </c>
      <c r="D10" s="20" t="s">
        <v>13</v>
      </c>
      <c r="E10" s="21" t="s">
        <v>9</v>
      </c>
      <c r="F10" s="22" t="s">
        <v>14</v>
      </c>
      <c r="G10" s="86">
        <v>2</v>
      </c>
      <c r="H10" s="21" t="s">
        <v>9</v>
      </c>
      <c r="I10" s="91">
        <v>2</v>
      </c>
      <c r="J10" s="23">
        <f t="shared" si="5"/>
        <v>3</v>
      </c>
      <c r="K10" s="11">
        <f t="shared" si="6"/>
        <v>1</v>
      </c>
      <c r="L10" s="11">
        <f t="shared" si="7"/>
        <v>1</v>
      </c>
      <c r="O10" s="48" t="s">
        <v>10</v>
      </c>
      <c r="P10" s="49">
        <f>SUMIF($D$8:$D$55,$O10,$G$8:$G$55)+SUMIF($F$8:$F$55,$O10,$I$8:$I$55)</f>
        <v>0</v>
      </c>
      <c r="Q10" s="49">
        <f>SUMIF($D$8:$D$55,$O10,$I$8:$I$55)+SUMIF($F$8:$F$55,$O10,$G$8:$G$55)</f>
        <v>6</v>
      </c>
      <c r="R10" s="49">
        <f>P10-Q10</f>
        <v>-6</v>
      </c>
      <c r="S10" s="50">
        <f>SUMIF($D$8:$D$55,$O10,$K$8:$K$55)+SUMIF($F$8:$F$55,$O10,$L$8:$L$55)</f>
        <v>1</v>
      </c>
      <c r="T10" s="95" t="s">
        <v>50</v>
      </c>
      <c r="U10" s="40"/>
      <c r="V10" s="40" t="str">
        <f>O10</f>
        <v>Kroatië</v>
      </c>
      <c r="W10" s="40" t="s">
        <v>49</v>
      </c>
      <c r="Y10" s="109">
        <f t="shared" si="8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0</v>
      </c>
      <c r="AG10" s="108">
        <f t="shared" si="0"/>
        <v>0</v>
      </c>
      <c r="AH10" s="108">
        <f t="shared" si="1"/>
        <v>0</v>
      </c>
      <c r="AI10" s="108">
        <f t="shared" si="10"/>
        <v>0</v>
      </c>
      <c r="AJ10" s="108">
        <f t="shared" si="2"/>
        <v>0</v>
      </c>
      <c r="AK10" s="108">
        <f t="shared" si="3"/>
        <v>0</v>
      </c>
      <c r="AL10" s="108">
        <f t="shared" si="4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24">
        <v>4</v>
      </c>
      <c r="C11" s="25">
        <v>41803</v>
      </c>
      <c r="D11" s="26" t="s">
        <v>15</v>
      </c>
      <c r="E11" s="27" t="s">
        <v>9</v>
      </c>
      <c r="F11" s="28" t="s">
        <v>16</v>
      </c>
      <c r="G11" s="87">
        <v>1</v>
      </c>
      <c r="H11" s="27" t="s">
        <v>9</v>
      </c>
      <c r="I11" s="92">
        <v>0</v>
      </c>
      <c r="J11" s="29">
        <f t="shared" si="5"/>
        <v>1</v>
      </c>
      <c r="K11" s="11">
        <f t="shared" si="6"/>
        <v>3</v>
      </c>
      <c r="L11" s="11">
        <f t="shared" si="7"/>
        <v>0</v>
      </c>
      <c r="O11" s="48" t="s">
        <v>11</v>
      </c>
      <c r="P11" s="49">
        <f>SUMIF($D$8:$D$55,$O11,$G$8:$G$55)+SUMIF($F$8:$F$55,$O11,$I$8:$I$55)</f>
        <v>5</v>
      </c>
      <c r="Q11" s="49">
        <f>SUMIF($D$8:$D$55,$O11,$I$8:$I$55)+SUMIF($F$8:$F$55,$O11,$G$8:$G$55)</f>
        <v>2</v>
      </c>
      <c r="R11" s="49">
        <f>P11-Q11</f>
        <v>3</v>
      </c>
      <c r="S11" s="50">
        <f>SUMIF($D$8:$D$55,$O11,$K$8:$K$55)+SUMIF($F$8:$F$55,$O11,$L$8:$L$55)</f>
        <v>6</v>
      </c>
      <c r="T11" s="95" t="s">
        <v>49</v>
      </c>
      <c r="U11" s="40"/>
      <c r="V11" s="40" t="str">
        <f>O11</f>
        <v>Mexico</v>
      </c>
      <c r="W11" s="40" t="s">
        <v>47</v>
      </c>
      <c r="Y11" s="109">
        <f t="shared" si="8"/>
        <v>5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5</v>
      </c>
      <c r="AG11" s="108">
        <f t="shared" si="0"/>
        <v>0</v>
      </c>
      <c r="AH11" s="108">
        <f t="shared" si="1"/>
        <v>0</v>
      </c>
      <c r="AI11" s="108">
        <f t="shared" si="10"/>
        <v>0</v>
      </c>
      <c r="AJ11" s="108">
        <f t="shared" si="2"/>
        <v>5</v>
      </c>
      <c r="AK11" s="108">
        <f t="shared" si="3"/>
        <v>0</v>
      </c>
      <c r="AL11" s="108">
        <f t="shared" si="4"/>
        <v>0</v>
      </c>
      <c r="AM11" s="120">
        <f>AO11</f>
        <v>10</v>
      </c>
      <c r="AN11" s="117" t="s">
        <v>11</v>
      </c>
      <c r="AO11" s="115">
        <f>IF(Uitslag!T11="",0,IF(T11=Uitslag!T11,10,0))</f>
        <v>10</v>
      </c>
    </row>
    <row r="12" spans="2:54" ht="15.75" thickBot="1">
      <c r="B12" s="12">
        <v>5</v>
      </c>
      <c r="C12" s="13">
        <v>41804</v>
      </c>
      <c r="D12" s="14" t="s">
        <v>17</v>
      </c>
      <c r="E12" s="15" t="s">
        <v>9</v>
      </c>
      <c r="F12" s="16" t="s">
        <v>18</v>
      </c>
      <c r="G12" s="85">
        <v>1</v>
      </c>
      <c r="H12" s="15" t="s">
        <v>9</v>
      </c>
      <c r="I12" s="90">
        <v>2</v>
      </c>
      <c r="J12" s="17">
        <f t="shared" si="5"/>
        <v>2</v>
      </c>
      <c r="K12" s="11">
        <f t="shared" si="6"/>
        <v>0</v>
      </c>
      <c r="L12" s="11">
        <f t="shared" si="7"/>
        <v>3</v>
      </c>
      <c r="O12" s="51" t="s">
        <v>12</v>
      </c>
      <c r="P12" s="52">
        <f>SUMIF($D$8:$D$55,$O12,$G$8:$G$55)+SUMIF($F$8:$F$55,$O12,$I$8:$I$55)</f>
        <v>0</v>
      </c>
      <c r="Q12" s="52">
        <f>SUMIF($D$8:$D$55,$O12,$I$8:$I$55)+SUMIF($F$8:$F$55,$O12,$G$8:$G$55)</f>
        <v>6</v>
      </c>
      <c r="R12" s="52">
        <f>P12-Q12</f>
        <v>-6</v>
      </c>
      <c r="S12" s="53">
        <f>SUMIF($D$8:$D$55,$O12,$K$8:$K$55)+SUMIF($F$8:$F$55,$O12,$L$8:$L$55)</f>
        <v>1</v>
      </c>
      <c r="T12" s="96" t="s">
        <v>47</v>
      </c>
      <c r="U12" s="40"/>
      <c r="V12" s="40" t="str">
        <f>O12</f>
        <v>Kameroen</v>
      </c>
      <c r="W12" s="40" t="s">
        <v>50</v>
      </c>
      <c r="Y12" s="109">
        <f t="shared" si="8"/>
        <v>0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0</v>
      </c>
      <c r="AG12" s="108">
        <f t="shared" si="0"/>
        <v>0</v>
      </c>
      <c r="AH12" s="108">
        <f t="shared" si="1"/>
        <v>0</v>
      </c>
      <c r="AI12" s="108">
        <f t="shared" si="10"/>
        <v>0</v>
      </c>
      <c r="AJ12" s="108">
        <f t="shared" si="2"/>
        <v>0</v>
      </c>
      <c r="AK12" s="108">
        <f t="shared" si="3"/>
        <v>0</v>
      </c>
      <c r="AL12" s="108">
        <f t="shared" si="4"/>
        <v>0</v>
      </c>
      <c r="AM12" s="120">
        <f>AO12</f>
        <v>0</v>
      </c>
      <c r="AN12" s="118" t="s">
        <v>12</v>
      </c>
      <c r="AO12" s="115">
        <f>IF(Uitslag!T12="",0,IF(T12=Uitslag!T12,10,0))</f>
        <v>0</v>
      </c>
    </row>
    <row r="13" spans="2:54" ht="15.75" thickBot="1">
      <c r="B13" s="18">
        <v>6</v>
      </c>
      <c r="C13" s="19">
        <v>41804</v>
      </c>
      <c r="D13" s="20" t="s">
        <v>19</v>
      </c>
      <c r="E13" s="21" t="s">
        <v>9</v>
      </c>
      <c r="F13" s="30" t="s">
        <v>20</v>
      </c>
      <c r="G13" s="86">
        <v>1</v>
      </c>
      <c r="H13" s="21" t="s">
        <v>9</v>
      </c>
      <c r="I13" s="91">
        <v>0</v>
      </c>
      <c r="J13" s="23">
        <f t="shared" si="5"/>
        <v>1</v>
      </c>
      <c r="K13" s="11">
        <f t="shared" si="6"/>
        <v>3</v>
      </c>
      <c r="L13" s="11">
        <f t="shared" si="7"/>
        <v>0</v>
      </c>
      <c r="O13" s="40"/>
      <c r="P13" s="41"/>
      <c r="Q13" s="41"/>
      <c r="R13" s="41"/>
      <c r="S13" s="41"/>
      <c r="T13" s="41"/>
      <c r="U13" s="40"/>
      <c r="V13" s="40"/>
      <c r="W13" s="40"/>
      <c r="Y13" s="109">
        <f t="shared" si="8"/>
        <v>1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1</v>
      </c>
      <c r="AG13" s="108">
        <f t="shared" si="0"/>
        <v>1</v>
      </c>
      <c r="AH13" s="108">
        <f t="shared" si="1"/>
        <v>0</v>
      </c>
      <c r="AI13" s="108">
        <f t="shared" si="10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40"/>
      <c r="AO13" s="41"/>
    </row>
    <row r="14" spans="2:54" ht="15.75" thickBot="1">
      <c r="B14" s="18">
        <v>7</v>
      </c>
      <c r="C14" s="19">
        <v>41804</v>
      </c>
      <c r="D14" s="20" t="s">
        <v>21</v>
      </c>
      <c r="E14" s="21" t="s">
        <v>9</v>
      </c>
      <c r="F14" s="30" t="s">
        <v>22</v>
      </c>
      <c r="G14" s="86">
        <v>1</v>
      </c>
      <c r="H14" s="21" t="s">
        <v>9</v>
      </c>
      <c r="I14" s="91">
        <v>1</v>
      </c>
      <c r="J14" s="23">
        <f t="shared" si="5"/>
        <v>3</v>
      </c>
      <c r="K14" s="11">
        <f t="shared" si="6"/>
        <v>1</v>
      </c>
      <c r="L14" s="11">
        <f t="shared" si="7"/>
        <v>1</v>
      </c>
      <c r="O14" s="72" t="s">
        <v>51</v>
      </c>
      <c r="P14" s="73" t="s">
        <v>42</v>
      </c>
      <c r="Q14" s="73" t="s">
        <v>43</v>
      </c>
      <c r="R14" s="74" t="s">
        <v>44</v>
      </c>
      <c r="S14" s="75" t="s">
        <v>45</v>
      </c>
      <c r="T14" s="76" t="s">
        <v>46</v>
      </c>
      <c r="U14" s="40"/>
      <c r="V14" s="40"/>
      <c r="W14" s="40"/>
      <c r="Y14" s="109">
        <f t="shared" si="8"/>
        <v>1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</v>
      </c>
      <c r="AG14" s="108">
        <f t="shared" si="0"/>
        <v>1</v>
      </c>
      <c r="AH14" s="108">
        <f t="shared" si="1"/>
        <v>0</v>
      </c>
      <c r="AI14" s="108">
        <f t="shared" si="10"/>
        <v>0</v>
      </c>
      <c r="AJ14" s="108">
        <f t="shared" si="2"/>
        <v>0</v>
      </c>
      <c r="AK14" s="108">
        <f t="shared" si="3"/>
        <v>0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24">
        <v>8</v>
      </c>
      <c r="C15" s="25">
        <v>41804</v>
      </c>
      <c r="D15" s="26" t="s">
        <v>23</v>
      </c>
      <c r="E15" s="27" t="s">
        <v>9</v>
      </c>
      <c r="F15" s="28" t="s">
        <v>24</v>
      </c>
      <c r="G15" s="87">
        <v>0</v>
      </c>
      <c r="H15" s="27" t="s">
        <v>9</v>
      </c>
      <c r="I15" s="92">
        <v>2</v>
      </c>
      <c r="J15" s="29">
        <f t="shared" si="5"/>
        <v>2</v>
      </c>
      <c r="K15" s="11">
        <f t="shared" si="6"/>
        <v>0</v>
      </c>
      <c r="L15" s="11">
        <f t="shared" si="7"/>
        <v>3</v>
      </c>
      <c r="O15" s="44" t="s">
        <v>13</v>
      </c>
      <c r="P15" s="45">
        <f>SUMIF($D$8:$D$55,$O15,$G$8:$G$55)+SUMIF($F$8:$F$55,$O15,$I$8:$I$55)</f>
        <v>7</v>
      </c>
      <c r="Q15" s="45">
        <f>SUMIF($D$8:$D$55,$O15,$I$8:$I$55)+SUMIF($F$8:$F$55,$O15,$G$8:$G$55)</f>
        <v>2</v>
      </c>
      <c r="R15" s="46">
        <f>P15-Q15</f>
        <v>5</v>
      </c>
      <c r="S15" s="47">
        <f>SUMIF($D$8:$D$55,$O15,$K$8:$K$55)+SUMIF($F$8:$F$55,$O15,$L$8:$L$55)</f>
        <v>7</v>
      </c>
      <c r="T15" s="94" t="s">
        <v>52</v>
      </c>
      <c r="U15" s="40"/>
      <c r="V15" s="40" t="str">
        <f>O15</f>
        <v>Spanje</v>
      </c>
      <c r="W15" s="40" t="s">
        <v>52</v>
      </c>
      <c r="Y15" s="109">
        <f t="shared" si="8"/>
        <v>0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0</v>
      </c>
      <c r="AG15" s="108">
        <f t="shared" si="0"/>
        <v>0</v>
      </c>
      <c r="AH15" s="108">
        <f t="shared" si="1"/>
        <v>0</v>
      </c>
      <c r="AI15" s="108">
        <f t="shared" si="10"/>
        <v>0</v>
      </c>
      <c r="AJ15" s="108">
        <f t="shared" si="2"/>
        <v>0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12">
        <v>9</v>
      </c>
      <c r="C16" s="13">
        <v>41805</v>
      </c>
      <c r="D16" s="14" t="s">
        <v>25</v>
      </c>
      <c r="E16" s="15" t="s">
        <v>9</v>
      </c>
      <c r="F16" s="16" t="s">
        <v>26</v>
      </c>
      <c r="G16" s="85">
        <v>0</v>
      </c>
      <c r="H16" s="15" t="s">
        <v>9</v>
      </c>
      <c r="I16" s="90">
        <v>2</v>
      </c>
      <c r="J16" s="17">
        <f t="shared" si="5"/>
        <v>2</v>
      </c>
      <c r="K16" s="11">
        <f t="shared" si="6"/>
        <v>0</v>
      </c>
      <c r="L16" s="11">
        <f t="shared" si="7"/>
        <v>3</v>
      </c>
      <c r="O16" s="54" t="s">
        <v>14</v>
      </c>
      <c r="P16" s="49">
        <f>SUMIF($D$8:$D$55,$O16,$G$8:$G$55)+SUMIF($F$8:$F$55,$O16,$I$8:$I$55)</f>
        <v>6</v>
      </c>
      <c r="Q16" s="49">
        <f>SUMIF($D$8:$D$55,$O16,$I$8:$I$55)+SUMIF($F$8:$F$55,$O16,$G$8:$G$55)</f>
        <v>4</v>
      </c>
      <c r="R16" s="49">
        <f>P16-Q16</f>
        <v>2</v>
      </c>
      <c r="S16" s="50">
        <f>SUMIF($D$8:$D$55,$O16,$K$8:$K$55)+SUMIF($F$8:$F$55,$O16,$L$8:$L$55)</f>
        <v>5</v>
      </c>
      <c r="T16" s="95" t="s">
        <v>54</v>
      </c>
      <c r="U16" s="40"/>
      <c r="V16" s="40" t="str">
        <f>O16</f>
        <v>Nederland</v>
      </c>
      <c r="W16" s="40" t="s">
        <v>53</v>
      </c>
      <c r="Y16" s="109">
        <f t="shared" si="8"/>
        <v>0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0</v>
      </c>
      <c r="AG16" s="108">
        <f t="shared" si="0"/>
        <v>0</v>
      </c>
      <c r="AH16" s="108">
        <f t="shared" si="1"/>
        <v>0</v>
      </c>
      <c r="AI16" s="108">
        <f t="shared" si="10"/>
        <v>0</v>
      </c>
      <c r="AJ16" s="108">
        <f t="shared" si="2"/>
        <v>0</v>
      </c>
      <c r="AK16" s="108">
        <f t="shared" si="3"/>
        <v>0</v>
      </c>
      <c r="AL16" s="108">
        <f t="shared" si="4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18">
        <v>10</v>
      </c>
      <c r="C17" s="19">
        <v>41805</v>
      </c>
      <c r="D17" s="20" t="s">
        <v>27</v>
      </c>
      <c r="E17" s="21" t="s">
        <v>9</v>
      </c>
      <c r="F17" s="30" t="s">
        <v>28</v>
      </c>
      <c r="G17" s="86">
        <v>3</v>
      </c>
      <c r="H17" s="21" t="s">
        <v>9</v>
      </c>
      <c r="I17" s="91">
        <v>2</v>
      </c>
      <c r="J17" s="23">
        <f t="shared" si="5"/>
        <v>1</v>
      </c>
      <c r="K17" s="11">
        <f t="shared" si="6"/>
        <v>3</v>
      </c>
      <c r="L17" s="11">
        <f t="shared" si="7"/>
        <v>0</v>
      </c>
      <c r="O17" s="48" t="s">
        <v>15</v>
      </c>
      <c r="P17" s="49">
        <f>SUMIF($D$8:$D$55,$O17,$G$8:$G$55)+SUMIF($F$8:$F$55,$O17,$I$8:$I$55)</f>
        <v>3</v>
      </c>
      <c r="Q17" s="49">
        <f>SUMIF($D$8:$D$55,$O17,$I$8:$I$55)+SUMIF($F$8:$F$55,$O17,$G$8:$G$55)</f>
        <v>4</v>
      </c>
      <c r="R17" s="49">
        <f>P17-Q17</f>
        <v>-1</v>
      </c>
      <c r="S17" s="50">
        <f>SUMIF($D$8:$D$55,$O17,$K$8:$K$55)+SUMIF($F$8:$F$55,$O17,$L$8:$L$55)</f>
        <v>4</v>
      </c>
      <c r="T17" s="95" t="s">
        <v>53</v>
      </c>
      <c r="U17" s="40"/>
      <c r="V17" s="40" t="str">
        <f>O17</f>
        <v>Chili</v>
      </c>
      <c r="W17" s="40" t="s">
        <v>54</v>
      </c>
      <c r="Y17" s="109">
        <f t="shared" si="8"/>
        <v>6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6</v>
      </c>
      <c r="AG17" s="108">
        <f t="shared" si="0"/>
        <v>1</v>
      </c>
      <c r="AH17" s="108">
        <f t="shared" si="1"/>
        <v>0</v>
      </c>
      <c r="AI17" s="108">
        <f t="shared" si="10"/>
        <v>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10</v>
      </c>
      <c r="AN17" s="117" t="s">
        <v>15</v>
      </c>
      <c r="AO17" s="115">
        <f>IF(Uitslag!T17="",0,IF(T17=Uitslag!T17,10,0))</f>
        <v>10</v>
      </c>
    </row>
    <row r="18" spans="2:41" ht="15.75" thickBot="1">
      <c r="B18" s="24">
        <v>11</v>
      </c>
      <c r="C18" s="25">
        <v>41805</v>
      </c>
      <c r="D18" s="26" t="s">
        <v>29</v>
      </c>
      <c r="E18" s="27" t="s">
        <v>9</v>
      </c>
      <c r="F18" s="28" t="s">
        <v>30</v>
      </c>
      <c r="G18" s="87">
        <v>3</v>
      </c>
      <c r="H18" s="27" t="s">
        <v>9</v>
      </c>
      <c r="I18" s="92">
        <v>0</v>
      </c>
      <c r="J18" s="29">
        <f t="shared" si="5"/>
        <v>1</v>
      </c>
      <c r="K18" s="11">
        <f t="shared" si="6"/>
        <v>3</v>
      </c>
      <c r="L18" s="11">
        <f t="shared" si="7"/>
        <v>0</v>
      </c>
      <c r="O18" s="51" t="s">
        <v>16</v>
      </c>
      <c r="P18" s="52">
        <f>SUMIF($D$8:$D$55,$O18,$G$8:$G$55)+SUMIF($F$8:$F$55,$O18,$I$8:$I$55)</f>
        <v>0</v>
      </c>
      <c r="Q18" s="52">
        <f>SUMIF($D$8:$D$55,$O18,$I$8:$I$55)+SUMIF($F$8:$F$55,$O18,$G$8:$G$55)</f>
        <v>6</v>
      </c>
      <c r="R18" s="52">
        <f>P18-Q18</f>
        <v>-6</v>
      </c>
      <c r="S18" s="53">
        <f>SUMIF($D$8:$D$55,$O18,$K$8:$K$55)+SUMIF($F$8:$F$55,$O18,$L$8:$L$55)</f>
        <v>0</v>
      </c>
      <c r="T18" s="96" t="s">
        <v>55</v>
      </c>
      <c r="U18" s="40"/>
      <c r="V18" s="40" t="str">
        <f>O18</f>
        <v>Australië</v>
      </c>
      <c r="W18" s="40" t="s">
        <v>55</v>
      </c>
      <c r="Y18" s="109">
        <f t="shared" si="8"/>
        <v>5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5</v>
      </c>
      <c r="AG18" s="108">
        <f t="shared" si="0"/>
        <v>0</v>
      </c>
      <c r="AH18" s="108">
        <f t="shared" si="1"/>
        <v>0</v>
      </c>
      <c r="AI18" s="108">
        <f t="shared" si="10"/>
        <v>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12">
        <v>12</v>
      </c>
      <c r="C19" s="13">
        <v>41806</v>
      </c>
      <c r="D19" s="14" t="s">
        <v>31</v>
      </c>
      <c r="E19" s="15" t="s">
        <v>9</v>
      </c>
      <c r="F19" s="16" t="s">
        <v>32</v>
      </c>
      <c r="G19" s="85">
        <v>2</v>
      </c>
      <c r="H19" s="15" t="s">
        <v>9</v>
      </c>
      <c r="I19" s="90">
        <v>2</v>
      </c>
      <c r="J19" s="17">
        <f t="shared" si="5"/>
        <v>3</v>
      </c>
      <c r="K19" s="11">
        <f t="shared" si="6"/>
        <v>1</v>
      </c>
      <c r="L19" s="11">
        <f t="shared" si="7"/>
        <v>1</v>
      </c>
      <c r="O19" s="40"/>
      <c r="P19" s="41"/>
      <c r="Q19" s="41"/>
      <c r="R19" s="41"/>
      <c r="S19" s="41"/>
      <c r="T19" s="41"/>
      <c r="U19" s="40"/>
      <c r="V19" s="40"/>
      <c r="W19" s="40"/>
      <c r="Y19" s="109">
        <f t="shared" si="8"/>
        <v>0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0</v>
      </c>
      <c r="AG19" s="108">
        <f t="shared" si="0"/>
        <v>0</v>
      </c>
      <c r="AH19" s="108">
        <f t="shared" si="1"/>
        <v>0</v>
      </c>
      <c r="AI19" s="108">
        <f t="shared" si="10"/>
        <v>0</v>
      </c>
      <c r="AJ19" s="108">
        <f t="shared" si="2"/>
        <v>0</v>
      </c>
      <c r="AK19" s="108">
        <f t="shared" si="3"/>
        <v>0</v>
      </c>
      <c r="AL19" s="108">
        <f t="shared" si="4"/>
        <v>0</v>
      </c>
      <c r="AN19" s="40"/>
      <c r="AO19" s="41"/>
    </row>
    <row r="20" spans="2:41" ht="15.75" thickBot="1">
      <c r="B20" s="18">
        <v>13</v>
      </c>
      <c r="C20" s="19">
        <v>41806</v>
      </c>
      <c r="D20" s="20" t="s">
        <v>33</v>
      </c>
      <c r="E20" s="21" t="s">
        <v>9</v>
      </c>
      <c r="F20" s="30" t="s">
        <v>34</v>
      </c>
      <c r="G20" s="86">
        <v>0</v>
      </c>
      <c r="H20" s="21" t="s">
        <v>9</v>
      </c>
      <c r="I20" s="91">
        <v>2</v>
      </c>
      <c r="J20" s="23">
        <f t="shared" si="5"/>
        <v>2</v>
      </c>
      <c r="K20" s="11">
        <f t="shared" si="6"/>
        <v>0</v>
      </c>
      <c r="L20" s="11">
        <f t="shared" si="7"/>
        <v>3</v>
      </c>
      <c r="O20" s="72" t="s">
        <v>56</v>
      </c>
      <c r="P20" s="73" t="s">
        <v>42</v>
      </c>
      <c r="Q20" s="73" t="s">
        <v>43</v>
      </c>
      <c r="R20" s="74" t="s">
        <v>44</v>
      </c>
      <c r="S20" s="75" t="s">
        <v>45</v>
      </c>
      <c r="T20" s="76" t="s">
        <v>46</v>
      </c>
      <c r="U20" s="40"/>
      <c r="V20" s="40"/>
      <c r="W20" s="40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0"/>
        <v>1</v>
      </c>
      <c r="AH20" s="108">
        <f t="shared" si="1"/>
        <v>0</v>
      </c>
      <c r="AI20" s="108">
        <f t="shared" si="10"/>
        <v>0</v>
      </c>
      <c r="AJ20" s="108">
        <f t="shared" si="2"/>
        <v>0</v>
      </c>
      <c r="AK20" s="108">
        <f t="shared" si="3"/>
        <v>0</v>
      </c>
      <c r="AL20" s="108">
        <f t="shared" si="4"/>
        <v>0</v>
      </c>
      <c r="AN20" s="42" t="s">
        <v>56</v>
      </c>
      <c r="AO20" s="43" t="s">
        <v>46</v>
      </c>
    </row>
    <row r="21" spans="2:41" ht="15.75" thickBot="1">
      <c r="B21" s="24">
        <v>14</v>
      </c>
      <c r="C21" s="25">
        <v>41806</v>
      </c>
      <c r="D21" s="26" t="s">
        <v>35</v>
      </c>
      <c r="E21" s="27" t="s">
        <v>9</v>
      </c>
      <c r="F21" s="28" t="s">
        <v>36</v>
      </c>
      <c r="G21" s="87">
        <v>1</v>
      </c>
      <c r="H21" s="27" t="s">
        <v>9</v>
      </c>
      <c r="I21" s="92">
        <v>1</v>
      </c>
      <c r="J21" s="29">
        <f t="shared" si="5"/>
        <v>3</v>
      </c>
      <c r="K21" s="11">
        <f t="shared" si="6"/>
        <v>1</v>
      </c>
      <c r="L21" s="11">
        <f t="shared" si="7"/>
        <v>1</v>
      </c>
      <c r="O21" s="44" t="s">
        <v>17</v>
      </c>
      <c r="P21" s="45">
        <f>SUMIF($D$8:$D$55,$O21,$G$8:$G$55)+SUMIF($F$8:$F$55,$O21,$I$8:$I$55)</f>
        <v>4</v>
      </c>
      <c r="Q21" s="45">
        <f>SUMIF($D$8:$D$55,$O21,$I$8:$I$55)+SUMIF($F$8:$F$55,$O21,$G$8:$G$55)</f>
        <v>2</v>
      </c>
      <c r="R21" s="46">
        <f>P21-Q21</f>
        <v>2</v>
      </c>
      <c r="S21" s="47">
        <f>SUMIF($D$8:$D$55,$O21,$K$8:$K$55)+SUMIF($F$8:$F$55,$O21,$L$8:$L$55)</f>
        <v>4</v>
      </c>
      <c r="T21" s="94" t="s">
        <v>57</v>
      </c>
      <c r="U21" s="40"/>
      <c r="V21" s="40" t="str">
        <f>O21</f>
        <v>Colombia</v>
      </c>
      <c r="W21" s="40" t="s">
        <v>57</v>
      </c>
      <c r="Y21" s="109">
        <f t="shared" si="8"/>
        <v>1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1</v>
      </c>
      <c r="AG21" s="108">
        <f t="shared" si="0"/>
        <v>1</v>
      </c>
      <c r="AH21" s="108">
        <f t="shared" si="1"/>
        <v>0</v>
      </c>
      <c r="AI21" s="108">
        <f t="shared" si="10"/>
        <v>0</v>
      </c>
      <c r="AJ21" s="108">
        <f t="shared" si="2"/>
        <v>0</v>
      </c>
      <c r="AK21" s="108">
        <f t="shared" si="3"/>
        <v>0</v>
      </c>
      <c r="AL21" s="108">
        <f t="shared" si="4"/>
        <v>0</v>
      </c>
      <c r="AM21" s="120">
        <f>AO21</f>
        <v>10</v>
      </c>
      <c r="AN21" s="116" t="s">
        <v>17</v>
      </c>
      <c r="AO21" s="115">
        <f>IF(Uitslag!T21="",0,IF(T21=Uitslag!T21,10,0))</f>
        <v>10</v>
      </c>
    </row>
    <row r="22" spans="2:41" ht="15.75" thickBot="1">
      <c r="B22" s="12">
        <v>15</v>
      </c>
      <c r="C22" s="13">
        <v>41807</v>
      </c>
      <c r="D22" s="14" t="s">
        <v>37</v>
      </c>
      <c r="E22" s="15" t="s">
        <v>9</v>
      </c>
      <c r="F22" s="16" t="s">
        <v>38</v>
      </c>
      <c r="G22" s="85">
        <v>3</v>
      </c>
      <c r="H22" s="15" t="s">
        <v>9</v>
      </c>
      <c r="I22" s="90">
        <v>0</v>
      </c>
      <c r="J22" s="17">
        <f t="shared" si="5"/>
        <v>1</v>
      </c>
      <c r="K22" s="11">
        <f t="shared" si="6"/>
        <v>3</v>
      </c>
      <c r="L22" s="11">
        <f t="shared" si="7"/>
        <v>0</v>
      </c>
      <c r="O22" s="48" t="s">
        <v>18</v>
      </c>
      <c r="P22" s="49">
        <f>SUMIF($D$8:$D$55,$O22,$G$8:$G$55)+SUMIF($F$8:$F$55,$O22,$I$8:$I$55)</f>
        <v>5</v>
      </c>
      <c r="Q22" s="49">
        <f>SUMIF($D$8:$D$55,$O22,$I$8:$I$55)+SUMIF($F$8:$F$55,$O22,$G$8:$G$55)</f>
        <v>3</v>
      </c>
      <c r="R22" s="49">
        <f>P22-Q22</f>
        <v>2</v>
      </c>
      <c r="S22" s="50">
        <f>SUMIF($D$8:$D$55,$O22,$K$8:$K$55)+SUMIF($F$8:$F$55,$O22,$L$8:$L$55)</f>
        <v>6</v>
      </c>
      <c r="T22" s="95" t="s">
        <v>58</v>
      </c>
      <c r="U22" s="40"/>
      <c r="V22" s="40" t="str">
        <f>O22</f>
        <v>Griekenland</v>
      </c>
      <c r="W22" s="40" t="s">
        <v>58</v>
      </c>
      <c r="Y22" s="109">
        <f t="shared" si="8"/>
        <v>5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5</v>
      </c>
      <c r="AG22" s="108">
        <f t="shared" si="0"/>
        <v>0</v>
      </c>
      <c r="AH22" s="108">
        <f t="shared" si="1"/>
        <v>0</v>
      </c>
      <c r="AI22" s="108">
        <f t="shared" si="10"/>
        <v>0</v>
      </c>
      <c r="AJ22" s="108">
        <f t="shared" si="2"/>
        <v>5</v>
      </c>
      <c r="AK22" s="108">
        <f t="shared" si="3"/>
        <v>0</v>
      </c>
      <c r="AL22" s="108">
        <f t="shared" si="4"/>
        <v>0</v>
      </c>
      <c r="AM22" s="120">
        <f>AO22</f>
        <v>10</v>
      </c>
      <c r="AN22" s="117" t="s">
        <v>18</v>
      </c>
      <c r="AO22" s="115">
        <f>IF(Uitslag!T22="",0,IF(T22=Uitslag!T22,10,0))</f>
        <v>10</v>
      </c>
    </row>
    <row r="23" spans="2:41" ht="15.75" thickBot="1">
      <c r="B23" s="18">
        <v>16</v>
      </c>
      <c r="C23" s="19">
        <v>41807</v>
      </c>
      <c r="D23" s="20" t="s">
        <v>8</v>
      </c>
      <c r="E23" s="21" t="s">
        <v>9</v>
      </c>
      <c r="F23" s="30" t="s">
        <v>11</v>
      </c>
      <c r="G23" s="86">
        <v>2</v>
      </c>
      <c r="H23" s="21" t="s">
        <v>9</v>
      </c>
      <c r="I23" s="91">
        <v>0</v>
      </c>
      <c r="J23" s="23">
        <f t="shared" si="5"/>
        <v>1</v>
      </c>
      <c r="K23" s="11">
        <f t="shared" si="6"/>
        <v>3</v>
      </c>
      <c r="L23" s="11">
        <f t="shared" si="7"/>
        <v>0</v>
      </c>
      <c r="O23" s="48" t="s">
        <v>23</v>
      </c>
      <c r="P23" s="49">
        <f>SUMIF($D$8:$D$55,$O23,$G$8:$G$55)+SUMIF($F$8:$F$55,$O23,$I$8:$I$55)</f>
        <v>0</v>
      </c>
      <c r="Q23" s="49">
        <f>SUMIF($D$8:$D$55,$O23,$I$8:$I$55)+SUMIF($F$8:$F$55,$O23,$G$8:$G$55)</f>
        <v>7</v>
      </c>
      <c r="R23" s="49">
        <f>P23-Q23</f>
        <v>-7</v>
      </c>
      <c r="S23" s="50">
        <f>SUMIF($D$8:$D$55,$O23,$K$8:$K$55)+SUMIF($F$8:$F$55,$O23,$L$8:$L$55)</f>
        <v>0</v>
      </c>
      <c r="T23" s="95" t="s">
        <v>59</v>
      </c>
      <c r="U23" s="40"/>
      <c r="V23" s="40" t="str">
        <f>O23</f>
        <v>Ivoorkust</v>
      </c>
      <c r="W23" s="40" t="s">
        <v>59</v>
      </c>
      <c r="Y23" s="109">
        <f t="shared" si="8"/>
        <v>1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1</v>
      </c>
      <c r="AG23" s="108">
        <f t="shared" si="0"/>
        <v>0</v>
      </c>
      <c r="AH23" s="108">
        <f t="shared" si="1"/>
        <v>1</v>
      </c>
      <c r="AI23" s="108">
        <f t="shared" si="10"/>
        <v>0</v>
      </c>
      <c r="AJ23" s="108">
        <f t="shared" si="2"/>
        <v>0</v>
      </c>
      <c r="AK23" s="108">
        <f t="shared" si="3"/>
        <v>0</v>
      </c>
      <c r="AL23" s="108">
        <f t="shared" si="4"/>
        <v>0</v>
      </c>
      <c r="AM23" s="120">
        <f>AO23</f>
        <v>10</v>
      </c>
      <c r="AN23" s="117" t="s">
        <v>23</v>
      </c>
      <c r="AO23" s="115">
        <f>IF(Uitslag!T23="",0,IF(T23=Uitslag!T23,10,0))</f>
        <v>10</v>
      </c>
    </row>
    <row r="24" spans="2:41" ht="15.75" thickBot="1">
      <c r="B24" s="24">
        <v>17</v>
      </c>
      <c r="C24" s="25">
        <v>41807</v>
      </c>
      <c r="D24" s="26" t="s">
        <v>39</v>
      </c>
      <c r="E24" s="27" t="s">
        <v>9</v>
      </c>
      <c r="F24" s="28" t="s">
        <v>40</v>
      </c>
      <c r="G24" s="87">
        <v>1</v>
      </c>
      <c r="H24" s="27" t="s">
        <v>9</v>
      </c>
      <c r="I24" s="92">
        <v>1</v>
      </c>
      <c r="J24" s="29">
        <f t="shared" si="5"/>
        <v>3</v>
      </c>
      <c r="K24" s="11">
        <f t="shared" si="6"/>
        <v>1</v>
      </c>
      <c r="L24" s="11">
        <f t="shared" si="7"/>
        <v>1</v>
      </c>
      <c r="O24" s="51" t="s">
        <v>24</v>
      </c>
      <c r="P24" s="52">
        <f>SUMIF($D$8:$D$55,$O24,$G$8:$G$55)+SUMIF($F$8:$F$55,$O24,$I$8:$I$55)</f>
        <v>4</v>
      </c>
      <c r="Q24" s="52">
        <f>SUMIF($D$8:$D$55,$O24,$I$8:$I$55)+SUMIF($F$8:$F$55,$O24,$G$8:$G$55)</f>
        <v>1</v>
      </c>
      <c r="R24" s="52">
        <f>P24-Q24</f>
        <v>3</v>
      </c>
      <c r="S24" s="53">
        <f>SUMIF($D$8:$D$55,$O24,$K$8:$K$55)+SUMIF($F$8:$F$55,$O24,$L$8:$L$55)</f>
        <v>7</v>
      </c>
      <c r="T24" s="96" t="s">
        <v>60</v>
      </c>
      <c r="U24" s="40"/>
      <c r="V24" s="40" t="str">
        <f>O24</f>
        <v>Japan</v>
      </c>
      <c r="W24" s="40" t="s">
        <v>60</v>
      </c>
      <c r="Y24" s="109">
        <f t="shared" si="8"/>
        <v>10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10</v>
      </c>
      <c r="AG24" s="108">
        <f t="shared" si="0"/>
        <v>1</v>
      </c>
      <c r="AH24" s="108">
        <f t="shared" si="1"/>
        <v>1</v>
      </c>
      <c r="AI24" s="108">
        <f t="shared" si="10"/>
        <v>10</v>
      </c>
      <c r="AJ24" s="108">
        <f t="shared" si="2"/>
        <v>0</v>
      </c>
      <c r="AK24" s="108">
        <f t="shared" si="3"/>
        <v>0</v>
      </c>
      <c r="AL24" s="108">
        <f t="shared" si="4"/>
        <v>5</v>
      </c>
      <c r="AM24" s="120">
        <f>AO24</f>
        <v>10</v>
      </c>
      <c r="AN24" s="118" t="s">
        <v>24</v>
      </c>
      <c r="AO24" s="115">
        <f>IF(Uitslag!T24="",0,IF(T24=Uitslag!T24,10,0))</f>
        <v>10</v>
      </c>
    </row>
    <row r="25" spans="2:41" ht="15.75" thickBot="1">
      <c r="B25" s="12">
        <v>18</v>
      </c>
      <c r="C25" s="13">
        <v>41808</v>
      </c>
      <c r="D25" s="14" t="s">
        <v>16</v>
      </c>
      <c r="E25" s="15" t="s">
        <v>9</v>
      </c>
      <c r="F25" s="31" t="s">
        <v>14</v>
      </c>
      <c r="G25" s="85">
        <v>0</v>
      </c>
      <c r="H25" s="15" t="s">
        <v>9</v>
      </c>
      <c r="I25" s="90">
        <v>2</v>
      </c>
      <c r="J25" s="17">
        <f t="shared" si="5"/>
        <v>2</v>
      </c>
      <c r="K25" s="11">
        <f t="shared" si="6"/>
        <v>0</v>
      </c>
      <c r="L25" s="11">
        <f t="shared" si="7"/>
        <v>3</v>
      </c>
      <c r="O25" s="40"/>
      <c r="P25" s="41"/>
      <c r="Q25" s="41"/>
      <c r="R25" s="41"/>
      <c r="S25" s="41"/>
      <c r="T25" s="41"/>
      <c r="U25" s="40"/>
      <c r="V25" s="40"/>
      <c r="W25" s="40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0"/>
        <v>0</v>
      </c>
      <c r="AH25" s="108">
        <f t="shared" si="1"/>
        <v>0</v>
      </c>
      <c r="AI25" s="108">
        <f t="shared" si="10"/>
        <v>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40"/>
      <c r="AO25" s="41"/>
    </row>
    <row r="26" spans="2:41" ht="15.75" thickBot="1">
      <c r="B26" s="18">
        <v>19</v>
      </c>
      <c r="C26" s="19">
        <v>41808</v>
      </c>
      <c r="D26" s="20" t="s">
        <v>13</v>
      </c>
      <c r="E26" s="21" t="s">
        <v>9</v>
      </c>
      <c r="F26" s="30" t="s">
        <v>15</v>
      </c>
      <c r="G26" s="86">
        <v>2</v>
      </c>
      <c r="H26" s="21" t="s">
        <v>9</v>
      </c>
      <c r="I26" s="91">
        <v>0</v>
      </c>
      <c r="J26" s="23">
        <f t="shared" si="5"/>
        <v>1</v>
      </c>
      <c r="K26" s="11">
        <f t="shared" si="6"/>
        <v>3</v>
      </c>
      <c r="L26" s="11">
        <f t="shared" si="7"/>
        <v>0</v>
      </c>
      <c r="O26" s="72" t="s">
        <v>61</v>
      </c>
      <c r="P26" s="73" t="s">
        <v>42</v>
      </c>
      <c r="Q26" s="73" t="s">
        <v>43</v>
      </c>
      <c r="R26" s="74" t="s">
        <v>44</v>
      </c>
      <c r="S26" s="75" t="s">
        <v>45</v>
      </c>
      <c r="T26" s="76" t="s">
        <v>46</v>
      </c>
      <c r="U26" s="40"/>
      <c r="V26" s="40"/>
      <c r="W26" s="40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0"/>
        <v>0</v>
      </c>
      <c r="AH26" s="108">
        <f t="shared" si="1"/>
        <v>0</v>
      </c>
      <c r="AI26" s="108">
        <f t="shared" si="10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24">
        <v>20</v>
      </c>
      <c r="C27" s="25">
        <v>41808</v>
      </c>
      <c r="D27" s="26" t="s">
        <v>12</v>
      </c>
      <c r="E27" s="27" t="s">
        <v>9</v>
      </c>
      <c r="F27" s="28" t="s">
        <v>10</v>
      </c>
      <c r="G27" s="87">
        <v>0</v>
      </c>
      <c r="H27" s="27" t="s">
        <v>9</v>
      </c>
      <c r="I27" s="92">
        <v>0</v>
      </c>
      <c r="J27" s="29">
        <f t="shared" si="5"/>
        <v>3</v>
      </c>
      <c r="K27" s="11">
        <f t="shared" si="6"/>
        <v>1</v>
      </c>
      <c r="L27" s="11">
        <f t="shared" si="7"/>
        <v>1</v>
      </c>
      <c r="O27" s="44" t="s">
        <v>19</v>
      </c>
      <c r="P27" s="45">
        <f>SUMIF($D$8:$D$55,$O27,$G$8:$G$55)+SUMIF($F$8:$F$55,$O27,$I$8:$I$55)</f>
        <v>4</v>
      </c>
      <c r="Q27" s="45">
        <f>SUMIF($D$8:$D$55,$O27,$I$8:$I$55)+SUMIF($F$8:$F$55,$O27,$G$8:$G$55)</f>
        <v>2</v>
      </c>
      <c r="R27" s="46">
        <f>P27-Q27</f>
        <v>2</v>
      </c>
      <c r="S27" s="47">
        <f>SUMIF($D$8:$D$55,$O27,$K$8:$K$55)+SUMIF($F$8:$F$55,$O27,$L$8:$L$55)</f>
        <v>7</v>
      </c>
      <c r="T27" s="94" t="s">
        <v>62</v>
      </c>
      <c r="U27" s="40"/>
      <c r="V27" s="40" t="str">
        <f>O27</f>
        <v>Uruguay</v>
      </c>
      <c r="W27" s="40" t="s">
        <v>62</v>
      </c>
      <c r="Y27" s="109">
        <f t="shared" si="8"/>
        <v>1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1</v>
      </c>
      <c r="AG27" s="108">
        <f t="shared" si="0"/>
        <v>1</v>
      </c>
      <c r="AH27" s="108">
        <f t="shared" si="1"/>
        <v>0</v>
      </c>
      <c r="AI27" s="108">
        <f t="shared" si="10"/>
        <v>0</v>
      </c>
      <c r="AJ27" s="108">
        <f t="shared" si="2"/>
        <v>0</v>
      </c>
      <c r="AK27" s="108">
        <f t="shared" si="3"/>
        <v>0</v>
      </c>
      <c r="AL27" s="108">
        <f t="shared" si="4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12">
        <v>21</v>
      </c>
      <c r="C28" s="13">
        <v>41809</v>
      </c>
      <c r="D28" s="14" t="s">
        <v>17</v>
      </c>
      <c r="E28" s="15" t="s">
        <v>9</v>
      </c>
      <c r="F28" s="16" t="s">
        <v>23</v>
      </c>
      <c r="G28" s="85">
        <v>3</v>
      </c>
      <c r="H28" s="15" t="s">
        <v>9</v>
      </c>
      <c r="I28" s="90">
        <v>0</v>
      </c>
      <c r="J28" s="17">
        <f t="shared" si="5"/>
        <v>1</v>
      </c>
      <c r="K28" s="11">
        <f t="shared" si="6"/>
        <v>3</v>
      </c>
      <c r="L28" s="11">
        <f t="shared" si="7"/>
        <v>0</v>
      </c>
      <c r="O28" s="48" t="s">
        <v>20</v>
      </c>
      <c r="P28" s="49">
        <f>SUMIF($D$8:$D$55,$O28,$G$8:$G$55)+SUMIF($F$8:$F$55,$O28,$I$8:$I$55)</f>
        <v>2</v>
      </c>
      <c r="Q28" s="49">
        <f>SUMIF($D$8:$D$55,$O28,$I$8:$I$55)+SUMIF($F$8:$F$55,$O28,$G$8:$G$55)</f>
        <v>6</v>
      </c>
      <c r="R28" s="49">
        <f>P28-Q28</f>
        <v>-4</v>
      </c>
      <c r="S28" s="50">
        <f>SUMIF($D$8:$D$55,$O28,$K$8:$K$55)+SUMIF($F$8:$F$55,$O28,$L$8:$L$55)</f>
        <v>0</v>
      </c>
      <c r="T28" s="95" t="s">
        <v>65</v>
      </c>
      <c r="U28" s="40"/>
      <c r="V28" s="40" t="str">
        <f>O28</f>
        <v>Costa Rica</v>
      </c>
      <c r="W28" s="40" t="s">
        <v>63</v>
      </c>
      <c r="Y28" s="109">
        <f t="shared" si="8"/>
        <v>5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5</v>
      </c>
      <c r="AG28" s="108">
        <f t="shared" si="0"/>
        <v>0</v>
      </c>
      <c r="AH28" s="108">
        <f t="shared" si="1"/>
        <v>0</v>
      </c>
      <c r="AI28" s="108">
        <f t="shared" si="10"/>
        <v>0</v>
      </c>
      <c r="AJ28" s="108">
        <f t="shared" si="2"/>
        <v>5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18">
        <v>22</v>
      </c>
      <c r="C29" s="19">
        <v>41809</v>
      </c>
      <c r="D29" s="20" t="s">
        <v>19</v>
      </c>
      <c r="E29" s="21" t="s">
        <v>9</v>
      </c>
      <c r="F29" s="30" t="s">
        <v>21</v>
      </c>
      <c r="G29" s="86">
        <v>2</v>
      </c>
      <c r="H29" s="21" t="s">
        <v>9</v>
      </c>
      <c r="I29" s="91">
        <v>1</v>
      </c>
      <c r="J29" s="23">
        <f t="shared" si="5"/>
        <v>1</v>
      </c>
      <c r="K29" s="11">
        <f t="shared" si="6"/>
        <v>3</v>
      </c>
      <c r="L29" s="11">
        <f t="shared" si="7"/>
        <v>0</v>
      </c>
      <c r="O29" s="48" t="s">
        <v>21</v>
      </c>
      <c r="P29" s="49">
        <f>SUMIF($D$8:$D$55,$O29,$G$8:$G$55)+SUMIF($F$8:$F$55,$O29,$I$8:$I$55)</f>
        <v>5</v>
      </c>
      <c r="Q29" s="49">
        <f>SUMIF($D$8:$D$55,$O29,$I$8:$I$55)+SUMIF($F$8:$F$55,$O29,$G$8:$G$55)</f>
        <v>4</v>
      </c>
      <c r="R29" s="49">
        <f>P29-Q29</f>
        <v>1</v>
      </c>
      <c r="S29" s="50">
        <f>SUMIF($D$8:$D$55,$O29,$K$8:$K$55)+SUMIF($F$8:$F$55,$O29,$L$8:$L$55)</f>
        <v>4</v>
      </c>
      <c r="T29" s="95" t="s">
        <v>64</v>
      </c>
      <c r="U29" s="40"/>
      <c r="V29" s="40" t="str">
        <f>O29</f>
        <v>Engeland</v>
      </c>
      <c r="W29" s="40" t="s">
        <v>64</v>
      </c>
      <c r="Y29" s="109">
        <f t="shared" si="8"/>
        <v>10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10</v>
      </c>
      <c r="AG29" s="108">
        <f t="shared" si="0"/>
        <v>1</v>
      </c>
      <c r="AH29" s="108">
        <f t="shared" si="1"/>
        <v>1</v>
      </c>
      <c r="AI29" s="108">
        <f t="shared" si="10"/>
        <v>10</v>
      </c>
      <c r="AJ29" s="108">
        <f t="shared" si="2"/>
        <v>5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24">
        <v>23</v>
      </c>
      <c r="C30" s="25">
        <v>41809</v>
      </c>
      <c r="D30" s="26" t="s">
        <v>24</v>
      </c>
      <c r="E30" s="27" t="s">
        <v>9</v>
      </c>
      <c r="F30" s="28" t="s">
        <v>18</v>
      </c>
      <c r="G30" s="87">
        <v>2</v>
      </c>
      <c r="H30" s="27" t="s">
        <v>9</v>
      </c>
      <c r="I30" s="92">
        <v>1</v>
      </c>
      <c r="J30" s="29">
        <f t="shared" si="5"/>
        <v>1</v>
      </c>
      <c r="K30" s="11">
        <f t="shared" si="6"/>
        <v>3</v>
      </c>
      <c r="L30" s="11">
        <f t="shared" si="7"/>
        <v>0</v>
      </c>
      <c r="O30" s="51" t="s">
        <v>22</v>
      </c>
      <c r="P30" s="52">
        <f>SUMIF($D$8:$D$55,$O30,$G$8:$G$55)+SUMIF($F$8:$F$55,$O30,$I$8:$I$55)</f>
        <v>4</v>
      </c>
      <c r="Q30" s="52">
        <f>SUMIF($D$8:$D$55,$O30,$I$8:$I$55)+SUMIF($F$8:$F$55,$O30,$G$8:$G$55)</f>
        <v>3</v>
      </c>
      <c r="R30" s="52">
        <f>P30-Q30</f>
        <v>1</v>
      </c>
      <c r="S30" s="53">
        <f>SUMIF($D$8:$D$55,$O30,$K$8:$K$55)+SUMIF($F$8:$F$55,$O30,$L$8:$L$55)</f>
        <v>5</v>
      </c>
      <c r="T30" s="96" t="s">
        <v>63</v>
      </c>
      <c r="U30" s="40"/>
      <c r="V30" s="40" t="str">
        <f>O30</f>
        <v>Italië</v>
      </c>
      <c r="W30" s="40" t="s">
        <v>65</v>
      </c>
      <c r="Y30" s="109">
        <f t="shared" si="8"/>
        <v>0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0</v>
      </c>
      <c r="AG30" s="108">
        <f t="shared" si="0"/>
        <v>0</v>
      </c>
      <c r="AH30" s="108">
        <f t="shared" si="1"/>
        <v>0</v>
      </c>
      <c r="AI30" s="108">
        <f t="shared" si="10"/>
        <v>0</v>
      </c>
      <c r="AJ30" s="108">
        <f t="shared" si="2"/>
        <v>0</v>
      </c>
      <c r="AK30" s="108">
        <f t="shared" si="3"/>
        <v>0</v>
      </c>
      <c r="AL30" s="108">
        <f t="shared" si="4"/>
        <v>0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12">
        <v>24</v>
      </c>
      <c r="C31" s="13">
        <v>41810</v>
      </c>
      <c r="D31" s="14" t="s">
        <v>22</v>
      </c>
      <c r="E31" s="15" t="s">
        <v>9</v>
      </c>
      <c r="F31" s="16" t="s">
        <v>20</v>
      </c>
      <c r="G31" s="85">
        <v>2</v>
      </c>
      <c r="H31" s="15" t="s">
        <v>9</v>
      </c>
      <c r="I31" s="90">
        <v>1</v>
      </c>
      <c r="J31" s="17">
        <f t="shared" si="5"/>
        <v>1</v>
      </c>
      <c r="K31" s="11">
        <f t="shared" si="6"/>
        <v>3</v>
      </c>
      <c r="L31" s="11">
        <f t="shared" si="7"/>
        <v>0</v>
      </c>
      <c r="O31" s="40"/>
      <c r="P31" s="41"/>
      <c r="Q31" s="41"/>
      <c r="R31" s="41"/>
      <c r="S31" s="41"/>
      <c r="T31" s="41"/>
      <c r="U31" s="40"/>
      <c r="V31" s="40"/>
      <c r="W31" s="40"/>
      <c r="Y31" s="109">
        <f t="shared" si="8"/>
        <v>1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1</v>
      </c>
      <c r="AG31" s="108">
        <f t="shared" si="0"/>
        <v>0</v>
      </c>
      <c r="AH31" s="108">
        <f t="shared" si="1"/>
        <v>1</v>
      </c>
      <c r="AI31" s="108">
        <f t="shared" si="10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40"/>
      <c r="AO31" s="41"/>
    </row>
    <row r="32" spans="2:41" ht="15.75" thickBot="1">
      <c r="B32" s="18">
        <v>25</v>
      </c>
      <c r="C32" s="19">
        <v>41810</v>
      </c>
      <c r="D32" s="20" t="s">
        <v>25</v>
      </c>
      <c r="E32" s="21" t="s">
        <v>9</v>
      </c>
      <c r="F32" s="30" t="s">
        <v>27</v>
      </c>
      <c r="G32" s="86">
        <v>0</v>
      </c>
      <c r="H32" s="21" t="s">
        <v>9</v>
      </c>
      <c r="I32" s="91">
        <v>2</v>
      </c>
      <c r="J32" s="23">
        <f t="shared" si="5"/>
        <v>2</v>
      </c>
      <c r="K32" s="11">
        <f t="shared" si="6"/>
        <v>0</v>
      </c>
      <c r="L32" s="11">
        <f t="shared" si="7"/>
        <v>3</v>
      </c>
      <c r="O32" s="72" t="s">
        <v>66</v>
      </c>
      <c r="P32" s="73" t="s">
        <v>42</v>
      </c>
      <c r="Q32" s="73" t="s">
        <v>43</v>
      </c>
      <c r="R32" s="74" t="s">
        <v>44</v>
      </c>
      <c r="S32" s="75" t="s">
        <v>45</v>
      </c>
      <c r="T32" s="76" t="s">
        <v>46</v>
      </c>
      <c r="U32" s="40"/>
      <c r="V32" s="40"/>
      <c r="W32" s="40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0"/>
        <v>0</v>
      </c>
      <c r="AH32" s="108">
        <f t="shared" si="1"/>
        <v>0</v>
      </c>
      <c r="AI32" s="108">
        <f t="shared" si="10"/>
        <v>0</v>
      </c>
      <c r="AJ32" s="108">
        <f t="shared" si="2"/>
        <v>0</v>
      </c>
      <c r="AK32" s="108">
        <f t="shared" si="3"/>
        <v>5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24">
        <v>26</v>
      </c>
      <c r="C33" s="25">
        <v>41810</v>
      </c>
      <c r="D33" s="26" t="s">
        <v>28</v>
      </c>
      <c r="E33" s="27" t="s">
        <v>9</v>
      </c>
      <c r="F33" s="28" t="s">
        <v>26</v>
      </c>
      <c r="G33" s="87">
        <v>0</v>
      </c>
      <c r="H33" s="27" t="s">
        <v>9</v>
      </c>
      <c r="I33" s="92">
        <v>1</v>
      </c>
      <c r="J33" s="29">
        <f t="shared" si="5"/>
        <v>2</v>
      </c>
      <c r="K33" s="11">
        <f t="shared" si="6"/>
        <v>0</v>
      </c>
      <c r="L33" s="11">
        <f t="shared" si="7"/>
        <v>3</v>
      </c>
      <c r="O33" s="44" t="s">
        <v>25</v>
      </c>
      <c r="P33" s="45">
        <f>SUMIF($D$8:$D$55,$O33,$G$8:$G$55)+SUMIF($F$8:$F$55,$O33,$I$8:$I$55)</f>
        <v>1</v>
      </c>
      <c r="Q33" s="45">
        <f>SUMIF($D$8:$D$55,$O33,$I$8:$I$55)+SUMIF($F$8:$F$55,$O33,$G$8:$G$55)</f>
        <v>5</v>
      </c>
      <c r="R33" s="46">
        <f>P33-Q33</f>
        <v>-4</v>
      </c>
      <c r="S33" s="47">
        <f>SUMIF($D$8:$D$55,$O33,$K$8:$K$55)+SUMIF($F$8:$F$55,$O33,$L$8:$L$55)</f>
        <v>1</v>
      </c>
      <c r="T33" s="94" t="s">
        <v>70</v>
      </c>
      <c r="U33" s="40"/>
      <c r="V33" s="40" t="str">
        <f>O33</f>
        <v>Zwitserland</v>
      </c>
      <c r="W33" s="40" t="s">
        <v>67</v>
      </c>
      <c r="Y33" s="109">
        <f t="shared" si="8"/>
        <v>5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5</v>
      </c>
      <c r="AG33" s="108">
        <f t="shared" si="0"/>
        <v>0</v>
      </c>
      <c r="AH33" s="108">
        <f t="shared" si="1"/>
        <v>0</v>
      </c>
      <c r="AI33" s="108">
        <f t="shared" si="10"/>
        <v>0</v>
      </c>
      <c r="AJ33" s="108">
        <f t="shared" si="2"/>
        <v>0</v>
      </c>
      <c r="AK33" s="108">
        <f t="shared" si="3"/>
        <v>5</v>
      </c>
      <c r="AL33" s="108">
        <f t="shared" si="4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12">
        <v>27</v>
      </c>
      <c r="C34" s="13">
        <v>41811</v>
      </c>
      <c r="D34" s="14" t="s">
        <v>29</v>
      </c>
      <c r="E34" s="15" t="s">
        <v>9</v>
      </c>
      <c r="F34" s="16" t="s">
        <v>33</v>
      </c>
      <c r="G34" s="85">
        <v>4</v>
      </c>
      <c r="H34" s="15" t="s">
        <v>9</v>
      </c>
      <c r="I34" s="90">
        <v>0</v>
      </c>
      <c r="J34" s="17">
        <f t="shared" si="5"/>
        <v>1</v>
      </c>
      <c r="K34" s="11">
        <f t="shared" si="6"/>
        <v>3</v>
      </c>
      <c r="L34" s="11">
        <f t="shared" si="7"/>
        <v>0</v>
      </c>
      <c r="O34" s="48" t="s">
        <v>26</v>
      </c>
      <c r="P34" s="49">
        <f>SUMIF($D$8:$D$55,$O34,$G$8:$G$55)+SUMIF($F$8:$F$55,$O34,$I$8:$I$55)</f>
        <v>3</v>
      </c>
      <c r="Q34" s="49">
        <f>SUMIF($D$8:$D$55,$O34,$I$8:$I$55)+SUMIF($F$8:$F$55,$O34,$G$8:$G$55)</f>
        <v>2</v>
      </c>
      <c r="R34" s="49">
        <f>P34-Q34</f>
        <v>1</v>
      </c>
      <c r="S34" s="50">
        <f>SUMIF($D$8:$D$55,$O34,$K$8:$K$55)+SUMIF($F$8:$F$55,$O34,$L$8:$L$55)</f>
        <v>6</v>
      </c>
      <c r="T34" s="95" t="s">
        <v>68</v>
      </c>
      <c r="U34" s="40"/>
      <c r="V34" s="40" t="str">
        <f>O34</f>
        <v>Ecuador</v>
      </c>
      <c r="W34" s="40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0"/>
        <v>0</v>
      </c>
      <c r="AH34" s="108">
        <f t="shared" si="1"/>
        <v>1</v>
      </c>
      <c r="AI34" s="108">
        <f t="shared" si="10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18">
        <v>28</v>
      </c>
      <c r="C35" s="19">
        <v>41811</v>
      </c>
      <c r="D35" s="20" t="s">
        <v>31</v>
      </c>
      <c r="E35" s="21" t="s">
        <v>9</v>
      </c>
      <c r="F35" s="30" t="s">
        <v>35</v>
      </c>
      <c r="G35" s="86">
        <v>3</v>
      </c>
      <c r="H35" s="21" t="s">
        <v>9</v>
      </c>
      <c r="I35" s="91">
        <v>0</v>
      </c>
      <c r="J35" s="23">
        <f t="shared" si="5"/>
        <v>1</v>
      </c>
      <c r="K35" s="11">
        <f t="shared" si="6"/>
        <v>3</v>
      </c>
      <c r="L35" s="11">
        <f t="shared" si="7"/>
        <v>0</v>
      </c>
      <c r="O35" s="48" t="s">
        <v>27</v>
      </c>
      <c r="P35" s="49">
        <f>SUMIF($D$8:$D$55,$O35,$G$8:$G$55)+SUMIF($F$8:$F$55,$O35,$I$8:$I$55)</f>
        <v>7</v>
      </c>
      <c r="Q35" s="49">
        <f>SUMIF($D$8:$D$55,$O35,$I$8:$I$55)+SUMIF($F$8:$F$55,$O35,$G$8:$G$55)</f>
        <v>2</v>
      </c>
      <c r="R35" s="49">
        <f>P35-Q35</f>
        <v>5</v>
      </c>
      <c r="S35" s="50">
        <f>SUMIF($D$8:$D$55,$O35,$K$8:$K$55)+SUMIF($F$8:$F$55,$O35,$L$8:$L$55)</f>
        <v>9</v>
      </c>
      <c r="T35" s="95" t="s">
        <v>67</v>
      </c>
      <c r="U35" s="40"/>
      <c r="V35" s="40" t="str">
        <f>O35</f>
        <v>Frankrijk</v>
      </c>
      <c r="W35" s="40" t="s">
        <v>69</v>
      </c>
      <c r="Y35" s="109">
        <f t="shared" si="8"/>
        <v>0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0</v>
      </c>
      <c r="AG35" s="108">
        <f t="shared" si="0"/>
        <v>0</v>
      </c>
      <c r="AH35" s="108">
        <f t="shared" si="1"/>
        <v>0</v>
      </c>
      <c r="AI35" s="108">
        <f t="shared" si="10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24">
        <v>29</v>
      </c>
      <c r="C36" s="25">
        <v>41811</v>
      </c>
      <c r="D36" s="26" t="s">
        <v>34</v>
      </c>
      <c r="E36" s="27" t="s">
        <v>9</v>
      </c>
      <c r="F36" s="28" t="s">
        <v>30</v>
      </c>
      <c r="G36" s="87">
        <v>0</v>
      </c>
      <c r="H36" s="27" t="s">
        <v>9</v>
      </c>
      <c r="I36" s="92">
        <v>1</v>
      </c>
      <c r="J36" s="29">
        <f t="shared" si="5"/>
        <v>2</v>
      </c>
      <c r="K36" s="11">
        <f t="shared" si="6"/>
        <v>0</v>
      </c>
      <c r="L36" s="11">
        <f t="shared" si="7"/>
        <v>3</v>
      </c>
      <c r="O36" s="51" t="s">
        <v>28</v>
      </c>
      <c r="P36" s="52">
        <f>SUMIF($D$8:$D$55,$O36,$G$8:$G$55)+SUMIF($F$8:$F$55,$O36,$I$8:$I$55)</f>
        <v>3</v>
      </c>
      <c r="Q36" s="52">
        <f>SUMIF($D$8:$D$55,$O36,$I$8:$I$55)+SUMIF($F$8:$F$55,$O36,$G$8:$G$55)</f>
        <v>5</v>
      </c>
      <c r="R36" s="52">
        <f>P36-Q36</f>
        <v>-2</v>
      </c>
      <c r="S36" s="53">
        <f>SUMIF($D$8:$D$55,$O36,$K$8:$K$55)+SUMIF($F$8:$F$55,$O36,$L$8:$L$55)</f>
        <v>1</v>
      </c>
      <c r="T36" s="96" t="s">
        <v>69</v>
      </c>
      <c r="U36" s="40"/>
      <c r="V36" s="40" t="str">
        <f>O36</f>
        <v>Honduras</v>
      </c>
      <c r="W36" s="40" t="s">
        <v>70</v>
      </c>
      <c r="Y36" s="109">
        <f t="shared" si="8"/>
        <v>0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0</v>
      </c>
      <c r="AG36" s="108">
        <f t="shared" si="0"/>
        <v>0</v>
      </c>
      <c r="AH36" s="108">
        <f t="shared" si="1"/>
        <v>0</v>
      </c>
      <c r="AI36" s="108">
        <f t="shared" si="10"/>
        <v>0</v>
      </c>
      <c r="AJ36" s="108">
        <f t="shared" si="2"/>
        <v>0</v>
      </c>
      <c r="AK36" s="108">
        <f t="shared" si="3"/>
        <v>0</v>
      </c>
      <c r="AL36" s="108">
        <f t="shared" si="4"/>
        <v>0</v>
      </c>
      <c r="AM36" s="120">
        <f>AO36</f>
        <v>0</v>
      </c>
      <c r="AN36" s="118" t="s">
        <v>28</v>
      </c>
      <c r="AO36" s="115">
        <f>IF(Uitslag!T36="",0,IF(T36=Uitslag!T36,10,0))</f>
        <v>0</v>
      </c>
    </row>
    <row r="37" spans="2:41" ht="15.75" thickBot="1">
      <c r="B37" s="12">
        <v>30</v>
      </c>
      <c r="C37" s="13">
        <v>41812</v>
      </c>
      <c r="D37" s="14" t="s">
        <v>37</v>
      </c>
      <c r="E37" s="15" t="s">
        <v>9</v>
      </c>
      <c r="F37" s="16" t="s">
        <v>39</v>
      </c>
      <c r="G37" s="85">
        <v>1</v>
      </c>
      <c r="H37" s="15" t="s">
        <v>9</v>
      </c>
      <c r="I37" s="90">
        <v>0</v>
      </c>
      <c r="J37" s="17">
        <f t="shared" si="5"/>
        <v>1</v>
      </c>
      <c r="K37" s="11">
        <f t="shared" si="6"/>
        <v>3</v>
      </c>
      <c r="L37" s="11">
        <f t="shared" si="7"/>
        <v>0</v>
      </c>
      <c r="O37" s="40"/>
      <c r="P37" s="41"/>
      <c r="Q37" s="41"/>
      <c r="R37" s="41"/>
      <c r="S37" s="41"/>
      <c r="T37" s="41"/>
      <c r="U37" s="40"/>
      <c r="V37" s="40"/>
      <c r="W37" s="40"/>
      <c r="Y37" s="109">
        <f t="shared" si="8"/>
        <v>10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10</v>
      </c>
      <c r="AG37" s="108">
        <f t="shared" si="0"/>
        <v>1</v>
      </c>
      <c r="AH37" s="108">
        <f t="shared" si="1"/>
        <v>1</v>
      </c>
      <c r="AI37" s="108">
        <f t="shared" si="10"/>
        <v>10</v>
      </c>
      <c r="AJ37" s="108">
        <f t="shared" si="2"/>
        <v>5</v>
      </c>
      <c r="AK37" s="108">
        <f t="shared" si="3"/>
        <v>0</v>
      </c>
      <c r="AL37" s="108">
        <f t="shared" si="4"/>
        <v>0</v>
      </c>
      <c r="AN37" s="40"/>
      <c r="AO37" s="41"/>
    </row>
    <row r="38" spans="2:41" ht="15.75" thickBot="1">
      <c r="B38" s="18">
        <v>31</v>
      </c>
      <c r="C38" s="19">
        <v>41812</v>
      </c>
      <c r="D38" s="20" t="s">
        <v>40</v>
      </c>
      <c r="E38" s="21" t="s">
        <v>9</v>
      </c>
      <c r="F38" s="30" t="s">
        <v>38</v>
      </c>
      <c r="G38" s="86">
        <v>2</v>
      </c>
      <c r="H38" s="21" t="s">
        <v>9</v>
      </c>
      <c r="I38" s="91">
        <v>0</v>
      </c>
      <c r="J38" s="23">
        <f t="shared" si="5"/>
        <v>1</v>
      </c>
      <c r="K38" s="11">
        <f t="shared" si="6"/>
        <v>3</v>
      </c>
      <c r="L38" s="11">
        <f t="shared" si="7"/>
        <v>0</v>
      </c>
      <c r="O38" s="72" t="s">
        <v>71</v>
      </c>
      <c r="P38" s="73" t="s">
        <v>42</v>
      </c>
      <c r="Q38" s="73" t="s">
        <v>43</v>
      </c>
      <c r="R38" s="74" t="s">
        <v>44</v>
      </c>
      <c r="S38" s="75" t="s">
        <v>45</v>
      </c>
      <c r="T38" s="76" t="s">
        <v>46</v>
      </c>
      <c r="U38" s="40"/>
      <c r="V38" s="40"/>
      <c r="W38" s="40"/>
      <c r="Y38" s="109">
        <f t="shared" si="8"/>
        <v>1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1</v>
      </c>
      <c r="AG38" s="108">
        <f t="shared" si="0"/>
        <v>1</v>
      </c>
      <c r="AH38" s="108">
        <f t="shared" si="1"/>
        <v>0</v>
      </c>
      <c r="AI38" s="108">
        <f t="shared" si="10"/>
        <v>0</v>
      </c>
      <c r="AJ38" s="108">
        <f t="shared" si="2"/>
        <v>0</v>
      </c>
      <c r="AK38" s="108">
        <f t="shared" si="3"/>
        <v>0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24">
        <v>32</v>
      </c>
      <c r="C39" s="25">
        <v>41812</v>
      </c>
      <c r="D39" s="26" t="s">
        <v>36</v>
      </c>
      <c r="E39" s="27" t="s">
        <v>9</v>
      </c>
      <c r="F39" s="28" t="s">
        <v>32</v>
      </c>
      <c r="G39" s="87">
        <v>0</v>
      </c>
      <c r="H39" s="27" t="s">
        <v>9</v>
      </c>
      <c r="I39" s="92">
        <v>2</v>
      </c>
      <c r="J39" s="29">
        <f t="shared" si="5"/>
        <v>2</v>
      </c>
      <c r="K39" s="11">
        <f t="shared" si="6"/>
        <v>0</v>
      </c>
      <c r="L39" s="11">
        <f t="shared" si="7"/>
        <v>3</v>
      </c>
      <c r="O39" s="44" t="s">
        <v>29</v>
      </c>
      <c r="P39" s="45">
        <f>SUMIF($D$8:$D$55,$O39,$G$8:$G$55)+SUMIF($F$8:$F$55,$O39,$I$8:$I$55)</f>
        <v>11</v>
      </c>
      <c r="Q39" s="45">
        <f>SUMIF($D$8:$D$55,$O39,$I$8:$I$55)+SUMIF($F$8:$F$55,$O39,$G$8:$G$55)</f>
        <v>0</v>
      </c>
      <c r="R39" s="46">
        <f>P39-Q39</f>
        <v>11</v>
      </c>
      <c r="S39" s="47">
        <f>SUMIF($D$8:$D$55,$O39,$K$8:$K$55)+SUMIF($F$8:$F$55,$O39,$L$8:$L$55)</f>
        <v>9</v>
      </c>
      <c r="T39" s="94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1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1</v>
      </c>
      <c r="AG39" s="108">
        <f t="shared" si="0"/>
        <v>0</v>
      </c>
      <c r="AH39" s="108">
        <f t="shared" si="1"/>
        <v>1</v>
      </c>
      <c r="AI39" s="108">
        <f t="shared" si="10"/>
        <v>0</v>
      </c>
      <c r="AJ39" s="108">
        <f t="shared" si="2"/>
        <v>0</v>
      </c>
      <c r="AK39" s="108">
        <f t="shared" si="3"/>
        <v>0</v>
      </c>
      <c r="AL39" s="108">
        <f t="shared" si="4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12">
        <v>33</v>
      </c>
      <c r="C40" s="13">
        <v>41813</v>
      </c>
      <c r="D40" s="14" t="s">
        <v>16</v>
      </c>
      <c r="E40" s="15" t="s">
        <v>9</v>
      </c>
      <c r="F40" s="16" t="s">
        <v>13</v>
      </c>
      <c r="G40" s="85">
        <v>0</v>
      </c>
      <c r="H40" s="15" t="s">
        <v>9</v>
      </c>
      <c r="I40" s="90">
        <v>3</v>
      </c>
      <c r="J40" s="17">
        <f t="shared" si="5"/>
        <v>2</v>
      </c>
      <c r="K40" s="11">
        <f t="shared" si="6"/>
        <v>0</v>
      </c>
      <c r="L40" s="11">
        <f t="shared" si="7"/>
        <v>3</v>
      </c>
      <c r="O40" s="48" t="s">
        <v>30</v>
      </c>
      <c r="P40" s="49">
        <f>SUMIF($D$8:$D$55,$O40,$G$8:$G$55)+SUMIF($F$8:$F$55,$O40,$I$8:$I$55)</f>
        <v>3</v>
      </c>
      <c r="Q40" s="49">
        <f>SUMIF($D$8:$D$55,$O40,$I$8:$I$55)+SUMIF($F$8:$F$55,$O40,$G$8:$G$55)</f>
        <v>4</v>
      </c>
      <c r="R40" s="49">
        <f>P40-Q40</f>
        <v>-1</v>
      </c>
      <c r="S40" s="50">
        <f>SUMIF($D$8:$D$55,$O40,$K$8:$K$55)+SUMIF($F$8:$F$55,$O40,$L$8:$L$55)</f>
        <v>6</v>
      </c>
      <c r="T40" s="95" t="s">
        <v>74</v>
      </c>
      <c r="U40" s="40"/>
      <c r="V40" s="40" t="str">
        <f>O40</f>
        <v>Bosnië H.</v>
      </c>
      <c r="W40" s="40" t="s">
        <v>73</v>
      </c>
      <c r="Y40" s="109">
        <f t="shared" si="8"/>
        <v>10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10</v>
      </c>
      <c r="AG40" s="108">
        <f t="shared" si="0"/>
        <v>1</v>
      </c>
      <c r="AH40" s="108">
        <f t="shared" si="1"/>
        <v>1</v>
      </c>
      <c r="AI40" s="108">
        <f t="shared" si="10"/>
        <v>10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18">
        <v>34</v>
      </c>
      <c r="C41" s="19">
        <v>41813</v>
      </c>
      <c r="D41" s="32" t="s">
        <v>14</v>
      </c>
      <c r="E41" s="21" t="s">
        <v>9</v>
      </c>
      <c r="F41" s="30" t="s">
        <v>15</v>
      </c>
      <c r="G41" s="86">
        <v>2</v>
      </c>
      <c r="H41" s="21" t="s">
        <v>9</v>
      </c>
      <c r="I41" s="91">
        <v>2</v>
      </c>
      <c r="J41" s="23">
        <f t="shared" si="5"/>
        <v>3</v>
      </c>
      <c r="K41" s="11">
        <f t="shared" si="6"/>
        <v>1</v>
      </c>
      <c r="L41" s="11">
        <f t="shared" si="7"/>
        <v>1</v>
      </c>
      <c r="O41" s="48" t="s">
        <v>33</v>
      </c>
      <c r="P41" s="49">
        <f>SUMIF($D$8:$D$55,$O41,$G$8:$G$55)+SUMIF($F$8:$F$55,$O41,$I$8:$I$55)</f>
        <v>1</v>
      </c>
      <c r="Q41" s="49">
        <f>SUMIF($D$8:$D$55,$O41,$I$8:$I$55)+SUMIF($F$8:$F$55,$O41,$G$8:$G$55)</f>
        <v>8</v>
      </c>
      <c r="R41" s="49">
        <f>P41-Q41</f>
        <v>-7</v>
      </c>
      <c r="S41" s="50">
        <f>SUMIF($D$8:$D$55,$O41,$K$8:$K$55)+SUMIF($F$8:$F$55,$O41,$L$8:$L$55)</f>
        <v>0</v>
      </c>
      <c r="T41" s="95" t="s">
        <v>75</v>
      </c>
      <c r="U41" s="40"/>
      <c r="V41" s="40" t="str">
        <f>O41</f>
        <v>Iran</v>
      </c>
      <c r="W41" s="40" t="s">
        <v>74</v>
      </c>
      <c r="Y41" s="109">
        <f t="shared" si="8"/>
        <v>1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1</v>
      </c>
      <c r="AG41" s="108">
        <f t="shared" si="0"/>
        <v>1</v>
      </c>
      <c r="AH41" s="108">
        <f t="shared" si="1"/>
        <v>0</v>
      </c>
      <c r="AI41" s="108">
        <f t="shared" si="10"/>
        <v>0</v>
      </c>
      <c r="AJ41" s="108">
        <f t="shared" si="2"/>
        <v>0</v>
      </c>
      <c r="AK41" s="108">
        <f t="shared" si="3"/>
        <v>0</v>
      </c>
      <c r="AL41" s="108">
        <f t="shared" si="4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18">
        <v>35</v>
      </c>
      <c r="C42" s="19">
        <v>41813</v>
      </c>
      <c r="D42" s="20" t="s">
        <v>12</v>
      </c>
      <c r="E42" s="21" t="s">
        <v>9</v>
      </c>
      <c r="F42" s="30" t="s">
        <v>8</v>
      </c>
      <c r="G42" s="86">
        <v>0</v>
      </c>
      <c r="H42" s="21" t="s">
        <v>9</v>
      </c>
      <c r="I42" s="91">
        <v>4</v>
      </c>
      <c r="J42" s="23">
        <f t="shared" si="5"/>
        <v>2</v>
      </c>
      <c r="K42" s="11">
        <f t="shared" si="6"/>
        <v>0</v>
      </c>
      <c r="L42" s="11">
        <f t="shared" si="7"/>
        <v>3</v>
      </c>
      <c r="O42" s="51" t="s">
        <v>34</v>
      </c>
      <c r="P42" s="52">
        <f>SUMIF($D$8:$D$55,$O42,$G$8:$G$55)+SUMIF($F$8:$F$55,$O42,$I$8:$I$55)</f>
        <v>2</v>
      </c>
      <c r="Q42" s="52">
        <f>SUMIF($D$8:$D$55,$O42,$I$8:$I$55)+SUMIF($F$8:$F$55,$O42,$G$8:$G$55)</f>
        <v>5</v>
      </c>
      <c r="R42" s="52">
        <f>P42-Q42</f>
        <v>-3</v>
      </c>
      <c r="S42" s="53">
        <f>SUMIF($D$8:$D$55,$O42,$K$8:$K$55)+SUMIF($F$8:$F$55,$O42,$L$8:$L$55)</f>
        <v>3</v>
      </c>
      <c r="T42" s="96" t="s">
        <v>73</v>
      </c>
      <c r="U42" s="40"/>
      <c r="V42" s="40" t="str">
        <f>O42</f>
        <v>Nigeria</v>
      </c>
      <c r="W42" s="40" t="s">
        <v>75</v>
      </c>
      <c r="Y42" s="109">
        <f t="shared" si="8"/>
        <v>6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6</v>
      </c>
      <c r="AG42" s="108">
        <f t="shared" si="0"/>
        <v>0</v>
      </c>
      <c r="AH42" s="108">
        <f t="shared" si="1"/>
        <v>1</v>
      </c>
      <c r="AI42" s="108">
        <f t="shared" si="10"/>
        <v>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24">
        <v>36</v>
      </c>
      <c r="C43" s="25">
        <v>41813</v>
      </c>
      <c r="D43" s="26" t="s">
        <v>10</v>
      </c>
      <c r="E43" s="27" t="s">
        <v>9</v>
      </c>
      <c r="F43" s="28" t="s">
        <v>11</v>
      </c>
      <c r="G43" s="87">
        <v>0</v>
      </c>
      <c r="H43" s="27" t="s">
        <v>9</v>
      </c>
      <c r="I43" s="92">
        <v>3</v>
      </c>
      <c r="J43" s="29">
        <f t="shared" si="5"/>
        <v>2</v>
      </c>
      <c r="K43" s="11">
        <f t="shared" si="6"/>
        <v>0</v>
      </c>
      <c r="L43" s="11">
        <f t="shared" si="7"/>
        <v>3</v>
      </c>
      <c r="O43" s="40"/>
      <c r="P43" s="41"/>
      <c r="Q43" s="41"/>
      <c r="R43" s="41"/>
      <c r="S43" s="41"/>
      <c r="T43" s="41"/>
      <c r="U43" s="40"/>
      <c r="V43" s="40"/>
      <c r="W43" s="40"/>
      <c r="Y43" s="109">
        <f t="shared" si="8"/>
        <v>6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6</v>
      </c>
      <c r="AG43" s="108">
        <f t="shared" si="0"/>
        <v>0</v>
      </c>
      <c r="AH43" s="108">
        <f t="shared" si="1"/>
        <v>1</v>
      </c>
      <c r="AI43" s="108">
        <f t="shared" si="10"/>
        <v>0</v>
      </c>
      <c r="AJ43" s="108">
        <f t="shared" si="2"/>
        <v>0</v>
      </c>
      <c r="AK43" s="108">
        <f t="shared" si="3"/>
        <v>5</v>
      </c>
      <c r="AL43" s="108">
        <f t="shared" si="4"/>
        <v>0</v>
      </c>
      <c r="AN43" s="40"/>
      <c r="AO43" s="41"/>
    </row>
    <row r="44" spans="2:41" ht="15.75" thickBot="1">
      <c r="B44" s="12">
        <v>37</v>
      </c>
      <c r="C44" s="13">
        <v>41814</v>
      </c>
      <c r="D44" s="14" t="s">
        <v>22</v>
      </c>
      <c r="E44" s="15" t="s">
        <v>9</v>
      </c>
      <c r="F44" s="16" t="s">
        <v>19</v>
      </c>
      <c r="G44" s="85">
        <v>1</v>
      </c>
      <c r="H44" s="15" t="s">
        <v>9</v>
      </c>
      <c r="I44" s="90">
        <v>1</v>
      </c>
      <c r="J44" s="17">
        <f t="shared" si="5"/>
        <v>3</v>
      </c>
      <c r="K44" s="11">
        <f t="shared" si="6"/>
        <v>1</v>
      </c>
      <c r="L44" s="11">
        <f t="shared" si="7"/>
        <v>1</v>
      </c>
      <c r="O44" s="72" t="s">
        <v>76</v>
      </c>
      <c r="P44" s="73" t="s">
        <v>42</v>
      </c>
      <c r="Q44" s="73" t="s">
        <v>43</v>
      </c>
      <c r="R44" s="74" t="s">
        <v>44</v>
      </c>
      <c r="S44" s="75" t="s">
        <v>45</v>
      </c>
      <c r="T44" s="76" t="s">
        <v>46</v>
      </c>
      <c r="U44" s="40"/>
      <c r="V44" s="40"/>
      <c r="W44" s="40"/>
      <c r="Y44" s="109">
        <f t="shared" si="8"/>
        <v>1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1</v>
      </c>
      <c r="AG44" s="108">
        <f t="shared" si="0"/>
        <v>0</v>
      </c>
      <c r="AH44" s="108">
        <f t="shared" si="1"/>
        <v>1</v>
      </c>
      <c r="AI44" s="108">
        <f t="shared" si="10"/>
        <v>0</v>
      </c>
      <c r="AJ44" s="108">
        <f t="shared" si="2"/>
        <v>0</v>
      </c>
      <c r="AK44" s="108">
        <f t="shared" si="3"/>
        <v>0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18">
        <v>38</v>
      </c>
      <c r="C45" s="19">
        <v>41814</v>
      </c>
      <c r="D45" s="20" t="s">
        <v>20</v>
      </c>
      <c r="E45" s="21" t="s">
        <v>9</v>
      </c>
      <c r="F45" s="30" t="s">
        <v>21</v>
      </c>
      <c r="G45" s="86">
        <v>1</v>
      </c>
      <c r="H45" s="21" t="s">
        <v>9</v>
      </c>
      <c r="I45" s="91">
        <v>3</v>
      </c>
      <c r="J45" s="23">
        <f t="shared" si="5"/>
        <v>2</v>
      </c>
      <c r="K45" s="11">
        <f t="shared" si="6"/>
        <v>0</v>
      </c>
      <c r="L45" s="11">
        <f t="shared" si="7"/>
        <v>3</v>
      </c>
      <c r="O45" s="44" t="s">
        <v>31</v>
      </c>
      <c r="P45" s="45">
        <f>SUMIF($D$8:$D$55,$O45,$G$8:$G$55)+SUMIF($F$8:$F$55,$O45,$I$8:$I$55)</f>
        <v>8</v>
      </c>
      <c r="Q45" s="45">
        <f>SUMIF($D$8:$D$55,$O45,$I$8:$I$55)+SUMIF($F$8:$F$55,$O45,$G$8:$G$55)</f>
        <v>3</v>
      </c>
      <c r="R45" s="46">
        <f>P45-Q45</f>
        <v>5</v>
      </c>
      <c r="S45" s="47">
        <f>SUMIF($D$8:$D$55,$O45,$K$8:$K$55)+SUMIF($F$8:$F$55,$O45,$L$8:$L$55)</f>
        <v>7</v>
      </c>
      <c r="T45" s="94" t="s">
        <v>78</v>
      </c>
      <c r="U45" s="40"/>
      <c r="V45" s="40" t="str">
        <f>O45</f>
        <v>Duitsland</v>
      </c>
      <c r="W45" s="40" t="s">
        <v>77</v>
      </c>
      <c r="Y45" s="109">
        <f t="shared" si="8"/>
        <v>0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0</v>
      </c>
      <c r="AG45" s="108">
        <f t="shared" si="0"/>
        <v>0</v>
      </c>
      <c r="AH45" s="108">
        <f t="shared" si="1"/>
        <v>0</v>
      </c>
      <c r="AI45" s="108">
        <f t="shared" si="10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0</v>
      </c>
      <c r="AN45" s="116" t="s">
        <v>31</v>
      </c>
      <c r="AO45" s="115">
        <f>IF(Uitslag!T45="",0,IF(T45=Uitslag!T45,10,0))</f>
        <v>0</v>
      </c>
    </row>
    <row r="46" spans="2:41" ht="15.75" thickBot="1">
      <c r="B46" s="18">
        <v>39</v>
      </c>
      <c r="C46" s="19">
        <v>41814</v>
      </c>
      <c r="D46" s="20" t="s">
        <v>24</v>
      </c>
      <c r="E46" s="21" t="s">
        <v>9</v>
      </c>
      <c r="F46" s="30" t="s">
        <v>17</v>
      </c>
      <c r="G46" s="86">
        <v>0</v>
      </c>
      <c r="H46" s="21" t="s">
        <v>9</v>
      </c>
      <c r="I46" s="91">
        <v>0</v>
      </c>
      <c r="J46" s="23">
        <f t="shared" si="5"/>
        <v>3</v>
      </c>
      <c r="K46" s="11">
        <f t="shared" si="6"/>
        <v>1</v>
      </c>
      <c r="L46" s="11">
        <f t="shared" si="7"/>
        <v>1</v>
      </c>
      <c r="O46" s="48" t="s">
        <v>32</v>
      </c>
      <c r="P46" s="49">
        <f>SUMIF($D$8:$D$55,$O46,$G$8:$G$55)+SUMIF($F$8:$F$55,$O46,$I$8:$I$55)</f>
        <v>8</v>
      </c>
      <c r="Q46" s="49">
        <f>SUMIF($D$8:$D$55,$O46,$I$8:$I$55)+SUMIF($F$8:$F$55,$O46,$G$8:$G$55)</f>
        <v>2</v>
      </c>
      <c r="R46" s="49">
        <f>P46-Q46</f>
        <v>6</v>
      </c>
      <c r="S46" s="50">
        <f>SUMIF($D$8:$D$55,$O46,$K$8:$K$55)+SUMIF($F$8:$F$55,$O46,$L$8:$L$55)</f>
        <v>7</v>
      </c>
      <c r="T46" s="95" t="s">
        <v>77</v>
      </c>
      <c r="U46" s="40"/>
      <c r="V46" s="40" t="str">
        <f>O46</f>
        <v>Portugal</v>
      </c>
      <c r="W46" s="40" t="s">
        <v>78</v>
      </c>
      <c r="Y46" s="109">
        <f t="shared" si="8"/>
        <v>0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0</v>
      </c>
      <c r="AG46" s="108">
        <f t="shared" si="0"/>
        <v>0</v>
      </c>
      <c r="AH46" s="108">
        <f t="shared" si="1"/>
        <v>0</v>
      </c>
      <c r="AI46" s="108">
        <f t="shared" si="10"/>
        <v>0</v>
      </c>
      <c r="AJ46" s="108">
        <f t="shared" si="2"/>
        <v>0</v>
      </c>
      <c r="AK46" s="108">
        <f t="shared" si="3"/>
        <v>0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24">
        <v>40</v>
      </c>
      <c r="C47" s="25">
        <v>41814</v>
      </c>
      <c r="D47" s="26" t="s">
        <v>18</v>
      </c>
      <c r="E47" s="27" t="s">
        <v>9</v>
      </c>
      <c r="F47" s="28" t="s">
        <v>23</v>
      </c>
      <c r="G47" s="87">
        <v>2</v>
      </c>
      <c r="H47" s="27" t="s">
        <v>9</v>
      </c>
      <c r="I47" s="92">
        <v>0</v>
      </c>
      <c r="J47" s="29">
        <f t="shared" si="5"/>
        <v>1</v>
      </c>
      <c r="K47" s="11">
        <f t="shared" si="6"/>
        <v>3</v>
      </c>
      <c r="L47" s="11">
        <f t="shared" si="7"/>
        <v>0</v>
      </c>
      <c r="O47" s="48" t="s">
        <v>35</v>
      </c>
      <c r="P47" s="49">
        <f>SUMIF($D$8:$D$55,$O47,$G$8:$G$55)+SUMIF($F$8:$F$55,$O47,$I$8:$I$55)</f>
        <v>1</v>
      </c>
      <c r="Q47" s="49">
        <f>SUMIF($D$8:$D$55,$O47,$I$8:$I$55)+SUMIF($F$8:$F$55,$O47,$G$8:$G$55)</f>
        <v>8</v>
      </c>
      <c r="R47" s="49">
        <f>P47-Q47</f>
        <v>-7</v>
      </c>
      <c r="S47" s="50">
        <f>SUMIF($D$8:$D$55,$O47,$K$8:$K$55)+SUMIF($F$8:$F$55,$O47,$L$8:$L$55)</f>
        <v>1</v>
      </c>
      <c r="T47" s="95" t="s">
        <v>80</v>
      </c>
      <c r="U47" s="40"/>
      <c r="V47" s="40" t="str">
        <f>O47</f>
        <v>Ghana</v>
      </c>
      <c r="W47" s="40" t="s">
        <v>79</v>
      </c>
      <c r="Y47" s="109">
        <f t="shared" si="8"/>
        <v>6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6</v>
      </c>
      <c r="AG47" s="108">
        <f t="shared" si="0"/>
        <v>1</v>
      </c>
      <c r="AH47" s="108">
        <f t="shared" si="1"/>
        <v>0</v>
      </c>
      <c r="AI47" s="108">
        <f t="shared" si="10"/>
        <v>0</v>
      </c>
      <c r="AJ47" s="108">
        <f t="shared" si="2"/>
        <v>5</v>
      </c>
      <c r="AK47" s="108">
        <f t="shared" si="3"/>
        <v>0</v>
      </c>
      <c r="AL47" s="108">
        <f t="shared" si="4"/>
        <v>0</v>
      </c>
      <c r="AM47" s="120">
        <f>AO47</f>
        <v>10</v>
      </c>
      <c r="AN47" s="117" t="s">
        <v>35</v>
      </c>
      <c r="AO47" s="115">
        <f>IF(Uitslag!T47="",0,IF(T47=Uitslag!T47,10,0))</f>
        <v>10</v>
      </c>
    </row>
    <row r="48" spans="2:41" ht="15.75" thickBot="1">
      <c r="B48" s="12">
        <v>41</v>
      </c>
      <c r="C48" s="13">
        <v>41815</v>
      </c>
      <c r="D48" s="14" t="s">
        <v>34</v>
      </c>
      <c r="E48" s="15" t="s">
        <v>9</v>
      </c>
      <c r="F48" s="16" t="s">
        <v>29</v>
      </c>
      <c r="G48" s="85">
        <v>0</v>
      </c>
      <c r="H48" s="15" t="s">
        <v>9</v>
      </c>
      <c r="I48" s="90">
        <v>4</v>
      </c>
      <c r="J48" s="17">
        <f t="shared" si="5"/>
        <v>2</v>
      </c>
      <c r="K48" s="11">
        <f t="shared" si="6"/>
        <v>0</v>
      </c>
      <c r="L48" s="11">
        <f t="shared" si="7"/>
        <v>3</v>
      </c>
      <c r="O48" s="51" t="s">
        <v>36</v>
      </c>
      <c r="P48" s="52">
        <f>SUMIF($D$8:$D$55,$O48,$G$8:$G$55)+SUMIF($F$8:$F$55,$O48,$I$8:$I$55)</f>
        <v>2</v>
      </c>
      <c r="Q48" s="52">
        <f>SUMIF($D$8:$D$55,$O48,$I$8:$I$55)+SUMIF($F$8:$F$55,$O48,$G$8:$G$55)</f>
        <v>6</v>
      </c>
      <c r="R48" s="52">
        <f>P48-Q48</f>
        <v>-4</v>
      </c>
      <c r="S48" s="53">
        <f>SUMIF($D$8:$D$55,$O48,$K$8:$K$55)+SUMIF($F$8:$F$55,$O48,$L$8:$L$55)</f>
        <v>1</v>
      </c>
      <c r="T48" s="96" t="s">
        <v>79</v>
      </c>
      <c r="U48" s="40"/>
      <c r="V48" s="40" t="str">
        <f>O48</f>
        <v>Verenigde Staten</v>
      </c>
      <c r="W48" s="40" t="s">
        <v>80</v>
      </c>
      <c r="Y48" s="109">
        <f t="shared" si="8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5</v>
      </c>
      <c r="AG48" s="108">
        <f t="shared" si="0"/>
        <v>0</v>
      </c>
      <c r="AH48" s="108">
        <f t="shared" si="1"/>
        <v>0</v>
      </c>
      <c r="AI48" s="108">
        <f t="shared" si="10"/>
        <v>0</v>
      </c>
      <c r="AJ48" s="108">
        <f t="shared" si="2"/>
        <v>0</v>
      </c>
      <c r="AK48" s="108">
        <f t="shared" si="3"/>
        <v>5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18">
        <v>42</v>
      </c>
      <c r="C49" s="19">
        <v>41815</v>
      </c>
      <c r="D49" s="20" t="s">
        <v>30</v>
      </c>
      <c r="E49" s="21" t="s">
        <v>9</v>
      </c>
      <c r="F49" s="30" t="s">
        <v>33</v>
      </c>
      <c r="G49" s="86">
        <v>2</v>
      </c>
      <c r="H49" s="21" t="s">
        <v>9</v>
      </c>
      <c r="I49" s="91">
        <v>1</v>
      </c>
      <c r="J49" s="23">
        <f t="shared" si="5"/>
        <v>1</v>
      </c>
      <c r="K49" s="11">
        <f t="shared" si="6"/>
        <v>3</v>
      </c>
      <c r="L49" s="11">
        <f t="shared" si="7"/>
        <v>0</v>
      </c>
      <c r="O49" s="40"/>
      <c r="P49" s="41"/>
      <c r="Q49" s="41"/>
      <c r="R49" s="41"/>
      <c r="S49" s="41"/>
      <c r="T49" s="41"/>
      <c r="U49" s="40"/>
      <c r="V49" s="40"/>
      <c r="W49" s="40"/>
      <c r="Y49" s="109">
        <f t="shared" si="8"/>
        <v>6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6</v>
      </c>
      <c r="AG49" s="108">
        <f t="shared" si="0"/>
        <v>0</v>
      </c>
      <c r="AH49" s="108">
        <f t="shared" si="1"/>
        <v>1</v>
      </c>
      <c r="AI49" s="108">
        <f t="shared" si="10"/>
        <v>0</v>
      </c>
      <c r="AJ49" s="108">
        <f t="shared" si="2"/>
        <v>5</v>
      </c>
      <c r="AK49" s="108">
        <f t="shared" si="3"/>
        <v>0</v>
      </c>
      <c r="AL49" s="108">
        <f t="shared" si="4"/>
        <v>0</v>
      </c>
      <c r="AN49" s="40"/>
      <c r="AO49" s="41"/>
    </row>
    <row r="50" spans="2:54" ht="15.75" thickBot="1">
      <c r="B50" s="18">
        <v>43</v>
      </c>
      <c r="C50" s="19">
        <v>41815</v>
      </c>
      <c r="D50" s="20" t="s">
        <v>28</v>
      </c>
      <c r="E50" s="21" t="s">
        <v>9</v>
      </c>
      <c r="F50" s="30" t="s">
        <v>25</v>
      </c>
      <c r="G50" s="86">
        <v>1</v>
      </c>
      <c r="H50" s="21" t="s">
        <v>9</v>
      </c>
      <c r="I50" s="91">
        <v>1</v>
      </c>
      <c r="J50" s="23">
        <f t="shared" si="5"/>
        <v>3</v>
      </c>
      <c r="K50" s="11">
        <f t="shared" si="6"/>
        <v>1</v>
      </c>
      <c r="L50" s="11">
        <f t="shared" si="7"/>
        <v>1</v>
      </c>
      <c r="O50" s="72" t="s">
        <v>81</v>
      </c>
      <c r="P50" s="73" t="s">
        <v>42</v>
      </c>
      <c r="Q50" s="73" t="s">
        <v>43</v>
      </c>
      <c r="R50" s="74" t="s">
        <v>44</v>
      </c>
      <c r="S50" s="75" t="s">
        <v>45</v>
      </c>
      <c r="T50" s="76" t="s">
        <v>46</v>
      </c>
      <c r="U50" s="40"/>
      <c r="V50" s="40"/>
      <c r="W50" s="40"/>
      <c r="Y50" s="109">
        <f t="shared" si="8"/>
        <v>0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0</v>
      </c>
      <c r="AG50" s="108">
        <f t="shared" si="0"/>
        <v>0</v>
      </c>
      <c r="AH50" s="108">
        <f t="shared" si="1"/>
        <v>0</v>
      </c>
      <c r="AI50" s="108">
        <f t="shared" si="10"/>
        <v>0</v>
      </c>
      <c r="AJ50" s="108">
        <f t="shared" si="2"/>
        <v>0</v>
      </c>
      <c r="AK50" s="108">
        <f t="shared" si="3"/>
        <v>0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24">
        <v>44</v>
      </c>
      <c r="C51" s="25">
        <v>41815</v>
      </c>
      <c r="D51" s="26" t="s">
        <v>26</v>
      </c>
      <c r="E51" s="27" t="s">
        <v>9</v>
      </c>
      <c r="F51" s="28" t="s">
        <v>27</v>
      </c>
      <c r="G51" s="87">
        <v>0</v>
      </c>
      <c r="H51" s="27" t="s">
        <v>9</v>
      </c>
      <c r="I51" s="92">
        <v>2</v>
      </c>
      <c r="J51" s="29">
        <f t="shared" si="5"/>
        <v>2</v>
      </c>
      <c r="K51" s="11">
        <f t="shared" si="6"/>
        <v>0</v>
      </c>
      <c r="L51" s="11">
        <f>IF(I51="","",IF($G51&lt;$I51,3,IF($G51=$I51,1,0)))</f>
        <v>3</v>
      </c>
      <c r="O51" s="44" t="s">
        <v>37</v>
      </c>
      <c r="P51" s="45">
        <f>SUMIF($D$8:$D$55,$O51,$G$8:$G$55)+SUMIF($F$8:$F$55,$O51,$I$8:$I$55)</f>
        <v>6</v>
      </c>
      <c r="Q51" s="45">
        <f>SUMIF($D$8:$D$55,$O51,$I$8:$I$55)+SUMIF($F$8:$F$55,$O51,$G$8:$G$55)</f>
        <v>1</v>
      </c>
      <c r="R51" s="46">
        <f>P51-Q51</f>
        <v>5</v>
      </c>
      <c r="S51" s="47">
        <f>SUMIF($D$8:$D$55,$O51,$K$8:$K$55)+SUMIF($F$8:$F$55,$O51,$L$8:$L$55)</f>
        <v>9</v>
      </c>
      <c r="T51" s="94" t="s">
        <v>82</v>
      </c>
      <c r="U51" s="40"/>
      <c r="V51" s="40" t="str">
        <f>O51</f>
        <v>België</v>
      </c>
      <c r="W51" s="40" t="s">
        <v>82</v>
      </c>
      <c r="Y51" s="109">
        <f t="shared" si="8"/>
        <v>1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1</v>
      </c>
      <c r="AG51" s="108">
        <f t="shared" si="0"/>
        <v>1</v>
      </c>
      <c r="AH51" s="108">
        <f t="shared" si="1"/>
        <v>0</v>
      </c>
      <c r="AI51" s="108">
        <f t="shared" si="10"/>
        <v>0</v>
      </c>
      <c r="AJ51" s="108">
        <f t="shared" si="2"/>
        <v>0</v>
      </c>
      <c r="AK51" s="108">
        <f t="shared" si="3"/>
        <v>0</v>
      </c>
      <c r="AL51" s="108">
        <f t="shared" si="4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18">
        <v>45</v>
      </c>
      <c r="C52" s="19">
        <v>41816</v>
      </c>
      <c r="D52" s="20" t="s">
        <v>36</v>
      </c>
      <c r="E52" s="21" t="s">
        <v>9</v>
      </c>
      <c r="F52" s="30" t="s">
        <v>31</v>
      </c>
      <c r="G52" s="86">
        <v>1</v>
      </c>
      <c r="H52" s="21" t="s">
        <v>9</v>
      </c>
      <c r="I52" s="91">
        <v>3</v>
      </c>
      <c r="J52" s="17">
        <f t="shared" si="5"/>
        <v>2</v>
      </c>
      <c r="K52" s="11">
        <f t="shared" si="6"/>
        <v>0</v>
      </c>
      <c r="L52" s="11">
        <f t="shared" si="7"/>
        <v>3</v>
      </c>
      <c r="O52" s="48" t="s">
        <v>38</v>
      </c>
      <c r="P52" s="49">
        <f>SUMIF($D$8:$D$55,$O52,$G$8:$G$55)+SUMIF($F$8:$F$55,$O52,$I$8:$I$55)</f>
        <v>1</v>
      </c>
      <c r="Q52" s="49">
        <f>SUMIF($D$8:$D$55,$O52,$I$8:$I$55)+SUMIF($F$8:$F$55,$O52,$G$8:$G$55)</f>
        <v>8</v>
      </c>
      <c r="R52" s="49">
        <f>P52-Q52</f>
        <v>-7</v>
      </c>
      <c r="S52" s="50">
        <f>SUMIF($D$8:$D$55,$O52,$K$8:$K$55)+SUMIF($F$8:$F$55,$O52,$L$8:$L$55)</f>
        <v>0</v>
      </c>
      <c r="T52" s="95" t="s">
        <v>85</v>
      </c>
      <c r="U52" s="40"/>
      <c r="V52" s="40" t="str">
        <f>O52</f>
        <v>Algerije</v>
      </c>
      <c r="W52" s="40" t="s">
        <v>83</v>
      </c>
      <c r="Y52" s="109">
        <f t="shared" si="8"/>
        <v>5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5</v>
      </c>
      <c r="AG52" s="108">
        <f t="shared" si="0"/>
        <v>0</v>
      </c>
      <c r="AH52" s="108">
        <f t="shared" si="1"/>
        <v>0</v>
      </c>
      <c r="AI52" s="108">
        <f t="shared" si="10"/>
        <v>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18">
        <v>46</v>
      </c>
      <c r="C53" s="19">
        <v>41816</v>
      </c>
      <c r="D53" s="20" t="s">
        <v>32</v>
      </c>
      <c r="E53" s="21" t="s">
        <v>9</v>
      </c>
      <c r="F53" s="30" t="s">
        <v>35</v>
      </c>
      <c r="G53" s="86">
        <v>4</v>
      </c>
      <c r="H53" s="21" t="s">
        <v>9</v>
      </c>
      <c r="I53" s="91">
        <v>0</v>
      </c>
      <c r="J53" s="23">
        <f t="shared" si="5"/>
        <v>1</v>
      </c>
      <c r="K53" s="11">
        <f t="shared" si="6"/>
        <v>3</v>
      </c>
      <c r="L53" s="11">
        <f t="shared" si="7"/>
        <v>0</v>
      </c>
      <c r="O53" s="48" t="s">
        <v>39</v>
      </c>
      <c r="P53" s="49">
        <f>SUMIF($D$8:$D$55,$O53,$G$8:$G$55)+SUMIF($F$8:$F$55,$O53,$I$8:$I$55)</f>
        <v>4</v>
      </c>
      <c r="Q53" s="49">
        <f>SUMIF($D$8:$D$55,$O53,$I$8:$I$55)+SUMIF($F$8:$F$55,$O53,$G$8:$G$55)</f>
        <v>3</v>
      </c>
      <c r="R53" s="49">
        <f>P53-Q53</f>
        <v>1</v>
      </c>
      <c r="S53" s="50">
        <f>SUMIF($D$8:$D$55,$O53,$K$8:$K$55)+SUMIF($F$8:$F$55,$O53,$L$8:$L$55)</f>
        <v>4</v>
      </c>
      <c r="T53" s="95" t="s">
        <v>84</v>
      </c>
      <c r="U53" s="40"/>
      <c r="V53" s="40" t="str">
        <f>O53</f>
        <v>Rusland</v>
      </c>
      <c r="W53" s="40" t="s">
        <v>84</v>
      </c>
      <c r="Y53" s="109">
        <f t="shared" si="8"/>
        <v>5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5</v>
      </c>
      <c r="AG53" s="108">
        <f t="shared" si="0"/>
        <v>0</v>
      </c>
      <c r="AH53" s="108">
        <f t="shared" si="1"/>
        <v>0</v>
      </c>
      <c r="AI53" s="108">
        <f t="shared" si="10"/>
        <v>0</v>
      </c>
      <c r="AJ53" s="108">
        <f t="shared" si="2"/>
        <v>5</v>
      </c>
      <c r="AK53" s="108">
        <f t="shared" si="3"/>
        <v>0</v>
      </c>
      <c r="AL53" s="108">
        <f t="shared" si="4"/>
        <v>0</v>
      </c>
      <c r="AM53" s="120">
        <f>AO53</f>
        <v>10</v>
      </c>
      <c r="AN53" s="117" t="s">
        <v>39</v>
      </c>
      <c r="AO53" s="115">
        <f>IF(Uitslag!T53="",0,IF(T53=Uitslag!T53,10,0))</f>
        <v>10</v>
      </c>
    </row>
    <row r="54" spans="2:54" ht="15.75" thickBot="1">
      <c r="B54" s="18">
        <v>47</v>
      </c>
      <c r="C54" s="19">
        <v>41816</v>
      </c>
      <c r="D54" s="20" t="s">
        <v>40</v>
      </c>
      <c r="E54" s="21" t="s">
        <v>9</v>
      </c>
      <c r="F54" s="30" t="s">
        <v>37</v>
      </c>
      <c r="G54" s="86">
        <v>1</v>
      </c>
      <c r="H54" s="21" t="s">
        <v>9</v>
      </c>
      <c r="I54" s="91">
        <v>2</v>
      </c>
      <c r="J54" s="23">
        <f t="shared" si="5"/>
        <v>2</v>
      </c>
      <c r="K54" s="11">
        <f t="shared" si="6"/>
        <v>0</v>
      </c>
      <c r="L54" s="11">
        <f t="shared" si="7"/>
        <v>3</v>
      </c>
      <c r="O54" s="51" t="s">
        <v>40</v>
      </c>
      <c r="P54" s="52">
        <f>SUMIF($D$8:$D$55,$O54,$G$8:$G$55)+SUMIF($F$8:$F$55,$O54,$I$8:$I$55)</f>
        <v>4</v>
      </c>
      <c r="Q54" s="52">
        <f>SUMIF($D$8:$D$55,$O54,$I$8:$I$55)+SUMIF($F$8:$F$55,$O54,$G$8:$G$55)</f>
        <v>3</v>
      </c>
      <c r="R54" s="52">
        <f>P54-Q54</f>
        <v>1</v>
      </c>
      <c r="S54" s="53">
        <f>SUMIF($D$8:$D$55,$O54,$K$8:$K$55)+SUMIF($F$8:$F$55,$O54,$L$8:$L$55)</f>
        <v>4</v>
      </c>
      <c r="T54" s="96" t="s">
        <v>83</v>
      </c>
      <c r="U54" s="40"/>
      <c r="V54" s="40" t="str">
        <f>O54</f>
        <v>Zuid Korea</v>
      </c>
      <c r="W54" s="40" t="s">
        <v>85</v>
      </c>
      <c r="Y54" s="109">
        <f t="shared" si="8"/>
        <v>5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5</v>
      </c>
      <c r="AG54" s="108">
        <f t="shared" si="0"/>
        <v>0</v>
      </c>
      <c r="AH54" s="108">
        <f t="shared" si="1"/>
        <v>0</v>
      </c>
      <c r="AI54" s="108">
        <f t="shared" si="10"/>
        <v>0</v>
      </c>
      <c r="AJ54" s="108">
        <f t="shared" si="2"/>
        <v>0</v>
      </c>
      <c r="AK54" s="108">
        <f t="shared" si="3"/>
        <v>5</v>
      </c>
      <c r="AL54" s="108">
        <f t="shared" si="4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3">
        <v>48</v>
      </c>
      <c r="C55" s="34">
        <v>41816</v>
      </c>
      <c r="D55" s="35" t="s">
        <v>38</v>
      </c>
      <c r="E55" s="36" t="s">
        <v>9</v>
      </c>
      <c r="F55" s="37" t="s">
        <v>39</v>
      </c>
      <c r="G55" s="88">
        <v>1</v>
      </c>
      <c r="H55" s="36" t="s">
        <v>9</v>
      </c>
      <c r="I55" s="93">
        <v>3</v>
      </c>
      <c r="J55" s="38">
        <f t="shared" si="5"/>
        <v>2</v>
      </c>
      <c r="K55" s="11">
        <f t="shared" si="6"/>
        <v>0</v>
      </c>
      <c r="L55" s="11">
        <f t="shared" si="7"/>
        <v>3</v>
      </c>
      <c r="O55" s="40"/>
      <c r="P55" s="41"/>
      <c r="Q55" s="41"/>
      <c r="R55" s="41"/>
      <c r="S55" s="41"/>
      <c r="T55" s="41"/>
      <c r="U55" s="40"/>
      <c r="V55" s="40"/>
      <c r="W55" s="40"/>
      <c r="Y55" s="109">
        <f t="shared" si="8"/>
        <v>1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</v>
      </c>
      <c r="AG55" s="108">
        <f t="shared" si="0"/>
        <v>1</v>
      </c>
      <c r="AH55" s="108">
        <f t="shared" si="1"/>
        <v>0</v>
      </c>
      <c r="AI55" s="108">
        <f t="shared" si="10"/>
        <v>0</v>
      </c>
      <c r="AJ55" s="108">
        <f t="shared" si="2"/>
        <v>0</v>
      </c>
      <c r="AK55" s="108">
        <f t="shared" si="3"/>
        <v>0</v>
      </c>
      <c r="AL55" s="108">
        <f t="shared" si="4"/>
        <v>0</v>
      </c>
    </row>
    <row r="56" spans="2:54" ht="15.75" thickBot="1">
      <c r="B56" s="1"/>
      <c r="C56" s="39"/>
      <c r="D56" s="40"/>
      <c r="E56" s="1"/>
      <c r="F56" s="40"/>
      <c r="G56" s="1"/>
      <c r="H56" s="1"/>
      <c r="I56" s="1"/>
      <c r="J56" s="1"/>
      <c r="K56" s="1"/>
      <c r="L56" s="1"/>
      <c r="M56" s="1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201"/>
      <c r="K57" s="1"/>
      <c r="L57" s="1"/>
      <c r="M57" s="1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78" t="s">
        <v>1</v>
      </c>
      <c r="C58" s="79" t="s">
        <v>2</v>
      </c>
      <c r="D58" s="187" t="s">
        <v>3</v>
      </c>
      <c r="E58" s="81"/>
      <c r="F58" s="199" t="s">
        <v>4</v>
      </c>
      <c r="G58" s="867" t="s">
        <v>5</v>
      </c>
      <c r="H58" s="868"/>
      <c r="I58" s="869"/>
      <c r="J58" s="83" t="s">
        <v>6</v>
      </c>
      <c r="K58" s="1"/>
      <c r="L58" s="1"/>
      <c r="M58" s="1"/>
      <c r="O58" s="135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12">
        <v>49</v>
      </c>
      <c r="C59" s="189">
        <v>41818</v>
      </c>
      <c r="D59" s="153" t="str">
        <f>IF(ISERROR(Z59),K59,Z59)</f>
        <v>Brazilië</v>
      </c>
      <c r="E59" s="15" t="s">
        <v>9</v>
      </c>
      <c r="F59" s="56" t="str">
        <f>IF(ISERROR(AA59),L59,AA59)</f>
        <v>Chili</v>
      </c>
      <c r="G59" s="85">
        <v>2</v>
      </c>
      <c r="H59" s="15" t="s">
        <v>9</v>
      </c>
      <c r="I59" s="97">
        <v>0</v>
      </c>
      <c r="J59" s="98">
        <v>1</v>
      </c>
      <c r="K59" s="57" t="s">
        <v>48</v>
      </c>
      <c r="L59" s="57" t="s">
        <v>53</v>
      </c>
      <c r="M59" s="57">
        <v>1</v>
      </c>
      <c r="O59" s="135">
        <v>2</v>
      </c>
      <c r="P59" s="877" t="s">
        <v>220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3">AF59</f>
        <v>0</v>
      </c>
      <c r="Z59" t="str">
        <f t="shared" ref="Z59:AA65" si="14">IF(K59=""," ",VLOOKUP(K59,$T$9:$V$54,3,FALSE))</f>
        <v>Brazilië</v>
      </c>
      <c r="AA59" t="str">
        <f t="shared" si="14"/>
        <v>Chili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0</v>
      </c>
      <c r="AG59" s="108">
        <f t="shared" ref="AG59:AG66" si="16">IF(AC59="",0,(IF(G59=AC59,1,0)))</f>
        <v>0</v>
      </c>
      <c r="AH59" s="108">
        <f t="shared" ref="AH59:AH66" si="17">IF(AD59="",0,(IF(I59=AD59,1,0)))</f>
        <v>0</v>
      </c>
      <c r="AI59" s="108">
        <f t="shared" ref="AI59:AI66" si="18">IF(AND(AG59=1,AH59=1),10,0)</f>
        <v>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24">
        <v>50</v>
      </c>
      <c r="C60" s="190">
        <v>41818</v>
      </c>
      <c r="D60" s="154" t="str">
        <f t="shared" ref="D60:D66" si="23">IF(ISERROR(Z60),K60,Z60)</f>
        <v>Colombia</v>
      </c>
      <c r="E60" s="27" t="s">
        <v>9</v>
      </c>
      <c r="F60" s="59" t="str">
        <f t="shared" ref="F60:F66" si="24">IF(ISERROR(AA60),L60,AA60)</f>
        <v>Italië</v>
      </c>
      <c r="G60" s="87">
        <v>0</v>
      </c>
      <c r="H60" s="27" t="s">
        <v>9</v>
      </c>
      <c r="I60" s="99">
        <v>1</v>
      </c>
      <c r="J60" s="100">
        <v>2</v>
      </c>
      <c r="K60" s="57" t="s">
        <v>57</v>
      </c>
      <c r="L60" s="57" t="s">
        <v>63</v>
      </c>
      <c r="M60" s="57">
        <v>2</v>
      </c>
      <c r="O60" s="135">
        <v>3</v>
      </c>
      <c r="P60" s="877" t="s">
        <v>209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3"/>
        <v>0</v>
      </c>
      <c r="Z60" t="str">
        <f t="shared" si="14"/>
        <v>Colombia</v>
      </c>
      <c r="AA60" t="str">
        <f t="shared" si="14"/>
        <v>Italië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0</v>
      </c>
      <c r="AG60" s="108">
        <f t="shared" si="16"/>
        <v>0</v>
      </c>
      <c r="AH60" s="108">
        <f t="shared" si="17"/>
        <v>0</v>
      </c>
      <c r="AI60" s="108">
        <f t="shared" si="18"/>
        <v>0</v>
      </c>
      <c r="AJ60" s="108">
        <f t="shared" si="19"/>
        <v>0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2"/>
        <v>3</v>
      </c>
    </row>
    <row r="61" spans="2:54">
      <c r="B61" s="12">
        <v>51</v>
      </c>
      <c r="C61" s="189">
        <v>41819</v>
      </c>
      <c r="D61" s="188" t="str">
        <f t="shared" si="23"/>
        <v>Spanje</v>
      </c>
      <c r="E61" s="15" t="s">
        <v>9</v>
      </c>
      <c r="F61" s="56" t="str">
        <f t="shared" si="24"/>
        <v>Mexico</v>
      </c>
      <c r="G61" s="85">
        <v>2</v>
      </c>
      <c r="H61" s="15" t="s">
        <v>9</v>
      </c>
      <c r="I61" s="97">
        <v>2</v>
      </c>
      <c r="J61" s="98">
        <v>1</v>
      </c>
      <c r="K61" s="57" t="s">
        <v>52</v>
      </c>
      <c r="L61" s="57" t="s">
        <v>49</v>
      </c>
      <c r="M61" s="57"/>
      <c r="O61" s="135">
        <v>4</v>
      </c>
      <c r="P61" s="877" t="s">
        <v>225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3"/>
        <v>1</v>
      </c>
      <c r="Z61" t="str">
        <f t="shared" si="14"/>
        <v>Spanje</v>
      </c>
      <c r="AA61" t="str">
        <f t="shared" si="14"/>
        <v>Mexico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1</v>
      </c>
      <c r="AG61" s="108">
        <f t="shared" si="16"/>
        <v>1</v>
      </c>
      <c r="AH61" s="108">
        <f t="shared" si="17"/>
        <v>0</v>
      </c>
      <c r="AI61" s="108">
        <f t="shared" si="18"/>
        <v>0</v>
      </c>
      <c r="AJ61" s="108">
        <f t="shared" si="19"/>
        <v>0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3</v>
      </c>
      <c r="BB61" s="139">
        <f t="shared" si="22"/>
        <v>3</v>
      </c>
    </row>
    <row r="62" spans="2:54">
      <c r="B62" s="24">
        <v>52</v>
      </c>
      <c r="C62" s="190">
        <v>41819</v>
      </c>
      <c r="D62" s="188" t="str">
        <f t="shared" si="23"/>
        <v>Uruguay</v>
      </c>
      <c r="E62" s="27" t="s">
        <v>9</v>
      </c>
      <c r="F62" s="59" t="str">
        <f t="shared" si="24"/>
        <v>Griekenland</v>
      </c>
      <c r="G62" s="87">
        <v>2</v>
      </c>
      <c r="H62" s="27" t="s">
        <v>9</v>
      </c>
      <c r="I62" s="99">
        <v>1</v>
      </c>
      <c r="J62" s="100">
        <v>1</v>
      </c>
      <c r="K62" s="57" t="s">
        <v>62</v>
      </c>
      <c r="L62" s="57" t="s">
        <v>58</v>
      </c>
      <c r="M62" s="57"/>
      <c r="O62" s="135">
        <v>5</v>
      </c>
      <c r="P62" s="877" t="s">
        <v>212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3"/>
        <v>1</v>
      </c>
      <c r="Z62" t="str">
        <f t="shared" si="14"/>
        <v>Uruguay</v>
      </c>
      <c r="AA62" t="str">
        <f t="shared" si="14"/>
        <v>Griekenland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1</v>
      </c>
      <c r="AG62" s="108">
        <f t="shared" si="16"/>
        <v>0</v>
      </c>
      <c r="AH62" s="108">
        <f t="shared" si="17"/>
        <v>1</v>
      </c>
      <c r="AI62" s="108">
        <f t="shared" si="18"/>
        <v>0</v>
      </c>
      <c r="AJ62" s="108">
        <f t="shared" si="19"/>
        <v>0</v>
      </c>
      <c r="AK62" s="108">
        <f t="shared" si="20"/>
        <v>0</v>
      </c>
      <c r="AL62" s="108">
        <f t="shared" si="21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2"/>
        <v>3</v>
      </c>
    </row>
    <row r="63" spans="2:54">
      <c r="B63" s="12">
        <v>53</v>
      </c>
      <c r="C63" s="189">
        <v>41820</v>
      </c>
      <c r="D63" s="153" t="str">
        <f t="shared" si="23"/>
        <v>Frankrijk</v>
      </c>
      <c r="E63" s="15" t="s">
        <v>9</v>
      </c>
      <c r="F63" s="56" t="str">
        <f t="shared" si="24"/>
        <v>Nigeria</v>
      </c>
      <c r="G63" s="85">
        <v>1</v>
      </c>
      <c r="H63" s="15" t="s">
        <v>9</v>
      </c>
      <c r="I63" s="97">
        <v>1</v>
      </c>
      <c r="J63" s="98">
        <v>1</v>
      </c>
      <c r="K63" s="57" t="s">
        <v>67</v>
      </c>
      <c r="L63" s="57" t="s">
        <v>73</v>
      </c>
      <c r="M63" s="57"/>
      <c r="O63" s="135">
        <v>6</v>
      </c>
      <c r="P63" s="877" t="s">
        <v>213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3"/>
        <v>0</v>
      </c>
      <c r="Z63" t="str">
        <f t="shared" si="14"/>
        <v>Frankrijk</v>
      </c>
      <c r="AA63" t="str">
        <f t="shared" si="14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0</v>
      </c>
      <c r="AG63" s="108">
        <f t="shared" si="16"/>
        <v>0</v>
      </c>
      <c r="AH63" s="108">
        <f t="shared" si="17"/>
        <v>0</v>
      </c>
      <c r="AI63" s="108">
        <f t="shared" si="18"/>
        <v>0</v>
      </c>
      <c r="AJ63" s="108">
        <f t="shared" si="19"/>
        <v>0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3</v>
      </c>
      <c r="BB63" s="139">
        <f t="shared" si="22"/>
        <v>3</v>
      </c>
    </row>
    <row r="64" spans="2:54">
      <c r="B64" s="24">
        <v>54</v>
      </c>
      <c r="C64" s="190">
        <v>41820</v>
      </c>
      <c r="D64" s="154" t="str">
        <f t="shared" si="23"/>
        <v>Portugal</v>
      </c>
      <c r="E64" s="27" t="s">
        <v>9</v>
      </c>
      <c r="F64" s="59" t="str">
        <f t="shared" si="24"/>
        <v>Zuid Korea</v>
      </c>
      <c r="G64" s="87">
        <v>2</v>
      </c>
      <c r="H64" s="27" t="s">
        <v>9</v>
      </c>
      <c r="I64" s="99">
        <v>0</v>
      </c>
      <c r="J64" s="100">
        <v>1</v>
      </c>
      <c r="K64" s="57" t="s">
        <v>77</v>
      </c>
      <c r="L64" s="57" t="s">
        <v>83</v>
      </c>
      <c r="M64" s="57"/>
      <c r="O64" s="135">
        <v>7</v>
      </c>
      <c r="P64" s="877" t="s">
        <v>221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3"/>
        <v>1</v>
      </c>
      <c r="Z64" t="str">
        <f t="shared" si="14"/>
        <v>Portugal</v>
      </c>
      <c r="AA64" t="str">
        <f t="shared" si="14"/>
        <v>Zuid Korea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1</v>
      </c>
      <c r="AG64" s="108">
        <f t="shared" si="16"/>
        <v>0</v>
      </c>
      <c r="AH64" s="108">
        <f t="shared" si="17"/>
        <v>1</v>
      </c>
      <c r="AI64" s="108">
        <f t="shared" si="18"/>
        <v>0</v>
      </c>
      <c r="AJ64" s="108">
        <f t="shared" si="19"/>
        <v>0</v>
      </c>
      <c r="AK64" s="108">
        <f t="shared" si="20"/>
        <v>0</v>
      </c>
      <c r="AL64" s="108">
        <f t="shared" si="21"/>
        <v>0</v>
      </c>
      <c r="AZ64" s="138" t="str">
        <f>Uitslag!P64</f>
        <v>Wesley Sneijder (m)</v>
      </c>
      <c r="BA64" s="140">
        <f t="shared" si="12"/>
        <v>0</v>
      </c>
      <c r="BB64" s="139">
        <f t="shared" si="22"/>
        <v>0</v>
      </c>
    </row>
    <row r="65" spans="2:54">
      <c r="B65" s="18">
        <v>55</v>
      </c>
      <c r="C65" s="191">
        <v>41821</v>
      </c>
      <c r="D65" s="153" t="str">
        <f t="shared" si="23"/>
        <v>Argentinië</v>
      </c>
      <c r="E65" s="21" t="s">
        <v>9</v>
      </c>
      <c r="F65" s="60" t="str">
        <f t="shared" si="24"/>
        <v>Ecuador</v>
      </c>
      <c r="G65" s="86">
        <v>3</v>
      </c>
      <c r="H65" s="21" t="s">
        <v>9</v>
      </c>
      <c r="I65" s="101">
        <v>1</v>
      </c>
      <c r="J65" s="102">
        <v>1</v>
      </c>
      <c r="K65" s="57" t="s">
        <v>72</v>
      </c>
      <c r="L65" s="57" t="s">
        <v>68</v>
      </c>
      <c r="M65" s="57"/>
      <c r="O65" s="135">
        <v>8</v>
      </c>
      <c r="P65" s="877" t="s">
        <v>216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3"/>
        <v>0</v>
      </c>
      <c r="Z65" t="str">
        <f t="shared" si="14"/>
        <v>Argentinië</v>
      </c>
      <c r="AA65" t="str">
        <f t="shared" si="14"/>
        <v>Ecuador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0</v>
      </c>
      <c r="AG65" s="108">
        <f t="shared" si="16"/>
        <v>0</v>
      </c>
      <c r="AH65" s="108">
        <f t="shared" si="17"/>
        <v>0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2"/>
        <v>3</v>
      </c>
    </row>
    <row r="66" spans="2:54" ht="15.75" thickBot="1">
      <c r="B66" s="33">
        <v>56</v>
      </c>
      <c r="C66" s="186">
        <v>41821</v>
      </c>
      <c r="D66" s="155" t="str">
        <f t="shared" si="23"/>
        <v>België</v>
      </c>
      <c r="E66" s="36" t="s">
        <v>9</v>
      </c>
      <c r="F66" s="62" t="str">
        <f t="shared" si="24"/>
        <v>Duitsland</v>
      </c>
      <c r="G66" s="88">
        <v>2</v>
      </c>
      <c r="H66" s="36" t="s">
        <v>9</v>
      </c>
      <c r="I66" s="103">
        <v>2</v>
      </c>
      <c r="J66" s="104">
        <v>2</v>
      </c>
      <c r="K66" s="57" t="s">
        <v>82</v>
      </c>
      <c r="L66" s="57" t="s">
        <v>78</v>
      </c>
      <c r="M66" s="57"/>
      <c r="O66" s="135">
        <v>9</v>
      </c>
      <c r="P66" s="877" t="s">
        <v>215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3"/>
        <v>5</v>
      </c>
      <c r="Z66" t="str">
        <f>IF(K66=""," ",VLOOKUP(K66,$T$9:$V$54,3,FALSE))</f>
        <v>België</v>
      </c>
      <c r="AA66" t="str">
        <f>IF(L66=""," ",VLOOKUP(L66,$T$9:$V$54,3,FALSE))</f>
        <v>Duitsland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5</v>
      </c>
      <c r="AG66" s="108">
        <f t="shared" si="16"/>
        <v>0</v>
      </c>
      <c r="AH66" s="108">
        <f t="shared" si="17"/>
        <v>0</v>
      </c>
      <c r="AI66" s="108">
        <f t="shared" si="18"/>
        <v>0</v>
      </c>
      <c r="AJ66" s="108">
        <f t="shared" si="19"/>
        <v>0</v>
      </c>
      <c r="AK66" s="108">
        <f t="shared" si="20"/>
        <v>0</v>
      </c>
      <c r="AL66" s="108">
        <f t="shared" si="21"/>
        <v>5</v>
      </c>
      <c r="AZ66" s="138" t="str">
        <f>Uitslag!P66</f>
        <v>Jonathan de Guzman (m)</v>
      </c>
      <c r="BA66" s="140">
        <f t="shared" si="12"/>
        <v>3</v>
      </c>
      <c r="BB66" s="139">
        <f t="shared" si="22"/>
        <v>3</v>
      </c>
    </row>
    <row r="67" spans="2:54" ht="15.75" thickBot="1">
      <c r="B67" s="1"/>
      <c r="C67" s="39"/>
      <c r="D67" s="40"/>
      <c r="E67" s="1"/>
      <c r="F67" s="40"/>
      <c r="G67" s="1"/>
      <c r="H67" s="1"/>
      <c r="I67" s="1"/>
      <c r="J67" s="1"/>
      <c r="K67" s="1"/>
      <c r="L67" s="1"/>
      <c r="M67" s="1"/>
      <c r="O67" s="135">
        <v>10</v>
      </c>
      <c r="P67" s="877" t="s">
        <v>230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0</v>
      </c>
      <c r="BB67" s="139">
        <f t="shared" si="22"/>
        <v>0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201"/>
      <c r="K68" s="1"/>
      <c r="L68" s="1"/>
      <c r="M68" s="1"/>
      <c r="O68" s="135">
        <v>11</v>
      </c>
      <c r="P68" s="877" t="s">
        <v>214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2"/>
        <v>3</v>
      </c>
    </row>
    <row r="69" spans="2:54">
      <c r="B69" s="78" t="s">
        <v>1</v>
      </c>
      <c r="C69" s="79" t="s">
        <v>2</v>
      </c>
      <c r="D69" s="198" t="s">
        <v>3</v>
      </c>
      <c r="E69" s="81"/>
      <c r="F69" s="199" t="s">
        <v>4</v>
      </c>
      <c r="G69" s="867" t="s">
        <v>5</v>
      </c>
      <c r="H69" s="868"/>
      <c r="I69" s="869"/>
      <c r="J69" s="83" t="s">
        <v>6</v>
      </c>
      <c r="K69" s="1"/>
      <c r="L69" s="1"/>
      <c r="M69" s="1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27</v>
      </c>
      <c r="BB69" s="139" t="str">
        <f>IF(AND(BA69&lt;&gt;"",BA69=33),15,"nvt")</f>
        <v>nvt</v>
      </c>
    </row>
    <row r="70" spans="2:54">
      <c r="B70" s="12">
        <v>57</v>
      </c>
      <c r="C70" s="13">
        <v>41824</v>
      </c>
      <c r="D70" s="55" t="str">
        <f>IF(J63="","Winnaar 53",IF(J63=1,D63,F63))</f>
        <v>Frankrijk</v>
      </c>
      <c r="E70" s="15" t="s">
        <v>9</v>
      </c>
      <c r="F70" s="56" t="str">
        <f>IF(J64="","Winnaar 54",IF(J64=1,D64,F64))</f>
        <v>Portugal</v>
      </c>
      <c r="G70" s="85">
        <v>0</v>
      </c>
      <c r="H70" s="15" t="s">
        <v>9</v>
      </c>
      <c r="I70" s="97">
        <v>1</v>
      </c>
      <c r="J70" s="98">
        <v>2</v>
      </c>
      <c r="K70" s="1"/>
      <c r="L70" s="1"/>
      <c r="M70" s="1"/>
      <c r="V70" t="s">
        <v>133</v>
      </c>
      <c r="W70" t="s">
        <v>126</v>
      </c>
      <c r="X70" t="str">
        <f t="shared" si="11"/>
        <v>Karim Rekik (v)</v>
      </c>
      <c r="Y70" s="109">
        <f>AF70</f>
        <v>10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10</v>
      </c>
      <c r="AG70" s="108">
        <f>IF(AC70="",0,(IF(G70=AC70,1,0)))</f>
        <v>1</v>
      </c>
      <c r="AH70" s="108">
        <f>IF(AD70="",0,(IF(I70=AD70,1,0)))</f>
        <v>1</v>
      </c>
      <c r="AI70" s="108">
        <f>IF(AND(AG70=1,AH70=1),10,0)</f>
        <v>10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24">
        <v>58</v>
      </c>
      <c r="C71" s="25">
        <v>41824</v>
      </c>
      <c r="D71" s="58" t="str">
        <f>IF(J59="","Winnaar 49",IF(J59=1,D59,F59))</f>
        <v>Brazilië</v>
      </c>
      <c r="E71" s="27" t="s">
        <v>9</v>
      </c>
      <c r="F71" s="59" t="str">
        <f>IF(J60="","Winnaar 50",IF(J60=1,D60,F60))</f>
        <v>Italië</v>
      </c>
      <c r="G71" s="87">
        <v>2</v>
      </c>
      <c r="H71" s="27" t="s">
        <v>9</v>
      </c>
      <c r="I71" s="99">
        <v>1</v>
      </c>
      <c r="J71" s="100">
        <v>1</v>
      </c>
      <c r="K71" s="1"/>
      <c r="L71" s="1"/>
      <c r="M71" s="1"/>
      <c r="V71" t="s">
        <v>133</v>
      </c>
      <c r="W71" t="s">
        <v>194</v>
      </c>
      <c r="X71" t="str">
        <f t="shared" si="11"/>
        <v>Ron Vlaar (v)</v>
      </c>
      <c r="Y71" s="109">
        <f>AF71</f>
        <v>10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10</v>
      </c>
      <c r="AG71" s="108">
        <f>IF(AC71="",0,(IF(G71=AC71,1,0)))</f>
        <v>1</v>
      </c>
      <c r="AH71" s="108">
        <f>IF(AD71="",0,(IF(I71=AD71,1,0)))</f>
        <v>1</v>
      </c>
      <c r="AI71" s="108">
        <f>IF(AND(AG71=1,AH71=1),10,0)</f>
        <v>10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12">
        <v>59</v>
      </c>
      <c r="C72" s="13">
        <v>41825</v>
      </c>
      <c r="D72" s="55" t="str">
        <f>IF(J65="","Winnaar 55",IF(J65=1,D65,F65))</f>
        <v>Argentinië</v>
      </c>
      <c r="E72" s="15" t="s">
        <v>9</v>
      </c>
      <c r="F72" s="56" t="str">
        <f>IF(J66="","Winnaar 56",IF(J66=1,D66,F66))</f>
        <v>Duitsland</v>
      </c>
      <c r="G72" s="85">
        <v>1</v>
      </c>
      <c r="H72" s="15" t="s">
        <v>9</v>
      </c>
      <c r="I72" s="97">
        <v>0</v>
      </c>
      <c r="J72" s="98">
        <v>1</v>
      </c>
      <c r="K72" s="1"/>
      <c r="L72" s="1"/>
      <c r="M72" s="1"/>
      <c r="V72" t="s">
        <v>133</v>
      </c>
      <c r="W72" t="s">
        <v>195</v>
      </c>
      <c r="X72" t="str">
        <f t="shared" si="11"/>
        <v>John Heitinga (v)</v>
      </c>
      <c r="Y72" s="109">
        <f>AF72</f>
        <v>10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10</v>
      </c>
      <c r="AG72" s="108">
        <f>IF(AC72="",0,(IF(G72=AC72,1,0)))</f>
        <v>1</v>
      </c>
      <c r="AH72" s="108">
        <f>IF(AD72="",0,(IF(I72=AD72,1,0)))</f>
        <v>1</v>
      </c>
      <c r="AI72" s="108">
        <f>IF(AND(AG72=1,AH72=1),10,0)</f>
        <v>10</v>
      </c>
      <c r="AJ72" s="108">
        <f>IF(AND(G72&gt;I72,AC72&gt;AD72),5,0)</f>
        <v>5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3">
        <v>60</v>
      </c>
      <c r="C73" s="34">
        <v>41825</v>
      </c>
      <c r="D73" s="61" t="str">
        <f>IF(J61="","Winnaar 51",IF(J61=1,D61,F61))</f>
        <v>Spanje</v>
      </c>
      <c r="E73" s="36" t="s">
        <v>9</v>
      </c>
      <c r="F73" s="62" t="str">
        <f>IF(J62="","Winnaar 52",IF(J62=1,D62,F62))</f>
        <v>Uruguay</v>
      </c>
      <c r="G73" s="88">
        <v>2</v>
      </c>
      <c r="H73" s="36" t="s">
        <v>9</v>
      </c>
      <c r="I73" s="103">
        <v>0</v>
      </c>
      <c r="J73" s="104">
        <v>1</v>
      </c>
      <c r="K73" s="1"/>
      <c r="L73" s="1"/>
      <c r="M73" s="1"/>
      <c r="V73" t="s">
        <v>133</v>
      </c>
      <c r="W73" t="s">
        <v>196</v>
      </c>
      <c r="X73" t="str">
        <f t="shared" si="11"/>
        <v>Urby Emanuelson (v)</v>
      </c>
      <c r="Y73" s="109">
        <f>AF73</f>
        <v>1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1</v>
      </c>
      <c r="AG73" s="108">
        <f>IF(AC73="",0,(IF(G73=AC73,1,0)))</f>
        <v>0</v>
      </c>
      <c r="AH73" s="108">
        <f>IF(AD73="",0,(IF(I73=AD73,1,0)))</f>
        <v>1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1"/>
      <c r="C74" s="39"/>
      <c r="D74" s="40"/>
      <c r="E74" s="1"/>
      <c r="F74" s="40"/>
      <c r="G74" s="1"/>
      <c r="H74" s="1"/>
      <c r="I74" s="1"/>
      <c r="J74" s="1"/>
      <c r="K74" s="1"/>
      <c r="L74" s="1"/>
      <c r="M74" s="1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201"/>
      <c r="K75" s="1"/>
      <c r="L75" s="1"/>
      <c r="M75" s="1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78" t="s">
        <v>1</v>
      </c>
      <c r="C76" s="79" t="s">
        <v>2</v>
      </c>
      <c r="D76" s="198" t="s">
        <v>3</v>
      </c>
      <c r="E76" s="81"/>
      <c r="F76" s="199" t="s">
        <v>4</v>
      </c>
      <c r="G76" s="867" t="s">
        <v>5</v>
      </c>
      <c r="H76" s="868"/>
      <c r="I76" s="869"/>
      <c r="J76" s="83" t="s">
        <v>6</v>
      </c>
      <c r="K76" s="1"/>
      <c r="L76" s="1"/>
      <c r="M76" s="1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12">
        <v>61</v>
      </c>
      <c r="C77" s="13">
        <v>41828</v>
      </c>
      <c r="D77" s="55" t="str">
        <f>IF(J70="","Winnaar 57",IF(J70=1,D70,F70))</f>
        <v>Portugal</v>
      </c>
      <c r="E77" s="15" t="s">
        <v>9</v>
      </c>
      <c r="F77" s="56" t="str">
        <f>IF(J71="","Winnaar 58",IF(J71=1,D71,F71))</f>
        <v>Brazilië</v>
      </c>
      <c r="G77" s="85">
        <v>0</v>
      </c>
      <c r="H77" s="15" t="s">
        <v>9</v>
      </c>
      <c r="I77" s="97">
        <v>0</v>
      </c>
      <c r="J77" s="98">
        <v>1</v>
      </c>
      <c r="K77" s="1"/>
      <c r="L77" s="1"/>
      <c r="M77" s="1"/>
      <c r="V77" t="s">
        <v>134</v>
      </c>
      <c r="W77" t="s">
        <v>203</v>
      </c>
      <c r="X77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3">
        <v>62</v>
      </c>
      <c r="C78" s="34">
        <v>41829</v>
      </c>
      <c r="D78" s="61" t="str">
        <f>IF(J72="","Winnaar 59",IF(J72=1,D72,F72))</f>
        <v>Argentinië</v>
      </c>
      <c r="E78" s="36" t="s">
        <v>9</v>
      </c>
      <c r="F78" s="62" t="str">
        <f>IF(J73="","Winnaar 60",IF(J73=1,D73,F73))</f>
        <v>Spanje</v>
      </c>
      <c r="G78" s="88">
        <v>0</v>
      </c>
      <c r="H78" s="36" t="s">
        <v>9</v>
      </c>
      <c r="I78" s="103">
        <v>1</v>
      </c>
      <c r="J78" s="104">
        <v>2</v>
      </c>
      <c r="K78" s="1"/>
      <c r="L78" s="1"/>
      <c r="M78" s="1"/>
      <c r="V78" t="s">
        <v>134</v>
      </c>
      <c r="W78" t="s">
        <v>199</v>
      </c>
      <c r="X78" t="str">
        <f t="shared" si="11"/>
        <v>Leroy Fer (m)</v>
      </c>
      <c r="Y78" s="109">
        <f>AF78</f>
        <v>1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1</v>
      </c>
      <c r="AG78" s="108">
        <f>IF(AC78="",0,(IF(G78=AC78,1,0)))</f>
        <v>1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1"/>
      <c r="C79" s="39"/>
      <c r="D79" s="40"/>
      <c r="E79" s="1"/>
      <c r="F79" s="40"/>
      <c r="G79" s="1"/>
      <c r="H79" s="1"/>
      <c r="I79" s="1"/>
      <c r="J79" s="1"/>
      <c r="K79" s="1"/>
      <c r="L79" s="1"/>
      <c r="M79" s="1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201"/>
      <c r="K80" s="1"/>
      <c r="L80" s="1"/>
      <c r="M80" s="1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78" t="s">
        <v>1</v>
      </c>
      <c r="C81" s="79" t="s">
        <v>2</v>
      </c>
      <c r="D81" s="198" t="s">
        <v>3</v>
      </c>
      <c r="E81" s="81"/>
      <c r="F81" s="199" t="s">
        <v>4</v>
      </c>
      <c r="G81" s="867" t="s">
        <v>5</v>
      </c>
      <c r="H81" s="868"/>
      <c r="I81" s="869"/>
      <c r="J81" s="83" t="s">
        <v>6</v>
      </c>
      <c r="K81" s="1"/>
      <c r="L81" s="1"/>
      <c r="M81" s="1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2">
        <v>63</v>
      </c>
      <c r="C82" s="63">
        <v>41832</v>
      </c>
      <c r="D82" s="64" t="str">
        <f>IF(J77="","Verliezer 61",IF(J77=1,F77,D77))</f>
        <v>Brazilië</v>
      </c>
      <c r="E82" s="3" t="s">
        <v>9</v>
      </c>
      <c r="F82" s="65" t="str">
        <f>IF(J78="","Verliezer 62",IF(J78=1,F78,D78))</f>
        <v>Argentinië</v>
      </c>
      <c r="G82" s="105">
        <v>2</v>
      </c>
      <c r="H82" s="3" t="s">
        <v>9</v>
      </c>
      <c r="I82" s="106">
        <v>0</v>
      </c>
      <c r="J82" s="107">
        <v>1</v>
      </c>
      <c r="K82" s="1"/>
      <c r="L82" s="1"/>
      <c r="M82" s="1"/>
      <c r="V82" t="s">
        <v>134</v>
      </c>
      <c r="W82" t="s">
        <v>125</v>
      </c>
      <c r="X8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1"/>
      <c r="C83" s="39"/>
      <c r="D83" s="40"/>
      <c r="E83" s="1"/>
      <c r="F83" s="40"/>
      <c r="G83" s="1"/>
      <c r="H83" s="1"/>
      <c r="I83" s="1"/>
      <c r="J83" s="1"/>
      <c r="K83" s="1"/>
      <c r="L83" s="1"/>
      <c r="M83" s="1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201"/>
      <c r="K84" s="1"/>
      <c r="L84" s="1"/>
      <c r="M84" s="1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78" t="s">
        <v>1</v>
      </c>
      <c r="C85" s="79" t="s">
        <v>2</v>
      </c>
      <c r="D85" s="198" t="s">
        <v>3</v>
      </c>
      <c r="E85" s="81"/>
      <c r="F85" s="199" t="s">
        <v>4</v>
      </c>
      <c r="G85" s="867" t="s">
        <v>5</v>
      </c>
      <c r="H85" s="868"/>
      <c r="I85" s="869"/>
      <c r="J85" s="83" t="s">
        <v>6</v>
      </c>
      <c r="K85" s="1"/>
      <c r="L85" s="1"/>
      <c r="M85" s="1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2">
        <v>64</v>
      </c>
      <c r="C86" s="63">
        <v>41833</v>
      </c>
      <c r="D86" s="64" t="str">
        <f>IF(J77="","Winnaar 61",IF(J77=1,D77,F77))</f>
        <v>Portugal</v>
      </c>
      <c r="E86" s="3" t="s">
        <v>9</v>
      </c>
      <c r="F86" s="65" t="str">
        <f>IF(J78="","Winnaar 62",IF(J78=1,D78,F78))</f>
        <v>Spanje</v>
      </c>
      <c r="G86" s="105">
        <v>0</v>
      </c>
      <c r="H86" s="3" t="s">
        <v>9</v>
      </c>
      <c r="I86" s="106">
        <v>1</v>
      </c>
      <c r="J86" s="107">
        <v>2</v>
      </c>
      <c r="K86" s="1"/>
      <c r="L86" s="1"/>
      <c r="M86" s="1"/>
      <c r="V86" t="s">
        <v>134</v>
      </c>
      <c r="W86" t="s">
        <v>139</v>
      </c>
      <c r="X86" t="str">
        <f t="shared" si="11"/>
        <v>Nigel de Jong (m)</v>
      </c>
      <c r="Y86" s="109">
        <f>AF86</f>
        <v>1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1</v>
      </c>
      <c r="AG86" s="108">
        <f>IF(AC86="",0,(IF(G86=AC86,1,0)))</f>
        <v>1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Spanje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0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0</v>
      </c>
      <c r="AV89">
        <f>IF(AR89=0,0,IF(E89=AR89,50,0))</f>
        <v>0</v>
      </c>
      <c r="AW89">
        <f>IF(E89=0,0,IF(OR(E89=AR90),15,0))</f>
        <v>0</v>
      </c>
      <c r="AX89">
        <f>IF(E89=0,0,IF(OR(E89=AR91,E89=AR92),5,0))</f>
        <v>0</v>
      </c>
    </row>
    <row r="90" spans="2:50">
      <c r="C90" s="870">
        <v>2</v>
      </c>
      <c r="D90" s="871"/>
      <c r="E90" s="872" t="str">
        <f>IF(J86=2,D86,IF(J86=1,F86,"Wie wordt 2de?"))</f>
        <v>Portugal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0</v>
      </c>
      <c r="AV90">
        <f>IF(AR90=0,0,IF(AR90=E90,25,0))</f>
        <v>0</v>
      </c>
      <c r="AW90">
        <f>IF(E90=0,0,IF(OR(E90=AR89,),15,0))</f>
        <v>0</v>
      </c>
      <c r="AX90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Brazilië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10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10</v>
      </c>
      <c r="AV91">
        <f>IF(AR91=0,0,IF(AR91=E91,15,0))</f>
        <v>0</v>
      </c>
      <c r="AW91">
        <f>IF(E91=0,0,IF(OR(E91=AR92),10,0))</f>
        <v>10</v>
      </c>
      <c r="AX91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Argentinië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5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5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5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15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conditionalFormatting sqref="AO9:AO12 AO15:AO18 AO21:AO24 AO27:AO30 AO33:AO36 AO39:AO42 AO45:AO48 AO51:AO54">
    <cfRule type="cellIs" dxfId="203" priority="3" operator="equal">
      <formula>10</formula>
    </cfRule>
  </conditionalFormatting>
  <conditionalFormatting sqref="P58:T58">
    <cfRule type="duplicateValues" dxfId="202" priority="2"/>
  </conditionalFormatting>
  <conditionalFormatting sqref="P58:T68">
    <cfRule type="duplicateValues" dxfId="201" priority="1"/>
  </conditionalFormatting>
  <dataValidations count="10">
    <dataValidation type="list" allowBlank="1" showInputMessage="1" showErrorMessage="1" sqref="T51:T54">
      <formula1>$W$51:$W$54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P58:P68">
      <formula1>$X$58:$X$98</formula1>
    </dataValidation>
  </dataValidation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B1:BB98"/>
  <sheetViews>
    <sheetView topLeftCell="A49" zoomScale="70" zoomScaleNormal="70" workbookViewId="0">
      <selection activeCell="P58" sqref="P58:T68"/>
    </sheetView>
  </sheetViews>
  <sheetFormatPr defaultRowHeight="15" outlineLevelCol="2"/>
  <cols>
    <col min="1" max="1" width="3.42578125" customWidth="1"/>
    <col min="2" max="2" width="3.5703125" bestFit="1" customWidth="1"/>
    <col min="3" max="3" width="11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145" t="s">
        <v>253</v>
      </c>
      <c r="E3" s="145"/>
      <c r="F3" s="145"/>
      <c r="N3" t="str">
        <f>D3</f>
        <v>Malrini</v>
      </c>
      <c r="O3" s="144">
        <f>SUM(P3:S3)</f>
        <v>350</v>
      </c>
      <c r="P3" s="109">
        <f>SUM(Y8:Y86)</f>
        <v>187</v>
      </c>
      <c r="Q3" s="109">
        <f>SUM(AM4:AM55)</f>
        <v>110</v>
      </c>
      <c r="R3" s="109">
        <f>SUM(AP89:AP92)</f>
        <v>5</v>
      </c>
      <c r="S3" s="109">
        <f>SUM(BB58:BB69)</f>
        <v>48</v>
      </c>
      <c r="T3" s="109">
        <f>COUNTIF(AF8:AF86,10)</f>
        <v>4</v>
      </c>
      <c r="U3" s="109" t="str">
        <f>E89</f>
        <v>België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M6" s="352"/>
      <c r="N6" s="352"/>
      <c r="O6" s="392"/>
      <c r="P6" s="393"/>
      <c r="Q6" s="393"/>
      <c r="R6" s="393"/>
      <c r="S6" s="393"/>
      <c r="T6" s="393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18" t="s">
        <v>3</v>
      </c>
      <c r="E7" s="419"/>
      <c r="F7" s="420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M7" s="352"/>
      <c r="N7" s="352"/>
      <c r="O7" s="353"/>
      <c r="P7" s="393"/>
      <c r="Q7" s="393"/>
      <c r="R7" s="393"/>
      <c r="S7" s="393"/>
      <c r="T7" s="393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2</v>
      </c>
      <c r="H8" s="360" t="s">
        <v>9</v>
      </c>
      <c r="I8" s="439">
        <v>0</v>
      </c>
      <c r="J8" s="362">
        <v>1</v>
      </c>
      <c r="K8" s="363">
        <v>3</v>
      </c>
      <c r="L8" s="363">
        <v>0</v>
      </c>
      <c r="M8" s="352"/>
      <c r="N8" s="352"/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40"/>
      <c r="V8" s="40"/>
      <c r="W8" s="40"/>
      <c r="Y8" s="109">
        <f>AF8</f>
        <v>5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5</v>
      </c>
      <c r="AG8" s="108">
        <f t="shared" ref="AG8:AG55" si="0">IF(AC8="",0,(IF(G8=AC8,1,0)))</f>
        <v>0</v>
      </c>
      <c r="AH8" s="108">
        <f t="shared" ref="AH8:AH55" si="1">IF(AD8="",0,(IF(I8=AD8,1,0)))</f>
        <v>0</v>
      </c>
      <c r="AI8" s="108">
        <f>IF(AND(AG8=1,AH8=1),10,0)</f>
        <v>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1</v>
      </c>
      <c r="H9" s="367" t="s">
        <v>9</v>
      </c>
      <c r="I9" s="440">
        <v>1</v>
      </c>
      <c r="J9" s="369">
        <v>3</v>
      </c>
      <c r="K9" s="363">
        <v>1</v>
      </c>
      <c r="L9" s="363">
        <v>1</v>
      </c>
      <c r="M9" s="352"/>
      <c r="N9" s="352"/>
      <c r="O9" s="394" t="s">
        <v>8</v>
      </c>
      <c r="P9" s="395">
        <v>8</v>
      </c>
      <c r="Q9" s="395">
        <v>0</v>
      </c>
      <c r="R9" s="396">
        <v>8</v>
      </c>
      <c r="S9" s="397">
        <v>9</v>
      </c>
      <c r="T9" s="444" t="s">
        <v>48</v>
      </c>
      <c r="U9" s="40"/>
      <c r="V9" s="40" t="str">
        <f>O9</f>
        <v>Brazilië</v>
      </c>
      <c r="W9" s="40" t="s">
        <v>48</v>
      </c>
      <c r="Y9" s="109">
        <f t="shared" ref="Y9:Y55" si="5">AF9</f>
        <v>1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6">IF(OR(AC9="",AD9=""),0,(IF(SUM(AG9:AL9)&gt;10,10,SUM(AG9:AL9))))</f>
        <v>1</v>
      </c>
      <c r="AG9" s="108">
        <f t="shared" si="0"/>
        <v>1</v>
      </c>
      <c r="AH9" s="108">
        <f t="shared" si="1"/>
        <v>0</v>
      </c>
      <c r="AI9" s="108">
        <f t="shared" ref="AI9:AI55" si="7">IF(AND(AG9=1,AH9=1),10,0)</f>
        <v>0</v>
      </c>
      <c r="AJ9" s="108">
        <f t="shared" si="2"/>
        <v>0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2</v>
      </c>
      <c r="H10" s="373" t="s">
        <v>9</v>
      </c>
      <c r="I10" s="441">
        <v>0</v>
      </c>
      <c r="J10" s="375">
        <v>1</v>
      </c>
      <c r="K10" s="363">
        <v>3</v>
      </c>
      <c r="L10" s="363">
        <v>0</v>
      </c>
      <c r="M10" s="352"/>
      <c r="N10" s="352"/>
      <c r="O10" s="398" t="s">
        <v>10</v>
      </c>
      <c r="P10" s="399">
        <v>3</v>
      </c>
      <c r="Q10" s="399">
        <v>3</v>
      </c>
      <c r="R10" s="399">
        <v>0</v>
      </c>
      <c r="S10" s="400">
        <v>6</v>
      </c>
      <c r="T10" s="445" t="s">
        <v>49</v>
      </c>
      <c r="U10" s="40"/>
      <c r="V10" s="40" t="str">
        <f>O10</f>
        <v>Kroatië</v>
      </c>
      <c r="W10" s="40" t="s">
        <v>49</v>
      </c>
      <c r="Y10" s="109">
        <f t="shared" si="5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6"/>
        <v>0</v>
      </c>
      <c r="AG10" s="108">
        <f t="shared" si="0"/>
        <v>0</v>
      </c>
      <c r="AH10" s="108">
        <f t="shared" si="1"/>
        <v>0</v>
      </c>
      <c r="AI10" s="108">
        <f t="shared" si="7"/>
        <v>0</v>
      </c>
      <c r="AJ10" s="108">
        <f t="shared" si="2"/>
        <v>0</v>
      </c>
      <c r="AK10" s="108">
        <f t="shared" si="3"/>
        <v>0</v>
      </c>
      <c r="AL10" s="108">
        <f t="shared" si="4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2</v>
      </c>
      <c r="H11" s="379" t="s">
        <v>9</v>
      </c>
      <c r="I11" s="442">
        <v>1</v>
      </c>
      <c r="J11" s="381">
        <v>1</v>
      </c>
      <c r="K11" s="363">
        <v>3</v>
      </c>
      <c r="L11" s="363">
        <v>0</v>
      </c>
      <c r="M11" s="352"/>
      <c r="N11" s="352"/>
      <c r="O11" s="398" t="s">
        <v>11</v>
      </c>
      <c r="P11" s="399">
        <v>1</v>
      </c>
      <c r="Q11" s="399">
        <v>6</v>
      </c>
      <c r="R11" s="399">
        <v>-5</v>
      </c>
      <c r="S11" s="400">
        <v>1</v>
      </c>
      <c r="T11" s="445" t="s">
        <v>50</v>
      </c>
      <c r="U11" s="40"/>
      <c r="V11" s="40" t="str">
        <f>O11</f>
        <v>Mexico</v>
      </c>
      <c r="W11" s="40" t="s">
        <v>47</v>
      </c>
      <c r="Y11" s="109">
        <f t="shared" si="5"/>
        <v>6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6"/>
        <v>6</v>
      </c>
      <c r="AG11" s="108">
        <f t="shared" si="0"/>
        <v>0</v>
      </c>
      <c r="AH11" s="108">
        <f t="shared" si="1"/>
        <v>1</v>
      </c>
      <c r="AI11" s="108">
        <f t="shared" si="7"/>
        <v>0</v>
      </c>
      <c r="AJ11" s="108">
        <f t="shared" si="2"/>
        <v>5</v>
      </c>
      <c r="AK11" s="108">
        <f t="shared" si="3"/>
        <v>0</v>
      </c>
      <c r="AL11" s="108">
        <f t="shared" si="4"/>
        <v>0</v>
      </c>
      <c r="AM11" s="120">
        <f>AO11</f>
        <v>0</v>
      </c>
      <c r="AN11" s="117" t="s">
        <v>11</v>
      </c>
      <c r="AO11" s="115">
        <f>IF(Uitslag!T11="",0,IF(T11=Uitslag!T11,10,0))</f>
        <v>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2</v>
      </c>
      <c r="H12" s="367" t="s">
        <v>9</v>
      </c>
      <c r="I12" s="440">
        <v>0</v>
      </c>
      <c r="J12" s="369">
        <v>1</v>
      </c>
      <c r="K12" s="363">
        <v>3</v>
      </c>
      <c r="L12" s="363">
        <v>0</v>
      </c>
      <c r="M12" s="352"/>
      <c r="N12" s="352"/>
      <c r="O12" s="401" t="s">
        <v>12</v>
      </c>
      <c r="P12" s="402">
        <v>2</v>
      </c>
      <c r="Q12" s="402">
        <v>5</v>
      </c>
      <c r="R12" s="402">
        <v>-3</v>
      </c>
      <c r="S12" s="403">
        <v>1</v>
      </c>
      <c r="T12" s="446" t="s">
        <v>47</v>
      </c>
      <c r="U12" s="40"/>
      <c r="V12" s="40" t="str">
        <f>O12</f>
        <v>Kameroen</v>
      </c>
      <c r="W12" s="40" t="s">
        <v>50</v>
      </c>
      <c r="Y12" s="109">
        <f t="shared" si="5"/>
        <v>6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6"/>
        <v>6</v>
      </c>
      <c r="AG12" s="108">
        <f t="shared" si="0"/>
        <v>0</v>
      </c>
      <c r="AH12" s="108">
        <f t="shared" si="1"/>
        <v>1</v>
      </c>
      <c r="AI12" s="108">
        <f t="shared" si="7"/>
        <v>0</v>
      </c>
      <c r="AJ12" s="108">
        <f t="shared" si="2"/>
        <v>5</v>
      </c>
      <c r="AK12" s="108">
        <f t="shared" si="3"/>
        <v>0</v>
      </c>
      <c r="AL12" s="108">
        <f t="shared" si="4"/>
        <v>0</v>
      </c>
      <c r="AM12" s="120">
        <f>AO12</f>
        <v>0</v>
      </c>
      <c r="AN12" s="118" t="s">
        <v>12</v>
      </c>
      <c r="AO12" s="115">
        <f>IF(Uitslag!T12="",0,IF(T12=Uitslag!T12,10,0))</f>
        <v>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3</v>
      </c>
      <c r="H13" s="373" t="s">
        <v>9</v>
      </c>
      <c r="I13" s="441">
        <v>0</v>
      </c>
      <c r="J13" s="375">
        <v>1</v>
      </c>
      <c r="K13" s="363">
        <v>3</v>
      </c>
      <c r="L13" s="363">
        <v>0</v>
      </c>
      <c r="M13" s="352"/>
      <c r="N13" s="352"/>
      <c r="O13" s="392"/>
      <c r="P13" s="393"/>
      <c r="Q13" s="393"/>
      <c r="R13" s="393"/>
      <c r="S13" s="393"/>
      <c r="T13" s="393"/>
      <c r="U13" s="40"/>
      <c r="V13" s="40"/>
      <c r="W13" s="40"/>
      <c r="Y13" s="109">
        <f t="shared" si="5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6"/>
        <v>0</v>
      </c>
      <c r="AG13" s="108">
        <f t="shared" si="0"/>
        <v>0</v>
      </c>
      <c r="AH13" s="108">
        <f t="shared" si="1"/>
        <v>0</v>
      </c>
      <c r="AI13" s="108">
        <f t="shared" si="7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40"/>
      <c r="AO13" s="41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1</v>
      </c>
      <c r="H14" s="373" t="s">
        <v>9</v>
      </c>
      <c r="I14" s="441">
        <v>1</v>
      </c>
      <c r="J14" s="375">
        <v>3</v>
      </c>
      <c r="K14" s="363">
        <v>1</v>
      </c>
      <c r="L14" s="363">
        <v>1</v>
      </c>
      <c r="M14" s="352"/>
      <c r="N14" s="352"/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40"/>
      <c r="V14" s="40"/>
      <c r="W14" s="40"/>
      <c r="Y14" s="109">
        <f t="shared" si="5"/>
        <v>1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6"/>
        <v>1</v>
      </c>
      <c r="AG14" s="108">
        <f t="shared" si="0"/>
        <v>1</v>
      </c>
      <c r="AH14" s="108">
        <f t="shared" si="1"/>
        <v>0</v>
      </c>
      <c r="AI14" s="108">
        <f t="shared" si="7"/>
        <v>0</v>
      </c>
      <c r="AJ14" s="108">
        <f t="shared" si="2"/>
        <v>0</v>
      </c>
      <c r="AK14" s="108">
        <f t="shared" si="3"/>
        <v>0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2</v>
      </c>
      <c r="H15" s="379" t="s">
        <v>9</v>
      </c>
      <c r="I15" s="442">
        <v>3</v>
      </c>
      <c r="J15" s="381">
        <v>2</v>
      </c>
      <c r="K15" s="363">
        <v>0</v>
      </c>
      <c r="L15" s="363">
        <v>3</v>
      </c>
      <c r="M15" s="352"/>
      <c r="N15" s="352"/>
      <c r="O15" s="394" t="s">
        <v>13</v>
      </c>
      <c r="P15" s="395">
        <v>5</v>
      </c>
      <c r="Q15" s="395">
        <v>2</v>
      </c>
      <c r="R15" s="396">
        <v>3</v>
      </c>
      <c r="S15" s="397">
        <v>7</v>
      </c>
      <c r="T15" s="444" t="s">
        <v>52</v>
      </c>
      <c r="U15" s="40"/>
      <c r="V15" s="40" t="str">
        <f>O15</f>
        <v>Spanje</v>
      </c>
      <c r="W15" s="40" t="s">
        <v>52</v>
      </c>
      <c r="Y15" s="109">
        <f t="shared" si="5"/>
        <v>1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6"/>
        <v>1</v>
      </c>
      <c r="AG15" s="108">
        <f t="shared" si="0"/>
        <v>1</v>
      </c>
      <c r="AH15" s="108">
        <f t="shared" si="1"/>
        <v>0</v>
      </c>
      <c r="AI15" s="108">
        <f t="shared" si="7"/>
        <v>0</v>
      </c>
      <c r="AJ15" s="108">
        <f t="shared" si="2"/>
        <v>0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3</v>
      </c>
      <c r="H16" s="367" t="s">
        <v>9</v>
      </c>
      <c r="I16" s="440">
        <v>0</v>
      </c>
      <c r="J16" s="369">
        <v>1</v>
      </c>
      <c r="K16" s="363">
        <v>3</v>
      </c>
      <c r="L16" s="363">
        <v>0</v>
      </c>
      <c r="M16" s="352"/>
      <c r="N16" s="352"/>
      <c r="O16" s="404" t="s">
        <v>14</v>
      </c>
      <c r="P16" s="399">
        <v>1</v>
      </c>
      <c r="Q16" s="399">
        <v>4</v>
      </c>
      <c r="R16" s="399">
        <v>-3</v>
      </c>
      <c r="S16" s="400">
        <v>3</v>
      </c>
      <c r="T16" s="445" t="s">
        <v>54</v>
      </c>
      <c r="U16" s="40"/>
      <c r="V16" s="40" t="str">
        <f>O16</f>
        <v>Nederland</v>
      </c>
      <c r="W16" s="40" t="s">
        <v>53</v>
      </c>
      <c r="Y16" s="109">
        <f t="shared" si="5"/>
        <v>5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6"/>
        <v>5</v>
      </c>
      <c r="AG16" s="108">
        <f t="shared" si="0"/>
        <v>0</v>
      </c>
      <c r="AH16" s="108">
        <f t="shared" si="1"/>
        <v>0</v>
      </c>
      <c r="AI16" s="108">
        <f t="shared" si="7"/>
        <v>0</v>
      </c>
      <c r="AJ16" s="108">
        <f t="shared" si="2"/>
        <v>5</v>
      </c>
      <c r="AK16" s="108">
        <f t="shared" si="3"/>
        <v>0</v>
      </c>
      <c r="AL16" s="108">
        <f t="shared" si="4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1</v>
      </c>
      <c r="H17" s="373" t="s">
        <v>9</v>
      </c>
      <c r="I17" s="441">
        <v>0</v>
      </c>
      <c r="J17" s="375">
        <v>1</v>
      </c>
      <c r="K17" s="363">
        <v>3</v>
      </c>
      <c r="L17" s="363">
        <v>0</v>
      </c>
      <c r="M17" s="352"/>
      <c r="N17" s="352"/>
      <c r="O17" s="398" t="s">
        <v>15</v>
      </c>
      <c r="P17" s="399">
        <v>5</v>
      </c>
      <c r="Q17" s="399">
        <v>3</v>
      </c>
      <c r="R17" s="399">
        <v>2</v>
      </c>
      <c r="S17" s="400">
        <v>6</v>
      </c>
      <c r="T17" s="445" t="s">
        <v>53</v>
      </c>
      <c r="U17" s="40"/>
      <c r="V17" s="40" t="str">
        <f>O17</f>
        <v>Chili</v>
      </c>
      <c r="W17" s="40" t="s">
        <v>54</v>
      </c>
      <c r="Y17" s="109">
        <f t="shared" si="5"/>
        <v>6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6"/>
        <v>6</v>
      </c>
      <c r="AG17" s="108">
        <f t="shared" si="0"/>
        <v>0</v>
      </c>
      <c r="AH17" s="108">
        <f t="shared" si="1"/>
        <v>1</v>
      </c>
      <c r="AI17" s="108">
        <f t="shared" si="7"/>
        <v>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10</v>
      </c>
      <c r="AN17" s="117" t="s">
        <v>15</v>
      </c>
      <c r="AO17" s="115">
        <f>IF(Uitslag!T17="",0,IF(T17=Uitslag!T17,10,0))</f>
        <v>10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4</v>
      </c>
      <c r="H18" s="379" t="s">
        <v>9</v>
      </c>
      <c r="I18" s="442">
        <v>1</v>
      </c>
      <c r="J18" s="381">
        <v>1</v>
      </c>
      <c r="K18" s="363">
        <v>3</v>
      </c>
      <c r="L18" s="363">
        <v>0</v>
      </c>
      <c r="M18" s="352"/>
      <c r="N18" s="352"/>
      <c r="O18" s="401" t="s">
        <v>16</v>
      </c>
      <c r="P18" s="402">
        <v>2</v>
      </c>
      <c r="Q18" s="402">
        <v>4</v>
      </c>
      <c r="R18" s="402">
        <v>-2</v>
      </c>
      <c r="S18" s="403">
        <v>1</v>
      </c>
      <c r="T18" s="446" t="s">
        <v>55</v>
      </c>
      <c r="U18" s="40"/>
      <c r="V18" s="40" t="str">
        <f>O18</f>
        <v>Australië</v>
      </c>
      <c r="W18" s="40" t="s">
        <v>55</v>
      </c>
      <c r="Y18" s="109">
        <f t="shared" si="5"/>
        <v>6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6"/>
        <v>6</v>
      </c>
      <c r="AG18" s="108">
        <f t="shared" si="0"/>
        <v>0</v>
      </c>
      <c r="AH18" s="108">
        <f t="shared" si="1"/>
        <v>1</v>
      </c>
      <c r="AI18" s="108">
        <f t="shared" si="7"/>
        <v>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1</v>
      </c>
      <c r="H19" s="367" t="s">
        <v>9</v>
      </c>
      <c r="I19" s="440">
        <v>1</v>
      </c>
      <c r="J19" s="369">
        <v>3</v>
      </c>
      <c r="K19" s="363">
        <v>1</v>
      </c>
      <c r="L19" s="363">
        <v>1</v>
      </c>
      <c r="M19" s="352"/>
      <c r="N19" s="352"/>
      <c r="O19" s="392"/>
      <c r="P19" s="393"/>
      <c r="Q19" s="393"/>
      <c r="R19" s="393"/>
      <c r="S19" s="393"/>
      <c r="T19" s="393"/>
      <c r="U19" s="40"/>
      <c r="V19" s="40"/>
      <c r="W19" s="40"/>
      <c r="Y19" s="109">
        <f t="shared" si="5"/>
        <v>0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6"/>
        <v>0</v>
      </c>
      <c r="AG19" s="108">
        <f t="shared" si="0"/>
        <v>0</v>
      </c>
      <c r="AH19" s="108">
        <f t="shared" si="1"/>
        <v>0</v>
      </c>
      <c r="AI19" s="108">
        <f t="shared" si="7"/>
        <v>0</v>
      </c>
      <c r="AJ19" s="108">
        <f t="shared" si="2"/>
        <v>0</v>
      </c>
      <c r="AK19" s="108">
        <f t="shared" si="3"/>
        <v>0</v>
      </c>
      <c r="AL19" s="108">
        <f t="shared" si="4"/>
        <v>0</v>
      </c>
      <c r="AN19" s="40"/>
      <c r="AO19" s="41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0</v>
      </c>
      <c r="H20" s="373" t="s">
        <v>9</v>
      </c>
      <c r="I20" s="441">
        <v>0</v>
      </c>
      <c r="J20" s="375">
        <v>3</v>
      </c>
      <c r="K20" s="363">
        <v>1</v>
      </c>
      <c r="L20" s="363">
        <v>1</v>
      </c>
      <c r="M20" s="352"/>
      <c r="N20" s="352"/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40"/>
      <c r="V20" s="40"/>
      <c r="W20" s="40"/>
      <c r="Y20" s="109">
        <f t="shared" si="5"/>
        <v>10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6"/>
        <v>10</v>
      </c>
      <c r="AG20" s="108">
        <f t="shared" si="0"/>
        <v>1</v>
      </c>
      <c r="AH20" s="108">
        <f t="shared" si="1"/>
        <v>1</v>
      </c>
      <c r="AI20" s="108">
        <f t="shared" si="7"/>
        <v>10</v>
      </c>
      <c r="AJ20" s="108">
        <f t="shared" si="2"/>
        <v>0</v>
      </c>
      <c r="AK20" s="108">
        <f t="shared" si="3"/>
        <v>0</v>
      </c>
      <c r="AL20" s="108">
        <f t="shared" si="4"/>
        <v>5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1</v>
      </c>
      <c r="H21" s="379" t="s">
        <v>9</v>
      </c>
      <c r="I21" s="442">
        <v>3</v>
      </c>
      <c r="J21" s="381">
        <v>2</v>
      </c>
      <c r="K21" s="363">
        <v>0</v>
      </c>
      <c r="L21" s="363">
        <v>3</v>
      </c>
      <c r="M21" s="352"/>
      <c r="N21" s="352"/>
      <c r="O21" s="394" t="s">
        <v>17</v>
      </c>
      <c r="P21" s="395">
        <v>3</v>
      </c>
      <c r="Q21" s="395">
        <v>1</v>
      </c>
      <c r="R21" s="396">
        <v>2</v>
      </c>
      <c r="S21" s="397">
        <v>6</v>
      </c>
      <c r="T21" s="444" t="s">
        <v>58</v>
      </c>
      <c r="U21" s="40"/>
      <c r="V21" s="40" t="str">
        <f>O21</f>
        <v>Colombia</v>
      </c>
      <c r="W21" s="40" t="s">
        <v>57</v>
      </c>
      <c r="Y21" s="109">
        <f t="shared" si="5"/>
        <v>6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6"/>
        <v>6</v>
      </c>
      <c r="AG21" s="108">
        <f t="shared" si="0"/>
        <v>1</v>
      </c>
      <c r="AH21" s="108">
        <f t="shared" si="1"/>
        <v>0</v>
      </c>
      <c r="AI21" s="108">
        <f t="shared" si="7"/>
        <v>0</v>
      </c>
      <c r="AJ21" s="108">
        <f t="shared" si="2"/>
        <v>0</v>
      </c>
      <c r="AK21" s="108">
        <f t="shared" si="3"/>
        <v>5</v>
      </c>
      <c r="AL21" s="108">
        <f t="shared" si="4"/>
        <v>0</v>
      </c>
      <c r="AM21" s="120">
        <f>AO21</f>
        <v>0</v>
      </c>
      <c r="AN21" s="116" t="s">
        <v>17</v>
      </c>
      <c r="AO21" s="115">
        <f>IF(Uitslag!T21="",0,IF(T21=Uitslag!T21,10,0))</f>
        <v>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2</v>
      </c>
      <c r="H22" s="367" t="s">
        <v>9</v>
      </c>
      <c r="I22" s="440">
        <v>0</v>
      </c>
      <c r="J22" s="369">
        <v>1</v>
      </c>
      <c r="K22" s="363">
        <v>3</v>
      </c>
      <c r="L22" s="363">
        <v>0</v>
      </c>
      <c r="M22" s="352"/>
      <c r="N22" s="352"/>
      <c r="O22" s="398" t="s">
        <v>18</v>
      </c>
      <c r="P22" s="399">
        <v>2</v>
      </c>
      <c r="Q22" s="399">
        <v>5</v>
      </c>
      <c r="R22" s="399">
        <v>-3</v>
      </c>
      <c r="S22" s="400">
        <v>1</v>
      </c>
      <c r="T22" s="445" t="s">
        <v>60</v>
      </c>
      <c r="U22" s="40"/>
      <c r="V22" s="40" t="str">
        <f>O22</f>
        <v>Griekenland</v>
      </c>
      <c r="W22" s="40" t="s">
        <v>58</v>
      </c>
      <c r="Y22" s="109">
        <f t="shared" si="5"/>
        <v>6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6"/>
        <v>6</v>
      </c>
      <c r="AG22" s="108">
        <f t="shared" si="0"/>
        <v>1</v>
      </c>
      <c r="AH22" s="108">
        <f t="shared" si="1"/>
        <v>0</v>
      </c>
      <c r="AI22" s="108">
        <f t="shared" si="7"/>
        <v>0</v>
      </c>
      <c r="AJ22" s="108">
        <f t="shared" si="2"/>
        <v>5</v>
      </c>
      <c r="AK22" s="108">
        <f t="shared" si="3"/>
        <v>0</v>
      </c>
      <c r="AL22" s="108">
        <f t="shared" si="4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4</v>
      </c>
      <c r="H23" s="373" t="s">
        <v>9</v>
      </c>
      <c r="I23" s="441">
        <v>0</v>
      </c>
      <c r="J23" s="375">
        <v>1</v>
      </c>
      <c r="K23" s="363">
        <v>3</v>
      </c>
      <c r="L23" s="363">
        <v>0</v>
      </c>
      <c r="M23" s="352"/>
      <c r="N23" s="352"/>
      <c r="O23" s="398" t="s">
        <v>23</v>
      </c>
      <c r="P23" s="399">
        <v>4</v>
      </c>
      <c r="Q23" s="399">
        <v>5</v>
      </c>
      <c r="R23" s="399">
        <v>-1</v>
      </c>
      <c r="S23" s="400">
        <v>3</v>
      </c>
      <c r="T23" s="445" t="s">
        <v>59</v>
      </c>
      <c r="U23" s="40"/>
      <c r="V23" s="40" t="str">
        <f>O23</f>
        <v>Ivoorkust</v>
      </c>
      <c r="W23" s="40" t="s">
        <v>59</v>
      </c>
      <c r="Y23" s="109">
        <f t="shared" si="5"/>
        <v>1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6"/>
        <v>1</v>
      </c>
      <c r="AG23" s="108">
        <f t="shared" si="0"/>
        <v>0</v>
      </c>
      <c r="AH23" s="108">
        <f t="shared" si="1"/>
        <v>1</v>
      </c>
      <c r="AI23" s="108">
        <f t="shared" si="7"/>
        <v>0</v>
      </c>
      <c r="AJ23" s="108">
        <f t="shared" si="2"/>
        <v>0</v>
      </c>
      <c r="AK23" s="108">
        <f t="shared" si="3"/>
        <v>0</v>
      </c>
      <c r="AL23" s="108">
        <f t="shared" si="4"/>
        <v>0</v>
      </c>
      <c r="AM23" s="120">
        <f>AO23</f>
        <v>10</v>
      </c>
      <c r="AN23" s="117" t="s">
        <v>23</v>
      </c>
      <c r="AO23" s="115">
        <f>IF(Uitslag!T23="",0,IF(T23=Uitslag!T23,10,0))</f>
        <v>10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1</v>
      </c>
      <c r="H24" s="379" t="s">
        <v>9</v>
      </c>
      <c r="I24" s="442">
        <v>0</v>
      </c>
      <c r="J24" s="381">
        <v>1</v>
      </c>
      <c r="K24" s="363">
        <v>3</v>
      </c>
      <c r="L24" s="363">
        <v>0</v>
      </c>
      <c r="M24" s="352"/>
      <c r="N24" s="352"/>
      <c r="O24" s="401" t="s">
        <v>24</v>
      </c>
      <c r="P24" s="402">
        <v>5</v>
      </c>
      <c r="Q24" s="402">
        <v>3</v>
      </c>
      <c r="R24" s="402">
        <v>2</v>
      </c>
      <c r="S24" s="403">
        <v>7</v>
      </c>
      <c r="T24" s="446" t="s">
        <v>57</v>
      </c>
      <c r="U24" s="40"/>
      <c r="V24" s="40" t="str">
        <f>O24</f>
        <v>Japan</v>
      </c>
      <c r="W24" s="40" t="s">
        <v>60</v>
      </c>
      <c r="Y24" s="109">
        <f t="shared" si="5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6"/>
        <v>1</v>
      </c>
      <c r="AG24" s="108">
        <f t="shared" si="0"/>
        <v>1</v>
      </c>
      <c r="AH24" s="108">
        <f t="shared" si="1"/>
        <v>0</v>
      </c>
      <c r="AI24" s="108">
        <f t="shared" si="7"/>
        <v>0</v>
      </c>
      <c r="AJ24" s="108">
        <f t="shared" si="2"/>
        <v>0</v>
      </c>
      <c r="AK24" s="108">
        <f t="shared" si="3"/>
        <v>0</v>
      </c>
      <c r="AL24" s="108">
        <f t="shared" si="4"/>
        <v>0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0</v>
      </c>
      <c r="H25" s="367" t="s">
        <v>9</v>
      </c>
      <c r="I25" s="440">
        <v>1</v>
      </c>
      <c r="J25" s="369">
        <v>2</v>
      </c>
      <c r="K25" s="363">
        <v>0</v>
      </c>
      <c r="L25" s="363">
        <v>3</v>
      </c>
      <c r="M25" s="352"/>
      <c r="N25" s="352"/>
      <c r="O25" s="392"/>
      <c r="P25" s="393"/>
      <c r="Q25" s="393"/>
      <c r="R25" s="393"/>
      <c r="S25" s="393"/>
      <c r="T25" s="393"/>
      <c r="U25" s="40"/>
      <c r="V25" s="40"/>
      <c r="W25" s="40"/>
      <c r="Y25" s="109">
        <f t="shared" si="5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6"/>
        <v>5</v>
      </c>
      <c r="AG25" s="108">
        <f t="shared" si="0"/>
        <v>0</v>
      </c>
      <c r="AH25" s="108">
        <f t="shared" si="1"/>
        <v>0</v>
      </c>
      <c r="AI25" s="108">
        <f t="shared" si="7"/>
        <v>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40"/>
      <c r="AO25" s="41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2</v>
      </c>
      <c r="H26" s="373" t="s">
        <v>9</v>
      </c>
      <c r="I26" s="441">
        <v>1</v>
      </c>
      <c r="J26" s="375">
        <v>1</v>
      </c>
      <c r="K26" s="363">
        <v>3</v>
      </c>
      <c r="L26" s="363">
        <v>0</v>
      </c>
      <c r="M26" s="352"/>
      <c r="N26" s="352"/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40"/>
      <c r="V26" s="40"/>
      <c r="W26" s="40"/>
      <c r="Y26" s="109">
        <f t="shared" si="5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6"/>
        <v>0</v>
      </c>
      <c r="AG26" s="108">
        <f t="shared" si="0"/>
        <v>0</v>
      </c>
      <c r="AH26" s="108">
        <f t="shared" si="1"/>
        <v>0</v>
      </c>
      <c r="AI26" s="108">
        <f t="shared" si="7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1</v>
      </c>
      <c r="H27" s="379" t="s">
        <v>9</v>
      </c>
      <c r="I27" s="442">
        <v>2</v>
      </c>
      <c r="J27" s="381">
        <v>2</v>
      </c>
      <c r="K27" s="363">
        <v>0</v>
      </c>
      <c r="L27" s="363">
        <v>3</v>
      </c>
      <c r="M27" s="352"/>
      <c r="N27" s="352"/>
      <c r="O27" s="394" t="s">
        <v>19</v>
      </c>
      <c r="P27" s="395">
        <v>7</v>
      </c>
      <c r="Q27" s="395">
        <v>4</v>
      </c>
      <c r="R27" s="396">
        <v>3</v>
      </c>
      <c r="S27" s="397">
        <v>5</v>
      </c>
      <c r="T27" s="444" t="s">
        <v>62</v>
      </c>
      <c r="U27" s="40"/>
      <c r="V27" s="40" t="str">
        <f>O27</f>
        <v>Uruguay</v>
      </c>
      <c r="W27" s="40" t="s">
        <v>62</v>
      </c>
      <c r="Y27" s="109">
        <f t="shared" si="5"/>
        <v>5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6"/>
        <v>5</v>
      </c>
      <c r="AG27" s="108">
        <f t="shared" si="0"/>
        <v>0</v>
      </c>
      <c r="AH27" s="108">
        <f t="shared" si="1"/>
        <v>0</v>
      </c>
      <c r="AI27" s="108">
        <f t="shared" si="7"/>
        <v>0</v>
      </c>
      <c r="AJ27" s="108">
        <f t="shared" si="2"/>
        <v>0</v>
      </c>
      <c r="AK27" s="108">
        <f t="shared" si="3"/>
        <v>5</v>
      </c>
      <c r="AL27" s="108">
        <f t="shared" si="4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1</v>
      </c>
      <c r="H28" s="367" t="s">
        <v>9</v>
      </c>
      <c r="I28" s="440">
        <v>0</v>
      </c>
      <c r="J28" s="369">
        <v>1</v>
      </c>
      <c r="K28" s="363">
        <v>3</v>
      </c>
      <c r="L28" s="363">
        <v>0</v>
      </c>
      <c r="M28" s="352"/>
      <c r="N28" s="352"/>
      <c r="O28" s="398" t="s">
        <v>20</v>
      </c>
      <c r="P28" s="399">
        <v>1</v>
      </c>
      <c r="Q28" s="399">
        <v>8</v>
      </c>
      <c r="R28" s="399">
        <v>-7</v>
      </c>
      <c r="S28" s="400">
        <v>0</v>
      </c>
      <c r="T28" s="445" t="s">
        <v>65</v>
      </c>
      <c r="U28" s="40"/>
      <c r="V28" s="40" t="str">
        <f>O28</f>
        <v>Costa Rica</v>
      </c>
      <c r="W28" s="40" t="s">
        <v>63</v>
      </c>
      <c r="Y28" s="109">
        <f t="shared" si="5"/>
        <v>5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6"/>
        <v>5</v>
      </c>
      <c r="AG28" s="108">
        <f t="shared" si="0"/>
        <v>0</v>
      </c>
      <c r="AH28" s="108">
        <f t="shared" si="1"/>
        <v>0</v>
      </c>
      <c r="AI28" s="108">
        <f t="shared" si="7"/>
        <v>0</v>
      </c>
      <c r="AJ28" s="108">
        <f t="shared" si="2"/>
        <v>5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2</v>
      </c>
      <c r="H29" s="373" t="s">
        <v>9</v>
      </c>
      <c r="I29" s="441">
        <v>2</v>
      </c>
      <c r="J29" s="375">
        <v>3</v>
      </c>
      <c r="K29" s="363">
        <v>1</v>
      </c>
      <c r="L29" s="363">
        <v>1</v>
      </c>
      <c r="M29" s="352"/>
      <c r="N29" s="352"/>
      <c r="O29" s="398" t="s">
        <v>21</v>
      </c>
      <c r="P29" s="399">
        <v>5</v>
      </c>
      <c r="Q29" s="399">
        <v>4</v>
      </c>
      <c r="R29" s="399">
        <v>1</v>
      </c>
      <c r="S29" s="400">
        <v>5</v>
      </c>
      <c r="T29" s="445" t="s">
        <v>64</v>
      </c>
      <c r="U29" s="40"/>
      <c r="V29" s="40" t="str">
        <f>O29</f>
        <v>Engeland</v>
      </c>
      <c r="W29" s="40" t="s">
        <v>64</v>
      </c>
      <c r="Y29" s="109">
        <f t="shared" si="5"/>
        <v>1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6"/>
        <v>1</v>
      </c>
      <c r="AG29" s="108">
        <f t="shared" si="0"/>
        <v>1</v>
      </c>
      <c r="AH29" s="108">
        <f t="shared" si="1"/>
        <v>0</v>
      </c>
      <c r="AI29" s="108">
        <f t="shared" si="7"/>
        <v>0</v>
      </c>
      <c r="AJ29" s="108">
        <f t="shared" si="2"/>
        <v>0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1</v>
      </c>
      <c r="H30" s="379" t="s">
        <v>9</v>
      </c>
      <c r="I30" s="442">
        <v>1</v>
      </c>
      <c r="J30" s="381">
        <v>3</v>
      </c>
      <c r="K30" s="363">
        <v>1</v>
      </c>
      <c r="L30" s="363">
        <v>1</v>
      </c>
      <c r="M30" s="352"/>
      <c r="N30" s="352"/>
      <c r="O30" s="401" t="s">
        <v>22</v>
      </c>
      <c r="P30" s="402">
        <v>6</v>
      </c>
      <c r="Q30" s="402">
        <v>3</v>
      </c>
      <c r="R30" s="402">
        <v>3</v>
      </c>
      <c r="S30" s="403">
        <v>5</v>
      </c>
      <c r="T30" s="446" t="s">
        <v>63</v>
      </c>
      <c r="U30" s="40"/>
      <c r="V30" s="40" t="str">
        <f>O30</f>
        <v>Italië</v>
      </c>
      <c r="W30" s="40" t="s">
        <v>65</v>
      </c>
      <c r="Y30" s="109">
        <f t="shared" si="5"/>
        <v>5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6"/>
        <v>5</v>
      </c>
      <c r="AG30" s="108">
        <f t="shared" si="0"/>
        <v>0</v>
      </c>
      <c r="AH30" s="108">
        <f t="shared" si="1"/>
        <v>0</v>
      </c>
      <c r="AI30" s="108">
        <f t="shared" si="7"/>
        <v>0</v>
      </c>
      <c r="AJ30" s="108">
        <f t="shared" si="2"/>
        <v>0</v>
      </c>
      <c r="AK30" s="108">
        <f t="shared" si="3"/>
        <v>0</v>
      </c>
      <c r="AL30" s="108">
        <f t="shared" si="4"/>
        <v>5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3</v>
      </c>
      <c r="H31" s="367" t="s">
        <v>9</v>
      </c>
      <c r="I31" s="440">
        <v>0</v>
      </c>
      <c r="J31" s="369">
        <v>1</v>
      </c>
      <c r="K31" s="363">
        <v>3</v>
      </c>
      <c r="L31" s="363">
        <v>0</v>
      </c>
      <c r="M31" s="352"/>
      <c r="N31" s="352"/>
      <c r="O31" s="392"/>
      <c r="P31" s="393"/>
      <c r="Q31" s="393"/>
      <c r="R31" s="393"/>
      <c r="S31" s="393"/>
      <c r="T31" s="393"/>
      <c r="U31" s="40"/>
      <c r="V31" s="40"/>
      <c r="W31" s="40"/>
      <c r="Y31" s="109">
        <f t="shared" si="5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6"/>
        <v>0</v>
      </c>
      <c r="AG31" s="108">
        <f t="shared" si="0"/>
        <v>0</v>
      </c>
      <c r="AH31" s="108">
        <f t="shared" si="1"/>
        <v>0</v>
      </c>
      <c r="AI31" s="108">
        <f t="shared" si="7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40"/>
      <c r="AO31" s="41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1</v>
      </c>
      <c r="H32" s="373" t="s">
        <v>9</v>
      </c>
      <c r="I32" s="441">
        <v>1</v>
      </c>
      <c r="J32" s="375">
        <v>3</v>
      </c>
      <c r="K32" s="363">
        <v>1</v>
      </c>
      <c r="L32" s="363">
        <v>1</v>
      </c>
      <c r="M32" s="352"/>
      <c r="N32" s="352"/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40"/>
      <c r="V32" s="40"/>
      <c r="W32" s="40"/>
      <c r="Y32" s="109">
        <f t="shared" si="5"/>
        <v>0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6"/>
        <v>0</v>
      </c>
      <c r="AG32" s="108">
        <f t="shared" si="0"/>
        <v>0</v>
      </c>
      <c r="AH32" s="108">
        <f t="shared" si="1"/>
        <v>0</v>
      </c>
      <c r="AI32" s="108">
        <f t="shared" si="7"/>
        <v>0</v>
      </c>
      <c r="AJ32" s="108">
        <f t="shared" si="2"/>
        <v>0</v>
      </c>
      <c r="AK32" s="108">
        <f t="shared" si="3"/>
        <v>0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1</v>
      </c>
      <c r="H33" s="379" t="s">
        <v>9</v>
      </c>
      <c r="I33" s="442">
        <v>2</v>
      </c>
      <c r="J33" s="381">
        <v>2</v>
      </c>
      <c r="K33" s="363">
        <v>0</v>
      </c>
      <c r="L33" s="363">
        <v>3</v>
      </c>
      <c r="M33" s="352"/>
      <c r="N33" s="352"/>
      <c r="O33" s="394" t="s">
        <v>25</v>
      </c>
      <c r="P33" s="395">
        <v>8</v>
      </c>
      <c r="Q33" s="395">
        <v>2</v>
      </c>
      <c r="R33" s="396">
        <v>6</v>
      </c>
      <c r="S33" s="397">
        <v>7</v>
      </c>
      <c r="T33" s="444" t="s">
        <v>68</v>
      </c>
      <c r="U33" s="40"/>
      <c r="V33" s="40" t="str">
        <f>O33</f>
        <v>Zwitserland</v>
      </c>
      <c r="W33" s="40" t="s">
        <v>67</v>
      </c>
      <c r="Y33" s="109">
        <f t="shared" si="5"/>
        <v>10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6"/>
        <v>10</v>
      </c>
      <c r="AG33" s="108">
        <f t="shared" si="0"/>
        <v>1</v>
      </c>
      <c r="AH33" s="108">
        <f t="shared" si="1"/>
        <v>1</v>
      </c>
      <c r="AI33" s="108">
        <f t="shared" si="7"/>
        <v>10</v>
      </c>
      <c r="AJ33" s="108">
        <f t="shared" si="2"/>
        <v>0</v>
      </c>
      <c r="AK33" s="108">
        <f t="shared" si="3"/>
        <v>5</v>
      </c>
      <c r="AL33" s="108">
        <f t="shared" si="4"/>
        <v>0</v>
      </c>
      <c r="AM33" s="120">
        <f>AO33</f>
        <v>10</v>
      </c>
      <c r="AN33" s="116" t="s">
        <v>25</v>
      </c>
      <c r="AO33" s="115">
        <f>IF(Uitslag!T33="",0,IF(T33=Uitslag!T33,10,0))</f>
        <v>10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2</v>
      </c>
      <c r="H34" s="367" t="s">
        <v>9</v>
      </c>
      <c r="I34" s="440">
        <v>0</v>
      </c>
      <c r="J34" s="369">
        <v>1</v>
      </c>
      <c r="K34" s="363">
        <v>3</v>
      </c>
      <c r="L34" s="363">
        <v>0</v>
      </c>
      <c r="M34" s="352"/>
      <c r="N34" s="352"/>
      <c r="O34" s="398" t="s">
        <v>26</v>
      </c>
      <c r="P34" s="399">
        <v>2</v>
      </c>
      <c r="Q34" s="399">
        <v>5</v>
      </c>
      <c r="R34" s="399">
        <v>-3</v>
      </c>
      <c r="S34" s="400">
        <v>3</v>
      </c>
      <c r="T34" s="445" t="s">
        <v>69</v>
      </c>
      <c r="U34" s="40"/>
      <c r="V34" s="40" t="str">
        <f>O34</f>
        <v>Ecuador</v>
      </c>
      <c r="W34" s="40" t="s">
        <v>68</v>
      </c>
      <c r="Y34" s="109">
        <f t="shared" si="5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6"/>
        <v>6</v>
      </c>
      <c r="AG34" s="108">
        <f t="shared" si="0"/>
        <v>0</v>
      </c>
      <c r="AH34" s="108">
        <f t="shared" si="1"/>
        <v>1</v>
      </c>
      <c r="AI34" s="108">
        <f t="shared" si="7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10</v>
      </c>
      <c r="AN34" s="117" t="s">
        <v>26</v>
      </c>
      <c r="AO34" s="115">
        <f>IF(Uitslag!T34="",0,IF(T34=Uitslag!T34,10,0))</f>
        <v>10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3</v>
      </c>
      <c r="H35" s="373" t="s">
        <v>9</v>
      </c>
      <c r="I35" s="441">
        <v>0</v>
      </c>
      <c r="J35" s="375">
        <v>1</v>
      </c>
      <c r="K35" s="363">
        <v>3</v>
      </c>
      <c r="L35" s="363">
        <v>0</v>
      </c>
      <c r="M35" s="352"/>
      <c r="N35" s="352"/>
      <c r="O35" s="398" t="s">
        <v>27</v>
      </c>
      <c r="P35" s="399">
        <v>3</v>
      </c>
      <c r="Q35" s="399">
        <v>1</v>
      </c>
      <c r="R35" s="399">
        <v>2</v>
      </c>
      <c r="S35" s="400">
        <v>7</v>
      </c>
      <c r="T35" s="445" t="s">
        <v>67</v>
      </c>
      <c r="U35" s="40"/>
      <c r="V35" s="40" t="str">
        <f>O35</f>
        <v>Frankrijk</v>
      </c>
      <c r="W35" s="40" t="s">
        <v>69</v>
      </c>
      <c r="Y35" s="109">
        <f t="shared" si="5"/>
        <v>0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6"/>
        <v>0</v>
      </c>
      <c r="AG35" s="108">
        <f t="shared" si="0"/>
        <v>0</v>
      </c>
      <c r="AH35" s="108">
        <f t="shared" si="1"/>
        <v>0</v>
      </c>
      <c r="AI35" s="108">
        <f t="shared" si="7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1</v>
      </c>
      <c r="H36" s="379" t="s">
        <v>9</v>
      </c>
      <c r="I36" s="442">
        <v>2</v>
      </c>
      <c r="J36" s="381">
        <v>2</v>
      </c>
      <c r="K36" s="363">
        <v>0</v>
      </c>
      <c r="L36" s="363">
        <v>3</v>
      </c>
      <c r="M36" s="352"/>
      <c r="N36" s="352"/>
      <c r="O36" s="401" t="s">
        <v>28</v>
      </c>
      <c r="P36" s="402">
        <v>2</v>
      </c>
      <c r="Q36" s="402">
        <v>7</v>
      </c>
      <c r="R36" s="402">
        <v>-5</v>
      </c>
      <c r="S36" s="403">
        <v>0</v>
      </c>
      <c r="T36" s="446" t="s">
        <v>70</v>
      </c>
      <c r="U36" s="40"/>
      <c r="V36" s="40" t="str">
        <f>O36</f>
        <v>Honduras</v>
      </c>
      <c r="W36" s="40" t="s">
        <v>70</v>
      </c>
      <c r="Y36" s="109">
        <f t="shared" si="5"/>
        <v>1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6"/>
        <v>1</v>
      </c>
      <c r="AG36" s="108">
        <f t="shared" si="0"/>
        <v>1</v>
      </c>
      <c r="AH36" s="108">
        <f t="shared" si="1"/>
        <v>0</v>
      </c>
      <c r="AI36" s="108">
        <f t="shared" si="7"/>
        <v>0</v>
      </c>
      <c r="AJ36" s="108">
        <f t="shared" si="2"/>
        <v>0</v>
      </c>
      <c r="AK36" s="108">
        <f t="shared" si="3"/>
        <v>0</v>
      </c>
      <c r="AL36" s="108">
        <f t="shared" si="4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2</v>
      </c>
      <c r="H37" s="367" t="s">
        <v>9</v>
      </c>
      <c r="I37" s="440">
        <v>1</v>
      </c>
      <c r="J37" s="369">
        <v>1</v>
      </c>
      <c r="K37" s="363">
        <v>3</v>
      </c>
      <c r="L37" s="363">
        <v>0</v>
      </c>
      <c r="M37" s="352"/>
      <c r="N37" s="352"/>
      <c r="O37" s="392"/>
      <c r="P37" s="393"/>
      <c r="Q37" s="393"/>
      <c r="R37" s="393"/>
      <c r="S37" s="393"/>
      <c r="T37" s="393"/>
      <c r="U37" s="40"/>
      <c r="V37" s="40"/>
      <c r="W37" s="40"/>
      <c r="Y37" s="109">
        <f t="shared" si="5"/>
        <v>5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6"/>
        <v>5</v>
      </c>
      <c r="AG37" s="108">
        <f t="shared" si="0"/>
        <v>0</v>
      </c>
      <c r="AH37" s="108">
        <f t="shared" si="1"/>
        <v>0</v>
      </c>
      <c r="AI37" s="108">
        <f t="shared" si="7"/>
        <v>0</v>
      </c>
      <c r="AJ37" s="108">
        <f t="shared" si="2"/>
        <v>5</v>
      </c>
      <c r="AK37" s="108">
        <f t="shared" si="3"/>
        <v>0</v>
      </c>
      <c r="AL37" s="108">
        <f t="shared" si="4"/>
        <v>0</v>
      </c>
      <c r="AN37" s="40"/>
      <c r="AO37" s="41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0</v>
      </c>
      <c r="H38" s="373" t="s">
        <v>9</v>
      </c>
      <c r="I38" s="441">
        <v>0</v>
      </c>
      <c r="J38" s="375">
        <v>3</v>
      </c>
      <c r="K38" s="363">
        <v>1</v>
      </c>
      <c r="L38" s="363">
        <v>1</v>
      </c>
      <c r="M38" s="352"/>
      <c r="N38" s="352"/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40"/>
      <c r="V38" s="40"/>
      <c r="W38" s="40"/>
      <c r="Y38" s="109">
        <f t="shared" si="5"/>
        <v>0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6"/>
        <v>0</v>
      </c>
      <c r="AG38" s="108">
        <f t="shared" si="0"/>
        <v>0</v>
      </c>
      <c r="AH38" s="108">
        <f t="shared" si="1"/>
        <v>0</v>
      </c>
      <c r="AI38" s="108">
        <f t="shared" si="7"/>
        <v>0</v>
      </c>
      <c r="AJ38" s="108">
        <f t="shared" si="2"/>
        <v>0</v>
      </c>
      <c r="AK38" s="108">
        <f t="shared" si="3"/>
        <v>0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1</v>
      </c>
      <c r="H39" s="379" t="s">
        <v>9</v>
      </c>
      <c r="I39" s="442">
        <v>3</v>
      </c>
      <c r="J39" s="381">
        <v>2</v>
      </c>
      <c r="K39" s="363">
        <v>0</v>
      </c>
      <c r="L39" s="363">
        <v>3</v>
      </c>
      <c r="M39" s="352"/>
      <c r="N39" s="352"/>
      <c r="O39" s="394" t="s">
        <v>29</v>
      </c>
      <c r="P39" s="395">
        <v>9</v>
      </c>
      <c r="Q39" s="395">
        <v>1</v>
      </c>
      <c r="R39" s="396">
        <v>8</v>
      </c>
      <c r="S39" s="397">
        <v>9</v>
      </c>
      <c r="T39" s="444" t="s">
        <v>72</v>
      </c>
      <c r="U39" s="40"/>
      <c r="V39" s="40" t="str">
        <f>O39</f>
        <v>Argentinië</v>
      </c>
      <c r="W39" s="40" t="s">
        <v>72</v>
      </c>
      <c r="Y39" s="109">
        <f t="shared" si="5"/>
        <v>0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6"/>
        <v>0</v>
      </c>
      <c r="AG39" s="108">
        <f t="shared" si="0"/>
        <v>0</v>
      </c>
      <c r="AH39" s="108">
        <f t="shared" si="1"/>
        <v>0</v>
      </c>
      <c r="AI39" s="108">
        <f t="shared" si="7"/>
        <v>0</v>
      </c>
      <c r="AJ39" s="108">
        <f t="shared" si="2"/>
        <v>0</v>
      </c>
      <c r="AK39" s="108">
        <f t="shared" si="3"/>
        <v>0</v>
      </c>
      <c r="AL39" s="108">
        <f t="shared" si="4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1</v>
      </c>
      <c r="H40" s="367" t="s">
        <v>9</v>
      </c>
      <c r="I40" s="440">
        <v>1</v>
      </c>
      <c r="J40" s="369">
        <v>3</v>
      </c>
      <c r="K40" s="363">
        <v>1</v>
      </c>
      <c r="L40" s="363">
        <v>1</v>
      </c>
      <c r="M40" s="352"/>
      <c r="N40" s="352"/>
      <c r="O40" s="398" t="s">
        <v>30</v>
      </c>
      <c r="P40" s="399">
        <v>5</v>
      </c>
      <c r="Q40" s="399">
        <v>7</v>
      </c>
      <c r="R40" s="399">
        <v>-2</v>
      </c>
      <c r="S40" s="400">
        <v>4</v>
      </c>
      <c r="T40" s="445" t="s">
        <v>73</v>
      </c>
      <c r="U40" s="40"/>
      <c r="V40" s="40" t="str">
        <f>O40</f>
        <v>Bosnië H.</v>
      </c>
      <c r="W40" s="40" t="s">
        <v>73</v>
      </c>
      <c r="Y40" s="109">
        <f t="shared" si="5"/>
        <v>0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6"/>
        <v>0</v>
      </c>
      <c r="AG40" s="108">
        <f t="shared" si="0"/>
        <v>0</v>
      </c>
      <c r="AH40" s="108">
        <f t="shared" si="1"/>
        <v>0</v>
      </c>
      <c r="AI40" s="108">
        <f t="shared" si="7"/>
        <v>0</v>
      </c>
      <c r="AJ40" s="108">
        <f t="shared" si="2"/>
        <v>0</v>
      </c>
      <c r="AK40" s="108">
        <f t="shared" si="3"/>
        <v>0</v>
      </c>
      <c r="AL40" s="108">
        <f t="shared" si="4"/>
        <v>0</v>
      </c>
      <c r="AM40" s="120">
        <f>AO40</f>
        <v>0</v>
      </c>
      <c r="AN40" s="117" t="s">
        <v>30</v>
      </c>
      <c r="AO40" s="115">
        <f>IF(Uitslag!T40="",0,IF(T40=Uitslag!T40,10,0))</f>
        <v>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0</v>
      </c>
      <c r="H41" s="373" t="s">
        <v>9</v>
      </c>
      <c r="I41" s="441">
        <v>2</v>
      </c>
      <c r="J41" s="375">
        <v>2</v>
      </c>
      <c r="K41" s="363">
        <v>0</v>
      </c>
      <c r="L41" s="363">
        <v>3</v>
      </c>
      <c r="M41" s="352"/>
      <c r="N41" s="352"/>
      <c r="O41" s="398" t="s">
        <v>33</v>
      </c>
      <c r="P41" s="399">
        <v>2</v>
      </c>
      <c r="Q41" s="399">
        <v>4</v>
      </c>
      <c r="R41" s="399">
        <v>-2</v>
      </c>
      <c r="S41" s="400">
        <v>2</v>
      </c>
      <c r="T41" s="445" t="s">
        <v>74</v>
      </c>
      <c r="U41" s="40"/>
      <c r="V41" s="40" t="str">
        <f>O41</f>
        <v>Iran</v>
      </c>
      <c r="W41" s="40" t="s">
        <v>74</v>
      </c>
      <c r="Y41" s="109">
        <f t="shared" si="5"/>
        <v>0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6"/>
        <v>0</v>
      </c>
      <c r="AG41" s="108">
        <f t="shared" si="0"/>
        <v>0</v>
      </c>
      <c r="AH41" s="108">
        <f t="shared" si="1"/>
        <v>0</v>
      </c>
      <c r="AI41" s="108">
        <f t="shared" si="7"/>
        <v>0</v>
      </c>
      <c r="AJ41" s="108">
        <f t="shared" si="2"/>
        <v>0</v>
      </c>
      <c r="AK41" s="108">
        <f t="shared" si="3"/>
        <v>0</v>
      </c>
      <c r="AL41" s="108">
        <f t="shared" si="4"/>
        <v>0</v>
      </c>
      <c r="AM41" s="120">
        <f>AO41</f>
        <v>0</v>
      </c>
      <c r="AN41" s="117" t="s">
        <v>33</v>
      </c>
      <c r="AO41" s="115">
        <f>IF(Uitslag!T41="",0,IF(T41=Uitslag!T41,10,0))</f>
        <v>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0</v>
      </c>
      <c r="H42" s="373" t="s">
        <v>9</v>
      </c>
      <c r="I42" s="441">
        <v>2</v>
      </c>
      <c r="J42" s="375">
        <v>2</v>
      </c>
      <c r="K42" s="363">
        <v>0</v>
      </c>
      <c r="L42" s="363">
        <v>3</v>
      </c>
      <c r="M42" s="352"/>
      <c r="N42" s="352"/>
      <c r="O42" s="401" t="s">
        <v>34</v>
      </c>
      <c r="P42" s="402">
        <v>1</v>
      </c>
      <c r="Q42" s="402">
        <v>5</v>
      </c>
      <c r="R42" s="402">
        <v>-4</v>
      </c>
      <c r="S42" s="403">
        <v>1</v>
      </c>
      <c r="T42" s="446" t="s">
        <v>75</v>
      </c>
      <c r="U42" s="40"/>
      <c r="V42" s="40" t="str">
        <f>O42</f>
        <v>Nigeria</v>
      </c>
      <c r="W42" s="40" t="s">
        <v>75</v>
      </c>
      <c r="Y42" s="109">
        <f t="shared" si="5"/>
        <v>5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6"/>
        <v>5</v>
      </c>
      <c r="AG42" s="108">
        <f t="shared" si="0"/>
        <v>0</v>
      </c>
      <c r="AH42" s="108">
        <f t="shared" si="1"/>
        <v>0</v>
      </c>
      <c r="AI42" s="108">
        <f t="shared" si="7"/>
        <v>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0</v>
      </c>
      <c r="AN42" s="118" t="s">
        <v>34</v>
      </c>
      <c r="AO42" s="115">
        <f>IF(Uitslag!T42="",0,IF(T42=Uitslag!T42,10,0))</f>
        <v>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1</v>
      </c>
      <c r="H43" s="379" t="s">
        <v>9</v>
      </c>
      <c r="I43" s="442">
        <v>0</v>
      </c>
      <c r="J43" s="381">
        <v>1</v>
      </c>
      <c r="K43" s="363">
        <v>3</v>
      </c>
      <c r="L43" s="363">
        <v>0</v>
      </c>
      <c r="M43" s="352"/>
      <c r="N43" s="352"/>
      <c r="O43" s="392"/>
      <c r="P43" s="393"/>
      <c r="Q43" s="393"/>
      <c r="R43" s="393"/>
      <c r="S43" s="393"/>
      <c r="T43" s="393"/>
      <c r="U43" s="40"/>
      <c r="V43" s="40"/>
      <c r="W43" s="40"/>
      <c r="Y43" s="109">
        <f t="shared" si="5"/>
        <v>1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6"/>
        <v>1</v>
      </c>
      <c r="AG43" s="108">
        <f t="shared" si="0"/>
        <v>1</v>
      </c>
      <c r="AH43" s="108">
        <f t="shared" si="1"/>
        <v>0</v>
      </c>
      <c r="AI43" s="108">
        <f t="shared" si="7"/>
        <v>0</v>
      </c>
      <c r="AJ43" s="108">
        <f t="shared" si="2"/>
        <v>0</v>
      </c>
      <c r="AK43" s="108">
        <f t="shared" si="3"/>
        <v>0</v>
      </c>
      <c r="AL43" s="108">
        <f t="shared" si="4"/>
        <v>0</v>
      </c>
      <c r="AN43" s="40"/>
      <c r="AO43" s="41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2</v>
      </c>
      <c r="H44" s="367" t="s">
        <v>9</v>
      </c>
      <c r="I44" s="440">
        <v>2</v>
      </c>
      <c r="J44" s="369">
        <v>3</v>
      </c>
      <c r="K44" s="363">
        <v>1</v>
      </c>
      <c r="L44" s="363">
        <v>1</v>
      </c>
      <c r="M44" s="352"/>
      <c r="N44" s="352"/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40"/>
      <c r="V44" s="40"/>
      <c r="W44" s="40"/>
      <c r="Y44" s="109">
        <f t="shared" si="5"/>
        <v>0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6"/>
        <v>0</v>
      </c>
      <c r="AG44" s="108">
        <f t="shared" si="0"/>
        <v>0</v>
      </c>
      <c r="AH44" s="108">
        <f t="shared" si="1"/>
        <v>0</v>
      </c>
      <c r="AI44" s="108">
        <f t="shared" si="7"/>
        <v>0</v>
      </c>
      <c r="AJ44" s="108">
        <f t="shared" si="2"/>
        <v>0</v>
      </c>
      <c r="AK44" s="108">
        <f t="shared" si="3"/>
        <v>0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1</v>
      </c>
      <c r="H45" s="373" t="s">
        <v>9</v>
      </c>
      <c r="I45" s="441">
        <v>2</v>
      </c>
      <c r="J45" s="375">
        <v>2</v>
      </c>
      <c r="K45" s="363">
        <v>0</v>
      </c>
      <c r="L45" s="363">
        <v>3</v>
      </c>
      <c r="M45" s="352"/>
      <c r="N45" s="352"/>
      <c r="O45" s="394" t="s">
        <v>31</v>
      </c>
      <c r="P45" s="395">
        <v>6</v>
      </c>
      <c r="Q45" s="395">
        <v>2</v>
      </c>
      <c r="R45" s="396">
        <v>4</v>
      </c>
      <c r="S45" s="397">
        <v>7</v>
      </c>
      <c r="T45" s="444" t="s">
        <v>78</v>
      </c>
      <c r="U45" s="40"/>
      <c r="V45" s="40" t="str">
        <f>O45</f>
        <v>Duitsland</v>
      </c>
      <c r="W45" s="40" t="s">
        <v>77</v>
      </c>
      <c r="Y45" s="109">
        <f t="shared" si="5"/>
        <v>0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6"/>
        <v>0</v>
      </c>
      <c r="AG45" s="108">
        <f t="shared" si="0"/>
        <v>0</v>
      </c>
      <c r="AH45" s="108">
        <f t="shared" si="1"/>
        <v>0</v>
      </c>
      <c r="AI45" s="108">
        <f t="shared" si="7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0</v>
      </c>
      <c r="AN45" s="116" t="s">
        <v>31</v>
      </c>
      <c r="AO45" s="115">
        <f>IF(Uitslag!T45="",0,IF(T45=Uitslag!T45,10,0))</f>
        <v>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1</v>
      </c>
      <c r="H46" s="373" t="s">
        <v>9</v>
      </c>
      <c r="I46" s="441">
        <v>0</v>
      </c>
      <c r="J46" s="375">
        <v>1</v>
      </c>
      <c r="K46" s="363">
        <v>3</v>
      </c>
      <c r="L46" s="363">
        <v>0</v>
      </c>
      <c r="M46" s="352"/>
      <c r="N46" s="352"/>
      <c r="O46" s="398" t="s">
        <v>32</v>
      </c>
      <c r="P46" s="399">
        <v>7</v>
      </c>
      <c r="Q46" s="399">
        <v>3</v>
      </c>
      <c r="R46" s="399">
        <v>4</v>
      </c>
      <c r="S46" s="400">
        <v>7</v>
      </c>
      <c r="T46" s="445" t="s">
        <v>77</v>
      </c>
      <c r="U46" s="40"/>
      <c r="V46" s="40" t="str">
        <f>O46</f>
        <v>Portugal</v>
      </c>
      <c r="W46" s="40" t="s">
        <v>78</v>
      </c>
      <c r="Y46" s="109">
        <f t="shared" si="5"/>
        <v>1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6"/>
        <v>1</v>
      </c>
      <c r="AG46" s="108">
        <f t="shared" si="0"/>
        <v>1</v>
      </c>
      <c r="AH46" s="108">
        <f t="shared" si="1"/>
        <v>0</v>
      </c>
      <c r="AI46" s="108">
        <f t="shared" si="7"/>
        <v>0</v>
      </c>
      <c r="AJ46" s="108">
        <f t="shared" si="2"/>
        <v>0</v>
      </c>
      <c r="AK46" s="108">
        <f t="shared" si="3"/>
        <v>0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1</v>
      </c>
      <c r="H47" s="379" t="s">
        <v>9</v>
      </c>
      <c r="I47" s="442">
        <v>2</v>
      </c>
      <c r="J47" s="381">
        <v>2</v>
      </c>
      <c r="K47" s="363">
        <v>0</v>
      </c>
      <c r="L47" s="363">
        <v>3</v>
      </c>
      <c r="M47" s="352"/>
      <c r="N47" s="352"/>
      <c r="O47" s="398" t="s">
        <v>35</v>
      </c>
      <c r="P47" s="399">
        <v>2</v>
      </c>
      <c r="Q47" s="399">
        <v>9</v>
      </c>
      <c r="R47" s="399">
        <v>-7</v>
      </c>
      <c r="S47" s="400">
        <v>0</v>
      </c>
      <c r="T47" s="445" t="s">
        <v>80</v>
      </c>
      <c r="U47" s="40"/>
      <c r="V47" s="40" t="str">
        <f>O47</f>
        <v>Ghana</v>
      </c>
      <c r="W47" s="40" t="s">
        <v>79</v>
      </c>
      <c r="Y47" s="109">
        <f t="shared" si="5"/>
        <v>0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6"/>
        <v>0</v>
      </c>
      <c r="AG47" s="108">
        <f t="shared" si="0"/>
        <v>0</v>
      </c>
      <c r="AH47" s="108">
        <f t="shared" si="1"/>
        <v>0</v>
      </c>
      <c r="AI47" s="108">
        <f t="shared" si="7"/>
        <v>0</v>
      </c>
      <c r="AJ47" s="108">
        <f t="shared" si="2"/>
        <v>0</v>
      </c>
      <c r="AK47" s="108">
        <f t="shared" si="3"/>
        <v>0</v>
      </c>
      <c r="AL47" s="108">
        <f t="shared" si="4"/>
        <v>0</v>
      </c>
      <c r="AM47" s="120">
        <f>AO47</f>
        <v>10</v>
      </c>
      <c r="AN47" s="117" t="s">
        <v>35</v>
      </c>
      <c r="AO47" s="115">
        <f>IF(Uitslag!T47="",0,IF(T47=Uitslag!T47,10,0))</f>
        <v>10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0</v>
      </c>
      <c r="H48" s="367" t="s">
        <v>9</v>
      </c>
      <c r="I48" s="440">
        <v>3</v>
      </c>
      <c r="J48" s="369">
        <v>2</v>
      </c>
      <c r="K48" s="363">
        <v>0</v>
      </c>
      <c r="L48" s="363">
        <v>3</v>
      </c>
      <c r="M48" s="352"/>
      <c r="N48" s="352"/>
      <c r="O48" s="401" t="s">
        <v>36</v>
      </c>
      <c r="P48" s="402">
        <v>5</v>
      </c>
      <c r="Q48" s="402">
        <v>6</v>
      </c>
      <c r="R48" s="402">
        <v>-1</v>
      </c>
      <c r="S48" s="403">
        <v>3</v>
      </c>
      <c r="T48" s="446" t="s">
        <v>79</v>
      </c>
      <c r="U48" s="40"/>
      <c r="V48" s="40" t="str">
        <f>O48</f>
        <v>Verenigde Staten</v>
      </c>
      <c r="W48" s="40" t="s">
        <v>80</v>
      </c>
      <c r="Y48" s="109">
        <f t="shared" si="5"/>
        <v>6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6"/>
        <v>6</v>
      </c>
      <c r="AG48" s="108">
        <f t="shared" si="0"/>
        <v>0</v>
      </c>
      <c r="AH48" s="108">
        <f t="shared" si="1"/>
        <v>1</v>
      </c>
      <c r="AI48" s="108">
        <f t="shared" si="7"/>
        <v>0</v>
      </c>
      <c r="AJ48" s="108">
        <f t="shared" si="2"/>
        <v>0</v>
      </c>
      <c r="AK48" s="108">
        <f t="shared" si="3"/>
        <v>5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2</v>
      </c>
      <c r="H49" s="373" t="s">
        <v>9</v>
      </c>
      <c r="I49" s="441">
        <v>2</v>
      </c>
      <c r="J49" s="375">
        <v>3</v>
      </c>
      <c r="K49" s="363">
        <v>1</v>
      </c>
      <c r="L49" s="363">
        <v>1</v>
      </c>
      <c r="M49" s="352"/>
      <c r="N49" s="352"/>
      <c r="O49" s="392"/>
      <c r="P49" s="393"/>
      <c r="Q49" s="393"/>
      <c r="R49" s="393"/>
      <c r="S49" s="393"/>
      <c r="T49" s="393"/>
      <c r="U49" s="40"/>
      <c r="V49" s="40"/>
      <c r="W49" s="40"/>
      <c r="Y49" s="109">
        <f t="shared" si="5"/>
        <v>0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6"/>
        <v>0</v>
      </c>
      <c r="AG49" s="108">
        <f t="shared" si="0"/>
        <v>0</v>
      </c>
      <c r="AH49" s="108">
        <f t="shared" si="1"/>
        <v>0</v>
      </c>
      <c r="AI49" s="108">
        <f t="shared" si="7"/>
        <v>0</v>
      </c>
      <c r="AJ49" s="108">
        <f t="shared" si="2"/>
        <v>0</v>
      </c>
      <c r="AK49" s="108">
        <f t="shared" si="3"/>
        <v>0</v>
      </c>
      <c r="AL49" s="108">
        <f t="shared" si="4"/>
        <v>0</v>
      </c>
      <c r="AN49" s="40"/>
      <c r="AO49" s="41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1</v>
      </c>
      <c r="H50" s="373" t="s">
        <v>9</v>
      </c>
      <c r="I50" s="441">
        <v>4</v>
      </c>
      <c r="J50" s="375">
        <v>2</v>
      </c>
      <c r="K50" s="363">
        <v>0</v>
      </c>
      <c r="L50" s="363">
        <v>3</v>
      </c>
      <c r="M50" s="352"/>
      <c r="N50" s="352"/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40"/>
      <c r="V50" s="40"/>
      <c r="W50" s="40"/>
      <c r="Y50" s="109">
        <f t="shared" si="5"/>
        <v>5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6"/>
        <v>5</v>
      </c>
      <c r="AG50" s="108">
        <f t="shared" si="0"/>
        <v>0</v>
      </c>
      <c r="AH50" s="108">
        <f t="shared" si="1"/>
        <v>0</v>
      </c>
      <c r="AI50" s="108">
        <f t="shared" si="7"/>
        <v>0</v>
      </c>
      <c r="AJ50" s="108">
        <f t="shared" si="2"/>
        <v>0</v>
      </c>
      <c r="AK50" s="108">
        <f t="shared" si="3"/>
        <v>5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0</v>
      </c>
      <c r="H51" s="379" t="s">
        <v>9</v>
      </c>
      <c r="I51" s="442">
        <v>1</v>
      </c>
      <c r="J51" s="381">
        <v>2</v>
      </c>
      <c r="K51" s="363">
        <v>0</v>
      </c>
      <c r="L51" s="363">
        <v>3</v>
      </c>
      <c r="M51" s="352"/>
      <c r="N51" s="352"/>
      <c r="O51" s="394" t="s">
        <v>37</v>
      </c>
      <c r="P51" s="395">
        <v>5</v>
      </c>
      <c r="Q51" s="395">
        <v>1</v>
      </c>
      <c r="R51" s="396">
        <v>4</v>
      </c>
      <c r="S51" s="397">
        <v>9</v>
      </c>
      <c r="T51" s="444" t="s">
        <v>82</v>
      </c>
      <c r="U51" s="40"/>
      <c r="V51" s="40" t="str">
        <f>O51</f>
        <v>België</v>
      </c>
      <c r="W51" s="40" t="s">
        <v>82</v>
      </c>
      <c r="Y51" s="109">
        <f t="shared" si="5"/>
        <v>1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6"/>
        <v>1</v>
      </c>
      <c r="AG51" s="108">
        <f t="shared" si="0"/>
        <v>1</v>
      </c>
      <c r="AH51" s="108">
        <f t="shared" si="1"/>
        <v>0</v>
      </c>
      <c r="AI51" s="108">
        <f t="shared" si="7"/>
        <v>0</v>
      </c>
      <c r="AJ51" s="108">
        <f t="shared" si="2"/>
        <v>0</v>
      </c>
      <c r="AK51" s="108">
        <f t="shared" si="3"/>
        <v>0</v>
      </c>
      <c r="AL51" s="108">
        <f t="shared" si="4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1</v>
      </c>
      <c r="H52" s="373" t="s">
        <v>9</v>
      </c>
      <c r="I52" s="441">
        <v>2</v>
      </c>
      <c r="J52" s="369">
        <v>2</v>
      </c>
      <c r="K52" s="363">
        <v>0</v>
      </c>
      <c r="L52" s="363">
        <v>3</v>
      </c>
      <c r="M52" s="352"/>
      <c r="N52" s="352"/>
      <c r="O52" s="398" t="s">
        <v>38</v>
      </c>
      <c r="P52" s="399">
        <v>0</v>
      </c>
      <c r="Q52" s="399">
        <v>3</v>
      </c>
      <c r="R52" s="399">
        <v>-3</v>
      </c>
      <c r="S52" s="400">
        <v>1</v>
      </c>
      <c r="T52" s="445" t="s">
        <v>85</v>
      </c>
      <c r="U52" s="40"/>
      <c r="V52" s="40" t="str">
        <f>O52</f>
        <v>Algerije</v>
      </c>
      <c r="W52" s="40" t="s">
        <v>83</v>
      </c>
      <c r="Y52" s="109">
        <f t="shared" si="5"/>
        <v>5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6"/>
        <v>5</v>
      </c>
      <c r="AG52" s="108">
        <f t="shared" si="0"/>
        <v>0</v>
      </c>
      <c r="AH52" s="108">
        <f t="shared" si="1"/>
        <v>0</v>
      </c>
      <c r="AI52" s="108">
        <f t="shared" si="7"/>
        <v>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3</v>
      </c>
      <c r="H53" s="373" t="s">
        <v>9</v>
      </c>
      <c r="I53" s="441">
        <v>1</v>
      </c>
      <c r="J53" s="375">
        <v>1</v>
      </c>
      <c r="K53" s="363">
        <v>3</v>
      </c>
      <c r="L53" s="363">
        <v>0</v>
      </c>
      <c r="M53" s="352"/>
      <c r="N53" s="352"/>
      <c r="O53" s="398" t="s">
        <v>39</v>
      </c>
      <c r="P53" s="399">
        <v>3</v>
      </c>
      <c r="Q53" s="399">
        <v>2</v>
      </c>
      <c r="R53" s="399">
        <v>1</v>
      </c>
      <c r="S53" s="400">
        <v>6</v>
      </c>
      <c r="T53" s="445" t="s">
        <v>83</v>
      </c>
      <c r="U53" s="40"/>
      <c r="V53" s="40" t="str">
        <f>O53</f>
        <v>Rusland</v>
      </c>
      <c r="W53" s="40" t="s">
        <v>84</v>
      </c>
      <c r="Y53" s="109">
        <f t="shared" si="5"/>
        <v>6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6"/>
        <v>6</v>
      </c>
      <c r="AG53" s="108">
        <f t="shared" si="0"/>
        <v>0</v>
      </c>
      <c r="AH53" s="108">
        <f t="shared" si="1"/>
        <v>1</v>
      </c>
      <c r="AI53" s="108">
        <f t="shared" si="7"/>
        <v>0</v>
      </c>
      <c r="AJ53" s="108">
        <f t="shared" si="2"/>
        <v>5</v>
      </c>
      <c r="AK53" s="108">
        <f t="shared" si="3"/>
        <v>0</v>
      </c>
      <c r="AL53" s="108">
        <f t="shared" si="4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0</v>
      </c>
      <c r="H54" s="373" t="s">
        <v>9</v>
      </c>
      <c r="I54" s="441">
        <v>1</v>
      </c>
      <c r="J54" s="375">
        <v>2</v>
      </c>
      <c r="K54" s="363">
        <v>0</v>
      </c>
      <c r="L54" s="363">
        <v>3</v>
      </c>
      <c r="M54" s="352"/>
      <c r="N54" s="352"/>
      <c r="O54" s="401" t="s">
        <v>40</v>
      </c>
      <c r="P54" s="402">
        <v>0</v>
      </c>
      <c r="Q54" s="402">
        <v>2</v>
      </c>
      <c r="R54" s="402">
        <v>-2</v>
      </c>
      <c r="S54" s="403">
        <v>1</v>
      </c>
      <c r="T54" s="446" t="s">
        <v>84</v>
      </c>
      <c r="U54" s="40"/>
      <c r="V54" s="40" t="str">
        <f>O54</f>
        <v>Zuid Korea</v>
      </c>
      <c r="W54" s="40" t="s">
        <v>85</v>
      </c>
      <c r="Y54" s="109">
        <f t="shared" si="5"/>
        <v>10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6"/>
        <v>10</v>
      </c>
      <c r="AG54" s="108">
        <f t="shared" si="0"/>
        <v>1</v>
      </c>
      <c r="AH54" s="108">
        <f t="shared" si="1"/>
        <v>1</v>
      </c>
      <c r="AI54" s="108">
        <f t="shared" si="7"/>
        <v>10</v>
      </c>
      <c r="AJ54" s="108">
        <f t="shared" si="2"/>
        <v>0</v>
      </c>
      <c r="AK54" s="108">
        <f t="shared" si="3"/>
        <v>5</v>
      </c>
      <c r="AL54" s="108">
        <f t="shared" si="4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0</v>
      </c>
      <c r="H55" s="388" t="s">
        <v>9</v>
      </c>
      <c r="I55" s="443">
        <v>1</v>
      </c>
      <c r="J55" s="390">
        <v>2</v>
      </c>
      <c r="K55" s="363">
        <v>0</v>
      </c>
      <c r="L55" s="363">
        <v>3</v>
      </c>
      <c r="M55" s="352"/>
      <c r="N55" s="352"/>
      <c r="O55" s="392"/>
      <c r="P55" s="393"/>
      <c r="Q55" s="393"/>
      <c r="R55" s="393"/>
      <c r="S55" s="393"/>
      <c r="T55" s="393"/>
      <c r="U55" s="40"/>
      <c r="V55" s="40"/>
      <c r="W55" s="40"/>
      <c r="Y55" s="109">
        <f t="shared" si="5"/>
        <v>1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6"/>
        <v>1</v>
      </c>
      <c r="AG55" s="108">
        <f t="shared" si="0"/>
        <v>0</v>
      </c>
      <c r="AH55" s="108">
        <f t="shared" si="1"/>
        <v>1</v>
      </c>
      <c r="AI55" s="108">
        <f t="shared" si="7"/>
        <v>0</v>
      </c>
      <c r="AJ55" s="108">
        <f t="shared" si="2"/>
        <v>0</v>
      </c>
      <c r="AK55" s="108">
        <f t="shared" si="3"/>
        <v>0</v>
      </c>
      <c r="AL55" s="108">
        <f t="shared" si="4"/>
        <v>0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N56" s="352"/>
      <c r="O56" s="352"/>
      <c r="P56" s="352"/>
      <c r="Q56" s="352"/>
      <c r="R56" s="352"/>
      <c r="S56" s="352"/>
      <c r="T56" s="352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27"/>
      <c r="K57" s="353"/>
      <c r="L57" s="353"/>
      <c r="M57" s="353"/>
      <c r="N57" s="352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32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N58" s="352"/>
      <c r="O58" s="458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8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9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">
        <v>8</v>
      </c>
      <c r="E59" s="367" t="s">
        <v>9</v>
      </c>
      <c r="F59" s="406" t="s">
        <v>15</v>
      </c>
      <c r="G59" s="435">
        <v>3</v>
      </c>
      <c r="H59" s="367" t="s">
        <v>9</v>
      </c>
      <c r="I59" s="447">
        <v>1</v>
      </c>
      <c r="J59" s="448">
        <v>1</v>
      </c>
      <c r="K59" s="407" t="s">
        <v>48</v>
      </c>
      <c r="L59" s="407" t="s">
        <v>53</v>
      </c>
      <c r="M59" s="407">
        <v>1</v>
      </c>
      <c r="N59" s="352"/>
      <c r="O59" s="458">
        <v>2</v>
      </c>
      <c r="P59" s="877" t="s">
        <v>212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8"/>
        <v>Jasper Cillessen (k)</v>
      </c>
      <c r="Y59" s="109">
        <f t="shared" ref="Y59:Y66" si="10">AF59</f>
        <v>1</v>
      </c>
      <c r="Z59" t="str">
        <f t="shared" ref="Z59:AA65" si="11">IF(K59=""," ",VLOOKUP(K59,$T$9:$V$54,3,FALSE))</f>
        <v>Brazilië</v>
      </c>
      <c r="AA59" t="str">
        <f t="shared" si="11"/>
        <v>Chili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2">IF(OR(AC59="",AD59=""),0,(IF(SUM(AG59:AL59)&gt;10,10,SUM(AG59:AL59))))</f>
        <v>1</v>
      </c>
      <c r="AG59" s="108">
        <f t="shared" ref="AG59:AG66" si="13">IF(AC59="",0,(IF(G59=AC59,1,0)))</f>
        <v>0</v>
      </c>
      <c r="AH59" s="108">
        <f t="shared" ref="AH59:AH66" si="14">IF(AD59="",0,(IF(I59=AD59,1,0)))</f>
        <v>1</v>
      </c>
      <c r="AI59" s="108">
        <f t="shared" ref="AI59:AI66" si="15">IF(AND(AG59=1,AH59=1),10,0)</f>
        <v>0</v>
      </c>
      <c r="AJ59" s="108">
        <f t="shared" ref="AJ59:AJ66" si="16">IF(AND(G59&gt;I59,AC59&gt;AD59),5,0)</f>
        <v>0</v>
      </c>
      <c r="AK59" s="108">
        <f t="shared" ref="AK59:AK66" si="17">IF(AND(G59&lt;I59,AC59&lt;AD59),5,0)</f>
        <v>0</v>
      </c>
      <c r="AL59" s="108">
        <f t="shared" ref="AL59:AL66" si="18">IF(AND(G59=I59,AC59=AD59),5,0)</f>
        <v>0</v>
      </c>
      <c r="AZ59" s="138" t="str">
        <f>Uitslag!P59</f>
        <v>Daryl Janmaat (v)</v>
      </c>
      <c r="BA59" s="140">
        <f t="shared" si="9"/>
        <v>3</v>
      </c>
      <c r="BB59" s="139">
        <f t="shared" ref="BB59:BB68" si="19">BA59</f>
        <v>3</v>
      </c>
    </row>
    <row r="60" spans="2:54">
      <c r="B60" s="376">
        <v>50</v>
      </c>
      <c r="C60" s="466">
        <v>41818</v>
      </c>
      <c r="D60" s="460" t="s">
        <v>24</v>
      </c>
      <c r="E60" s="379" t="s">
        <v>9</v>
      </c>
      <c r="F60" s="409" t="s">
        <v>22</v>
      </c>
      <c r="G60" s="437">
        <v>1</v>
      </c>
      <c r="H60" s="379" t="s">
        <v>9</v>
      </c>
      <c r="I60" s="449">
        <v>1</v>
      </c>
      <c r="J60" s="450">
        <v>2</v>
      </c>
      <c r="K60" s="407" t="s">
        <v>57</v>
      </c>
      <c r="L60" s="407" t="s">
        <v>63</v>
      </c>
      <c r="M60" s="407">
        <v>2</v>
      </c>
      <c r="N60" s="352"/>
      <c r="O60" s="458">
        <v>3</v>
      </c>
      <c r="P60" s="877" t="s">
        <v>220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8"/>
        <v>Kenneth Vermeer (k)</v>
      </c>
      <c r="Y60" s="109">
        <f t="shared" si="10"/>
        <v>0</v>
      </c>
      <c r="Z60" t="str">
        <f t="shared" si="11"/>
        <v>Japan</v>
      </c>
      <c r="AA60" t="str">
        <f t="shared" si="11"/>
        <v>Italië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2"/>
        <v>0</v>
      </c>
      <c r="AG60" s="108">
        <f t="shared" si="13"/>
        <v>0</v>
      </c>
      <c r="AH60" s="108">
        <f t="shared" si="14"/>
        <v>0</v>
      </c>
      <c r="AI60" s="108">
        <f t="shared" si="15"/>
        <v>0</v>
      </c>
      <c r="AJ60" s="108">
        <f t="shared" si="16"/>
        <v>0</v>
      </c>
      <c r="AK60" s="108">
        <f t="shared" si="17"/>
        <v>0</v>
      </c>
      <c r="AL60" s="108">
        <f t="shared" si="18"/>
        <v>0</v>
      </c>
      <c r="AZ60" s="138" t="str">
        <f>Uitslag!P60</f>
        <v>Stefan de Vrij (v)</v>
      </c>
      <c r="BA60" s="140">
        <f t="shared" si="9"/>
        <v>3</v>
      </c>
      <c r="BB60" s="139">
        <f t="shared" si="19"/>
        <v>3</v>
      </c>
    </row>
    <row r="61" spans="2:54">
      <c r="B61" s="364">
        <v>51</v>
      </c>
      <c r="C61" s="465">
        <v>41819</v>
      </c>
      <c r="D61" s="464" t="s">
        <v>13</v>
      </c>
      <c r="E61" s="367" t="s">
        <v>9</v>
      </c>
      <c r="F61" s="406" t="s">
        <v>10</v>
      </c>
      <c r="G61" s="435">
        <v>3</v>
      </c>
      <c r="H61" s="367" t="s">
        <v>9</v>
      </c>
      <c r="I61" s="447">
        <v>1</v>
      </c>
      <c r="J61" s="448">
        <v>1</v>
      </c>
      <c r="K61" s="407" t="s">
        <v>52</v>
      </c>
      <c r="L61" s="407" t="s">
        <v>49</v>
      </c>
      <c r="M61" s="407"/>
      <c r="N61" s="352"/>
      <c r="O61" s="458">
        <v>4</v>
      </c>
      <c r="P61" s="877" t="s">
        <v>211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8"/>
        <v>Tim Krul (k)</v>
      </c>
      <c r="Y61" s="109">
        <f t="shared" si="10"/>
        <v>6</v>
      </c>
      <c r="Z61" t="str">
        <f t="shared" si="11"/>
        <v>Spanje</v>
      </c>
      <c r="AA61" t="str">
        <f t="shared" si="11"/>
        <v>Kroatië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2"/>
        <v>6</v>
      </c>
      <c r="AG61" s="108">
        <f t="shared" si="13"/>
        <v>0</v>
      </c>
      <c r="AH61" s="108">
        <f t="shared" si="14"/>
        <v>1</v>
      </c>
      <c r="AI61" s="108">
        <f t="shared" si="15"/>
        <v>0</v>
      </c>
      <c r="AJ61" s="108">
        <f t="shared" si="16"/>
        <v>5</v>
      </c>
      <c r="AK61" s="108">
        <f t="shared" si="17"/>
        <v>0</v>
      </c>
      <c r="AL61" s="108">
        <f t="shared" si="18"/>
        <v>0</v>
      </c>
      <c r="AZ61" s="138" t="str">
        <f>Uitslag!P61</f>
        <v>Ron Vlaar (v)</v>
      </c>
      <c r="BA61" s="140">
        <f t="shared" si="9"/>
        <v>3</v>
      </c>
      <c r="BB61" s="139">
        <f t="shared" si="19"/>
        <v>3</v>
      </c>
    </row>
    <row r="62" spans="2:54">
      <c r="B62" s="376">
        <v>52</v>
      </c>
      <c r="C62" s="466">
        <v>41819</v>
      </c>
      <c r="D62" s="464" t="s">
        <v>19</v>
      </c>
      <c r="E62" s="379" t="s">
        <v>9</v>
      </c>
      <c r="F62" s="409" t="s">
        <v>17</v>
      </c>
      <c r="G62" s="437">
        <v>3</v>
      </c>
      <c r="H62" s="379" t="s">
        <v>9</v>
      </c>
      <c r="I62" s="449">
        <v>1</v>
      </c>
      <c r="J62" s="450">
        <v>1</v>
      </c>
      <c r="K62" s="407" t="s">
        <v>62</v>
      </c>
      <c r="L62" s="407" t="s">
        <v>58</v>
      </c>
      <c r="M62" s="407"/>
      <c r="N62" s="352"/>
      <c r="O62" s="458">
        <v>5</v>
      </c>
      <c r="P62" s="877" t="s">
        <v>225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8"/>
        <v>Maarten Stekelenburg (k)</v>
      </c>
      <c r="Y62" s="109">
        <f t="shared" si="10"/>
        <v>1</v>
      </c>
      <c r="Z62" t="str">
        <f t="shared" si="11"/>
        <v>Uruguay</v>
      </c>
      <c r="AA62" t="str">
        <f t="shared" si="11"/>
        <v>Colombia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2"/>
        <v>1</v>
      </c>
      <c r="AG62" s="108">
        <f t="shared" si="13"/>
        <v>0</v>
      </c>
      <c r="AH62" s="108">
        <f t="shared" si="14"/>
        <v>1</v>
      </c>
      <c r="AI62" s="108">
        <f t="shared" si="15"/>
        <v>0</v>
      </c>
      <c r="AJ62" s="108">
        <f t="shared" si="16"/>
        <v>0</v>
      </c>
      <c r="AK62" s="108">
        <f t="shared" si="17"/>
        <v>0</v>
      </c>
      <c r="AL62" s="108">
        <f t="shared" si="18"/>
        <v>0</v>
      </c>
      <c r="AZ62" s="138" t="str">
        <f>Uitslag!P62</f>
        <v>Bruno Martins Indi (v)</v>
      </c>
      <c r="BA62" s="140">
        <f t="shared" si="9"/>
        <v>3</v>
      </c>
      <c r="BB62" s="139">
        <f t="shared" si="19"/>
        <v>3</v>
      </c>
    </row>
    <row r="63" spans="2:54">
      <c r="B63" s="364">
        <v>53</v>
      </c>
      <c r="C63" s="465">
        <v>41820</v>
      </c>
      <c r="D63" s="459" t="s">
        <v>27</v>
      </c>
      <c r="E63" s="367" t="s">
        <v>9</v>
      </c>
      <c r="F63" s="406" t="s">
        <v>30</v>
      </c>
      <c r="G63" s="435">
        <v>1</v>
      </c>
      <c r="H63" s="367" t="s">
        <v>9</v>
      </c>
      <c r="I63" s="447">
        <v>0</v>
      </c>
      <c r="J63" s="448">
        <v>1</v>
      </c>
      <c r="K63" s="407" t="s">
        <v>67</v>
      </c>
      <c r="L63" s="407" t="s">
        <v>73</v>
      </c>
      <c r="M63" s="407"/>
      <c r="N63" s="352"/>
      <c r="O63" s="458">
        <v>6</v>
      </c>
      <c r="P63" s="877" t="s">
        <v>209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8"/>
        <v>Michel Vorm (k)</v>
      </c>
      <c r="Y63" s="109">
        <f t="shared" si="10"/>
        <v>6</v>
      </c>
      <c r="Z63" t="str">
        <f t="shared" si="11"/>
        <v>Frankrijk</v>
      </c>
      <c r="AA63" t="str">
        <f t="shared" si="11"/>
        <v>Bosnië H.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2"/>
        <v>6</v>
      </c>
      <c r="AG63" s="108">
        <f t="shared" si="13"/>
        <v>0</v>
      </c>
      <c r="AH63" s="108">
        <f t="shared" si="14"/>
        <v>1</v>
      </c>
      <c r="AI63" s="108">
        <f t="shared" si="15"/>
        <v>0</v>
      </c>
      <c r="AJ63" s="108">
        <f t="shared" si="16"/>
        <v>5</v>
      </c>
      <c r="AK63" s="108">
        <f t="shared" si="17"/>
        <v>0</v>
      </c>
      <c r="AL63" s="108">
        <f t="shared" si="18"/>
        <v>0</v>
      </c>
      <c r="AZ63" s="138" t="str">
        <f>Uitslag!P63</f>
        <v>Daley Blind (v)</v>
      </c>
      <c r="BA63" s="140">
        <f t="shared" si="9"/>
        <v>3</v>
      </c>
      <c r="BB63" s="139">
        <f t="shared" si="19"/>
        <v>3</v>
      </c>
    </row>
    <row r="64" spans="2:54">
      <c r="B64" s="376">
        <v>54</v>
      </c>
      <c r="C64" s="466">
        <v>41820</v>
      </c>
      <c r="D64" s="460" t="s">
        <v>32</v>
      </c>
      <c r="E64" s="379" t="s">
        <v>9</v>
      </c>
      <c r="F64" s="409" t="s">
        <v>39</v>
      </c>
      <c r="G64" s="437">
        <v>3</v>
      </c>
      <c r="H64" s="379" t="s">
        <v>9</v>
      </c>
      <c r="I64" s="449">
        <v>2</v>
      </c>
      <c r="J64" s="450">
        <v>1</v>
      </c>
      <c r="K64" s="407" t="s">
        <v>77</v>
      </c>
      <c r="L64" s="407" t="s">
        <v>83</v>
      </c>
      <c r="M64" s="407"/>
      <c r="N64" s="352"/>
      <c r="O64" s="458">
        <v>7</v>
      </c>
      <c r="P64" s="877" t="s">
        <v>214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8"/>
        <v>Joël Veltman (v)</v>
      </c>
      <c r="Y64" s="109">
        <f t="shared" si="10"/>
        <v>0</v>
      </c>
      <c r="Z64" t="str">
        <f t="shared" si="11"/>
        <v>Portugal</v>
      </c>
      <c r="AA64" t="str">
        <f t="shared" si="11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2"/>
        <v>0</v>
      </c>
      <c r="AG64" s="108">
        <f t="shared" si="13"/>
        <v>0</v>
      </c>
      <c r="AH64" s="108">
        <f t="shared" si="14"/>
        <v>0</v>
      </c>
      <c r="AI64" s="108">
        <f t="shared" si="15"/>
        <v>0</v>
      </c>
      <c r="AJ64" s="108">
        <f t="shared" si="16"/>
        <v>0</v>
      </c>
      <c r="AK64" s="108">
        <f t="shared" si="17"/>
        <v>0</v>
      </c>
      <c r="AL64" s="108">
        <f t="shared" si="18"/>
        <v>0</v>
      </c>
      <c r="AZ64" s="138" t="str">
        <f>Uitslag!P64</f>
        <v>Wesley Sneijder (m)</v>
      </c>
      <c r="BA64" s="140">
        <f t="shared" si="9"/>
        <v>3</v>
      </c>
      <c r="BB64" s="139">
        <f t="shared" si="19"/>
        <v>3</v>
      </c>
    </row>
    <row r="65" spans="2:54">
      <c r="B65" s="370">
        <v>55</v>
      </c>
      <c r="C65" s="467">
        <v>41821</v>
      </c>
      <c r="D65" s="459" t="s">
        <v>29</v>
      </c>
      <c r="E65" s="373" t="s">
        <v>9</v>
      </c>
      <c r="F65" s="410" t="s">
        <v>25</v>
      </c>
      <c r="G65" s="436">
        <v>4</v>
      </c>
      <c r="H65" s="373" t="s">
        <v>9</v>
      </c>
      <c r="I65" s="451">
        <v>1</v>
      </c>
      <c r="J65" s="452">
        <v>1</v>
      </c>
      <c r="K65" s="407" t="s">
        <v>72</v>
      </c>
      <c r="L65" s="407" t="s">
        <v>68</v>
      </c>
      <c r="M65" s="407"/>
      <c r="N65" s="352"/>
      <c r="O65" s="458">
        <v>8</v>
      </c>
      <c r="P65" s="877" t="s">
        <v>213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8"/>
        <v>Daley Blind (v)</v>
      </c>
      <c r="Y65" s="109">
        <f t="shared" si="10"/>
        <v>0</v>
      </c>
      <c r="Z65" t="str">
        <f t="shared" si="11"/>
        <v>Argentinië</v>
      </c>
      <c r="AA65" t="str">
        <f t="shared" si="11"/>
        <v>Zwitserland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2"/>
        <v>0</v>
      </c>
      <c r="AG65" s="108">
        <f t="shared" si="13"/>
        <v>0</v>
      </c>
      <c r="AH65" s="108">
        <f t="shared" si="14"/>
        <v>0</v>
      </c>
      <c r="AI65" s="108">
        <f t="shared" si="15"/>
        <v>0</v>
      </c>
      <c r="AJ65" s="108">
        <f t="shared" si="16"/>
        <v>0</v>
      </c>
      <c r="AK65" s="108">
        <f t="shared" si="17"/>
        <v>0</v>
      </c>
      <c r="AL65" s="108">
        <f t="shared" si="18"/>
        <v>0</v>
      </c>
      <c r="AZ65" s="138" t="str">
        <f>Uitslag!P65</f>
        <v>Nigel de Jong (m)</v>
      </c>
      <c r="BA65" s="140">
        <f t="shared" si="9"/>
        <v>3</v>
      </c>
      <c r="BB65" s="139">
        <f t="shared" si="19"/>
        <v>3</v>
      </c>
    </row>
    <row r="66" spans="2:54" ht="15.75" thickBot="1">
      <c r="B66" s="385">
        <v>56</v>
      </c>
      <c r="C66" s="462">
        <v>41821</v>
      </c>
      <c r="D66" s="461" t="s">
        <v>37</v>
      </c>
      <c r="E66" s="388" t="s">
        <v>9</v>
      </c>
      <c r="F66" s="412" t="s">
        <v>31</v>
      </c>
      <c r="G66" s="438">
        <v>2</v>
      </c>
      <c r="H66" s="388" t="s">
        <v>9</v>
      </c>
      <c r="I66" s="453">
        <v>1</v>
      </c>
      <c r="J66" s="454">
        <v>1</v>
      </c>
      <c r="K66" s="407" t="s">
        <v>82</v>
      </c>
      <c r="L66" s="407" t="s">
        <v>78</v>
      </c>
      <c r="M66" s="407"/>
      <c r="N66" s="352"/>
      <c r="O66" s="458">
        <v>9</v>
      </c>
      <c r="P66" s="877" t="s">
        <v>216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8"/>
        <v>Daryl Janmaat (v)</v>
      </c>
      <c r="Y66" s="109">
        <f t="shared" si="10"/>
        <v>0</v>
      </c>
      <c r="Z66" t="str">
        <f>IF(K66=""," ",VLOOKUP(K66,$T$9:$V$54,3,FALSE))</f>
        <v>België</v>
      </c>
      <c r="AA66" t="str">
        <f>IF(L66=""," ",VLOOKUP(L66,$T$9:$V$54,3,FALSE))</f>
        <v>Duitsland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2"/>
        <v>0</v>
      </c>
      <c r="AG66" s="108">
        <f t="shared" si="13"/>
        <v>0</v>
      </c>
      <c r="AH66" s="108">
        <f t="shared" si="14"/>
        <v>0</v>
      </c>
      <c r="AI66" s="108">
        <f t="shared" si="15"/>
        <v>0</v>
      </c>
      <c r="AJ66" s="108">
        <f t="shared" si="16"/>
        <v>0</v>
      </c>
      <c r="AK66" s="108">
        <f t="shared" si="17"/>
        <v>0</v>
      </c>
      <c r="AL66" s="108">
        <f t="shared" si="18"/>
        <v>0</v>
      </c>
      <c r="AZ66" s="138" t="str">
        <f>Uitslag!P66</f>
        <v>Jonathan de Guzman (m)</v>
      </c>
      <c r="BA66" s="140">
        <f t="shared" si="9"/>
        <v>3</v>
      </c>
      <c r="BB66" s="139">
        <f t="shared" si="19"/>
        <v>3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N67" s="352"/>
      <c r="O67" s="458">
        <v>10</v>
      </c>
      <c r="P67" s="877" t="s">
        <v>215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8"/>
        <v>Terence Kongolo (v)</v>
      </c>
      <c r="AZ67" s="138" t="str">
        <f>Uitslag!P67</f>
        <v>Robin van Persie (a)</v>
      </c>
      <c r="BA67" s="140">
        <f t="shared" si="9"/>
        <v>3</v>
      </c>
      <c r="BB67" s="139">
        <f t="shared" si="19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27"/>
      <c r="K68" s="353"/>
      <c r="L68" s="353"/>
      <c r="M68" s="353"/>
      <c r="N68" s="352"/>
      <c r="O68" s="458">
        <v>11</v>
      </c>
      <c r="P68" s="877" t="s">
        <v>226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8"/>
        <v>Bruno Martins Indi (v)</v>
      </c>
      <c r="Y68" s="112" t="s">
        <v>99</v>
      </c>
      <c r="AZ68" s="138" t="str">
        <f>Uitslag!P68</f>
        <v>Arjen Robben (a)</v>
      </c>
      <c r="BA68" s="140">
        <f t="shared" si="9"/>
        <v>3</v>
      </c>
      <c r="BB68" s="139">
        <f t="shared" si="19"/>
        <v>3</v>
      </c>
    </row>
    <row r="69" spans="2:54">
      <c r="B69" s="428" t="s">
        <v>1</v>
      </c>
      <c r="C69" s="429" t="s">
        <v>2</v>
      </c>
      <c r="D69" s="430" t="s">
        <v>3</v>
      </c>
      <c r="E69" s="431"/>
      <c r="F69" s="432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N69" s="352"/>
      <c r="O69" s="352"/>
      <c r="P69" s="352"/>
      <c r="Q69" s="352"/>
      <c r="R69" s="352"/>
      <c r="S69" s="352"/>
      <c r="T69" s="352"/>
      <c r="V69" t="s">
        <v>133</v>
      </c>
      <c r="W69" t="s">
        <v>121</v>
      </c>
      <c r="X69" t="str">
        <f t="shared" si="8"/>
        <v>Stefan de Vrij (v)</v>
      </c>
      <c r="Y69" s="113" t="s">
        <v>91</v>
      </c>
      <c r="AP69" s="137" t="s">
        <v>140</v>
      </c>
      <c r="AY69" s="137"/>
      <c r="BA69" s="141">
        <f>SUM(BA58:BA68)</f>
        <v>33</v>
      </c>
      <c r="BB69" s="139">
        <f>IF(AND(BA69&lt;&gt;"",BA69=33),15,"nvt")</f>
        <v>15</v>
      </c>
    </row>
    <row r="70" spans="2:54">
      <c r="B70" s="364">
        <v>57</v>
      </c>
      <c r="C70" s="365">
        <v>41824</v>
      </c>
      <c r="D70" s="405" t="s">
        <v>27</v>
      </c>
      <c r="E70" s="367" t="s">
        <v>9</v>
      </c>
      <c r="F70" s="406" t="s">
        <v>32</v>
      </c>
      <c r="G70" s="435">
        <v>1</v>
      </c>
      <c r="H70" s="367" t="s">
        <v>9</v>
      </c>
      <c r="I70" s="447">
        <v>2</v>
      </c>
      <c r="J70" s="448">
        <v>2</v>
      </c>
      <c r="K70" s="353"/>
      <c r="L70" s="353"/>
      <c r="M70" s="353"/>
      <c r="N70" s="352"/>
      <c r="O70" s="352"/>
      <c r="P70" s="352"/>
      <c r="Q70" s="352"/>
      <c r="R70" s="352"/>
      <c r="S70" s="352"/>
      <c r="T70" s="352"/>
      <c r="V70" t="s">
        <v>133</v>
      </c>
      <c r="W70" t="s">
        <v>126</v>
      </c>
      <c r="X70" t="str">
        <f t="shared" si="8"/>
        <v>Karim Rekik (v)</v>
      </c>
      <c r="Y70" s="109">
        <f>AF70</f>
        <v>5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5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">
        <v>8</v>
      </c>
      <c r="E71" s="379" t="s">
        <v>9</v>
      </c>
      <c r="F71" s="409" t="s">
        <v>22</v>
      </c>
      <c r="G71" s="437">
        <v>2</v>
      </c>
      <c r="H71" s="379" t="s">
        <v>9</v>
      </c>
      <c r="I71" s="449">
        <v>1</v>
      </c>
      <c r="J71" s="450">
        <v>1</v>
      </c>
      <c r="K71" s="353"/>
      <c r="L71" s="353"/>
      <c r="M71" s="353"/>
      <c r="N71" s="352"/>
      <c r="O71" s="352"/>
      <c r="P71" s="352"/>
      <c r="Q71" s="352"/>
      <c r="R71" s="352"/>
      <c r="S71" s="352"/>
      <c r="T71" s="352"/>
      <c r="V71" t="s">
        <v>133</v>
      </c>
      <c r="W71" t="s">
        <v>194</v>
      </c>
      <c r="X71" t="str">
        <f t="shared" si="8"/>
        <v>Ron Vlaar (v)</v>
      </c>
      <c r="Y71" s="109">
        <f>AF71</f>
        <v>10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10</v>
      </c>
      <c r="AG71" s="108">
        <f>IF(AC71="",0,(IF(G71=AC71,1,0)))</f>
        <v>1</v>
      </c>
      <c r="AH71" s="108">
        <f>IF(AD71="",0,(IF(I71=AD71,1,0)))</f>
        <v>1</v>
      </c>
      <c r="AI71" s="108">
        <f>IF(AND(AG71=1,AH71=1),10,0)</f>
        <v>10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">
        <v>29</v>
      </c>
      <c r="E72" s="367" t="s">
        <v>9</v>
      </c>
      <c r="F72" s="406" t="s">
        <v>37</v>
      </c>
      <c r="G72" s="435">
        <v>1</v>
      </c>
      <c r="H72" s="367" t="s">
        <v>9</v>
      </c>
      <c r="I72" s="447">
        <v>1</v>
      </c>
      <c r="J72" s="448">
        <v>2</v>
      </c>
      <c r="K72" s="353"/>
      <c r="L72" s="353"/>
      <c r="M72" s="353"/>
      <c r="N72" s="352"/>
      <c r="O72" s="352"/>
      <c r="P72" s="352"/>
      <c r="Q72" s="352"/>
      <c r="R72" s="352"/>
      <c r="S72" s="352"/>
      <c r="T72" s="352"/>
      <c r="V72" t="s">
        <v>133</v>
      </c>
      <c r="W72" t="s">
        <v>195</v>
      </c>
      <c r="X72" t="str">
        <f t="shared" si="8"/>
        <v>John Heitinga (v)</v>
      </c>
      <c r="Y72" s="109">
        <f>AF72</f>
        <v>1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1</v>
      </c>
      <c r="AG72" s="108">
        <f>IF(AC72="",0,(IF(G72=AC72,1,0)))</f>
        <v>1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0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">
        <v>13</v>
      </c>
      <c r="E73" s="388" t="s">
        <v>9</v>
      </c>
      <c r="F73" s="412" t="s">
        <v>19</v>
      </c>
      <c r="G73" s="438">
        <v>1</v>
      </c>
      <c r="H73" s="388" t="s">
        <v>9</v>
      </c>
      <c r="I73" s="453">
        <v>3</v>
      </c>
      <c r="J73" s="454">
        <v>2</v>
      </c>
      <c r="K73" s="353"/>
      <c r="L73" s="353"/>
      <c r="M73" s="353"/>
      <c r="N73" s="352"/>
      <c r="O73" s="352"/>
      <c r="P73" s="352"/>
      <c r="Q73" s="352"/>
      <c r="R73" s="352"/>
      <c r="S73" s="352"/>
      <c r="T73" s="352"/>
      <c r="V73" t="s">
        <v>133</v>
      </c>
      <c r="W73" t="s">
        <v>196</v>
      </c>
      <c r="X73" t="str">
        <f t="shared" si="8"/>
        <v>Urby Emanuelson (v)</v>
      </c>
      <c r="Y73" s="109">
        <f>AF73</f>
        <v>0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0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N74" s="352"/>
      <c r="O74" s="352"/>
      <c r="P74" s="352"/>
      <c r="Q74" s="352"/>
      <c r="R74" s="352"/>
      <c r="S74" s="352"/>
      <c r="T74" s="352"/>
      <c r="V74" t="s">
        <v>133</v>
      </c>
      <c r="W74" t="s">
        <v>197</v>
      </c>
      <c r="X74" t="str">
        <f t="shared" si="8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27"/>
      <c r="K75" s="353"/>
      <c r="L75" s="353"/>
      <c r="M75" s="353"/>
      <c r="N75" s="352"/>
      <c r="O75" s="352"/>
      <c r="P75" s="352"/>
      <c r="Q75" s="352"/>
      <c r="R75" s="352"/>
      <c r="S75" s="352"/>
      <c r="T75" s="352"/>
      <c r="V75" t="s">
        <v>133</v>
      </c>
      <c r="W75" t="s">
        <v>198</v>
      </c>
      <c r="X75" t="str">
        <f t="shared" si="8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30" t="s">
        <v>3</v>
      </c>
      <c r="E76" s="431"/>
      <c r="F76" s="432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N76" s="352"/>
      <c r="O76" s="352"/>
      <c r="P76" s="352"/>
      <c r="Q76" s="352"/>
      <c r="R76" s="352"/>
      <c r="S76" s="352"/>
      <c r="T76" s="352"/>
      <c r="V76" t="s">
        <v>133</v>
      </c>
      <c r="W76" t="s">
        <v>202</v>
      </c>
      <c r="X76" t="str">
        <f t="shared" si="8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">
        <v>32</v>
      </c>
      <c r="E77" s="367" t="s">
        <v>9</v>
      </c>
      <c r="F77" s="406" t="s">
        <v>8</v>
      </c>
      <c r="G77" s="435">
        <v>1</v>
      </c>
      <c r="H77" s="367" t="s">
        <v>9</v>
      </c>
      <c r="I77" s="447">
        <v>2</v>
      </c>
      <c r="J77" s="448">
        <v>2</v>
      </c>
      <c r="K77" s="353"/>
      <c r="L77" s="353"/>
      <c r="M77" s="353"/>
      <c r="N77" s="352"/>
      <c r="O77" s="352"/>
      <c r="P77" s="352"/>
      <c r="Q77" s="352"/>
      <c r="R77" s="352"/>
      <c r="S77" s="352"/>
      <c r="T77" s="352"/>
      <c r="V77" t="s">
        <v>134</v>
      </c>
      <c r="W77" t="s">
        <v>203</v>
      </c>
      <c r="X77" t="str">
        <f t="shared" si="8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">
        <v>37</v>
      </c>
      <c r="E78" s="388" t="s">
        <v>9</v>
      </c>
      <c r="F78" s="412" t="s">
        <v>19</v>
      </c>
      <c r="G78" s="438">
        <v>2</v>
      </c>
      <c r="H78" s="388" t="s">
        <v>9</v>
      </c>
      <c r="I78" s="453">
        <v>2</v>
      </c>
      <c r="J78" s="454">
        <v>1</v>
      </c>
      <c r="K78" s="353"/>
      <c r="L78" s="353"/>
      <c r="M78" s="353"/>
      <c r="N78" s="352"/>
      <c r="O78" s="352"/>
      <c r="P78" s="352"/>
      <c r="Q78" s="352"/>
      <c r="R78" s="352"/>
      <c r="S78" s="352"/>
      <c r="T78" s="352"/>
      <c r="V78" t="s">
        <v>134</v>
      </c>
      <c r="W78" t="s">
        <v>199</v>
      </c>
      <c r="X78" t="str">
        <f t="shared" si="8"/>
        <v>Leroy Fer (m)</v>
      </c>
      <c r="Y78" s="109">
        <f>AF78</f>
        <v>5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5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5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N79" s="352"/>
      <c r="O79" s="352"/>
      <c r="P79" s="352"/>
      <c r="Q79" s="352"/>
      <c r="R79" s="352"/>
      <c r="S79" s="352"/>
      <c r="T79" s="352"/>
      <c r="V79" t="s">
        <v>134</v>
      </c>
      <c r="W79" t="s">
        <v>114</v>
      </c>
      <c r="X79" t="str">
        <f t="shared" si="8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27"/>
      <c r="K80" s="353"/>
      <c r="L80" s="353"/>
      <c r="M80" s="353"/>
      <c r="N80" s="352"/>
      <c r="O80" s="352"/>
      <c r="P80" s="352"/>
      <c r="Q80" s="352"/>
      <c r="R80" s="352"/>
      <c r="S80" s="352"/>
      <c r="T80" s="352"/>
      <c r="V80" t="s">
        <v>134</v>
      </c>
      <c r="W80" t="s">
        <v>117</v>
      </c>
      <c r="X80" t="str">
        <f t="shared" si="8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30" t="s">
        <v>3</v>
      </c>
      <c r="E81" s="431"/>
      <c r="F81" s="432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N81" s="352"/>
      <c r="O81" s="352"/>
      <c r="P81" s="352"/>
      <c r="Q81" s="352"/>
      <c r="R81" s="352"/>
      <c r="S81" s="352"/>
      <c r="T81" s="352"/>
      <c r="V81" t="s">
        <v>134</v>
      </c>
      <c r="W81" t="s">
        <v>120</v>
      </c>
      <c r="X81" t="str">
        <f t="shared" si="8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">
        <v>32</v>
      </c>
      <c r="E82" s="355" t="s">
        <v>9</v>
      </c>
      <c r="F82" s="415" t="s">
        <v>19</v>
      </c>
      <c r="G82" s="455">
        <v>0</v>
      </c>
      <c r="H82" s="355" t="s">
        <v>9</v>
      </c>
      <c r="I82" s="456">
        <v>2</v>
      </c>
      <c r="J82" s="457">
        <v>2</v>
      </c>
      <c r="K82" s="353"/>
      <c r="L82" s="353"/>
      <c r="M82" s="353"/>
      <c r="N82" s="352"/>
      <c r="O82" s="352"/>
      <c r="P82" s="352"/>
      <c r="Q82" s="352"/>
      <c r="R82" s="352"/>
      <c r="S82" s="352"/>
      <c r="T82" s="352"/>
      <c r="V82" t="s">
        <v>134</v>
      </c>
      <c r="W82" t="s">
        <v>125</v>
      </c>
      <c r="X82" t="str">
        <f t="shared" si="8"/>
        <v>Georginio Wijnaldum (m)</v>
      </c>
      <c r="Y82" s="109">
        <f>AF82</f>
        <v>6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6</v>
      </c>
      <c r="AG82" s="108">
        <f>IF(AC82="",0,(IF(G82=AC82,1,0)))</f>
        <v>1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5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N83" s="352"/>
      <c r="O83" s="352"/>
      <c r="P83" s="352"/>
      <c r="Q83" s="352"/>
      <c r="R83" s="352"/>
      <c r="S83" s="352"/>
      <c r="T83" s="352"/>
      <c r="V83" t="s">
        <v>134</v>
      </c>
      <c r="W83" t="s">
        <v>136</v>
      </c>
      <c r="X83" t="str">
        <f t="shared" si="8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27"/>
      <c r="K84" s="353"/>
      <c r="L84" s="353"/>
      <c r="M84" s="353"/>
      <c r="N84" s="352"/>
      <c r="O84" s="352"/>
      <c r="P84" s="352"/>
      <c r="Q84" s="352"/>
      <c r="R84" s="352"/>
      <c r="S84" s="352"/>
      <c r="T84" s="352"/>
      <c r="V84" t="s">
        <v>134</v>
      </c>
      <c r="W84" t="s">
        <v>137</v>
      </c>
      <c r="X84" t="str">
        <f t="shared" si="8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30" t="s">
        <v>3</v>
      </c>
      <c r="E85" s="431"/>
      <c r="F85" s="432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N85" s="352"/>
      <c r="O85" s="352"/>
      <c r="P85" s="352"/>
      <c r="Q85" s="352"/>
      <c r="R85" s="352"/>
      <c r="S85" s="352"/>
      <c r="T85" s="352"/>
      <c r="V85" t="s">
        <v>134</v>
      </c>
      <c r="W85" t="s">
        <v>138</v>
      </c>
      <c r="X85" t="str">
        <f t="shared" si="8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">
        <v>8</v>
      </c>
      <c r="E86" s="355" t="s">
        <v>9</v>
      </c>
      <c r="F86" s="415" t="s">
        <v>37</v>
      </c>
      <c r="G86" s="455">
        <v>0</v>
      </c>
      <c r="H86" s="355" t="s">
        <v>9</v>
      </c>
      <c r="I86" s="456">
        <v>1</v>
      </c>
      <c r="J86" s="457">
        <v>2</v>
      </c>
      <c r="K86" s="353"/>
      <c r="L86" s="353"/>
      <c r="M86" s="353"/>
      <c r="N86" s="352"/>
      <c r="O86" s="352"/>
      <c r="P86" s="352"/>
      <c r="Q86" s="352"/>
      <c r="R86" s="352"/>
      <c r="S86" s="352"/>
      <c r="T86" s="352"/>
      <c r="V86" t="s">
        <v>134</v>
      </c>
      <c r="W86" t="s">
        <v>139</v>
      </c>
      <c r="X86" t="str">
        <f t="shared" si="8"/>
        <v>Nigel de Jong (m)</v>
      </c>
      <c r="Y86" s="109">
        <f>AF86</f>
        <v>1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1</v>
      </c>
      <c r="AG86" s="108">
        <f>IF(AC86="",0,(IF(G86=AC86,1,0)))</f>
        <v>1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8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8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België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8"/>
        <v>Jermain Lens (a)</v>
      </c>
      <c r="AP89" s="109">
        <f>AU89</f>
        <v>0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0</v>
      </c>
      <c r="AV89">
        <f>IF(AR89=0,0,IF(E89=AR89,50,0))</f>
        <v>0</v>
      </c>
      <c r="AW89">
        <f>IF(E89=0,0,IF(OR(E89=AR90),15,0))</f>
        <v>0</v>
      </c>
      <c r="AX89">
        <f>IF(E89=0,0,IF(OR(E89=AR91,E89=AR92),5,0))</f>
        <v>0</v>
      </c>
    </row>
    <row r="90" spans="2:50">
      <c r="C90" s="870">
        <v>2</v>
      </c>
      <c r="D90" s="871"/>
      <c r="E90" s="872" t="str">
        <f>IF(J86=2,D86,IF(J86=1,F86,"Wie wordt 2de?"))</f>
        <v>Brazilië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8"/>
        <v>Dirk Kuyt (a)</v>
      </c>
      <c r="AP90" s="109">
        <f>AU90</f>
        <v>5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5</v>
      </c>
      <c r="AV90">
        <f>IF(AR90=0,0,IF(AR90=E90,25,0))</f>
        <v>0</v>
      </c>
      <c r="AW90">
        <f>IF(E90=0,0,IF(OR(E90=AR89,),15,0))</f>
        <v>0</v>
      </c>
      <c r="AX90">
        <f>IF(E90=0,0,IF(OR(E90=AR91,E90=AR92),5,0))</f>
        <v>5</v>
      </c>
    </row>
    <row r="91" spans="2:50">
      <c r="C91" s="870">
        <v>3</v>
      </c>
      <c r="D91" s="871"/>
      <c r="E91" s="872" t="str">
        <f>IF(J82=1,D82,IF(J82=2,F82,"Wie wordt 3de?"))</f>
        <v>Uruguay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8"/>
        <v>Jürgen Locadia (a)</v>
      </c>
      <c r="AP91" s="109">
        <f>AU91</f>
        <v>0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0</v>
      </c>
      <c r="AV91">
        <f>IF(AR91=0,0,IF(AR91=E91,15,0))</f>
        <v>0</v>
      </c>
      <c r="AW91">
        <f>IF(E91=0,0,IF(OR(E91=AR92),10,0))</f>
        <v>0</v>
      </c>
      <c r="AX91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Portugal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8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0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0</v>
      </c>
    </row>
    <row r="93" spans="2:50" ht="15.75" thickBot="1">
      <c r="V93" t="s">
        <v>135</v>
      </c>
      <c r="W93" t="s">
        <v>123</v>
      </c>
      <c r="X93" t="str">
        <f t="shared" si="8"/>
        <v>Quincy Promes (a)</v>
      </c>
      <c r="AS93" s="132"/>
      <c r="AU93" s="133">
        <f>SUM(AU89:AU92)</f>
        <v>5</v>
      </c>
    </row>
    <row r="94" spans="2:50" ht="15.75" thickTop="1">
      <c r="V94" t="s">
        <v>135</v>
      </c>
      <c r="W94" t="s">
        <v>122</v>
      </c>
      <c r="X94" t="str">
        <f t="shared" si="8"/>
        <v>Luc Castaignos (a)</v>
      </c>
    </row>
    <row r="95" spans="2:50">
      <c r="V95" t="s">
        <v>135</v>
      </c>
      <c r="W95" t="s">
        <v>113</v>
      </c>
      <c r="X95" t="str">
        <f t="shared" si="8"/>
        <v>Jean-Paul Boëtius (a)</v>
      </c>
    </row>
    <row r="96" spans="2:50">
      <c r="V96" t="s">
        <v>135</v>
      </c>
      <c r="W96" t="s">
        <v>129</v>
      </c>
      <c r="X96" t="str">
        <f t="shared" si="8"/>
        <v>Luciano Narsingh (a)</v>
      </c>
    </row>
    <row r="97" spans="22:24">
      <c r="V97" t="s">
        <v>135</v>
      </c>
      <c r="W97" t="s">
        <v>130</v>
      </c>
      <c r="X97" t="str">
        <f t="shared" si="8"/>
        <v>Robin van Persie (a)</v>
      </c>
    </row>
    <row r="98" spans="22:24">
      <c r="V98" t="s">
        <v>135</v>
      </c>
      <c r="W98" t="s">
        <v>131</v>
      </c>
      <c r="X98" t="str">
        <f t="shared" si="8"/>
        <v>Arjen Robben (a)</v>
      </c>
    </row>
  </sheetData>
  <mergeCells count="36">
    <mergeCell ref="C91:D91"/>
    <mergeCell ref="E91:J91"/>
    <mergeCell ref="AR91:AT91"/>
    <mergeCell ref="P60:T60"/>
    <mergeCell ref="P61:T61"/>
    <mergeCell ref="C89:D89"/>
    <mergeCell ref="E89:J89"/>
    <mergeCell ref="AR89:AT89"/>
    <mergeCell ref="C92:D92"/>
    <mergeCell ref="E92:J92"/>
    <mergeCell ref="AR92:AT92"/>
    <mergeCell ref="O57:T57"/>
    <mergeCell ref="P58:T58"/>
    <mergeCell ref="P59:T59"/>
    <mergeCell ref="P62:T62"/>
    <mergeCell ref="P65:T65"/>
    <mergeCell ref="P66:T66"/>
    <mergeCell ref="P67:T67"/>
    <mergeCell ref="P68:T68"/>
    <mergeCell ref="P63:T63"/>
    <mergeCell ref="P64:T64"/>
    <mergeCell ref="C90:D90"/>
    <mergeCell ref="E90:J90"/>
    <mergeCell ref="AR90:AT90"/>
    <mergeCell ref="B6:J6"/>
    <mergeCell ref="G7:I7"/>
    <mergeCell ref="B57:I57"/>
    <mergeCell ref="G58:I58"/>
    <mergeCell ref="G85:I85"/>
    <mergeCell ref="B68:I68"/>
    <mergeCell ref="G69:I69"/>
    <mergeCell ref="G81:I81"/>
    <mergeCell ref="B75:I75"/>
    <mergeCell ref="B84:I84"/>
    <mergeCell ref="G76:I76"/>
    <mergeCell ref="B80:I80"/>
  </mergeCells>
  <conditionalFormatting sqref="AO9:AO12 AO15:AO18 AO21:AO24 AO27:AO30 AO33:AO36 AO39:AO42 AO45:AO48 AO51:AO54">
    <cfRule type="cellIs" dxfId="200" priority="3" operator="equal">
      <formula>10</formula>
    </cfRule>
  </conditionalFormatting>
  <conditionalFormatting sqref="P58:T58">
    <cfRule type="duplicateValues" dxfId="199" priority="2"/>
  </conditionalFormatting>
  <conditionalFormatting sqref="P58:T68">
    <cfRule type="duplicateValues" dxfId="198" priority="1"/>
  </conditionalFormatting>
  <dataValidations count="10">
    <dataValidation type="list" allowBlank="1" showInputMessage="1" showErrorMessage="1" sqref="T51:T54">
      <formula1>$W$51:$W$54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P58:P68">
      <formula1>$X$58:$X$98</formula1>
    </dataValidation>
  </dataValidation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B1:BB98"/>
  <sheetViews>
    <sheetView topLeftCell="A43" zoomScale="70" zoomScaleNormal="70" workbookViewId="0">
      <selection activeCell="P58" sqref="P58:T68"/>
    </sheetView>
  </sheetViews>
  <sheetFormatPr defaultRowHeight="15" outlineLevelCol="2"/>
  <cols>
    <col min="1" max="1" width="3.42578125" customWidth="1"/>
    <col min="2" max="2" width="3.5703125" bestFit="1" customWidth="1"/>
    <col min="3" max="3" width="11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330</v>
      </c>
      <c r="E3" s="145"/>
      <c r="F3" s="145"/>
      <c r="N3" t="str">
        <f>D3</f>
        <v>Francine S. (introducee Malrini)</v>
      </c>
      <c r="O3" s="144">
        <f>SUM(P3:S3)</f>
        <v>394</v>
      </c>
      <c r="P3" s="109">
        <f>SUM(Y8:Y86)</f>
        <v>199</v>
      </c>
      <c r="Q3" s="109">
        <f>SUM(AM4:AM55)</f>
        <v>140</v>
      </c>
      <c r="R3" s="109">
        <f>SUM(AP89:AP92)</f>
        <v>25</v>
      </c>
      <c r="S3" s="109">
        <f>SUM(BB58:BB69)</f>
        <v>30</v>
      </c>
      <c r="T3" s="109">
        <f>COUNTIF(AF8:AF86,10)</f>
        <v>4</v>
      </c>
      <c r="U3" s="109" t="str">
        <f>E89</f>
        <v>Argentinië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1"/>
      <c r="L6" s="1"/>
      <c r="O6" s="40"/>
      <c r="P6" s="41"/>
      <c r="Q6" s="41"/>
      <c r="R6" s="41"/>
      <c r="S6" s="41"/>
      <c r="T6" s="41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66" t="s">
        <v>1</v>
      </c>
      <c r="C7" s="67" t="s">
        <v>2</v>
      </c>
      <c r="D7" s="202" t="s">
        <v>3</v>
      </c>
      <c r="E7" s="69"/>
      <c r="F7" s="203" t="s">
        <v>4</v>
      </c>
      <c r="G7" s="880" t="s">
        <v>5</v>
      </c>
      <c r="H7" s="881"/>
      <c r="I7" s="882"/>
      <c r="J7" s="71" t="s">
        <v>6</v>
      </c>
      <c r="K7" s="4" t="s">
        <v>7</v>
      </c>
      <c r="L7" s="4" t="s">
        <v>7</v>
      </c>
      <c r="O7" s="1"/>
      <c r="P7" s="41"/>
      <c r="Q7" s="41"/>
      <c r="R7" s="41"/>
      <c r="S7" s="41"/>
      <c r="T7" s="41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5">
        <v>1</v>
      </c>
      <c r="C8" s="6">
        <v>41802</v>
      </c>
      <c r="D8" s="7" t="s">
        <v>8</v>
      </c>
      <c r="E8" s="8" t="s">
        <v>9</v>
      </c>
      <c r="F8" s="9" t="s">
        <v>10</v>
      </c>
      <c r="G8" s="84">
        <v>1</v>
      </c>
      <c r="H8" s="8" t="s">
        <v>9</v>
      </c>
      <c r="I8" s="200">
        <v>0</v>
      </c>
      <c r="J8" s="10">
        <f>IF(I8="","",IF(G8&gt;I8,1,IF(G8&lt;I8,2,3)))</f>
        <v>1</v>
      </c>
      <c r="K8" s="11">
        <f>IF(I8="","",IF($G8&gt;$I8,3,IF($G8=$I8,1,0)))</f>
        <v>3</v>
      </c>
      <c r="L8" s="11">
        <f>IF(I8="","",IF($G8&lt;$I8,3,IF($G8=$I8,1,0)))</f>
        <v>0</v>
      </c>
      <c r="O8" s="72" t="s">
        <v>41</v>
      </c>
      <c r="P8" s="73" t="s">
        <v>42</v>
      </c>
      <c r="Q8" s="73" t="s">
        <v>43</v>
      </c>
      <c r="R8" s="74" t="s">
        <v>44</v>
      </c>
      <c r="S8" s="75" t="s">
        <v>45</v>
      </c>
      <c r="T8" s="76" t="s">
        <v>46</v>
      </c>
      <c r="U8" s="40"/>
      <c r="V8" s="40"/>
      <c r="W8" s="40"/>
      <c r="Y8" s="109">
        <f>AF8</f>
        <v>5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5</v>
      </c>
      <c r="AG8" s="108">
        <f t="shared" ref="AG8:AG55" si="0">IF(AC8="",0,(IF(G8=AC8,1,0)))</f>
        <v>0</v>
      </c>
      <c r="AH8" s="108">
        <f t="shared" ref="AH8:AH55" si="1">IF(AD8="",0,(IF(I8=AD8,1,0)))</f>
        <v>0</v>
      </c>
      <c r="AI8" s="108">
        <f>IF(AND(AG8=1,AH8=1),10,0)</f>
        <v>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12">
        <v>2</v>
      </c>
      <c r="C9" s="13">
        <v>41803</v>
      </c>
      <c r="D9" s="14" t="s">
        <v>11</v>
      </c>
      <c r="E9" s="15" t="s">
        <v>9</v>
      </c>
      <c r="F9" s="16" t="s">
        <v>12</v>
      </c>
      <c r="G9" s="85">
        <v>0</v>
      </c>
      <c r="H9" s="15" t="s">
        <v>9</v>
      </c>
      <c r="I9" s="90">
        <v>0</v>
      </c>
      <c r="J9" s="17">
        <f t="shared" ref="J9:J55" si="5">IF(I9="","",IF(G9&gt;I9,1,IF(G9&lt;I9,2,3)))</f>
        <v>3</v>
      </c>
      <c r="K9" s="11">
        <f t="shared" ref="K9:K55" si="6">IF(I9="","",IF($G9&gt;$I9,3,IF($G9=$I9,1,0)))</f>
        <v>1</v>
      </c>
      <c r="L9" s="11">
        <f t="shared" ref="L9:L55" si="7">IF(I9="","",IF($G9&lt;$I9,3,IF($G9=$I9,1,0)))</f>
        <v>1</v>
      </c>
      <c r="O9" s="44" t="s">
        <v>8</v>
      </c>
      <c r="P9" s="45">
        <f>SUMIF($D$8:$D$55,$O9,$G$8:$G$55)+SUMIF($F$8:$F$55,$O9,$I$8:$I$55)</f>
        <v>6</v>
      </c>
      <c r="Q9" s="45">
        <f>SUMIF($D$8:$D$55,$O9,$I$8:$I$55)+SUMIF($F$8:$F$55,$O9,$G$8:$G$55)</f>
        <v>0</v>
      </c>
      <c r="R9" s="46">
        <f>P9-Q9</f>
        <v>6</v>
      </c>
      <c r="S9" s="47">
        <f>SUMIF($D$8:$D$55,$O9,$K$8:$K$55)+SUMIF($F$8:$F$55,$O9,$L$8:$L$55)</f>
        <v>9</v>
      </c>
      <c r="T9" s="94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1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1</v>
      </c>
      <c r="AG9" s="108">
        <f t="shared" si="0"/>
        <v>0</v>
      </c>
      <c r="AH9" s="108">
        <f t="shared" si="1"/>
        <v>1</v>
      </c>
      <c r="AI9" s="108">
        <f t="shared" ref="AI9:AI55" si="10">IF(AND(AG9=1,AH9=1),10,0)</f>
        <v>0</v>
      </c>
      <c r="AJ9" s="108">
        <f t="shared" si="2"/>
        <v>0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18">
        <v>3</v>
      </c>
      <c r="C10" s="19">
        <v>41803</v>
      </c>
      <c r="D10" s="20" t="s">
        <v>13</v>
      </c>
      <c r="E10" s="21" t="s">
        <v>9</v>
      </c>
      <c r="F10" s="22" t="s">
        <v>14</v>
      </c>
      <c r="G10" s="86">
        <v>1</v>
      </c>
      <c r="H10" s="21" t="s">
        <v>9</v>
      </c>
      <c r="I10" s="91">
        <v>1</v>
      </c>
      <c r="J10" s="23">
        <f t="shared" si="5"/>
        <v>3</v>
      </c>
      <c r="K10" s="11">
        <f t="shared" si="6"/>
        <v>1</v>
      </c>
      <c r="L10" s="11">
        <f t="shared" si="7"/>
        <v>1</v>
      </c>
      <c r="O10" s="48" t="s">
        <v>10</v>
      </c>
      <c r="P10" s="49">
        <f>SUMIF($D$8:$D$55,$O10,$G$8:$G$55)+SUMIF($F$8:$F$55,$O10,$I$8:$I$55)</f>
        <v>3</v>
      </c>
      <c r="Q10" s="49">
        <f>SUMIF($D$8:$D$55,$O10,$I$8:$I$55)+SUMIF($F$8:$F$55,$O10,$G$8:$G$55)</f>
        <v>2</v>
      </c>
      <c r="R10" s="49">
        <f>P10-Q10</f>
        <v>1</v>
      </c>
      <c r="S10" s="50">
        <f>SUMIF($D$8:$D$55,$O10,$K$8:$K$55)+SUMIF($F$8:$F$55,$O10,$L$8:$L$55)</f>
        <v>6</v>
      </c>
      <c r="T10" s="95" t="s">
        <v>49</v>
      </c>
      <c r="U10" s="40"/>
      <c r="V10" s="40" t="str">
        <f>O10</f>
        <v>Kroatië</v>
      </c>
      <c r="W10" s="40" t="s">
        <v>49</v>
      </c>
      <c r="Y10" s="109">
        <f t="shared" si="8"/>
        <v>1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1</v>
      </c>
      <c r="AG10" s="108">
        <f t="shared" si="0"/>
        <v>1</v>
      </c>
      <c r="AH10" s="108">
        <f t="shared" si="1"/>
        <v>0</v>
      </c>
      <c r="AI10" s="108">
        <f t="shared" si="10"/>
        <v>0</v>
      </c>
      <c r="AJ10" s="108">
        <f t="shared" si="2"/>
        <v>0</v>
      </c>
      <c r="AK10" s="108">
        <f t="shared" si="3"/>
        <v>0</v>
      </c>
      <c r="AL10" s="108">
        <f t="shared" si="4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24">
        <v>4</v>
      </c>
      <c r="C11" s="25">
        <v>41803</v>
      </c>
      <c r="D11" s="26" t="s">
        <v>15</v>
      </c>
      <c r="E11" s="27" t="s">
        <v>9</v>
      </c>
      <c r="F11" s="28" t="s">
        <v>16</v>
      </c>
      <c r="G11" s="87">
        <v>1</v>
      </c>
      <c r="H11" s="27" t="s">
        <v>9</v>
      </c>
      <c r="I11" s="92">
        <v>0</v>
      </c>
      <c r="J11" s="29">
        <f t="shared" si="5"/>
        <v>1</v>
      </c>
      <c r="K11" s="11">
        <f t="shared" si="6"/>
        <v>3</v>
      </c>
      <c r="L11" s="11">
        <f t="shared" si="7"/>
        <v>0</v>
      </c>
      <c r="O11" s="48" t="s">
        <v>11</v>
      </c>
      <c r="P11" s="49">
        <f>SUMIF($D$8:$D$55,$O11,$G$8:$G$55)+SUMIF($F$8:$F$55,$O11,$I$8:$I$55)</f>
        <v>0</v>
      </c>
      <c r="Q11" s="49">
        <f>SUMIF($D$8:$D$55,$O11,$I$8:$I$55)+SUMIF($F$8:$F$55,$O11,$G$8:$G$55)</f>
        <v>3</v>
      </c>
      <c r="R11" s="49">
        <f>P11-Q11</f>
        <v>-3</v>
      </c>
      <c r="S11" s="50">
        <f>SUMIF($D$8:$D$55,$O11,$K$8:$K$55)+SUMIF($F$8:$F$55,$O11,$L$8:$L$55)</f>
        <v>1</v>
      </c>
      <c r="T11" s="95" t="s">
        <v>47</v>
      </c>
      <c r="U11" s="40"/>
      <c r="V11" s="40" t="str">
        <f>O11</f>
        <v>Mexico</v>
      </c>
      <c r="W11" s="40" t="s">
        <v>47</v>
      </c>
      <c r="Y11" s="109">
        <f t="shared" si="8"/>
        <v>5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5</v>
      </c>
      <c r="AG11" s="108">
        <f t="shared" si="0"/>
        <v>0</v>
      </c>
      <c r="AH11" s="108">
        <f t="shared" si="1"/>
        <v>0</v>
      </c>
      <c r="AI11" s="108">
        <f t="shared" si="10"/>
        <v>0</v>
      </c>
      <c r="AJ11" s="108">
        <f t="shared" si="2"/>
        <v>5</v>
      </c>
      <c r="AK11" s="108">
        <f t="shared" si="3"/>
        <v>0</v>
      </c>
      <c r="AL11" s="108">
        <f t="shared" si="4"/>
        <v>0</v>
      </c>
      <c r="AM11" s="120">
        <f>AO11</f>
        <v>0</v>
      </c>
      <c r="AN11" s="117" t="s">
        <v>11</v>
      </c>
      <c r="AO11" s="115">
        <f>IF(Uitslag!T11="",0,IF(T11=Uitslag!T11,10,0))</f>
        <v>0</v>
      </c>
    </row>
    <row r="12" spans="2:54" ht="15.75" thickBot="1">
      <c r="B12" s="12">
        <v>5</v>
      </c>
      <c r="C12" s="13">
        <v>41804</v>
      </c>
      <c r="D12" s="14" t="s">
        <v>17</v>
      </c>
      <c r="E12" s="15" t="s">
        <v>9</v>
      </c>
      <c r="F12" s="16" t="s">
        <v>18</v>
      </c>
      <c r="G12" s="85">
        <v>1</v>
      </c>
      <c r="H12" s="15" t="s">
        <v>9</v>
      </c>
      <c r="I12" s="90">
        <v>0</v>
      </c>
      <c r="J12" s="17">
        <f t="shared" si="5"/>
        <v>1</v>
      </c>
      <c r="K12" s="11">
        <f t="shared" si="6"/>
        <v>3</v>
      </c>
      <c r="L12" s="11">
        <f t="shared" si="7"/>
        <v>0</v>
      </c>
      <c r="O12" s="51" t="s">
        <v>12</v>
      </c>
      <c r="P12" s="52">
        <f>SUMIF($D$8:$D$55,$O12,$G$8:$G$55)+SUMIF($F$8:$F$55,$O12,$I$8:$I$55)</f>
        <v>1</v>
      </c>
      <c r="Q12" s="52">
        <f>SUMIF($D$8:$D$55,$O12,$I$8:$I$55)+SUMIF($F$8:$F$55,$O12,$G$8:$G$55)</f>
        <v>5</v>
      </c>
      <c r="R12" s="52">
        <f>P12-Q12</f>
        <v>-4</v>
      </c>
      <c r="S12" s="53">
        <f>SUMIF($D$8:$D$55,$O12,$K$8:$K$55)+SUMIF($F$8:$F$55,$O12,$L$8:$L$55)</f>
        <v>1</v>
      </c>
      <c r="T12" s="96" t="s">
        <v>50</v>
      </c>
      <c r="U12" s="40"/>
      <c r="V12" s="40" t="str">
        <f>O12</f>
        <v>Kameroen</v>
      </c>
      <c r="W12" s="40" t="s">
        <v>50</v>
      </c>
      <c r="Y12" s="109">
        <f t="shared" si="8"/>
        <v>6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6</v>
      </c>
      <c r="AG12" s="108">
        <f t="shared" si="0"/>
        <v>0</v>
      </c>
      <c r="AH12" s="108">
        <f t="shared" si="1"/>
        <v>1</v>
      </c>
      <c r="AI12" s="108">
        <f t="shared" si="10"/>
        <v>0</v>
      </c>
      <c r="AJ12" s="108">
        <f t="shared" si="2"/>
        <v>5</v>
      </c>
      <c r="AK12" s="108">
        <f t="shared" si="3"/>
        <v>0</v>
      </c>
      <c r="AL12" s="108">
        <f t="shared" si="4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18">
        <v>6</v>
      </c>
      <c r="C13" s="19">
        <v>41804</v>
      </c>
      <c r="D13" s="20" t="s">
        <v>19</v>
      </c>
      <c r="E13" s="21" t="s">
        <v>9</v>
      </c>
      <c r="F13" s="30" t="s">
        <v>20</v>
      </c>
      <c r="G13" s="86">
        <v>2</v>
      </c>
      <c r="H13" s="21" t="s">
        <v>9</v>
      </c>
      <c r="I13" s="91">
        <v>0</v>
      </c>
      <c r="J13" s="23">
        <f t="shared" si="5"/>
        <v>1</v>
      </c>
      <c r="K13" s="11">
        <f t="shared" si="6"/>
        <v>3</v>
      </c>
      <c r="L13" s="11">
        <f t="shared" si="7"/>
        <v>0</v>
      </c>
      <c r="O13" s="40"/>
      <c r="P13" s="41"/>
      <c r="Q13" s="41"/>
      <c r="R13" s="41"/>
      <c r="S13" s="41"/>
      <c r="T13" s="41"/>
      <c r="U13" s="40"/>
      <c r="V13" s="40"/>
      <c r="W13" s="40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0"/>
        <v>0</v>
      </c>
      <c r="AH13" s="108">
        <f t="shared" si="1"/>
        <v>0</v>
      </c>
      <c r="AI13" s="108">
        <f t="shared" si="10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40"/>
      <c r="AO13" s="41"/>
    </row>
    <row r="14" spans="2:54" ht="15.75" thickBot="1">
      <c r="B14" s="18">
        <v>7</v>
      </c>
      <c r="C14" s="19">
        <v>41804</v>
      </c>
      <c r="D14" s="20" t="s">
        <v>21</v>
      </c>
      <c r="E14" s="21" t="s">
        <v>9</v>
      </c>
      <c r="F14" s="30" t="s">
        <v>22</v>
      </c>
      <c r="G14" s="86">
        <v>0</v>
      </c>
      <c r="H14" s="21" t="s">
        <v>9</v>
      </c>
      <c r="I14" s="91">
        <v>1</v>
      </c>
      <c r="J14" s="23">
        <f t="shared" si="5"/>
        <v>2</v>
      </c>
      <c r="K14" s="11">
        <f t="shared" si="6"/>
        <v>0</v>
      </c>
      <c r="L14" s="11">
        <f t="shared" si="7"/>
        <v>3</v>
      </c>
      <c r="O14" s="72" t="s">
        <v>51</v>
      </c>
      <c r="P14" s="73" t="s">
        <v>42</v>
      </c>
      <c r="Q14" s="73" t="s">
        <v>43</v>
      </c>
      <c r="R14" s="74" t="s">
        <v>44</v>
      </c>
      <c r="S14" s="75" t="s">
        <v>45</v>
      </c>
      <c r="T14" s="76" t="s">
        <v>46</v>
      </c>
      <c r="U14" s="40"/>
      <c r="V14" s="40"/>
      <c r="W14" s="40"/>
      <c r="Y14" s="109">
        <f t="shared" si="8"/>
        <v>5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5</v>
      </c>
      <c r="AG14" s="108">
        <f t="shared" si="0"/>
        <v>0</v>
      </c>
      <c r="AH14" s="108">
        <f t="shared" si="1"/>
        <v>0</v>
      </c>
      <c r="AI14" s="108">
        <f t="shared" si="10"/>
        <v>0</v>
      </c>
      <c r="AJ14" s="108">
        <f t="shared" si="2"/>
        <v>0</v>
      </c>
      <c r="AK14" s="108">
        <f t="shared" si="3"/>
        <v>5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24">
        <v>8</v>
      </c>
      <c r="C15" s="25">
        <v>41804</v>
      </c>
      <c r="D15" s="26" t="s">
        <v>23</v>
      </c>
      <c r="E15" s="27" t="s">
        <v>9</v>
      </c>
      <c r="F15" s="28" t="s">
        <v>24</v>
      </c>
      <c r="G15" s="87">
        <v>1</v>
      </c>
      <c r="H15" s="27" t="s">
        <v>9</v>
      </c>
      <c r="I15" s="92">
        <v>1</v>
      </c>
      <c r="J15" s="29">
        <f t="shared" si="5"/>
        <v>3</v>
      </c>
      <c r="K15" s="11">
        <f t="shared" si="6"/>
        <v>1</v>
      </c>
      <c r="L15" s="11">
        <f t="shared" si="7"/>
        <v>1</v>
      </c>
      <c r="O15" s="44" t="s">
        <v>13</v>
      </c>
      <c r="P15" s="45">
        <f>SUMIF($D$8:$D$55,$O15,$G$8:$G$55)+SUMIF($F$8:$F$55,$O15,$I$8:$I$55)</f>
        <v>5</v>
      </c>
      <c r="Q15" s="45">
        <f>SUMIF($D$8:$D$55,$O15,$I$8:$I$55)+SUMIF($F$8:$F$55,$O15,$G$8:$G$55)</f>
        <v>3</v>
      </c>
      <c r="R15" s="46">
        <f>P15-Q15</f>
        <v>2</v>
      </c>
      <c r="S15" s="47">
        <f>SUMIF($D$8:$D$55,$O15,$K$8:$K$55)+SUMIF($F$8:$F$55,$O15,$L$8:$L$55)</f>
        <v>5</v>
      </c>
      <c r="T15" s="94" t="s">
        <v>53</v>
      </c>
      <c r="U15" s="40"/>
      <c r="V15" s="40" t="str">
        <f>O15</f>
        <v>Spanje</v>
      </c>
      <c r="W15" s="40" t="s">
        <v>52</v>
      </c>
      <c r="Y15" s="109">
        <f t="shared" si="8"/>
        <v>1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1</v>
      </c>
      <c r="AG15" s="108">
        <f t="shared" si="0"/>
        <v>0</v>
      </c>
      <c r="AH15" s="108">
        <f t="shared" si="1"/>
        <v>1</v>
      </c>
      <c r="AI15" s="108">
        <f t="shared" si="10"/>
        <v>0</v>
      </c>
      <c r="AJ15" s="108">
        <f t="shared" si="2"/>
        <v>0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12">
        <v>9</v>
      </c>
      <c r="C16" s="13">
        <v>41805</v>
      </c>
      <c r="D16" s="14" t="s">
        <v>25</v>
      </c>
      <c r="E16" s="15" t="s">
        <v>9</v>
      </c>
      <c r="F16" s="16" t="s">
        <v>26</v>
      </c>
      <c r="G16" s="85">
        <v>2</v>
      </c>
      <c r="H16" s="15" t="s">
        <v>9</v>
      </c>
      <c r="I16" s="90">
        <v>0</v>
      </c>
      <c r="J16" s="17">
        <f t="shared" si="5"/>
        <v>1</v>
      </c>
      <c r="K16" s="11">
        <f t="shared" si="6"/>
        <v>3</v>
      </c>
      <c r="L16" s="11">
        <f t="shared" si="7"/>
        <v>0</v>
      </c>
      <c r="O16" s="54" t="s">
        <v>14</v>
      </c>
      <c r="P16" s="49">
        <f>SUMIF($D$8:$D$55,$O16,$G$8:$G$55)+SUMIF($F$8:$F$55,$O16,$I$8:$I$55)</f>
        <v>4</v>
      </c>
      <c r="Q16" s="49">
        <f>SUMIF($D$8:$D$55,$O16,$I$8:$I$55)+SUMIF($F$8:$F$55,$O16,$G$8:$G$55)</f>
        <v>2</v>
      </c>
      <c r="R16" s="49">
        <f>P16-Q16</f>
        <v>2</v>
      </c>
      <c r="S16" s="50">
        <f>SUMIF($D$8:$D$55,$O16,$K$8:$K$55)+SUMIF($F$8:$F$55,$O16,$L$8:$L$55)</f>
        <v>7</v>
      </c>
      <c r="T16" s="95" t="s">
        <v>52</v>
      </c>
      <c r="U16" s="40"/>
      <c r="V16" s="40" t="str">
        <f>O16</f>
        <v>Nederland</v>
      </c>
      <c r="W16" s="40" t="s">
        <v>53</v>
      </c>
      <c r="Y16" s="109">
        <f t="shared" si="8"/>
        <v>6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6</v>
      </c>
      <c r="AG16" s="108">
        <f t="shared" si="0"/>
        <v>1</v>
      </c>
      <c r="AH16" s="108">
        <f t="shared" si="1"/>
        <v>0</v>
      </c>
      <c r="AI16" s="108">
        <f t="shared" si="10"/>
        <v>0</v>
      </c>
      <c r="AJ16" s="108">
        <f t="shared" si="2"/>
        <v>5</v>
      </c>
      <c r="AK16" s="108">
        <f t="shared" si="3"/>
        <v>0</v>
      </c>
      <c r="AL16" s="108">
        <f t="shared" si="4"/>
        <v>0</v>
      </c>
      <c r="AM16" s="120">
        <f>AO16</f>
        <v>10</v>
      </c>
      <c r="AN16" s="119" t="s">
        <v>14</v>
      </c>
      <c r="AO16" s="115">
        <f>IF(Uitslag!T16="",0,IF(T16=Uitslag!T16,10,0))</f>
        <v>10</v>
      </c>
    </row>
    <row r="17" spans="2:41" ht="15.75" thickBot="1">
      <c r="B17" s="18">
        <v>10</v>
      </c>
      <c r="C17" s="19">
        <v>41805</v>
      </c>
      <c r="D17" s="20" t="s">
        <v>27</v>
      </c>
      <c r="E17" s="21" t="s">
        <v>9</v>
      </c>
      <c r="F17" s="30" t="s">
        <v>28</v>
      </c>
      <c r="G17" s="86">
        <v>2</v>
      </c>
      <c r="H17" s="21" t="s">
        <v>9</v>
      </c>
      <c r="I17" s="91">
        <v>0</v>
      </c>
      <c r="J17" s="23">
        <f t="shared" si="5"/>
        <v>1</v>
      </c>
      <c r="K17" s="11">
        <f t="shared" si="6"/>
        <v>3</v>
      </c>
      <c r="L17" s="11">
        <f t="shared" si="7"/>
        <v>0</v>
      </c>
      <c r="O17" s="48" t="s">
        <v>15</v>
      </c>
      <c r="P17" s="49">
        <f>SUMIF($D$8:$D$55,$O17,$G$8:$G$55)+SUMIF($F$8:$F$55,$O17,$I$8:$I$55)</f>
        <v>3</v>
      </c>
      <c r="Q17" s="49">
        <f>SUMIF($D$8:$D$55,$O17,$I$8:$I$55)+SUMIF($F$8:$F$55,$O17,$G$8:$G$55)</f>
        <v>3</v>
      </c>
      <c r="R17" s="49">
        <f>P17-Q17</f>
        <v>0</v>
      </c>
      <c r="S17" s="50">
        <f>SUMIF($D$8:$D$55,$O17,$K$8:$K$55)+SUMIF($F$8:$F$55,$O17,$L$8:$L$55)</f>
        <v>4</v>
      </c>
      <c r="T17" s="95" t="s">
        <v>54</v>
      </c>
      <c r="U17" s="40"/>
      <c r="V17" s="40" t="str">
        <f>O17</f>
        <v>Chili</v>
      </c>
      <c r="W17" s="40" t="s">
        <v>54</v>
      </c>
      <c r="Y17" s="109">
        <f t="shared" si="8"/>
        <v>6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6</v>
      </c>
      <c r="AG17" s="108">
        <f t="shared" si="0"/>
        <v>0</v>
      </c>
      <c r="AH17" s="108">
        <f t="shared" si="1"/>
        <v>1</v>
      </c>
      <c r="AI17" s="108">
        <f t="shared" si="10"/>
        <v>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24">
        <v>11</v>
      </c>
      <c r="C18" s="25">
        <v>41805</v>
      </c>
      <c r="D18" s="26" t="s">
        <v>29</v>
      </c>
      <c r="E18" s="27" t="s">
        <v>9</v>
      </c>
      <c r="F18" s="28" t="s">
        <v>30</v>
      </c>
      <c r="G18" s="87">
        <v>2</v>
      </c>
      <c r="H18" s="27" t="s">
        <v>9</v>
      </c>
      <c r="I18" s="92">
        <v>1</v>
      </c>
      <c r="J18" s="29">
        <f t="shared" si="5"/>
        <v>1</v>
      </c>
      <c r="K18" s="11">
        <f t="shared" si="6"/>
        <v>3</v>
      </c>
      <c r="L18" s="11">
        <f t="shared" si="7"/>
        <v>0</v>
      </c>
      <c r="O18" s="51" t="s">
        <v>16</v>
      </c>
      <c r="P18" s="52">
        <f>SUMIF($D$8:$D$55,$O18,$G$8:$G$55)+SUMIF($F$8:$F$55,$O18,$I$8:$I$55)</f>
        <v>1</v>
      </c>
      <c r="Q18" s="52">
        <f>SUMIF($D$8:$D$55,$O18,$I$8:$I$55)+SUMIF($F$8:$F$55,$O18,$G$8:$G$55)</f>
        <v>5</v>
      </c>
      <c r="R18" s="52">
        <f>P18-Q18</f>
        <v>-4</v>
      </c>
      <c r="S18" s="53">
        <f>SUMIF($D$8:$D$55,$O18,$K$8:$K$55)+SUMIF($F$8:$F$55,$O18,$L$8:$L$55)</f>
        <v>0</v>
      </c>
      <c r="T18" s="96" t="s">
        <v>55</v>
      </c>
      <c r="U18" s="40"/>
      <c r="V18" s="40" t="str">
        <f>O18</f>
        <v>Australië</v>
      </c>
      <c r="W18" s="40" t="s">
        <v>55</v>
      </c>
      <c r="Y18" s="109">
        <f t="shared" si="8"/>
        <v>10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10</v>
      </c>
      <c r="AG18" s="108">
        <f t="shared" si="0"/>
        <v>1</v>
      </c>
      <c r="AH18" s="108">
        <f t="shared" si="1"/>
        <v>1</v>
      </c>
      <c r="AI18" s="108">
        <f t="shared" si="10"/>
        <v>10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12">
        <v>12</v>
      </c>
      <c r="C19" s="13">
        <v>41806</v>
      </c>
      <c r="D19" s="14" t="s">
        <v>31</v>
      </c>
      <c r="E19" s="15" t="s">
        <v>9</v>
      </c>
      <c r="F19" s="16" t="s">
        <v>32</v>
      </c>
      <c r="G19" s="85">
        <v>1</v>
      </c>
      <c r="H19" s="15" t="s">
        <v>9</v>
      </c>
      <c r="I19" s="90">
        <v>1</v>
      </c>
      <c r="J19" s="17">
        <f t="shared" si="5"/>
        <v>3</v>
      </c>
      <c r="K19" s="11">
        <f t="shared" si="6"/>
        <v>1</v>
      </c>
      <c r="L19" s="11">
        <f t="shared" si="7"/>
        <v>1</v>
      </c>
      <c r="O19" s="40"/>
      <c r="P19" s="41"/>
      <c r="Q19" s="41"/>
      <c r="R19" s="41"/>
      <c r="S19" s="41"/>
      <c r="T19" s="41"/>
      <c r="U19" s="40"/>
      <c r="V19" s="40"/>
      <c r="W19" s="40"/>
      <c r="Y19" s="109">
        <f t="shared" si="8"/>
        <v>0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0</v>
      </c>
      <c r="AG19" s="108">
        <f t="shared" si="0"/>
        <v>0</v>
      </c>
      <c r="AH19" s="108">
        <f t="shared" si="1"/>
        <v>0</v>
      </c>
      <c r="AI19" s="108">
        <f t="shared" si="10"/>
        <v>0</v>
      </c>
      <c r="AJ19" s="108">
        <f t="shared" si="2"/>
        <v>0</v>
      </c>
      <c r="AK19" s="108">
        <f t="shared" si="3"/>
        <v>0</v>
      </c>
      <c r="AL19" s="108">
        <f t="shared" si="4"/>
        <v>0</v>
      </c>
      <c r="AN19" s="40"/>
      <c r="AO19" s="41"/>
    </row>
    <row r="20" spans="2:41" ht="15.75" thickBot="1">
      <c r="B20" s="18">
        <v>13</v>
      </c>
      <c r="C20" s="19">
        <v>41806</v>
      </c>
      <c r="D20" s="20" t="s">
        <v>33</v>
      </c>
      <c r="E20" s="21" t="s">
        <v>9</v>
      </c>
      <c r="F20" s="30" t="s">
        <v>34</v>
      </c>
      <c r="G20" s="86">
        <v>0</v>
      </c>
      <c r="H20" s="21" t="s">
        <v>9</v>
      </c>
      <c r="I20" s="91">
        <v>1</v>
      </c>
      <c r="J20" s="23">
        <f t="shared" si="5"/>
        <v>2</v>
      </c>
      <c r="K20" s="11">
        <f t="shared" si="6"/>
        <v>0</v>
      </c>
      <c r="L20" s="11">
        <f t="shared" si="7"/>
        <v>3</v>
      </c>
      <c r="O20" s="72" t="s">
        <v>56</v>
      </c>
      <c r="P20" s="73" t="s">
        <v>42</v>
      </c>
      <c r="Q20" s="73" t="s">
        <v>43</v>
      </c>
      <c r="R20" s="74" t="s">
        <v>44</v>
      </c>
      <c r="S20" s="75" t="s">
        <v>45</v>
      </c>
      <c r="T20" s="76" t="s">
        <v>46</v>
      </c>
      <c r="U20" s="40"/>
      <c r="V20" s="40"/>
      <c r="W20" s="40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0"/>
        <v>1</v>
      </c>
      <c r="AH20" s="108">
        <f t="shared" si="1"/>
        <v>0</v>
      </c>
      <c r="AI20" s="108">
        <f t="shared" si="10"/>
        <v>0</v>
      </c>
      <c r="AJ20" s="108">
        <f t="shared" si="2"/>
        <v>0</v>
      </c>
      <c r="AK20" s="108">
        <f t="shared" si="3"/>
        <v>0</v>
      </c>
      <c r="AL20" s="108">
        <f t="shared" si="4"/>
        <v>0</v>
      </c>
      <c r="AN20" s="42" t="s">
        <v>56</v>
      </c>
      <c r="AO20" s="43" t="s">
        <v>46</v>
      </c>
    </row>
    <row r="21" spans="2:41" ht="15.75" thickBot="1">
      <c r="B21" s="24">
        <v>14</v>
      </c>
      <c r="C21" s="25">
        <v>41806</v>
      </c>
      <c r="D21" s="26" t="s">
        <v>35</v>
      </c>
      <c r="E21" s="27" t="s">
        <v>9</v>
      </c>
      <c r="F21" s="28" t="s">
        <v>36</v>
      </c>
      <c r="G21" s="87">
        <v>1</v>
      </c>
      <c r="H21" s="27" t="s">
        <v>9</v>
      </c>
      <c r="I21" s="92">
        <v>0</v>
      </c>
      <c r="J21" s="29">
        <f t="shared" si="5"/>
        <v>1</v>
      </c>
      <c r="K21" s="11">
        <f t="shared" si="6"/>
        <v>3</v>
      </c>
      <c r="L21" s="11">
        <f t="shared" si="7"/>
        <v>0</v>
      </c>
      <c r="O21" s="44" t="s">
        <v>17</v>
      </c>
      <c r="P21" s="45">
        <f>SUMIF($D$8:$D$55,$O21,$G$8:$G$55)+SUMIF($F$8:$F$55,$O21,$I$8:$I$55)</f>
        <v>5</v>
      </c>
      <c r="Q21" s="45">
        <f>SUMIF($D$8:$D$55,$O21,$I$8:$I$55)+SUMIF($F$8:$F$55,$O21,$G$8:$G$55)</f>
        <v>3</v>
      </c>
      <c r="R21" s="46">
        <f>P21-Q21</f>
        <v>2</v>
      </c>
      <c r="S21" s="47">
        <f>SUMIF($D$8:$D$55,$O21,$K$8:$K$55)+SUMIF($F$8:$F$55,$O21,$L$8:$L$55)</f>
        <v>7</v>
      </c>
      <c r="T21" s="94" t="s">
        <v>57</v>
      </c>
      <c r="U21" s="40"/>
      <c r="V21" s="40" t="str">
        <f>O21</f>
        <v>Colombia</v>
      </c>
      <c r="W21" s="40" t="s">
        <v>57</v>
      </c>
      <c r="Y21" s="109">
        <f t="shared" si="8"/>
        <v>1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1</v>
      </c>
      <c r="AG21" s="108">
        <f t="shared" si="0"/>
        <v>1</v>
      </c>
      <c r="AH21" s="108">
        <f t="shared" si="1"/>
        <v>0</v>
      </c>
      <c r="AI21" s="108">
        <f t="shared" si="10"/>
        <v>0</v>
      </c>
      <c r="AJ21" s="108">
        <f t="shared" si="2"/>
        <v>0</v>
      </c>
      <c r="AK21" s="108">
        <f t="shared" si="3"/>
        <v>0</v>
      </c>
      <c r="AL21" s="108">
        <f t="shared" si="4"/>
        <v>0</v>
      </c>
      <c r="AM21" s="120">
        <f>AO21</f>
        <v>10</v>
      </c>
      <c r="AN21" s="116" t="s">
        <v>17</v>
      </c>
      <c r="AO21" s="115">
        <f>IF(Uitslag!T21="",0,IF(T21=Uitslag!T21,10,0))</f>
        <v>10</v>
      </c>
    </row>
    <row r="22" spans="2:41" ht="15.75" thickBot="1">
      <c r="B22" s="12">
        <v>15</v>
      </c>
      <c r="C22" s="13">
        <v>41807</v>
      </c>
      <c r="D22" s="14" t="s">
        <v>37</v>
      </c>
      <c r="E22" s="15" t="s">
        <v>9</v>
      </c>
      <c r="F22" s="16" t="s">
        <v>38</v>
      </c>
      <c r="G22" s="85">
        <v>2</v>
      </c>
      <c r="H22" s="15" t="s">
        <v>9</v>
      </c>
      <c r="I22" s="90">
        <v>0</v>
      </c>
      <c r="J22" s="17">
        <f t="shared" si="5"/>
        <v>1</v>
      </c>
      <c r="K22" s="11">
        <f t="shared" si="6"/>
        <v>3</v>
      </c>
      <c r="L22" s="11">
        <f t="shared" si="7"/>
        <v>0</v>
      </c>
      <c r="O22" s="48" t="s">
        <v>18</v>
      </c>
      <c r="P22" s="49">
        <f>SUMIF($D$8:$D$55,$O22,$G$8:$G$55)+SUMIF($F$8:$F$55,$O22,$I$8:$I$55)</f>
        <v>0</v>
      </c>
      <c r="Q22" s="49">
        <f>SUMIF($D$8:$D$55,$O22,$I$8:$I$55)+SUMIF($F$8:$F$55,$O22,$G$8:$G$55)</f>
        <v>4</v>
      </c>
      <c r="R22" s="49">
        <f>P22-Q22</f>
        <v>-4</v>
      </c>
      <c r="S22" s="50">
        <f>SUMIF($D$8:$D$55,$O22,$K$8:$K$55)+SUMIF($F$8:$F$55,$O22,$L$8:$L$55)</f>
        <v>0</v>
      </c>
      <c r="T22" s="95" t="s">
        <v>60</v>
      </c>
      <c r="U22" s="40"/>
      <c r="V22" s="40" t="str">
        <f>O22</f>
        <v>Griekenland</v>
      </c>
      <c r="W22" s="40" t="s">
        <v>58</v>
      </c>
      <c r="Y22" s="109">
        <f t="shared" si="8"/>
        <v>6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6</v>
      </c>
      <c r="AG22" s="108">
        <f t="shared" si="0"/>
        <v>1</v>
      </c>
      <c r="AH22" s="108">
        <f t="shared" si="1"/>
        <v>0</v>
      </c>
      <c r="AI22" s="108">
        <f t="shared" si="10"/>
        <v>0</v>
      </c>
      <c r="AJ22" s="108">
        <f t="shared" si="2"/>
        <v>5</v>
      </c>
      <c r="AK22" s="108">
        <f t="shared" si="3"/>
        <v>0</v>
      </c>
      <c r="AL22" s="108">
        <f t="shared" si="4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18">
        <v>16</v>
      </c>
      <c r="C23" s="19">
        <v>41807</v>
      </c>
      <c r="D23" s="20" t="s">
        <v>8</v>
      </c>
      <c r="E23" s="21" t="s">
        <v>9</v>
      </c>
      <c r="F23" s="30" t="s">
        <v>11</v>
      </c>
      <c r="G23" s="86">
        <v>2</v>
      </c>
      <c r="H23" s="21" t="s">
        <v>9</v>
      </c>
      <c r="I23" s="91">
        <v>0</v>
      </c>
      <c r="J23" s="23">
        <f t="shared" si="5"/>
        <v>1</v>
      </c>
      <c r="K23" s="11">
        <f t="shared" si="6"/>
        <v>3</v>
      </c>
      <c r="L23" s="11">
        <f t="shared" si="7"/>
        <v>0</v>
      </c>
      <c r="O23" s="48" t="s">
        <v>23</v>
      </c>
      <c r="P23" s="49">
        <f>SUMIF($D$8:$D$55,$O23,$G$8:$G$55)+SUMIF($F$8:$F$55,$O23,$I$8:$I$55)</f>
        <v>4</v>
      </c>
      <c r="Q23" s="49">
        <f>SUMIF($D$8:$D$55,$O23,$I$8:$I$55)+SUMIF($F$8:$F$55,$O23,$G$8:$G$55)</f>
        <v>3</v>
      </c>
      <c r="R23" s="49">
        <f>P23-Q23</f>
        <v>1</v>
      </c>
      <c r="S23" s="50">
        <f>SUMIF($D$8:$D$55,$O23,$K$8:$K$55)+SUMIF($F$8:$F$55,$O23,$L$8:$L$55)</f>
        <v>4</v>
      </c>
      <c r="T23" s="95" t="s">
        <v>59</v>
      </c>
      <c r="U23" s="40"/>
      <c r="V23" s="40" t="str">
        <f>O23</f>
        <v>Ivoorkust</v>
      </c>
      <c r="W23" s="40" t="s">
        <v>59</v>
      </c>
      <c r="Y23" s="109">
        <f t="shared" si="8"/>
        <v>1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1</v>
      </c>
      <c r="AG23" s="108">
        <f t="shared" si="0"/>
        <v>0</v>
      </c>
      <c r="AH23" s="108">
        <f t="shared" si="1"/>
        <v>1</v>
      </c>
      <c r="AI23" s="108">
        <f t="shared" si="10"/>
        <v>0</v>
      </c>
      <c r="AJ23" s="108">
        <f t="shared" si="2"/>
        <v>0</v>
      </c>
      <c r="AK23" s="108">
        <f t="shared" si="3"/>
        <v>0</v>
      </c>
      <c r="AL23" s="108">
        <f t="shared" si="4"/>
        <v>0</v>
      </c>
      <c r="AM23" s="120">
        <f>AO23</f>
        <v>10</v>
      </c>
      <c r="AN23" s="117" t="s">
        <v>23</v>
      </c>
      <c r="AO23" s="115">
        <f>IF(Uitslag!T23="",0,IF(T23=Uitslag!T23,10,0))</f>
        <v>10</v>
      </c>
    </row>
    <row r="24" spans="2:41" ht="15.75" thickBot="1">
      <c r="B24" s="24">
        <v>17</v>
      </c>
      <c r="C24" s="25">
        <v>41807</v>
      </c>
      <c r="D24" s="26" t="s">
        <v>39</v>
      </c>
      <c r="E24" s="27" t="s">
        <v>9</v>
      </c>
      <c r="F24" s="28" t="s">
        <v>40</v>
      </c>
      <c r="G24" s="87">
        <v>1</v>
      </c>
      <c r="H24" s="27" t="s">
        <v>9</v>
      </c>
      <c r="I24" s="92">
        <v>0</v>
      </c>
      <c r="J24" s="29">
        <f t="shared" si="5"/>
        <v>1</v>
      </c>
      <c r="K24" s="11">
        <f t="shared" si="6"/>
        <v>3</v>
      </c>
      <c r="L24" s="11">
        <f t="shared" si="7"/>
        <v>0</v>
      </c>
      <c r="O24" s="51" t="s">
        <v>24</v>
      </c>
      <c r="P24" s="52">
        <f>SUMIF($D$8:$D$55,$O24,$G$8:$G$55)+SUMIF($F$8:$F$55,$O24,$I$8:$I$55)</f>
        <v>4</v>
      </c>
      <c r="Q24" s="52">
        <f>SUMIF($D$8:$D$55,$O24,$I$8:$I$55)+SUMIF($F$8:$F$55,$O24,$G$8:$G$55)</f>
        <v>3</v>
      </c>
      <c r="R24" s="52">
        <f>P24-Q24</f>
        <v>1</v>
      </c>
      <c r="S24" s="53">
        <f>SUMIF($D$8:$D$55,$O24,$K$8:$K$55)+SUMIF($F$8:$F$55,$O24,$L$8:$L$55)</f>
        <v>5</v>
      </c>
      <c r="T24" s="96" t="s">
        <v>58</v>
      </c>
      <c r="U24" s="40"/>
      <c r="V24" s="40" t="str">
        <f>O24</f>
        <v>Japan</v>
      </c>
      <c r="W24" s="40" t="s">
        <v>60</v>
      </c>
      <c r="Y24" s="109">
        <f t="shared" si="8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</v>
      </c>
      <c r="AG24" s="108">
        <f t="shared" si="0"/>
        <v>1</v>
      </c>
      <c r="AH24" s="108">
        <f t="shared" si="1"/>
        <v>0</v>
      </c>
      <c r="AI24" s="108">
        <f t="shared" si="10"/>
        <v>0</v>
      </c>
      <c r="AJ24" s="108">
        <f t="shared" si="2"/>
        <v>0</v>
      </c>
      <c r="AK24" s="108">
        <f t="shared" si="3"/>
        <v>0</v>
      </c>
      <c r="AL24" s="108">
        <f t="shared" si="4"/>
        <v>0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12">
        <v>18</v>
      </c>
      <c r="C25" s="13">
        <v>41808</v>
      </c>
      <c r="D25" s="14" t="s">
        <v>16</v>
      </c>
      <c r="E25" s="15" t="s">
        <v>9</v>
      </c>
      <c r="F25" s="31" t="s">
        <v>14</v>
      </c>
      <c r="G25" s="85">
        <v>1</v>
      </c>
      <c r="H25" s="15" t="s">
        <v>9</v>
      </c>
      <c r="I25" s="90">
        <v>2</v>
      </c>
      <c r="J25" s="17">
        <f t="shared" si="5"/>
        <v>2</v>
      </c>
      <c r="K25" s="11">
        <f t="shared" si="6"/>
        <v>0</v>
      </c>
      <c r="L25" s="11">
        <f t="shared" si="7"/>
        <v>3</v>
      </c>
      <c r="O25" s="40"/>
      <c r="P25" s="41"/>
      <c r="Q25" s="41"/>
      <c r="R25" s="41"/>
      <c r="S25" s="41"/>
      <c r="T25" s="41"/>
      <c r="U25" s="40"/>
      <c r="V25" s="40"/>
      <c r="W25" s="40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0"/>
        <v>0</v>
      </c>
      <c r="AH25" s="108">
        <f t="shared" si="1"/>
        <v>0</v>
      </c>
      <c r="AI25" s="108">
        <f t="shared" si="10"/>
        <v>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40"/>
      <c r="AO25" s="41"/>
    </row>
    <row r="26" spans="2:41" ht="15.75" thickBot="1">
      <c r="B26" s="18">
        <v>19</v>
      </c>
      <c r="C26" s="19">
        <v>41808</v>
      </c>
      <c r="D26" s="20" t="s">
        <v>13</v>
      </c>
      <c r="E26" s="21" t="s">
        <v>9</v>
      </c>
      <c r="F26" s="30" t="s">
        <v>15</v>
      </c>
      <c r="G26" s="86">
        <v>2</v>
      </c>
      <c r="H26" s="21" t="s">
        <v>9</v>
      </c>
      <c r="I26" s="91">
        <v>2</v>
      </c>
      <c r="J26" s="23">
        <f t="shared" si="5"/>
        <v>3</v>
      </c>
      <c r="K26" s="11">
        <f t="shared" si="6"/>
        <v>1</v>
      </c>
      <c r="L26" s="11">
        <f t="shared" si="7"/>
        <v>1</v>
      </c>
      <c r="O26" s="72" t="s">
        <v>61</v>
      </c>
      <c r="P26" s="73" t="s">
        <v>42</v>
      </c>
      <c r="Q26" s="73" t="s">
        <v>43</v>
      </c>
      <c r="R26" s="74" t="s">
        <v>44</v>
      </c>
      <c r="S26" s="75" t="s">
        <v>45</v>
      </c>
      <c r="T26" s="76" t="s">
        <v>46</v>
      </c>
      <c r="U26" s="40"/>
      <c r="V26" s="40"/>
      <c r="W26" s="40"/>
      <c r="Y26" s="109">
        <f t="shared" si="8"/>
        <v>1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1</v>
      </c>
      <c r="AG26" s="108">
        <f t="shared" si="0"/>
        <v>0</v>
      </c>
      <c r="AH26" s="108">
        <f t="shared" si="1"/>
        <v>1</v>
      </c>
      <c r="AI26" s="108">
        <f t="shared" si="10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24">
        <v>20</v>
      </c>
      <c r="C27" s="25">
        <v>41808</v>
      </c>
      <c r="D27" s="26" t="s">
        <v>12</v>
      </c>
      <c r="E27" s="27" t="s">
        <v>9</v>
      </c>
      <c r="F27" s="28" t="s">
        <v>10</v>
      </c>
      <c r="G27" s="87">
        <v>1</v>
      </c>
      <c r="H27" s="27" t="s">
        <v>9</v>
      </c>
      <c r="I27" s="92">
        <v>2</v>
      </c>
      <c r="J27" s="29">
        <f t="shared" si="5"/>
        <v>2</v>
      </c>
      <c r="K27" s="11">
        <f t="shared" si="6"/>
        <v>0</v>
      </c>
      <c r="L27" s="11">
        <f t="shared" si="7"/>
        <v>3</v>
      </c>
      <c r="O27" s="44" t="s">
        <v>19</v>
      </c>
      <c r="P27" s="45">
        <f>SUMIF($D$8:$D$55,$O27,$G$8:$G$55)+SUMIF($F$8:$F$55,$O27,$I$8:$I$55)</f>
        <v>4</v>
      </c>
      <c r="Q27" s="45">
        <f>SUMIF($D$8:$D$55,$O27,$I$8:$I$55)+SUMIF($F$8:$F$55,$O27,$G$8:$G$55)</f>
        <v>1</v>
      </c>
      <c r="R27" s="46">
        <f>P27-Q27</f>
        <v>3</v>
      </c>
      <c r="S27" s="47">
        <f>SUMIF($D$8:$D$55,$O27,$K$8:$K$55)+SUMIF($F$8:$F$55,$O27,$L$8:$L$55)</f>
        <v>7</v>
      </c>
      <c r="T27" s="94" t="s">
        <v>62</v>
      </c>
      <c r="U27" s="40"/>
      <c r="V27" s="40" t="str">
        <f>O27</f>
        <v>Uruguay</v>
      </c>
      <c r="W27" s="40" t="s">
        <v>62</v>
      </c>
      <c r="Y27" s="109">
        <f t="shared" si="8"/>
        <v>5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5</v>
      </c>
      <c r="AG27" s="108">
        <f t="shared" si="0"/>
        <v>0</v>
      </c>
      <c r="AH27" s="108">
        <f t="shared" si="1"/>
        <v>0</v>
      </c>
      <c r="AI27" s="108">
        <f t="shared" si="10"/>
        <v>0</v>
      </c>
      <c r="AJ27" s="108">
        <f t="shared" si="2"/>
        <v>0</v>
      </c>
      <c r="AK27" s="108">
        <f t="shared" si="3"/>
        <v>5</v>
      </c>
      <c r="AL27" s="108">
        <f t="shared" si="4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12">
        <v>21</v>
      </c>
      <c r="C28" s="13">
        <v>41809</v>
      </c>
      <c r="D28" s="14" t="s">
        <v>17</v>
      </c>
      <c r="E28" s="15" t="s">
        <v>9</v>
      </c>
      <c r="F28" s="16" t="s">
        <v>23</v>
      </c>
      <c r="G28" s="85">
        <v>2</v>
      </c>
      <c r="H28" s="15" t="s">
        <v>9</v>
      </c>
      <c r="I28" s="90">
        <v>1</v>
      </c>
      <c r="J28" s="17">
        <f t="shared" si="5"/>
        <v>1</v>
      </c>
      <c r="K28" s="11">
        <f t="shared" si="6"/>
        <v>3</v>
      </c>
      <c r="L28" s="11">
        <f t="shared" si="7"/>
        <v>0</v>
      </c>
      <c r="O28" s="48" t="s">
        <v>20</v>
      </c>
      <c r="P28" s="49">
        <f>SUMIF($D$8:$D$55,$O28,$G$8:$G$55)+SUMIF($F$8:$F$55,$O28,$I$8:$I$55)</f>
        <v>1</v>
      </c>
      <c r="Q28" s="49">
        <f>SUMIF($D$8:$D$55,$O28,$I$8:$I$55)+SUMIF($F$8:$F$55,$O28,$G$8:$G$55)</f>
        <v>6</v>
      </c>
      <c r="R28" s="49">
        <f>P28-Q28</f>
        <v>-5</v>
      </c>
      <c r="S28" s="50">
        <f>SUMIF($D$8:$D$55,$O28,$K$8:$K$55)+SUMIF($F$8:$F$55,$O28,$L$8:$L$55)</f>
        <v>0</v>
      </c>
      <c r="T28" s="95" t="s">
        <v>65</v>
      </c>
      <c r="U28" s="40"/>
      <c r="V28" s="40" t="str">
        <f>O28</f>
        <v>Costa Rica</v>
      </c>
      <c r="W28" s="40" t="s">
        <v>63</v>
      </c>
      <c r="Y28" s="109">
        <f t="shared" si="8"/>
        <v>10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10</v>
      </c>
      <c r="AG28" s="108">
        <f t="shared" si="0"/>
        <v>1</v>
      </c>
      <c r="AH28" s="108">
        <f t="shared" si="1"/>
        <v>1</v>
      </c>
      <c r="AI28" s="108">
        <f t="shared" si="10"/>
        <v>10</v>
      </c>
      <c r="AJ28" s="108">
        <f t="shared" si="2"/>
        <v>5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18">
        <v>22</v>
      </c>
      <c r="C29" s="19">
        <v>41809</v>
      </c>
      <c r="D29" s="20" t="s">
        <v>19</v>
      </c>
      <c r="E29" s="21" t="s">
        <v>9</v>
      </c>
      <c r="F29" s="30" t="s">
        <v>21</v>
      </c>
      <c r="G29" s="86">
        <v>1</v>
      </c>
      <c r="H29" s="21" t="s">
        <v>9</v>
      </c>
      <c r="I29" s="91">
        <v>0</v>
      </c>
      <c r="J29" s="23">
        <f t="shared" si="5"/>
        <v>1</v>
      </c>
      <c r="K29" s="11">
        <f t="shared" si="6"/>
        <v>3</v>
      </c>
      <c r="L29" s="11">
        <f t="shared" si="7"/>
        <v>0</v>
      </c>
      <c r="O29" s="48" t="s">
        <v>21</v>
      </c>
      <c r="P29" s="49">
        <f>SUMIF($D$8:$D$55,$O29,$G$8:$G$55)+SUMIF($F$8:$F$55,$O29,$I$8:$I$55)</f>
        <v>2</v>
      </c>
      <c r="Q29" s="49">
        <f>SUMIF($D$8:$D$55,$O29,$I$8:$I$55)+SUMIF($F$8:$F$55,$O29,$G$8:$G$55)</f>
        <v>2</v>
      </c>
      <c r="R29" s="49">
        <f>P29-Q29</f>
        <v>0</v>
      </c>
      <c r="S29" s="50">
        <f>SUMIF($D$8:$D$55,$O29,$K$8:$K$55)+SUMIF($F$8:$F$55,$O29,$L$8:$L$55)</f>
        <v>3</v>
      </c>
      <c r="T29" s="95" t="s">
        <v>64</v>
      </c>
      <c r="U29" s="40"/>
      <c r="V29" s="40" t="str">
        <f>O29</f>
        <v>Engeland</v>
      </c>
      <c r="W29" s="40" t="s">
        <v>64</v>
      </c>
      <c r="Y29" s="109">
        <f t="shared" si="8"/>
        <v>5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5</v>
      </c>
      <c r="AG29" s="108">
        <f t="shared" si="0"/>
        <v>0</v>
      </c>
      <c r="AH29" s="108">
        <f t="shared" si="1"/>
        <v>0</v>
      </c>
      <c r="AI29" s="108">
        <f t="shared" si="10"/>
        <v>0</v>
      </c>
      <c r="AJ29" s="108">
        <f t="shared" si="2"/>
        <v>5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24">
        <v>23</v>
      </c>
      <c r="C30" s="25">
        <v>41809</v>
      </c>
      <c r="D30" s="26" t="s">
        <v>24</v>
      </c>
      <c r="E30" s="27" t="s">
        <v>9</v>
      </c>
      <c r="F30" s="28" t="s">
        <v>18</v>
      </c>
      <c r="G30" s="87">
        <v>1</v>
      </c>
      <c r="H30" s="27" t="s">
        <v>9</v>
      </c>
      <c r="I30" s="92">
        <v>0</v>
      </c>
      <c r="J30" s="29">
        <f t="shared" si="5"/>
        <v>1</v>
      </c>
      <c r="K30" s="11">
        <f t="shared" si="6"/>
        <v>3</v>
      </c>
      <c r="L30" s="11">
        <f t="shared" si="7"/>
        <v>0</v>
      </c>
      <c r="O30" s="51" t="s">
        <v>22</v>
      </c>
      <c r="P30" s="52">
        <f>SUMIF($D$8:$D$55,$O30,$G$8:$G$55)+SUMIF($F$8:$F$55,$O30,$I$8:$I$55)</f>
        <v>4</v>
      </c>
      <c r="Q30" s="52">
        <f>SUMIF($D$8:$D$55,$O30,$I$8:$I$55)+SUMIF($F$8:$F$55,$O30,$G$8:$G$55)</f>
        <v>2</v>
      </c>
      <c r="R30" s="52">
        <f>P30-Q30</f>
        <v>2</v>
      </c>
      <c r="S30" s="53">
        <f>SUMIF($D$8:$D$55,$O30,$K$8:$K$55)+SUMIF($F$8:$F$55,$O30,$L$8:$L$55)</f>
        <v>7</v>
      </c>
      <c r="T30" s="96" t="s">
        <v>63</v>
      </c>
      <c r="U30" s="40"/>
      <c r="V30" s="40" t="str">
        <f>O30</f>
        <v>Italië</v>
      </c>
      <c r="W30" s="40" t="s">
        <v>65</v>
      </c>
      <c r="Y30" s="109">
        <f t="shared" si="8"/>
        <v>1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1</v>
      </c>
      <c r="AG30" s="108">
        <f t="shared" si="0"/>
        <v>0</v>
      </c>
      <c r="AH30" s="108">
        <f t="shared" si="1"/>
        <v>1</v>
      </c>
      <c r="AI30" s="108">
        <f t="shared" si="10"/>
        <v>0</v>
      </c>
      <c r="AJ30" s="108">
        <f t="shared" si="2"/>
        <v>0</v>
      </c>
      <c r="AK30" s="108">
        <f t="shared" si="3"/>
        <v>0</v>
      </c>
      <c r="AL30" s="108">
        <f t="shared" si="4"/>
        <v>0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12">
        <v>24</v>
      </c>
      <c r="C31" s="13">
        <v>41810</v>
      </c>
      <c r="D31" s="14" t="s">
        <v>22</v>
      </c>
      <c r="E31" s="15" t="s">
        <v>9</v>
      </c>
      <c r="F31" s="16" t="s">
        <v>20</v>
      </c>
      <c r="G31" s="85">
        <v>2</v>
      </c>
      <c r="H31" s="15" t="s">
        <v>9</v>
      </c>
      <c r="I31" s="90">
        <v>1</v>
      </c>
      <c r="J31" s="17">
        <f t="shared" si="5"/>
        <v>1</v>
      </c>
      <c r="K31" s="11">
        <f t="shared" si="6"/>
        <v>3</v>
      </c>
      <c r="L31" s="11">
        <f t="shared" si="7"/>
        <v>0</v>
      </c>
      <c r="O31" s="40"/>
      <c r="P31" s="41"/>
      <c r="Q31" s="41"/>
      <c r="R31" s="41"/>
      <c r="S31" s="41"/>
      <c r="T31" s="41"/>
      <c r="U31" s="40"/>
      <c r="V31" s="40"/>
      <c r="W31" s="40"/>
      <c r="Y31" s="109">
        <f t="shared" si="8"/>
        <v>1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1</v>
      </c>
      <c r="AG31" s="108">
        <f t="shared" si="0"/>
        <v>0</v>
      </c>
      <c r="AH31" s="108">
        <f t="shared" si="1"/>
        <v>1</v>
      </c>
      <c r="AI31" s="108">
        <f t="shared" si="10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40"/>
      <c r="AO31" s="41"/>
    </row>
    <row r="32" spans="2:41" ht="15.75" thickBot="1">
      <c r="B32" s="18">
        <v>25</v>
      </c>
      <c r="C32" s="19">
        <v>41810</v>
      </c>
      <c r="D32" s="20" t="s">
        <v>25</v>
      </c>
      <c r="E32" s="21" t="s">
        <v>9</v>
      </c>
      <c r="F32" s="30" t="s">
        <v>27</v>
      </c>
      <c r="G32" s="86">
        <v>1</v>
      </c>
      <c r="H32" s="21" t="s">
        <v>9</v>
      </c>
      <c r="I32" s="91">
        <v>2</v>
      </c>
      <c r="J32" s="23">
        <f t="shared" si="5"/>
        <v>2</v>
      </c>
      <c r="K32" s="11">
        <f t="shared" si="6"/>
        <v>0</v>
      </c>
      <c r="L32" s="11">
        <f t="shared" si="7"/>
        <v>3</v>
      </c>
      <c r="O32" s="72" t="s">
        <v>66</v>
      </c>
      <c r="P32" s="73" t="s">
        <v>42</v>
      </c>
      <c r="Q32" s="73" t="s">
        <v>43</v>
      </c>
      <c r="R32" s="74" t="s">
        <v>44</v>
      </c>
      <c r="S32" s="75" t="s">
        <v>45</v>
      </c>
      <c r="T32" s="76" t="s">
        <v>46</v>
      </c>
      <c r="U32" s="40"/>
      <c r="V32" s="40"/>
      <c r="W32" s="40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0"/>
        <v>0</v>
      </c>
      <c r="AH32" s="108">
        <f t="shared" si="1"/>
        <v>0</v>
      </c>
      <c r="AI32" s="108">
        <f t="shared" si="10"/>
        <v>0</v>
      </c>
      <c r="AJ32" s="108">
        <f t="shared" si="2"/>
        <v>0</v>
      </c>
      <c r="AK32" s="108">
        <f t="shared" si="3"/>
        <v>5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24">
        <v>26</v>
      </c>
      <c r="C33" s="25">
        <v>41810</v>
      </c>
      <c r="D33" s="26" t="s">
        <v>28</v>
      </c>
      <c r="E33" s="27" t="s">
        <v>9</v>
      </c>
      <c r="F33" s="28" t="s">
        <v>26</v>
      </c>
      <c r="G33" s="87">
        <v>0</v>
      </c>
      <c r="H33" s="27" t="s">
        <v>9</v>
      </c>
      <c r="I33" s="92">
        <v>0</v>
      </c>
      <c r="J33" s="29">
        <f t="shared" si="5"/>
        <v>3</v>
      </c>
      <c r="K33" s="11">
        <f t="shared" si="6"/>
        <v>1</v>
      </c>
      <c r="L33" s="11">
        <f t="shared" si="7"/>
        <v>1</v>
      </c>
      <c r="O33" s="44" t="s">
        <v>25</v>
      </c>
      <c r="P33" s="45">
        <f>SUMIF($D$8:$D$55,$O33,$G$8:$G$55)+SUMIF($F$8:$F$55,$O33,$I$8:$I$55)</f>
        <v>4</v>
      </c>
      <c r="Q33" s="45">
        <f>SUMIF($D$8:$D$55,$O33,$I$8:$I$55)+SUMIF($F$8:$F$55,$O33,$G$8:$G$55)</f>
        <v>2</v>
      </c>
      <c r="R33" s="46">
        <f>P33-Q33</f>
        <v>2</v>
      </c>
      <c r="S33" s="47">
        <f>SUMIF($D$8:$D$55,$O33,$K$8:$K$55)+SUMIF($F$8:$F$55,$O33,$L$8:$L$55)</f>
        <v>6</v>
      </c>
      <c r="T33" s="94" t="s">
        <v>68</v>
      </c>
      <c r="U33" s="40"/>
      <c r="V33" s="40" t="str">
        <f>O33</f>
        <v>Zwitserland</v>
      </c>
      <c r="W33" s="40" t="s">
        <v>67</v>
      </c>
      <c r="Y33" s="109">
        <f t="shared" si="8"/>
        <v>0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0</v>
      </c>
      <c r="AG33" s="108">
        <f t="shared" si="0"/>
        <v>0</v>
      </c>
      <c r="AH33" s="108">
        <f t="shared" si="1"/>
        <v>0</v>
      </c>
      <c r="AI33" s="108">
        <f t="shared" si="10"/>
        <v>0</v>
      </c>
      <c r="AJ33" s="108">
        <f t="shared" si="2"/>
        <v>0</v>
      </c>
      <c r="AK33" s="108">
        <f t="shared" si="3"/>
        <v>0</v>
      </c>
      <c r="AL33" s="108">
        <f t="shared" si="4"/>
        <v>0</v>
      </c>
      <c r="AM33" s="120">
        <f>AO33</f>
        <v>10</v>
      </c>
      <c r="AN33" s="116" t="s">
        <v>25</v>
      </c>
      <c r="AO33" s="115">
        <f>IF(Uitslag!T33="",0,IF(T33=Uitslag!T33,10,0))</f>
        <v>10</v>
      </c>
    </row>
    <row r="34" spans="2:41" ht="15.75" thickBot="1">
      <c r="B34" s="12">
        <v>27</v>
      </c>
      <c r="C34" s="13">
        <v>41811</v>
      </c>
      <c r="D34" s="14" t="s">
        <v>29</v>
      </c>
      <c r="E34" s="15" t="s">
        <v>9</v>
      </c>
      <c r="F34" s="16" t="s">
        <v>33</v>
      </c>
      <c r="G34" s="85">
        <v>3</v>
      </c>
      <c r="H34" s="15" t="s">
        <v>9</v>
      </c>
      <c r="I34" s="90">
        <v>0</v>
      </c>
      <c r="J34" s="17">
        <f t="shared" si="5"/>
        <v>1</v>
      </c>
      <c r="K34" s="11">
        <f t="shared" si="6"/>
        <v>3</v>
      </c>
      <c r="L34" s="11">
        <f t="shared" si="7"/>
        <v>0</v>
      </c>
      <c r="O34" s="48" t="s">
        <v>26</v>
      </c>
      <c r="P34" s="49">
        <f>SUMIF($D$8:$D$55,$O34,$G$8:$G$55)+SUMIF($F$8:$F$55,$O34,$I$8:$I$55)</f>
        <v>0</v>
      </c>
      <c r="Q34" s="49">
        <f>SUMIF($D$8:$D$55,$O34,$I$8:$I$55)+SUMIF($F$8:$F$55,$O34,$G$8:$G$55)</f>
        <v>4</v>
      </c>
      <c r="R34" s="49">
        <f>P34-Q34</f>
        <v>-4</v>
      </c>
      <c r="S34" s="50">
        <f>SUMIF($D$8:$D$55,$O34,$K$8:$K$55)+SUMIF($F$8:$F$55,$O34,$L$8:$L$55)</f>
        <v>1</v>
      </c>
      <c r="T34" s="95" t="s">
        <v>70</v>
      </c>
      <c r="U34" s="40"/>
      <c r="V34" s="40" t="str">
        <f>O34</f>
        <v>Ecuador</v>
      </c>
      <c r="W34" s="40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0"/>
        <v>0</v>
      </c>
      <c r="AH34" s="108">
        <f t="shared" si="1"/>
        <v>1</v>
      </c>
      <c r="AI34" s="108">
        <f t="shared" si="10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18">
        <v>28</v>
      </c>
      <c r="C35" s="19">
        <v>41811</v>
      </c>
      <c r="D35" s="20" t="s">
        <v>31</v>
      </c>
      <c r="E35" s="21" t="s">
        <v>9</v>
      </c>
      <c r="F35" s="30" t="s">
        <v>35</v>
      </c>
      <c r="G35" s="86">
        <v>2</v>
      </c>
      <c r="H35" s="21" t="s">
        <v>9</v>
      </c>
      <c r="I35" s="91">
        <v>0</v>
      </c>
      <c r="J35" s="23">
        <f t="shared" si="5"/>
        <v>1</v>
      </c>
      <c r="K35" s="11">
        <f t="shared" si="6"/>
        <v>3</v>
      </c>
      <c r="L35" s="11">
        <f t="shared" si="7"/>
        <v>0</v>
      </c>
      <c r="O35" s="48" t="s">
        <v>27</v>
      </c>
      <c r="P35" s="49">
        <f>SUMIF($D$8:$D$55,$O35,$G$8:$G$55)+SUMIF($F$8:$F$55,$O35,$I$8:$I$55)</f>
        <v>6</v>
      </c>
      <c r="Q35" s="49">
        <f>SUMIF($D$8:$D$55,$O35,$I$8:$I$55)+SUMIF($F$8:$F$55,$O35,$G$8:$G$55)</f>
        <v>1</v>
      </c>
      <c r="R35" s="49">
        <f>P35-Q35</f>
        <v>5</v>
      </c>
      <c r="S35" s="50">
        <f>SUMIF($D$8:$D$55,$O35,$K$8:$K$55)+SUMIF($F$8:$F$55,$O35,$L$8:$L$55)</f>
        <v>9</v>
      </c>
      <c r="T35" s="95" t="s">
        <v>67</v>
      </c>
      <c r="U35" s="40"/>
      <c r="V35" s="40" t="str">
        <f>O35</f>
        <v>Frankrijk</v>
      </c>
      <c r="W35" s="40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0"/>
        <v>1</v>
      </c>
      <c r="AH35" s="108">
        <f t="shared" si="1"/>
        <v>0</v>
      </c>
      <c r="AI35" s="108">
        <f t="shared" si="10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24">
        <v>29</v>
      </c>
      <c r="C36" s="25">
        <v>41811</v>
      </c>
      <c r="D36" s="26" t="s">
        <v>34</v>
      </c>
      <c r="E36" s="27" t="s">
        <v>9</v>
      </c>
      <c r="F36" s="28" t="s">
        <v>30</v>
      </c>
      <c r="G36" s="87">
        <v>1</v>
      </c>
      <c r="H36" s="27" t="s">
        <v>9</v>
      </c>
      <c r="I36" s="92">
        <v>0</v>
      </c>
      <c r="J36" s="29">
        <f t="shared" si="5"/>
        <v>1</v>
      </c>
      <c r="K36" s="11">
        <f t="shared" si="6"/>
        <v>3</v>
      </c>
      <c r="L36" s="11">
        <f t="shared" si="7"/>
        <v>0</v>
      </c>
      <c r="O36" s="51" t="s">
        <v>28</v>
      </c>
      <c r="P36" s="52">
        <f>SUMIF($D$8:$D$55,$O36,$G$8:$G$55)+SUMIF($F$8:$F$55,$O36,$I$8:$I$55)</f>
        <v>0</v>
      </c>
      <c r="Q36" s="52">
        <f>SUMIF($D$8:$D$55,$O36,$I$8:$I$55)+SUMIF($F$8:$F$55,$O36,$G$8:$G$55)</f>
        <v>3</v>
      </c>
      <c r="R36" s="52">
        <f>P36-Q36</f>
        <v>-3</v>
      </c>
      <c r="S36" s="53">
        <f>SUMIF($D$8:$D$55,$O36,$K$8:$K$55)+SUMIF($F$8:$F$55,$O36,$L$8:$L$55)</f>
        <v>1</v>
      </c>
      <c r="T36" s="96" t="s">
        <v>69</v>
      </c>
      <c r="U36" s="40"/>
      <c r="V36" s="40" t="str">
        <f>O36</f>
        <v>Honduras</v>
      </c>
      <c r="W36" s="40" t="s">
        <v>70</v>
      </c>
      <c r="Y36" s="109">
        <f t="shared" si="8"/>
        <v>10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10</v>
      </c>
      <c r="AG36" s="108">
        <f t="shared" si="0"/>
        <v>1</v>
      </c>
      <c r="AH36" s="108">
        <f t="shared" si="1"/>
        <v>1</v>
      </c>
      <c r="AI36" s="108">
        <f t="shared" si="10"/>
        <v>10</v>
      </c>
      <c r="AJ36" s="108">
        <f t="shared" si="2"/>
        <v>5</v>
      </c>
      <c r="AK36" s="108">
        <f t="shared" si="3"/>
        <v>0</v>
      </c>
      <c r="AL36" s="108">
        <f t="shared" si="4"/>
        <v>0</v>
      </c>
      <c r="AM36" s="120">
        <f>AO36</f>
        <v>0</v>
      </c>
      <c r="AN36" s="118" t="s">
        <v>28</v>
      </c>
      <c r="AO36" s="115">
        <f>IF(Uitslag!T36="",0,IF(T36=Uitslag!T36,10,0))</f>
        <v>0</v>
      </c>
    </row>
    <row r="37" spans="2:41" ht="15.75" thickBot="1">
      <c r="B37" s="12">
        <v>30</v>
      </c>
      <c r="C37" s="13">
        <v>41812</v>
      </c>
      <c r="D37" s="14" t="s">
        <v>37</v>
      </c>
      <c r="E37" s="15" t="s">
        <v>9</v>
      </c>
      <c r="F37" s="16" t="s">
        <v>39</v>
      </c>
      <c r="G37" s="85">
        <v>1</v>
      </c>
      <c r="H37" s="15" t="s">
        <v>9</v>
      </c>
      <c r="I37" s="90">
        <v>1</v>
      </c>
      <c r="J37" s="17">
        <f t="shared" si="5"/>
        <v>3</v>
      </c>
      <c r="K37" s="11">
        <f t="shared" si="6"/>
        <v>1</v>
      </c>
      <c r="L37" s="11">
        <f t="shared" si="7"/>
        <v>1</v>
      </c>
      <c r="O37" s="40"/>
      <c r="P37" s="41"/>
      <c r="Q37" s="41"/>
      <c r="R37" s="41"/>
      <c r="S37" s="41"/>
      <c r="T37" s="41"/>
      <c r="U37" s="40"/>
      <c r="V37" s="40"/>
      <c r="W37" s="40"/>
      <c r="Y37" s="109">
        <f t="shared" si="8"/>
        <v>1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1</v>
      </c>
      <c r="AG37" s="108">
        <f t="shared" si="0"/>
        <v>1</v>
      </c>
      <c r="AH37" s="108">
        <f t="shared" si="1"/>
        <v>0</v>
      </c>
      <c r="AI37" s="108">
        <f t="shared" si="10"/>
        <v>0</v>
      </c>
      <c r="AJ37" s="108">
        <f t="shared" si="2"/>
        <v>0</v>
      </c>
      <c r="AK37" s="108">
        <f t="shared" si="3"/>
        <v>0</v>
      </c>
      <c r="AL37" s="108">
        <f t="shared" si="4"/>
        <v>0</v>
      </c>
      <c r="AN37" s="40"/>
      <c r="AO37" s="41"/>
    </row>
    <row r="38" spans="2:41" ht="15.75" thickBot="1">
      <c r="B38" s="18">
        <v>31</v>
      </c>
      <c r="C38" s="19">
        <v>41812</v>
      </c>
      <c r="D38" s="20" t="s">
        <v>40</v>
      </c>
      <c r="E38" s="21" t="s">
        <v>9</v>
      </c>
      <c r="F38" s="30" t="s">
        <v>38</v>
      </c>
      <c r="G38" s="86">
        <v>1</v>
      </c>
      <c r="H38" s="21" t="s">
        <v>9</v>
      </c>
      <c r="I38" s="91">
        <v>0</v>
      </c>
      <c r="J38" s="23">
        <f t="shared" si="5"/>
        <v>1</v>
      </c>
      <c r="K38" s="11">
        <f t="shared" si="6"/>
        <v>3</v>
      </c>
      <c r="L38" s="11">
        <f t="shared" si="7"/>
        <v>0</v>
      </c>
      <c r="O38" s="72" t="s">
        <v>71</v>
      </c>
      <c r="P38" s="73" t="s">
        <v>42</v>
      </c>
      <c r="Q38" s="73" t="s">
        <v>43</v>
      </c>
      <c r="R38" s="74" t="s">
        <v>44</v>
      </c>
      <c r="S38" s="75" t="s">
        <v>45</v>
      </c>
      <c r="T38" s="76" t="s">
        <v>46</v>
      </c>
      <c r="U38" s="40"/>
      <c r="V38" s="40"/>
      <c r="W38" s="40"/>
      <c r="Y38" s="109">
        <f t="shared" si="8"/>
        <v>0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0</v>
      </c>
      <c r="AG38" s="108">
        <f t="shared" si="0"/>
        <v>0</v>
      </c>
      <c r="AH38" s="108">
        <f t="shared" si="1"/>
        <v>0</v>
      </c>
      <c r="AI38" s="108">
        <f t="shared" si="10"/>
        <v>0</v>
      </c>
      <c r="AJ38" s="108">
        <f t="shared" si="2"/>
        <v>0</v>
      </c>
      <c r="AK38" s="108">
        <f t="shared" si="3"/>
        <v>0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24">
        <v>32</v>
      </c>
      <c r="C39" s="25">
        <v>41812</v>
      </c>
      <c r="D39" s="26" t="s">
        <v>36</v>
      </c>
      <c r="E39" s="27" t="s">
        <v>9</v>
      </c>
      <c r="F39" s="28" t="s">
        <v>32</v>
      </c>
      <c r="G39" s="87">
        <v>0</v>
      </c>
      <c r="H39" s="27" t="s">
        <v>9</v>
      </c>
      <c r="I39" s="92">
        <v>1</v>
      </c>
      <c r="J39" s="29">
        <f t="shared" si="5"/>
        <v>2</v>
      </c>
      <c r="K39" s="11">
        <f t="shared" si="6"/>
        <v>0</v>
      </c>
      <c r="L39" s="11">
        <f t="shared" si="7"/>
        <v>3</v>
      </c>
      <c r="O39" s="44" t="s">
        <v>29</v>
      </c>
      <c r="P39" s="45">
        <f>SUMIF($D$8:$D$55,$O39,$G$8:$G$55)+SUMIF($F$8:$F$55,$O39,$I$8:$I$55)</f>
        <v>7</v>
      </c>
      <c r="Q39" s="45">
        <f>SUMIF($D$8:$D$55,$O39,$I$8:$I$55)+SUMIF($F$8:$F$55,$O39,$G$8:$G$55)</f>
        <v>2</v>
      </c>
      <c r="R39" s="46">
        <f>P39-Q39</f>
        <v>5</v>
      </c>
      <c r="S39" s="47">
        <f>SUMIF($D$8:$D$55,$O39,$K$8:$K$55)+SUMIF($F$8:$F$55,$O39,$L$8:$L$55)</f>
        <v>9</v>
      </c>
      <c r="T39" s="94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0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0</v>
      </c>
      <c r="AG39" s="108">
        <f t="shared" si="0"/>
        <v>0</v>
      </c>
      <c r="AH39" s="108">
        <f t="shared" si="1"/>
        <v>0</v>
      </c>
      <c r="AI39" s="108">
        <f t="shared" si="10"/>
        <v>0</v>
      </c>
      <c r="AJ39" s="108">
        <f t="shared" si="2"/>
        <v>0</v>
      </c>
      <c r="AK39" s="108">
        <f t="shared" si="3"/>
        <v>0</v>
      </c>
      <c r="AL39" s="108">
        <f t="shared" si="4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12">
        <v>33</v>
      </c>
      <c r="C40" s="13">
        <v>41813</v>
      </c>
      <c r="D40" s="14" t="s">
        <v>16</v>
      </c>
      <c r="E40" s="15" t="s">
        <v>9</v>
      </c>
      <c r="F40" s="16" t="s">
        <v>13</v>
      </c>
      <c r="G40" s="85">
        <v>0</v>
      </c>
      <c r="H40" s="15" t="s">
        <v>9</v>
      </c>
      <c r="I40" s="90">
        <v>2</v>
      </c>
      <c r="J40" s="17">
        <f t="shared" si="5"/>
        <v>2</v>
      </c>
      <c r="K40" s="11">
        <f t="shared" si="6"/>
        <v>0</v>
      </c>
      <c r="L40" s="11">
        <f t="shared" si="7"/>
        <v>3</v>
      </c>
      <c r="O40" s="48" t="s">
        <v>30</v>
      </c>
      <c r="P40" s="49">
        <f>SUMIF($D$8:$D$55,$O40,$G$8:$G$55)+SUMIF($F$8:$F$55,$O40,$I$8:$I$55)</f>
        <v>2</v>
      </c>
      <c r="Q40" s="49">
        <f>SUMIF($D$8:$D$55,$O40,$I$8:$I$55)+SUMIF($F$8:$F$55,$O40,$G$8:$G$55)</f>
        <v>3</v>
      </c>
      <c r="R40" s="49">
        <f>P40-Q40</f>
        <v>-1</v>
      </c>
      <c r="S40" s="50">
        <f>SUMIF($D$8:$D$55,$O40,$K$8:$K$55)+SUMIF($F$8:$F$55,$O40,$L$8:$L$55)</f>
        <v>3</v>
      </c>
      <c r="T40" s="95" t="s">
        <v>74</v>
      </c>
      <c r="U40" s="40"/>
      <c r="V40" s="40" t="str">
        <f>O40</f>
        <v>Bosnië H.</v>
      </c>
      <c r="W40" s="40" t="s">
        <v>73</v>
      </c>
      <c r="Y40" s="109">
        <f t="shared" si="8"/>
        <v>6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6</v>
      </c>
      <c r="AG40" s="108">
        <f t="shared" si="0"/>
        <v>1</v>
      </c>
      <c r="AH40" s="108">
        <f t="shared" si="1"/>
        <v>0</v>
      </c>
      <c r="AI40" s="108">
        <f t="shared" si="10"/>
        <v>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18">
        <v>34</v>
      </c>
      <c r="C41" s="19">
        <v>41813</v>
      </c>
      <c r="D41" s="32" t="s">
        <v>14</v>
      </c>
      <c r="E41" s="21" t="s">
        <v>9</v>
      </c>
      <c r="F41" s="30" t="s">
        <v>15</v>
      </c>
      <c r="G41" s="86">
        <v>1</v>
      </c>
      <c r="H41" s="21" t="s">
        <v>9</v>
      </c>
      <c r="I41" s="91">
        <v>0</v>
      </c>
      <c r="J41" s="23">
        <f t="shared" si="5"/>
        <v>1</v>
      </c>
      <c r="K41" s="11">
        <f t="shared" si="6"/>
        <v>3</v>
      </c>
      <c r="L41" s="11">
        <f t="shared" si="7"/>
        <v>0</v>
      </c>
      <c r="O41" s="48" t="s">
        <v>33</v>
      </c>
      <c r="P41" s="49">
        <f>SUMIF($D$8:$D$55,$O41,$G$8:$G$55)+SUMIF($F$8:$F$55,$O41,$I$8:$I$55)</f>
        <v>0</v>
      </c>
      <c r="Q41" s="49">
        <f>SUMIF($D$8:$D$55,$O41,$I$8:$I$55)+SUMIF($F$8:$F$55,$O41,$G$8:$G$55)</f>
        <v>5</v>
      </c>
      <c r="R41" s="49">
        <f>P41-Q41</f>
        <v>-5</v>
      </c>
      <c r="S41" s="50">
        <f>SUMIF($D$8:$D$55,$O41,$K$8:$K$55)+SUMIF($F$8:$F$55,$O41,$L$8:$L$55)</f>
        <v>0</v>
      </c>
      <c r="T41" s="95" t="s">
        <v>75</v>
      </c>
      <c r="U41" s="40"/>
      <c r="V41" s="40" t="str">
        <f>O41</f>
        <v>Iran</v>
      </c>
      <c r="W41" s="40" t="s">
        <v>74</v>
      </c>
      <c r="Y41" s="109">
        <f t="shared" si="8"/>
        <v>6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6</v>
      </c>
      <c r="AG41" s="108">
        <f t="shared" si="0"/>
        <v>0</v>
      </c>
      <c r="AH41" s="108">
        <f t="shared" si="1"/>
        <v>1</v>
      </c>
      <c r="AI41" s="108">
        <f t="shared" si="10"/>
        <v>0</v>
      </c>
      <c r="AJ41" s="108">
        <f t="shared" si="2"/>
        <v>5</v>
      </c>
      <c r="AK41" s="108">
        <f t="shared" si="3"/>
        <v>0</v>
      </c>
      <c r="AL41" s="108">
        <f t="shared" si="4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18">
        <v>35</v>
      </c>
      <c r="C42" s="19">
        <v>41813</v>
      </c>
      <c r="D42" s="20" t="s">
        <v>12</v>
      </c>
      <c r="E42" s="21" t="s">
        <v>9</v>
      </c>
      <c r="F42" s="30" t="s">
        <v>8</v>
      </c>
      <c r="G42" s="86">
        <v>0</v>
      </c>
      <c r="H42" s="21" t="s">
        <v>9</v>
      </c>
      <c r="I42" s="91">
        <v>3</v>
      </c>
      <c r="J42" s="23">
        <f t="shared" si="5"/>
        <v>2</v>
      </c>
      <c r="K42" s="11">
        <f t="shared" si="6"/>
        <v>0</v>
      </c>
      <c r="L42" s="11">
        <f t="shared" si="7"/>
        <v>3</v>
      </c>
      <c r="O42" s="51" t="s">
        <v>34</v>
      </c>
      <c r="P42" s="52">
        <f>SUMIF($D$8:$D$55,$O42,$G$8:$G$55)+SUMIF($F$8:$F$55,$O42,$I$8:$I$55)</f>
        <v>3</v>
      </c>
      <c r="Q42" s="52">
        <f>SUMIF($D$8:$D$55,$O42,$I$8:$I$55)+SUMIF($F$8:$F$55,$O42,$G$8:$G$55)</f>
        <v>2</v>
      </c>
      <c r="R42" s="52">
        <f>P42-Q42</f>
        <v>1</v>
      </c>
      <c r="S42" s="53">
        <f>SUMIF($D$8:$D$55,$O42,$K$8:$K$55)+SUMIF($F$8:$F$55,$O42,$L$8:$L$55)</f>
        <v>6</v>
      </c>
      <c r="T42" s="96" t="s">
        <v>73</v>
      </c>
      <c r="U42" s="40"/>
      <c r="V42" s="40" t="str">
        <f>O42</f>
        <v>Nigeria</v>
      </c>
      <c r="W42" s="40" t="s">
        <v>75</v>
      </c>
      <c r="Y42" s="109">
        <f t="shared" si="8"/>
        <v>5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5</v>
      </c>
      <c r="AG42" s="108">
        <f t="shared" si="0"/>
        <v>0</v>
      </c>
      <c r="AH42" s="108">
        <f t="shared" si="1"/>
        <v>0</v>
      </c>
      <c r="AI42" s="108">
        <f t="shared" si="10"/>
        <v>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24">
        <v>36</v>
      </c>
      <c r="C43" s="25">
        <v>41813</v>
      </c>
      <c r="D43" s="26" t="s">
        <v>10</v>
      </c>
      <c r="E43" s="27" t="s">
        <v>9</v>
      </c>
      <c r="F43" s="28" t="s">
        <v>11</v>
      </c>
      <c r="G43" s="87">
        <v>1</v>
      </c>
      <c r="H43" s="27" t="s">
        <v>9</v>
      </c>
      <c r="I43" s="92">
        <v>0</v>
      </c>
      <c r="J43" s="29">
        <f t="shared" si="5"/>
        <v>1</v>
      </c>
      <c r="K43" s="11">
        <f t="shared" si="6"/>
        <v>3</v>
      </c>
      <c r="L43" s="11">
        <f t="shared" si="7"/>
        <v>0</v>
      </c>
      <c r="O43" s="40"/>
      <c r="P43" s="41"/>
      <c r="Q43" s="41"/>
      <c r="R43" s="41"/>
      <c r="S43" s="41"/>
      <c r="T43" s="41"/>
      <c r="U43" s="40"/>
      <c r="V43" s="40"/>
      <c r="W43" s="40"/>
      <c r="Y43" s="109">
        <f t="shared" si="8"/>
        <v>1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1</v>
      </c>
      <c r="AG43" s="108">
        <f t="shared" si="0"/>
        <v>1</v>
      </c>
      <c r="AH43" s="108">
        <f t="shared" si="1"/>
        <v>0</v>
      </c>
      <c r="AI43" s="108">
        <f t="shared" si="10"/>
        <v>0</v>
      </c>
      <c r="AJ43" s="108">
        <f t="shared" si="2"/>
        <v>0</v>
      </c>
      <c r="AK43" s="108">
        <f t="shared" si="3"/>
        <v>0</v>
      </c>
      <c r="AL43" s="108">
        <f t="shared" si="4"/>
        <v>0</v>
      </c>
      <c r="AN43" s="40"/>
      <c r="AO43" s="41"/>
    </row>
    <row r="44" spans="2:41" ht="15.75" thickBot="1">
      <c r="B44" s="12">
        <v>37</v>
      </c>
      <c r="C44" s="13">
        <v>41814</v>
      </c>
      <c r="D44" s="14" t="s">
        <v>22</v>
      </c>
      <c r="E44" s="15" t="s">
        <v>9</v>
      </c>
      <c r="F44" s="16" t="s">
        <v>19</v>
      </c>
      <c r="G44" s="85">
        <v>1</v>
      </c>
      <c r="H44" s="15" t="s">
        <v>9</v>
      </c>
      <c r="I44" s="90">
        <v>1</v>
      </c>
      <c r="J44" s="17">
        <f t="shared" si="5"/>
        <v>3</v>
      </c>
      <c r="K44" s="11">
        <f t="shared" si="6"/>
        <v>1</v>
      </c>
      <c r="L44" s="11">
        <f t="shared" si="7"/>
        <v>1</v>
      </c>
      <c r="O44" s="72" t="s">
        <v>76</v>
      </c>
      <c r="P44" s="73" t="s">
        <v>42</v>
      </c>
      <c r="Q44" s="73" t="s">
        <v>43</v>
      </c>
      <c r="R44" s="74" t="s">
        <v>44</v>
      </c>
      <c r="S44" s="75" t="s">
        <v>45</v>
      </c>
      <c r="T44" s="76" t="s">
        <v>46</v>
      </c>
      <c r="U44" s="40"/>
      <c r="V44" s="40"/>
      <c r="W44" s="40"/>
      <c r="Y44" s="109">
        <f t="shared" si="8"/>
        <v>1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1</v>
      </c>
      <c r="AG44" s="108">
        <f t="shared" si="0"/>
        <v>0</v>
      </c>
      <c r="AH44" s="108">
        <f t="shared" si="1"/>
        <v>1</v>
      </c>
      <c r="AI44" s="108">
        <f t="shared" si="10"/>
        <v>0</v>
      </c>
      <c r="AJ44" s="108">
        <f t="shared" si="2"/>
        <v>0</v>
      </c>
      <c r="AK44" s="108">
        <f t="shared" si="3"/>
        <v>0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18">
        <v>38</v>
      </c>
      <c r="C45" s="19">
        <v>41814</v>
      </c>
      <c r="D45" s="20" t="s">
        <v>20</v>
      </c>
      <c r="E45" s="21" t="s">
        <v>9</v>
      </c>
      <c r="F45" s="30" t="s">
        <v>21</v>
      </c>
      <c r="G45" s="86">
        <v>0</v>
      </c>
      <c r="H45" s="21" t="s">
        <v>9</v>
      </c>
      <c r="I45" s="91">
        <v>2</v>
      </c>
      <c r="J45" s="23">
        <f t="shared" si="5"/>
        <v>2</v>
      </c>
      <c r="K45" s="11">
        <f t="shared" si="6"/>
        <v>0</v>
      </c>
      <c r="L45" s="11">
        <f t="shared" si="7"/>
        <v>3</v>
      </c>
      <c r="O45" s="44" t="s">
        <v>31</v>
      </c>
      <c r="P45" s="45">
        <f>SUMIF($D$8:$D$55,$O45,$G$8:$G$55)+SUMIF($F$8:$F$55,$O45,$I$8:$I$55)</f>
        <v>6</v>
      </c>
      <c r="Q45" s="45">
        <f>SUMIF($D$8:$D$55,$O45,$I$8:$I$55)+SUMIF($F$8:$F$55,$O45,$G$8:$G$55)</f>
        <v>2</v>
      </c>
      <c r="R45" s="46">
        <f>P45-Q45</f>
        <v>4</v>
      </c>
      <c r="S45" s="47">
        <f>SUMIF($D$8:$D$55,$O45,$K$8:$K$55)+SUMIF($F$8:$F$55,$O45,$L$8:$L$55)</f>
        <v>7</v>
      </c>
      <c r="T45" s="94" t="s">
        <v>77</v>
      </c>
      <c r="U45" s="40"/>
      <c r="V45" s="40" t="str">
        <f>O45</f>
        <v>Duitsland</v>
      </c>
      <c r="W45" s="40" t="s">
        <v>77</v>
      </c>
      <c r="Y45" s="109">
        <f t="shared" si="8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1</v>
      </c>
      <c r="AG45" s="108">
        <f t="shared" si="0"/>
        <v>1</v>
      </c>
      <c r="AH45" s="108">
        <f t="shared" si="1"/>
        <v>0</v>
      </c>
      <c r="AI45" s="108">
        <f t="shared" si="10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18">
        <v>39</v>
      </c>
      <c r="C46" s="19">
        <v>41814</v>
      </c>
      <c r="D46" s="20" t="s">
        <v>24</v>
      </c>
      <c r="E46" s="21" t="s">
        <v>9</v>
      </c>
      <c r="F46" s="30" t="s">
        <v>17</v>
      </c>
      <c r="G46" s="86">
        <v>2</v>
      </c>
      <c r="H46" s="21" t="s">
        <v>9</v>
      </c>
      <c r="I46" s="91">
        <v>2</v>
      </c>
      <c r="J46" s="23">
        <f t="shared" si="5"/>
        <v>3</v>
      </c>
      <c r="K46" s="11">
        <f t="shared" si="6"/>
        <v>1</v>
      </c>
      <c r="L46" s="11">
        <f t="shared" si="7"/>
        <v>1</v>
      </c>
      <c r="O46" s="48" t="s">
        <v>32</v>
      </c>
      <c r="P46" s="49">
        <f>SUMIF($D$8:$D$55,$O46,$G$8:$G$55)+SUMIF($F$8:$F$55,$O46,$I$8:$I$55)</f>
        <v>4</v>
      </c>
      <c r="Q46" s="49">
        <f>SUMIF($D$8:$D$55,$O46,$I$8:$I$55)+SUMIF($F$8:$F$55,$O46,$G$8:$G$55)</f>
        <v>1</v>
      </c>
      <c r="R46" s="49">
        <f>P46-Q46</f>
        <v>3</v>
      </c>
      <c r="S46" s="50">
        <f>SUMIF($D$8:$D$55,$O46,$K$8:$K$55)+SUMIF($F$8:$F$55,$O46,$L$8:$L$55)</f>
        <v>7</v>
      </c>
      <c r="T46" s="95" t="s">
        <v>78</v>
      </c>
      <c r="U46" s="40"/>
      <c r="V46" s="40" t="str">
        <f>O46</f>
        <v>Portugal</v>
      </c>
      <c r="W46" s="40" t="s">
        <v>78</v>
      </c>
      <c r="Y46" s="109">
        <f t="shared" si="8"/>
        <v>0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0</v>
      </c>
      <c r="AG46" s="108">
        <f t="shared" si="0"/>
        <v>0</v>
      </c>
      <c r="AH46" s="108">
        <f t="shared" si="1"/>
        <v>0</v>
      </c>
      <c r="AI46" s="108">
        <f t="shared" si="10"/>
        <v>0</v>
      </c>
      <c r="AJ46" s="108">
        <f t="shared" si="2"/>
        <v>0</v>
      </c>
      <c r="AK46" s="108">
        <f t="shared" si="3"/>
        <v>0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24">
        <v>40</v>
      </c>
      <c r="C47" s="25">
        <v>41814</v>
      </c>
      <c r="D47" s="26" t="s">
        <v>18</v>
      </c>
      <c r="E47" s="27" t="s">
        <v>9</v>
      </c>
      <c r="F47" s="28" t="s">
        <v>23</v>
      </c>
      <c r="G47" s="87">
        <v>0</v>
      </c>
      <c r="H47" s="27" t="s">
        <v>9</v>
      </c>
      <c r="I47" s="92">
        <v>2</v>
      </c>
      <c r="J47" s="29">
        <f t="shared" si="5"/>
        <v>2</v>
      </c>
      <c r="K47" s="11">
        <f t="shared" si="6"/>
        <v>0</v>
      </c>
      <c r="L47" s="11">
        <f t="shared" si="7"/>
        <v>3</v>
      </c>
      <c r="O47" s="48" t="s">
        <v>35</v>
      </c>
      <c r="P47" s="49">
        <f>SUMIF($D$8:$D$55,$O47,$G$8:$G$55)+SUMIF($F$8:$F$55,$O47,$I$8:$I$55)</f>
        <v>1</v>
      </c>
      <c r="Q47" s="49">
        <f>SUMIF($D$8:$D$55,$O47,$I$8:$I$55)+SUMIF($F$8:$F$55,$O47,$G$8:$G$55)</f>
        <v>4</v>
      </c>
      <c r="R47" s="49">
        <f>P47-Q47</f>
        <v>-3</v>
      </c>
      <c r="S47" s="50">
        <f>SUMIF($D$8:$D$55,$O47,$K$8:$K$55)+SUMIF($F$8:$F$55,$O47,$L$8:$L$55)</f>
        <v>3</v>
      </c>
      <c r="T47" s="95" t="s">
        <v>79</v>
      </c>
      <c r="U47" s="40"/>
      <c r="V47" s="40" t="str">
        <f>O47</f>
        <v>Ghana</v>
      </c>
      <c r="W47" s="40" t="s">
        <v>79</v>
      </c>
      <c r="Y47" s="109">
        <f t="shared" si="8"/>
        <v>0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0</v>
      </c>
      <c r="AG47" s="108">
        <f t="shared" si="0"/>
        <v>0</v>
      </c>
      <c r="AH47" s="108">
        <f t="shared" si="1"/>
        <v>0</v>
      </c>
      <c r="AI47" s="108">
        <f t="shared" si="10"/>
        <v>0</v>
      </c>
      <c r="AJ47" s="108">
        <f t="shared" si="2"/>
        <v>0</v>
      </c>
      <c r="AK47" s="108">
        <f t="shared" si="3"/>
        <v>0</v>
      </c>
      <c r="AL47" s="108">
        <f t="shared" si="4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12">
        <v>41</v>
      </c>
      <c r="C48" s="13">
        <v>41815</v>
      </c>
      <c r="D48" s="14" t="s">
        <v>34</v>
      </c>
      <c r="E48" s="15" t="s">
        <v>9</v>
      </c>
      <c r="F48" s="16" t="s">
        <v>29</v>
      </c>
      <c r="G48" s="85">
        <v>1</v>
      </c>
      <c r="H48" s="15" t="s">
        <v>9</v>
      </c>
      <c r="I48" s="90">
        <v>2</v>
      </c>
      <c r="J48" s="17">
        <f t="shared" si="5"/>
        <v>2</v>
      </c>
      <c r="K48" s="11">
        <f t="shared" si="6"/>
        <v>0</v>
      </c>
      <c r="L48" s="11">
        <f t="shared" si="7"/>
        <v>3</v>
      </c>
      <c r="O48" s="51" t="s">
        <v>36</v>
      </c>
      <c r="P48" s="52">
        <f>SUMIF($D$8:$D$55,$O48,$G$8:$G$55)+SUMIF($F$8:$F$55,$O48,$I$8:$I$55)</f>
        <v>1</v>
      </c>
      <c r="Q48" s="52">
        <f>SUMIF($D$8:$D$55,$O48,$I$8:$I$55)+SUMIF($F$8:$F$55,$O48,$G$8:$G$55)</f>
        <v>5</v>
      </c>
      <c r="R48" s="52">
        <f>P48-Q48</f>
        <v>-4</v>
      </c>
      <c r="S48" s="53">
        <f>SUMIF($D$8:$D$55,$O48,$K$8:$K$55)+SUMIF($F$8:$F$55,$O48,$L$8:$L$55)</f>
        <v>0</v>
      </c>
      <c r="T48" s="96" t="s">
        <v>80</v>
      </c>
      <c r="U48" s="40"/>
      <c r="V48" s="40" t="str">
        <f>O48</f>
        <v>Verenigde Staten</v>
      </c>
      <c r="W48" s="40" t="s">
        <v>80</v>
      </c>
      <c r="Y48" s="109">
        <f t="shared" si="8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5</v>
      </c>
      <c r="AG48" s="108">
        <f t="shared" si="0"/>
        <v>0</v>
      </c>
      <c r="AH48" s="108">
        <f t="shared" si="1"/>
        <v>0</v>
      </c>
      <c r="AI48" s="108">
        <f t="shared" si="10"/>
        <v>0</v>
      </c>
      <c r="AJ48" s="108">
        <f t="shared" si="2"/>
        <v>0</v>
      </c>
      <c r="AK48" s="108">
        <f t="shared" si="3"/>
        <v>5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18">
        <v>42</v>
      </c>
      <c r="C49" s="19">
        <v>41815</v>
      </c>
      <c r="D49" s="20" t="s">
        <v>30</v>
      </c>
      <c r="E49" s="21" t="s">
        <v>9</v>
      </c>
      <c r="F49" s="30" t="s">
        <v>33</v>
      </c>
      <c r="G49" s="86">
        <v>1</v>
      </c>
      <c r="H49" s="21" t="s">
        <v>9</v>
      </c>
      <c r="I49" s="91">
        <v>0</v>
      </c>
      <c r="J49" s="23">
        <f t="shared" si="5"/>
        <v>1</v>
      </c>
      <c r="K49" s="11">
        <f t="shared" si="6"/>
        <v>3</v>
      </c>
      <c r="L49" s="11">
        <f t="shared" si="7"/>
        <v>0</v>
      </c>
      <c r="O49" s="40"/>
      <c r="P49" s="41"/>
      <c r="Q49" s="41"/>
      <c r="R49" s="41"/>
      <c r="S49" s="41"/>
      <c r="T49" s="41"/>
      <c r="U49" s="40"/>
      <c r="V49" s="40"/>
      <c r="W49" s="40"/>
      <c r="Y49" s="109">
        <f t="shared" si="8"/>
        <v>5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5</v>
      </c>
      <c r="AG49" s="108">
        <f t="shared" si="0"/>
        <v>0</v>
      </c>
      <c r="AH49" s="108">
        <f t="shared" si="1"/>
        <v>0</v>
      </c>
      <c r="AI49" s="108">
        <f t="shared" si="10"/>
        <v>0</v>
      </c>
      <c r="AJ49" s="108">
        <f t="shared" si="2"/>
        <v>5</v>
      </c>
      <c r="AK49" s="108">
        <f t="shared" si="3"/>
        <v>0</v>
      </c>
      <c r="AL49" s="108">
        <f t="shared" si="4"/>
        <v>0</v>
      </c>
      <c r="AN49" s="40"/>
      <c r="AO49" s="41"/>
    </row>
    <row r="50" spans="2:54" ht="15.75" thickBot="1">
      <c r="B50" s="18">
        <v>43</v>
      </c>
      <c r="C50" s="19">
        <v>41815</v>
      </c>
      <c r="D50" s="20" t="s">
        <v>28</v>
      </c>
      <c r="E50" s="21" t="s">
        <v>9</v>
      </c>
      <c r="F50" s="30" t="s">
        <v>25</v>
      </c>
      <c r="G50" s="86">
        <v>0</v>
      </c>
      <c r="H50" s="21" t="s">
        <v>9</v>
      </c>
      <c r="I50" s="91">
        <v>1</v>
      </c>
      <c r="J50" s="23">
        <f t="shared" si="5"/>
        <v>2</v>
      </c>
      <c r="K50" s="11">
        <f t="shared" si="6"/>
        <v>0</v>
      </c>
      <c r="L50" s="11">
        <f t="shared" si="7"/>
        <v>3</v>
      </c>
      <c r="O50" s="72" t="s">
        <v>81</v>
      </c>
      <c r="P50" s="73" t="s">
        <v>42</v>
      </c>
      <c r="Q50" s="73" t="s">
        <v>43</v>
      </c>
      <c r="R50" s="74" t="s">
        <v>44</v>
      </c>
      <c r="S50" s="75" t="s">
        <v>45</v>
      </c>
      <c r="T50" s="76" t="s">
        <v>46</v>
      </c>
      <c r="U50" s="40"/>
      <c r="V50" s="40"/>
      <c r="W50" s="40"/>
      <c r="Y50" s="109">
        <f t="shared" si="8"/>
        <v>6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6</v>
      </c>
      <c r="AG50" s="108">
        <f t="shared" si="0"/>
        <v>1</v>
      </c>
      <c r="AH50" s="108">
        <f t="shared" si="1"/>
        <v>0</v>
      </c>
      <c r="AI50" s="108">
        <f t="shared" si="10"/>
        <v>0</v>
      </c>
      <c r="AJ50" s="108">
        <f t="shared" si="2"/>
        <v>0</v>
      </c>
      <c r="AK50" s="108">
        <f t="shared" si="3"/>
        <v>5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24">
        <v>44</v>
      </c>
      <c r="C51" s="25">
        <v>41815</v>
      </c>
      <c r="D51" s="26" t="s">
        <v>26</v>
      </c>
      <c r="E51" s="27" t="s">
        <v>9</v>
      </c>
      <c r="F51" s="28" t="s">
        <v>27</v>
      </c>
      <c r="G51" s="87">
        <v>0</v>
      </c>
      <c r="H51" s="27" t="s">
        <v>9</v>
      </c>
      <c r="I51" s="92">
        <v>2</v>
      </c>
      <c r="J51" s="29">
        <f t="shared" si="5"/>
        <v>2</v>
      </c>
      <c r="K51" s="11">
        <f t="shared" si="6"/>
        <v>0</v>
      </c>
      <c r="L51" s="11">
        <f>IF(I51="","",IF($G51&lt;$I51,3,IF($G51=$I51,1,0)))</f>
        <v>3</v>
      </c>
      <c r="O51" s="44" t="s">
        <v>37</v>
      </c>
      <c r="P51" s="45">
        <f>SUMIF($D$8:$D$55,$O51,$G$8:$G$55)+SUMIF($F$8:$F$55,$O51,$I$8:$I$55)</f>
        <v>5</v>
      </c>
      <c r="Q51" s="45">
        <f>SUMIF($D$8:$D$55,$O51,$I$8:$I$55)+SUMIF($F$8:$F$55,$O51,$G$8:$G$55)</f>
        <v>2</v>
      </c>
      <c r="R51" s="46">
        <f>P51-Q51</f>
        <v>3</v>
      </c>
      <c r="S51" s="47">
        <f>SUMIF($D$8:$D$55,$O51,$K$8:$K$55)+SUMIF($F$8:$F$55,$O51,$L$8:$L$55)</f>
        <v>7</v>
      </c>
      <c r="T51" s="94" t="s">
        <v>82</v>
      </c>
      <c r="U51" s="40"/>
      <c r="V51" s="40" t="str">
        <f>O51</f>
        <v>België</v>
      </c>
      <c r="W51" s="40" t="s">
        <v>82</v>
      </c>
      <c r="Y51" s="109">
        <f t="shared" si="8"/>
        <v>1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1</v>
      </c>
      <c r="AG51" s="108">
        <f t="shared" si="0"/>
        <v>1</v>
      </c>
      <c r="AH51" s="108">
        <f t="shared" si="1"/>
        <v>0</v>
      </c>
      <c r="AI51" s="108">
        <f t="shared" si="10"/>
        <v>0</v>
      </c>
      <c r="AJ51" s="108">
        <f t="shared" si="2"/>
        <v>0</v>
      </c>
      <c r="AK51" s="108">
        <f t="shared" si="3"/>
        <v>0</v>
      </c>
      <c r="AL51" s="108">
        <f t="shared" si="4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18">
        <v>45</v>
      </c>
      <c r="C52" s="19">
        <v>41816</v>
      </c>
      <c r="D52" s="20" t="s">
        <v>36</v>
      </c>
      <c r="E52" s="21" t="s">
        <v>9</v>
      </c>
      <c r="F52" s="30" t="s">
        <v>31</v>
      </c>
      <c r="G52" s="86">
        <v>1</v>
      </c>
      <c r="H52" s="21" t="s">
        <v>9</v>
      </c>
      <c r="I52" s="91">
        <v>3</v>
      </c>
      <c r="J52" s="17">
        <f t="shared" si="5"/>
        <v>2</v>
      </c>
      <c r="K52" s="11">
        <f t="shared" si="6"/>
        <v>0</v>
      </c>
      <c r="L52" s="11">
        <f t="shared" si="7"/>
        <v>3</v>
      </c>
      <c r="O52" s="48" t="s">
        <v>38</v>
      </c>
      <c r="P52" s="49">
        <f>SUMIF($D$8:$D$55,$O52,$G$8:$G$55)+SUMIF($F$8:$F$55,$O52,$I$8:$I$55)</f>
        <v>1</v>
      </c>
      <c r="Q52" s="49">
        <f>SUMIF($D$8:$D$55,$O52,$I$8:$I$55)+SUMIF($F$8:$F$55,$O52,$G$8:$G$55)</f>
        <v>5</v>
      </c>
      <c r="R52" s="49">
        <f>P52-Q52</f>
        <v>-4</v>
      </c>
      <c r="S52" s="50">
        <f>SUMIF($D$8:$D$55,$O52,$K$8:$K$55)+SUMIF($F$8:$F$55,$O52,$L$8:$L$55)</f>
        <v>0</v>
      </c>
      <c r="T52" s="95" t="s">
        <v>85</v>
      </c>
      <c r="U52" s="40"/>
      <c r="V52" s="40" t="str">
        <f>O52</f>
        <v>Algerije</v>
      </c>
      <c r="W52" s="40" t="s">
        <v>83</v>
      </c>
      <c r="Y52" s="109">
        <f t="shared" si="8"/>
        <v>5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5</v>
      </c>
      <c r="AG52" s="108">
        <f t="shared" si="0"/>
        <v>0</v>
      </c>
      <c r="AH52" s="108">
        <f t="shared" si="1"/>
        <v>0</v>
      </c>
      <c r="AI52" s="108">
        <f t="shared" si="10"/>
        <v>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18">
        <v>46</v>
      </c>
      <c r="C53" s="19">
        <v>41816</v>
      </c>
      <c r="D53" s="20" t="s">
        <v>32</v>
      </c>
      <c r="E53" s="21" t="s">
        <v>9</v>
      </c>
      <c r="F53" s="30" t="s">
        <v>35</v>
      </c>
      <c r="G53" s="86">
        <v>2</v>
      </c>
      <c r="H53" s="21" t="s">
        <v>9</v>
      </c>
      <c r="I53" s="91">
        <v>0</v>
      </c>
      <c r="J53" s="23">
        <f t="shared" si="5"/>
        <v>1</v>
      </c>
      <c r="K53" s="11">
        <f t="shared" si="6"/>
        <v>3</v>
      </c>
      <c r="L53" s="11">
        <f t="shared" si="7"/>
        <v>0</v>
      </c>
      <c r="O53" s="48" t="s">
        <v>39</v>
      </c>
      <c r="P53" s="49">
        <f>SUMIF($D$8:$D$55,$O53,$G$8:$G$55)+SUMIF($F$8:$F$55,$O53,$I$8:$I$55)</f>
        <v>4</v>
      </c>
      <c r="Q53" s="49">
        <f>SUMIF($D$8:$D$55,$O53,$I$8:$I$55)+SUMIF($F$8:$F$55,$O53,$G$8:$G$55)</f>
        <v>2</v>
      </c>
      <c r="R53" s="49">
        <f>P53-Q53</f>
        <v>2</v>
      </c>
      <c r="S53" s="50">
        <f>SUMIF($D$8:$D$55,$O53,$K$8:$K$55)+SUMIF($F$8:$F$55,$O53,$L$8:$L$55)</f>
        <v>7</v>
      </c>
      <c r="T53" s="95" t="s">
        <v>83</v>
      </c>
      <c r="U53" s="40"/>
      <c r="V53" s="40" t="str">
        <f>O53</f>
        <v>Rusland</v>
      </c>
      <c r="W53" s="40" t="s">
        <v>84</v>
      </c>
      <c r="Y53" s="109">
        <f t="shared" si="8"/>
        <v>6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6</v>
      </c>
      <c r="AG53" s="108">
        <f t="shared" si="0"/>
        <v>1</v>
      </c>
      <c r="AH53" s="108">
        <f t="shared" si="1"/>
        <v>0</v>
      </c>
      <c r="AI53" s="108">
        <f t="shared" si="10"/>
        <v>0</v>
      </c>
      <c r="AJ53" s="108">
        <f t="shared" si="2"/>
        <v>5</v>
      </c>
      <c r="AK53" s="108">
        <f t="shared" si="3"/>
        <v>0</v>
      </c>
      <c r="AL53" s="108">
        <f t="shared" si="4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18">
        <v>47</v>
      </c>
      <c r="C54" s="19">
        <v>41816</v>
      </c>
      <c r="D54" s="20" t="s">
        <v>40</v>
      </c>
      <c r="E54" s="21" t="s">
        <v>9</v>
      </c>
      <c r="F54" s="30" t="s">
        <v>37</v>
      </c>
      <c r="G54" s="86">
        <v>1</v>
      </c>
      <c r="H54" s="21" t="s">
        <v>9</v>
      </c>
      <c r="I54" s="91">
        <v>2</v>
      </c>
      <c r="J54" s="23">
        <f t="shared" si="5"/>
        <v>2</v>
      </c>
      <c r="K54" s="11">
        <f t="shared" si="6"/>
        <v>0</v>
      </c>
      <c r="L54" s="11">
        <f t="shared" si="7"/>
        <v>3</v>
      </c>
      <c r="O54" s="51" t="s">
        <v>40</v>
      </c>
      <c r="P54" s="52">
        <f>SUMIF($D$8:$D$55,$O54,$G$8:$G$55)+SUMIF($F$8:$F$55,$O54,$I$8:$I$55)</f>
        <v>2</v>
      </c>
      <c r="Q54" s="52">
        <f>SUMIF($D$8:$D$55,$O54,$I$8:$I$55)+SUMIF($F$8:$F$55,$O54,$G$8:$G$55)</f>
        <v>3</v>
      </c>
      <c r="R54" s="52">
        <f>P54-Q54</f>
        <v>-1</v>
      </c>
      <c r="S54" s="53">
        <f>SUMIF($D$8:$D$55,$O54,$K$8:$K$55)+SUMIF($F$8:$F$55,$O54,$L$8:$L$55)</f>
        <v>3</v>
      </c>
      <c r="T54" s="96" t="s">
        <v>84</v>
      </c>
      <c r="U54" s="40"/>
      <c r="V54" s="40" t="str">
        <f>O54</f>
        <v>Zuid Korea</v>
      </c>
      <c r="W54" s="40" t="s">
        <v>85</v>
      </c>
      <c r="Y54" s="109">
        <f t="shared" si="8"/>
        <v>5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5</v>
      </c>
      <c r="AG54" s="108">
        <f t="shared" si="0"/>
        <v>0</v>
      </c>
      <c r="AH54" s="108">
        <f t="shared" si="1"/>
        <v>0</v>
      </c>
      <c r="AI54" s="108">
        <f t="shared" si="10"/>
        <v>0</v>
      </c>
      <c r="AJ54" s="108">
        <f t="shared" si="2"/>
        <v>0</v>
      </c>
      <c r="AK54" s="108">
        <f t="shared" si="3"/>
        <v>5</v>
      </c>
      <c r="AL54" s="108">
        <f t="shared" si="4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3">
        <v>48</v>
      </c>
      <c r="C55" s="34">
        <v>41816</v>
      </c>
      <c r="D55" s="35" t="s">
        <v>38</v>
      </c>
      <c r="E55" s="36" t="s">
        <v>9</v>
      </c>
      <c r="F55" s="37" t="s">
        <v>39</v>
      </c>
      <c r="G55" s="88">
        <v>1</v>
      </c>
      <c r="H55" s="36" t="s">
        <v>9</v>
      </c>
      <c r="I55" s="93">
        <v>2</v>
      </c>
      <c r="J55" s="38">
        <f t="shared" si="5"/>
        <v>2</v>
      </c>
      <c r="K55" s="11">
        <f t="shared" si="6"/>
        <v>0</v>
      </c>
      <c r="L55" s="11">
        <f t="shared" si="7"/>
        <v>3</v>
      </c>
      <c r="O55" s="40"/>
      <c r="P55" s="41"/>
      <c r="Q55" s="41"/>
      <c r="R55" s="41"/>
      <c r="S55" s="41"/>
      <c r="T55" s="41"/>
      <c r="U55" s="40"/>
      <c r="V55" s="40"/>
      <c r="W55" s="40"/>
      <c r="Y55" s="109">
        <f t="shared" si="8"/>
        <v>1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</v>
      </c>
      <c r="AG55" s="108">
        <f t="shared" si="0"/>
        <v>1</v>
      </c>
      <c r="AH55" s="108">
        <f t="shared" si="1"/>
        <v>0</v>
      </c>
      <c r="AI55" s="108">
        <f t="shared" si="10"/>
        <v>0</v>
      </c>
      <c r="AJ55" s="108">
        <f t="shared" si="2"/>
        <v>0</v>
      </c>
      <c r="AK55" s="108">
        <f t="shared" si="3"/>
        <v>0</v>
      </c>
      <c r="AL55" s="108">
        <f t="shared" si="4"/>
        <v>0</v>
      </c>
    </row>
    <row r="56" spans="2:54" ht="15.75" thickBot="1">
      <c r="B56" s="1"/>
      <c r="C56" s="39"/>
      <c r="D56" s="40"/>
      <c r="E56" s="1"/>
      <c r="F56" s="40"/>
      <c r="G56" s="1"/>
      <c r="H56" s="1"/>
      <c r="I56" s="1"/>
      <c r="J56" s="1"/>
      <c r="K56" s="1"/>
      <c r="L56" s="1"/>
      <c r="M56" s="1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201"/>
      <c r="K57" s="1"/>
      <c r="L57" s="1"/>
      <c r="M57" s="1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78" t="s">
        <v>1</v>
      </c>
      <c r="C58" s="79" t="s">
        <v>2</v>
      </c>
      <c r="D58" s="187" t="s">
        <v>3</v>
      </c>
      <c r="E58" s="81"/>
      <c r="F58" s="199" t="s">
        <v>4</v>
      </c>
      <c r="G58" s="867" t="s">
        <v>5</v>
      </c>
      <c r="H58" s="868"/>
      <c r="I58" s="869"/>
      <c r="J58" s="83" t="s">
        <v>6</v>
      </c>
      <c r="K58" s="1"/>
      <c r="L58" s="1"/>
      <c r="M58" s="1"/>
      <c r="O58" s="135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12">
        <v>49</v>
      </c>
      <c r="C59" s="189">
        <v>41818</v>
      </c>
      <c r="D59" s="153" t="str">
        <f>IF(ISERROR(Z59),K59,Z59)</f>
        <v>Brazilië</v>
      </c>
      <c r="E59" s="15" t="s">
        <v>9</v>
      </c>
      <c r="F59" s="56" t="str">
        <f>IF(ISERROR(AA59),L59,AA59)</f>
        <v>Spanje</v>
      </c>
      <c r="G59" s="85">
        <v>2</v>
      </c>
      <c r="H59" s="15" t="s">
        <v>9</v>
      </c>
      <c r="I59" s="97">
        <v>1</v>
      </c>
      <c r="J59" s="98">
        <v>1</v>
      </c>
      <c r="K59" s="57" t="s">
        <v>48</v>
      </c>
      <c r="L59" s="57" t="s">
        <v>53</v>
      </c>
      <c r="M59" s="57">
        <v>1</v>
      </c>
      <c r="O59" s="135">
        <v>2</v>
      </c>
      <c r="P59" s="877" t="s">
        <v>220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3">AF59</f>
        <v>1</v>
      </c>
      <c r="Z59" t="str">
        <f t="shared" ref="Z59:AA65" si="14">IF(K59=""," ",VLOOKUP(K59,$T$9:$V$54,3,FALSE))</f>
        <v>Brazilië</v>
      </c>
      <c r="AA59" t="str">
        <f t="shared" si="14"/>
        <v>Spanje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1</v>
      </c>
      <c r="AG59" s="108">
        <f t="shared" ref="AG59:AG66" si="16">IF(AC59="",0,(IF(G59=AC59,1,0)))</f>
        <v>0</v>
      </c>
      <c r="AH59" s="108">
        <f t="shared" ref="AH59:AH66" si="17">IF(AD59="",0,(IF(I59=AD59,1,0)))</f>
        <v>1</v>
      </c>
      <c r="AI59" s="108">
        <f t="shared" ref="AI59:AI66" si="18">IF(AND(AG59=1,AH59=1),10,0)</f>
        <v>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24">
        <v>50</v>
      </c>
      <c r="C60" s="190">
        <v>41818</v>
      </c>
      <c r="D60" s="154" t="str">
        <f t="shared" ref="D60:D66" si="23">IF(ISERROR(Z60),K60,Z60)</f>
        <v>Colombia</v>
      </c>
      <c r="E60" s="27" t="s">
        <v>9</v>
      </c>
      <c r="F60" s="59" t="str">
        <f t="shared" ref="F60:F66" si="24">IF(ISERROR(AA60),L60,AA60)</f>
        <v>Italië</v>
      </c>
      <c r="G60" s="87">
        <v>1</v>
      </c>
      <c r="H60" s="27" t="s">
        <v>9</v>
      </c>
      <c r="I60" s="99">
        <v>1</v>
      </c>
      <c r="J60" s="100">
        <v>2</v>
      </c>
      <c r="K60" s="57" t="s">
        <v>57</v>
      </c>
      <c r="L60" s="57" t="s">
        <v>63</v>
      </c>
      <c r="M60" s="57">
        <v>2</v>
      </c>
      <c r="O60" s="135">
        <v>3</v>
      </c>
      <c r="P60" s="877" t="s">
        <v>209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3"/>
        <v>0</v>
      </c>
      <c r="Z60" t="str">
        <f t="shared" si="14"/>
        <v>Colombia</v>
      </c>
      <c r="AA60" t="str">
        <f t="shared" si="14"/>
        <v>Italië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0</v>
      </c>
      <c r="AG60" s="108">
        <f t="shared" si="16"/>
        <v>0</v>
      </c>
      <c r="AH60" s="108">
        <f t="shared" si="17"/>
        <v>0</v>
      </c>
      <c r="AI60" s="108">
        <f t="shared" si="18"/>
        <v>0</v>
      </c>
      <c r="AJ60" s="108">
        <f t="shared" si="19"/>
        <v>0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2"/>
        <v>3</v>
      </c>
    </row>
    <row r="61" spans="2:54">
      <c r="B61" s="12">
        <v>51</v>
      </c>
      <c r="C61" s="189">
        <v>41819</v>
      </c>
      <c r="D61" s="188" t="str">
        <f t="shared" si="23"/>
        <v>Nederland</v>
      </c>
      <c r="E61" s="15" t="s">
        <v>9</v>
      </c>
      <c r="F61" s="56" t="str">
        <f t="shared" si="24"/>
        <v>Kroatië</v>
      </c>
      <c r="G61" s="85">
        <v>2</v>
      </c>
      <c r="H61" s="15" t="s">
        <v>9</v>
      </c>
      <c r="I61" s="97">
        <v>1</v>
      </c>
      <c r="J61" s="98">
        <v>1</v>
      </c>
      <c r="K61" s="57" t="s">
        <v>52</v>
      </c>
      <c r="L61" s="57" t="s">
        <v>49</v>
      </c>
      <c r="M61" s="57"/>
      <c r="O61" s="135">
        <v>4</v>
      </c>
      <c r="P61" s="877" t="s">
        <v>211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3"/>
        <v>10</v>
      </c>
      <c r="Z61" t="str">
        <f t="shared" si="14"/>
        <v>Nederland</v>
      </c>
      <c r="AA61" t="str">
        <f t="shared" si="14"/>
        <v>Kroatië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10</v>
      </c>
      <c r="AG61" s="108">
        <f t="shared" si="16"/>
        <v>1</v>
      </c>
      <c r="AH61" s="108">
        <f t="shared" si="17"/>
        <v>1</v>
      </c>
      <c r="AI61" s="108">
        <f t="shared" si="18"/>
        <v>10</v>
      </c>
      <c r="AJ61" s="108">
        <f t="shared" si="19"/>
        <v>5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3</v>
      </c>
      <c r="BB61" s="139">
        <f t="shared" si="22"/>
        <v>3</v>
      </c>
    </row>
    <row r="62" spans="2:54">
      <c r="B62" s="24">
        <v>52</v>
      </c>
      <c r="C62" s="190">
        <v>41819</v>
      </c>
      <c r="D62" s="188" t="str">
        <f t="shared" si="23"/>
        <v>Uruguay</v>
      </c>
      <c r="E62" s="27" t="s">
        <v>9</v>
      </c>
      <c r="F62" s="59" t="str">
        <f t="shared" si="24"/>
        <v>Japan</v>
      </c>
      <c r="G62" s="87">
        <v>2</v>
      </c>
      <c r="H62" s="27" t="s">
        <v>9</v>
      </c>
      <c r="I62" s="99">
        <v>0</v>
      </c>
      <c r="J62" s="100">
        <v>1</v>
      </c>
      <c r="K62" s="57" t="s">
        <v>62</v>
      </c>
      <c r="L62" s="57" t="s">
        <v>58</v>
      </c>
      <c r="M62" s="57"/>
      <c r="O62" s="135">
        <v>5</v>
      </c>
      <c r="P62" s="877" t="s">
        <v>225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3"/>
        <v>0</v>
      </c>
      <c r="Z62" t="str">
        <f t="shared" si="14"/>
        <v>Uruguay</v>
      </c>
      <c r="AA62" t="str">
        <f t="shared" si="14"/>
        <v>Japan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0</v>
      </c>
      <c r="AG62" s="108">
        <f t="shared" si="16"/>
        <v>0</v>
      </c>
      <c r="AH62" s="108">
        <f t="shared" si="17"/>
        <v>0</v>
      </c>
      <c r="AI62" s="108">
        <f t="shared" si="18"/>
        <v>0</v>
      </c>
      <c r="AJ62" s="108">
        <f t="shared" si="19"/>
        <v>0</v>
      </c>
      <c r="AK62" s="108">
        <f t="shared" si="20"/>
        <v>0</v>
      </c>
      <c r="AL62" s="108">
        <f t="shared" si="21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2"/>
        <v>3</v>
      </c>
    </row>
    <row r="63" spans="2:54">
      <c r="B63" s="12">
        <v>53</v>
      </c>
      <c r="C63" s="189">
        <v>41820</v>
      </c>
      <c r="D63" s="153" t="str">
        <f t="shared" si="23"/>
        <v>Frankrijk</v>
      </c>
      <c r="E63" s="15" t="s">
        <v>9</v>
      </c>
      <c r="F63" s="56" t="str">
        <f t="shared" si="24"/>
        <v>Nigeria</v>
      </c>
      <c r="G63" s="85">
        <v>1</v>
      </c>
      <c r="H63" s="15" t="s">
        <v>9</v>
      </c>
      <c r="I63" s="97">
        <v>0</v>
      </c>
      <c r="J63" s="98">
        <v>1</v>
      </c>
      <c r="K63" s="57" t="s">
        <v>67</v>
      </c>
      <c r="L63" s="57" t="s">
        <v>73</v>
      </c>
      <c r="M63" s="57"/>
      <c r="O63" s="135">
        <v>6</v>
      </c>
      <c r="P63" s="877" t="s">
        <v>212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3"/>
        <v>6</v>
      </c>
      <c r="Z63" t="str">
        <f t="shared" si="14"/>
        <v>Frankrijk</v>
      </c>
      <c r="AA63" t="str">
        <f t="shared" si="14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6</v>
      </c>
      <c r="AG63" s="108">
        <f t="shared" si="16"/>
        <v>0</v>
      </c>
      <c r="AH63" s="108">
        <f t="shared" si="17"/>
        <v>1</v>
      </c>
      <c r="AI63" s="108">
        <f t="shared" si="18"/>
        <v>0</v>
      </c>
      <c r="AJ63" s="108">
        <f t="shared" si="19"/>
        <v>5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3</v>
      </c>
      <c r="BB63" s="139">
        <f t="shared" si="22"/>
        <v>3</v>
      </c>
    </row>
    <row r="64" spans="2:54">
      <c r="B64" s="24">
        <v>54</v>
      </c>
      <c r="C64" s="190">
        <v>41820</v>
      </c>
      <c r="D64" s="154" t="str">
        <f t="shared" si="23"/>
        <v>Duitsland</v>
      </c>
      <c r="E64" s="27" t="s">
        <v>9</v>
      </c>
      <c r="F64" s="59" t="str">
        <f t="shared" si="24"/>
        <v>Rusland</v>
      </c>
      <c r="G64" s="87">
        <v>2</v>
      </c>
      <c r="H64" s="27" t="s">
        <v>9</v>
      </c>
      <c r="I64" s="99">
        <v>1</v>
      </c>
      <c r="J64" s="100">
        <v>1</v>
      </c>
      <c r="K64" s="57" t="s">
        <v>77</v>
      </c>
      <c r="L64" s="57" t="s">
        <v>83</v>
      </c>
      <c r="M64" s="57"/>
      <c r="O64" s="135">
        <v>7</v>
      </c>
      <c r="P64" s="877" t="s">
        <v>221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3"/>
        <v>0</v>
      </c>
      <c r="Z64" t="str">
        <f t="shared" si="14"/>
        <v>Duitsland</v>
      </c>
      <c r="AA64" t="str">
        <f t="shared" si="14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0</v>
      </c>
      <c r="AG64" s="108">
        <f t="shared" si="16"/>
        <v>0</v>
      </c>
      <c r="AH64" s="108">
        <f t="shared" si="17"/>
        <v>0</v>
      </c>
      <c r="AI64" s="108">
        <f t="shared" si="18"/>
        <v>0</v>
      </c>
      <c r="AJ64" s="108">
        <f t="shared" si="19"/>
        <v>0</v>
      </c>
      <c r="AK64" s="108">
        <f t="shared" si="20"/>
        <v>0</v>
      </c>
      <c r="AL64" s="108">
        <f t="shared" si="21"/>
        <v>0</v>
      </c>
      <c r="AZ64" s="138" t="str">
        <f>Uitslag!P64</f>
        <v>Wesley Sneijder (m)</v>
      </c>
      <c r="BA64" s="140">
        <f t="shared" si="12"/>
        <v>0</v>
      </c>
      <c r="BB64" s="139">
        <f t="shared" si="22"/>
        <v>0</v>
      </c>
    </row>
    <row r="65" spans="2:54">
      <c r="B65" s="18">
        <v>55</v>
      </c>
      <c r="C65" s="191">
        <v>41821</v>
      </c>
      <c r="D65" s="153" t="str">
        <f t="shared" si="23"/>
        <v>Argentinië</v>
      </c>
      <c r="E65" s="21" t="s">
        <v>9</v>
      </c>
      <c r="F65" s="60" t="str">
        <f t="shared" si="24"/>
        <v>Zwitserland</v>
      </c>
      <c r="G65" s="86">
        <v>3</v>
      </c>
      <c r="H65" s="21" t="s">
        <v>9</v>
      </c>
      <c r="I65" s="101">
        <v>1</v>
      </c>
      <c r="J65" s="102">
        <v>1</v>
      </c>
      <c r="K65" s="57" t="s">
        <v>72</v>
      </c>
      <c r="L65" s="57" t="s">
        <v>68</v>
      </c>
      <c r="M65" s="57"/>
      <c r="O65" s="135">
        <v>8</v>
      </c>
      <c r="P65" s="877" t="s">
        <v>213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3"/>
        <v>0</v>
      </c>
      <c r="Z65" t="str">
        <f t="shared" si="14"/>
        <v>Argentinië</v>
      </c>
      <c r="AA65" t="str">
        <f t="shared" si="14"/>
        <v>Zwitserland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0</v>
      </c>
      <c r="AG65" s="108">
        <f t="shared" si="16"/>
        <v>0</v>
      </c>
      <c r="AH65" s="108">
        <f t="shared" si="17"/>
        <v>0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2"/>
        <v>3</v>
      </c>
    </row>
    <row r="66" spans="2:54" ht="15.75" thickBot="1">
      <c r="B66" s="33">
        <v>56</v>
      </c>
      <c r="C66" s="186">
        <v>41821</v>
      </c>
      <c r="D66" s="155" t="str">
        <f t="shared" si="23"/>
        <v>België</v>
      </c>
      <c r="E66" s="36" t="s">
        <v>9</v>
      </c>
      <c r="F66" s="62" t="str">
        <f t="shared" si="24"/>
        <v>Portugal</v>
      </c>
      <c r="G66" s="88">
        <v>0</v>
      </c>
      <c r="H66" s="36" t="s">
        <v>9</v>
      </c>
      <c r="I66" s="103">
        <v>1</v>
      </c>
      <c r="J66" s="104">
        <v>2</v>
      </c>
      <c r="K66" s="57" t="s">
        <v>82</v>
      </c>
      <c r="L66" s="57" t="s">
        <v>78</v>
      </c>
      <c r="M66" s="57"/>
      <c r="O66" s="135">
        <v>9</v>
      </c>
      <c r="P66" s="877" t="s">
        <v>214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3"/>
        <v>1</v>
      </c>
      <c r="Z66" t="str">
        <f>IF(K66=""," ",VLOOKUP(K66,$T$9:$V$54,3,FALSE))</f>
        <v>België</v>
      </c>
      <c r="AA66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1</v>
      </c>
      <c r="AG66" s="108">
        <f t="shared" si="16"/>
        <v>1</v>
      </c>
      <c r="AH66" s="108">
        <f t="shared" si="17"/>
        <v>0</v>
      </c>
      <c r="AI66" s="108">
        <f t="shared" si="18"/>
        <v>0</v>
      </c>
      <c r="AJ66" s="108">
        <f t="shared" si="19"/>
        <v>0</v>
      </c>
      <c r="AK66" s="108">
        <f t="shared" si="20"/>
        <v>0</v>
      </c>
      <c r="AL66" s="108">
        <f t="shared" si="21"/>
        <v>0</v>
      </c>
      <c r="AZ66" s="138" t="str">
        <f>Uitslag!P66</f>
        <v>Jonathan de Guzman (m)</v>
      </c>
      <c r="BA66" s="140">
        <f t="shared" si="12"/>
        <v>3</v>
      </c>
      <c r="BB66" s="139">
        <f t="shared" si="22"/>
        <v>3</v>
      </c>
    </row>
    <row r="67" spans="2:54" ht="15.75" thickBot="1">
      <c r="B67" s="1"/>
      <c r="C67" s="39"/>
      <c r="D67" s="40"/>
      <c r="E67" s="1"/>
      <c r="F67" s="40"/>
      <c r="G67" s="1"/>
      <c r="H67" s="1"/>
      <c r="I67" s="1"/>
      <c r="J67" s="1"/>
      <c r="K67" s="1"/>
      <c r="L67" s="1"/>
      <c r="M67" s="1"/>
      <c r="O67" s="135">
        <v>10</v>
      </c>
      <c r="P67" s="877" t="s">
        <v>215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2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201"/>
      <c r="K68" s="1"/>
      <c r="L68" s="1"/>
      <c r="M68" s="1"/>
      <c r="O68" s="135">
        <v>11</v>
      </c>
      <c r="P68" s="877" t="s">
        <v>216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2"/>
        <v>3</v>
      </c>
    </row>
    <row r="69" spans="2:54">
      <c r="B69" s="78" t="s">
        <v>1</v>
      </c>
      <c r="C69" s="79" t="s">
        <v>2</v>
      </c>
      <c r="D69" s="198" t="s">
        <v>3</v>
      </c>
      <c r="E69" s="81"/>
      <c r="F69" s="199" t="s">
        <v>4</v>
      </c>
      <c r="G69" s="867" t="s">
        <v>5</v>
      </c>
      <c r="H69" s="868"/>
      <c r="I69" s="869"/>
      <c r="J69" s="83" t="s">
        <v>6</v>
      </c>
      <c r="K69" s="1"/>
      <c r="L69" s="1"/>
      <c r="M69" s="1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30</v>
      </c>
      <c r="BB69" s="139" t="str">
        <f>IF(AND(BA69&lt;&gt;"",BA69=33),15,"nvt")</f>
        <v>nvt</v>
      </c>
    </row>
    <row r="70" spans="2:54">
      <c r="B70" s="12">
        <v>57</v>
      </c>
      <c r="C70" s="13">
        <v>41824</v>
      </c>
      <c r="D70" s="55" t="str">
        <f>IF(J63="","Winnaar 53",IF(J63=1,D63,F63))</f>
        <v>Frankrijk</v>
      </c>
      <c r="E70" s="15" t="s">
        <v>9</v>
      </c>
      <c r="F70" s="56" t="str">
        <f>IF(J64="","Winnaar 54",IF(J64=1,D64,F64))</f>
        <v>Duitsland</v>
      </c>
      <c r="G70" s="85">
        <v>1</v>
      </c>
      <c r="H70" s="15" t="s">
        <v>9</v>
      </c>
      <c r="I70" s="97">
        <v>3</v>
      </c>
      <c r="J70" s="98">
        <v>2</v>
      </c>
      <c r="K70" s="1"/>
      <c r="L70" s="1"/>
      <c r="M70" s="1"/>
      <c r="V70" t="s">
        <v>133</v>
      </c>
      <c r="W70" t="s">
        <v>126</v>
      </c>
      <c r="X70" t="str">
        <f t="shared" si="11"/>
        <v>Karim Rekik (v)</v>
      </c>
      <c r="Y70" s="109">
        <f>AF70</f>
        <v>5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5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24">
        <v>58</v>
      </c>
      <c r="C71" s="25">
        <v>41824</v>
      </c>
      <c r="D71" s="58" t="str">
        <f>IF(J59="","Winnaar 49",IF(J59=1,D59,F59))</f>
        <v>Brazilië</v>
      </c>
      <c r="E71" s="27" t="s">
        <v>9</v>
      </c>
      <c r="F71" s="59" t="str">
        <f>IF(J60="","Winnaar 50",IF(J60=1,D60,F60))</f>
        <v>Italië</v>
      </c>
      <c r="G71" s="87">
        <v>2</v>
      </c>
      <c r="H71" s="27" t="s">
        <v>9</v>
      </c>
      <c r="I71" s="99">
        <v>0</v>
      </c>
      <c r="J71" s="100">
        <v>1</v>
      </c>
      <c r="K71" s="1"/>
      <c r="L71" s="1"/>
      <c r="M71" s="1"/>
      <c r="V71" t="s">
        <v>133</v>
      </c>
      <c r="W71" t="s">
        <v>194</v>
      </c>
      <c r="X71" t="str">
        <f t="shared" si="11"/>
        <v>Ron Vlaar (v)</v>
      </c>
      <c r="Y71" s="109">
        <f>AF71</f>
        <v>6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6</v>
      </c>
      <c r="AG71" s="108">
        <f>IF(AC71="",0,(IF(G71=AC71,1,0)))</f>
        <v>1</v>
      </c>
      <c r="AH71" s="108">
        <f>IF(AD71="",0,(IF(I71=AD71,1,0)))</f>
        <v>0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12">
        <v>59</v>
      </c>
      <c r="C72" s="13">
        <v>41825</v>
      </c>
      <c r="D72" s="55" t="str">
        <f>IF(J65="","Winnaar 55",IF(J65=1,D65,F65))</f>
        <v>Argentinië</v>
      </c>
      <c r="E72" s="15" t="s">
        <v>9</v>
      </c>
      <c r="F72" s="56" t="str">
        <f>IF(J66="","Winnaar 56",IF(J66=1,D66,F66))</f>
        <v>Portugal</v>
      </c>
      <c r="G72" s="85">
        <v>2</v>
      </c>
      <c r="H72" s="15" t="s">
        <v>9</v>
      </c>
      <c r="I72" s="97">
        <v>0</v>
      </c>
      <c r="J72" s="98">
        <v>1</v>
      </c>
      <c r="K72" s="1"/>
      <c r="L72" s="1"/>
      <c r="M72" s="1"/>
      <c r="V72" t="s">
        <v>133</v>
      </c>
      <c r="W72" t="s">
        <v>195</v>
      </c>
      <c r="X72" t="str">
        <f t="shared" si="11"/>
        <v>John Heitinga (v)</v>
      </c>
      <c r="Y72" s="109">
        <f>AF72</f>
        <v>6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6</v>
      </c>
      <c r="AG72" s="108">
        <f>IF(AC72="",0,(IF(G72=AC72,1,0)))</f>
        <v>0</v>
      </c>
      <c r="AH72" s="108">
        <f>IF(AD72="",0,(IF(I72=AD72,1,0)))</f>
        <v>1</v>
      </c>
      <c r="AI72" s="108">
        <f>IF(AND(AG72=1,AH72=1),10,0)</f>
        <v>0</v>
      </c>
      <c r="AJ72" s="108">
        <f>IF(AND(G72&gt;I72,AC72&gt;AD72),5,0)</f>
        <v>5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3">
        <v>60</v>
      </c>
      <c r="C73" s="34">
        <v>41825</v>
      </c>
      <c r="D73" s="61" t="str">
        <f>IF(J61="","Winnaar 51",IF(J61=1,D61,F61))</f>
        <v>Nederland</v>
      </c>
      <c r="E73" s="36" t="s">
        <v>9</v>
      </c>
      <c r="F73" s="62" t="str">
        <f>IF(J62="","Winnaar 52",IF(J62=1,D62,F62))</f>
        <v>Uruguay</v>
      </c>
      <c r="G73" s="88">
        <v>0</v>
      </c>
      <c r="H73" s="36" t="s">
        <v>9</v>
      </c>
      <c r="I73" s="103">
        <v>1</v>
      </c>
      <c r="J73" s="104">
        <v>2</v>
      </c>
      <c r="K73" s="1"/>
      <c r="L73" s="1"/>
      <c r="M73" s="1"/>
      <c r="V73" t="s">
        <v>133</v>
      </c>
      <c r="W73" t="s">
        <v>196</v>
      </c>
      <c r="X73" t="str">
        <f t="shared" si="11"/>
        <v>Urby Emanuelson (v)</v>
      </c>
      <c r="Y73" s="109">
        <f>AF73</f>
        <v>1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1</v>
      </c>
      <c r="AG73" s="108">
        <f>IF(AC73="",0,(IF(G73=AC73,1,0)))</f>
        <v>1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1"/>
      <c r="C74" s="39"/>
      <c r="D74" s="40"/>
      <c r="E74" s="1"/>
      <c r="F74" s="40"/>
      <c r="G74" s="1"/>
      <c r="H74" s="1"/>
      <c r="I74" s="1"/>
      <c r="J74" s="1"/>
      <c r="K74" s="1"/>
      <c r="L74" s="1"/>
      <c r="M74" s="1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201"/>
      <c r="K75" s="1"/>
      <c r="L75" s="1"/>
      <c r="M75" s="1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78" t="s">
        <v>1</v>
      </c>
      <c r="C76" s="79" t="s">
        <v>2</v>
      </c>
      <c r="D76" s="198" t="s">
        <v>3</v>
      </c>
      <c r="E76" s="81"/>
      <c r="F76" s="199" t="s">
        <v>4</v>
      </c>
      <c r="G76" s="867" t="s">
        <v>5</v>
      </c>
      <c r="H76" s="868"/>
      <c r="I76" s="869"/>
      <c r="J76" s="83" t="s">
        <v>6</v>
      </c>
      <c r="K76" s="1"/>
      <c r="L76" s="1"/>
      <c r="M76" s="1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12">
        <v>61</v>
      </c>
      <c r="C77" s="13">
        <v>41828</v>
      </c>
      <c r="D77" s="55" t="str">
        <f>IF(J70="","Winnaar 57",IF(J70=1,D70,F70))</f>
        <v>Duitsland</v>
      </c>
      <c r="E77" s="15" t="s">
        <v>9</v>
      </c>
      <c r="F77" s="56" t="str">
        <f>IF(J71="","Winnaar 58",IF(J71=1,D71,F71))</f>
        <v>Brazilië</v>
      </c>
      <c r="G77" s="85">
        <v>0</v>
      </c>
      <c r="H77" s="15" t="s">
        <v>9</v>
      </c>
      <c r="I77" s="97">
        <v>1</v>
      </c>
      <c r="J77" s="98">
        <v>2</v>
      </c>
      <c r="K77" s="1"/>
      <c r="L77" s="1"/>
      <c r="M77" s="1"/>
      <c r="V77" t="s">
        <v>134</v>
      </c>
      <c r="W77" t="s">
        <v>203</v>
      </c>
      <c r="X77" t="str">
        <f t="shared" si="11"/>
        <v>Marco van Ginkel (m)</v>
      </c>
      <c r="Y77" s="109">
        <f>AF77</f>
        <v>1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1</v>
      </c>
      <c r="AG77" s="108">
        <f>IF(AC77="",0,(IF(G77=AC77,1,0)))</f>
        <v>0</v>
      </c>
      <c r="AH77" s="108">
        <f>IF(AD77="",0,(IF(I77=AD77,1,0)))</f>
        <v>1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3">
        <v>62</v>
      </c>
      <c r="C78" s="34">
        <v>41829</v>
      </c>
      <c r="D78" s="61" t="str">
        <f>IF(J72="","Winnaar 59",IF(J72=1,D72,F72))</f>
        <v>Argentinië</v>
      </c>
      <c r="E78" s="36" t="s">
        <v>9</v>
      </c>
      <c r="F78" s="62" t="str">
        <f>IF(J73="","Winnaar 60",IF(J73=1,D73,F73))</f>
        <v>Uruguay</v>
      </c>
      <c r="G78" s="88">
        <v>2</v>
      </c>
      <c r="H78" s="36" t="s">
        <v>9</v>
      </c>
      <c r="I78" s="103">
        <v>0</v>
      </c>
      <c r="J78" s="104">
        <v>1</v>
      </c>
      <c r="K78" s="1"/>
      <c r="L78" s="1"/>
      <c r="M78" s="1"/>
      <c r="V78" t="s">
        <v>134</v>
      </c>
      <c r="W78" t="s">
        <v>199</v>
      </c>
      <c r="X78" t="str">
        <f t="shared" si="11"/>
        <v>Leroy Fer (m)</v>
      </c>
      <c r="Y78" s="109">
        <f>AF78</f>
        <v>1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1</v>
      </c>
      <c r="AG78" s="108">
        <f>IF(AC78="",0,(IF(G78=AC78,1,0)))</f>
        <v>0</v>
      </c>
      <c r="AH78" s="108">
        <f>IF(AD78="",0,(IF(I78=AD78,1,0)))</f>
        <v>1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1"/>
      <c r="C79" s="39"/>
      <c r="D79" s="40"/>
      <c r="E79" s="1"/>
      <c r="F79" s="40"/>
      <c r="G79" s="1"/>
      <c r="H79" s="1"/>
      <c r="I79" s="1"/>
      <c r="J79" s="1"/>
      <c r="K79" s="1"/>
      <c r="L79" s="1"/>
      <c r="M79" s="1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201"/>
      <c r="K80" s="1"/>
      <c r="L80" s="1"/>
      <c r="M80" s="1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78" t="s">
        <v>1</v>
      </c>
      <c r="C81" s="79" t="s">
        <v>2</v>
      </c>
      <c r="D81" s="198" t="s">
        <v>3</v>
      </c>
      <c r="E81" s="81"/>
      <c r="F81" s="199" t="s">
        <v>4</v>
      </c>
      <c r="G81" s="867" t="s">
        <v>5</v>
      </c>
      <c r="H81" s="868"/>
      <c r="I81" s="869"/>
      <c r="J81" s="83" t="s">
        <v>6</v>
      </c>
      <c r="K81" s="1"/>
      <c r="L81" s="1"/>
      <c r="M81" s="1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2">
        <v>63</v>
      </c>
      <c r="C82" s="63">
        <v>41832</v>
      </c>
      <c r="D82" s="64" t="str">
        <f>IF(J77="","Verliezer 61",IF(J77=1,F77,D77))</f>
        <v>Duitsland</v>
      </c>
      <c r="E82" s="3" t="s">
        <v>9</v>
      </c>
      <c r="F82" s="65" t="str">
        <f>IF(J78="","Verliezer 62",IF(J78=1,F78,D78))</f>
        <v>Uruguay</v>
      </c>
      <c r="G82" s="105">
        <v>1</v>
      </c>
      <c r="H82" s="3" t="s">
        <v>9</v>
      </c>
      <c r="I82" s="106">
        <v>1</v>
      </c>
      <c r="J82" s="107">
        <v>1</v>
      </c>
      <c r="K82" s="1"/>
      <c r="L82" s="1"/>
      <c r="M82" s="1"/>
      <c r="V82" t="s">
        <v>134</v>
      </c>
      <c r="W82" t="s">
        <v>125</v>
      </c>
      <c r="X8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1"/>
      <c r="C83" s="39"/>
      <c r="D83" s="40"/>
      <c r="E83" s="1"/>
      <c r="F83" s="40"/>
      <c r="G83" s="1"/>
      <c r="H83" s="1"/>
      <c r="I83" s="1"/>
      <c r="J83" s="1"/>
      <c r="K83" s="1"/>
      <c r="L83" s="1"/>
      <c r="M83" s="1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201"/>
      <c r="K84" s="1"/>
      <c r="L84" s="1"/>
      <c r="M84" s="1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78" t="s">
        <v>1</v>
      </c>
      <c r="C85" s="79" t="s">
        <v>2</v>
      </c>
      <c r="D85" s="198" t="s">
        <v>3</v>
      </c>
      <c r="E85" s="81"/>
      <c r="F85" s="199" t="s">
        <v>4</v>
      </c>
      <c r="G85" s="867" t="s">
        <v>5</v>
      </c>
      <c r="H85" s="868"/>
      <c r="I85" s="869"/>
      <c r="J85" s="83" t="s">
        <v>6</v>
      </c>
      <c r="K85" s="1"/>
      <c r="L85" s="1"/>
      <c r="M85" s="1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2">
        <v>64</v>
      </c>
      <c r="C86" s="63">
        <v>41833</v>
      </c>
      <c r="D86" s="64" t="str">
        <f>IF(J77="","Winnaar 61",IF(J77=1,D77,F77))</f>
        <v>Brazilië</v>
      </c>
      <c r="E86" s="3" t="s">
        <v>9</v>
      </c>
      <c r="F86" s="65" t="str">
        <f>IF(J78="","Winnaar 62",IF(J78=1,D78,F78))</f>
        <v>Argentinië</v>
      </c>
      <c r="G86" s="105">
        <v>2</v>
      </c>
      <c r="H86" s="3" t="s">
        <v>9</v>
      </c>
      <c r="I86" s="106">
        <v>3</v>
      </c>
      <c r="J86" s="107">
        <v>2</v>
      </c>
      <c r="K86" s="1"/>
      <c r="L86" s="1"/>
      <c r="M86" s="1"/>
      <c r="V86" t="s">
        <v>134</v>
      </c>
      <c r="W86" t="s">
        <v>139</v>
      </c>
      <c r="X86" t="str">
        <f t="shared" si="11"/>
        <v>Nigel de Jong (m)</v>
      </c>
      <c r="Y86" s="109">
        <f>AF86</f>
        <v>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0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Argentinië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15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15</v>
      </c>
      <c r="AV89">
        <f>IF(AR89=0,0,IF(E89=AR89,50,0))</f>
        <v>0</v>
      </c>
      <c r="AW89">
        <f>IF(E89=0,0,IF(OR(E89=AR90),15,0))</f>
        <v>15</v>
      </c>
      <c r="AX89">
        <f>IF(E89=0,0,IF(OR(E89=AR91,E89=AR92),5,0))</f>
        <v>0</v>
      </c>
    </row>
    <row r="90" spans="2:50">
      <c r="C90" s="870">
        <v>2</v>
      </c>
      <c r="D90" s="871"/>
      <c r="E90" s="872" t="str">
        <f>IF(J86=2,D86,IF(J86=1,F86,"Wie wordt 2de?"))</f>
        <v>Brazilië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5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5</v>
      </c>
      <c r="AV90">
        <f>IF(AR90=0,0,IF(AR90=E90,25,0))</f>
        <v>0</v>
      </c>
      <c r="AW90">
        <f>IF(E90=0,0,IF(OR(E90=AR89,),15,0))</f>
        <v>0</v>
      </c>
      <c r="AX90">
        <f>IF(E90=0,0,IF(OR(E90=AR91,E90=AR92),5,0))</f>
        <v>5</v>
      </c>
    </row>
    <row r="91" spans="2:50">
      <c r="C91" s="870">
        <v>3</v>
      </c>
      <c r="D91" s="871"/>
      <c r="E91" s="872" t="str">
        <f>IF(J82=1,D82,IF(J82=2,F82,"Wie wordt 3de?"))</f>
        <v>Duitsland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5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5</v>
      </c>
      <c r="AV91">
        <f>IF(AR91=0,0,IF(AR91=E91,15,0))</f>
        <v>0</v>
      </c>
      <c r="AW91">
        <f>IF(E91=0,0,IF(OR(E91=AR92),10,0))</f>
        <v>0</v>
      </c>
      <c r="AX91">
        <f>IF(E91=0,0,IF(OR(E91=AR89,E91=AR90),5,0))</f>
        <v>5</v>
      </c>
    </row>
    <row r="92" spans="2:50">
      <c r="C92" s="870">
        <v>4</v>
      </c>
      <c r="D92" s="871"/>
      <c r="E92" s="872" t="str">
        <f>IF(J82=2,D82,IF(J82=1,F82,"Wie wordt 4de?"))</f>
        <v>Uruguay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0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0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25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conditionalFormatting sqref="AO9:AO12 AO15:AO18 AO21:AO24 AO27:AO30 AO33:AO36 AO39:AO42 AO45:AO48 AO51:AO54">
    <cfRule type="cellIs" dxfId="197" priority="3" operator="equal">
      <formula>10</formula>
    </cfRule>
  </conditionalFormatting>
  <conditionalFormatting sqref="P58:T58">
    <cfRule type="duplicateValues" dxfId="196" priority="2"/>
  </conditionalFormatting>
  <conditionalFormatting sqref="P58:T68">
    <cfRule type="duplicateValues" dxfId="195" priority="1"/>
  </conditionalFormatting>
  <dataValidations count="10">
    <dataValidation type="list" allowBlank="1" showInputMessage="1" showErrorMessage="1" sqref="T51:T54">
      <formula1>$W$51:$W$54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P58:P68">
      <formula1>$X$58:$X$98</formula1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B1:BB98"/>
  <sheetViews>
    <sheetView topLeftCell="A58" zoomScale="70" zoomScaleNormal="70" workbookViewId="0">
      <selection activeCell="P58" sqref="P58:T68"/>
    </sheetView>
  </sheetViews>
  <sheetFormatPr defaultRowHeight="15" outlineLevelCol="2"/>
  <cols>
    <col min="1" max="1" width="3.42578125" customWidth="1"/>
    <col min="2" max="2" width="3.5703125" bestFit="1" customWidth="1"/>
    <col min="3" max="3" width="11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145" t="s">
        <v>254</v>
      </c>
      <c r="E3" s="145"/>
      <c r="F3" s="145"/>
      <c r="N3" t="str">
        <f>D3</f>
        <v>Kay L.</v>
      </c>
      <c r="O3" s="144">
        <f>SUM(P3:S3)</f>
        <v>334</v>
      </c>
      <c r="P3" s="109">
        <f>SUM(Y8:Y86)</f>
        <v>182</v>
      </c>
      <c r="Q3" s="109">
        <f>SUM(AM4:AM55)</f>
        <v>110</v>
      </c>
      <c r="R3" s="109">
        <f>SUM(AP89:AP92)</f>
        <v>15</v>
      </c>
      <c r="S3" s="109">
        <f>SUM(BB58:BB69)</f>
        <v>27</v>
      </c>
      <c r="T3" s="109">
        <f>COUNTIF(AF8:AF86,10)</f>
        <v>3</v>
      </c>
      <c r="U3" s="109" t="str">
        <f>E89</f>
        <v>Nederland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1"/>
      <c r="L6" s="1"/>
      <c r="O6" s="40"/>
      <c r="P6" s="41"/>
      <c r="Q6" s="41"/>
      <c r="R6" s="41"/>
      <c r="S6" s="41"/>
      <c r="T6" s="41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66" t="s">
        <v>1</v>
      </c>
      <c r="C7" s="67" t="s">
        <v>2</v>
      </c>
      <c r="D7" s="202" t="s">
        <v>3</v>
      </c>
      <c r="E7" s="69"/>
      <c r="F7" s="203" t="s">
        <v>4</v>
      </c>
      <c r="G7" s="880" t="s">
        <v>5</v>
      </c>
      <c r="H7" s="881"/>
      <c r="I7" s="882"/>
      <c r="J7" s="71" t="s">
        <v>6</v>
      </c>
      <c r="K7" s="4" t="s">
        <v>7</v>
      </c>
      <c r="L7" s="4" t="s">
        <v>7</v>
      </c>
      <c r="O7" s="1"/>
      <c r="P7" s="41"/>
      <c r="Q7" s="41"/>
      <c r="R7" s="41"/>
      <c r="S7" s="41"/>
      <c r="T7" s="41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5">
        <v>1</v>
      </c>
      <c r="C8" s="6">
        <v>41802</v>
      </c>
      <c r="D8" s="7" t="s">
        <v>8</v>
      </c>
      <c r="E8" s="8" t="s">
        <v>9</v>
      </c>
      <c r="F8" s="9" t="s">
        <v>10</v>
      </c>
      <c r="G8" s="84">
        <v>2</v>
      </c>
      <c r="H8" s="8" t="s">
        <v>9</v>
      </c>
      <c r="I8" s="200">
        <v>1</v>
      </c>
      <c r="J8" s="10">
        <f>IF(I8="","",IF(G8&gt;I8,1,IF(G8&lt;I8,2,3)))</f>
        <v>1</v>
      </c>
      <c r="K8" s="11">
        <f>IF(I8="","",IF($G8&gt;$I8,3,IF($G8=$I8,1,0)))</f>
        <v>3</v>
      </c>
      <c r="L8" s="11">
        <f>IF(I8="","",IF($G8&lt;$I8,3,IF($G8=$I8,1,0)))</f>
        <v>0</v>
      </c>
      <c r="O8" s="72" t="s">
        <v>41</v>
      </c>
      <c r="P8" s="73" t="s">
        <v>42</v>
      </c>
      <c r="Q8" s="73" t="s">
        <v>43</v>
      </c>
      <c r="R8" s="74" t="s">
        <v>44</v>
      </c>
      <c r="S8" s="75" t="s">
        <v>45</v>
      </c>
      <c r="T8" s="76" t="s">
        <v>46</v>
      </c>
      <c r="U8" s="40"/>
      <c r="V8" s="40"/>
      <c r="W8" s="40"/>
      <c r="Y8" s="109">
        <f>AF8</f>
        <v>6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6</v>
      </c>
      <c r="AG8" s="108">
        <f t="shared" ref="AG8:AG55" si="0">IF(AC8="",0,(IF(G8=AC8,1,0)))</f>
        <v>0</v>
      </c>
      <c r="AH8" s="108">
        <f t="shared" ref="AH8:AH55" si="1">IF(AD8="",0,(IF(I8=AD8,1,0)))</f>
        <v>1</v>
      </c>
      <c r="AI8" s="108">
        <f>IF(AND(AG8=1,AH8=1),10,0)</f>
        <v>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12">
        <v>2</v>
      </c>
      <c r="C9" s="13">
        <v>41803</v>
      </c>
      <c r="D9" s="14" t="s">
        <v>11</v>
      </c>
      <c r="E9" s="15" t="s">
        <v>9</v>
      </c>
      <c r="F9" s="16" t="s">
        <v>12</v>
      </c>
      <c r="G9" s="85">
        <v>1</v>
      </c>
      <c r="H9" s="15" t="s">
        <v>9</v>
      </c>
      <c r="I9" s="90">
        <v>1</v>
      </c>
      <c r="J9" s="17">
        <f t="shared" ref="J9:J55" si="5">IF(I9="","",IF(G9&gt;I9,1,IF(G9&lt;I9,2,3)))</f>
        <v>3</v>
      </c>
      <c r="K9" s="11">
        <f t="shared" ref="K9:K55" si="6">IF(I9="","",IF($G9&gt;$I9,3,IF($G9=$I9,1,0)))</f>
        <v>1</v>
      </c>
      <c r="L9" s="11">
        <f t="shared" ref="L9:L55" si="7">IF(I9="","",IF($G9&lt;$I9,3,IF($G9=$I9,1,0)))</f>
        <v>1</v>
      </c>
      <c r="O9" s="44" t="s">
        <v>8</v>
      </c>
      <c r="P9" s="45">
        <f>SUMIF($D$8:$D$55,$O9,$G$8:$G$55)+SUMIF($F$8:$F$55,$O9,$I$8:$I$55)</f>
        <v>7</v>
      </c>
      <c r="Q9" s="45">
        <f>SUMIF($D$8:$D$55,$O9,$I$8:$I$55)+SUMIF($F$8:$F$55,$O9,$G$8:$G$55)</f>
        <v>2</v>
      </c>
      <c r="R9" s="46">
        <f>P9-Q9</f>
        <v>5</v>
      </c>
      <c r="S9" s="47">
        <f>SUMIF($D$8:$D$55,$O9,$K$8:$K$55)+SUMIF($F$8:$F$55,$O9,$L$8:$L$55)</f>
        <v>9</v>
      </c>
      <c r="T9" s="94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1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1</v>
      </c>
      <c r="AG9" s="108">
        <f t="shared" si="0"/>
        <v>1</v>
      </c>
      <c r="AH9" s="108">
        <f t="shared" si="1"/>
        <v>0</v>
      </c>
      <c r="AI9" s="108">
        <f t="shared" ref="AI9:AI55" si="10">IF(AND(AG9=1,AH9=1),10,0)</f>
        <v>0</v>
      </c>
      <c r="AJ9" s="108">
        <f t="shared" si="2"/>
        <v>0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18">
        <v>3</v>
      </c>
      <c r="C10" s="19">
        <v>41803</v>
      </c>
      <c r="D10" s="20" t="s">
        <v>13</v>
      </c>
      <c r="E10" s="21" t="s">
        <v>9</v>
      </c>
      <c r="F10" s="22" t="s">
        <v>14</v>
      </c>
      <c r="G10" s="86">
        <v>1</v>
      </c>
      <c r="H10" s="21" t="s">
        <v>9</v>
      </c>
      <c r="I10" s="91">
        <v>1</v>
      </c>
      <c r="J10" s="23">
        <f t="shared" si="5"/>
        <v>3</v>
      </c>
      <c r="K10" s="11">
        <f t="shared" si="6"/>
        <v>1</v>
      </c>
      <c r="L10" s="11">
        <f t="shared" si="7"/>
        <v>1</v>
      </c>
      <c r="O10" s="48" t="s">
        <v>10</v>
      </c>
      <c r="P10" s="49">
        <f>SUMIF($D$8:$D$55,$O10,$G$8:$G$55)+SUMIF($F$8:$F$55,$O10,$I$8:$I$55)</f>
        <v>1</v>
      </c>
      <c r="Q10" s="49">
        <f>SUMIF($D$8:$D$55,$O10,$I$8:$I$55)+SUMIF($F$8:$F$55,$O10,$G$8:$G$55)</f>
        <v>7</v>
      </c>
      <c r="R10" s="49">
        <f>P10-Q10</f>
        <v>-6</v>
      </c>
      <c r="S10" s="50">
        <f>SUMIF($D$8:$D$55,$O10,$K$8:$K$55)+SUMIF($F$8:$F$55,$O10,$L$8:$L$55)</f>
        <v>0</v>
      </c>
      <c r="T10" s="95" t="s">
        <v>50</v>
      </c>
      <c r="U10" s="40"/>
      <c r="V10" s="40" t="str">
        <f>O10</f>
        <v>Kroatië</v>
      </c>
      <c r="W10" s="40" t="s">
        <v>49</v>
      </c>
      <c r="Y10" s="109">
        <f t="shared" si="8"/>
        <v>1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1</v>
      </c>
      <c r="AG10" s="108">
        <f t="shared" si="0"/>
        <v>1</v>
      </c>
      <c r="AH10" s="108">
        <f t="shared" si="1"/>
        <v>0</v>
      </c>
      <c r="AI10" s="108">
        <f t="shared" si="10"/>
        <v>0</v>
      </c>
      <c r="AJ10" s="108">
        <f t="shared" si="2"/>
        <v>0</v>
      </c>
      <c r="AK10" s="108">
        <f t="shared" si="3"/>
        <v>0</v>
      </c>
      <c r="AL10" s="108">
        <f t="shared" si="4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24">
        <v>4</v>
      </c>
      <c r="C11" s="25">
        <v>41803</v>
      </c>
      <c r="D11" s="26" t="s">
        <v>15</v>
      </c>
      <c r="E11" s="27" t="s">
        <v>9</v>
      </c>
      <c r="F11" s="28" t="s">
        <v>16</v>
      </c>
      <c r="G11" s="87">
        <v>1</v>
      </c>
      <c r="H11" s="27" t="s">
        <v>9</v>
      </c>
      <c r="I11" s="92">
        <v>0</v>
      </c>
      <c r="J11" s="29">
        <f t="shared" si="5"/>
        <v>1</v>
      </c>
      <c r="K11" s="11">
        <f t="shared" si="6"/>
        <v>3</v>
      </c>
      <c r="L11" s="11">
        <f t="shared" si="7"/>
        <v>0</v>
      </c>
      <c r="O11" s="48" t="s">
        <v>11</v>
      </c>
      <c r="P11" s="49">
        <f>SUMIF($D$8:$D$55,$O11,$G$8:$G$55)+SUMIF($F$8:$F$55,$O11,$I$8:$I$55)</f>
        <v>5</v>
      </c>
      <c r="Q11" s="49">
        <f>SUMIF($D$8:$D$55,$O11,$I$8:$I$55)+SUMIF($F$8:$F$55,$O11,$G$8:$G$55)</f>
        <v>3</v>
      </c>
      <c r="R11" s="49">
        <f>P11-Q11</f>
        <v>2</v>
      </c>
      <c r="S11" s="50">
        <f>SUMIF($D$8:$D$55,$O11,$K$8:$K$55)+SUMIF($F$8:$F$55,$O11,$L$8:$L$55)</f>
        <v>4</v>
      </c>
      <c r="T11" s="95" t="s">
        <v>49</v>
      </c>
      <c r="U11" s="40"/>
      <c r="V11" s="40" t="str">
        <f>O11</f>
        <v>Mexico</v>
      </c>
      <c r="W11" s="40" t="s">
        <v>47</v>
      </c>
      <c r="Y11" s="109">
        <f t="shared" si="8"/>
        <v>5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5</v>
      </c>
      <c r="AG11" s="108">
        <f t="shared" si="0"/>
        <v>0</v>
      </c>
      <c r="AH11" s="108">
        <f t="shared" si="1"/>
        <v>0</v>
      </c>
      <c r="AI11" s="108">
        <f t="shared" si="10"/>
        <v>0</v>
      </c>
      <c r="AJ11" s="108">
        <f t="shared" si="2"/>
        <v>5</v>
      </c>
      <c r="AK11" s="108">
        <f t="shared" si="3"/>
        <v>0</v>
      </c>
      <c r="AL11" s="108">
        <f t="shared" si="4"/>
        <v>0</v>
      </c>
      <c r="AM11" s="120">
        <f>AO11</f>
        <v>10</v>
      </c>
      <c r="AN11" s="117" t="s">
        <v>11</v>
      </c>
      <c r="AO11" s="115">
        <f>IF(Uitslag!T11="",0,IF(T11=Uitslag!T11,10,0))</f>
        <v>10</v>
      </c>
    </row>
    <row r="12" spans="2:54" ht="15.75" thickBot="1">
      <c r="B12" s="12">
        <v>5</v>
      </c>
      <c r="C12" s="13">
        <v>41804</v>
      </c>
      <c r="D12" s="14" t="s">
        <v>17</v>
      </c>
      <c r="E12" s="15" t="s">
        <v>9</v>
      </c>
      <c r="F12" s="16" t="s">
        <v>18</v>
      </c>
      <c r="G12" s="85">
        <v>0</v>
      </c>
      <c r="H12" s="15" t="s">
        <v>9</v>
      </c>
      <c r="I12" s="90">
        <v>0</v>
      </c>
      <c r="J12" s="17">
        <f t="shared" si="5"/>
        <v>3</v>
      </c>
      <c r="K12" s="11">
        <f t="shared" si="6"/>
        <v>1</v>
      </c>
      <c r="L12" s="11">
        <f t="shared" si="7"/>
        <v>1</v>
      </c>
      <c r="O12" s="51" t="s">
        <v>12</v>
      </c>
      <c r="P12" s="52">
        <f>SUMIF($D$8:$D$55,$O12,$G$8:$G$55)+SUMIF($F$8:$F$55,$O12,$I$8:$I$55)</f>
        <v>3</v>
      </c>
      <c r="Q12" s="52">
        <f>SUMIF($D$8:$D$55,$O12,$I$8:$I$55)+SUMIF($F$8:$F$55,$O12,$G$8:$G$55)</f>
        <v>4</v>
      </c>
      <c r="R12" s="52">
        <f>P12-Q12</f>
        <v>-1</v>
      </c>
      <c r="S12" s="53">
        <f>SUMIF($D$8:$D$55,$O12,$K$8:$K$55)+SUMIF($F$8:$F$55,$O12,$L$8:$L$55)</f>
        <v>4</v>
      </c>
      <c r="T12" s="96" t="s">
        <v>47</v>
      </c>
      <c r="U12" s="40"/>
      <c r="V12" s="40" t="str">
        <f>O12</f>
        <v>Kameroen</v>
      </c>
      <c r="W12" s="40" t="s">
        <v>50</v>
      </c>
      <c r="Y12" s="109">
        <f t="shared" si="8"/>
        <v>1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1</v>
      </c>
      <c r="AG12" s="108">
        <f t="shared" si="0"/>
        <v>0</v>
      </c>
      <c r="AH12" s="108">
        <f t="shared" si="1"/>
        <v>1</v>
      </c>
      <c r="AI12" s="108">
        <f t="shared" si="10"/>
        <v>0</v>
      </c>
      <c r="AJ12" s="108">
        <f t="shared" si="2"/>
        <v>0</v>
      </c>
      <c r="AK12" s="108">
        <f t="shared" si="3"/>
        <v>0</v>
      </c>
      <c r="AL12" s="108">
        <f t="shared" si="4"/>
        <v>0</v>
      </c>
      <c r="AM12" s="120">
        <f>AO12</f>
        <v>0</v>
      </c>
      <c r="AN12" s="118" t="s">
        <v>12</v>
      </c>
      <c r="AO12" s="115">
        <f>IF(Uitslag!T12="",0,IF(T12=Uitslag!T12,10,0))</f>
        <v>0</v>
      </c>
    </row>
    <row r="13" spans="2:54" ht="15.75" thickBot="1">
      <c r="B13" s="18">
        <v>6</v>
      </c>
      <c r="C13" s="19">
        <v>41804</v>
      </c>
      <c r="D13" s="20" t="s">
        <v>19</v>
      </c>
      <c r="E13" s="21" t="s">
        <v>9</v>
      </c>
      <c r="F13" s="30" t="s">
        <v>20</v>
      </c>
      <c r="G13" s="86">
        <v>2</v>
      </c>
      <c r="H13" s="21" t="s">
        <v>9</v>
      </c>
      <c r="I13" s="91">
        <v>0</v>
      </c>
      <c r="J13" s="23">
        <f t="shared" si="5"/>
        <v>1</v>
      </c>
      <c r="K13" s="11">
        <f t="shared" si="6"/>
        <v>3</v>
      </c>
      <c r="L13" s="11">
        <f t="shared" si="7"/>
        <v>0</v>
      </c>
      <c r="O13" s="40"/>
      <c r="P13" s="41"/>
      <c r="Q13" s="41"/>
      <c r="R13" s="41"/>
      <c r="S13" s="41"/>
      <c r="T13" s="41"/>
      <c r="U13" s="40"/>
      <c r="V13" s="40"/>
      <c r="W13" s="40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0"/>
        <v>0</v>
      </c>
      <c r="AH13" s="108">
        <f t="shared" si="1"/>
        <v>0</v>
      </c>
      <c r="AI13" s="108">
        <f t="shared" si="10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40"/>
      <c r="AO13" s="41"/>
    </row>
    <row r="14" spans="2:54" ht="15.75" thickBot="1">
      <c r="B14" s="18">
        <v>7</v>
      </c>
      <c r="C14" s="19">
        <v>41804</v>
      </c>
      <c r="D14" s="20" t="s">
        <v>21</v>
      </c>
      <c r="E14" s="21" t="s">
        <v>9</v>
      </c>
      <c r="F14" s="30" t="s">
        <v>22</v>
      </c>
      <c r="G14" s="86">
        <v>1</v>
      </c>
      <c r="H14" s="21" t="s">
        <v>9</v>
      </c>
      <c r="I14" s="91">
        <v>2</v>
      </c>
      <c r="J14" s="23">
        <f t="shared" si="5"/>
        <v>2</v>
      </c>
      <c r="K14" s="11">
        <f t="shared" si="6"/>
        <v>0</v>
      </c>
      <c r="L14" s="11">
        <f t="shared" si="7"/>
        <v>3</v>
      </c>
      <c r="O14" s="72" t="s">
        <v>51</v>
      </c>
      <c r="P14" s="73" t="s">
        <v>42</v>
      </c>
      <c r="Q14" s="73" t="s">
        <v>43</v>
      </c>
      <c r="R14" s="74" t="s">
        <v>44</v>
      </c>
      <c r="S14" s="75" t="s">
        <v>45</v>
      </c>
      <c r="T14" s="76" t="s">
        <v>46</v>
      </c>
      <c r="U14" s="40"/>
      <c r="V14" s="40"/>
      <c r="W14" s="40"/>
      <c r="Y14" s="109">
        <f t="shared" si="8"/>
        <v>10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10</v>
      </c>
      <c r="AG14" s="108">
        <f t="shared" si="0"/>
        <v>1</v>
      </c>
      <c r="AH14" s="108">
        <f t="shared" si="1"/>
        <v>1</v>
      </c>
      <c r="AI14" s="108">
        <f t="shared" si="10"/>
        <v>10</v>
      </c>
      <c r="AJ14" s="108">
        <f t="shared" si="2"/>
        <v>0</v>
      </c>
      <c r="AK14" s="108">
        <f t="shared" si="3"/>
        <v>5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24">
        <v>8</v>
      </c>
      <c r="C15" s="25">
        <v>41804</v>
      </c>
      <c r="D15" s="26" t="s">
        <v>23</v>
      </c>
      <c r="E15" s="27" t="s">
        <v>9</v>
      </c>
      <c r="F15" s="28" t="s">
        <v>24</v>
      </c>
      <c r="G15" s="87">
        <v>2</v>
      </c>
      <c r="H15" s="27" t="s">
        <v>9</v>
      </c>
      <c r="I15" s="92">
        <v>0</v>
      </c>
      <c r="J15" s="29">
        <f t="shared" si="5"/>
        <v>1</v>
      </c>
      <c r="K15" s="11">
        <f t="shared" si="6"/>
        <v>3</v>
      </c>
      <c r="L15" s="11">
        <f t="shared" si="7"/>
        <v>0</v>
      </c>
      <c r="O15" s="44" t="s">
        <v>13</v>
      </c>
      <c r="P15" s="45">
        <f>SUMIF($D$8:$D$55,$O15,$G$8:$G$55)+SUMIF($F$8:$F$55,$O15,$I$8:$I$55)</f>
        <v>4</v>
      </c>
      <c r="Q15" s="45">
        <f>SUMIF($D$8:$D$55,$O15,$I$8:$I$55)+SUMIF($F$8:$F$55,$O15,$G$8:$G$55)</f>
        <v>2</v>
      </c>
      <c r="R15" s="46">
        <f>P15-Q15</f>
        <v>2</v>
      </c>
      <c r="S15" s="47">
        <f>SUMIF($D$8:$D$55,$O15,$K$8:$K$55)+SUMIF($F$8:$F$55,$O15,$L$8:$L$55)</f>
        <v>5</v>
      </c>
      <c r="T15" s="94" t="s">
        <v>53</v>
      </c>
      <c r="U15" s="40"/>
      <c r="V15" s="40" t="str">
        <f>O15</f>
        <v>Spanje</v>
      </c>
      <c r="W15" s="40" t="s">
        <v>52</v>
      </c>
      <c r="Y15" s="109">
        <f t="shared" si="8"/>
        <v>6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6</v>
      </c>
      <c r="AG15" s="108">
        <f t="shared" si="0"/>
        <v>1</v>
      </c>
      <c r="AH15" s="108">
        <f t="shared" si="1"/>
        <v>0</v>
      </c>
      <c r="AI15" s="108">
        <f t="shared" si="10"/>
        <v>0</v>
      </c>
      <c r="AJ15" s="108">
        <f t="shared" si="2"/>
        <v>5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12">
        <v>9</v>
      </c>
      <c r="C16" s="13">
        <v>41805</v>
      </c>
      <c r="D16" s="14" t="s">
        <v>25</v>
      </c>
      <c r="E16" s="15" t="s">
        <v>9</v>
      </c>
      <c r="F16" s="16" t="s">
        <v>26</v>
      </c>
      <c r="G16" s="85">
        <v>1</v>
      </c>
      <c r="H16" s="15" t="s">
        <v>9</v>
      </c>
      <c r="I16" s="90">
        <v>2</v>
      </c>
      <c r="J16" s="17">
        <f t="shared" si="5"/>
        <v>2</v>
      </c>
      <c r="K16" s="11">
        <f t="shared" si="6"/>
        <v>0</v>
      </c>
      <c r="L16" s="11">
        <f t="shared" si="7"/>
        <v>3</v>
      </c>
      <c r="O16" s="54" t="s">
        <v>14</v>
      </c>
      <c r="P16" s="49">
        <f>SUMIF($D$8:$D$55,$O16,$G$8:$G$55)+SUMIF($F$8:$F$55,$O16,$I$8:$I$55)</f>
        <v>5</v>
      </c>
      <c r="Q16" s="49">
        <f>SUMIF($D$8:$D$55,$O16,$I$8:$I$55)+SUMIF($F$8:$F$55,$O16,$G$8:$G$55)</f>
        <v>2</v>
      </c>
      <c r="R16" s="49">
        <f>P16-Q16</f>
        <v>3</v>
      </c>
      <c r="S16" s="50">
        <f>SUMIF($D$8:$D$55,$O16,$K$8:$K$55)+SUMIF($F$8:$F$55,$O16,$L$8:$L$55)</f>
        <v>7</v>
      </c>
      <c r="T16" s="95" t="s">
        <v>52</v>
      </c>
      <c r="U16" s="40"/>
      <c r="V16" s="40" t="str">
        <f>O16</f>
        <v>Nederland</v>
      </c>
      <c r="W16" s="40" t="s">
        <v>53</v>
      </c>
      <c r="Y16" s="109">
        <f t="shared" si="8"/>
        <v>0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0</v>
      </c>
      <c r="AG16" s="108">
        <f t="shared" si="0"/>
        <v>0</v>
      </c>
      <c r="AH16" s="108">
        <f t="shared" si="1"/>
        <v>0</v>
      </c>
      <c r="AI16" s="108">
        <f t="shared" si="10"/>
        <v>0</v>
      </c>
      <c r="AJ16" s="108">
        <f t="shared" si="2"/>
        <v>0</v>
      </c>
      <c r="AK16" s="108">
        <f t="shared" si="3"/>
        <v>0</v>
      </c>
      <c r="AL16" s="108">
        <f t="shared" si="4"/>
        <v>0</v>
      </c>
      <c r="AM16" s="120">
        <f>AO16</f>
        <v>10</v>
      </c>
      <c r="AN16" s="119" t="s">
        <v>14</v>
      </c>
      <c r="AO16" s="115">
        <f>IF(Uitslag!T16="",0,IF(T16=Uitslag!T16,10,0))</f>
        <v>10</v>
      </c>
    </row>
    <row r="17" spans="2:41" ht="15.75" thickBot="1">
      <c r="B17" s="18">
        <v>10</v>
      </c>
      <c r="C17" s="19">
        <v>41805</v>
      </c>
      <c r="D17" s="20" t="s">
        <v>27</v>
      </c>
      <c r="E17" s="21" t="s">
        <v>9</v>
      </c>
      <c r="F17" s="30" t="s">
        <v>28</v>
      </c>
      <c r="G17" s="86">
        <v>3</v>
      </c>
      <c r="H17" s="21" t="s">
        <v>9</v>
      </c>
      <c r="I17" s="91">
        <v>0</v>
      </c>
      <c r="J17" s="23">
        <f t="shared" si="5"/>
        <v>1</v>
      </c>
      <c r="K17" s="11">
        <f t="shared" si="6"/>
        <v>3</v>
      </c>
      <c r="L17" s="11">
        <f t="shared" si="7"/>
        <v>0</v>
      </c>
      <c r="O17" s="48" t="s">
        <v>15</v>
      </c>
      <c r="P17" s="49">
        <f>SUMIF($D$8:$D$55,$O17,$G$8:$G$55)+SUMIF($F$8:$F$55,$O17,$I$8:$I$55)</f>
        <v>3</v>
      </c>
      <c r="Q17" s="49">
        <f>SUMIF($D$8:$D$55,$O17,$I$8:$I$55)+SUMIF($F$8:$F$55,$O17,$G$8:$G$55)</f>
        <v>3</v>
      </c>
      <c r="R17" s="49">
        <f>P17-Q17</f>
        <v>0</v>
      </c>
      <c r="S17" s="50">
        <f>SUMIF($D$8:$D$55,$O17,$K$8:$K$55)+SUMIF($F$8:$F$55,$O17,$L$8:$L$55)</f>
        <v>4</v>
      </c>
      <c r="T17" s="95" t="s">
        <v>54</v>
      </c>
      <c r="U17" s="40"/>
      <c r="V17" s="40" t="str">
        <f>O17</f>
        <v>Chili</v>
      </c>
      <c r="W17" s="40" t="s">
        <v>54</v>
      </c>
      <c r="Y17" s="109">
        <f t="shared" si="8"/>
        <v>10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10</v>
      </c>
      <c r="AG17" s="108">
        <f t="shared" si="0"/>
        <v>1</v>
      </c>
      <c r="AH17" s="108">
        <f t="shared" si="1"/>
        <v>1</v>
      </c>
      <c r="AI17" s="108">
        <f t="shared" si="10"/>
        <v>10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24">
        <v>11</v>
      </c>
      <c r="C18" s="25">
        <v>41805</v>
      </c>
      <c r="D18" s="26" t="s">
        <v>29</v>
      </c>
      <c r="E18" s="27" t="s">
        <v>9</v>
      </c>
      <c r="F18" s="28" t="s">
        <v>30</v>
      </c>
      <c r="G18" s="87">
        <v>2</v>
      </c>
      <c r="H18" s="27" t="s">
        <v>9</v>
      </c>
      <c r="I18" s="92">
        <v>0</v>
      </c>
      <c r="J18" s="29">
        <f t="shared" si="5"/>
        <v>1</v>
      </c>
      <c r="K18" s="11">
        <f t="shared" si="6"/>
        <v>3</v>
      </c>
      <c r="L18" s="11">
        <f t="shared" si="7"/>
        <v>0</v>
      </c>
      <c r="O18" s="51" t="s">
        <v>16</v>
      </c>
      <c r="P18" s="52">
        <f>SUMIF($D$8:$D$55,$O18,$G$8:$G$55)+SUMIF($F$8:$F$55,$O18,$I$8:$I$55)</f>
        <v>0</v>
      </c>
      <c r="Q18" s="52">
        <f>SUMIF($D$8:$D$55,$O18,$I$8:$I$55)+SUMIF($F$8:$F$55,$O18,$G$8:$G$55)</f>
        <v>5</v>
      </c>
      <c r="R18" s="52">
        <f>P18-Q18</f>
        <v>-5</v>
      </c>
      <c r="S18" s="53">
        <f>SUMIF($D$8:$D$55,$O18,$K$8:$K$55)+SUMIF($F$8:$F$55,$O18,$L$8:$L$55)</f>
        <v>0</v>
      </c>
      <c r="T18" s="96" t="s">
        <v>55</v>
      </c>
      <c r="U18" s="40"/>
      <c r="V18" s="40" t="str">
        <f>O18</f>
        <v>Australië</v>
      </c>
      <c r="W18" s="40" t="s">
        <v>55</v>
      </c>
      <c r="Y18" s="109">
        <f t="shared" si="8"/>
        <v>6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6</v>
      </c>
      <c r="AG18" s="108">
        <f t="shared" si="0"/>
        <v>1</v>
      </c>
      <c r="AH18" s="108">
        <f t="shared" si="1"/>
        <v>0</v>
      </c>
      <c r="AI18" s="108">
        <f t="shared" si="10"/>
        <v>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12">
        <v>12</v>
      </c>
      <c r="C19" s="13">
        <v>41806</v>
      </c>
      <c r="D19" s="14" t="s">
        <v>31</v>
      </c>
      <c r="E19" s="15" t="s">
        <v>9</v>
      </c>
      <c r="F19" s="16" t="s">
        <v>32</v>
      </c>
      <c r="G19" s="85">
        <v>2</v>
      </c>
      <c r="H19" s="15" t="s">
        <v>9</v>
      </c>
      <c r="I19" s="90">
        <v>1</v>
      </c>
      <c r="J19" s="17">
        <f t="shared" si="5"/>
        <v>1</v>
      </c>
      <c r="K19" s="11">
        <f t="shared" si="6"/>
        <v>3</v>
      </c>
      <c r="L19" s="11">
        <f t="shared" si="7"/>
        <v>0</v>
      </c>
      <c r="O19" s="40"/>
      <c r="P19" s="41"/>
      <c r="Q19" s="41"/>
      <c r="R19" s="41"/>
      <c r="S19" s="41"/>
      <c r="T19" s="41"/>
      <c r="U19" s="40"/>
      <c r="V19" s="40"/>
      <c r="W19" s="40"/>
      <c r="Y19" s="109">
        <f t="shared" si="8"/>
        <v>5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5</v>
      </c>
      <c r="AG19" s="108">
        <f t="shared" si="0"/>
        <v>0</v>
      </c>
      <c r="AH19" s="108">
        <f t="shared" si="1"/>
        <v>0</v>
      </c>
      <c r="AI19" s="108">
        <f t="shared" si="10"/>
        <v>0</v>
      </c>
      <c r="AJ19" s="108">
        <f t="shared" si="2"/>
        <v>5</v>
      </c>
      <c r="AK19" s="108">
        <f t="shared" si="3"/>
        <v>0</v>
      </c>
      <c r="AL19" s="108">
        <f t="shared" si="4"/>
        <v>0</v>
      </c>
      <c r="AN19" s="40"/>
      <c r="AO19" s="41"/>
    </row>
    <row r="20" spans="2:41" ht="15.75" thickBot="1">
      <c r="B20" s="18">
        <v>13</v>
      </c>
      <c r="C20" s="19">
        <v>41806</v>
      </c>
      <c r="D20" s="20" t="s">
        <v>33</v>
      </c>
      <c r="E20" s="21" t="s">
        <v>9</v>
      </c>
      <c r="F20" s="30" t="s">
        <v>34</v>
      </c>
      <c r="G20" s="86">
        <v>0</v>
      </c>
      <c r="H20" s="21" t="s">
        <v>9</v>
      </c>
      <c r="I20" s="91">
        <v>1</v>
      </c>
      <c r="J20" s="23">
        <f t="shared" si="5"/>
        <v>2</v>
      </c>
      <c r="K20" s="11">
        <f t="shared" si="6"/>
        <v>0</v>
      </c>
      <c r="L20" s="11">
        <f t="shared" si="7"/>
        <v>3</v>
      </c>
      <c r="O20" s="72" t="s">
        <v>56</v>
      </c>
      <c r="P20" s="73" t="s">
        <v>42</v>
      </c>
      <c r="Q20" s="73" t="s">
        <v>43</v>
      </c>
      <c r="R20" s="74" t="s">
        <v>44</v>
      </c>
      <c r="S20" s="75" t="s">
        <v>45</v>
      </c>
      <c r="T20" s="76" t="s">
        <v>46</v>
      </c>
      <c r="U20" s="40"/>
      <c r="V20" s="40"/>
      <c r="W20" s="40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0"/>
        <v>1</v>
      </c>
      <c r="AH20" s="108">
        <f t="shared" si="1"/>
        <v>0</v>
      </c>
      <c r="AI20" s="108">
        <f t="shared" si="10"/>
        <v>0</v>
      </c>
      <c r="AJ20" s="108">
        <f t="shared" si="2"/>
        <v>0</v>
      </c>
      <c r="AK20" s="108">
        <f t="shared" si="3"/>
        <v>0</v>
      </c>
      <c r="AL20" s="108">
        <f t="shared" si="4"/>
        <v>0</v>
      </c>
      <c r="AN20" s="42" t="s">
        <v>56</v>
      </c>
      <c r="AO20" s="43" t="s">
        <v>46</v>
      </c>
    </row>
    <row r="21" spans="2:41" ht="15.75" thickBot="1">
      <c r="B21" s="24">
        <v>14</v>
      </c>
      <c r="C21" s="25">
        <v>41806</v>
      </c>
      <c r="D21" s="26" t="s">
        <v>35</v>
      </c>
      <c r="E21" s="27" t="s">
        <v>9</v>
      </c>
      <c r="F21" s="28" t="s">
        <v>36</v>
      </c>
      <c r="G21" s="87">
        <v>2</v>
      </c>
      <c r="H21" s="27" t="s">
        <v>9</v>
      </c>
      <c r="I21" s="92">
        <v>0</v>
      </c>
      <c r="J21" s="29">
        <f t="shared" si="5"/>
        <v>1</v>
      </c>
      <c r="K21" s="11">
        <f t="shared" si="6"/>
        <v>3</v>
      </c>
      <c r="L21" s="11">
        <f t="shared" si="7"/>
        <v>0</v>
      </c>
      <c r="O21" s="44" t="s">
        <v>17</v>
      </c>
      <c r="P21" s="45">
        <f>SUMIF($D$8:$D$55,$O21,$G$8:$G$55)+SUMIF($F$8:$F$55,$O21,$I$8:$I$55)</f>
        <v>2</v>
      </c>
      <c r="Q21" s="45">
        <f>SUMIF($D$8:$D$55,$O21,$I$8:$I$55)+SUMIF($F$8:$F$55,$O21,$G$8:$G$55)</f>
        <v>2</v>
      </c>
      <c r="R21" s="46">
        <f>P21-Q21</f>
        <v>0</v>
      </c>
      <c r="S21" s="47">
        <f>SUMIF($D$8:$D$55,$O21,$K$8:$K$55)+SUMIF($F$8:$F$55,$O21,$L$8:$L$55)</f>
        <v>4</v>
      </c>
      <c r="T21" s="94" t="s">
        <v>58</v>
      </c>
      <c r="U21" s="40"/>
      <c r="V21" s="40" t="str">
        <f>O21</f>
        <v>Colombia</v>
      </c>
      <c r="W21" s="40" t="s">
        <v>57</v>
      </c>
      <c r="Y21" s="109">
        <f t="shared" si="8"/>
        <v>0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0</v>
      </c>
      <c r="AG21" s="108">
        <f t="shared" si="0"/>
        <v>0</v>
      </c>
      <c r="AH21" s="108">
        <f t="shared" si="1"/>
        <v>0</v>
      </c>
      <c r="AI21" s="108">
        <f t="shared" si="10"/>
        <v>0</v>
      </c>
      <c r="AJ21" s="108">
        <f t="shared" si="2"/>
        <v>0</v>
      </c>
      <c r="AK21" s="108">
        <f t="shared" si="3"/>
        <v>0</v>
      </c>
      <c r="AL21" s="108">
        <f t="shared" si="4"/>
        <v>0</v>
      </c>
      <c r="AM21" s="120">
        <f>AO21</f>
        <v>0</v>
      </c>
      <c r="AN21" s="116" t="s">
        <v>17</v>
      </c>
      <c r="AO21" s="115">
        <f>IF(Uitslag!T21="",0,IF(T21=Uitslag!T21,10,0))</f>
        <v>0</v>
      </c>
    </row>
    <row r="22" spans="2:41" ht="15.75" thickBot="1">
      <c r="B22" s="12">
        <v>15</v>
      </c>
      <c r="C22" s="13">
        <v>41807</v>
      </c>
      <c r="D22" s="14" t="s">
        <v>37</v>
      </c>
      <c r="E22" s="15" t="s">
        <v>9</v>
      </c>
      <c r="F22" s="16" t="s">
        <v>38</v>
      </c>
      <c r="G22" s="85">
        <v>2</v>
      </c>
      <c r="H22" s="15" t="s">
        <v>9</v>
      </c>
      <c r="I22" s="90">
        <v>0</v>
      </c>
      <c r="J22" s="17">
        <f t="shared" si="5"/>
        <v>1</v>
      </c>
      <c r="K22" s="11">
        <f t="shared" si="6"/>
        <v>3</v>
      </c>
      <c r="L22" s="11">
        <f t="shared" si="7"/>
        <v>0</v>
      </c>
      <c r="O22" s="48" t="s">
        <v>18</v>
      </c>
      <c r="P22" s="49">
        <f>SUMIF($D$8:$D$55,$O22,$G$8:$G$55)+SUMIF($F$8:$F$55,$O22,$I$8:$I$55)</f>
        <v>0</v>
      </c>
      <c r="Q22" s="49">
        <f>SUMIF($D$8:$D$55,$O22,$I$8:$I$55)+SUMIF($F$8:$F$55,$O22,$G$8:$G$55)</f>
        <v>4</v>
      </c>
      <c r="R22" s="49">
        <f>P22-Q22</f>
        <v>-4</v>
      </c>
      <c r="S22" s="50">
        <f>SUMIF($D$8:$D$55,$O22,$K$8:$K$55)+SUMIF($F$8:$F$55,$O22,$L$8:$L$55)</f>
        <v>1</v>
      </c>
      <c r="T22" s="95" t="s">
        <v>60</v>
      </c>
      <c r="U22" s="40"/>
      <c r="V22" s="40" t="str">
        <f>O22</f>
        <v>Griekenland</v>
      </c>
      <c r="W22" s="40" t="s">
        <v>58</v>
      </c>
      <c r="Y22" s="109">
        <f t="shared" si="8"/>
        <v>6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6</v>
      </c>
      <c r="AG22" s="108">
        <f t="shared" si="0"/>
        <v>1</v>
      </c>
      <c r="AH22" s="108">
        <f t="shared" si="1"/>
        <v>0</v>
      </c>
      <c r="AI22" s="108">
        <f t="shared" si="10"/>
        <v>0</v>
      </c>
      <c r="AJ22" s="108">
        <f t="shared" si="2"/>
        <v>5</v>
      </c>
      <c r="AK22" s="108">
        <f t="shared" si="3"/>
        <v>0</v>
      </c>
      <c r="AL22" s="108">
        <f t="shared" si="4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18">
        <v>16</v>
      </c>
      <c r="C23" s="19">
        <v>41807</v>
      </c>
      <c r="D23" s="20" t="s">
        <v>8</v>
      </c>
      <c r="E23" s="21" t="s">
        <v>9</v>
      </c>
      <c r="F23" s="30" t="s">
        <v>11</v>
      </c>
      <c r="G23" s="86">
        <v>2</v>
      </c>
      <c r="H23" s="21" t="s">
        <v>9</v>
      </c>
      <c r="I23" s="91">
        <v>1</v>
      </c>
      <c r="J23" s="23">
        <f t="shared" si="5"/>
        <v>1</v>
      </c>
      <c r="K23" s="11">
        <f t="shared" si="6"/>
        <v>3</v>
      </c>
      <c r="L23" s="11">
        <f t="shared" si="7"/>
        <v>0</v>
      </c>
      <c r="O23" s="48" t="s">
        <v>23</v>
      </c>
      <c r="P23" s="49">
        <f>SUMIF($D$8:$D$55,$O23,$G$8:$G$55)+SUMIF($F$8:$F$55,$O23,$I$8:$I$55)</f>
        <v>7</v>
      </c>
      <c r="Q23" s="49">
        <f>SUMIF($D$8:$D$55,$O23,$I$8:$I$55)+SUMIF($F$8:$F$55,$O23,$G$8:$G$55)</f>
        <v>1</v>
      </c>
      <c r="R23" s="49">
        <f>P23-Q23</f>
        <v>6</v>
      </c>
      <c r="S23" s="50">
        <f>SUMIF($D$8:$D$55,$O23,$K$8:$K$55)+SUMIF($F$8:$F$55,$O23,$L$8:$L$55)</f>
        <v>9</v>
      </c>
      <c r="T23" s="95" t="s">
        <v>57</v>
      </c>
      <c r="U23" s="40"/>
      <c r="V23" s="40" t="str">
        <f>O23</f>
        <v>Ivoorkust</v>
      </c>
      <c r="W23" s="40" t="s">
        <v>59</v>
      </c>
      <c r="Y23" s="109">
        <f t="shared" si="8"/>
        <v>0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0</v>
      </c>
      <c r="AG23" s="108">
        <f t="shared" si="0"/>
        <v>0</v>
      </c>
      <c r="AH23" s="108">
        <f t="shared" si="1"/>
        <v>0</v>
      </c>
      <c r="AI23" s="108">
        <f t="shared" si="10"/>
        <v>0</v>
      </c>
      <c r="AJ23" s="108">
        <f t="shared" si="2"/>
        <v>0</v>
      </c>
      <c r="AK23" s="108">
        <f t="shared" si="3"/>
        <v>0</v>
      </c>
      <c r="AL23" s="108">
        <f t="shared" si="4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24">
        <v>17</v>
      </c>
      <c r="C24" s="25">
        <v>41807</v>
      </c>
      <c r="D24" s="26" t="s">
        <v>39</v>
      </c>
      <c r="E24" s="27" t="s">
        <v>9</v>
      </c>
      <c r="F24" s="28" t="s">
        <v>40</v>
      </c>
      <c r="G24" s="87">
        <v>2</v>
      </c>
      <c r="H24" s="27" t="s">
        <v>9</v>
      </c>
      <c r="I24" s="92">
        <v>2</v>
      </c>
      <c r="J24" s="29">
        <f t="shared" si="5"/>
        <v>3</v>
      </c>
      <c r="K24" s="11">
        <f t="shared" si="6"/>
        <v>1</v>
      </c>
      <c r="L24" s="11">
        <f t="shared" si="7"/>
        <v>1</v>
      </c>
      <c r="O24" s="51" t="s">
        <v>24</v>
      </c>
      <c r="P24" s="52">
        <f>SUMIF($D$8:$D$55,$O24,$G$8:$G$55)+SUMIF($F$8:$F$55,$O24,$I$8:$I$55)</f>
        <v>1</v>
      </c>
      <c r="Q24" s="52">
        <f>SUMIF($D$8:$D$55,$O24,$I$8:$I$55)+SUMIF($F$8:$F$55,$O24,$G$8:$G$55)</f>
        <v>3</v>
      </c>
      <c r="R24" s="52">
        <f>P24-Q24</f>
        <v>-2</v>
      </c>
      <c r="S24" s="53">
        <f>SUMIF($D$8:$D$55,$O24,$K$8:$K$55)+SUMIF($F$8:$F$55,$O24,$L$8:$L$55)</f>
        <v>3</v>
      </c>
      <c r="T24" s="96" t="s">
        <v>59</v>
      </c>
      <c r="U24" s="40"/>
      <c r="V24" s="40" t="str">
        <f>O24</f>
        <v>Japan</v>
      </c>
      <c r="W24" s="40" t="s">
        <v>60</v>
      </c>
      <c r="Y24" s="109">
        <f t="shared" si="8"/>
        <v>5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5</v>
      </c>
      <c r="AG24" s="108">
        <f t="shared" si="0"/>
        <v>0</v>
      </c>
      <c r="AH24" s="108">
        <f t="shared" si="1"/>
        <v>0</v>
      </c>
      <c r="AI24" s="108">
        <f t="shared" si="10"/>
        <v>0</v>
      </c>
      <c r="AJ24" s="108">
        <f t="shared" si="2"/>
        <v>0</v>
      </c>
      <c r="AK24" s="108">
        <f t="shared" si="3"/>
        <v>0</v>
      </c>
      <c r="AL24" s="108">
        <f t="shared" si="4"/>
        <v>5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12">
        <v>18</v>
      </c>
      <c r="C25" s="13">
        <v>41808</v>
      </c>
      <c r="D25" s="14" t="s">
        <v>16</v>
      </c>
      <c r="E25" s="15" t="s">
        <v>9</v>
      </c>
      <c r="F25" s="31" t="s">
        <v>14</v>
      </c>
      <c r="G25" s="85">
        <v>0</v>
      </c>
      <c r="H25" s="15" t="s">
        <v>9</v>
      </c>
      <c r="I25" s="90">
        <v>2</v>
      </c>
      <c r="J25" s="17">
        <f t="shared" si="5"/>
        <v>2</v>
      </c>
      <c r="K25" s="11">
        <f t="shared" si="6"/>
        <v>0</v>
      </c>
      <c r="L25" s="11">
        <f t="shared" si="7"/>
        <v>3</v>
      </c>
      <c r="O25" s="40"/>
      <c r="P25" s="41"/>
      <c r="Q25" s="41"/>
      <c r="R25" s="41"/>
      <c r="S25" s="41"/>
      <c r="T25" s="41"/>
      <c r="U25" s="40"/>
      <c r="V25" s="40"/>
      <c r="W25" s="40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0"/>
        <v>0</v>
      </c>
      <c r="AH25" s="108">
        <f t="shared" si="1"/>
        <v>0</v>
      </c>
      <c r="AI25" s="108">
        <f t="shared" si="10"/>
        <v>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40"/>
      <c r="AO25" s="41"/>
    </row>
    <row r="26" spans="2:41" ht="15.75" thickBot="1">
      <c r="B26" s="18">
        <v>19</v>
      </c>
      <c r="C26" s="19">
        <v>41808</v>
      </c>
      <c r="D26" s="20" t="s">
        <v>13</v>
      </c>
      <c r="E26" s="21" t="s">
        <v>9</v>
      </c>
      <c r="F26" s="30" t="s">
        <v>15</v>
      </c>
      <c r="G26" s="86">
        <v>1</v>
      </c>
      <c r="H26" s="21" t="s">
        <v>9</v>
      </c>
      <c r="I26" s="91">
        <v>1</v>
      </c>
      <c r="J26" s="23">
        <f t="shared" si="5"/>
        <v>3</v>
      </c>
      <c r="K26" s="11">
        <f t="shared" si="6"/>
        <v>1</v>
      </c>
      <c r="L26" s="11">
        <f t="shared" si="7"/>
        <v>1</v>
      </c>
      <c r="O26" s="72" t="s">
        <v>61</v>
      </c>
      <c r="P26" s="73" t="s">
        <v>42</v>
      </c>
      <c r="Q26" s="73" t="s">
        <v>43</v>
      </c>
      <c r="R26" s="74" t="s">
        <v>44</v>
      </c>
      <c r="S26" s="75" t="s">
        <v>45</v>
      </c>
      <c r="T26" s="76" t="s">
        <v>46</v>
      </c>
      <c r="U26" s="40"/>
      <c r="V26" s="40"/>
      <c r="W26" s="40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0"/>
        <v>0</v>
      </c>
      <c r="AH26" s="108">
        <f t="shared" si="1"/>
        <v>0</v>
      </c>
      <c r="AI26" s="108">
        <f t="shared" si="10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24">
        <v>20</v>
      </c>
      <c r="C27" s="25">
        <v>41808</v>
      </c>
      <c r="D27" s="26" t="s">
        <v>12</v>
      </c>
      <c r="E27" s="27" t="s">
        <v>9</v>
      </c>
      <c r="F27" s="28" t="s">
        <v>10</v>
      </c>
      <c r="G27" s="87">
        <v>2</v>
      </c>
      <c r="H27" s="27" t="s">
        <v>9</v>
      </c>
      <c r="I27" s="92">
        <v>0</v>
      </c>
      <c r="J27" s="29">
        <f t="shared" si="5"/>
        <v>1</v>
      </c>
      <c r="K27" s="11">
        <f t="shared" si="6"/>
        <v>3</v>
      </c>
      <c r="L27" s="11">
        <f t="shared" si="7"/>
        <v>0</v>
      </c>
      <c r="O27" s="44" t="s">
        <v>19</v>
      </c>
      <c r="P27" s="45">
        <f>SUMIF($D$8:$D$55,$O27,$G$8:$G$55)+SUMIF($F$8:$F$55,$O27,$I$8:$I$55)</f>
        <v>6</v>
      </c>
      <c r="Q27" s="45">
        <f>SUMIF($D$8:$D$55,$O27,$I$8:$I$55)+SUMIF($F$8:$F$55,$O27,$G$8:$G$55)</f>
        <v>4</v>
      </c>
      <c r="R27" s="46">
        <f>P27-Q27</f>
        <v>2</v>
      </c>
      <c r="S27" s="47">
        <f>SUMIF($D$8:$D$55,$O27,$K$8:$K$55)+SUMIF($F$8:$F$55,$O27,$L$8:$L$55)</f>
        <v>5</v>
      </c>
      <c r="T27" s="94" t="s">
        <v>63</v>
      </c>
      <c r="U27" s="40"/>
      <c r="V27" s="40" t="str">
        <f>O27</f>
        <v>Uruguay</v>
      </c>
      <c r="W27" s="40" t="s">
        <v>62</v>
      </c>
      <c r="Y27" s="109">
        <f t="shared" si="8"/>
        <v>0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0</v>
      </c>
      <c r="AG27" s="108">
        <f t="shared" si="0"/>
        <v>0</v>
      </c>
      <c r="AH27" s="108">
        <f t="shared" si="1"/>
        <v>0</v>
      </c>
      <c r="AI27" s="108">
        <f t="shared" si="10"/>
        <v>0</v>
      </c>
      <c r="AJ27" s="108">
        <f t="shared" si="2"/>
        <v>0</v>
      </c>
      <c r="AK27" s="108">
        <f t="shared" si="3"/>
        <v>0</v>
      </c>
      <c r="AL27" s="108">
        <f t="shared" si="4"/>
        <v>0</v>
      </c>
      <c r="AM27" s="120">
        <f>AO27</f>
        <v>10</v>
      </c>
      <c r="AN27" s="116" t="s">
        <v>19</v>
      </c>
      <c r="AO27" s="115">
        <f>IF(Uitslag!T27="",0,IF(T27=Uitslag!T27,10,0))</f>
        <v>10</v>
      </c>
    </row>
    <row r="28" spans="2:41" ht="15.75" thickBot="1">
      <c r="B28" s="12">
        <v>21</v>
      </c>
      <c r="C28" s="13">
        <v>41809</v>
      </c>
      <c r="D28" s="14" t="s">
        <v>17</v>
      </c>
      <c r="E28" s="15" t="s">
        <v>9</v>
      </c>
      <c r="F28" s="16" t="s">
        <v>23</v>
      </c>
      <c r="G28" s="85">
        <v>1</v>
      </c>
      <c r="H28" s="15" t="s">
        <v>9</v>
      </c>
      <c r="I28" s="90">
        <v>2</v>
      </c>
      <c r="J28" s="17">
        <f t="shared" si="5"/>
        <v>2</v>
      </c>
      <c r="K28" s="11">
        <f t="shared" si="6"/>
        <v>0</v>
      </c>
      <c r="L28" s="11">
        <f t="shared" si="7"/>
        <v>3</v>
      </c>
      <c r="O28" s="48" t="s">
        <v>20</v>
      </c>
      <c r="P28" s="49">
        <f>SUMIF($D$8:$D$55,$O28,$G$8:$G$55)+SUMIF($F$8:$F$55,$O28,$I$8:$I$55)</f>
        <v>0</v>
      </c>
      <c r="Q28" s="49">
        <f>SUMIF($D$8:$D$55,$O28,$I$8:$I$55)+SUMIF($F$8:$F$55,$O28,$G$8:$G$55)</f>
        <v>7</v>
      </c>
      <c r="R28" s="49">
        <f>P28-Q28</f>
        <v>-7</v>
      </c>
      <c r="S28" s="50">
        <f>SUMIF($D$8:$D$55,$O28,$K$8:$K$55)+SUMIF($F$8:$F$55,$O28,$L$8:$L$55)</f>
        <v>0</v>
      </c>
      <c r="T28" s="95" t="s">
        <v>65</v>
      </c>
      <c r="U28" s="40"/>
      <c r="V28" s="40" t="str">
        <f>O28</f>
        <v>Costa Rica</v>
      </c>
      <c r="W28" s="40" t="s">
        <v>63</v>
      </c>
      <c r="Y28" s="109">
        <f t="shared" si="8"/>
        <v>0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0</v>
      </c>
      <c r="AG28" s="108">
        <f t="shared" si="0"/>
        <v>0</v>
      </c>
      <c r="AH28" s="108">
        <f t="shared" si="1"/>
        <v>0</v>
      </c>
      <c r="AI28" s="108">
        <f t="shared" si="10"/>
        <v>0</v>
      </c>
      <c r="AJ28" s="108">
        <f t="shared" si="2"/>
        <v>0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18">
        <v>22</v>
      </c>
      <c r="C29" s="19">
        <v>41809</v>
      </c>
      <c r="D29" s="20" t="s">
        <v>19</v>
      </c>
      <c r="E29" s="21" t="s">
        <v>9</v>
      </c>
      <c r="F29" s="30" t="s">
        <v>21</v>
      </c>
      <c r="G29" s="86">
        <v>2</v>
      </c>
      <c r="H29" s="21" t="s">
        <v>9</v>
      </c>
      <c r="I29" s="91">
        <v>2</v>
      </c>
      <c r="J29" s="23">
        <f t="shared" si="5"/>
        <v>3</v>
      </c>
      <c r="K29" s="11">
        <f t="shared" si="6"/>
        <v>1</v>
      </c>
      <c r="L29" s="11">
        <f t="shared" si="7"/>
        <v>1</v>
      </c>
      <c r="O29" s="48" t="s">
        <v>21</v>
      </c>
      <c r="P29" s="49">
        <f>SUMIF($D$8:$D$55,$O29,$G$8:$G$55)+SUMIF($F$8:$F$55,$O29,$I$8:$I$55)</f>
        <v>5</v>
      </c>
      <c r="Q29" s="49">
        <f>SUMIF($D$8:$D$55,$O29,$I$8:$I$55)+SUMIF($F$8:$F$55,$O29,$G$8:$G$55)</f>
        <v>4</v>
      </c>
      <c r="R29" s="49">
        <f>P29-Q29</f>
        <v>1</v>
      </c>
      <c r="S29" s="50">
        <f>SUMIF($D$8:$D$55,$O29,$K$8:$K$55)+SUMIF($F$8:$F$55,$O29,$L$8:$L$55)</f>
        <v>4</v>
      </c>
      <c r="T29" s="95" t="s">
        <v>64</v>
      </c>
      <c r="U29" s="40"/>
      <c r="V29" s="40" t="str">
        <f>O29</f>
        <v>Engeland</v>
      </c>
      <c r="W29" s="40" t="s">
        <v>64</v>
      </c>
      <c r="Y29" s="109">
        <f t="shared" si="8"/>
        <v>1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1</v>
      </c>
      <c r="AG29" s="108">
        <f t="shared" si="0"/>
        <v>1</v>
      </c>
      <c r="AH29" s="108">
        <f t="shared" si="1"/>
        <v>0</v>
      </c>
      <c r="AI29" s="108">
        <f t="shared" si="10"/>
        <v>0</v>
      </c>
      <c r="AJ29" s="108">
        <f t="shared" si="2"/>
        <v>0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24">
        <v>23</v>
      </c>
      <c r="C30" s="25">
        <v>41809</v>
      </c>
      <c r="D30" s="26" t="s">
        <v>24</v>
      </c>
      <c r="E30" s="27" t="s">
        <v>9</v>
      </c>
      <c r="F30" s="28" t="s">
        <v>18</v>
      </c>
      <c r="G30" s="87">
        <v>1</v>
      </c>
      <c r="H30" s="27" t="s">
        <v>9</v>
      </c>
      <c r="I30" s="92">
        <v>0</v>
      </c>
      <c r="J30" s="29">
        <f t="shared" si="5"/>
        <v>1</v>
      </c>
      <c r="K30" s="11">
        <f t="shared" si="6"/>
        <v>3</v>
      </c>
      <c r="L30" s="11">
        <f t="shared" si="7"/>
        <v>0</v>
      </c>
      <c r="O30" s="51" t="s">
        <v>22</v>
      </c>
      <c r="P30" s="52">
        <f>SUMIF($D$8:$D$55,$O30,$G$8:$G$55)+SUMIF($F$8:$F$55,$O30,$I$8:$I$55)</f>
        <v>7</v>
      </c>
      <c r="Q30" s="52">
        <f>SUMIF($D$8:$D$55,$O30,$I$8:$I$55)+SUMIF($F$8:$F$55,$O30,$G$8:$G$55)</f>
        <v>3</v>
      </c>
      <c r="R30" s="52">
        <f>P30-Q30</f>
        <v>4</v>
      </c>
      <c r="S30" s="53">
        <f>SUMIF($D$8:$D$55,$O30,$K$8:$K$55)+SUMIF($F$8:$F$55,$O30,$L$8:$L$55)</f>
        <v>7</v>
      </c>
      <c r="T30" s="96" t="s">
        <v>62</v>
      </c>
      <c r="U30" s="40"/>
      <c r="V30" s="40" t="str">
        <f>O30</f>
        <v>Italië</v>
      </c>
      <c r="W30" s="40" t="s">
        <v>65</v>
      </c>
      <c r="Y30" s="109">
        <f t="shared" si="8"/>
        <v>1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1</v>
      </c>
      <c r="AG30" s="108">
        <f t="shared" si="0"/>
        <v>0</v>
      </c>
      <c r="AH30" s="108">
        <f t="shared" si="1"/>
        <v>1</v>
      </c>
      <c r="AI30" s="108">
        <f t="shared" si="10"/>
        <v>0</v>
      </c>
      <c r="AJ30" s="108">
        <f t="shared" si="2"/>
        <v>0</v>
      </c>
      <c r="AK30" s="108">
        <f t="shared" si="3"/>
        <v>0</v>
      </c>
      <c r="AL30" s="108">
        <f t="shared" si="4"/>
        <v>0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12">
        <v>24</v>
      </c>
      <c r="C31" s="13">
        <v>41810</v>
      </c>
      <c r="D31" s="14" t="s">
        <v>22</v>
      </c>
      <c r="E31" s="15" t="s">
        <v>9</v>
      </c>
      <c r="F31" s="16" t="s">
        <v>20</v>
      </c>
      <c r="G31" s="85">
        <v>3</v>
      </c>
      <c r="H31" s="15" t="s">
        <v>9</v>
      </c>
      <c r="I31" s="90">
        <v>0</v>
      </c>
      <c r="J31" s="17">
        <f t="shared" si="5"/>
        <v>1</v>
      </c>
      <c r="K31" s="11">
        <f t="shared" si="6"/>
        <v>3</v>
      </c>
      <c r="L31" s="11">
        <f t="shared" si="7"/>
        <v>0</v>
      </c>
      <c r="O31" s="40"/>
      <c r="P31" s="41"/>
      <c r="Q31" s="41"/>
      <c r="R31" s="41"/>
      <c r="S31" s="41"/>
      <c r="T31" s="41"/>
      <c r="U31" s="40"/>
      <c r="V31" s="40"/>
      <c r="W31" s="40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0"/>
        <v>0</v>
      </c>
      <c r="AH31" s="108">
        <f t="shared" si="1"/>
        <v>0</v>
      </c>
      <c r="AI31" s="108">
        <f t="shared" si="10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40"/>
      <c r="AO31" s="41"/>
    </row>
    <row r="32" spans="2:41" ht="15.75" thickBot="1">
      <c r="B32" s="18">
        <v>25</v>
      </c>
      <c r="C32" s="19">
        <v>41810</v>
      </c>
      <c r="D32" s="20" t="s">
        <v>25</v>
      </c>
      <c r="E32" s="21" t="s">
        <v>9</v>
      </c>
      <c r="F32" s="30" t="s">
        <v>27</v>
      </c>
      <c r="G32" s="86">
        <v>0</v>
      </c>
      <c r="H32" s="21" t="s">
        <v>9</v>
      </c>
      <c r="I32" s="91">
        <v>2</v>
      </c>
      <c r="J32" s="23">
        <f t="shared" si="5"/>
        <v>2</v>
      </c>
      <c r="K32" s="11">
        <f t="shared" si="6"/>
        <v>0</v>
      </c>
      <c r="L32" s="11">
        <f t="shared" si="7"/>
        <v>3</v>
      </c>
      <c r="O32" s="72" t="s">
        <v>66</v>
      </c>
      <c r="P32" s="73" t="s">
        <v>42</v>
      </c>
      <c r="Q32" s="73" t="s">
        <v>43</v>
      </c>
      <c r="R32" s="74" t="s">
        <v>44</v>
      </c>
      <c r="S32" s="75" t="s">
        <v>45</v>
      </c>
      <c r="T32" s="76" t="s">
        <v>46</v>
      </c>
      <c r="U32" s="40"/>
      <c r="V32" s="40"/>
      <c r="W32" s="40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0"/>
        <v>0</v>
      </c>
      <c r="AH32" s="108">
        <f t="shared" si="1"/>
        <v>0</v>
      </c>
      <c r="AI32" s="108">
        <f t="shared" si="10"/>
        <v>0</v>
      </c>
      <c r="AJ32" s="108">
        <f t="shared" si="2"/>
        <v>0</v>
      </c>
      <c r="AK32" s="108">
        <f t="shared" si="3"/>
        <v>5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24">
        <v>26</v>
      </c>
      <c r="C33" s="25">
        <v>41810</v>
      </c>
      <c r="D33" s="26" t="s">
        <v>28</v>
      </c>
      <c r="E33" s="27" t="s">
        <v>9</v>
      </c>
      <c r="F33" s="28" t="s">
        <v>26</v>
      </c>
      <c r="G33" s="87">
        <v>2</v>
      </c>
      <c r="H33" s="27" t="s">
        <v>9</v>
      </c>
      <c r="I33" s="92">
        <v>2</v>
      </c>
      <c r="J33" s="29">
        <f t="shared" si="5"/>
        <v>3</v>
      </c>
      <c r="K33" s="11">
        <f t="shared" si="6"/>
        <v>1</v>
      </c>
      <c r="L33" s="11">
        <f t="shared" si="7"/>
        <v>1</v>
      </c>
      <c r="O33" s="44" t="s">
        <v>25</v>
      </c>
      <c r="P33" s="45">
        <f>SUMIF($D$8:$D$55,$O33,$G$8:$G$55)+SUMIF($F$8:$F$55,$O33,$I$8:$I$55)</f>
        <v>1</v>
      </c>
      <c r="Q33" s="45">
        <f>SUMIF($D$8:$D$55,$O33,$I$8:$I$55)+SUMIF($F$8:$F$55,$O33,$G$8:$G$55)</f>
        <v>5</v>
      </c>
      <c r="R33" s="46">
        <f>P33-Q33</f>
        <v>-4</v>
      </c>
      <c r="S33" s="47">
        <f>SUMIF($D$8:$D$55,$O33,$K$8:$K$55)+SUMIF($F$8:$F$55,$O33,$L$8:$L$55)</f>
        <v>0</v>
      </c>
      <c r="T33" s="94" t="s">
        <v>70</v>
      </c>
      <c r="U33" s="40"/>
      <c r="V33" s="40" t="str">
        <f>O33</f>
        <v>Zwitserland</v>
      </c>
      <c r="W33" s="40" t="s">
        <v>67</v>
      </c>
      <c r="Y33" s="109">
        <f t="shared" si="8"/>
        <v>1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1</v>
      </c>
      <c r="AG33" s="108">
        <f t="shared" si="0"/>
        <v>0</v>
      </c>
      <c r="AH33" s="108">
        <f t="shared" si="1"/>
        <v>1</v>
      </c>
      <c r="AI33" s="108">
        <f t="shared" si="10"/>
        <v>0</v>
      </c>
      <c r="AJ33" s="108">
        <f t="shared" si="2"/>
        <v>0</v>
      </c>
      <c r="AK33" s="108">
        <f t="shared" si="3"/>
        <v>0</v>
      </c>
      <c r="AL33" s="108">
        <f t="shared" si="4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12">
        <v>27</v>
      </c>
      <c r="C34" s="13">
        <v>41811</v>
      </c>
      <c r="D34" s="14" t="s">
        <v>29</v>
      </c>
      <c r="E34" s="15" t="s">
        <v>9</v>
      </c>
      <c r="F34" s="16" t="s">
        <v>33</v>
      </c>
      <c r="G34" s="85">
        <v>3</v>
      </c>
      <c r="H34" s="15" t="s">
        <v>9</v>
      </c>
      <c r="I34" s="90">
        <v>0</v>
      </c>
      <c r="J34" s="17">
        <f t="shared" si="5"/>
        <v>1</v>
      </c>
      <c r="K34" s="11">
        <f t="shared" si="6"/>
        <v>3</v>
      </c>
      <c r="L34" s="11">
        <f t="shared" si="7"/>
        <v>0</v>
      </c>
      <c r="O34" s="48" t="s">
        <v>26</v>
      </c>
      <c r="P34" s="49">
        <f>SUMIF($D$8:$D$55,$O34,$G$8:$G$55)+SUMIF($F$8:$F$55,$O34,$I$8:$I$55)</f>
        <v>4</v>
      </c>
      <c r="Q34" s="49">
        <f>SUMIF($D$8:$D$55,$O34,$I$8:$I$55)+SUMIF($F$8:$F$55,$O34,$G$8:$G$55)</f>
        <v>4</v>
      </c>
      <c r="R34" s="49">
        <f>P34-Q34</f>
        <v>0</v>
      </c>
      <c r="S34" s="50">
        <f>SUMIF($D$8:$D$55,$O34,$K$8:$K$55)+SUMIF($F$8:$F$55,$O34,$L$8:$L$55)</f>
        <v>4</v>
      </c>
      <c r="T34" s="95" t="s">
        <v>68</v>
      </c>
      <c r="U34" s="40"/>
      <c r="V34" s="40" t="str">
        <f>O34</f>
        <v>Ecuador</v>
      </c>
      <c r="W34" s="40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0"/>
        <v>0</v>
      </c>
      <c r="AH34" s="108">
        <f t="shared" si="1"/>
        <v>1</v>
      </c>
      <c r="AI34" s="108">
        <f t="shared" si="10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18">
        <v>28</v>
      </c>
      <c r="C35" s="19">
        <v>41811</v>
      </c>
      <c r="D35" s="20" t="s">
        <v>31</v>
      </c>
      <c r="E35" s="21" t="s">
        <v>9</v>
      </c>
      <c r="F35" s="30" t="s">
        <v>35</v>
      </c>
      <c r="G35" s="86">
        <v>2</v>
      </c>
      <c r="H35" s="21" t="s">
        <v>9</v>
      </c>
      <c r="I35" s="91">
        <v>1</v>
      </c>
      <c r="J35" s="23">
        <f t="shared" si="5"/>
        <v>1</v>
      </c>
      <c r="K35" s="11">
        <f t="shared" si="6"/>
        <v>3</v>
      </c>
      <c r="L35" s="11">
        <f t="shared" si="7"/>
        <v>0</v>
      </c>
      <c r="O35" s="48" t="s">
        <v>27</v>
      </c>
      <c r="P35" s="49">
        <f>SUMIF($D$8:$D$55,$O35,$G$8:$G$55)+SUMIF($F$8:$F$55,$O35,$I$8:$I$55)</f>
        <v>6</v>
      </c>
      <c r="Q35" s="49">
        <f>SUMIF($D$8:$D$55,$O35,$I$8:$I$55)+SUMIF($F$8:$F$55,$O35,$G$8:$G$55)</f>
        <v>0</v>
      </c>
      <c r="R35" s="49">
        <f>P35-Q35</f>
        <v>6</v>
      </c>
      <c r="S35" s="50">
        <f>SUMIF($D$8:$D$55,$O35,$K$8:$K$55)+SUMIF($F$8:$F$55,$O35,$L$8:$L$55)</f>
        <v>9</v>
      </c>
      <c r="T35" s="95" t="s">
        <v>67</v>
      </c>
      <c r="U35" s="40"/>
      <c r="V35" s="40" t="str">
        <f>O35</f>
        <v>Frankrijk</v>
      </c>
      <c r="W35" s="40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0"/>
        <v>1</v>
      </c>
      <c r="AH35" s="108">
        <f t="shared" si="1"/>
        <v>0</v>
      </c>
      <c r="AI35" s="108">
        <f t="shared" si="10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24">
        <v>29</v>
      </c>
      <c r="C36" s="25">
        <v>41811</v>
      </c>
      <c r="D36" s="26" t="s">
        <v>34</v>
      </c>
      <c r="E36" s="27" t="s">
        <v>9</v>
      </c>
      <c r="F36" s="28" t="s">
        <v>30</v>
      </c>
      <c r="G36" s="87">
        <v>2</v>
      </c>
      <c r="H36" s="27" t="s">
        <v>9</v>
      </c>
      <c r="I36" s="92">
        <v>0</v>
      </c>
      <c r="J36" s="29">
        <f t="shared" si="5"/>
        <v>1</v>
      </c>
      <c r="K36" s="11">
        <f t="shared" si="6"/>
        <v>3</v>
      </c>
      <c r="L36" s="11">
        <f t="shared" si="7"/>
        <v>0</v>
      </c>
      <c r="O36" s="51" t="s">
        <v>28</v>
      </c>
      <c r="P36" s="52">
        <f>SUMIF($D$8:$D$55,$O36,$G$8:$G$55)+SUMIF($F$8:$F$55,$O36,$I$8:$I$55)</f>
        <v>3</v>
      </c>
      <c r="Q36" s="52">
        <f>SUMIF($D$8:$D$55,$O36,$I$8:$I$55)+SUMIF($F$8:$F$55,$O36,$G$8:$G$55)</f>
        <v>5</v>
      </c>
      <c r="R36" s="52">
        <f>P36-Q36</f>
        <v>-2</v>
      </c>
      <c r="S36" s="53">
        <f>SUMIF($D$8:$D$55,$O36,$K$8:$K$55)+SUMIF($F$8:$F$55,$O36,$L$8:$L$55)</f>
        <v>4</v>
      </c>
      <c r="T36" s="96" t="s">
        <v>69</v>
      </c>
      <c r="U36" s="40"/>
      <c r="V36" s="40" t="str">
        <f>O36</f>
        <v>Honduras</v>
      </c>
      <c r="W36" s="40" t="s">
        <v>70</v>
      </c>
      <c r="Y36" s="109">
        <f t="shared" si="8"/>
        <v>6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6</v>
      </c>
      <c r="AG36" s="108">
        <f t="shared" si="0"/>
        <v>0</v>
      </c>
      <c r="AH36" s="108">
        <f t="shared" si="1"/>
        <v>1</v>
      </c>
      <c r="AI36" s="108">
        <f t="shared" si="10"/>
        <v>0</v>
      </c>
      <c r="AJ36" s="108">
        <f t="shared" si="2"/>
        <v>5</v>
      </c>
      <c r="AK36" s="108">
        <f t="shared" si="3"/>
        <v>0</v>
      </c>
      <c r="AL36" s="108">
        <f t="shared" si="4"/>
        <v>0</v>
      </c>
      <c r="AM36" s="120">
        <f>AO36</f>
        <v>0</v>
      </c>
      <c r="AN36" s="118" t="s">
        <v>28</v>
      </c>
      <c r="AO36" s="115">
        <f>IF(Uitslag!T36="",0,IF(T36=Uitslag!T36,10,0))</f>
        <v>0</v>
      </c>
    </row>
    <row r="37" spans="2:41" ht="15.75" thickBot="1">
      <c r="B37" s="12">
        <v>30</v>
      </c>
      <c r="C37" s="13">
        <v>41812</v>
      </c>
      <c r="D37" s="14" t="s">
        <v>37</v>
      </c>
      <c r="E37" s="15" t="s">
        <v>9</v>
      </c>
      <c r="F37" s="16" t="s">
        <v>39</v>
      </c>
      <c r="G37" s="85">
        <v>1</v>
      </c>
      <c r="H37" s="15" t="s">
        <v>9</v>
      </c>
      <c r="I37" s="90">
        <v>0</v>
      </c>
      <c r="J37" s="17">
        <f t="shared" si="5"/>
        <v>1</v>
      </c>
      <c r="K37" s="11">
        <f t="shared" si="6"/>
        <v>3</v>
      </c>
      <c r="L37" s="11">
        <f t="shared" si="7"/>
        <v>0</v>
      </c>
      <c r="O37" s="40"/>
      <c r="P37" s="41"/>
      <c r="Q37" s="41"/>
      <c r="R37" s="41"/>
      <c r="S37" s="41"/>
      <c r="T37" s="41"/>
      <c r="U37" s="40"/>
      <c r="V37" s="40"/>
      <c r="W37" s="40"/>
      <c r="Y37" s="109">
        <f t="shared" si="8"/>
        <v>10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10</v>
      </c>
      <c r="AG37" s="108">
        <f t="shared" si="0"/>
        <v>1</v>
      </c>
      <c r="AH37" s="108">
        <f t="shared" si="1"/>
        <v>1</v>
      </c>
      <c r="AI37" s="108">
        <f t="shared" si="10"/>
        <v>10</v>
      </c>
      <c r="AJ37" s="108">
        <f t="shared" si="2"/>
        <v>5</v>
      </c>
      <c r="AK37" s="108">
        <f t="shared" si="3"/>
        <v>0</v>
      </c>
      <c r="AL37" s="108">
        <f t="shared" si="4"/>
        <v>0</v>
      </c>
      <c r="AN37" s="40"/>
      <c r="AO37" s="41"/>
    </row>
    <row r="38" spans="2:41" ht="15.75" thickBot="1">
      <c r="B38" s="18">
        <v>31</v>
      </c>
      <c r="C38" s="19">
        <v>41812</v>
      </c>
      <c r="D38" s="20" t="s">
        <v>40</v>
      </c>
      <c r="E38" s="21" t="s">
        <v>9</v>
      </c>
      <c r="F38" s="30" t="s">
        <v>38</v>
      </c>
      <c r="G38" s="86">
        <v>0</v>
      </c>
      <c r="H38" s="21" t="s">
        <v>9</v>
      </c>
      <c r="I38" s="91">
        <v>0</v>
      </c>
      <c r="J38" s="23">
        <f t="shared" si="5"/>
        <v>3</v>
      </c>
      <c r="K38" s="11">
        <f t="shared" si="6"/>
        <v>1</v>
      </c>
      <c r="L38" s="11">
        <f t="shared" si="7"/>
        <v>1</v>
      </c>
      <c r="O38" s="72" t="s">
        <v>71</v>
      </c>
      <c r="P38" s="73" t="s">
        <v>42</v>
      </c>
      <c r="Q38" s="73" t="s">
        <v>43</v>
      </c>
      <c r="R38" s="74" t="s">
        <v>44</v>
      </c>
      <c r="S38" s="75" t="s">
        <v>45</v>
      </c>
      <c r="T38" s="76" t="s">
        <v>46</v>
      </c>
      <c r="U38" s="40"/>
      <c r="V38" s="40"/>
      <c r="W38" s="40"/>
      <c r="Y38" s="109">
        <f t="shared" si="8"/>
        <v>0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0</v>
      </c>
      <c r="AG38" s="108">
        <f t="shared" si="0"/>
        <v>0</v>
      </c>
      <c r="AH38" s="108">
        <f t="shared" si="1"/>
        <v>0</v>
      </c>
      <c r="AI38" s="108">
        <f t="shared" si="10"/>
        <v>0</v>
      </c>
      <c r="AJ38" s="108">
        <f t="shared" si="2"/>
        <v>0</v>
      </c>
      <c r="AK38" s="108">
        <f t="shared" si="3"/>
        <v>0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24">
        <v>32</v>
      </c>
      <c r="C39" s="25">
        <v>41812</v>
      </c>
      <c r="D39" s="26" t="s">
        <v>36</v>
      </c>
      <c r="E39" s="27" t="s">
        <v>9</v>
      </c>
      <c r="F39" s="28" t="s">
        <v>32</v>
      </c>
      <c r="G39" s="87">
        <v>0</v>
      </c>
      <c r="H39" s="27" t="s">
        <v>9</v>
      </c>
      <c r="I39" s="92">
        <v>3</v>
      </c>
      <c r="J39" s="29">
        <f t="shared" si="5"/>
        <v>2</v>
      </c>
      <c r="K39" s="11">
        <f t="shared" si="6"/>
        <v>0</v>
      </c>
      <c r="L39" s="11">
        <f t="shared" si="7"/>
        <v>3</v>
      </c>
      <c r="O39" s="44" t="s">
        <v>29</v>
      </c>
      <c r="P39" s="45">
        <f>SUMIF($D$8:$D$55,$O39,$G$8:$G$55)+SUMIF($F$8:$F$55,$O39,$I$8:$I$55)</f>
        <v>7</v>
      </c>
      <c r="Q39" s="45">
        <f>SUMIF($D$8:$D$55,$O39,$I$8:$I$55)+SUMIF($F$8:$F$55,$O39,$G$8:$G$55)</f>
        <v>1</v>
      </c>
      <c r="R39" s="46">
        <f>P39-Q39</f>
        <v>6</v>
      </c>
      <c r="S39" s="47">
        <f>SUMIF($D$8:$D$55,$O39,$K$8:$K$55)+SUMIF($F$8:$F$55,$O39,$L$8:$L$55)</f>
        <v>9</v>
      </c>
      <c r="T39" s="94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0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0</v>
      </c>
      <c r="AG39" s="108">
        <f t="shared" si="0"/>
        <v>0</v>
      </c>
      <c r="AH39" s="108">
        <f t="shared" si="1"/>
        <v>0</v>
      </c>
      <c r="AI39" s="108">
        <f t="shared" si="10"/>
        <v>0</v>
      </c>
      <c r="AJ39" s="108">
        <f t="shared" si="2"/>
        <v>0</v>
      </c>
      <c r="AK39" s="108">
        <f t="shared" si="3"/>
        <v>0</v>
      </c>
      <c r="AL39" s="108">
        <f t="shared" si="4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12">
        <v>33</v>
      </c>
      <c r="C40" s="13">
        <v>41813</v>
      </c>
      <c r="D40" s="14" t="s">
        <v>16</v>
      </c>
      <c r="E40" s="15" t="s">
        <v>9</v>
      </c>
      <c r="F40" s="16" t="s">
        <v>13</v>
      </c>
      <c r="G40" s="85">
        <v>0</v>
      </c>
      <c r="H40" s="15" t="s">
        <v>9</v>
      </c>
      <c r="I40" s="90">
        <v>2</v>
      </c>
      <c r="J40" s="17">
        <f t="shared" si="5"/>
        <v>2</v>
      </c>
      <c r="K40" s="11">
        <f t="shared" si="6"/>
        <v>0</v>
      </c>
      <c r="L40" s="11">
        <f t="shared" si="7"/>
        <v>3</v>
      </c>
      <c r="O40" s="48" t="s">
        <v>30</v>
      </c>
      <c r="P40" s="49">
        <f>SUMIF($D$8:$D$55,$O40,$G$8:$G$55)+SUMIF($F$8:$F$55,$O40,$I$8:$I$55)</f>
        <v>1</v>
      </c>
      <c r="Q40" s="49">
        <f>SUMIF($D$8:$D$55,$O40,$I$8:$I$55)+SUMIF($F$8:$F$55,$O40,$G$8:$G$55)</f>
        <v>5</v>
      </c>
      <c r="R40" s="49">
        <f>P40-Q40</f>
        <v>-4</v>
      </c>
      <c r="S40" s="50">
        <f>SUMIF($D$8:$D$55,$O40,$K$8:$K$55)+SUMIF($F$8:$F$55,$O40,$L$8:$L$55)</f>
        <v>1</v>
      </c>
      <c r="T40" s="95" t="s">
        <v>74</v>
      </c>
      <c r="U40" s="40"/>
      <c r="V40" s="40" t="str">
        <f>O40</f>
        <v>Bosnië H.</v>
      </c>
      <c r="W40" s="40" t="s">
        <v>73</v>
      </c>
      <c r="Y40" s="109">
        <f t="shared" si="8"/>
        <v>6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6</v>
      </c>
      <c r="AG40" s="108">
        <f t="shared" si="0"/>
        <v>1</v>
      </c>
      <c r="AH40" s="108">
        <f t="shared" si="1"/>
        <v>0</v>
      </c>
      <c r="AI40" s="108">
        <f t="shared" si="10"/>
        <v>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18">
        <v>34</v>
      </c>
      <c r="C41" s="19">
        <v>41813</v>
      </c>
      <c r="D41" s="32" t="s">
        <v>14</v>
      </c>
      <c r="E41" s="21" t="s">
        <v>9</v>
      </c>
      <c r="F41" s="30" t="s">
        <v>15</v>
      </c>
      <c r="G41" s="86">
        <v>2</v>
      </c>
      <c r="H41" s="21" t="s">
        <v>9</v>
      </c>
      <c r="I41" s="91">
        <v>1</v>
      </c>
      <c r="J41" s="23">
        <f t="shared" si="5"/>
        <v>1</v>
      </c>
      <c r="K41" s="11">
        <f t="shared" si="6"/>
        <v>3</v>
      </c>
      <c r="L41" s="11">
        <f t="shared" si="7"/>
        <v>0</v>
      </c>
      <c r="O41" s="48" t="s">
        <v>33</v>
      </c>
      <c r="P41" s="49">
        <f>SUMIF($D$8:$D$55,$O41,$G$8:$G$55)+SUMIF($F$8:$F$55,$O41,$I$8:$I$55)</f>
        <v>1</v>
      </c>
      <c r="Q41" s="49">
        <f>SUMIF($D$8:$D$55,$O41,$I$8:$I$55)+SUMIF($F$8:$F$55,$O41,$G$8:$G$55)</f>
        <v>5</v>
      </c>
      <c r="R41" s="49">
        <f>P41-Q41</f>
        <v>-4</v>
      </c>
      <c r="S41" s="50">
        <f>SUMIF($D$8:$D$55,$O41,$K$8:$K$55)+SUMIF($F$8:$F$55,$O41,$L$8:$L$55)</f>
        <v>1</v>
      </c>
      <c r="T41" s="95" t="s">
        <v>74</v>
      </c>
      <c r="U41" s="40"/>
      <c r="V41" s="40" t="str">
        <f>O41</f>
        <v>Iran</v>
      </c>
      <c r="W41" s="40" t="s">
        <v>74</v>
      </c>
      <c r="Y41" s="109">
        <f t="shared" si="8"/>
        <v>6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6</v>
      </c>
      <c r="AG41" s="108">
        <f t="shared" si="0"/>
        <v>1</v>
      </c>
      <c r="AH41" s="108">
        <f t="shared" si="1"/>
        <v>0</v>
      </c>
      <c r="AI41" s="108">
        <f t="shared" si="10"/>
        <v>0</v>
      </c>
      <c r="AJ41" s="108">
        <f t="shared" si="2"/>
        <v>5</v>
      </c>
      <c r="AK41" s="108">
        <f t="shared" si="3"/>
        <v>0</v>
      </c>
      <c r="AL41" s="108">
        <f t="shared" si="4"/>
        <v>0</v>
      </c>
      <c r="AM41" s="120">
        <f>AO41</f>
        <v>0</v>
      </c>
      <c r="AN41" s="117" t="s">
        <v>33</v>
      </c>
      <c r="AO41" s="115">
        <f>IF(Uitslag!T41="",0,IF(T41=Uitslag!T41,10,0))</f>
        <v>0</v>
      </c>
    </row>
    <row r="42" spans="2:41" ht="15.75" thickBot="1">
      <c r="B42" s="18">
        <v>35</v>
      </c>
      <c r="C42" s="19">
        <v>41813</v>
      </c>
      <c r="D42" s="20" t="s">
        <v>12</v>
      </c>
      <c r="E42" s="21" t="s">
        <v>9</v>
      </c>
      <c r="F42" s="30" t="s">
        <v>8</v>
      </c>
      <c r="G42" s="86">
        <v>0</v>
      </c>
      <c r="H42" s="21" t="s">
        <v>9</v>
      </c>
      <c r="I42" s="91">
        <v>3</v>
      </c>
      <c r="J42" s="23">
        <f t="shared" si="5"/>
        <v>2</v>
      </c>
      <c r="K42" s="11">
        <f t="shared" si="6"/>
        <v>0</v>
      </c>
      <c r="L42" s="11">
        <f t="shared" si="7"/>
        <v>3</v>
      </c>
      <c r="O42" s="51" t="s">
        <v>34</v>
      </c>
      <c r="P42" s="52">
        <f>SUMIF($D$8:$D$55,$O42,$G$8:$G$55)+SUMIF($F$8:$F$55,$O42,$I$8:$I$55)</f>
        <v>4</v>
      </c>
      <c r="Q42" s="52">
        <f>SUMIF($D$8:$D$55,$O42,$I$8:$I$55)+SUMIF($F$8:$F$55,$O42,$G$8:$G$55)</f>
        <v>2</v>
      </c>
      <c r="R42" s="52">
        <f>P42-Q42</f>
        <v>2</v>
      </c>
      <c r="S42" s="53">
        <f>SUMIF($D$8:$D$55,$O42,$K$8:$K$55)+SUMIF($F$8:$F$55,$O42,$L$8:$L$55)</f>
        <v>6</v>
      </c>
      <c r="T42" s="96" t="s">
        <v>73</v>
      </c>
      <c r="U42" s="40"/>
      <c r="V42" s="40" t="str">
        <f>O42</f>
        <v>Nigeria</v>
      </c>
      <c r="W42" s="40" t="s">
        <v>75</v>
      </c>
      <c r="Y42" s="109">
        <f t="shared" si="8"/>
        <v>5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5</v>
      </c>
      <c r="AG42" s="108">
        <f t="shared" si="0"/>
        <v>0</v>
      </c>
      <c r="AH42" s="108">
        <f t="shared" si="1"/>
        <v>0</v>
      </c>
      <c r="AI42" s="108">
        <f t="shared" si="10"/>
        <v>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24">
        <v>36</v>
      </c>
      <c r="C43" s="25">
        <v>41813</v>
      </c>
      <c r="D43" s="26" t="s">
        <v>10</v>
      </c>
      <c r="E43" s="27" t="s">
        <v>9</v>
      </c>
      <c r="F43" s="28" t="s">
        <v>11</v>
      </c>
      <c r="G43" s="87">
        <v>0</v>
      </c>
      <c r="H43" s="27" t="s">
        <v>9</v>
      </c>
      <c r="I43" s="92">
        <v>3</v>
      </c>
      <c r="J43" s="29">
        <f t="shared" si="5"/>
        <v>2</v>
      </c>
      <c r="K43" s="11">
        <f t="shared" si="6"/>
        <v>0</v>
      </c>
      <c r="L43" s="11">
        <f t="shared" si="7"/>
        <v>3</v>
      </c>
      <c r="O43" s="40"/>
      <c r="P43" s="41"/>
      <c r="Q43" s="41"/>
      <c r="R43" s="41"/>
      <c r="S43" s="41"/>
      <c r="T43" s="41"/>
      <c r="U43" s="40"/>
      <c r="V43" s="40"/>
      <c r="W43" s="40"/>
      <c r="Y43" s="109">
        <f t="shared" si="8"/>
        <v>6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6</v>
      </c>
      <c r="AG43" s="108">
        <f t="shared" si="0"/>
        <v>0</v>
      </c>
      <c r="AH43" s="108">
        <f t="shared" si="1"/>
        <v>1</v>
      </c>
      <c r="AI43" s="108">
        <f t="shared" si="10"/>
        <v>0</v>
      </c>
      <c r="AJ43" s="108">
        <f t="shared" si="2"/>
        <v>0</v>
      </c>
      <c r="AK43" s="108">
        <f t="shared" si="3"/>
        <v>5</v>
      </c>
      <c r="AL43" s="108">
        <f t="shared" si="4"/>
        <v>0</v>
      </c>
      <c r="AN43" s="40"/>
      <c r="AO43" s="41"/>
    </row>
    <row r="44" spans="2:41" ht="15.75" thickBot="1">
      <c r="B44" s="12">
        <v>37</v>
      </c>
      <c r="C44" s="13">
        <v>41814</v>
      </c>
      <c r="D44" s="14" t="s">
        <v>22</v>
      </c>
      <c r="E44" s="15" t="s">
        <v>9</v>
      </c>
      <c r="F44" s="16" t="s">
        <v>19</v>
      </c>
      <c r="G44" s="85">
        <v>2</v>
      </c>
      <c r="H44" s="15" t="s">
        <v>9</v>
      </c>
      <c r="I44" s="90">
        <v>2</v>
      </c>
      <c r="J44" s="17">
        <f t="shared" si="5"/>
        <v>3</v>
      </c>
      <c r="K44" s="11">
        <f t="shared" si="6"/>
        <v>1</v>
      </c>
      <c r="L44" s="11">
        <f t="shared" si="7"/>
        <v>1</v>
      </c>
      <c r="O44" s="72" t="s">
        <v>76</v>
      </c>
      <c r="P44" s="73" t="s">
        <v>42</v>
      </c>
      <c r="Q44" s="73" t="s">
        <v>43</v>
      </c>
      <c r="R44" s="74" t="s">
        <v>44</v>
      </c>
      <c r="S44" s="75" t="s">
        <v>45</v>
      </c>
      <c r="T44" s="76" t="s">
        <v>46</v>
      </c>
      <c r="U44" s="40"/>
      <c r="V44" s="40"/>
      <c r="W44" s="40"/>
      <c r="Y44" s="109">
        <f t="shared" si="8"/>
        <v>0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0</v>
      </c>
      <c r="AG44" s="108">
        <f t="shared" si="0"/>
        <v>0</v>
      </c>
      <c r="AH44" s="108">
        <f t="shared" si="1"/>
        <v>0</v>
      </c>
      <c r="AI44" s="108">
        <f t="shared" si="10"/>
        <v>0</v>
      </c>
      <c r="AJ44" s="108">
        <f t="shared" si="2"/>
        <v>0</v>
      </c>
      <c r="AK44" s="108">
        <f t="shared" si="3"/>
        <v>0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18">
        <v>38</v>
      </c>
      <c r="C45" s="19">
        <v>41814</v>
      </c>
      <c r="D45" s="20" t="s">
        <v>20</v>
      </c>
      <c r="E45" s="21" t="s">
        <v>9</v>
      </c>
      <c r="F45" s="30" t="s">
        <v>21</v>
      </c>
      <c r="G45" s="86">
        <v>0</v>
      </c>
      <c r="H45" s="21" t="s">
        <v>9</v>
      </c>
      <c r="I45" s="91">
        <v>2</v>
      </c>
      <c r="J45" s="23">
        <f t="shared" si="5"/>
        <v>2</v>
      </c>
      <c r="K45" s="11">
        <f t="shared" si="6"/>
        <v>0</v>
      </c>
      <c r="L45" s="11">
        <f t="shared" si="7"/>
        <v>3</v>
      </c>
      <c r="O45" s="44" t="s">
        <v>31</v>
      </c>
      <c r="P45" s="45">
        <f>SUMIF($D$8:$D$55,$O45,$G$8:$G$55)+SUMIF($F$8:$F$55,$O45,$I$8:$I$55)</f>
        <v>6</v>
      </c>
      <c r="Q45" s="45">
        <f>SUMIF($D$8:$D$55,$O45,$I$8:$I$55)+SUMIF($F$8:$F$55,$O45,$G$8:$G$55)</f>
        <v>2</v>
      </c>
      <c r="R45" s="46">
        <f>P45-Q45</f>
        <v>4</v>
      </c>
      <c r="S45" s="47">
        <f>SUMIF($D$8:$D$55,$O45,$K$8:$K$55)+SUMIF($F$8:$F$55,$O45,$L$8:$L$55)</f>
        <v>9</v>
      </c>
      <c r="T45" s="94" t="s">
        <v>77</v>
      </c>
      <c r="U45" s="40"/>
      <c r="V45" s="40" t="str">
        <f>O45</f>
        <v>Duitsland</v>
      </c>
      <c r="W45" s="40" t="s">
        <v>77</v>
      </c>
      <c r="Y45" s="109">
        <f t="shared" si="8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1</v>
      </c>
      <c r="AG45" s="108">
        <f t="shared" si="0"/>
        <v>1</v>
      </c>
      <c r="AH45" s="108">
        <f t="shared" si="1"/>
        <v>0</v>
      </c>
      <c r="AI45" s="108">
        <f t="shared" si="10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18">
        <v>39</v>
      </c>
      <c r="C46" s="19">
        <v>41814</v>
      </c>
      <c r="D46" s="20" t="s">
        <v>24</v>
      </c>
      <c r="E46" s="21" t="s">
        <v>9</v>
      </c>
      <c r="F46" s="30" t="s">
        <v>17</v>
      </c>
      <c r="G46" s="86">
        <v>0</v>
      </c>
      <c r="H46" s="21" t="s">
        <v>9</v>
      </c>
      <c r="I46" s="91">
        <v>1</v>
      </c>
      <c r="J46" s="23">
        <f t="shared" si="5"/>
        <v>2</v>
      </c>
      <c r="K46" s="11">
        <f t="shared" si="6"/>
        <v>0</v>
      </c>
      <c r="L46" s="11">
        <f t="shared" si="7"/>
        <v>3</v>
      </c>
      <c r="O46" s="48" t="s">
        <v>32</v>
      </c>
      <c r="P46" s="49">
        <f>SUMIF($D$8:$D$55,$O46,$G$8:$G$55)+SUMIF($F$8:$F$55,$O46,$I$8:$I$55)</f>
        <v>6</v>
      </c>
      <c r="Q46" s="49">
        <f>SUMIF($D$8:$D$55,$O46,$I$8:$I$55)+SUMIF($F$8:$F$55,$O46,$G$8:$G$55)</f>
        <v>2</v>
      </c>
      <c r="R46" s="49">
        <f>P46-Q46</f>
        <v>4</v>
      </c>
      <c r="S46" s="50">
        <f>SUMIF($D$8:$D$55,$O46,$K$8:$K$55)+SUMIF($F$8:$F$55,$O46,$L$8:$L$55)</f>
        <v>6</v>
      </c>
      <c r="T46" s="95" t="s">
        <v>78</v>
      </c>
      <c r="U46" s="40"/>
      <c r="V46" s="40" t="str">
        <f>O46</f>
        <v>Portugal</v>
      </c>
      <c r="W46" s="40" t="s">
        <v>78</v>
      </c>
      <c r="Y46" s="109">
        <f t="shared" si="8"/>
        <v>5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5</v>
      </c>
      <c r="AG46" s="108">
        <f t="shared" si="0"/>
        <v>0</v>
      </c>
      <c r="AH46" s="108">
        <f t="shared" si="1"/>
        <v>0</v>
      </c>
      <c r="AI46" s="108">
        <f t="shared" si="10"/>
        <v>0</v>
      </c>
      <c r="AJ46" s="108">
        <f t="shared" si="2"/>
        <v>0</v>
      </c>
      <c r="AK46" s="108">
        <f t="shared" si="3"/>
        <v>5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24">
        <v>40</v>
      </c>
      <c r="C47" s="25">
        <v>41814</v>
      </c>
      <c r="D47" s="26" t="s">
        <v>18</v>
      </c>
      <c r="E47" s="27" t="s">
        <v>9</v>
      </c>
      <c r="F47" s="28" t="s">
        <v>23</v>
      </c>
      <c r="G47" s="87">
        <v>0</v>
      </c>
      <c r="H47" s="27" t="s">
        <v>9</v>
      </c>
      <c r="I47" s="92">
        <v>3</v>
      </c>
      <c r="J47" s="29">
        <f t="shared" si="5"/>
        <v>2</v>
      </c>
      <c r="K47" s="11">
        <f t="shared" si="6"/>
        <v>0</v>
      </c>
      <c r="L47" s="11">
        <f t="shared" si="7"/>
        <v>3</v>
      </c>
      <c r="O47" s="48" t="s">
        <v>35</v>
      </c>
      <c r="P47" s="49">
        <f>SUMIF($D$8:$D$55,$O47,$G$8:$G$55)+SUMIF($F$8:$F$55,$O47,$I$8:$I$55)</f>
        <v>3</v>
      </c>
      <c r="Q47" s="49">
        <f>SUMIF($D$8:$D$55,$O47,$I$8:$I$55)+SUMIF($F$8:$F$55,$O47,$G$8:$G$55)</f>
        <v>4</v>
      </c>
      <c r="R47" s="49">
        <f>P47-Q47</f>
        <v>-1</v>
      </c>
      <c r="S47" s="50">
        <f>SUMIF($D$8:$D$55,$O47,$K$8:$K$55)+SUMIF($F$8:$F$55,$O47,$L$8:$L$55)</f>
        <v>3</v>
      </c>
      <c r="T47" s="95" t="s">
        <v>79</v>
      </c>
      <c r="U47" s="40"/>
      <c r="V47" s="40" t="str">
        <f>O47</f>
        <v>Ghana</v>
      </c>
      <c r="W47" s="40" t="s">
        <v>79</v>
      </c>
      <c r="Y47" s="109">
        <f t="shared" si="8"/>
        <v>0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0</v>
      </c>
      <c r="AG47" s="108">
        <f t="shared" si="0"/>
        <v>0</v>
      </c>
      <c r="AH47" s="108">
        <f t="shared" si="1"/>
        <v>0</v>
      </c>
      <c r="AI47" s="108">
        <f t="shared" si="10"/>
        <v>0</v>
      </c>
      <c r="AJ47" s="108">
        <f t="shared" si="2"/>
        <v>0</v>
      </c>
      <c r="AK47" s="108">
        <f t="shared" si="3"/>
        <v>0</v>
      </c>
      <c r="AL47" s="108">
        <f t="shared" si="4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12">
        <v>41</v>
      </c>
      <c r="C48" s="13">
        <v>41815</v>
      </c>
      <c r="D48" s="14" t="s">
        <v>34</v>
      </c>
      <c r="E48" s="15" t="s">
        <v>9</v>
      </c>
      <c r="F48" s="16" t="s">
        <v>29</v>
      </c>
      <c r="G48" s="85">
        <v>1</v>
      </c>
      <c r="H48" s="15" t="s">
        <v>9</v>
      </c>
      <c r="I48" s="90">
        <v>2</v>
      </c>
      <c r="J48" s="17">
        <f t="shared" si="5"/>
        <v>2</v>
      </c>
      <c r="K48" s="11">
        <f t="shared" si="6"/>
        <v>0</v>
      </c>
      <c r="L48" s="11">
        <f t="shared" si="7"/>
        <v>3</v>
      </c>
      <c r="O48" s="51" t="s">
        <v>36</v>
      </c>
      <c r="P48" s="52">
        <f>SUMIF($D$8:$D$55,$O48,$G$8:$G$55)+SUMIF($F$8:$F$55,$O48,$I$8:$I$55)</f>
        <v>0</v>
      </c>
      <c r="Q48" s="52">
        <f>SUMIF($D$8:$D$55,$O48,$I$8:$I$55)+SUMIF($F$8:$F$55,$O48,$G$8:$G$55)</f>
        <v>7</v>
      </c>
      <c r="R48" s="52">
        <f>P48-Q48</f>
        <v>-7</v>
      </c>
      <c r="S48" s="53">
        <f>SUMIF($D$8:$D$55,$O48,$K$8:$K$55)+SUMIF($F$8:$F$55,$O48,$L$8:$L$55)</f>
        <v>0</v>
      </c>
      <c r="T48" s="96" t="s">
        <v>80</v>
      </c>
      <c r="U48" s="40"/>
      <c r="V48" s="40" t="str">
        <f>O48</f>
        <v>Verenigde Staten</v>
      </c>
      <c r="W48" s="40" t="s">
        <v>80</v>
      </c>
      <c r="Y48" s="109">
        <f t="shared" si="8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5</v>
      </c>
      <c r="AG48" s="108">
        <f t="shared" si="0"/>
        <v>0</v>
      </c>
      <c r="AH48" s="108">
        <f t="shared" si="1"/>
        <v>0</v>
      </c>
      <c r="AI48" s="108">
        <f t="shared" si="10"/>
        <v>0</v>
      </c>
      <c r="AJ48" s="108">
        <f t="shared" si="2"/>
        <v>0</v>
      </c>
      <c r="AK48" s="108">
        <f t="shared" si="3"/>
        <v>5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18">
        <v>42</v>
      </c>
      <c r="C49" s="19">
        <v>41815</v>
      </c>
      <c r="D49" s="20" t="s">
        <v>30</v>
      </c>
      <c r="E49" s="21" t="s">
        <v>9</v>
      </c>
      <c r="F49" s="30" t="s">
        <v>33</v>
      </c>
      <c r="G49" s="86">
        <v>1</v>
      </c>
      <c r="H49" s="21" t="s">
        <v>9</v>
      </c>
      <c r="I49" s="91">
        <v>1</v>
      </c>
      <c r="J49" s="23">
        <f t="shared" si="5"/>
        <v>3</v>
      </c>
      <c r="K49" s="11">
        <f t="shared" si="6"/>
        <v>1</v>
      </c>
      <c r="L49" s="11">
        <f t="shared" si="7"/>
        <v>1</v>
      </c>
      <c r="O49" s="40"/>
      <c r="P49" s="41"/>
      <c r="Q49" s="41"/>
      <c r="R49" s="41"/>
      <c r="S49" s="41"/>
      <c r="T49" s="41"/>
      <c r="U49" s="40"/>
      <c r="V49" s="40"/>
      <c r="W49" s="40"/>
      <c r="Y49" s="109">
        <f t="shared" si="8"/>
        <v>1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1</v>
      </c>
      <c r="AG49" s="108">
        <f t="shared" si="0"/>
        <v>0</v>
      </c>
      <c r="AH49" s="108">
        <f t="shared" si="1"/>
        <v>1</v>
      </c>
      <c r="AI49" s="108">
        <f t="shared" si="10"/>
        <v>0</v>
      </c>
      <c r="AJ49" s="108">
        <f t="shared" si="2"/>
        <v>0</v>
      </c>
      <c r="AK49" s="108">
        <f t="shared" si="3"/>
        <v>0</v>
      </c>
      <c r="AL49" s="108">
        <f t="shared" si="4"/>
        <v>0</v>
      </c>
      <c r="AN49" s="40"/>
      <c r="AO49" s="41"/>
    </row>
    <row r="50" spans="2:54" ht="15.75" thickBot="1">
      <c r="B50" s="18">
        <v>43</v>
      </c>
      <c r="C50" s="19">
        <v>41815</v>
      </c>
      <c r="D50" s="20" t="s">
        <v>28</v>
      </c>
      <c r="E50" s="21" t="s">
        <v>9</v>
      </c>
      <c r="F50" s="30" t="s">
        <v>25</v>
      </c>
      <c r="G50" s="86">
        <v>1</v>
      </c>
      <c r="H50" s="21" t="s">
        <v>9</v>
      </c>
      <c r="I50" s="91">
        <v>0</v>
      </c>
      <c r="J50" s="23">
        <f t="shared" si="5"/>
        <v>1</v>
      </c>
      <c r="K50" s="11">
        <f t="shared" si="6"/>
        <v>3</v>
      </c>
      <c r="L50" s="11">
        <f t="shared" si="7"/>
        <v>0</v>
      </c>
      <c r="O50" s="72" t="s">
        <v>81</v>
      </c>
      <c r="P50" s="73" t="s">
        <v>42</v>
      </c>
      <c r="Q50" s="73" t="s">
        <v>43</v>
      </c>
      <c r="R50" s="74" t="s">
        <v>44</v>
      </c>
      <c r="S50" s="75" t="s">
        <v>45</v>
      </c>
      <c r="T50" s="76" t="s">
        <v>46</v>
      </c>
      <c r="U50" s="40"/>
      <c r="V50" s="40"/>
      <c r="W50" s="40"/>
      <c r="Y50" s="109">
        <f t="shared" si="8"/>
        <v>0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0</v>
      </c>
      <c r="AG50" s="108">
        <f t="shared" si="0"/>
        <v>0</v>
      </c>
      <c r="AH50" s="108">
        <f t="shared" si="1"/>
        <v>0</v>
      </c>
      <c r="AI50" s="108">
        <f t="shared" si="10"/>
        <v>0</v>
      </c>
      <c r="AJ50" s="108">
        <f t="shared" si="2"/>
        <v>0</v>
      </c>
      <c r="AK50" s="108">
        <f t="shared" si="3"/>
        <v>0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24">
        <v>44</v>
      </c>
      <c r="C51" s="25">
        <v>41815</v>
      </c>
      <c r="D51" s="26" t="s">
        <v>26</v>
      </c>
      <c r="E51" s="27" t="s">
        <v>9</v>
      </c>
      <c r="F51" s="28" t="s">
        <v>27</v>
      </c>
      <c r="G51" s="87">
        <v>0</v>
      </c>
      <c r="H51" s="27" t="s">
        <v>9</v>
      </c>
      <c r="I51" s="92">
        <v>1</v>
      </c>
      <c r="J51" s="29">
        <f t="shared" si="5"/>
        <v>2</v>
      </c>
      <c r="K51" s="11">
        <f t="shared" si="6"/>
        <v>0</v>
      </c>
      <c r="L51" s="11">
        <f>IF(I51="","",IF($G51&lt;$I51,3,IF($G51=$I51,1,0)))</f>
        <v>3</v>
      </c>
      <c r="O51" s="44" t="s">
        <v>37</v>
      </c>
      <c r="P51" s="45">
        <f>SUMIF($D$8:$D$55,$O51,$G$8:$G$55)+SUMIF($F$8:$F$55,$O51,$I$8:$I$55)</f>
        <v>5</v>
      </c>
      <c r="Q51" s="45">
        <f>SUMIF($D$8:$D$55,$O51,$I$8:$I$55)+SUMIF($F$8:$F$55,$O51,$G$8:$G$55)</f>
        <v>1</v>
      </c>
      <c r="R51" s="46">
        <f>P51-Q51</f>
        <v>4</v>
      </c>
      <c r="S51" s="47">
        <f>SUMIF($D$8:$D$55,$O51,$K$8:$K$55)+SUMIF($F$8:$F$55,$O51,$L$8:$L$55)</f>
        <v>9</v>
      </c>
      <c r="T51" s="94" t="s">
        <v>82</v>
      </c>
      <c r="U51" s="40"/>
      <c r="V51" s="40" t="str">
        <f>O51</f>
        <v>België</v>
      </c>
      <c r="W51" s="40" t="s">
        <v>82</v>
      </c>
      <c r="Y51" s="109">
        <f t="shared" si="8"/>
        <v>1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1</v>
      </c>
      <c r="AG51" s="108">
        <f t="shared" si="0"/>
        <v>1</v>
      </c>
      <c r="AH51" s="108">
        <f t="shared" si="1"/>
        <v>0</v>
      </c>
      <c r="AI51" s="108">
        <f t="shared" si="10"/>
        <v>0</v>
      </c>
      <c r="AJ51" s="108">
        <f t="shared" si="2"/>
        <v>0</v>
      </c>
      <c r="AK51" s="108">
        <f t="shared" si="3"/>
        <v>0</v>
      </c>
      <c r="AL51" s="108">
        <f t="shared" si="4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18">
        <v>45</v>
      </c>
      <c r="C52" s="19">
        <v>41816</v>
      </c>
      <c r="D52" s="20" t="s">
        <v>36</v>
      </c>
      <c r="E52" s="21" t="s">
        <v>9</v>
      </c>
      <c r="F52" s="30" t="s">
        <v>31</v>
      </c>
      <c r="G52" s="86">
        <v>0</v>
      </c>
      <c r="H52" s="21" t="s">
        <v>9</v>
      </c>
      <c r="I52" s="91">
        <v>2</v>
      </c>
      <c r="J52" s="17">
        <f t="shared" si="5"/>
        <v>2</v>
      </c>
      <c r="K52" s="11">
        <f t="shared" si="6"/>
        <v>0</v>
      </c>
      <c r="L52" s="11">
        <f t="shared" si="7"/>
        <v>3</v>
      </c>
      <c r="O52" s="48" t="s">
        <v>38</v>
      </c>
      <c r="P52" s="49">
        <f>SUMIF($D$8:$D$55,$O52,$G$8:$G$55)+SUMIF($F$8:$F$55,$O52,$I$8:$I$55)</f>
        <v>0</v>
      </c>
      <c r="Q52" s="49">
        <f>SUMIF($D$8:$D$55,$O52,$I$8:$I$55)+SUMIF($F$8:$F$55,$O52,$G$8:$G$55)</f>
        <v>3</v>
      </c>
      <c r="R52" s="49">
        <f>P52-Q52</f>
        <v>-3</v>
      </c>
      <c r="S52" s="50">
        <f>SUMIF($D$8:$D$55,$O52,$K$8:$K$55)+SUMIF($F$8:$F$55,$O52,$L$8:$L$55)</f>
        <v>1</v>
      </c>
      <c r="T52" s="95" t="s">
        <v>85</v>
      </c>
      <c r="U52" s="40"/>
      <c r="V52" s="40" t="str">
        <f>O52</f>
        <v>Algerije</v>
      </c>
      <c r="W52" s="40" t="s">
        <v>83</v>
      </c>
      <c r="Y52" s="109">
        <f t="shared" si="8"/>
        <v>6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6</v>
      </c>
      <c r="AG52" s="108">
        <f t="shared" si="0"/>
        <v>1</v>
      </c>
      <c r="AH52" s="108">
        <f t="shared" si="1"/>
        <v>0</v>
      </c>
      <c r="AI52" s="108">
        <f t="shared" si="10"/>
        <v>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18">
        <v>46</v>
      </c>
      <c r="C53" s="19">
        <v>41816</v>
      </c>
      <c r="D53" s="20" t="s">
        <v>32</v>
      </c>
      <c r="E53" s="21" t="s">
        <v>9</v>
      </c>
      <c r="F53" s="30" t="s">
        <v>35</v>
      </c>
      <c r="G53" s="86">
        <v>2</v>
      </c>
      <c r="H53" s="21" t="s">
        <v>9</v>
      </c>
      <c r="I53" s="91">
        <v>0</v>
      </c>
      <c r="J53" s="23">
        <f t="shared" si="5"/>
        <v>1</v>
      </c>
      <c r="K53" s="11">
        <f t="shared" si="6"/>
        <v>3</v>
      </c>
      <c r="L53" s="11">
        <f t="shared" si="7"/>
        <v>0</v>
      </c>
      <c r="O53" s="48" t="s">
        <v>39</v>
      </c>
      <c r="P53" s="49">
        <f>SUMIF($D$8:$D$55,$O53,$G$8:$G$55)+SUMIF($F$8:$F$55,$O53,$I$8:$I$55)</f>
        <v>3</v>
      </c>
      <c r="Q53" s="49">
        <f>SUMIF($D$8:$D$55,$O53,$I$8:$I$55)+SUMIF($F$8:$F$55,$O53,$G$8:$G$55)</f>
        <v>3</v>
      </c>
      <c r="R53" s="49">
        <f>P53-Q53</f>
        <v>0</v>
      </c>
      <c r="S53" s="50">
        <f>SUMIF($D$8:$D$55,$O53,$K$8:$K$55)+SUMIF($F$8:$F$55,$O53,$L$8:$L$55)</f>
        <v>4</v>
      </c>
      <c r="T53" s="95" t="s">
        <v>83</v>
      </c>
      <c r="U53" s="40"/>
      <c r="V53" s="40" t="str">
        <f>O53</f>
        <v>Rusland</v>
      </c>
      <c r="W53" s="40" t="s">
        <v>84</v>
      </c>
      <c r="Y53" s="109">
        <f t="shared" si="8"/>
        <v>6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6</v>
      </c>
      <c r="AG53" s="108">
        <f t="shared" si="0"/>
        <v>1</v>
      </c>
      <c r="AH53" s="108">
        <f t="shared" si="1"/>
        <v>0</v>
      </c>
      <c r="AI53" s="108">
        <f t="shared" si="10"/>
        <v>0</v>
      </c>
      <c r="AJ53" s="108">
        <f t="shared" si="2"/>
        <v>5</v>
      </c>
      <c r="AK53" s="108">
        <f t="shared" si="3"/>
        <v>0</v>
      </c>
      <c r="AL53" s="108">
        <f t="shared" si="4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18">
        <v>47</v>
      </c>
      <c r="C54" s="19">
        <v>41816</v>
      </c>
      <c r="D54" s="20" t="s">
        <v>40</v>
      </c>
      <c r="E54" s="21" t="s">
        <v>9</v>
      </c>
      <c r="F54" s="30" t="s">
        <v>37</v>
      </c>
      <c r="G54" s="86">
        <v>1</v>
      </c>
      <c r="H54" s="21" t="s">
        <v>9</v>
      </c>
      <c r="I54" s="91">
        <v>2</v>
      </c>
      <c r="J54" s="23">
        <f t="shared" si="5"/>
        <v>2</v>
      </c>
      <c r="K54" s="11">
        <f t="shared" si="6"/>
        <v>0</v>
      </c>
      <c r="L54" s="11">
        <f t="shared" si="7"/>
        <v>3</v>
      </c>
      <c r="O54" s="51" t="s">
        <v>40</v>
      </c>
      <c r="P54" s="52">
        <f>SUMIF($D$8:$D$55,$O54,$G$8:$G$55)+SUMIF($F$8:$F$55,$O54,$I$8:$I$55)</f>
        <v>3</v>
      </c>
      <c r="Q54" s="52">
        <f>SUMIF($D$8:$D$55,$O54,$I$8:$I$55)+SUMIF($F$8:$F$55,$O54,$G$8:$G$55)</f>
        <v>4</v>
      </c>
      <c r="R54" s="52">
        <f>P54-Q54</f>
        <v>-1</v>
      </c>
      <c r="S54" s="53">
        <f>SUMIF($D$8:$D$55,$O54,$K$8:$K$55)+SUMIF($F$8:$F$55,$O54,$L$8:$L$55)</f>
        <v>2</v>
      </c>
      <c r="T54" s="96" t="s">
        <v>84</v>
      </c>
      <c r="U54" s="40"/>
      <c r="V54" s="40" t="str">
        <f>O54</f>
        <v>Zuid Korea</v>
      </c>
      <c r="W54" s="40" t="s">
        <v>85</v>
      </c>
      <c r="Y54" s="109">
        <f t="shared" si="8"/>
        <v>5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5</v>
      </c>
      <c r="AG54" s="108">
        <f t="shared" si="0"/>
        <v>0</v>
      </c>
      <c r="AH54" s="108">
        <f t="shared" si="1"/>
        <v>0</v>
      </c>
      <c r="AI54" s="108">
        <f t="shared" si="10"/>
        <v>0</v>
      </c>
      <c r="AJ54" s="108">
        <f t="shared" si="2"/>
        <v>0</v>
      </c>
      <c r="AK54" s="108">
        <f t="shared" si="3"/>
        <v>5</v>
      </c>
      <c r="AL54" s="108">
        <f t="shared" si="4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3">
        <v>48</v>
      </c>
      <c r="C55" s="34">
        <v>41816</v>
      </c>
      <c r="D55" s="35" t="s">
        <v>38</v>
      </c>
      <c r="E55" s="36" t="s">
        <v>9</v>
      </c>
      <c r="F55" s="37" t="s">
        <v>39</v>
      </c>
      <c r="G55" s="88">
        <v>0</v>
      </c>
      <c r="H55" s="36" t="s">
        <v>9</v>
      </c>
      <c r="I55" s="93">
        <v>1</v>
      </c>
      <c r="J55" s="38">
        <f t="shared" si="5"/>
        <v>2</v>
      </c>
      <c r="K55" s="11">
        <f t="shared" si="6"/>
        <v>0</v>
      </c>
      <c r="L55" s="11">
        <f t="shared" si="7"/>
        <v>3</v>
      </c>
      <c r="O55" s="40"/>
      <c r="P55" s="41"/>
      <c r="Q55" s="41"/>
      <c r="R55" s="41"/>
      <c r="S55" s="41"/>
      <c r="T55" s="41"/>
      <c r="U55" s="40"/>
      <c r="V55" s="40"/>
      <c r="W55" s="40"/>
      <c r="Y55" s="109">
        <f t="shared" si="8"/>
        <v>1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</v>
      </c>
      <c r="AG55" s="108">
        <f t="shared" si="0"/>
        <v>0</v>
      </c>
      <c r="AH55" s="108">
        <f t="shared" si="1"/>
        <v>1</v>
      </c>
      <c r="AI55" s="108">
        <f t="shared" si="10"/>
        <v>0</v>
      </c>
      <c r="AJ55" s="108">
        <f t="shared" si="2"/>
        <v>0</v>
      </c>
      <c r="AK55" s="108">
        <f t="shared" si="3"/>
        <v>0</v>
      </c>
      <c r="AL55" s="108">
        <f t="shared" si="4"/>
        <v>0</v>
      </c>
    </row>
    <row r="56" spans="2:54" ht="15.75" thickBot="1">
      <c r="B56" s="1"/>
      <c r="C56" s="39"/>
      <c r="D56" s="40"/>
      <c r="E56" s="1"/>
      <c r="F56" s="40"/>
      <c r="G56" s="1"/>
      <c r="H56" s="1"/>
      <c r="I56" s="1"/>
      <c r="J56" s="1"/>
      <c r="K56" s="1"/>
      <c r="L56" s="1"/>
      <c r="M56" s="1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201"/>
      <c r="K57" s="1"/>
      <c r="L57" s="1"/>
      <c r="M57" s="1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78" t="s">
        <v>1</v>
      </c>
      <c r="C58" s="79" t="s">
        <v>2</v>
      </c>
      <c r="D58" s="187" t="s">
        <v>3</v>
      </c>
      <c r="E58" s="81"/>
      <c r="F58" s="199" t="s">
        <v>4</v>
      </c>
      <c r="G58" s="867" t="s">
        <v>5</v>
      </c>
      <c r="H58" s="868"/>
      <c r="I58" s="869"/>
      <c r="J58" s="83" t="s">
        <v>6</v>
      </c>
      <c r="K58" s="1"/>
      <c r="L58" s="1"/>
      <c r="M58" s="1"/>
      <c r="O58" s="135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12">
        <v>49</v>
      </c>
      <c r="C59" s="189">
        <v>41818</v>
      </c>
      <c r="D59" s="153" t="str">
        <f>IF(ISERROR(Z59),K59,Z59)</f>
        <v>Brazilië</v>
      </c>
      <c r="E59" s="15" t="s">
        <v>9</v>
      </c>
      <c r="F59" s="56" t="str">
        <f>IF(ISERROR(AA59),L59,AA59)</f>
        <v>Spanje</v>
      </c>
      <c r="G59" s="85">
        <v>0</v>
      </c>
      <c r="H59" s="15" t="s">
        <v>9</v>
      </c>
      <c r="I59" s="97">
        <v>2</v>
      </c>
      <c r="J59" s="98">
        <v>2</v>
      </c>
      <c r="K59" s="57" t="s">
        <v>48</v>
      </c>
      <c r="L59" s="57" t="s">
        <v>53</v>
      </c>
      <c r="M59" s="57">
        <v>1</v>
      </c>
      <c r="O59" s="135">
        <v>2</v>
      </c>
      <c r="P59" s="877" t="s">
        <v>209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3">AF59</f>
        <v>0</v>
      </c>
      <c r="Z59" t="str">
        <f t="shared" ref="Z59:AA65" si="14">IF(K59=""," ",VLOOKUP(K59,$T$9:$V$54,3,FALSE))</f>
        <v>Brazilië</v>
      </c>
      <c r="AA59" t="str">
        <f t="shared" si="14"/>
        <v>Spanje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0</v>
      </c>
      <c r="AG59" s="108">
        <f t="shared" ref="AG59:AG66" si="16">IF(AC59="",0,(IF(G59=AC59,1,0)))</f>
        <v>0</v>
      </c>
      <c r="AH59" s="108">
        <f t="shared" ref="AH59:AH66" si="17">IF(AD59="",0,(IF(I59=AD59,1,0)))</f>
        <v>0</v>
      </c>
      <c r="AI59" s="108">
        <f t="shared" ref="AI59:AI66" si="18">IF(AND(AG59=1,AH59=1),10,0)</f>
        <v>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24">
        <v>50</v>
      </c>
      <c r="C60" s="190">
        <v>41818</v>
      </c>
      <c r="D60" s="154" t="str">
        <f t="shared" ref="D60:D66" si="23">IF(ISERROR(Z60),K60,Z60)</f>
        <v>Ivoorkust</v>
      </c>
      <c r="E60" s="27" t="s">
        <v>9</v>
      </c>
      <c r="F60" s="59" t="str">
        <f t="shared" ref="F60:F66" si="24">IF(ISERROR(AA60),L60,AA60)</f>
        <v>Uruguay</v>
      </c>
      <c r="G60" s="87">
        <v>1</v>
      </c>
      <c r="H60" s="27" t="s">
        <v>9</v>
      </c>
      <c r="I60" s="99">
        <v>2</v>
      </c>
      <c r="J60" s="100">
        <v>2</v>
      </c>
      <c r="K60" s="57" t="s">
        <v>57</v>
      </c>
      <c r="L60" s="57" t="s">
        <v>63</v>
      </c>
      <c r="M60" s="57">
        <v>2</v>
      </c>
      <c r="O60" s="135">
        <v>3</v>
      </c>
      <c r="P60" s="877" t="s">
        <v>211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3"/>
        <v>0</v>
      </c>
      <c r="Z60" t="str">
        <f t="shared" si="14"/>
        <v>Ivoorkust</v>
      </c>
      <c r="AA60" t="str">
        <f t="shared" si="14"/>
        <v>Uruguay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0</v>
      </c>
      <c r="AG60" s="108">
        <f t="shared" si="16"/>
        <v>0</v>
      </c>
      <c r="AH60" s="108">
        <f t="shared" si="17"/>
        <v>0</v>
      </c>
      <c r="AI60" s="108">
        <f t="shared" si="18"/>
        <v>0</v>
      </c>
      <c r="AJ60" s="108">
        <f t="shared" si="19"/>
        <v>0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2"/>
        <v>3</v>
      </c>
    </row>
    <row r="61" spans="2:54">
      <c r="B61" s="12">
        <v>51</v>
      </c>
      <c r="C61" s="189">
        <v>41819</v>
      </c>
      <c r="D61" s="188" t="str">
        <f t="shared" si="23"/>
        <v>Nederland</v>
      </c>
      <c r="E61" s="15" t="s">
        <v>9</v>
      </c>
      <c r="F61" s="56" t="str">
        <f t="shared" si="24"/>
        <v>Mexico</v>
      </c>
      <c r="G61" s="85">
        <v>1</v>
      </c>
      <c r="H61" s="15" t="s">
        <v>9</v>
      </c>
      <c r="I61" s="97">
        <v>0</v>
      </c>
      <c r="J61" s="98">
        <v>1</v>
      </c>
      <c r="K61" s="57" t="s">
        <v>52</v>
      </c>
      <c r="L61" s="57" t="s">
        <v>49</v>
      </c>
      <c r="M61" s="57"/>
      <c r="O61" s="135">
        <v>4</v>
      </c>
      <c r="P61" s="877" t="s">
        <v>225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3"/>
        <v>5</v>
      </c>
      <c r="Z61" t="str">
        <f t="shared" si="14"/>
        <v>Nederland</v>
      </c>
      <c r="AA61" t="str">
        <f t="shared" si="14"/>
        <v>Mexico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5</v>
      </c>
      <c r="AG61" s="108">
        <f t="shared" si="16"/>
        <v>0</v>
      </c>
      <c r="AH61" s="108">
        <f t="shared" si="17"/>
        <v>0</v>
      </c>
      <c r="AI61" s="108">
        <f t="shared" si="18"/>
        <v>0</v>
      </c>
      <c r="AJ61" s="108">
        <f t="shared" si="19"/>
        <v>5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3</v>
      </c>
      <c r="BB61" s="139">
        <f t="shared" si="22"/>
        <v>3</v>
      </c>
    </row>
    <row r="62" spans="2:54">
      <c r="B62" s="24">
        <v>52</v>
      </c>
      <c r="C62" s="190">
        <v>41819</v>
      </c>
      <c r="D62" s="188" t="str">
        <f t="shared" si="23"/>
        <v>Italië</v>
      </c>
      <c r="E62" s="27" t="s">
        <v>9</v>
      </c>
      <c r="F62" s="59" t="str">
        <f t="shared" si="24"/>
        <v>Colombia</v>
      </c>
      <c r="G62" s="87">
        <v>3</v>
      </c>
      <c r="H62" s="27" t="s">
        <v>9</v>
      </c>
      <c r="I62" s="99">
        <v>0</v>
      </c>
      <c r="J62" s="100">
        <v>1</v>
      </c>
      <c r="K62" s="57" t="s">
        <v>62</v>
      </c>
      <c r="L62" s="57" t="s">
        <v>58</v>
      </c>
      <c r="M62" s="57"/>
      <c r="O62" s="135">
        <v>5</v>
      </c>
      <c r="P62" s="877" t="s">
        <v>220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3"/>
        <v>0</v>
      </c>
      <c r="Z62" t="str">
        <f t="shared" si="14"/>
        <v>Italië</v>
      </c>
      <c r="AA62" t="str">
        <f t="shared" si="14"/>
        <v>Colombia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0</v>
      </c>
      <c r="AG62" s="108">
        <f t="shared" si="16"/>
        <v>0</v>
      </c>
      <c r="AH62" s="108">
        <f t="shared" si="17"/>
        <v>0</v>
      </c>
      <c r="AI62" s="108">
        <f t="shared" si="18"/>
        <v>0</v>
      </c>
      <c r="AJ62" s="108">
        <f t="shared" si="19"/>
        <v>0</v>
      </c>
      <c r="AK62" s="108">
        <f t="shared" si="20"/>
        <v>0</v>
      </c>
      <c r="AL62" s="108">
        <f t="shared" si="21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2"/>
        <v>3</v>
      </c>
    </row>
    <row r="63" spans="2:54">
      <c r="B63" s="12">
        <v>53</v>
      </c>
      <c r="C63" s="189">
        <v>41820</v>
      </c>
      <c r="D63" s="153" t="str">
        <f t="shared" si="23"/>
        <v>Frankrijk</v>
      </c>
      <c r="E63" s="15" t="s">
        <v>9</v>
      </c>
      <c r="F63" s="56" t="str">
        <f t="shared" si="24"/>
        <v>Nigeria</v>
      </c>
      <c r="G63" s="85">
        <v>1</v>
      </c>
      <c r="H63" s="15" t="s">
        <v>9</v>
      </c>
      <c r="I63" s="97">
        <v>2</v>
      </c>
      <c r="J63" s="98">
        <v>2</v>
      </c>
      <c r="K63" s="57" t="s">
        <v>67</v>
      </c>
      <c r="L63" s="57" t="s">
        <v>73</v>
      </c>
      <c r="M63" s="57"/>
      <c r="O63" s="135">
        <v>6</v>
      </c>
      <c r="P63" s="877" t="s">
        <v>213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3"/>
        <v>0</v>
      </c>
      <c r="Z63" t="str">
        <f t="shared" si="14"/>
        <v>Frankrijk</v>
      </c>
      <c r="AA63" t="str">
        <f t="shared" si="14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0</v>
      </c>
      <c r="AG63" s="108">
        <f t="shared" si="16"/>
        <v>0</v>
      </c>
      <c r="AH63" s="108">
        <f t="shared" si="17"/>
        <v>0</v>
      </c>
      <c r="AI63" s="108">
        <f t="shared" si="18"/>
        <v>0</v>
      </c>
      <c r="AJ63" s="108">
        <f t="shared" si="19"/>
        <v>0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3</v>
      </c>
      <c r="BB63" s="139">
        <f t="shared" si="22"/>
        <v>3</v>
      </c>
    </row>
    <row r="64" spans="2:54">
      <c r="B64" s="24">
        <v>54</v>
      </c>
      <c r="C64" s="190">
        <v>41820</v>
      </c>
      <c r="D64" s="154" t="str">
        <f t="shared" si="23"/>
        <v>Duitsland</v>
      </c>
      <c r="E64" s="27" t="s">
        <v>9</v>
      </c>
      <c r="F64" s="59" t="str">
        <f t="shared" si="24"/>
        <v>Rusland</v>
      </c>
      <c r="G64" s="87">
        <v>1</v>
      </c>
      <c r="H64" s="27" t="s">
        <v>9</v>
      </c>
      <c r="I64" s="99">
        <v>0</v>
      </c>
      <c r="J64" s="100">
        <v>1</v>
      </c>
      <c r="K64" s="57" t="s">
        <v>77</v>
      </c>
      <c r="L64" s="57" t="s">
        <v>83</v>
      </c>
      <c r="M64" s="57"/>
      <c r="O64" s="135">
        <v>7</v>
      </c>
      <c r="P64" s="877" t="s">
        <v>221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3"/>
        <v>1</v>
      </c>
      <c r="Z64" t="str">
        <f t="shared" si="14"/>
        <v>Duitsland</v>
      </c>
      <c r="AA64" t="str">
        <f t="shared" si="14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1</v>
      </c>
      <c r="AG64" s="108">
        <f t="shared" si="16"/>
        <v>0</v>
      </c>
      <c r="AH64" s="108">
        <f t="shared" si="17"/>
        <v>1</v>
      </c>
      <c r="AI64" s="108">
        <f t="shared" si="18"/>
        <v>0</v>
      </c>
      <c r="AJ64" s="108">
        <f t="shared" si="19"/>
        <v>0</v>
      </c>
      <c r="AK64" s="108">
        <f t="shared" si="20"/>
        <v>0</v>
      </c>
      <c r="AL64" s="108">
        <f t="shared" si="21"/>
        <v>0</v>
      </c>
      <c r="AZ64" s="138" t="str">
        <f>Uitslag!P64</f>
        <v>Wesley Sneijder (m)</v>
      </c>
      <c r="BA64" s="140">
        <f t="shared" si="12"/>
        <v>0</v>
      </c>
      <c r="BB64" s="139">
        <f t="shared" si="22"/>
        <v>0</v>
      </c>
    </row>
    <row r="65" spans="2:54">
      <c r="B65" s="18">
        <v>55</v>
      </c>
      <c r="C65" s="191">
        <v>41821</v>
      </c>
      <c r="D65" s="153" t="str">
        <f t="shared" si="23"/>
        <v>Argentinië</v>
      </c>
      <c r="E65" s="21" t="s">
        <v>9</v>
      </c>
      <c r="F65" s="60" t="str">
        <f t="shared" si="24"/>
        <v>Ecuador</v>
      </c>
      <c r="G65" s="86">
        <v>3</v>
      </c>
      <c r="H65" s="21" t="s">
        <v>9</v>
      </c>
      <c r="I65" s="101">
        <v>1</v>
      </c>
      <c r="J65" s="102">
        <v>1</v>
      </c>
      <c r="K65" s="57" t="s">
        <v>72</v>
      </c>
      <c r="L65" s="57" t="s">
        <v>68</v>
      </c>
      <c r="M65" s="57"/>
      <c r="O65" s="135">
        <v>8</v>
      </c>
      <c r="P65" s="877" t="s">
        <v>212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3"/>
        <v>0</v>
      </c>
      <c r="Z65" t="str">
        <f t="shared" si="14"/>
        <v>Argentinië</v>
      </c>
      <c r="AA65" t="str">
        <f t="shared" si="14"/>
        <v>Ecuador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0</v>
      </c>
      <c r="AG65" s="108">
        <f t="shared" si="16"/>
        <v>0</v>
      </c>
      <c r="AH65" s="108">
        <f t="shared" si="17"/>
        <v>0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2"/>
        <v>3</v>
      </c>
    </row>
    <row r="66" spans="2:54" ht="15.75" thickBot="1">
      <c r="B66" s="33">
        <v>56</v>
      </c>
      <c r="C66" s="186">
        <v>41821</v>
      </c>
      <c r="D66" s="155" t="str">
        <f t="shared" si="23"/>
        <v>België</v>
      </c>
      <c r="E66" s="36" t="s">
        <v>9</v>
      </c>
      <c r="F66" s="62" t="str">
        <f t="shared" si="24"/>
        <v>Portugal</v>
      </c>
      <c r="G66" s="88">
        <v>2</v>
      </c>
      <c r="H66" s="36" t="s">
        <v>9</v>
      </c>
      <c r="I66" s="103">
        <v>1</v>
      </c>
      <c r="J66" s="104">
        <v>1</v>
      </c>
      <c r="K66" s="57" t="s">
        <v>82</v>
      </c>
      <c r="L66" s="57" t="s">
        <v>78</v>
      </c>
      <c r="M66" s="57"/>
      <c r="O66" s="135">
        <v>9</v>
      </c>
      <c r="P66" s="877" t="s">
        <v>214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3"/>
        <v>0</v>
      </c>
      <c r="Z66" t="str">
        <f>IF(K66=""," ",VLOOKUP(K66,$T$9:$V$54,3,FALSE))</f>
        <v>België</v>
      </c>
      <c r="AA66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0</v>
      </c>
      <c r="AG66" s="108">
        <f t="shared" si="16"/>
        <v>0</v>
      </c>
      <c r="AH66" s="108">
        <f t="shared" si="17"/>
        <v>0</v>
      </c>
      <c r="AI66" s="108">
        <f t="shared" si="18"/>
        <v>0</v>
      </c>
      <c r="AJ66" s="108">
        <f t="shared" si="19"/>
        <v>0</v>
      </c>
      <c r="AK66" s="108">
        <f t="shared" si="20"/>
        <v>0</v>
      </c>
      <c r="AL66" s="108">
        <f t="shared" si="21"/>
        <v>0</v>
      </c>
      <c r="AZ66" s="138" t="str">
        <f>Uitslag!P66</f>
        <v>Jonathan de Guzman (m)</v>
      </c>
      <c r="BA66" s="140">
        <f t="shared" si="12"/>
        <v>3</v>
      </c>
      <c r="BB66" s="139">
        <f t="shared" si="22"/>
        <v>3</v>
      </c>
    </row>
    <row r="67" spans="2:54" ht="15.75" thickBot="1">
      <c r="B67" s="1"/>
      <c r="C67" s="39"/>
      <c r="D67" s="40"/>
      <c r="E67" s="1"/>
      <c r="F67" s="40"/>
      <c r="G67" s="1"/>
      <c r="H67" s="1"/>
      <c r="I67" s="1"/>
      <c r="J67" s="1"/>
      <c r="K67" s="1"/>
      <c r="L67" s="1"/>
      <c r="M67" s="1"/>
      <c r="O67" s="135">
        <v>10</v>
      </c>
      <c r="P67" s="877" t="s">
        <v>240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0</v>
      </c>
      <c r="BB67" s="139">
        <f t="shared" si="22"/>
        <v>0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201"/>
      <c r="K68" s="1"/>
      <c r="L68" s="1"/>
      <c r="M68" s="1"/>
      <c r="O68" s="135">
        <v>11</v>
      </c>
      <c r="P68" s="877" t="s">
        <v>215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2"/>
        <v>3</v>
      </c>
    </row>
    <row r="69" spans="2:54">
      <c r="B69" s="78" t="s">
        <v>1</v>
      </c>
      <c r="C69" s="79" t="s">
        <v>2</v>
      </c>
      <c r="D69" s="198" t="s">
        <v>3</v>
      </c>
      <c r="E69" s="81"/>
      <c r="F69" s="199" t="s">
        <v>4</v>
      </c>
      <c r="G69" s="867" t="s">
        <v>5</v>
      </c>
      <c r="H69" s="868"/>
      <c r="I69" s="869"/>
      <c r="J69" s="83" t="s">
        <v>6</v>
      </c>
      <c r="K69" s="1"/>
      <c r="L69" s="1"/>
      <c r="M69" s="1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27</v>
      </c>
      <c r="BB69" s="139" t="str">
        <f>IF(AND(BA69&lt;&gt;"",BA69=33),15,"nvt")</f>
        <v>nvt</v>
      </c>
    </row>
    <row r="70" spans="2:54">
      <c r="B70" s="12">
        <v>57</v>
      </c>
      <c r="C70" s="13">
        <v>41824</v>
      </c>
      <c r="D70" s="55" t="str">
        <f>IF(J63="","Winnaar 53",IF(J63=1,D63,F63))</f>
        <v>Nigeria</v>
      </c>
      <c r="E70" s="15" t="s">
        <v>9</v>
      </c>
      <c r="F70" s="56" t="str">
        <f>IF(J64="","Winnaar 54",IF(J64=1,D64,F64))</f>
        <v>Duitsland</v>
      </c>
      <c r="G70" s="85">
        <v>1</v>
      </c>
      <c r="H70" s="15" t="s">
        <v>9</v>
      </c>
      <c r="I70" s="97">
        <v>2</v>
      </c>
      <c r="J70" s="98">
        <v>2</v>
      </c>
      <c r="K70" s="1"/>
      <c r="L70" s="1"/>
      <c r="M70" s="1"/>
      <c r="V70" t="s">
        <v>133</v>
      </c>
      <c r="W70" t="s">
        <v>126</v>
      </c>
      <c r="X70" t="str">
        <f t="shared" si="11"/>
        <v>Karim Rekik (v)</v>
      </c>
      <c r="Y70" s="109">
        <f>AF70</f>
        <v>5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5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24">
        <v>58</v>
      </c>
      <c r="C71" s="25">
        <v>41824</v>
      </c>
      <c r="D71" s="58" t="str">
        <f>IF(J59="","Winnaar 49",IF(J59=1,D59,F59))</f>
        <v>Spanje</v>
      </c>
      <c r="E71" s="27" t="s">
        <v>9</v>
      </c>
      <c r="F71" s="59" t="str">
        <f>IF(J60="","Winnaar 50",IF(J60=1,D60,F60))</f>
        <v>Uruguay</v>
      </c>
      <c r="G71" s="87">
        <v>1</v>
      </c>
      <c r="H71" s="27" t="s">
        <v>9</v>
      </c>
      <c r="I71" s="99">
        <v>0</v>
      </c>
      <c r="J71" s="100">
        <v>1</v>
      </c>
      <c r="K71" s="1"/>
      <c r="L71" s="1"/>
      <c r="M71" s="1"/>
      <c r="V71" t="s">
        <v>133</v>
      </c>
      <c r="W71" t="s">
        <v>194</v>
      </c>
      <c r="X71" t="str">
        <f t="shared" si="11"/>
        <v>Ron Vlaar (v)</v>
      </c>
      <c r="Y71" s="109">
        <f>AF71</f>
        <v>5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5</v>
      </c>
      <c r="AG71" s="108">
        <f>IF(AC71="",0,(IF(G71=AC71,1,0)))</f>
        <v>0</v>
      </c>
      <c r="AH71" s="108">
        <f>IF(AD71="",0,(IF(I71=AD71,1,0)))</f>
        <v>0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12">
        <v>59</v>
      </c>
      <c r="C72" s="13">
        <v>41825</v>
      </c>
      <c r="D72" s="55" t="str">
        <f>IF(J65="","Winnaar 55",IF(J65=1,D65,F65))</f>
        <v>Argentinië</v>
      </c>
      <c r="E72" s="15" t="s">
        <v>9</v>
      </c>
      <c r="F72" s="56" t="str">
        <f>IF(J66="","Winnaar 56",IF(J66=1,D66,F66))</f>
        <v>België</v>
      </c>
      <c r="G72" s="85">
        <v>2</v>
      </c>
      <c r="H72" s="15" t="s">
        <v>9</v>
      </c>
      <c r="I72" s="97">
        <v>0</v>
      </c>
      <c r="J72" s="98">
        <v>1</v>
      </c>
      <c r="K72" s="1"/>
      <c r="L72" s="1"/>
      <c r="M72" s="1"/>
      <c r="V72" t="s">
        <v>133</v>
      </c>
      <c r="W72" t="s">
        <v>195</v>
      </c>
      <c r="X72" t="str">
        <f t="shared" si="11"/>
        <v>John Heitinga (v)</v>
      </c>
      <c r="Y72" s="109">
        <f>AF72</f>
        <v>6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6</v>
      </c>
      <c r="AG72" s="108">
        <f>IF(AC72="",0,(IF(G72=AC72,1,0)))</f>
        <v>0</v>
      </c>
      <c r="AH72" s="108">
        <f>IF(AD72="",0,(IF(I72=AD72,1,0)))</f>
        <v>1</v>
      </c>
      <c r="AI72" s="108">
        <f>IF(AND(AG72=1,AH72=1),10,0)</f>
        <v>0</v>
      </c>
      <c r="AJ72" s="108">
        <f>IF(AND(G72&gt;I72,AC72&gt;AD72),5,0)</f>
        <v>5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3">
        <v>60</v>
      </c>
      <c r="C73" s="34">
        <v>41825</v>
      </c>
      <c r="D73" s="61" t="str">
        <f>IF(J61="","Winnaar 51",IF(J61=1,D61,F61))</f>
        <v>Nederland</v>
      </c>
      <c r="E73" s="36" t="s">
        <v>9</v>
      </c>
      <c r="F73" s="62" t="str">
        <f>IF(J62="","Winnaar 52",IF(J62=1,D62,F62))</f>
        <v>Italië</v>
      </c>
      <c r="G73" s="88">
        <v>1</v>
      </c>
      <c r="H73" s="36" t="s">
        <v>9</v>
      </c>
      <c r="I73" s="103">
        <v>0</v>
      </c>
      <c r="J73" s="104">
        <v>1</v>
      </c>
      <c r="K73" s="1"/>
      <c r="L73" s="1"/>
      <c r="M73" s="1"/>
      <c r="V73" t="s">
        <v>133</v>
      </c>
      <c r="W73" t="s">
        <v>196</v>
      </c>
      <c r="X73" t="str">
        <f t="shared" si="11"/>
        <v>Urby Emanuelson (v)</v>
      </c>
      <c r="Y73" s="109">
        <f>AF73</f>
        <v>1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1</v>
      </c>
      <c r="AG73" s="108">
        <f>IF(AC73="",0,(IF(G73=AC73,1,0)))</f>
        <v>0</v>
      </c>
      <c r="AH73" s="108">
        <f>IF(AD73="",0,(IF(I73=AD73,1,0)))</f>
        <v>1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1"/>
      <c r="C74" s="39"/>
      <c r="D74" s="40"/>
      <c r="E74" s="1"/>
      <c r="F74" s="40"/>
      <c r="G74" s="1"/>
      <c r="H74" s="1"/>
      <c r="I74" s="1"/>
      <c r="J74" s="1"/>
      <c r="K74" s="1"/>
      <c r="L74" s="1"/>
      <c r="M74" s="1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201"/>
      <c r="K75" s="1"/>
      <c r="L75" s="1"/>
      <c r="M75" s="1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78" t="s">
        <v>1</v>
      </c>
      <c r="C76" s="79" t="s">
        <v>2</v>
      </c>
      <c r="D76" s="198" t="s">
        <v>3</v>
      </c>
      <c r="E76" s="81"/>
      <c r="F76" s="199" t="s">
        <v>4</v>
      </c>
      <c r="G76" s="867" t="s">
        <v>5</v>
      </c>
      <c r="H76" s="868"/>
      <c r="I76" s="869"/>
      <c r="J76" s="83" t="s">
        <v>6</v>
      </c>
      <c r="K76" s="1"/>
      <c r="L76" s="1"/>
      <c r="M76" s="1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12">
        <v>61</v>
      </c>
      <c r="C77" s="13">
        <v>41828</v>
      </c>
      <c r="D77" s="55" t="str">
        <f>IF(J70="","Winnaar 57",IF(J70=1,D70,F70))</f>
        <v>Duitsland</v>
      </c>
      <c r="E77" s="15" t="s">
        <v>9</v>
      </c>
      <c r="F77" s="56" t="str">
        <f>IF(J71="","Winnaar 58",IF(J71=1,D71,F71))</f>
        <v>Spanje</v>
      </c>
      <c r="G77" s="85">
        <v>2</v>
      </c>
      <c r="H77" s="15" t="s">
        <v>9</v>
      </c>
      <c r="I77" s="97">
        <v>3</v>
      </c>
      <c r="J77" s="98">
        <v>2</v>
      </c>
      <c r="K77" s="1"/>
      <c r="L77" s="1"/>
      <c r="M77" s="1"/>
      <c r="V77" t="s">
        <v>134</v>
      </c>
      <c r="W77" t="s">
        <v>203</v>
      </c>
      <c r="X77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3">
        <v>62</v>
      </c>
      <c r="C78" s="34">
        <v>41829</v>
      </c>
      <c r="D78" s="61" t="str">
        <f>IF(J72="","Winnaar 59",IF(J72=1,D72,F72))</f>
        <v>Argentinië</v>
      </c>
      <c r="E78" s="36" t="s">
        <v>9</v>
      </c>
      <c r="F78" s="62" t="str">
        <f>IF(J73="","Winnaar 60",IF(J73=1,D73,F73))</f>
        <v>Nederland</v>
      </c>
      <c r="G78" s="88">
        <v>1</v>
      </c>
      <c r="H78" s="36" t="s">
        <v>9</v>
      </c>
      <c r="I78" s="103">
        <v>3</v>
      </c>
      <c r="J78" s="104">
        <v>2</v>
      </c>
      <c r="K78" s="1"/>
      <c r="L78" s="1"/>
      <c r="M78" s="1"/>
      <c r="V78" t="s">
        <v>134</v>
      </c>
      <c r="W78" t="s">
        <v>199</v>
      </c>
      <c r="X78" t="str">
        <f t="shared" si="11"/>
        <v>Leroy Fer (m)</v>
      </c>
      <c r="Y78" s="109">
        <f>AF78</f>
        <v>0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0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1"/>
      <c r="C79" s="39"/>
      <c r="D79" s="40"/>
      <c r="E79" s="1"/>
      <c r="F79" s="40"/>
      <c r="G79" s="1"/>
      <c r="H79" s="1"/>
      <c r="I79" s="1"/>
      <c r="J79" s="1"/>
      <c r="K79" s="1"/>
      <c r="L79" s="1"/>
      <c r="M79" s="1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201"/>
      <c r="K80" s="1"/>
      <c r="L80" s="1"/>
      <c r="M80" s="1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78" t="s">
        <v>1</v>
      </c>
      <c r="C81" s="79" t="s">
        <v>2</v>
      </c>
      <c r="D81" s="198" t="s">
        <v>3</v>
      </c>
      <c r="E81" s="81"/>
      <c r="F81" s="199" t="s">
        <v>4</v>
      </c>
      <c r="G81" s="867" t="s">
        <v>5</v>
      </c>
      <c r="H81" s="868"/>
      <c r="I81" s="869"/>
      <c r="J81" s="83" t="s">
        <v>6</v>
      </c>
      <c r="K81" s="1"/>
      <c r="L81" s="1"/>
      <c r="M81" s="1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2">
        <v>63</v>
      </c>
      <c r="C82" s="63">
        <v>41832</v>
      </c>
      <c r="D82" s="64" t="str">
        <f>IF(J77="","Verliezer 61",IF(J77=1,F77,D77))</f>
        <v>Duitsland</v>
      </c>
      <c r="E82" s="3" t="s">
        <v>9</v>
      </c>
      <c r="F82" s="65" t="str">
        <f>IF(J78="","Verliezer 62",IF(J78=1,F78,D78))</f>
        <v>Argentinië</v>
      </c>
      <c r="G82" s="105">
        <v>0</v>
      </c>
      <c r="H82" s="3" t="s">
        <v>9</v>
      </c>
      <c r="I82" s="106">
        <v>1</v>
      </c>
      <c r="J82" s="107">
        <v>2</v>
      </c>
      <c r="K82" s="1"/>
      <c r="L82" s="1"/>
      <c r="M82" s="1"/>
      <c r="V82" t="s">
        <v>134</v>
      </c>
      <c r="W82" t="s">
        <v>125</v>
      </c>
      <c r="X82" t="str">
        <f t="shared" si="11"/>
        <v>Georginio Wijnaldum (m)</v>
      </c>
      <c r="Y82" s="109">
        <f>AF82</f>
        <v>6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6</v>
      </c>
      <c r="AG82" s="108">
        <f>IF(AC82="",0,(IF(G82=AC82,1,0)))</f>
        <v>1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5</v>
      </c>
      <c r="AL82" s="108">
        <f>IF(AND(G82=I82,AC82=AD82),5,0)</f>
        <v>0</v>
      </c>
    </row>
    <row r="83" spans="2:50" ht="15.75" thickBot="1">
      <c r="B83" s="1"/>
      <c r="C83" s="39"/>
      <c r="D83" s="40"/>
      <c r="E83" s="1"/>
      <c r="F83" s="40"/>
      <c r="G83" s="1"/>
      <c r="H83" s="1"/>
      <c r="I83" s="1"/>
      <c r="J83" s="1"/>
      <c r="K83" s="1"/>
      <c r="L83" s="1"/>
      <c r="M83" s="1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201"/>
      <c r="K84" s="1"/>
      <c r="L84" s="1"/>
      <c r="M84" s="1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78" t="s">
        <v>1</v>
      </c>
      <c r="C85" s="79" t="s">
        <v>2</v>
      </c>
      <c r="D85" s="198" t="s">
        <v>3</v>
      </c>
      <c r="E85" s="81"/>
      <c r="F85" s="199" t="s">
        <v>4</v>
      </c>
      <c r="G85" s="867" t="s">
        <v>5</v>
      </c>
      <c r="H85" s="868"/>
      <c r="I85" s="869"/>
      <c r="J85" s="83" t="s">
        <v>6</v>
      </c>
      <c r="K85" s="1"/>
      <c r="L85" s="1"/>
      <c r="M85" s="1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2">
        <v>64</v>
      </c>
      <c r="C86" s="63">
        <v>41833</v>
      </c>
      <c r="D86" s="64" t="str">
        <f>IF(J77="","Winnaar 61",IF(J77=1,D77,F77))</f>
        <v>Spanje</v>
      </c>
      <c r="E86" s="3" t="s">
        <v>9</v>
      </c>
      <c r="F86" s="65" t="str">
        <f>IF(J78="","Winnaar 62",IF(J78=1,D78,F78))</f>
        <v>Nederland</v>
      </c>
      <c r="G86" s="105">
        <v>1</v>
      </c>
      <c r="H86" s="3" t="s">
        <v>9</v>
      </c>
      <c r="I86" s="106">
        <v>2</v>
      </c>
      <c r="J86" s="107">
        <v>2</v>
      </c>
      <c r="K86" s="1"/>
      <c r="L86" s="1"/>
      <c r="M86" s="1"/>
      <c r="V86" t="s">
        <v>134</v>
      </c>
      <c r="W86" t="s">
        <v>139</v>
      </c>
      <c r="X86" t="str">
        <f t="shared" si="11"/>
        <v>Nigel de Jong (m)</v>
      </c>
      <c r="Y86" s="109">
        <f>AF86</f>
        <v>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0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Nederland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5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5</v>
      </c>
      <c r="AV89">
        <f>IF(AR89=0,0,IF(E89=AR89,50,0))</f>
        <v>0</v>
      </c>
      <c r="AW89">
        <f>IF(E89=0,0,IF(OR(E89=AR90),15,0))</f>
        <v>0</v>
      </c>
      <c r="AX89">
        <f>IF(E89=0,0,IF(OR(E89=AR91,E89=AR92),5,0))</f>
        <v>5</v>
      </c>
    </row>
    <row r="90" spans="2:50">
      <c r="C90" s="870">
        <v>2</v>
      </c>
      <c r="D90" s="871"/>
      <c r="E90" s="872" t="str">
        <f>IF(J86=2,D86,IF(J86=1,F86,"Wie wordt 2de?"))</f>
        <v>Spanje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0</v>
      </c>
      <c r="AV90">
        <f>IF(AR90=0,0,IF(AR90=E90,25,0))</f>
        <v>0</v>
      </c>
      <c r="AW90">
        <f>IF(E90=0,0,IF(OR(E90=AR89,),15,0))</f>
        <v>0</v>
      </c>
      <c r="AX90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Argentinië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5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5</v>
      </c>
      <c r="AV91">
        <f>IF(AR91=0,0,IF(AR91=E91,15,0))</f>
        <v>0</v>
      </c>
      <c r="AW91">
        <f>IF(E91=0,0,IF(OR(E91=AR92),10,0))</f>
        <v>0</v>
      </c>
      <c r="AX91">
        <f>IF(E91=0,0,IF(OR(E91=AR89,E91=AR90),5,0))</f>
        <v>5</v>
      </c>
    </row>
    <row r="92" spans="2:50">
      <c r="C92" s="870">
        <v>4</v>
      </c>
      <c r="D92" s="871"/>
      <c r="E92" s="872" t="str">
        <f>IF(J82=2,D82,IF(J82=1,F82,"Wie wordt 4de?"))</f>
        <v>Duitsland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5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5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5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15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conditionalFormatting sqref="AO9:AO12 AO15:AO18 AO21:AO24 AO27:AO30 AO33:AO36 AO39:AO42 AO45:AO48 AO51:AO54">
    <cfRule type="cellIs" dxfId="194" priority="3" operator="equal">
      <formula>10</formula>
    </cfRule>
  </conditionalFormatting>
  <conditionalFormatting sqref="P58:T58">
    <cfRule type="duplicateValues" dxfId="193" priority="2"/>
  </conditionalFormatting>
  <conditionalFormatting sqref="P58:T68">
    <cfRule type="duplicateValues" dxfId="192" priority="1"/>
  </conditionalFormatting>
  <dataValidations count="10">
    <dataValidation type="list" allowBlank="1" showInputMessage="1" showErrorMessage="1" sqref="P58:P68">
      <formula1>$X$58:$X$98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51:T54">
      <formula1>$W$51:$W$54</formula1>
    </dataValidation>
  </dataValidation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B1:BB98"/>
  <sheetViews>
    <sheetView topLeftCell="A13" zoomScale="70" zoomScaleNormal="70" workbookViewId="0">
      <selection activeCell="G60" sqref="G60"/>
    </sheetView>
  </sheetViews>
  <sheetFormatPr defaultRowHeight="15" outlineLevelCol="2"/>
  <cols>
    <col min="1" max="1" width="3.42578125" customWidth="1"/>
    <col min="2" max="2" width="3.5703125" bestFit="1" customWidth="1"/>
    <col min="3" max="3" width="11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145" t="s">
        <v>255</v>
      </c>
      <c r="E3" s="145"/>
      <c r="F3" s="145"/>
      <c r="N3" t="str">
        <f>D3</f>
        <v>Esther v/d L.</v>
      </c>
      <c r="O3" s="144">
        <f>SUM(P3:S3)</f>
        <v>391</v>
      </c>
      <c r="P3" s="109">
        <f>SUM(Y8:Y86)</f>
        <v>214</v>
      </c>
      <c r="Q3" s="109">
        <f>SUM(AM4:AM55)</f>
        <v>90</v>
      </c>
      <c r="R3" s="109">
        <f>SUM(AP89:AP92)</f>
        <v>60</v>
      </c>
      <c r="S3" s="109">
        <f>SUM(BB58:BB69)</f>
        <v>27</v>
      </c>
      <c r="T3" s="109">
        <f>COUNTIF(AF8:AF86,10)</f>
        <v>11</v>
      </c>
      <c r="U3" s="109" t="str">
        <f>E89</f>
        <v>Duitsland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1"/>
      <c r="L6" s="1"/>
      <c r="O6" s="40"/>
      <c r="P6" s="41"/>
      <c r="Q6" s="41"/>
      <c r="R6" s="41"/>
      <c r="S6" s="41"/>
      <c r="T6" s="41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66" t="s">
        <v>1</v>
      </c>
      <c r="C7" s="67" t="s">
        <v>2</v>
      </c>
      <c r="D7" s="220" t="s">
        <v>3</v>
      </c>
      <c r="E7" s="69"/>
      <c r="F7" s="221" t="s">
        <v>4</v>
      </c>
      <c r="G7" s="880" t="s">
        <v>5</v>
      </c>
      <c r="H7" s="881"/>
      <c r="I7" s="882"/>
      <c r="J7" s="71" t="s">
        <v>6</v>
      </c>
      <c r="K7" s="4" t="s">
        <v>7</v>
      </c>
      <c r="L7" s="4" t="s">
        <v>7</v>
      </c>
      <c r="O7" s="1"/>
      <c r="P7" s="41"/>
      <c r="Q7" s="41"/>
      <c r="R7" s="41"/>
      <c r="S7" s="41"/>
      <c r="T7" s="41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5">
        <v>1</v>
      </c>
      <c r="C8" s="6">
        <v>41802</v>
      </c>
      <c r="D8" s="7" t="s">
        <v>8</v>
      </c>
      <c r="E8" s="8" t="s">
        <v>9</v>
      </c>
      <c r="F8" s="9" t="s">
        <v>10</v>
      </c>
      <c r="G8" s="84">
        <v>0</v>
      </c>
      <c r="H8" s="8" t="s">
        <v>9</v>
      </c>
      <c r="I8" s="218">
        <v>0</v>
      </c>
      <c r="J8" s="10">
        <f>IF(I8="","",IF(G8&gt;I8,1,IF(G8&lt;I8,2,3)))</f>
        <v>3</v>
      </c>
      <c r="K8" s="11">
        <f>IF(I8="","",IF($G8&gt;$I8,3,IF($G8=$I8,1,0)))</f>
        <v>1</v>
      </c>
      <c r="L8" s="11">
        <f>IF(I8="","",IF($G8&lt;$I8,3,IF($G8=$I8,1,0)))</f>
        <v>1</v>
      </c>
      <c r="O8" s="72" t="s">
        <v>41</v>
      </c>
      <c r="P8" s="73" t="s">
        <v>42</v>
      </c>
      <c r="Q8" s="73" t="s">
        <v>43</v>
      </c>
      <c r="R8" s="74" t="s">
        <v>44</v>
      </c>
      <c r="S8" s="75" t="s">
        <v>45</v>
      </c>
      <c r="T8" s="76" t="s">
        <v>46</v>
      </c>
      <c r="U8" s="40"/>
      <c r="V8" s="40"/>
      <c r="W8" s="40"/>
      <c r="Y8" s="109">
        <f>AF8</f>
        <v>0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0</v>
      </c>
      <c r="AG8" s="108">
        <f t="shared" ref="AG8:AG55" si="0">IF(AC8="",0,(IF(G8=AC8,1,0)))</f>
        <v>0</v>
      </c>
      <c r="AH8" s="108">
        <f t="shared" ref="AH8:AH55" si="1">IF(AD8="",0,(IF(I8=AD8,1,0)))</f>
        <v>0</v>
      </c>
      <c r="AI8" s="108">
        <f>IF(AND(AG8=1,AH8=1),10,0)</f>
        <v>0</v>
      </c>
      <c r="AJ8" s="108">
        <f t="shared" ref="AJ8:AJ55" si="2">IF(AND(G8&gt;I8,AC8&gt;AD8),5,0)</f>
        <v>0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12">
        <v>2</v>
      </c>
      <c r="C9" s="13">
        <v>41803</v>
      </c>
      <c r="D9" s="14" t="s">
        <v>11</v>
      </c>
      <c r="E9" s="15" t="s">
        <v>9</v>
      </c>
      <c r="F9" s="16" t="s">
        <v>12</v>
      </c>
      <c r="G9" s="85">
        <v>0</v>
      </c>
      <c r="H9" s="15" t="s">
        <v>9</v>
      </c>
      <c r="I9" s="90">
        <v>0</v>
      </c>
      <c r="J9" s="17">
        <f t="shared" ref="J9:J55" si="5">IF(I9="","",IF(G9&gt;I9,1,IF(G9&lt;I9,2,3)))</f>
        <v>3</v>
      </c>
      <c r="K9" s="11">
        <f t="shared" ref="K9:K55" si="6">IF(I9="","",IF($G9&gt;$I9,3,IF($G9=$I9,1,0)))</f>
        <v>1</v>
      </c>
      <c r="L9" s="11">
        <f t="shared" ref="L9:L55" si="7">IF(I9="","",IF($G9&lt;$I9,3,IF($G9=$I9,1,0)))</f>
        <v>1</v>
      </c>
      <c r="O9" s="44" t="s">
        <v>8</v>
      </c>
      <c r="P9" s="45">
        <f>SUMIF($D$8:$D$55,$O9,$G$8:$G$55)+SUMIF($F$8:$F$55,$O9,$I$8:$I$55)</f>
        <v>3</v>
      </c>
      <c r="Q9" s="45">
        <f>SUMIF($D$8:$D$55,$O9,$I$8:$I$55)+SUMIF($F$8:$F$55,$O9,$G$8:$G$55)</f>
        <v>0</v>
      </c>
      <c r="R9" s="46">
        <f>P9-Q9</f>
        <v>3</v>
      </c>
      <c r="S9" s="47">
        <f>SUMIF($D$8:$D$55,$O9,$K$8:$K$55)+SUMIF($F$8:$F$55,$O9,$L$8:$L$55)</f>
        <v>7</v>
      </c>
      <c r="T9" s="94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1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1</v>
      </c>
      <c r="AG9" s="108">
        <f t="shared" si="0"/>
        <v>0</v>
      </c>
      <c r="AH9" s="108">
        <f t="shared" si="1"/>
        <v>1</v>
      </c>
      <c r="AI9" s="108">
        <f t="shared" ref="AI9:AI55" si="10">IF(AND(AG9=1,AH9=1),10,0)</f>
        <v>0</v>
      </c>
      <c r="AJ9" s="108">
        <f t="shared" si="2"/>
        <v>0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18">
        <v>3</v>
      </c>
      <c r="C10" s="19">
        <v>41803</v>
      </c>
      <c r="D10" s="20" t="s">
        <v>13</v>
      </c>
      <c r="E10" s="21" t="s">
        <v>9</v>
      </c>
      <c r="F10" s="22" t="s">
        <v>14</v>
      </c>
      <c r="G10" s="86">
        <v>0</v>
      </c>
      <c r="H10" s="21" t="s">
        <v>9</v>
      </c>
      <c r="I10" s="91">
        <v>0</v>
      </c>
      <c r="J10" s="23">
        <f t="shared" si="5"/>
        <v>3</v>
      </c>
      <c r="K10" s="11">
        <f t="shared" si="6"/>
        <v>1</v>
      </c>
      <c r="L10" s="11">
        <f t="shared" si="7"/>
        <v>1</v>
      </c>
      <c r="O10" s="48" t="s">
        <v>10</v>
      </c>
      <c r="P10" s="49">
        <f>SUMIF($D$8:$D$55,$O10,$G$8:$G$55)+SUMIF($F$8:$F$55,$O10,$I$8:$I$55)</f>
        <v>2</v>
      </c>
      <c r="Q10" s="49">
        <f>SUMIF($D$8:$D$55,$O10,$I$8:$I$55)+SUMIF($F$8:$F$55,$O10,$G$8:$G$55)</f>
        <v>0</v>
      </c>
      <c r="R10" s="49">
        <f>P10-Q10</f>
        <v>2</v>
      </c>
      <c r="S10" s="50">
        <f>SUMIF($D$8:$D$55,$O10,$K$8:$K$55)+SUMIF($F$8:$F$55,$O10,$L$8:$L$55)</f>
        <v>7</v>
      </c>
      <c r="T10" s="95" t="s">
        <v>49</v>
      </c>
      <c r="U10" s="40"/>
      <c r="V10" s="40" t="str">
        <f>O10</f>
        <v>Kroatië</v>
      </c>
      <c r="W10" s="40" t="s">
        <v>49</v>
      </c>
      <c r="Y10" s="109">
        <f t="shared" si="8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0</v>
      </c>
      <c r="AG10" s="108">
        <f t="shared" si="0"/>
        <v>0</v>
      </c>
      <c r="AH10" s="108">
        <f t="shared" si="1"/>
        <v>0</v>
      </c>
      <c r="AI10" s="108">
        <f t="shared" si="10"/>
        <v>0</v>
      </c>
      <c r="AJ10" s="108">
        <f t="shared" si="2"/>
        <v>0</v>
      </c>
      <c r="AK10" s="108">
        <f t="shared" si="3"/>
        <v>0</v>
      </c>
      <c r="AL10" s="108">
        <f t="shared" si="4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24">
        <v>4</v>
      </c>
      <c r="C11" s="25">
        <v>41803</v>
      </c>
      <c r="D11" s="26" t="s">
        <v>15</v>
      </c>
      <c r="E11" s="27" t="s">
        <v>9</v>
      </c>
      <c r="F11" s="28" t="s">
        <v>16</v>
      </c>
      <c r="G11" s="87">
        <v>0</v>
      </c>
      <c r="H11" s="27" t="s">
        <v>9</v>
      </c>
      <c r="I11" s="92">
        <v>0</v>
      </c>
      <c r="J11" s="29">
        <f t="shared" si="5"/>
        <v>3</v>
      </c>
      <c r="K11" s="11">
        <f t="shared" si="6"/>
        <v>1</v>
      </c>
      <c r="L11" s="11">
        <f t="shared" si="7"/>
        <v>1</v>
      </c>
      <c r="O11" s="48" t="s">
        <v>11</v>
      </c>
      <c r="P11" s="49">
        <f>SUMIF($D$8:$D$55,$O11,$G$8:$G$55)+SUMIF($F$8:$F$55,$O11,$I$8:$I$55)</f>
        <v>0</v>
      </c>
      <c r="Q11" s="49">
        <f>SUMIF($D$8:$D$55,$O11,$I$8:$I$55)+SUMIF($F$8:$F$55,$O11,$G$8:$G$55)</f>
        <v>3</v>
      </c>
      <c r="R11" s="49">
        <f>P11-Q11</f>
        <v>-3</v>
      </c>
      <c r="S11" s="50">
        <f>SUMIF($D$8:$D$55,$O11,$K$8:$K$55)+SUMIF($F$8:$F$55,$O11,$L$8:$L$55)</f>
        <v>1</v>
      </c>
      <c r="T11" s="95" t="s">
        <v>50</v>
      </c>
      <c r="U11" s="40"/>
      <c r="V11" s="40" t="str">
        <f>O11</f>
        <v>Mexico</v>
      </c>
      <c r="W11" s="40" t="s">
        <v>47</v>
      </c>
      <c r="Y11" s="109">
        <f t="shared" si="8"/>
        <v>0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0</v>
      </c>
      <c r="AG11" s="108">
        <f t="shared" si="0"/>
        <v>0</v>
      </c>
      <c r="AH11" s="108">
        <f t="shared" si="1"/>
        <v>0</v>
      </c>
      <c r="AI11" s="108">
        <f t="shared" si="10"/>
        <v>0</v>
      </c>
      <c r="AJ11" s="108">
        <f t="shared" si="2"/>
        <v>0</v>
      </c>
      <c r="AK11" s="108">
        <f t="shared" si="3"/>
        <v>0</v>
      </c>
      <c r="AL11" s="108">
        <f t="shared" si="4"/>
        <v>0</v>
      </c>
      <c r="AM11" s="120">
        <f>AO11</f>
        <v>0</v>
      </c>
      <c r="AN11" s="117" t="s">
        <v>11</v>
      </c>
      <c r="AO11" s="115">
        <f>IF(Uitslag!T11="",0,IF(T11=Uitslag!T11,10,0))</f>
        <v>0</v>
      </c>
    </row>
    <row r="12" spans="2:54" ht="15.75" thickBot="1">
      <c r="B12" s="12">
        <v>5</v>
      </c>
      <c r="C12" s="13">
        <v>41804</v>
      </c>
      <c r="D12" s="14" t="s">
        <v>17</v>
      </c>
      <c r="E12" s="15" t="s">
        <v>9</v>
      </c>
      <c r="F12" s="16" t="s">
        <v>18</v>
      </c>
      <c r="G12" s="85">
        <v>0</v>
      </c>
      <c r="H12" s="15" t="s">
        <v>9</v>
      </c>
      <c r="I12" s="90">
        <v>0</v>
      </c>
      <c r="J12" s="17">
        <f t="shared" si="5"/>
        <v>3</v>
      </c>
      <c r="K12" s="11">
        <f t="shared" si="6"/>
        <v>1</v>
      </c>
      <c r="L12" s="11">
        <f t="shared" si="7"/>
        <v>1</v>
      </c>
      <c r="O12" s="51" t="s">
        <v>12</v>
      </c>
      <c r="P12" s="52">
        <f>SUMIF($D$8:$D$55,$O12,$G$8:$G$55)+SUMIF($F$8:$F$55,$O12,$I$8:$I$55)</f>
        <v>0</v>
      </c>
      <c r="Q12" s="52">
        <f>SUMIF($D$8:$D$55,$O12,$I$8:$I$55)+SUMIF($F$8:$F$55,$O12,$G$8:$G$55)</f>
        <v>2</v>
      </c>
      <c r="R12" s="52">
        <f>P12-Q12</f>
        <v>-2</v>
      </c>
      <c r="S12" s="53">
        <f>SUMIF($D$8:$D$55,$O12,$K$8:$K$55)+SUMIF($F$8:$F$55,$O12,$L$8:$L$55)</f>
        <v>1</v>
      </c>
      <c r="T12" s="96" t="s">
        <v>47</v>
      </c>
      <c r="U12" s="40"/>
      <c r="V12" s="40" t="str">
        <f>O12</f>
        <v>Kameroen</v>
      </c>
      <c r="W12" s="40" t="s">
        <v>50</v>
      </c>
      <c r="Y12" s="109">
        <f t="shared" si="8"/>
        <v>1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1</v>
      </c>
      <c r="AG12" s="108">
        <f t="shared" si="0"/>
        <v>0</v>
      </c>
      <c r="AH12" s="108">
        <f t="shared" si="1"/>
        <v>1</v>
      </c>
      <c r="AI12" s="108">
        <f t="shared" si="10"/>
        <v>0</v>
      </c>
      <c r="AJ12" s="108">
        <f t="shared" si="2"/>
        <v>0</v>
      </c>
      <c r="AK12" s="108">
        <f t="shared" si="3"/>
        <v>0</v>
      </c>
      <c r="AL12" s="108">
        <f t="shared" si="4"/>
        <v>0</v>
      </c>
      <c r="AM12" s="120">
        <f>AO12</f>
        <v>0</v>
      </c>
      <c r="AN12" s="118" t="s">
        <v>12</v>
      </c>
      <c r="AO12" s="115">
        <f>IF(Uitslag!T12="",0,IF(T12=Uitslag!T12,10,0))</f>
        <v>0</v>
      </c>
    </row>
    <row r="13" spans="2:54" ht="15.75" thickBot="1">
      <c r="B13" s="18">
        <v>6</v>
      </c>
      <c r="C13" s="19">
        <v>41804</v>
      </c>
      <c r="D13" s="20" t="s">
        <v>19</v>
      </c>
      <c r="E13" s="21" t="s">
        <v>9</v>
      </c>
      <c r="F13" s="30" t="s">
        <v>20</v>
      </c>
      <c r="G13" s="86">
        <v>0</v>
      </c>
      <c r="H13" s="21" t="s">
        <v>9</v>
      </c>
      <c r="I13" s="91">
        <v>0</v>
      </c>
      <c r="J13" s="23">
        <f t="shared" si="5"/>
        <v>3</v>
      </c>
      <c r="K13" s="11">
        <f t="shared" si="6"/>
        <v>1</v>
      </c>
      <c r="L13" s="11">
        <f t="shared" si="7"/>
        <v>1</v>
      </c>
      <c r="O13" s="40"/>
      <c r="P13" s="41"/>
      <c r="Q13" s="41"/>
      <c r="R13" s="41"/>
      <c r="S13" s="41"/>
      <c r="T13" s="41"/>
      <c r="U13" s="40"/>
      <c r="V13" s="40"/>
      <c r="W13" s="40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0"/>
        <v>0</v>
      </c>
      <c r="AH13" s="108">
        <f t="shared" si="1"/>
        <v>0</v>
      </c>
      <c r="AI13" s="108">
        <f t="shared" si="10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40"/>
      <c r="AO13" s="41"/>
    </row>
    <row r="14" spans="2:54" ht="15.75" thickBot="1">
      <c r="B14" s="18">
        <v>7</v>
      </c>
      <c r="C14" s="19">
        <v>41804</v>
      </c>
      <c r="D14" s="20" t="s">
        <v>21</v>
      </c>
      <c r="E14" s="21" t="s">
        <v>9</v>
      </c>
      <c r="F14" s="30" t="s">
        <v>22</v>
      </c>
      <c r="G14" s="86">
        <v>0</v>
      </c>
      <c r="H14" s="21" t="s">
        <v>9</v>
      </c>
      <c r="I14" s="91">
        <v>0</v>
      </c>
      <c r="J14" s="23">
        <f t="shared" si="5"/>
        <v>3</v>
      </c>
      <c r="K14" s="11">
        <f t="shared" si="6"/>
        <v>1</v>
      </c>
      <c r="L14" s="11">
        <f t="shared" si="7"/>
        <v>1</v>
      </c>
      <c r="O14" s="72" t="s">
        <v>51</v>
      </c>
      <c r="P14" s="73" t="s">
        <v>42</v>
      </c>
      <c r="Q14" s="73" t="s">
        <v>43</v>
      </c>
      <c r="R14" s="74" t="s">
        <v>44</v>
      </c>
      <c r="S14" s="75" t="s">
        <v>45</v>
      </c>
      <c r="T14" s="76" t="s">
        <v>46</v>
      </c>
      <c r="U14" s="40"/>
      <c r="V14" s="40"/>
      <c r="W14" s="40"/>
      <c r="Y14" s="109">
        <f t="shared" si="8"/>
        <v>0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0</v>
      </c>
      <c r="AG14" s="108">
        <f t="shared" si="0"/>
        <v>0</v>
      </c>
      <c r="AH14" s="108">
        <f t="shared" si="1"/>
        <v>0</v>
      </c>
      <c r="AI14" s="108">
        <f t="shared" si="10"/>
        <v>0</v>
      </c>
      <c r="AJ14" s="108">
        <f t="shared" si="2"/>
        <v>0</v>
      </c>
      <c r="AK14" s="108">
        <f t="shared" si="3"/>
        <v>0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24">
        <v>8</v>
      </c>
      <c r="C15" s="25">
        <v>41804</v>
      </c>
      <c r="D15" s="26" t="s">
        <v>23</v>
      </c>
      <c r="E15" s="27" t="s">
        <v>9</v>
      </c>
      <c r="F15" s="28" t="s">
        <v>24</v>
      </c>
      <c r="G15" s="87">
        <v>0</v>
      </c>
      <c r="H15" s="27" t="s">
        <v>9</v>
      </c>
      <c r="I15" s="92">
        <v>0</v>
      </c>
      <c r="J15" s="29">
        <f t="shared" si="5"/>
        <v>3</v>
      </c>
      <c r="K15" s="11">
        <f t="shared" si="6"/>
        <v>1</v>
      </c>
      <c r="L15" s="11">
        <f t="shared" si="7"/>
        <v>1</v>
      </c>
      <c r="O15" s="44" t="s">
        <v>13</v>
      </c>
      <c r="P15" s="45">
        <f>SUMIF($D$8:$D$55,$O15,$G$8:$G$55)+SUMIF($F$8:$F$55,$O15,$I$8:$I$55)</f>
        <v>2</v>
      </c>
      <c r="Q15" s="45">
        <f>SUMIF($D$8:$D$55,$O15,$I$8:$I$55)+SUMIF($F$8:$F$55,$O15,$G$8:$G$55)</f>
        <v>0</v>
      </c>
      <c r="R15" s="46">
        <f>P15-Q15</f>
        <v>2</v>
      </c>
      <c r="S15" s="47">
        <f>SUMIF($D$8:$D$55,$O15,$K$8:$K$55)+SUMIF($F$8:$F$55,$O15,$L$8:$L$55)</f>
        <v>7</v>
      </c>
      <c r="T15" s="94" t="s">
        <v>52</v>
      </c>
      <c r="U15" s="40"/>
      <c r="V15" s="40" t="str">
        <f>O15</f>
        <v>Spanje</v>
      </c>
      <c r="W15" s="40" t="s">
        <v>52</v>
      </c>
      <c r="Y15" s="109">
        <f t="shared" si="8"/>
        <v>0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0</v>
      </c>
      <c r="AG15" s="108">
        <f t="shared" si="0"/>
        <v>0</v>
      </c>
      <c r="AH15" s="108">
        <f t="shared" si="1"/>
        <v>0</v>
      </c>
      <c r="AI15" s="108">
        <f t="shared" si="10"/>
        <v>0</v>
      </c>
      <c r="AJ15" s="108">
        <f t="shared" si="2"/>
        <v>0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12">
        <v>9</v>
      </c>
      <c r="C16" s="13">
        <v>41805</v>
      </c>
      <c r="D16" s="14" t="s">
        <v>25</v>
      </c>
      <c r="E16" s="15" t="s">
        <v>9</v>
      </c>
      <c r="F16" s="16" t="s">
        <v>26</v>
      </c>
      <c r="G16" s="85">
        <v>0</v>
      </c>
      <c r="H16" s="15" t="s">
        <v>9</v>
      </c>
      <c r="I16" s="90">
        <v>0</v>
      </c>
      <c r="J16" s="17">
        <f t="shared" si="5"/>
        <v>3</v>
      </c>
      <c r="K16" s="11">
        <f t="shared" si="6"/>
        <v>1</v>
      </c>
      <c r="L16" s="11">
        <f t="shared" si="7"/>
        <v>1</v>
      </c>
      <c r="O16" s="54" t="s">
        <v>14</v>
      </c>
      <c r="P16" s="49">
        <f>SUMIF($D$8:$D$55,$O16,$G$8:$G$55)+SUMIF($F$8:$F$55,$O16,$I$8:$I$55)</f>
        <v>2</v>
      </c>
      <c r="Q16" s="49">
        <f>SUMIF($D$8:$D$55,$O16,$I$8:$I$55)+SUMIF($F$8:$F$55,$O16,$G$8:$G$55)</f>
        <v>0</v>
      </c>
      <c r="R16" s="49">
        <f>P16-Q16</f>
        <v>2</v>
      </c>
      <c r="S16" s="50">
        <f>SUMIF($D$8:$D$55,$O16,$K$8:$K$55)+SUMIF($F$8:$F$55,$O16,$L$8:$L$55)</f>
        <v>7</v>
      </c>
      <c r="T16" s="95" t="s">
        <v>53</v>
      </c>
      <c r="U16" s="40"/>
      <c r="V16" s="40" t="str">
        <f>O16</f>
        <v>Nederland</v>
      </c>
      <c r="W16" s="40" t="s">
        <v>53</v>
      </c>
      <c r="Y16" s="109">
        <f t="shared" si="8"/>
        <v>0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0</v>
      </c>
      <c r="AG16" s="108">
        <f t="shared" si="0"/>
        <v>0</v>
      </c>
      <c r="AH16" s="108">
        <f t="shared" si="1"/>
        <v>0</v>
      </c>
      <c r="AI16" s="108">
        <f t="shared" si="10"/>
        <v>0</v>
      </c>
      <c r="AJ16" s="108">
        <f t="shared" si="2"/>
        <v>0</v>
      </c>
      <c r="AK16" s="108">
        <f t="shared" si="3"/>
        <v>0</v>
      </c>
      <c r="AL16" s="108">
        <f t="shared" si="4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18">
        <v>10</v>
      </c>
      <c r="C17" s="19">
        <v>41805</v>
      </c>
      <c r="D17" s="20" t="s">
        <v>27</v>
      </c>
      <c r="E17" s="21" t="s">
        <v>9</v>
      </c>
      <c r="F17" s="30" t="s">
        <v>28</v>
      </c>
      <c r="G17" s="86">
        <v>0</v>
      </c>
      <c r="H17" s="21" t="s">
        <v>9</v>
      </c>
      <c r="I17" s="91">
        <v>0</v>
      </c>
      <c r="J17" s="23">
        <f t="shared" si="5"/>
        <v>3</v>
      </c>
      <c r="K17" s="11">
        <f t="shared" si="6"/>
        <v>1</v>
      </c>
      <c r="L17" s="11">
        <f t="shared" si="7"/>
        <v>1</v>
      </c>
      <c r="O17" s="48" t="s">
        <v>15</v>
      </c>
      <c r="P17" s="49">
        <f>SUMIF($D$8:$D$55,$O17,$G$8:$G$55)+SUMIF($F$8:$F$55,$O17,$I$8:$I$55)</f>
        <v>0</v>
      </c>
      <c r="Q17" s="49">
        <f>SUMIF($D$8:$D$55,$O17,$I$8:$I$55)+SUMIF($F$8:$F$55,$O17,$G$8:$G$55)</f>
        <v>2</v>
      </c>
      <c r="R17" s="49">
        <f>P17-Q17</f>
        <v>-2</v>
      </c>
      <c r="S17" s="50">
        <f>SUMIF($D$8:$D$55,$O17,$K$8:$K$55)+SUMIF($F$8:$F$55,$O17,$L$8:$L$55)</f>
        <v>1</v>
      </c>
      <c r="T17" s="95" t="s">
        <v>54</v>
      </c>
      <c r="U17" s="40"/>
      <c r="V17" s="40" t="str">
        <f>O17</f>
        <v>Chili</v>
      </c>
      <c r="W17" s="40" t="s">
        <v>54</v>
      </c>
      <c r="Y17" s="109">
        <f t="shared" si="8"/>
        <v>1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1</v>
      </c>
      <c r="AG17" s="108">
        <f t="shared" si="0"/>
        <v>0</v>
      </c>
      <c r="AH17" s="108">
        <f t="shared" si="1"/>
        <v>1</v>
      </c>
      <c r="AI17" s="108">
        <f t="shared" si="10"/>
        <v>0</v>
      </c>
      <c r="AJ17" s="108">
        <f t="shared" si="2"/>
        <v>0</v>
      </c>
      <c r="AK17" s="108">
        <f t="shared" si="3"/>
        <v>0</v>
      </c>
      <c r="AL17" s="108">
        <f t="shared" si="4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24">
        <v>11</v>
      </c>
      <c r="C18" s="25">
        <v>41805</v>
      </c>
      <c r="D18" s="26" t="s">
        <v>29</v>
      </c>
      <c r="E18" s="27" t="s">
        <v>9</v>
      </c>
      <c r="F18" s="28" t="s">
        <v>30</v>
      </c>
      <c r="G18" s="87">
        <v>0</v>
      </c>
      <c r="H18" s="27" t="s">
        <v>9</v>
      </c>
      <c r="I18" s="92">
        <v>0</v>
      </c>
      <c r="J18" s="29">
        <f t="shared" si="5"/>
        <v>3</v>
      </c>
      <c r="K18" s="11">
        <f t="shared" si="6"/>
        <v>1</v>
      </c>
      <c r="L18" s="11">
        <f t="shared" si="7"/>
        <v>1</v>
      </c>
      <c r="O18" s="51" t="s">
        <v>16</v>
      </c>
      <c r="P18" s="52">
        <f>SUMIF($D$8:$D$55,$O18,$G$8:$G$55)+SUMIF($F$8:$F$55,$O18,$I$8:$I$55)</f>
        <v>0</v>
      </c>
      <c r="Q18" s="52">
        <f>SUMIF($D$8:$D$55,$O18,$I$8:$I$55)+SUMIF($F$8:$F$55,$O18,$G$8:$G$55)</f>
        <v>2</v>
      </c>
      <c r="R18" s="52">
        <f>P18-Q18</f>
        <v>-2</v>
      </c>
      <c r="S18" s="53">
        <f>SUMIF($D$8:$D$55,$O18,$K$8:$K$55)+SUMIF($F$8:$F$55,$O18,$L$8:$L$55)</f>
        <v>1</v>
      </c>
      <c r="T18" s="96" t="s">
        <v>55</v>
      </c>
      <c r="U18" s="40"/>
      <c r="V18" s="40" t="str">
        <f>O18</f>
        <v>Australië</v>
      </c>
      <c r="W18" s="40" t="s">
        <v>55</v>
      </c>
      <c r="Y18" s="109">
        <f t="shared" si="8"/>
        <v>0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0</v>
      </c>
      <c r="AG18" s="108">
        <f t="shared" si="0"/>
        <v>0</v>
      </c>
      <c r="AH18" s="108">
        <f t="shared" si="1"/>
        <v>0</v>
      </c>
      <c r="AI18" s="108">
        <f t="shared" si="10"/>
        <v>0</v>
      </c>
      <c r="AJ18" s="108">
        <f t="shared" si="2"/>
        <v>0</v>
      </c>
      <c r="AK18" s="108">
        <f t="shared" si="3"/>
        <v>0</v>
      </c>
      <c r="AL18" s="108">
        <f t="shared" si="4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12">
        <v>12</v>
      </c>
      <c r="C19" s="13">
        <v>41806</v>
      </c>
      <c r="D19" s="14" t="s">
        <v>31</v>
      </c>
      <c r="E19" s="15" t="s">
        <v>9</v>
      </c>
      <c r="F19" s="16" t="s">
        <v>32</v>
      </c>
      <c r="G19" s="85">
        <v>0</v>
      </c>
      <c r="H19" s="15" t="s">
        <v>9</v>
      </c>
      <c r="I19" s="90">
        <v>0</v>
      </c>
      <c r="J19" s="17">
        <f t="shared" si="5"/>
        <v>3</v>
      </c>
      <c r="K19" s="11">
        <f t="shared" si="6"/>
        <v>1</v>
      </c>
      <c r="L19" s="11">
        <f t="shared" si="7"/>
        <v>1</v>
      </c>
      <c r="O19" s="40"/>
      <c r="P19" s="41"/>
      <c r="Q19" s="41"/>
      <c r="R19" s="41"/>
      <c r="S19" s="41"/>
      <c r="T19" s="41"/>
      <c r="U19" s="40"/>
      <c r="V19" s="40"/>
      <c r="W19" s="40"/>
      <c r="Y19" s="109">
        <f t="shared" si="8"/>
        <v>1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1</v>
      </c>
      <c r="AG19" s="108">
        <f t="shared" si="0"/>
        <v>0</v>
      </c>
      <c r="AH19" s="108">
        <f t="shared" si="1"/>
        <v>1</v>
      </c>
      <c r="AI19" s="108">
        <f t="shared" si="10"/>
        <v>0</v>
      </c>
      <c r="AJ19" s="108">
        <f t="shared" si="2"/>
        <v>0</v>
      </c>
      <c r="AK19" s="108">
        <f t="shared" si="3"/>
        <v>0</v>
      </c>
      <c r="AL19" s="108">
        <f t="shared" si="4"/>
        <v>0</v>
      </c>
      <c r="AN19" s="40"/>
      <c r="AO19" s="41"/>
    </row>
    <row r="20" spans="2:41" ht="15.75" thickBot="1">
      <c r="B20" s="18">
        <v>13</v>
      </c>
      <c r="C20" s="19">
        <v>41806</v>
      </c>
      <c r="D20" s="20" t="s">
        <v>33</v>
      </c>
      <c r="E20" s="21" t="s">
        <v>9</v>
      </c>
      <c r="F20" s="30" t="s">
        <v>34</v>
      </c>
      <c r="G20" s="86">
        <v>0</v>
      </c>
      <c r="H20" s="21" t="s">
        <v>9</v>
      </c>
      <c r="I20" s="91">
        <v>0</v>
      </c>
      <c r="J20" s="23">
        <f t="shared" si="5"/>
        <v>3</v>
      </c>
      <c r="K20" s="11">
        <f t="shared" si="6"/>
        <v>1</v>
      </c>
      <c r="L20" s="11">
        <f t="shared" si="7"/>
        <v>1</v>
      </c>
      <c r="O20" s="72" t="s">
        <v>56</v>
      </c>
      <c r="P20" s="73" t="s">
        <v>42</v>
      </c>
      <c r="Q20" s="73" t="s">
        <v>43</v>
      </c>
      <c r="R20" s="74" t="s">
        <v>44</v>
      </c>
      <c r="S20" s="75" t="s">
        <v>45</v>
      </c>
      <c r="T20" s="76" t="s">
        <v>46</v>
      </c>
      <c r="U20" s="40"/>
      <c r="V20" s="40"/>
      <c r="W20" s="40"/>
      <c r="Y20" s="109">
        <f t="shared" si="8"/>
        <v>10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10</v>
      </c>
      <c r="AG20" s="108">
        <f t="shared" si="0"/>
        <v>1</v>
      </c>
      <c r="AH20" s="108">
        <f t="shared" si="1"/>
        <v>1</v>
      </c>
      <c r="AI20" s="108">
        <f t="shared" si="10"/>
        <v>10</v>
      </c>
      <c r="AJ20" s="108">
        <f t="shared" si="2"/>
        <v>0</v>
      </c>
      <c r="AK20" s="108">
        <f t="shared" si="3"/>
        <v>0</v>
      </c>
      <c r="AL20" s="108">
        <f t="shared" si="4"/>
        <v>5</v>
      </c>
      <c r="AN20" s="42" t="s">
        <v>56</v>
      </c>
      <c r="AO20" s="43" t="s">
        <v>46</v>
      </c>
    </row>
    <row r="21" spans="2:41" ht="15.75" thickBot="1">
      <c r="B21" s="24">
        <v>14</v>
      </c>
      <c r="C21" s="25">
        <v>41806</v>
      </c>
      <c r="D21" s="26" t="s">
        <v>35</v>
      </c>
      <c r="E21" s="27" t="s">
        <v>9</v>
      </c>
      <c r="F21" s="28" t="s">
        <v>36</v>
      </c>
      <c r="G21" s="87">
        <v>0</v>
      </c>
      <c r="H21" s="27" t="s">
        <v>9</v>
      </c>
      <c r="I21" s="92">
        <v>0</v>
      </c>
      <c r="J21" s="29">
        <f t="shared" si="5"/>
        <v>3</v>
      </c>
      <c r="K21" s="11">
        <f t="shared" si="6"/>
        <v>1</v>
      </c>
      <c r="L21" s="11">
        <f t="shared" si="7"/>
        <v>1</v>
      </c>
      <c r="O21" s="44" t="s">
        <v>17</v>
      </c>
      <c r="P21" s="45">
        <f>SUMIF($D$8:$D$55,$O21,$G$8:$G$55)+SUMIF($F$8:$F$55,$O21,$I$8:$I$55)</f>
        <v>1</v>
      </c>
      <c r="Q21" s="45">
        <f>SUMIF($D$8:$D$55,$O21,$I$8:$I$55)+SUMIF($F$8:$F$55,$O21,$G$8:$G$55)</f>
        <v>1</v>
      </c>
      <c r="R21" s="46">
        <f>P21-Q21</f>
        <v>0</v>
      </c>
      <c r="S21" s="47">
        <f>SUMIF($D$8:$D$55,$O21,$K$8:$K$55)+SUMIF($F$8:$F$55,$O21,$L$8:$L$55)</f>
        <v>4</v>
      </c>
      <c r="T21" s="94" t="s">
        <v>58</v>
      </c>
      <c r="U21" s="40"/>
      <c r="V21" s="40" t="str">
        <f>O21</f>
        <v>Colombia</v>
      </c>
      <c r="W21" s="40" t="s">
        <v>57</v>
      </c>
      <c r="Y21" s="109">
        <f t="shared" si="8"/>
        <v>0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0</v>
      </c>
      <c r="AG21" s="108">
        <f t="shared" si="0"/>
        <v>0</v>
      </c>
      <c r="AH21" s="108">
        <f t="shared" si="1"/>
        <v>0</v>
      </c>
      <c r="AI21" s="108">
        <f t="shared" si="10"/>
        <v>0</v>
      </c>
      <c r="AJ21" s="108">
        <f t="shared" si="2"/>
        <v>0</v>
      </c>
      <c r="AK21" s="108">
        <f t="shared" si="3"/>
        <v>0</v>
      </c>
      <c r="AL21" s="108">
        <f t="shared" si="4"/>
        <v>0</v>
      </c>
      <c r="AM21" s="120">
        <f>AO21</f>
        <v>0</v>
      </c>
      <c r="AN21" s="116" t="s">
        <v>17</v>
      </c>
      <c r="AO21" s="115">
        <f>IF(Uitslag!T21="",0,IF(T21=Uitslag!T21,10,0))</f>
        <v>0</v>
      </c>
    </row>
    <row r="22" spans="2:41" ht="15.75" thickBot="1">
      <c r="B22" s="12">
        <v>15</v>
      </c>
      <c r="C22" s="13">
        <v>41807</v>
      </c>
      <c r="D22" s="14" t="s">
        <v>37</v>
      </c>
      <c r="E22" s="15" t="s">
        <v>9</v>
      </c>
      <c r="F22" s="16" t="s">
        <v>38</v>
      </c>
      <c r="G22" s="85">
        <v>0</v>
      </c>
      <c r="H22" s="15" t="s">
        <v>9</v>
      </c>
      <c r="I22" s="90">
        <v>0</v>
      </c>
      <c r="J22" s="17">
        <f t="shared" si="5"/>
        <v>3</v>
      </c>
      <c r="K22" s="11">
        <f t="shared" si="6"/>
        <v>1</v>
      </c>
      <c r="L22" s="11">
        <f t="shared" si="7"/>
        <v>1</v>
      </c>
      <c r="O22" s="48" t="s">
        <v>18</v>
      </c>
      <c r="P22" s="49">
        <f>SUMIF($D$8:$D$55,$O22,$G$8:$G$55)+SUMIF($F$8:$F$55,$O22,$I$8:$I$55)</f>
        <v>0</v>
      </c>
      <c r="Q22" s="49">
        <f>SUMIF($D$8:$D$55,$O22,$I$8:$I$55)+SUMIF($F$8:$F$55,$O22,$G$8:$G$55)</f>
        <v>2</v>
      </c>
      <c r="R22" s="49">
        <f>P22-Q22</f>
        <v>-2</v>
      </c>
      <c r="S22" s="50">
        <f>SUMIF($D$8:$D$55,$O22,$K$8:$K$55)+SUMIF($F$8:$F$55,$O22,$L$8:$L$55)</f>
        <v>1</v>
      </c>
      <c r="T22" s="95" t="s">
        <v>60</v>
      </c>
      <c r="U22" s="40"/>
      <c r="V22" s="40" t="str">
        <f>O22</f>
        <v>Griekenland</v>
      </c>
      <c r="W22" s="40" t="s">
        <v>58</v>
      </c>
      <c r="Y22" s="109">
        <f t="shared" si="8"/>
        <v>0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0</v>
      </c>
      <c r="AG22" s="108">
        <f t="shared" si="0"/>
        <v>0</v>
      </c>
      <c r="AH22" s="108">
        <f t="shared" si="1"/>
        <v>0</v>
      </c>
      <c r="AI22" s="108">
        <f t="shared" si="10"/>
        <v>0</v>
      </c>
      <c r="AJ22" s="108">
        <f t="shared" si="2"/>
        <v>0</v>
      </c>
      <c r="AK22" s="108">
        <f t="shared" si="3"/>
        <v>0</v>
      </c>
      <c r="AL22" s="108">
        <f t="shared" si="4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18">
        <v>16</v>
      </c>
      <c r="C23" s="19">
        <v>41807</v>
      </c>
      <c r="D23" s="20" t="s">
        <v>8</v>
      </c>
      <c r="E23" s="21" t="s">
        <v>9</v>
      </c>
      <c r="F23" s="30" t="s">
        <v>11</v>
      </c>
      <c r="G23" s="86">
        <v>2</v>
      </c>
      <c r="H23" s="21" t="s">
        <v>9</v>
      </c>
      <c r="I23" s="91">
        <v>0</v>
      </c>
      <c r="J23" s="23">
        <f t="shared" si="5"/>
        <v>1</v>
      </c>
      <c r="K23" s="11">
        <f t="shared" si="6"/>
        <v>3</v>
      </c>
      <c r="L23" s="11">
        <f t="shared" si="7"/>
        <v>0</v>
      </c>
      <c r="O23" s="48" t="s">
        <v>23</v>
      </c>
      <c r="P23" s="49">
        <f>SUMIF($D$8:$D$55,$O23,$G$8:$G$55)+SUMIF($F$8:$F$55,$O23,$I$8:$I$55)</f>
        <v>1</v>
      </c>
      <c r="Q23" s="49">
        <f>SUMIF($D$8:$D$55,$O23,$I$8:$I$55)+SUMIF($F$8:$F$55,$O23,$G$8:$G$55)</f>
        <v>1</v>
      </c>
      <c r="R23" s="49">
        <f>P23-Q23</f>
        <v>0</v>
      </c>
      <c r="S23" s="50">
        <f>SUMIF($D$8:$D$55,$O23,$K$8:$K$55)+SUMIF($F$8:$F$55,$O23,$L$8:$L$55)</f>
        <v>4</v>
      </c>
      <c r="T23" s="95" t="s">
        <v>59</v>
      </c>
      <c r="U23" s="40"/>
      <c r="V23" s="40" t="str">
        <f>O23</f>
        <v>Ivoorkust</v>
      </c>
      <c r="W23" s="40" t="s">
        <v>59</v>
      </c>
      <c r="Y23" s="109">
        <f t="shared" si="8"/>
        <v>1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1</v>
      </c>
      <c r="AG23" s="108">
        <f t="shared" si="0"/>
        <v>0</v>
      </c>
      <c r="AH23" s="108">
        <f t="shared" si="1"/>
        <v>1</v>
      </c>
      <c r="AI23" s="108">
        <f t="shared" si="10"/>
        <v>0</v>
      </c>
      <c r="AJ23" s="108">
        <f t="shared" si="2"/>
        <v>0</v>
      </c>
      <c r="AK23" s="108">
        <f t="shared" si="3"/>
        <v>0</v>
      </c>
      <c r="AL23" s="108">
        <f t="shared" si="4"/>
        <v>0</v>
      </c>
      <c r="AM23" s="120">
        <f>AO23</f>
        <v>10</v>
      </c>
      <c r="AN23" s="117" t="s">
        <v>23</v>
      </c>
      <c r="AO23" s="115">
        <f>IF(Uitslag!T23="",0,IF(T23=Uitslag!T23,10,0))</f>
        <v>10</v>
      </c>
    </row>
    <row r="24" spans="2:41" ht="15.75" thickBot="1">
      <c r="B24" s="24">
        <v>17</v>
      </c>
      <c r="C24" s="25">
        <v>41807</v>
      </c>
      <c r="D24" s="26" t="s">
        <v>39</v>
      </c>
      <c r="E24" s="27" t="s">
        <v>9</v>
      </c>
      <c r="F24" s="28" t="s">
        <v>40</v>
      </c>
      <c r="G24" s="87">
        <v>0</v>
      </c>
      <c r="H24" s="27" t="s">
        <v>9</v>
      </c>
      <c r="I24" s="92">
        <v>1</v>
      </c>
      <c r="J24" s="29">
        <f t="shared" si="5"/>
        <v>2</v>
      </c>
      <c r="K24" s="11">
        <f t="shared" si="6"/>
        <v>0</v>
      </c>
      <c r="L24" s="11">
        <f t="shared" si="7"/>
        <v>3</v>
      </c>
      <c r="O24" s="51" t="s">
        <v>24</v>
      </c>
      <c r="P24" s="52">
        <f>SUMIF($D$8:$D$55,$O24,$G$8:$G$55)+SUMIF($F$8:$F$55,$O24,$I$8:$I$55)</f>
        <v>2</v>
      </c>
      <c r="Q24" s="52">
        <f>SUMIF($D$8:$D$55,$O24,$I$8:$I$55)+SUMIF($F$8:$F$55,$O24,$G$8:$G$55)</f>
        <v>0</v>
      </c>
      <c r="R24" s="52">
        <f>P24-Q24</f>
        <v>2</v>
      </c>
      <c r="S24" s="53">
        <f>SUMIF($D$8:$D$55,$O24,$K$8:$K$55)+SUMIF($F$8:$F$55,$O24,$L$8:$L$55)</f>
        <v>7</v>
      </c>
      <c r="T24" s="96" t="s">
        <v>57</v>
      </c>
      <c r="U24" s="40"/>
      <c r="V24" s="40" t="str">
        <f>O24</f>
        <v>Japan</v>
      </c>
      <c r="W24" s="40" t="s">
        <v>60</v>
      </c>
      <c r="Y24" s="109">
        <f t="shared" si="8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</v>
      </c>
      <c r="AG24" s="108">
        <f t="shared" si="0"/>
        <v>0</v>
      </c>
      <c r="AH24" s="108">
        <f t="shared" si="1"/>
        <v>1</v>
      </c>
      <c r="AI24" s="108">
        <f t="shared" si="10"/>
        <v>0</v>
      </c>
      <c r="AJ24" s="108">
        <f t="shared" si="2"/>
        <v>0</v>
      </c>
      <c r="AK24" s="108">
        <f t="shared" si="3"/>
        <v>0</v>
      </c>
      <c r="AL24" s="108">
        <f t="shared" si="4"/>
        <v>0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12">
        <v>18</v>
      </c>
      <c r="C25" s="13">
        <v>41808</v>
      </c>
      <c r="D25" s="14" t="s">
        <v>16</v>
      </c>
      <c r="E25" s="15" t="s">
        <v>9</v>
      </c>
      <c r="F25" s="31" t="s">
        <v>14</v>
      </c>
      <c r="G25" s="85">
        <v>0</v>
      </c>
      <c r="H25" s="15" t="s">
        <v>9</v>
      </c>
      <c r="I25" s="90">
        <v>1</v>
      </c>
      <c r="J25" s="17">
        <f t="shared" si="5"/>
        <v>2</v>
      </c>
      <c r="K25" s="11">
        <f t="shared" si="6"/>
        <v>0</v>
      </c>
      <c r="L25" s="11">
        <f t="shared" si="7"/>
        <v>3</v>
      </c>
      <c r="O25" s="40"/>
      <c r="P25" s="41"/>
      <c r="Q25" s="41"/>
      <c r="R25" s="41"/>
      <c r="S25" s="41"/>
      <c r="T25" s="41"/>
      <c r="U25" s="40"/>
      <c r="V25" s="40"/>
      <c r="W25" s="40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0"/>
        <v>0</v>
      </c>
      <c r="AH25" s="108">
        <f t="shared" si="1"/>
        <v>0</v>
      </c>
      <c r="AI25" s="108">
        <f t="shared" si="10"/>
        <v>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40"/>
      <c r="AO25" s="41"/>
    </row>
    <row r="26" spans="2:41" ht="15.75" thickBot="1">
      <c r="B26" s="18">
        <v>19</v>
      </c>
      <c r="C26" s="19">
        <v>41808</v>
      </c>
      <c r="D26" s="20" t="s">
        <v>13</v>
      </c>
      <c r="E26" s="21" t="s">
        <v>9</v>
      </c>
      <c r="F26" s="30" t="s">
        <v>15</v>
      </c>
      <c r="G26" s="86">
        <v>1</v>
      </c>
      <c r="H26" s="21" t="s">
        <v>9</v>
      </c>
      <c r="I26" s="91">
        <v>0</v>
      </c>
      <c r="J26" s="23">
        <f t="shared" si="5"/>
        <v>1</v>
      </c>
      <c r="K26" s="11">
        <f t="shared" si="6"/>
        <v>3</v>
      </c>
      <c r="L26" s="11">
        <f t="shared" si="7"/>
        <v>0</v>
      </c>
      <c r="O26" s="72" t="s">
        <v>61</v>
      </c>
      <c r="P26" s="73" t="s">
        <v>42</v>
      </c>
      <c r="Q26" s="73" t="s">
        <v>43</v>
      </c>
      <c r="R26" s="74" t="s">
        <v>44</v>
      </c>
      <c r="S26" s="75" t="s">
        <v>45</v>
      </c>
      <c r="T26" s="76" t="s">
        <v>46</v>
      </c>
      <c r="U26" s="40"/>
      <c r="V26" s="40"/>
      <c r="W26" s="40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0"/>
        <v>0</v>
      </c>
      <c r="AH26" s="108">
        <f t="shared" si="1"/>
        <v>0</v>
      </c>
      <c r="AI26" s="108">
        <f t="shared" si="10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24">
        <v>20</v>
      </c>
      <c r="C27" s="25">
        <v>41808</v>
      </c>
      <c r="D27" s="26" t="s">
        <v>12</v>
      </c>
      <c r="E27" s="27" t="s">
        <v>9</v>
      </c>
      <c r="F27" s="28" t="s">
        <v>10</v>
      </c>
      <c r="G27" s="87">
        <v>0</v>
      </c>
      <c r="H27" s="27" t="s">
        <v>9</v>
      </c>
      <c r="I27" s="92">
        <v>1</v>
      </c>
      <c r="J27" s="29">
        <f t="shared" si="5"/>
        <v>2</v>
      </c>
      <c r="K27" s="11">
        <f t="shared" si="6"/>
        <v>0</v>
      </c>
      <c r="L27" s="11">
        <f t="shared" si="7"/>
        <v>3</v>
      </c>
      <c r="O27" s="44" t="s">
        <v>19</v>
      </c>
      <c r="P27" s="45">
        <f>SUMIF($D$8:$D$55,$O27,$G$8:$G$55)+SUMIF($F$8:$F$55,$O27,$I$8:$I$55)</f>
        <v>1</v>
      </c>
      <c r="Q27" s="45">
        <f>SUMIF($D$8:$D$55,$O27,$I$8:$I$55)+SUMIF($F$8:$F$55,$O27,$G$8:$G$55)</f>
        <v>1</v>
      </c>
      <c r="R27" s="46">
        <f>P27-Q27</f>
        <v>0</v>
      </c>
      <c r="S27" s="47">
        <f>SUMIF($D$8:$D$55,$O27,$K$8:$K$55)+SUMIF($F$8:$F$55,$O27,$L$8:$L$55)</f>
        <v>4</v>
      </c>
      <c r="T27" s="94" t="s">
        <v>64</v>
      </c>
      <c r="U27" s="40"/>
      <c r="V27" s="40" t="str">
        <f>O27</f>
        <v>Uruguay</v>
      </c>
      <c r="W27" s="40" t="s">
        <v>62</v>
      </c>
      <c r="Y27" s="109">
        <f t="shared" si="8"/>
        <v>6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6</v>
      </c>
      <c r="AG27" s="108">
        <f t="shared" si="0"/>
        <v>1</v>
      </c>
      <c r="AH27" s="108">
        <f t="shared" si="1"/>
        <v>0</v>
      </c>
      <c r="AI27" s="108">
        <f t="shared" si="10"/>
        <v>0</v>
      </c>
      <c r="AJ27" s="108">
        <f t="shared" si="2"/>
        <v>0</v>
      </c>
      <c r="AK27" s="108">
        <f t="shared" si="3"/>
        <v>5</v>
      </c>
      <c r="AL27" s="108">
        <f t="shared" si="4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12">
        <v>21</v>
      </c>
      <c r="C28" s="13">
        <v>41809</v>
      </c>
      <c r="D28" s="14" t="s">
        <v>17</v>
      </c>
      <c r="E28" s="15" t="s">
        <v>9</v>
      </c>
      <c r="F28" s="16" t="s">
        <v>23</v>
      </c>
      <c r="G28" s="85">
        <v>1</v>
      </c>
      <c r="H28" s="15" t="s">
        <v>9</v>
      </c>
      <c r="I28" s="90">
        <v>0</v>
      </c>
      <c r="J28" s="17">
        <f t="shared" si="5"/>
        <v>1</v>
      </c>
      <c r="K28" s="11">
        <f t="shared" si="6"/>
        <v>3</v>
      </c>
      <c r="L28" s="11">
        <f t="shared" si="7"/>
        <v>0</v>
      </c>
      <c r="O28" s="48" t="s">
        <v>20</v>
      </c>
      <c r="P28" s="49">
        <f>SUMIF($D$8:$D$55,$O28,$G$8:$G$55)+SUMIF($F$8:$F$55,$O28,$I$8:$I$55)</f>
        <v>0</v>
      </c>
      <c r="Q28" s="49">
        <f>SUMIF($D$8:$D$55,$O28,$I$8:$I$55)+SUMIF($F$8:$F$55,$O28,$G$8:$G$55)</f>
        <v>2</v>
      </c>
      <c r="R28" s="49">
        <f>P28-Q28</f>
        <v>-2</v>
      </c>
      <c r="S28" s="50">
        <f>SUMIF($D$8:$D$55,$O28,$K$8:$K$55)+SUMIF($F$8:$F$55,$O28,$L$8:$L$55)</f>
        <v>1</v>
      </c>
      <c r="T28" s="95" t="s">
        <v>65</v>
      </c>
      <c r="U28" s="40"/>
      <c r="V28" s="40" t="str">
        <f>O28</f>
        <v>Costa Rica</v>
      </c>
      <c r="W28" s="40" t="s">
        <v>63</v>
      </c>
      <c r="Y28" s="109">
        <f t="shared" si="8"/>
        <v>5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5</v>
      </c>
      <c r="AG28" s="108">
        <f t="shared" si="0"/>
        <v>0</v>
      </c>
      <c r="AH28" s="108">
        <f t="shared" si="1"/>
        <v>0</v>
      </c>
      <c r="AI28" s="108">
        <f t="shared" si="10"/>
        <v>0</v>
      </c>
      <c r="AJ28" s="108">
        <f t="shared" si="2"/>
        <v>5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18">
        <v>22</v>
      </c>
      <c r="C29" s="19">
        <v>41809</v>
      </c>
      <c r="D29" s="20" t="s">
        <v>19</v>
      </c>
      <c r="E29" s="21" t="s">
        <v>9</v>
      </c>
      <c r="F29" s="30" t="s">
        <v>21</v>
      </c>
      <c r="G29" s="86">
        <v>1</v>
      </c>
      <c r="H29" s="21" t="s">
        <v>9</v>
      </c>
      <c r="I29" s="91">
        <v>0</v>
      </c>
      <c r="J29" s="23">
        <f t="shared" si="5"/>
        <v>1</v>
      </c>
      <c r="K29" s="11">
        <f t="shared" si="6"/>
        <v>3</v>
      </c>
      <c r="L29" s="11">
        <f t="shared" si="7"/>
        <v>0</v>
      </c>
      <c r="O29" s="48" t="s">
        <v>21</v>
      </c>
      <c r="P29" s="49">
        <f>SUMIF($D$8:$D$55,$O29,$G$8:$G$55)+SUMIF($F$8:$F$55,$O29,$I$8:$I$55)</f>
        <v>1</v>
      </c>
      <c r="Q29" s="49">
        <f>SUMIF($D$8:$D$55,$O29,$I$8:$I$55)+SUMIF($F$8:$F$55,$O29,$G$8:$G$55)</f>
        <v>1</v>
      </c>
      <c r="R29" s="49">
        <f>P29-Q29</f>
        <v>0</v>
      </c>
      <c r="S29" s="50">
        <f>SUMIF($D$8:$D$55,$O29,$K$8:$K$55)+SUMIF($F$8:$F$55,$O29,$L$8:$L$55)</f>
        <v>4</v>
      </c>
      <c r="T29" s="95" t="s">
        <v>63</v>
      </c>
      <c r="U29" s="40"/>
      <c r="V29" s="40" t="str">
        <f>O29</f>
        <v>Engeland</v>
      </c>
      <c r="W29" s="40" t="s">
        <v>64</v>
      </c>
      <c r="Y29" s="109">
        <f t="shared" si="8"/>
        <v>5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5</v>
      </c>
      <c r="AG29" s="108">
        <f t="shared" si="0"/>
        <v>0</v>
      </c>
      <c r="AH29" s="108">
        <f t="shared" si="1"/>
        <v>0</v>
      </c>
      <c r="AI29" s="108">
        <f t="shared" si="10"/>
        <v>0</v>
      </c>
      <c r="AJ29" s="108">
        <f t="shared" si="2"/>
        <v>5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24">
        <v>23</v>
      </c>
      <c r="C30" s="25">
        <v>41809</v>
      </c>
      <c r="D30" s="26" t="s">
        <v>24</v>
      </c>
      <c r="E30" s="27" t="s">
        <v>9</v>
      </c>
      <c r="F30" s="28" t="s">
        <v>18</v>
      </c>
      <c r="G30" s="87">
        <v>1</v>
      </c>
      <c r="H30" s="27" t="s">
        <v>9</v>
      </c>
      <c r="I30" s="92">
        <v>0</v>
      </c>
      <c r="J30" s="29">
        <f t="shared" si="5"/>
        <v>1</v>
      </c>
      <c r="K30" s="11">
        <f t="shared" si="6"/>
        <v>3</v>
      </c>
      <c r="L30" s="11">
        <f t="shared" si="7"/>
        <v>0</v>
      </c>
      <c r="O30" s="51" t="s">
        <v>22</v>
      </c>
      <c r="P30" s="52">
        <f>SUMIF($D$8:$D$55,$O30,$G$8:$G$55)+SUMIF($F$8:$F$55,$O30,$I$8:$I$55)</f>
        <v>2</v>
      </c>
      <c r="Q30" s="52">
        <f>SUMIF($D$8:$D$55,$O30,$I$8:$I$55)+SUMIF($F$8:$F$55,$O30,$G$8:$G$55)</f>
        <v>0</v>
      </c>
      <c r="R30" s="52">
        <f>P30-Q30</f>
        <v>2</v>
      </c>
      <c r="S30" s="53">
        <f>SUMIF($D$8:$D$55,$O30,$K$8:$K$55)+SUMIF($F$8:$F$55,$O30,$L$8:$L$55)</f>
        <v>7</v>
      </c>
      <c r="T30" s="96" t="s">
        <v>62</v>
      </c>
      <c r="U30" s="40"/>
      <c r="V30" s="40" t="str">
        <f>O30</f>
        <v>Italië</v>
      </c>
      <c r="W30" s="40" t="s">
        <v>65</v>
      </c>
      <c r="Y30" s="109">
        <f t="shared" si="8"/>
        <v>1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1</v>
      </c>
      <c r="AG30" s="108">
        <f t="shared" si="0"/>
        <v>0</v>
      </c>
      <c r="AH30" s="108">
        <f t="shared" si="1"/>
        <v>1</v>
      </c>
      <c r="AI30" s="108">
        <f t="shared" si="10"/>
        <v>0</v>
      </c>
      <c r="AJ30" s="108">
        <f t="shared" si="2"/>
        <v>0</v>
      </c>
      <c r="AK30" s="108">
        <f t="shared" si="3"/>
        <v>0</v>
      </c>
      <c r="AL30" s="108">
        <f t="shared" si="4"/>
        <v>0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12">
        <v>24</v>
      </c>
      <c r="C31" s="13">
        <v>41810</v>
      </c>
      <c r="D31" s="14" t="s">
        <v>22</v>
      </c>
      <c r="E31" s="15" t="s">
        <v>9</v>
      </c>
      <c r="F31" s="16" t="s">
        <v>20</v>
      </c>
      <c r="G31" s="85">
        <v>1</v>
      </c>
      <c r="H31" s="15" t="s">
        <v>9</v>
      </c>
      <c r="I31" s="90">
        <v>0</v>
      </c>
      <c r="J31" s="17">
        <f t="shared" si="5"/>
        <v>1</v>
      </c>
      <c r="K31" s="11">
        <f t="shared" si="6"/>
        <v>3</v>
      </c>
      <c r="L31" s="11">
        <f t="shared" si="7"/>
        <v>0</v>
      </c>
      <c r="O31" s="40"/>
      <c r="P31" s="41"/>
      <c r="Q31" s="41"/>
      <c r="R31" s="41"/>
      <c r="S31" s="41"/>
      <c r="T31" s="41"/>
      <c r="U31" s="40"/>
      <c r="V31" s="40"/>
      <c r="W31" s="40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0"/>
        <v>0</v>
      </c>
      <c r="AH31" s="108">
        <f t="shared" si="1"/>
        <v>0</v>
      </c>
      <c r="AI31" s="108">
        <f t="shared" si="10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40"/>
      <c r="AO31" s="41"/>
    </row>
    <row r="32" spans="2:41" ht="15.75" thickBot="1">
      <c r="B32" s="18">
        <v>25</v>
      </c>
      <c r="C32" s="19">
        <v>41810</v>
      </c>
      <c r="D32" s="20" t="s">
        <v>25</v>
      </c>
      <c r="E32" s="21" t="s">
        <v>9</v>
      </c>
      <c r="F32" s="30" t="s">
        <v>27</v>
      </c>
      <c r="G32" s="86">
        <v>0</v>
      </c>
      <c r="H32" s="21" t="s">
        <v>9</v>
      </c>
      <c r="I32" s="91">
        <v>1</v>
      </c>
      <c r="J32" s="23">
        <f t="shared" si="5"/>
        <v>2</v>
      </c>
      <c r="K32" s="11">
        <f t="shared" si="6"/>
        <v>0</v>
      </c>
      <c r="L32" s="11">
        <f t="shared" si="7"/>
        <v>3</v>
      </c>
      <c r="O32" s="72" t="s">
        <v>66</v>
      </c>
      <c r="P32" s="73" t="s">
        <v>42</v>
      </c>
      <c r="Q32" s="73" t="s">
        <v>43</v>
      </c>
      <c r="R32" s="74" t="s">
        <v>44</v>
      </c>
      <c r="S32" s="75" t="s">
        <v>45</v>
      </c>
      <c r="T32" s="76" t="s">
        <v>46</v>
      </c>
      <c r="U32" s="40"/>
      <c r="V32" s="40"/>
      <c r="W32" s="40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0"/>
        <v>0</v>
      </c>
      <c r="AH32" s="108">
        <f t="shared" si="1"/>
        <v>0</v>
      </c>
      <c r="AI32" s="108">
        <f t="shared" si="10"/>
        <v>0</v>
      </c>
      <c r="AJ32" s="108">
        <f t="shared" si="2"/>
        <v>0</v>
      </c>
      <c r="AK32" s="108">
        <f t="shared" si="3"/>
        <v>5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24">
        <v>26</v>
      </c>
      <c r="C33" s="25">
        <v>41810</v>
      </c>
      <c r="D33" s="26" t="s">
        <v>28</v>
      </c>
      <c r="E33" s="27" t="s">
        <v>9</v>
      </c>
      <c r="F33" s="28" t="s">
        <v>26</v>
      </c>
      <c r="G33" s="87">
        <v>0</v>
      </c>
      <c r="H33" s="27" t="s">
        <v>9</v>
      </c>
      <c r="I33" s="92">
        <v>1</v>
      </c>
      <c r="J33" s="29">
        <f t="shared" si="5"/>
        <v>2</v>
      </c>
      <c r="K33" s="11">
        <f t="shared" si="6"/>
        <v>0</v>
      </c>
      <c r="L33" s="11">
        <f t="shared" si="7"/>
        <v>3</v>
      </c>
      <c r="O33" s="44" t="s">
        <v>25</v>
      </c>
      <c r="P33" s="45">
        <f>SUMIF($D$8:$D$55,$O33,$G$8:$G$55)+SUMIF($F$8:$F$55,$O33,$I$8:$I$55)</f>
        <v>1</v>
      </c>
      <c r="Q33" s="45">
        <f>SUMIF($D$8:$D$55,$O33,$I$8:$I$55)+SUMIF($F$8:$F$55,$O33,$G$8:$G$55)</f>
        <v>1</v>
      </c>
      <c r="R33" s="46">
        <f>P33-Q33</f>
        <v>0</v>
      </c>
      <c r="S33" s="47">
        <f>SUMIF($D$8:$D$55,$O33,$K$8:$K$55)+SUMIF($F$8:$F$55,$O33,$L$8:$L$55)</f>
        <v>4</v>
      </c>
      <c r="T33" s="94" t="s">
        <v>69</v>
      </c>
      <c r="U33" s="40"/>
      <c r="V33" s="40" t="str">
        <f>O33</f>
        <v>Zwitserland</v>
      </c>
      <c r="W33" s="40" t="s">
        <v>67</v>
      </c>
      <c r="Y33" s="109">
        <f t="shared" si="8"/>
        <v>5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5</v>
      </c>
      <c r="AG33" s="108">
        <f t="shared" si="0"/>
        <v>0</v>
      </c>
      <c r="AH33" s="108">
        <f t="shared" si="1"/>
        <v>0</v>
      </c>
      <c r="AI33" s="108">
        <f t="shared" si="10"/>
        <v>0</v>
      </c>
      <c r="AJ33" s="108">
        <f t="shared" si="2"/>
        <v>0</v>
      </c>
      <c r="AK33" s="108">
        <f t="shared" si="3"/>
        <v>5</v>
      </c>
      <c r="AL33" s="108">
        <f t="shared" si="4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12">
        <v>27</v>
      </c>
      <c r="C34" s="13">
        <v>41811</v>
      </c>
      <c r="D34" s="14" t="s">
        <v>29</v>
      </c>
      <c r="E34" s="15" t="s">
        <v>9</v>
      </c>
      <c r="F34" s="16" t="s">
        <v>33</v>
      </c>
      <c r="G34" s="85">
        <v>2</v>
      </c>
      <c r="H34" s="15" t="s">
        <v>9</v>
      </c>
      <c r="I34" s="90">
        <v>0</v>
      </c>
      <c r="J34" s="17">
        <f t="shared" si="5"/>
        <v>1</v>
      </c>
      <c r="K34" s="11">
        <f t="shared" si="6"/>
        <v>3</v>
      </c>
      <c r="L34" s="11">
        <f t="shared" si="7"/>
        <v>0</v>
      </c>
      <c r="O34" s="48" t="s">
        <v>26</v>
      </c>
      <c r="P34" s="49">
        <f>SUMIF($D$8:$D$55,$O34,$G$8:$G$55)+SUMIF($F$8:$F$55,$O34,$I$8:$I$55)</f>
        <v>1</v>
      </c>
      <c r="Q34" s="49">
        <f>SUMIF($D$8:$D$55,$O34,$I$8:$I$55)+SUMIF($F$8:$F$55,$O34,$G$8:$G$55)</f>
        <v>1</v>
      </c>
      <c r="R34" s="49">
        <f>P34-Q34</f>
        <v>0</v>
      </c>
      <c r="S34" s="50">
        <f>SUMIF($D$8:$D$55,$O34,$K$8:$K$55)+SUMIF($F$8:$F$55,$O34,$L$8:$L$55)</f>
        <v>4</v>
      </c>
      <c r="T34" s="95" t="s">
        <v>68</v>
      </c>
      <c r="U34" s="40"/>
      <c r="V34" s="40" t="str">
        <f>O34</f>
        <v>Ecuador</v>
      </c>
      <c r="W34" s="40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0"/>
        <v>0</v>
      </c>
      <c r="AH34" s="108">
        <f t="shared" si="1"/>
        <v>1</v>
      </c>
      <c r="AI34" s="108">
        <f t="shared" si="10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18">
        <v>28</v>
      </c>
      <c r="C35" s="19">
        <v>41811</v>
      </c>
      <c r="D35" s="20" t="s">
        <v>31</v>
      </c>
      <c r="E35" s="21" t="s">
        <v>9</v>
      </c>
      <c r="F35" s="30" t="s">
        <v>35</v>
      </c>
      <c r="G35" s="86">
        <v>2</v>
      </c>
      <c r="H35" s="21" t="s">
        <v>9</v>
      </c>
      <c r="I35" s="91">
        <v>1</v>
      </c>
      <c r="J35" s="23">
        <f t="shared" si="5"/>
        <v>1</v>
      </c>
      <c r="K35" s="11">
        <f t="shared" si="6"/>
        <v>3</v>
      </c>
      <c r="L35" s="11">
        <f t="shared" si="7"/>
        <v>0</v>
      </c>
      <c r="O35" s="48" t="s">
        <v>27</v>
      </c>
      <c r="P35" s="49">
        <f>SUMIF($D$8:$D$55,$O35,$G$8:$G$55)+SUMIF($F$8:$F$55,$O35,$I$8:$I$55)</f>
        <v>2</v>
      </c>
      <c r="Q35" s="49">
        <f>SUMIF($D$8:$D$55,$O35,$I$8:$I$55)+SUMIF($F$8:$F$55,$O35,$G$8:$G$55)</f>
        <v>0</v>
      </c>
      <c r="R35" s="49">
        <f>P35-Q35</f>
        <v>2</v>
      </c>
      <c r="S35" s="50">
        <f>SUMIF($D$8:$D$55,$O35,$K$8:$K$55)+SUMIF($F$8:$F$55,$O35,$L$8:$L$55)</f>
        <v>7</v>
      </c>
      <c r="T35" s="95" t="s">
        <v>67</v>
      </c>
      <c r="U35" s="40"/>
      <c r="V35" s="40" t="str">
        <f>O35</f>
        <v>Frankrijk</v>
      </c>
      <c r="W35" s="40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0"/>
        <v>1</v>
      </c>
      <c r="AH35" s="108">
        <f t="shared" si="1"/>
        <v>0</v>
      </c>
      <c r="AI35" s="108">
        <f t="shared" si="10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24">
        <v>29</v>
      </c>
      <c r="C36" s="25">
        <v>41811</v>
      </c>
      <c r="D36" s="26" t="s">
        <v>34</v>
      </c>
      <c r="E36" s="27" t="s">
        <v>9</v>
      </c>
      <c r="F36" s="28" t="s">
        <v>30</v>
      </c>
      <c r="G36" s="87">
        <v>1</v>
      </c>
      <c r="H36" s="27" t="s">
        <v>9</v>
      </c>
      <c r="I36" s="92">
        <v>0</v>
      </c>
      <c r="J36" s="29">
        <f t="shared" si="5"/>
        <v>1</v>
      </c>
      <c r="K36" s="11">
        <f t="shared" si="6"/>
        <v>3</v>
      </c>
      <c r="L36" s="11">
        <f t="shared" si="7"/>
        <v>0</v>
      </c>
      <c r="O36" s="51" t="s">
        <v>28</v>
      </c>
      <c r="P36" s="52">
        <f>SUMIF($D$8:$D$55,$O36,$G$8:$G$55)+SUMIF($F$8:$F$55,$O36,$I$8:$I$55)</f>
        <v>0</v>
      </c>
      <c r="Q36" s="52">
        <f>SUMIF($D$8:$D$55,$O36,$I$8:$I$55)+SUMIF($F$8:$F$55,$O36,$G$8:$G$55)</f>
        <v>2</v>
      </c>
      <c r="R36" s="52">
        <f>P36-Q36</f>
        <v>-2</v>
      </c>
      <c r="S36" s="53">
        <f>SUMIF($D$8:$D$55,$O36,$K$8:$K$55)+SUMIF($F$8:$F$55,$O36,$L$8:$L$55)</f>
        <v>1</v>
      </c>
      <c r="T36" s="96" t="s">
        <v>70</v>
      </c>
      <c r="U36" s="40"/>
      <c r="V36" s="40" t="str">
        <f>O36</f>
        <v>Honduras</v>
      </c>
      <c r="W36" s="40" t="s">
        <v>70</v>
      </c>
      <c r="Y36" s="109">
        <f t="shared" si="8"/>
        <v>10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10</v>
      </c>
      <c r="AG36" s="108">
        <f t="shared" si="0"/>
        <v>1</v>
      </c>
      <c r="AH36" s="108">
        <f t="shared" si="1"/>
        <v>1</v>
      </c>
      <c r="AI36" s="108">
        <f t="shared" si="10"/>
        <v>10</v>
      </c>
      <c r="AJ36" s="108">
        <f t="shared" si="2"/>
        <v>5</v>
      </c>
      <c r="AK36" s="108">
        <f t="shared" si="3"/>
        <v>0</v>
      </c>
      <c r="AL36" s="108">
        <f t="shared" si="4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12">
        <v>30</v>
      </c>
      <c r="C37" s="13">
        <v>41812</v>
      </c>
      <c r="D37" s="14" t="s">
        <v>37</v>
      </c>
      <c r="E37" s="15" t="s">
        <v>9</v>
      </c>
      <c r="F37" s="16" t="s">
        <v>39</v>
      </c>
      <c r="G37" s="85">
        <v>1</v>
      </c>
      <c r="H37" s="15" t="s">
        <v>9</v>
      </c>
      <c r="I37" s="90">
        <v>0</v>
      </c>
      <c r="J37" s="17">
        <f t="shared" si="5"/>
        <v>1</v>
      </c>
      <c r="K37" s="11">
        <f t="shared" si="6"/>
        <v>3</v>
      </c>
      <c r="L37" s="11">
        <f t="shared" si="7"/>
        <v>0</v>
      </c>
      <c r="O37" s="40"/>
      <c r="P37" s="41"/>
      <c r="Q37" s="41"/>
      <c r="R37" s="41"/>
      <c r="S37" s="41"/>
      <c r="T37" s="41"/>
      <c r="U37" s="40"/>
      <c r="V37" s="40"/>
      <c r="W37" s="40"/>
      <c r="Y37" s="109">
        <f t="shared" si="8"/>
        <v>10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10</v>
      </c>
      <c r="AG37" s="108">
        <f t="shared" si="0"/>
        <v>1</v>
      </c>
      <c r="AH37" s="108">
        <f t="shared" si="1"/>
        <v>1</v>
      </c>
      <c r="AI37" s="108">
        <f t="shared" si="10"/>
        <v>10</v>
      </c>
      <c r="AJ37" s="108">
        <f t="shared" si="2"/>
        <v>5</v>
      </c>
      <c r="AK37" s="108">
        <f t="shared" si="3"/>
        <v>0</v>
      </c>
      <c r="AL37" s="108">
        <f t="shared" si="4"/>
        <v>0</v>
      </c>
      <c r="AN37" s="40"/>
      <c r="AO37" s="41"/>
    </row>
    <row r="38" spans="2:41" ht="15.75" thickBot="1">
      <c r="B38" s="18">
        <v>31</v>
      </c>
      <c r="C38" s="19">
        <v>41812</v>
      </c>
      <c r="D38" s="20" t="s">
        <v>40</v>
      </c>
      <c r="E38" s="21" t="s">
        <v>9</v>
      </c>
      <c r="F38" s="30" t="s">
        <v>38</v>
      </c>
      <c r="G38" s="86">
        <v>0</v>
      </c>
      <c r="H38" s="21" t="s">
        <v>9</v>
      </c>
      <c r="I38" s="91">
        <v>1</v>
      </c>
      <c r="J38" s="23">
        <f t="shared" si="5"/>
        <v>2</v>
      </c>
      <c r="K38" s="11">
        <f t="shared" si="6"/>
        <v>0</v>
      </c>
      <c r="L38" s="11">
        <f t="shared" si="7"/>
        <v>3</v>
      </c>
      <c r="O38" s="72" t="s">
        <v>71</v>
      </c>
      <c r="P38" s="73" t="s">
        <v>42</v>
      </c>
      <c r="Q38" s="73" t="s">
        <v>43</v>
      </c>
      <c r="R38" s="74" t="s">
        <v>44</v>
      </c>
      <c r="S38" s="75" t="s">
        <v>45</v>
      </c>
      <c r="T38" s="76" t="s">
        <v>46</v>
      </c>
      <c r="U38" s="40"/>
      <c r="V38" s="40"/>
      <c r="W38" s="40"/>
      <c r="Y38" s="109">
        <f t="shared" si="8"/>
        <v>5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5</v>
      </c>
      <c r="AG38" s="108">
        <f t="shared" si="0"/>
        <v>0</v>
      </c>
      <c r="AH38" s="108">
        <f t="shared" si="1"/>
        <v>0</v>
      </c>
      <c r="AI38" s="108">
        <f t="shared" si="10"/>
        <v>0</v>
      </c>
      <c r="AJ38" s="108">
        <f t="shared" si="2"/>
        <v>0</v>
      </c>
      <c r="AK38" s="108">
        <f t="shared" si="3"/>
        <v>5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24">
        <v>32</v>
      </c>
      <c r="C39" s="25">
        <v>41812</v>
      </c>
      <c r="D39" s="26" t="s">
        <v>36</v>
      </c>
      <c r="E39" s="27" t="s">
        <v>9</v>
      </c>
      <c r="F39" s="28" t="s">
        <v>32</v>
      </c>
      <c r="G39" s="87">
        <v>0</v>
      </c>
      <c r="H39" s="27" t="s">
        <v>9</v>
      </c>
      <c r="I39" s="92">
        <v>1</v>
      </c>
      <c r="J39" s="29">
        <f t="shared" si="5"/>
        <v>2</v>
      </c>
      <c r="K39" s="11">
        <f t="shared" si="6"/>
        <v>0</v>
      </c>
      <c r="L39" s="11">
        <f t="shared" si="7"/>
        <v>3</v>
      </c>
      <c r="O39" s="44" t="s">
        <v>29</v>
      </c>
      <c r="P39" s="45">
        <f>SUMIF($D$8:$D$55,$O39,$G$8:$G$55)+SUMIF($F$8:$F$55,$O39,$I$8:$I$55)</f>
        <v>3</v>
      </c>
      <c r="Q39" s="45">
        <f>SUMIF($D$8:$D$55,$O39,$I$8:$I$55)+SUMIF($F$8:$F$55,$O39,$G$8:$G$55)</f>
        <v>0</v>
      </c>
      <c r="R39" s="46">
        <f>P39-Q39</f>
        <v>3</v>
      </c>
      <c r="S39" s="47">
        <f>SUMIF($D$8:$D$55,$O39,$K$8:$K$55)+SUMIF($F$8:$F$55,$O39,$L$8:$L$55)</f>
        <v>7</v>
      </c>
      <c r="T39" s="94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0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0</v>
      </c>
      <c r="AG39" s="108">
        <f t="shared" si="0"/>
        <v>0</v>
      </c>
      <c r="AH39" s="108">
        <f t="shared" si="1"/>
        <v>0</v>
      </c>
      <c r="AI39" s="108">
        <f t="shared" si="10"/>
        <v>0</v>
      </c>
      <c r="AJ39" s="108">
        <f t="shared" si="2"/>
        <v>0</v>
      </c>
      <c r="AK39" s="108">
        <f t="shared" si="3"/>
        <v>0</v>
      </c>
      <c r="AL39" s="108">
        <f t="shared" si="4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12">
        <v>33</v>
      </c>
      <c r="C40" s="13">
        <v>41813</v>
      </c>
      <c r="D40" s="14" t="s">
        <v>16</v>
      </c>
      <c r="E40" s="15" t="s">
        <v>9</v>
      </c>
      <c r="F40" s="16" t="s">
        <v>13</v>
      </c>
      <c r="G40" s="85">
        <v>0</v>
      </c>
      <c r="H40" s="15" t="s">
        <v>9</v>
      </c>
      <c r="I40" s="90">
        <v>1</v>
      </c>
      <c r="J40" s="17">
        <f t="shared" si="5"/>
        <v>2</v>
      </c>
      <c r="K40" s="11">
        <f t="shared" si="6"/>
        <v>0</v>
      </c>
      <c r="L40" s="11">
        <f t="shared" si="7"/>
        <v>3</v>
      </c>
      <c r="O40" s="48" t="s">
        <v>30</v>
      </c>
      <c r="P40" s="49">
        <f>SUMIF($D$8:$D$55,$O40,$G$8:$G$55)+SUMIF($F$8:$F$55,$O40,$I$8:$I$55)</f>
        <v>1</v>
      </c>
      <c r="Q40" s="49">
        <f>SUMIF($D$8:$D$55,$O40,$I$8:$I$55)+SUMIF($F$8:$F$55,$O40,$G$8:$G$55)</f>
        <v>1</v>
      </c>
      <c r="R40" s="49">
        <f>P40-Q40</f>
        <v>0</v>
      </c>
      <c r="S40" s="50">
        <f>SUMIF($D$8:$D$55,$O40,$K$8:$K$55)+SUMIF($F$8:$F$55,$O40,$L$8:$L$55)</f>
        <v>4</v>
      </c>
      <c r="T40" s="95" t="s">
        <v>74</v>
      </c>
      <c r="U40" s="40"/>
      <c r="V40" s="40" t="str">
        <f>O40</f>
        <v>Bosnië H.</v>
      </c>
      <c r="W40" s="40" t="s">
        <v>73</v>
      </c>
      <c r="Y40" s="109">
        <f t="shared" si="8"/>
        <v>6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6</v>
      </c>
      <c r="AG40" s="108">
        <f t="shared" si="0"/>
        <v>1</v>
      </c>
      <c r="AH40" s="108">
        <f t="shared" si="1"/>
        <v>0</v>
      </c>
      <c r="AI40" s="108">
        <f t="shared" si="10"/>
        <v>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18">
        <v>34</v>
      </c>
      <c r="C41" s="19">
        <v>41813</v>
      </c>
      <c r="D41" s="32" t="s">
        <v>14</v>
      </c>
      <c r="E41" s="21" t="s">
        <v>9</v>
      </c>
      <c r="F41" s="30" t="s">
        <v>15</v>
      </c>
      <c r="G41" s="86">
        <v>1</v>
      </c>
      <c r="H41" s="21" t="s">
        <v>9</v>
      </c>
      <c r="I41" s="91">
        <v>0</v>
      </c>
      <c r="J41" s="23">
        <f t="shared" si="5"/>
        <v>1</v>
      </c>
      <c r="K41" s="11">
        <f t="shared" si="6"/>
        <v>3</v>
      </c>
      <c r="L41" s="11">
        <f t="shared" si="7"/>
        <v>0</v>
      </c>
      <c r="O41" s="48" t="s">
        <v>33</v>
      </c>
      <c r="P41" s="49">
        <f>SUMIF($D$8:$D$55,$O41,$G$8:$G$55)+SUMIF($F$8:$F$55,$O41,$I$8:$I$55)</f>
        <v>0</v>
      </c>
      <c r="Q41" s="49">
        <f>SUMIF($D$8:$D$55,$O41,$I$8:$I$55)+SUMIF($F$8:$F$55,$O41,$G$8:$G$55)</f>
        <v>3</v>
      </c>
      <c r="R41" s="49">
        <f>P41-Q41</f>
        <v>-3</v>
      </c>
      <c r="S41" s="50">
        <f>SUMIF($D$8:$D$55,$O41,$K$8:$K$55)+SUMIF($F$8:$F$55,$O41,$L$8:$L$55)</f>
        <v>1</v>
      </c>
      <c r="T41" s="95" t="s">
        <v>75</v>
      </c>
      <c r="U41" s="40"/>
      <c r="V41" s="40" t="str">
        <f>O41</f>
        <v>Iran</v>
      </c>
      <c r="W41" s="40" t="s">
        <v>74</v>
      </c>
      <c r="Y41" s="109">
        <f t="shared" si="8"/>
        <v>6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6</v>
      </c>
      <c r="AG41" s="108">
        <f t="shared" si="0"/>
        <v>0</v>
      </c>
      <c r="AH41" s="108">
        <f t="shared" si="1"/>
        <v>1</v>
      </c>
      <c r="AI41" s="108">
        <f t="shared" si="10"/>
        <v>0</v>
      </c>
      <c r="AJ41" s="108">
        <f t="shared" si="2"/>
        <v>5</v>
      </c>
      <c r="AK41" s="108">
        <f t="shared" si="3"/>
        <v>0</v>
      </c>
      <c r="AL41" s="108">
        <f t="shared" si="4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18">
        <v>35</v>
      </c>
      <c r="C42" s="19">
        <v>41813</v>
      </c>
      <c r="D42" s="20" t="s">
        <v>12</v>
      </c>
      <c r="E42" s="21" t="s">
        <v>9</v>
      </c>
      <c r="F42" s="30" t="s">
        <v>8</v>
      </c>
      <c r="G42" s="86">
        <v>0</v>
      </c>
      <c r="H42" s="21" t="s">
        <v>9</v>
      </c>
      <c r="I42" s="91">
        <v>1</v>
      </c>
      <c r="J42" s="23">
        <f t="shared" si="5"/>
        <v>2</v>
      </c>
      <c r="K42" s="11">
        <f t="shared" si="6"/>
        <v>0</v>
      </c>
      <c r="L42" s="11">
        <f t="shared" si="7"/>
        <v>3</v>
      </c>
      <c r="O42" s="51" t="s">
        <v>34</v>
      </c>
      <c r="P42" s="52">
        <f>SUMIF($D$8:$D$55,$O42,$G$8:$G$55)+SUMIF($F$8:$F$55,$O42,$I$8:$I$55)</f>
        <v>1</v>
      </c>
      <c r="Q42" s="52">
        <f>SUMIF($D$8:$D$55,$O42,$I$8:$I$55)+SUMIF($F$8:$F$55,$O42,$G$8:$G$55)</f>
        <v>1</v>
      </c>
      <c r="R42" s="52">
        <f>P42-Q42</f>
        <v>0</v>
      </c>
      <c r="S42" s="53">
        <f>SUMIF($D$8:$D$55,$O42,$K$8:$K$55)+SUMIF($F$8:$F$55,$O42,$L$8:$L$55)</f>
        <v>4</v>
      </c>
      <c r="T42" s="96" t="s">
        <v>73</v>
      </c>
      <c r="U42" s="40"/>
      <c r="V42" s="40" t="str">
        <f>O42</f>
        <v>Nigeria</v>
      </c>
      <c r="W42" s="40" t="s">
        <v>75</v>
      </c>
      <c r="Y42" s="109">
        <f t="shared" si="8"/>
        <v>5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5</v>
      </c>
      <c r="AG42" s="108">
        <f t="shared" si="0"/>
        <v>0</v>
      </c>
      <c r="AH42" s="108">
        <f t="shared" si="1"/>
        <v>0</v>
      </c>
      <c r="AI42" s="108">
        <f t="shared" si="10"/>
        <v>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24">
        <v>36</v>
      </c>
      <c r="C43" s="25">
        <v>41813</v>
      </c>
      <c r="D43" s="26" t="s">
        <v>10</v>
      </c>
      <c r="E43" s="27" t="s">
        <v>9</v>
      </c>
      <c r="F43" s="28" t="s">
        <v>11</v>
      </c>
      <c r="G43" s="87">
        <v>1</v>
      </c>
      <c r="H43" s="27" t="s">
        <v>9</v>
      </c>
      <c r="I43" s="92">
        <v>0</v>
      </c>
      <c r="J43" s="29">
        <f t="shared" si="5"/>
        <v>1</v>
      </c>
      <c r="K43" s="11">
        <f t="shared" si="6"/>
        <v>3</v>
      </c>
      <c r="L43" s="11">
        <f t="shared" si="7"/>
        <v>0</v>
      </c>
      <c r="O43" s="40"/>
      <c r="P43" s="41"/>
      <c r="Q43" s="41"/>
      <c r="R43" s="41"/>
      <c r="S43" s="41"/>
      <c r="T43" s="41"/>
      <c r="U43" s="40"/>
      <c r="V43" s="40"/>
      <c r="W43" s="40"/>
      <c r="Y43" s="109">
        <f t="shared" si="8"/>
        <v>1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1</v>
      </c>
      <c r="AG43" s="108">
        <f t="shared" si="0"/>
        <v>1</v>
      </c>
      <c r="AH43" s="108">
        <f t="shared" si="1"/>
        <v>0</v>
      </c>
      <c r="AI43" s="108">
        <f t="shared" si="10"/>
        <v>0</v>
      </c>
      <c r="AJ43" s="108">
        <f t="shared" si="2"/>
        <v>0</v>
      </c>
      <c r="AK43" s="108">
        <f t="shared" si="3"/>
        <v>0</v>
      </c>
      <c r="AL43" s="108">
        <f t="shared" si="4"/>
        <v>0</v>
      </c>
      <c r="AN43" s="40"/>
      <c r="AO43" s="41"/>
    </row>
    <row r="44" spans="2:41" ht="15.75" thickBot="1">
      <c r="B44" s="12">
        <v>37</v>
      </c>
      <c r="C44" s="13">
        <v>41814</v>
      </c>
      <c r="D44" s="14" t="s">
        <v>22</v>
      </c>
      <c r="E44" s="15" t="s">
        <v>9</v>
      </c>
      <c r="F44" s="16" t="s">
        <v>19</v>
      </c>
      <c r="G44" s="85">
        <v>1</v>
      </c>
      <c r="H44" s="15" t="s">
        <v>9</v>
      </c>
      <c r="I44" s="90">
        <v>0</v>
      </c>
      <c r="J44" s="17">
        <f t="shared" si="5"/>
        <v>1</v>
      </c>
      <c r="K44" s="11">
        <f t="shared" si="6"/>
        <v>3</v>
      </c>
      <c r="L44" s="11">
        <f t="shared" si="7"/>
        <v>0</v>
      </c>
      <c r="O44" s="72" t="s">
        <v>76</v>
      </c>
      <c r="P44" s="73" t="s">
        <v>42</v>
      </c>
      <c r="Q44" s="73" t="s">
        <v>43</v>
      </c>
      <c r="R44" s="74" t="s">
        <v>44</v>
      </c>
      <c r="S44" s="75" t="s">
        <v>45</v>
      </c>
      <c r="T44" s="76" t="s">
        <v>46</v>
      </c>
      <c r="U44" s="40"/>
      <c r="V44" s="40"/>
      <c r="W44" s="40"/>
      <c r="Y44" s="109">
        <f t="shared" si="8"/>
        <v>0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0</v>
      </c>
      <c r="AG44" s="108">
        <f t="shared" si="0"/>
        <v>0</v>
      </c>
      <c r="AH44" s="108">
        <f t="shared" si="1"/>
        <v>0</v>
      </c>
      <c r="AI44" s="108">
        <f t="shared" si="10"/>
        <v>0</v>
      </c>
      <c r="AJ44" s="108">
        <f t="shared" si="2"/>
        <v>0</v>
      </c>
      <c r="AK44" s="108">
        <f t="shared" si="3"/>
        <v>0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18">
        <v>38</v>
      </c>
      <c r="C45" s="19">
        <v>41814</v>
      </c>
      <c r="D45" s="20" t="s">
        <v>20</v>
      </c>
      <c r="E45" s="21" t="s">
        <v>9</v>
      </c>
      <c r="F45" s="30" t="s">
        <v>21</v>
      </c>
      <c r="G45" s="86">
        <v>0</v>
      </c>
      <c r="H45" s="21" t="s">
        <v>9</v>
      </c>
      <c r="I45" s="91">
        <v>1</v>
      </c>
      <c r="J45" s="23">
        <f t="shared" si="5"/>
        <v>2</v>
      </c>
      <c r="K45" s="11">
        <f t="shared" si="6"/>
        <v>0</v>
      </c>
      <c r="L45" s="11">
        <f t="shared" si="7"/>
        <v>3</v>
      </c>
      <c r="O45" s="44" t="s">
        <v>31</v>
      </c>
      <c r="P45" s="45">
        <f>SUMIF($D$8:$D$55,$O45,$G$8:$G$55)+SUMIF($F$8:$F$55,$O45,$I$8:$I$55)</f>
        <v>3</v>
      </c>
      <c r="Q45" s="45">
        <f>SUMIF($D$8:$D$55,$O45,$I$8:$I$55)+SUMIF($F$8:$F$55,$O45,$G$8:$G$55)</f>
        <v>1</v>
      </c>
      <c r="R45" s="46">
        <f>P45-Q45</f>
        <v>2</v>
      </c>
      <c r="S45" s="47">
        <f>SUMIF($D$8:$D$55,$O45,$K$8:$K$55)+SUMIF($F$8:$F$55,$O45,$L$8:$L$55)</f>
        <v>7</v>
      </c>
      <c r="T45" s="94" t="s">
        <v>78</v>
      </c>
      <c r="U45" s="40"/>
      <c r="V45" s="40" t="str">
        <f>O45</f>
        <v>Duitsland</v>
      </c>
      <c r="W45" s="40" t="s">
        <v>77</v>
      </c>
      <c r="Y45" s="109">
        <f t="shared" si="8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1</v>
      </c>
      <c r="AG45" s="108">
        <f t="shared" si="0"/>
        <v>1</v>
      </c>
      <c r="AH45" s="108">
        <f t="shared" si="1"/>
        <v>0</v>
      </c>
      <c r="AI45" s="108">
        <f t="shared" si="10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0</v>
      </c>
      <c r="AN45" s="116" t="s">
        <v>31</v>
      </c>
      <c r="AO45" s="115">
        <f>IF(Uitslag!T45="",0,IF(T45=Uitslag!T45,10,0))</f>
        <v>0</v>
      </c>
    </row>
    <row r="46" spans="2:41" ht="15.75" thickBot="1">
      <c r="B46" s="18">
        <v>39</v>
      </c>
      <c r="C46" s="19">
        <v>41814</v>
      </c>
      <c r="D46" s="20" t="s">
        <v>24</v>
      </c>
      <c r="E46" s="21" t="s">
        <v>9</v>
      </c>
      <c r="F46" s="30" t="s">
        <v>17</v>
      </c>
      <c r="G46" s="86">
        <v>1</v>
      </c>
      <c r="H46" s="21" t="s">
        <v>9</v>
      </c>
      <c r="I46" s="91">
        <v>0</v>
      </c>
      <c r="J46" s="23">
        <f t="shared" si="5"/>
        <v>1</v>
      </c>
      <c r="K46" s="11">
        <f t="shared" si="6"/>
        <v>3</v>
      </c>
      <c r="L46" s="11">
        <f t="shared" si="7"/>
        <v>0</v>
      </c>
      <c r="O46" s="48" t="s">
        <v>32</v>
      </c>
      <c r="P46" s="49">
        <f>SUMIF($D$8:$D$55,$O46,$G$8:$G$55)+SUMIF($F$8:$F$55,$O46,$I$8:$I$55)</f>
        <v>3</v>
      </c>
      <c r="Q46" s="49">
        <f>SUMIF($D$8:$D$55,$O46,$I$8:$I$55)+SUMIF($F$8:$F$55,$O46,$G$8:$G$55)</f>
        <v>1</v>
      </c>
      <c r="R46" s="49">
        <f>P46-Q46</f>
        <v>2</v>
      </c>
      <c r="S46" s="50">
        <f>SUMIF($D$8:$D$55,$O46,$K$8:$K$55)+SUMIF($F$8:$F$55,$O46,$L$8:$L$55)</f>
        <v>7</v>
      </c>
      <c r="T46" s="95" t="s">
        <v>77</v>
      </c>
      <c r="U46" s="40"/>
      <c r="V46" s="40" t="str">
        <f>O46</f>
        <v>Portugal</v>
      </c>
      <c r="W46" s="40" t="s">
        <v>78</v>
      </c>
      <c r="Y46" s="109">
        <f t="shared" si="8"/>
        <v>1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1</v>
      </c>
      <c r="AG46" s="108">
        <f t="shared" si="0"/>
        <v>1</v>
      </c>
      <c r="AH46" s="108">
        <f t="shared" si="1"/>
        <v>0</v>
      </c>
      <c r="AI46" s="108">
        <f t="shared" si="10"/>
        <v>0</v>
      </c>
      <c r="AJ46" s="108">
        <f t="shared" si="2"/>
        <v>0</v>
      </c>
      <c r="AK46" s="108">
        <f t="shared" si="3"/>
        <v>0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24">
        <v>40</v>
      </c>
      <c r="C47" s="25">
        <v>41814</v>
      </c>
      <c r="D47" s="26" t="s">
        <v>18</v>
      </c>
      <c r="E47" s="27" t="s">
        <v>9</v>
      </c>
      <c r="F47" s="28" t="s">
        <v>23</v>
      </c>
      <c r="G47" s="87">
        <v>0</v>
      </c>
      <c r="H47" s="27" t="s">
        <v>9</v>
      </c>
      <c r="I47" s="92">
        <v>1</v>
      </c>
      <c r="J47" s="29">
        <f t="shared" si="5"/>
        <v>2</v>
      </c>
      <c r="K47" s="11">
        <f t="shared" si="6"/>
        <v>0</v>
      </c>
      <c r="L47" s="11">
        <f t="shared" si="7"/>
        <v>3</v>
      </c>
      <c r="O47" s="48" t="s">
        <v>35</v>
      </c>
      <c r="P47" s="49">
        <f>SUMIF($D$8:$D$55,$O47,$G$8:$G$55)+SUMIF($F$8:$F$55,$O47,$I$8:$I$55)</f>
        <v>2</v>
      </c>
      <c r="Q47" s="49">
        <f>SUMIF($D$8:$D$55,$O47,$I$8:$I$55)+SUMIF($F$8:$F$55,$O47,$G$8:$G$55)</f>
        <v>4</v>
      </c>
      <c r="R47" s="49">
        <f>P47-Q47</f>
        <v>-2</v>
      </c>
      <c r="S47" s="50">
        <f>SUMIF($D$8:$D$55,$O47,$K$8:$K$55)+SUMIF($F$8:$F$55,$O47,$L$8:$L$55)</f>
        <v>1</v>
      </c>
      <c r="T47" s="95" t="s">
        <v>79</v>
      </c>
      <c r="U47" s="40"/>
      <c r="V47" s="40" t="str">
        <f>O47</f>
        <v>Ghana</v>
      </c>
      <c r="W47" s="40" t="s">
        <v>79</v>
      </c>
      <c r="Y47" s="109">
        <f t="shared" si="8"/>
        <v>1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1</v>
      </c>
      <c r="AG47" s="108">
        <f t="shared" si="0"/>
        <v>0</v>
      </c>
      <c r="AH47" s="108">
        <f t="shared" si="1"/>
        <v>1</v>
      </c>
      <c r="AI47" s="108">
        <f t="shared" si="10"/>
        <v>0</v>
      </c>
      <c r="AJ47" s="108">
        <f t="shared" si="2"/>
        <v>0</v>
      </c>
      <c r="AK47" s="108">
        <f t="shared" si="3"/>
        <v>0</v>
      </c>
      <c r="AL47" s="108">
        <f t="shared" si="4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12">
        <v>41</v>
      </c>
      <c r="C48" s="13">
        <v>41815</v>
      </c>
      <c r="D48" s="14" t="s">
        <v>34</v>
      </c>
      <c r="E48" s="15" t="s">
        <v>9</v>
      </c>
      <c r="F48" s="16" t="s">
        <v>29</v>
      </c>
      <c r="G48" s="85">
        <v>0</v>
      </c>
      <c r="H48" s="15" t="s">
        <v>9</v>
      </c>
      <c r="I48" s="90">
        <v>1</v>
      </c>
      <c r="J48" s="17">
        <f t="shared" si="5"/>
        <v>2</v>
      </c>
      <c r="K48" s="11">
        <f t="shared" si="6"/>
        <v>0</v>
      </c>
      <c r="L48" s="11">
        <f t="shared" si="7"/>
        <v>3</v>
      </c>
      <c r="O48" s="51" t="s">
        <v>36</v>
      </c>
      <c r="P48" s="52">
        <f>SUMIF($D$8:$D$55,$O48,$G$8:$G$55)+SUMIF($F$8:$F$55,$O48,$I$8:$I$55)</f>
        <v>0</v>
      </c>
      <c r="Q48" s="52">
        <f>SUMIF($D$8:$D$55,$O48,$I$8:$I$55)+SUMIF($F$8:$F$55,$O48,$G$8:$G$55)</f>
        <v>2</v>
      </c>
      <c r="R48" s="52">
        <f>P48-Q48</f>
        <v>-2</v>
      </c>
      <c r="S48" s="53">
        <f>SUMIF($D$8:$D$55,$O48,$K$8:$K$55)+SUMIF($F$8:$F$55,$O48,$L$8:$L$55)</f>
        <v>1</v>
      </c>
      <c r="T48" s="96" t="s">
        <v>80</v>
      </c>
      <c r="U48" s="40"/>
      <c r="V48" s="40" t="str">
        <f>O48</f>
        <v>Verenigde Staten</v>
      </c>
      <c r="W48" s="40" t="s">
        <v>80</v>
      </c>
      <c r="Y48" s="109">
        <f t="shared" si="8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5</v>
      </c>
      <c r="AG48" s="108">
        <f t="shared" si="0"/>
        <v>0</v>
      </c>
      <c r="AH48" s="108">
        <f t="shared" si="1"/>
        <v>0</v>
      </c>
      <c r="AI48" s="108">
        <f t="shared" si="10"/>
        <v>0</v>
      </c>
      <c r="AJ48" s="108">
        <f t="shared" si="2"/>
        <v>0</v>
      </c>
      <c r="AK48" s="108">
        <f t="shared" si="3"/>
        <v>5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18">
        <v>42</v>
      </c>
      <c r="C49" s="19">
        <v>41815</v>
      </c>
      <c r="D49" s="20" t="s">
        <v>30</v>
      </c>
      <c r="E49" s="21" t="s">
        <v>9</v>
      </c>
      <c r="F49" s="30" t="s">
        <v>33</v>
      </c>
      <c r="G49" s="86">
        <v>1</v>
      </c>
      <c r="H49" s="21" t="s">
        <v>9</v>
      </c>
      <c r="I49" s="91">
        <v>0</v>
      </c>
      <c r="J49" s="23">
        <f t="shared" si="5"/>
        <v>1</v>
      </c>
      <c r="K49" s="11">
        <f t="shared" si="6"/>
        <v>3</v>
      </c>
      <c r="L49" s="11">
        <f t="shared" si="7"/>
        <v>0</v>
      </c>
      <c r="O49" s="40"/>
      <c r="P49" s="41"/>
      <c r="Q49" s="41"/>
      <c r="R49" s="41"/>
      <c r="S49" s="41"/>
      <c r="T49" s="41"/>
      <c r="U49" s="40"/>
      <c r="V49" s="40"/>
      <c r="W49" s="40"/>
      <c r="Y49" s="109">
        <f t="shared" si="8"/>
        <v>5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5</v>
      </c>
      <c r="AG49" s="108">
        <f t="shared" si="0"/>
        <v>0</v>
      </c>
      <c r="AH49" s="108">
        <f t="shared" si="1"/>
        <v>0</v>
      </c>
      <c r="AI49" s="108">
        <f t="shared" si="10"/>
        <v>0</v>
      </c>
      <c r="AJ49" s="108">
        <f t="shared" si="2"/>
        <v>5</v>
      </c>
      <c r="AK49" s="108">
        <f t="shared" si="3"/>
        <v>0</v>
      </c>
      <c r="AL49" s="108">
        <f t="shared" si="4"/>
        <v>0</v>
      </c>
      <c r="AN49" s="40"/>
      <c r="AO49" s="41"/>
    </row>
    <row r="50" spans="2:54" ht="15.75" thickBot="1">
      <c r="B50" s="18">
        <v>43</v>
      </c>
      <c r="C50" s="19">
        <v>41815</v>
      </c>
      <c r="D50" s="20" t="s">
        <v>28</v>
      </c>
      <c r="E50" s="21" t="s">
        <v>9</v>
      </c>
      <c r="F50" s="30" t="s">
        <v>25</v>
      </c>
      <c r="G50" s="86">
        <v>0</v>
      </c>
      <c r="H50" s="21" t="s">
        <v>9</v>
      </c>
      <c r="I50" s="91">
        <v>1</v>
      </c>
      <c r="J50" s="23">
        <f t="shared" si="5"/>
        <v>2</v>
      </c>
      <c r="K50" s="11">
        <f t="shared" si="6"/>
        <v>0</v>
      </c>
      <c r="L50" s="11">
        <f t="shared" si="7"/>
        <v>3</v>
      </c>
      <c r="O50" s="72" t="s">
        <v>81</v>
      </c>
      <c r="P50" s="73" t="s">
        <v>42</v>
      </c>
      <c r="Q50" s="73" t="s">
        <v>43</v>
      </c>
      <c r="R50" s="74" t="s">
        <v>44</v>
      </c>
      <c r="S50" s="75" t="s">
        <v>45</v>
      </c>
      <c r="T50" s="76" t="s">
        <v>46</v>
      </c>
      <c r="U50" s="40"/>
      <c r="V50" s="40"/>
      <c r="W50" s="40"/>
      <c r="Y50" s="109">
        <f t="shared" si="8"/>
        <v>6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6</v>
      </c>
      <c r="AG50" s="108">
        <f t="shared" si="0"/>
        <v>1</v>
      </c>
      <c r="AH50" s="108">
        <f t="shared" si="1"/>
        <v>0</v>
      </c>
      <c r="AI50" s="108">
        <f t="shared" si="10"/>
        <v>0</v>
      </c>
      <c r="AJ50" s="108">
        <f t="shared" si="2"/>
        <v>0</v>
      </c>
      <c r="AK50" s="108">
        <f t="shared" si="3"/>
        <v>5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24">
        <v>44</v>
      </c>
      <c r="C51" s="25">
        <v>41815</v>
      </c>
      <c r="D51" s="26" t="s">
        <v>26</v>
      </c>
      <c r="E51" s="27" t="s">
        <v>9</v>
      </c>
      <c r="F51" s="28" t="s">
        <v>27</v>
      </c>
      <c r="G51" s="87">
        <v>0</v>
      </c>
      <c r="H51" s="27" t="s">
        <v>9</v>
      </c>
      <c r="I51" s="92">
        <v>1</v>
      </c>
      <c r="J51" s="29">
        <f t="shared" si="5"/>
        <v>2</v>
      </c>
      <c r="K51" s="11">
        <f t="shared" si="6"/>
        <v>0</v>
      </c>
      <c r="L51" s="11">
        <f>IF(I51="","",IF($G51&lt;$I51,3,IF($G51=$I51,1,0)))</f>
        <v>3</v>
      </c>
      <c r="O51" s="44" t="s">
        <v>37</v>
      </c>
      <c r="P51" s="45">
        <f>SUMIF($D$8:$D$55,$O51,$G$8:$G$55)+SUMIF($F$8:$F$55,$O51,$I$8:$I$55)</f>
        <v>1</v>
      </c>
      <c r="Q51" s="45">
        <f>SUMIF($D$8:$D$55,$O51,$I$8:$I$55)+SUMIF($F$8:$F$55,$O51,$G$8:$G$55)</f>
        <v>1</v>
      </c>
      <c r="R51" s="46">
        <f>P51-Q51</f>
        <v>0</v>
      </c>
      <c r="S51" s="47">
        <f>SUMIF($D$8:$D$55,$O51,$K$8:$K$55)+SUMIF($F$8:$F$55,$O51,$L$8:$L$55)</f>
        <v>4</v>
      </c>
      <c r="T51" s="94" t="s">
        <v>84</v>
      </c>
      <c r="U51" s="40"/>
      <c r="V51" s="40" t="str">
        <f>O51</f>
        <v>België</v>
      </c>
      <c r="W51" s="40" t="s">
        <v>82</v>
      </c>
      <c r="Y51" s="109">
        <f t="shared" si="8"/>
        <v>1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1</v>
      </c>
      <c r="AG51" s="108">
        <f t="shared" si="0"/>
        <v>1</v>
      </c>
      <c r="AH51" s="108">
        <f t="shared" si="1"/>
        <v>0</v>
      </c>
      <c r="AI51" s="108">
        <f t="shared" si="10"/>
        <v>0</v>
      </c>
      <c r="AJ51" s="108">
        <f t="shared" si="2"/>
        <v>0</v>
      </c>
      <c r="AK51" s="108">
        <f t="shared" si="3"/>
        <v>0</v>
      </c>
      <c r="AL51" s="108">
        <f t="shared" si="4"/>
        <v>0</v>
      </c>
      <c r="AM51" s="120">
        <f>AO51</f>
        <v>0</v>
      </c>
      <c r="AN51" s="116" t="s">
        <v>37</v>
      </c>
      <c r="AO51" s="115">
        <f>IF(Uitslag!T51="",0,IF(T51=Uitslag!T51,10,0))</f>
        <v>0</v>
      </c>
    </row>
    <row r="52" spans="2:54" ht="15.75" thickBot="1">
      <c r="B52" s="18">
        <v>45</v>
      </c>
      <c r="C52" s="19">
        <v>41816</v>
      </c>
      <c r="D52" s="20" t="s">
        <v>36</v>
      </c>
      <c r="E52" s="21" t="s">
        <v>9</v>
      </c>
      <c r="F52" s="30" t="s">
        <v>31</v>
      </c>
      <c r="G52" s="86">
        <v>0</v>
      </c>
      <c r="H52" s="21" t="s">
        <v>9</v>
      </c>
      <c r="I52" s="91">
        <v>1</v>
      </c>
      <c r="J52" s="17">
        <f t="shared" si="5"/>
        <v>2</v>
      </c>
      <c r="K52" s="11">
        <f t="shared" si="6"/>
        <v>0</v>
      </c>
      <c r="L52" s="11">
        <f t="shared" si="7"/>
        <v>3</v>
      </c>
      <c r="O52" s="48" t="s">
        <v>38</v>
      </c>
      <c r="P52" s="49">
        <f>SUMIF($D$8:$D$55,$O52,$G$8:$G$55)+SUMIF($F$8:$F$55,$O52,$I$8:$I$55)</f>
        <v>2</v>
      </c>
      <c r="Q52" s="49">
        <f>SUMIF($D$8:$D$55,$O52,$I$8:$I$55)+SUMIF($F$8:$F$55,$O52,$G$8:$G$55)</f>
        <v>0</v>
      </c>
      <c r="R52" s="49">
        <f>P52-Q52</f>
        <v>2</v>
      </c>
      <c r="S52" s="50">
        <f>SUMIF($D$8:$D$55,$O52,$K$8:$K$55)+SUMIF($F$8:$F$55,$O52,$L$8:$L$55)</f>
        <v>7</v>
      </c>
      <c r="T52" s="95" t="s">
        <v>82</v>
      </c>
      <c r="U52" s="40"/>
      <c r="V52" s="40" t="str">
        <f>O52</f>
        <v>Algerije</v>
      </c>
      <c r="W52" s="40" t="s">
        <v>83</v>
      </c>
      <c r="Y52" s="109">
        <f t="shared" si="8"/>
        <v>10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10</v>
      </c>
      <c r="AG52" s="108">
        <f t="shared" si="0"/>
        <v>1</v>
      </c>
      <c r="AH52" s="108">
        <f t="shared" si="1"/>
        <v>1</v>
      </c>
      <c r="AI52" s="108">
        <f t="shared" si="10"/>
        <v>10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18">
        <v>46</v>
      </c>
      <c r="C53" s="19">
        <v>41816</v>
      </c>
      <c r="D53" s="20" t="s">
        <v>32</v>
      </c>
      <c r="E53" s="21" t="s">
        <v>9</v>
      </c>
      <c r="F53" s="30" t="s">
        <v>35</v>
      </c>
      <c r="G53" s="86">
        <v>2</v>
      </c>
      <c r="H53" s="21" t="s">
        <v>9</v>
      </c>
      <c r="I53" s="91">
        <v>1</v>
      </c>
      <c r="J53" s="23">
        <f t="shared" si="5"/>
        <v>1</v>
      </c>
      <c r="K53" s="11">
        <f t="shared" si="6"/>
        <v>3</v>
      </c>
      <c r="L53" s="11">
        <f t="shared" si="7"/>
        <v>0</v>
      </c>
      <c r="O53" s="48" t="s">
        <v>39</v>
      </c>
      <c r="P53" s="49">
        <f>SUMIF($D$8:$D$55,$O53,$G$8:$G$55)+SUMIF($F$8:$F$55,$O53,$I$8:$I$55)</f>
        <v>0</v>
      </c>
      <c r="Q53" s="49">
        <f>SUMIF($D$8:$D$55,$O53,$I$8:$I$55)+SUMIF($F$8:$F$55,$O53,$G$8:$G$55)</f>
        <v>3</v>
      </c>
      <c r="R53" s="49">
        <f>P53-Q53</f>
        <v>-3</v>
      </c>
      <c r="S53" s="50">
        <f>SUMIF($D$8:$D$55,$O53,$K$8:$K$55)+SUMIF($F$8:$F$55,$O53,$L$8:$L$55)</f>
        <v>0</v>
      </c>
      <c r="T53" s="95" t="s">
        <v>85</v>
      </c>
      <c r="U53" s="40"/>
      <c r="V53" s="40" t="str">
        <f>O53</f>
        <v>Rusland</v>
      </c>
      <c r="W53" s="40" t="s">
        <v>84</v>
      </c>
      <c r="Y53" s="109">
        <f t="shared" si="8"/>
        <v>10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10</v>
      </c>
      <c r="AG53" s="108">
        <f t="shared" si="0"/>
        <v>1</v>
      </c>
      <c r="AH53" s="108">
        <f t="shared" si="1"/>
        <v>1</v>
      </c>
      <c r="AI53" s="108">
        <f t="shared" si="10"/>
        <v>10</v>
      </c>
      <c r="AJ53" s="108">
        <f t="shared" si="2"/>
        <v>5</v>
      </c>
      <c r="AK53" s="108">
        <f t="shared" si="3"/>
        <v>0</v>
      </c>
      <c r="AL53" s="108">
        <f t="shared" si="4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18">
        <v>47</v>
      </c>
      <c r="C54" s="19">
        <v>41816</v>
      </c>
      <c r="D54" s="20" t="s">
        <v>40</v>
      </c>
      <c r="E54" s="21" t="s">
        <v>9</v>
      </c>
      <c r="F54" s="30" t="s">
        <v>37</v>
      </c>
      <c r="G54" s="86">
        <v>1</v>
      </c>
      <c r="H54" s="21" t="s">
        <v>9</v>
      </c>
      <c r="I54" s="91">
        <v>0</v>
      </c>
      <c r="J54" s="23">
        <f t="shared" si="5"/>
        <v>1</v>
      </c>
      <c r="K54" s="11">
        <f t="shared" si="6"/>
        <v>3</v>
      </c>
      <c r="L54" s="11">
        <f t="shared" si="7"/>
        <v>0</v>
      </c>
      <c r="O54" s="51" t="s">
        <v>40</v>
      </c>
      <c r="P54" s="52">
        <f>SUMIF($D$8:$D$55,$O54,$G$8:$G$55)+SUMIF($F$8:$F$55,$O54,$I$8:$I$55)</f>
        <v>2</v>
      </c>
      <c r="Q54" s="52">
        <f>SUMIF($D$8:$D$55,$O54,$I$8:$I$55)+SUMIF($F$8:$F$55,$O54,$G$8:$G$55)</f>
        <v>1</v>
      </c>
      <c r="R54" s="52">
        <f>P54-Q54</f>
        <v>1</v>
      </c>
      <c r="S54" s="53">
        <f>SUMIF($D$8:$D$55,$O54,$K$8:$K$55)+SUMIF($F$8:$F$55,$O54,$L$8:$L$55)</f>
        <v>6</v>
      </c>
      <c r="T54" s="96" t="s">
        <v>83</v>
      </c>
      <c r="U54" s="40"/>
      <c r="V54" s="40" t="str">
        <f>O54</f>
        <v>Zuid Korea</v>
      </c>
      <c r="W54" s="40" t="s">
        <v>85</v>
      </c>
      <c r="Y54" s="109">
        <f t="shared" si="8"/>
        <v>0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0</v>
      </c>
      <c r="AG54" s="108">
        <f t="shared" si="0"/>
        <v>0</v>
      </c>
      <c r="AH54" s="108">
        <f t="shared" si="1"/>
        <v>0</v>
      </c>
      <c r="AI54" s="108">
        <f t="shared" si="10"/>
        <v>0</v>
      </c>
      <c r="AJ54" s="108">
        <f t="shared" si="2"/>
        <v>0</v>
      </c>
      <c r="AK54" s="108">
        <f t="shared" si="3"/>
        <v>0</v>
      </c>
      <c r="AL54" s="108">
        <f t="shared" si="4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3">
        <v>48</v>
      </c>
      <c r="C55" s="34">
        <v>41816</v>
      </c>
      <c r="D55" s="35" t="s">
        <v>38</v>
      </c>
      <c r="E55" s="36" t="s">
        <v>9</v>
      </c>
      <c r="F55" s="37" t="s">
        <v>39</v>
      </c>
      <c r="G55" s="88">
        <v>1</v>
      </c>
      <c r="H55" s="36" t="s">
        <v>9</v>
      </c>
      <c r="I55" s="93">
        <v>0</v>
      </c>
      <c r="J55" s="38">
        <f t="shared" si="5"/>
        <v>1</v>
      </c>
      <c r="K55" s="11">
        <f t="shared" si="6"/>
        <v>3</v>
      </c>
      <c r="L55" s="11">
        <f t="shared" si="7"/>
        <v>0</v>
      </c>
      <c r="O55" s="40"/>
      <c r="P55" s="41"/>
      <c r="Q55" s="41"/>
      <c r="R55" s="41"/>
      <c r="S55" s="41"/>
      <c r="T55" s="41"/>
      <c r="U55" s="40"/>
      <c r="V55" s="40"/>
      <c r="W55" s="40"/>
      <c r="Y55" s="109">
        <f t="shared" si="8"/>
        <v>1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</v>
      </c>
      <c r="AG55" s="108">
        <f t="shared" si="0"/>
        <v>1</v>
      </c>
      <c r="AH55" s="108">
        <f t="shared" si="1"/>
        <v>0</v>
      </c>
      <c r="AI55" s="108">
        <f t="shared" si="10"/>
        <v>0</v>
      </c>
      <c r="AJ55" s="108">
        <f t="shared" si="2"/>
        <v>0</v>
      </c>
      <c r="AK55" s="108">
        <f t="shared" si="3"/>
        <v>0</v>
      </c>
      <c r="AL55" s="108">
        <f t="shared" si="4"/>
        <v>0</v>
      </c>
    </row>
    <row r="56" spans="2:54" ht="15.75" thickBot="1">
      <c r="B56" s="1"/>
      <c r="C56" s="39"/>
      <c r="D56" s="40"/>
      <c r="E56" s="1"/>
      <c r="F56" s="40"/>
      <c r="G56" s="1"/>
      <c r="H56" s="1"/>
      <c r="I56" s="1"/>
      <c r="J56" s="1"/>
      <c r="K56" s="1"/>
      <c r="L56" s="1"/>
      <c r="M56" s="1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219"/>
      <c r="K57" s="1"/>
      <c r="L57" s="1"/>
      <c r="M57" s="1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78" t="s">
        <v>1</v>
      </c>
      <c r="C58" s="79" t="s">
        <v>2</v>
      </c>
      <c r="D58" s="187" t="s">
        <v>3</v>
      </c>
      <c r="E58" s="81"/>
      <c r="F58" s="217" t="s">
        <v>4</v>
      </c>
      <c r="G58" s="867" t="s">
        <v>5</v>
      </c>
      <c r="H58" s="868"/>
      <c r="I58" s="869"/>
      <c r="J58" s="83" t="s">
        <v>6</v>
      </c>
      <c r="K58" s="1"/>
      <c r="L58" s="1"/>
      <c r="M58" s="1"/>
      <c r="O58" s="135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12">
        <v>49</v>
      </c>
      <c r="C59" s="189">
        <v>41818</v>
      </c>
      <c r="D59" s="153" t="str">
        <f>IF(ISERROR(Z59),K59,Z59)</f>
        <v>Brazilië</v>
      </c>
      <c r="E59" s="15" t="s">
        <v>9</v>
      </c>
      <c r="F59" s="56" t="str">
        <f>IF(ISERROR(AA59),L59,AA59)</f>
        <v>Nederland</v>
      </c>
      <c r="G59" s="85">
        <v>0</v>
      </c>
      <c r="H59" s="15" t="s">
        <v>9</v>
      </c>
      <c r="I59" s="97">
        <v>0</v>
      </c>
      <c r="J59" s="98">
        <v>1</v>
      </c>
      <c r="K59" s="57" t="s">
        <v>48</v>
      </c>
      <c r="L59" s="57" t="s">
        <v>53</v>
      </c>
      <c r="M59" s="57">
        <v>1</v>
      </c>
      <c r="O59" s="135">
        <v>2</v>
      </c>
      <c r="P59" s="877" t="s">
        <v>211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3">AF59</f>
        <v>5</v>
      </c>
      <c r="Z59" t="str">
        <f t="shared" ref="Z59:AA65" si="14">IF(K59=""," ",VLOOKUP(K59,$T$9:$V$54,3,FALSE))</f>
        <v>Brazilië</v>
      </c>
      <c r="AA59" t="str">
        <f t="shared" si="14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5</v>
      </c>
      <c r="AG59" s="108">
        <f t="shared" ref="AG59:AG66" si="16">IF(AC59="",0,(IF(G59=AC59,1,0)))</f>
        <v>0</v>
      </c>
      <c r="AH59" s="108">
        <f t="shared" ref="AH59:AH66" si="17">IF(AD59="",0,(IF(I59=AD59,1,0)))</f>
        <v>0</v>
      </c>
      <c r="AI59" s="108">
        <f t="shared" ref="AI59:AI66" si="18">IF(AND(AG59=1,AH59=1),10,0)</f>
        <v>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5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24">
        <v>50</v>
      </c>
      <c r="C60" s="190">
        <v>41818</v>
      </c>
      <c r="D60" s="154" t="str">
        <f t="shared" ref="D60:D66" si="23">IF(ISERROR(Z60),K60,Z60)</f>
        <v>Japan</v>
      </c>
      <c r="E60" s="27" t="s">
        <v>9</v>
      </c>
      <c r="F60" s="59" t="str">
        <f t="shared" ref="F60:F66" si="24">IF(ISERROR(AA60),L60,AA60)</f>
        <v>Engeland</v>
      </c>
      <c r="G60" s="87">
        <v>0</v>
      </c>
      <c r="H60" s="27" t="s">
        <v>9</v>
      </c>
      <c r="I60" s="99">
        <v>0</v>
      </c>
      <c r="J60" s="100">
        <v>2</v>
      </c>
      <c r="K60" s="57" t="s">
        <v>57</v>
      </c>
      <c r="L60" s="57" t="s">
        <v>63</v>
      </c>
      <c r="M60" s="57">
        <v>2</v>
      </c>
      <c r="O60" s="135">
        <v>3</v>
      </c>
      <c r="P60" s="877" t="s">
        <v>209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3"/>
        <v>1</v>
      </c>
      <c r="Z60" t="str">
        <f t="shared" si="14"/>
        <v>Japan</v>
      </c>
      <c r="AA60" t="str">
        <f t="shared" si="14"/>
        <v>Engeland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1</v>
      </c>
      <c r="AG60" s="108">
        <f t="shared" si="16"/>
        <v>0</v>
      </c>
      <c r="AH60" s="108">
        <f t="shared" si="17"/>
        <v>1</v>
      </c>
      <c r="AI60" s="108">
        <f t="shared" si="18"/>
        <v>0</v>
      </c>
      <c r="AJ60" s="108">
        <f t="shared" si="19"/>
        <v>0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2"/>
        <v>3</v>
      </c>
    </row>
    <row r="61" spans="2:54">
      <c r="B61" s="12">
        <v>51</v>
      </c>
      <c r="C61" s="189">
        <v>41819</v>
      </c>
      <c r="D61" s="188" t="str">
        <f t="shared" si="23"/>
        <v>Spanje</v>
      </c>
      <c r="E61" s="15" t="s">
        <v>9</v>
      </c>
      <c r="F61" s="56" t="str">
        <f t="shared" si="24"/>
        <v>Kroatië</v>
      </c>
      <c r="G61" s="85">
        <v>0</v>
      </c>
      <c r="H61" s="15" t="s">
        <v>9</v>
      </c>
      <c r="I61" s="97">
        <v>0</v>
      </c>
      <c r="J61" s="98">
        <v>1</v>
      </c>
      <c r="K61" s="57" t="s">
        <v>52</v>
      </c>
      <c r="L61" s="57" t="s">
        <v>49</v>
      </c>
      <c r="M61" s="57"/>
      <c r="O61" s="135">
        <v>4</v>
      </c>
      <c r="P61" s="877" t="s">
        <v>212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3"/>
        <v>0</v>
      </c>
      <c r="Z61" t="str">
        <f t="shared" si="14"/>
        <v>Spanje</v>
      </c>
      <c r="AA61" t="str">
        <f t="shared" si="14"/>
        <v>Kroatië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0</v>
      </c>
      <c r="AG61" s="108">
        <f t="shared" si="16"/>
        <v>0</v>
      </c>
      <c r="AH61" s="108">
        <f t="shared" si="17"/>
        <v>0</v>
      </c>
      <c r="AI61" s="108">
        <f t="shared" si="18"/>
        <v>0</v>
      </c>
      <c r="AJ61" s="108">
        <f t="shared" si="19"/>
        <v>0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3</v>
      </c>
      <c r="BB61" s="139">
        <f t="shared" si="22"/>
        <v>3</v>
      </c>
    </row>
    <row r="62" spans="2:54">
      <c r="B62" s="24">
        <v>52</v>
      </c>
      <c r="C62" s="190">
        <v>41819</v>
      </c>
      <c r="D62" s="188" t="str">
        <f t="shared" si="23"/>
        <v>Italië</v>
      </c>
      <c r="E62" s="27" t="s">
        <v>9</v>
      </c>
      <c r="F62" s="59" t="str">
        <f t="shared" si="24"/>
        <v>Colombia</v>
      </c>
      <c r="G62" s="87">
        <v>0</v>
      </c>
      <c r="H62" s="27" t="s">
        <v>9</v>
      </c>
      <c r="I62" s="99">
        <v>0</v>
      </c>
      <c r="J62" s="100">
        <v>1</v>
      </c>
      <c r="K62" s="57" t="s">
        <v>62</v>
      </c>
      <c r="L62" s="57" t="s">
        <v>58</v>
      </c>
      <c r="M62" s="57"/>
      <c r="O62" s="135">
        <v>5</v>
      </c>
      <c r="P62" s="877" t="s">
        <v>225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3"/>
        <v>5</v>
      </c>
      <c r="Z62" t="str">
        <f t="shared" si="14"/>
        <v>Italië</v>
      </c>
      <c r="AA62" t="str">
        <f t="shared" si="14"/>
        <v>Colombia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5</v>
      </c>
      <c r="AG62" s="108">
        <f t="shared" si="16"/>
        <v>0</v>
      </c>
      <c r="AH62" s="108">
        <f t="shared" si="17"/>
        <v>0</v>
      </c>
      <c r="AI62" s="108">
        <f t="shared" si="18"/>
        <v>0</v>
      </c>
      <c r="AJ62" s="108">
        <f t="shared" si="19"/>
        <v>0</v>
      </c>
      <c r="AK62" s="108">
        <f t="shared" si="20"/>
        <v>0</v>
      </c>
      <c r="AL62" s="108">
        <f t="shared" si="21"/>
        <v>5</v>
      </c>
      <c r="AZ62" s="138" t="str">
        <f>Uitslag!P62</f>
        <v>Bruno Martins Indi (v)</v>
      </c>
      <c r="BA62" s="140">
        <f t="shared" si="12"/>
        <v>3</v>
      </c>
      <c r="BB62" s="139">
        <f t="shared" si="22"/>
        <v>3</v>
      </c>
    </row>
    <row r="63" spans="2:54">
      <c r="B63" s="12">
        <v>53</v>
      </c>
      <c r="C63" s="189">
        <v>41820</v>
      </c>
      <c r="D63" s="153" t="str">
        <f t="shared" si="23"/>
        <v>Frankrijk</v>
      </c>
      <c r="E63" s="15" t="s">
        <v>9</v>
      </c>
      <c r="F63" s="56" t="str">
        <f t="shared" si="24"/>
        <v>Nigeria</v>
      </c>
      <c r="G63" s="85">
        <v>0</v>
      </c>
      <c r="H63" s="15" t="s">
        <v>9</v>
      </c>
      <c r="I63" s="97">
        <v>0</v>
      </c>
      <c r="J63" s="98">
        <v>1</v>
      </c>
      <c r="K63" s="57" t="s">
        <v>67</v>
      </c>
      <c r="L63" s="57" t="s">
        <v>73</v>
      </c>
      <c r="M63" s="57"/>
      <c r="O63" s="135">
        <v>6</v>
      </c>
      <c r="P63" s="877" t="s">
        <v>221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3"/>
        <v>1</v>
      </c>
      <c r="Z63" t="str">
        <f t="shared" si="14"/>
        <v>Frankrijk</v>
      </c>
      <c r="AA63" t="str">
        <f t="shared" si="14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1</v>
      </c>
      <c r="AG63" s="108">
        <f t="shared" si="16"/>
        <v>0</v>
      </c>
      <c r="AH63" s="108">
        <f t="shared" si="17"/>
        <v>1</v>
      </c>
      <c r="AI63" s="108">
        <f t="shared" si="18"/>
        <v>0</v>
      </c>
      <c r="AJ63" s="108">
        <f t="shared" si="19"/>
        <v>0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0</v>
      </c>
      <c r="BB63" s="139">
        <f t="shared" si="22"/>
        <v>0</v>
      </c>
    </row>
    <row r="64" spans="2:54">
      <c r="B64" s="24">
        <v>54</v>
      </c>
      <c r="C64" s="190">
        <v>41820</v>
      </c>
      <c r="D64" s="154" t="str">
        <f t="shared" si="23"/>
        <v>Portugal</v>
      </c>
      <c r="E64" s="27" t="s">
        <v>9</v>
      </c>
      <c r="F64" s="59" t="str">
        <f t="shared" si="24"/>
        <v>Zuid Korea</v>
      </c>
      <c r="G64" s="87">
        <v>0</v>
      </c>
      <c r="H64" s="27" t="s">
        <v>9</v>
      </c>
      <c r="I64" s="99">
        <v>0</v>
      </c>
      <c r="J64" s="100">
        <v>1</v>
      </c>
      <c r="K64" s="57" t="s">
        <v>77</v>
      </c>
      <c r="L64" s="57" t="s">
        <v>83</v>
      </c>
      <c r="M64" s="57"/>
      <c r="O64" s="135">
        <v>7</v>
      </c>
      <c r="P64" s="877" t="s">
        <v>214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3"/>
        <v>10</v>
      </c>
      <c r="Z64" t="str">
        <f t="shared" si="14"/>
        <v>Portugal</v>
      </c>
      <c r="AA64" t="str">
        <f t="shared" si="14"/>
        <v>Zuid Korea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10</v>
      </c>
      <c r="AG64" s="108">
        <f t="shared" si="16"/>
        <v>1</v>
      </c>
      <c r="AH64" s="108">
        <f t="shared" si="17"/>
        <v>1</v>
      </c>
      <c r="AI64" s="108">
        <f t="shared" si="18"/>
        <v>10</v>
      </c>
      <c r="AJ64" s="108">
        <f t="shared" si="19"/>
        <v>0</v>
      </c>
      <c r="AK64" s="108">
        <f t="shared" si="20"/>
        <v>0</v>
      </c>
      <c r="AL64" s="108">
        <f t="shared" si="21"/>
        <v>5</v>
      </c>
      <c r="AZ64" s="138" t="str">
        <f>Uitslag!P64</f>
        <v>Wesley Sneijder (m)</v>
      </c>
      <c r="BA64" s="140">
        <f t="shared" si="12"/>
        <v>3</v>
      </c>
      <c r="BB64" s="139">
        <f t="shared" si="22"/>
        <v>3</v>
      </c>
    </row>
    <row r="65" spans="2:54">
      <c r="B65" s="18">
        <v>55</v>
      </c>
      <c r="C65" s="191">
        <v>41821</v>
      </c>
      <c r="D65" s="153" t="str">
        <f t="shared" si="23"/>
        <v>Argentinië</v>
      </c>
      <c r="E65" s="21" t="s">
        <v>9</v>
      </c>
      <c r="F65" s="60" t="str">
        <f t="shared" si="24"/>
        <v>Ecuador</v>
      </c>
      <c r="G65" s="86">
        <v>0</v>
      </c>
      <c r="H65" s="21" t="s">
        <v>9</v>
      </c>
      <c r="I65" s="101">
        <v>0</v>
      </c>
      <c r="J65" s="102">
        <v>1</v>
      </c>
      <c r="K65" s="57" t="s">
        <v>72</v>
      </c>
      <c r="L65" s="57" t="s">
        <v>68</v>
      </c>
      <c r="M65" s="57"/>
      <c r="O65" s="135">
        <v>8</v>
      </c>
      <c r="P65" s="877" t="s">
        <v>213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3"/>
        <v>10</v>
      </c>
      <c r="Z65" t="str">
        <f t="shared" si="14"/>
        <v>Argentinië</v>
      </c>
      <c r="AA65" t="str">
        <f t="shared" si="14"/>
        <v>Ecuador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10</v>
      </c>
      <c r="AG65" s="108">
        <f t="shared" si="16"/>
        <v>1</v>
      </c>
      <c r="AH65" s="108">
        <f t="shared" si="17"/>
        <v>1</v>
      </c>
      <c r="AI65" s="108">
        <f t="shared" si="18"/>
        <v>10</v>
      </c>
      <c r="AJ65" s="108">
        <f t="shared" si="19"/>
        <v>0</v>
      </c>
      <c r="AK65" s="108">
        <f t="shared" si="20"/>
        <v>0</v>
      </c>
      <c r="AL65" s="108">
        <f t="shared" si="21"/>
        <v>5</v>
      </c>
      <c r="AZ65" s="138" t="str">
        <f>Uitslag!P65</f>
        <v>Nigel de Jong (m)</v>
      </c>
      <c r="BA65" s="140">
        <f t="shared" si="12"/>
        <v>3</v>
      </c>
      <c r="BB65" s="139">
        <f t="shared" si="22"/>
        <v>3</v>
      </c>
    </row>
    <row r="66" spans="2:54" ht="15.75" thickBot="1">
      <c r="B66" s="33">
        <v>56</v>
      </c>
      <c r="C66" s="186">
        <v>41821</v>
      </c>
      <c r="D66" s="155" t="str">
        <f t="shared" si="23"/>
        <v>Algerije</v>
      </c>
      <c r="E66" s="36" t="s">
        <v>9</v>
      </c>
      <c r="F66" s="62" t="str">
        <f t="shared" si="24"/>
        <v>Duitsland</v>
      </c>
      <c r="G66" s="88">
        <v>0</v>
      </c>
      <c r="H66" s="36" t="s">
        <v>9</v>
      </c>
      <c r="I66" s="103">
        <v>0</v>
      </c>
      <c r="J66" s="104">
        <v>2</v>
      </c>
      <c r="K66" s="57" t="s">
        <v>82</v>
      </c>
      <c r="L66" s="57" t="s">
        <v>78</v>
      </c>
      <c r="M66" s="57"/>
      <c r="O66" s="135">
        <v>9</v>
      </c>
      <c r="P66" s="877" t="s">
        <v>240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3"/>
        <v>10</v>
      </c>
      <c r="Z66" t="str">
        <f>IF(K66=""," ",VLOOKUP(K66,$T$9:$V$54,3,FALSE))</f>
        <v>Algerije</v>
      </c>
      <c r="AA66" t="str">
        <f>IF(L66=""," ",VLOOKUP(L66,$T$9:$V$54,3,FALSE))</f>
        <v>Duitsland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10</v>
      </c>
      <c r="AG66" s="108">
        <f t="shared" si="16"/>
        <v>1</v>
      </c>
      <c r="AH66" s="108">
        <f t="shared" si="17"/>
        <v>1</v>
      </c>
      <c r="AI66" s="108">
        <f t="shared" si="18"/>
        <v>10</v>
      </c>
      <c r="AJ66" s="108">
        <f t="shared" si="19"/>
        <v>0</v>
      </c>
      <c r="AK66" s="108">
        <f t="shared" si="20"/>
        <v>0</v>
      </c>
      <c r="AL66" s="108">
        <f t="shared" si="21"/>
        <v>5</v>
      </c>
      <c r="AZ66" s="138" t="str">
        <f>Uitslag!P66</f>
        <v>Jonathan de Guzman (m)</v>
      </c>
      <c r="BA66" s="140">
        <f t="shared" si="12"/>
        <v>0</v>
      </c>
      <c r="BB66" s="139">
        <f t="shared" si="22"/>
        <v>0</v>
      </c>
    </row>
    <row r="67" spans="2:54" ht="15.75" thickBot="1">
      <c r="B67" s="1"/>
      <c r="C67" s="39"/>
      <c r="D67" s="40"/>
      <c r="E67" s="1"/>
      <c r="F67" s="40"/>
      <c r="G67" s="1"/>
      <c r="H67" s="1"/>
      <c r="I67" s="1"/>
      <c r="J67" s="1"/>
      <c r="K67" s="1"/>
      <c r="L67" s="1"/>
      <c r="M67" s="1"/>
      <c r="O67" s="135">
        <v>10</v>
      </c>
      <c r="P67" s="877" t="s">
        <v>216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2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219"/>
      <c r="K68" s="1"/>
      <c r="L68" s="1"/>
      <c r="M68" s="1"/>
      <c r="O68" s="135">
        <v>11</v>
      </c>
      <c r="P68" s="877" t="s">
        <v>215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2"/>
        <v>3</v>
      </c>
    </row>
    <row r="69" spans="2:54">
      <c r="B69" s="78" t="s">
        <v>1</v>
      </c>
      <c r="C69" s="79" t="s">
        <v>2</v>
      </c>
      <c r="D69" s="216" t="s">
        <v>3</v>
      </c>
      <c r="E69" s="81"/>
      <c r="F69" s="217" t="s">
        <v>4</v>
      </c>
      <c r="G69" s="867" t="s">
        <v>5</v>
      </c>
      <c r="H69" s="868"/>
      <c r="I69" s="869"/>
      <c r="J69" s="83" t="s">
        <v>6</v>
      </c>
      <c r="K69" s="1"/>
      <c r="L69" s="1"/>
      <c r="M69" s="1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27</v>
      </c>
      <c r="BB69" s="139" t="str">
        <f>IF(AND(BA69&lt;&gt;"",BA69=33),15,"nvt")</f>
        <v>nvt</v>
      </c>
    </row>
    <row r="70" spans="2:54">
      <c r="B70" s="12">
        <v>57</v>
      </c>
      <c r="C70" s="13">
        <v>41824</v>
      </c>
      <c r="D70" s="55" t="str">
        <f>IF(J63="","Winnaar 53",IF(J63=1,D63,F63))</f>
        <v>Frankrijk</v>
      </c>
      <c r="E70" s="15" t="s">
        <v>9</v>
      </c>
      <c r="F70" s="56" t="str">
        <f>IF(J64="","Winnaar 54",IF(J64=1,D64,F64))</f>
        <v>Portugal</v>
      </c>
      <c r="G70" s="85">
        <v>0</v>
      </c>
      <c r="H70" s="15" t="s">
        <v>9</v>
      </c>
      <c r="I70" s="97">
        <v>0</v>
      </c>
      <c r="J70" s="98">
        <v>2</v>
      </c>
      <c r="K70" s="1"/>
      <c r="L70" s="1"/>
      <c r="M70" s="1"/>
      <c r="V70" t="s">
        <v>133</v>
      </c>
      <c r="W70" t="s">
        <v>126</v>
      </c>
      <c r="X70" t="str">
        <f t="shared" si="11"/>
        <v>Karim Rekik (v)</v>
      </c>
      <c r="Y70" s="109">
        <f>AF70</f>
        <v>1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1</v>
      </c>
      <c r="AG70" s="108">
        <f>IF(AC70="",0,(IF(G70=AC70,1,0)))</f>
        <v>1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0</v>
      </c>
      <c r="AL70" s="108">
        <f>IF(AND(G70=I70,AC70=AD70),5,0)</f>
        <v>0</v>
      </c>
    </row>
    <row r="71" spans="2:54">
      <c r="B71" s="24">
        <v>58</v>
      </c>
      <c r="C71" s="25">
        <v>41824</v>
      </c>
      <c r="D71" s="58" t="str">
        <f>IF(J59="","Winnaar 49",IF(J59=1,D59,F59))</f>
        <v>Brazilië</v>
      </c>
      <c r="E71" s="27" t="s">
        <v>9</v>
      </c>
      <c r="F71" s="59" t="str">
        <f>IF(J60="","Winnaar 50",IF(J60=1,D60,F60))</f>
        <v>Engeland</v>
      </c>
      <c r="G71" s="87">
        <v>0</v>
      </c>
      <c r="H71" s="27" t="s">
        <v>9</v>
      </c>
      <c r="I71" s="99">
        <v>0</v>
      </c>
      <c r="J71" s="100">
        <v>1</v>
      </c>
      <c r="K71" s="1"/>
      <c r="L71" s="1"/>
      <c r="M71" s="1"/>
      <c r="V71" t="s">
        <v>133</v>
      </c>
      <c r="W71" t="s">
        <v>194</v>
      </c>
      <c r="X71" t="str">
        <f t="shared" si="11"/>
        <v>Ron Vlaar (v)</v>
      </c>
      <c r="Y71" s="109">
        <f>AF71</f>
        <v>0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0</v>
      </c>
      <c r="AG71" s="108">
        <f>IF(AC71="",0,(IF(G71=AC71,1,0)))</f>
        <v>0</v>
      </c>
      <c r="AH71" s="108">
        <f>IF(AD71="",0,(IF(I71=AD71,1,0)))</f>
        <v>0</v>
      </c>
      <c r="AI71" s="108">
        <f>IF(AND(AG71=1,AH71=1),10,0)</f>
        <v>0</v>
      </c>
      <c r="AJ71" s="108">
        <f>IF(AND(G71&gt;I71,AC71&gt;AD71),5,0)</f>
        <v>0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12">
        <v>59</v>
      </c>
      <c r="C72" s="13">
        <v>41825</v>
      </c>
      <c r="D72" s="55" t="str">
        <f>IF(J65="","Winnaar 55",IF(J65=1,D65,F65))</f>
        <v>Argentinië</v>
      </c>
      <c r="E72" s="15" t="s">
        <v>9</v>
      </c>
      <c r="F72" s="56" t="str">
        <f>IF(J66="","Winnaar 56",IF(J66=1,D66,F66))</f>
        <v>Duitsland</v>
      </c>
      <c r="G72" s="85">
        <v>0</v>
      </c>
      <c r="H72" s="15" t="s">
        <v>9</v>
      </c>
      <c r="I72" s="97">
        <v>0</v>
      </c>
      <c r="J72" s="98">
        <v>2</v>
      </c>
      <c r="K72" s="1"/>
      <c r="L72" s="1"/>
      <c r="M72" s="1"/>
      <c r="V72" t="s">
        <v>133</v>
      </c>
      <c r="W72" t="s">
        <v>195</v>
      </c>
      <c r="X72" t="str">
        <f t="shared" si="11"/>
        <v>John Heitinga (v)</v>
      </c>
      <c r="Y72" s="109">
        <f>AF72</f>
        <v>1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1</v>
      </c>
      <c r="AG72" s="108">
        <f>IF(AC72="",0,(IF(G72=AC72,1,0)))</f>
        <v>0</v>
      </c>
      <c r="AH72" s="108">
        <f>IF(AD72="",0,(IF(I72=AD72,1,0)))</f>
        <v>1</v>
      </c>
      <c r="AI72" s="108">
        <f>IF(AND(AG72=1,AH72=1),10,0)</f>
        <v>0</v>
      </c>
      <c r="AJ72" s="108">
        <f>IF(AND(G72&gt;I72,AC72&gt;AD72),5,0)</f>
        <v>0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3">
        <v>60</v>
      </c>
      <c r="C73" s="34">
        <v>41825</v>
      </c>
      <c r="D73" s="61" t="str">
        <f>IF(J61="","Winnaar 51",IF(J61=1,D61,F61))</f>
        <v>Spanje</v>
      </c>
      <c r="E73" s="36" t="s">
        <v>9</v>
      </c>
      <c r="F73" s="62" t="str">
        <f>IF(J62="","Winnaar 52",IF(J62=1,D62,F62))</f>
        <v>Italië</v>
      </c>
      <c r="G73" s="88">
        <v>0</v>
      </c>
      <c r="H73" s="36" t="s">
        <v>9</v>
      </c>
      <c r="I73" s="103">
        <v>0</v>
      </c>
      <c r="J73" s="104">
        <v>1</v>
      </c>
      <c r="K73" s="1"/>
      <c r="L73" s="1"/>
      <c r="M73" s="1"/>
      <c r="V73" t="s">
        <v>133</v>
      </c>
      <c r="W73" t="s">
        <v>196</v>
      </c>
      <c r="X73" t="str">
        <f t="shared" si="11"/>
        <v>Urby Emanuelson (v)</v>
      </c>
      <c r="Y73" s="109">
        <f>AF73</f>
        <v>10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10</v>
      </c>
      <c r="AG73" s="108">
        <f>IF(AC73="",0,(IF(G73=AC73,1,0)))</f>
        <v>1</v>
      </c>
      <c r="AH73" s="108">
        <f>IF(AD73="",0,(IF(I73=AD73,1,0)))</f>
        <v>1</v>
      </c>
      <c r="AI73" s="108">
        <f>IF(AND(AG73=1,AH73=1),10,0)</f>
        <v>10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5</v>
      </c>
    </row>
    <row r="74" spans="2:54" ht="15.75" thickBot="1">
      <c r="B74" s="1"/>
      <c r="C74" s="39"/>
      <c r="D74" s="40"/>
      <c r="E74" s="1"/>
      <c r="F74" s="40"/>
      <c r="G74" s="1"/>
      <c r="H74" s="1"/>
      <c r="I74" s="1"/>
      <c r="J74" s="1"/>
      <c r="K74" s="1"/>
      <c r="L74" s="1"/>
      <c r="M74" s="1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219"/>
      <c r="K75" s="1"/>
      <c r="L75" s="1"/>
      <c r="M75" s="1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78" t="s">
        <v>1</v>
      </c>
      <c r="C76" s="79" t="s">
        <v>2</v>
      </c>
      <c r="D76" s="216" t="s">
        <v>3</v>
      </c>
      <c r="E76" s="81"/>
      <c r="F76" s="217" t="s">
        <v>4</v>
      </c>
      <c r="G76" s="867" t="s">
        <v>5</v>
      </c>
      <c r="H76" s="868"/>
      <c r="I76" s="869"/>
      <c r="J76" s="83" t="s">
        <v>6</v>
      </c>
      <c r="K76" s="1"/>
      <c r="L76" s="1"/>
      <c r="M76" s="1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12">
        <v>61</v>
      </c>
      <c r="C77" s="13">
        <v>41828</v>
      </c>
      <c r="D77" s="55" t="str">
        <f>IF(J70="","Winnaar 57",IF(J70=1,D70,F70))</f>
        <v>Portugal</v>
      </c>
      <c r="E77" s="15" t="s">
        <v>9</v>
      </c>
      <c r="F77" s="56" t="str">
        <f>IF(J71="","Winnaar 58",IF(J71=1,D71,F71))</f>
        <v>Brazilië</v>
      </c>
      <c r="G77" s="85">
        <v>0</v>
      </c>
      <c r="H77" s="15" t="s">
        <v>9</v>
      </c>
      <c r="I77" s="97">
        <v>0</v>
      </c>
      <c r="J77" s="98">
        <v>1</v>
      </c>
      <c r="K77" s="1"/>
      <c r="L77" s="1"/>
      <c r="M77" s="1"/>
      <c r="V77" t="s">
        <v>134</v>
      </c>
      <c r="W77" t="s">
        <v>203</v>
      </c>
      <c r="X77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3">
        <v>62</v>
      </c>
      <c r="C78" s="34">
        <v>41829</v>
      </c>
      <c r="D78" s="61" t="str">
        <f>IF(J72="","Winnaar 59",IF(J72=1,D72,F72))</f>
        <v>Duitsland</v>
      </c>
      <c r="E78" s="36" t="s">
        <v>9</v>
      </c>
      <c r="F78" s="62" t="str">
        <f>IF(J73="","Winnaar 60",IF(J73=1,D73,F73))</f>
        <v>Spanje</v>
      </c>
      <c r="G78" s="88">
        <v>0</v>
      </c>
      <c r="H78" s="36" t="s">
        <v>9</v>
      </c>
      <c r="I78" s="103">
        <v>0</v>
      </c>
      <c r="J78" s="104">
        <v>1</v>
      </c>
      <c r="K78" s="1"/>
      <c r="L78" s="1"/>
      <c r="M78" s="1"/>
      <c r="V78" t="s">
        <v>134</v>
      </c>
      <c r="W78" t="s">
        <v>199</v>
      </c>
      <c r="X78" t="str">
        <f t="shared" si="11"/>
        <v>Leroy Fer (m)</v>
      </c>
      <c r="Y78" s="109">
        <f>AF78</f>
        <v>10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10</v>
      </c>
      <c r="AG78" s="108">
        <f>IF(AC78="",0,(IF(G78=AC78,1,0)))</f>
        <v>1</v>
      </c>
      <c r="AH78" s="108">
        <f>IF(AD78="",0,(IF(I78=AD78,1,0)))</f>
        <v>1</v>
      </c>
      <c r="AI78" s="108">
        <f>IF(AND(AG78=1,AH78=1),10,0)</f>
        <v>10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5</v>
      </c>
    </row>
    <row r="79" spans="2:54" ht="15.75" thickBot="1">
      <c r="B79" s="1"/>
      <c r="C79" s="39"/>
      <c r="D79" s="40"/>
      <c r="E79" s="1"/>
      <c r="F79" s="40"/>
      <c r="G79" s="1"/>
      <c r="H79" s="1"/>
      <c r="I79" s="1"/>
      <c r="J79" s="1"/>
      <c r="K79" s="1"/>
      <c r="L79" s="1"/>
      <c r="M79" s="1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219"/>
      <c r="K80" s="1"/>
      <c r="L80" s="1"/>
      <c r="M80" s="1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78" t="s">
        <v>1</v>
      </c>
      <c r="C81" s="79" t="s">
        <v>2</v>
      </c>
      <c r="D81" s="216" t="s">
        <v>3</v>
      </c>
      <c r="E81" s="81"/>
      <c r="F81" s="217" t="s">
        <v>4</v>
      </c>
      <c r="G81" s="867" t="s">
        <v>5</v>
      </c>
      <c r="H81" s="868"/>
      <c r="I81" s="869"/>
      <c r="J81" s="83" t="s">
        <v>6</v>
      </c>
      <c r="K81" s="1"/>
      <c r="L81" s="1"/>
      <c r="M81" s="1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2">
        <v>63</v>
      </c>
      <c r="C82" s="63">
        <v>41832</v>
      </c>
      <c r="D82" s="64" t="str">
        <f>IF(J77="","Verliezer 61",IF(J77=1,F77,D77))</f>
        <v>Brazilië</v>
      </c>
      <c r="E82" s="3" t="s">
        <v>9</v>
      </c>
      <c r="F82" s="65" t="str">
        <f>IF(J78="","Verliezer 62",IF(J78=1,F78,D78))</f>
        <v>Spanje</v>
      </c>
      <c r="G82" s="105">
        <v>0</v>
      </c>
      <c r="H82" s="3" t="s">
        <v>9</v>
      </c>
      <c r="I82" s="106">
        <v>0</v>
      </c>
      <c r="J82" s="107">
        <v>1</v>
      </c>
      <c r="K82" s="1"/>
      <c r="L82" s="1"/>
      <c r="M82" s="1"/>
      <c r="V82" t="s">
        <v>134</v>
      </c>
      <c r="W82" t="s">
        <v>125</v>
      </c>
      <c r="X82" t="str">
        <f t="shared" si="11"/>
        <v>Georginio Wijnaldum (m)</v>
      </c>
      <c r="Y82" s="109">
        <f>AF82</f>
        <v>1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1</v>
      </c>
      <c r="AG82" s="108">
        <f>IF(AC82="",0,(IF(G82=AC82,1,0)))</f>
        <v>1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1"/>
      <c r="C83" s="39"/>
      <c r="D83" s="40"/>
      <c r="E83" s="1"/>
      <c r="F83" s="40"/>
      <c r="G83" s="1"/>
      <c r="H83" s="1"/>
      <c r="I83" s="1"/>
      <c r="J83" s="1"/>
      <c r="K83" s="1"/>
      <c r="L83" s="1"/>
      <c r="M83" s="1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219"/>
      <c r="K84" s="1"/>
      <c r="L84" s="1"/>
      <c r="M84" s="1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78" t="s">
        <v>1</v>
      </c>
      <c r="C85" s="79" t="s">
        <v>2</v>
      </c>
      <c r="D85" s="216" t="s">
        <v>3</v>
      </c>
      <c r="E85" s="81"/>
      <c r="F85" s="217" t="s">
        <v>4</v>
      </c>
      <c r="G85" s="867" t="s">
        <v>5</v>
      </c>
      <c r="H85" s="868"/>
      <c r="I85" s="869"/>
      <c r="J85" s="83" t="s">
        <v>6</v>
      </c>
      <c r="K85" s="1"/>
      <c r="L85" s="1"/>
      <c r="M85" s="1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2">
        <v>64</v>
      </c>
      <c r="C86" s="63">
        <v>41833</v>
      </c>
      <c r="D86" s="64" t="str">
        <f>IF(J77="","Winnaar 61",IF(J77=1,D77,F77))</f>
        <v>Portugal</v>
      </c>
      <c r="E86" s="3" t="s">
        <v>9</v>
      </c>
      <c r="F86" s="65" t="str">
        <f>IF(J78="","Winnaar 62",IF(J78=1,D78,F78))</f>
        <v>Duitsland</v>
      </c>
      <c r="G86" s="105">
        <v>0</v>
      </c>
      <c r="H86" s="3" t="s">
        <v>9</v>
      </c>
      <c r="I86" s="106">
        <v>0</v>
      </c>
      <c r="J86" s="107">
        <v>2</v>
      </c>
      <c r="K86" s="1"/>
      <c r="L86" s="1"/>
      <c r="M86" s="1"/>
      <c r="V86" t="s">
        <v>134</v>
      </c>
      <c r="W86" t="s">
        <v>139</v>
      </c>
      <c r="X86" t="str">
        <f t="shared" si="11"/>
        <v>Nigel de Jong (m)</v>
      </c>
      <c r="Y86" s="109">
        <f>AF86</f>
        <v>10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10</v>
      </c>
      <c r="AG86" s="108">
        <f>IF(AC86="",0,(IF(G86=AC86,1,0)))</f>
        <v>1</v>
      </c>
      <c r="AH86" s="108">
        <f>IF(AD86="",0,(IF(I86=AD86,1,0)))</f>
        <v>1</v>
      </c>
      <c r="AI86" s="108">
        <f>IF(AND(AG86=1,AH86=1),10,0)</f>
        <v>10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5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Duitsland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50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50</v>
      </c>
      <c r="AV89">
        <f>IF(AR89=0,0,IF(E89=AR89,50,0))</f>
        <v>50</v>
      </c>
      <c r="AW89">
        <f>IF(E89=0,0,IF(OR(E89=AR90),15,0))</f>
        <v>0</v>
      </c>
      <c r="AX89">
        <f>IF(E89=0,0,IF(OR(E89=AR91,E89=AR92),5,0))</f>
        <v>0</v>
      </c>
    </row>
    <row r="90" spans="2:50">
      <c r="C90" s="870">
        <v>2</v>
      </c>
      <c r="D90" s="871"/>
      <c r="E90" s="872" t="str">
        <f>IF(J86=2,D86,IF(J86=1,F86,"Wie wordt 2de?"))</f>
        <v>Portugal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0</v>
      </c>
      <c r="AV90">
        <f>IF(AR90=0,0,IF(AR90=E90,25,0))</f>
        <v>0</v>
      </c>
      <c r="AW90">
        <f>IF(E90=0,0,IF(OR(E90=AR89,),15,0))</f>
        <v>0</v>
      </c>
      <c r="AX90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Brazilië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10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10</v>
      </c>
      <c r="AV91">
        <f>IF(AR91=0,0,IF(AR91=E91,15,0))</f>
        <v>0</v>
      </c>
      <c r="AW91">
        <f>IF(E91=0,0,IF(OR(E91=AR92),10,0))</f>
        <v>10</v>
      </c>
      <c r="AX91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Spanje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0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0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60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conditionalFormatting sqref="AO9:AO12 AO15:AO18 AO21:AO24 AO27:AO30 AO33:AO36 AO39:AO42 AO45:AO48 AO51:AO54">
    <cfRule type="cellIs" dxfId="191" priority="3" operator="equal">
      <formula>10</formula>
    </cfRule>
  </conditionalFormatting>
  <conditionalFormatting sqref="P58:T58">
    <cfRule type="duplicateValues" dxfId="190" priority="2"/>
  </conditionalFormatting>
  <conditionalFormatting sqref="P58:T68">
    <cfRule type="duplicateValues" dxfId="189" priority="1"/>
  </conditionalFormatting>
  <dataValidations count="10">
    <dataValidation type="list" allowBlank="1" showInputMessage="1" showErrorMessage="1" sqref="T51:T54">
      <formula1>$W$51:$W$54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P58:P68">
      <formula1>$X$58:$X$98</formula1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B1:BB98"/>
  <sheetViews>
    <sheetView topLeftCell="A43" zoomScale="70" zoomScaleNormal="70" workbookViewId="0">
      <selection activeCell="P58" sqref="P58:T68"/>
    </sheetView>
  </sheetViews>
  <sheetFormatPr defaultRowHeight="15" outlineLevelCol="2"/>
  <cols>
    <col min="1" max="1" width="3.42578125" customWidth="1"/>
    <col min="2" max="2" width="3.5703125" bestFit="1" customWidth="1"/>
    <col min="3" max="3" width="11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329</v>
      </c>
      <c r="E3" s="145"/>
      <c r="F3" s="145"/>
      <c r="N3" t="str">
        <f>D3</f>
        <v>Kim B. (introducee Esther vd L.)</v>
      </c>
      <c r="O3" s="144">
        <f>SUM(P3:S3)</f>
        <v>325</v>
      </c>
      <c r="P3" s="109">
        <f>SUM(Y8:Y86)</f>
        <v>143</v>
      </c>
      <c r="Q3" s="109">
        <f>SUM(AM4:AM55)</f>
        <v>120</v>
      </c>
      <c r="R3" s="109">
        <f>SUM(AP89:AP92)</f>
        <v>35</v>
      </c>
      <c r="S3" s="109">
        <f>SUM(BB58:BB69)</f>
        <v>27</v>
      </c>
      <c r="T3" s="109">
        <f>COUNTIF(AF8:AF86,10)</f>
        <v>3</v>
      </c>
      <c r="U3" s="109" t="str">
        <f>E89</f>
        <v>Brazilië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1"/>
      <c r="L6" s="1"/>
      <c r="O6" s="40"/>
      <c r="P6" s="41"/>
      <c r="Q6" s="41"/>
      <c r="R6" s="41"/>
      <c r="S6" s="41"/>
      <c r="T6" s="41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66" t="s">
        <v>1</v>
      </c>
      <c r="C7" s="67" t="s">
        <v>2</v>
      </c>
      <c r="D7" s="220" t="s">
        <v>3</v>
      </c>
      <c r="E7" s="69"/>
      <c r="F7" s="221" t="s">
        <v>4</v>
      </c>
      <c r="G7" s="880" t="s">
        <v>5</v>
      </c>
      <c r="H7" s="881"/>
      <c r="I7" s="882"/>
      <c r="J7" s="71" t="s">
        <v>6</v>
      </c>
      <c r="K7" s="4" t="s">
        <v>7</v>
      </c>
      <c r="L7" s="4" t="s">
        <v>7</v>
      </c>
      <c r="O7" s="1"/>
      <c r="P7" s="41"/>
      <c r="Q7" s="41"/>
      <c r="R7" s="41"/>
      <c r="S7" s="41"/>
      <c r="T7" s="41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5">
        <v>1</v>
      </c>
      <c r="C8" s="6">
        <v>41802</v>
      </c>
      <c r="D8" s="7" t="s">
        <v>8</v>
      </c>
      <c r="E8" s="8" t="s">
        <v>9</v>
      </c>
      <c r="F8" s="9" t="s">
        <v>10</v>
      </c>
      <c r="G8" s="84">
        <v>2</v>
      </c>
      <c r="H8" s="8" t="s">
        <v>9</v>
      </c>
      <c r="I8" s="218">
        <v>0</v>
      </c>
      <c r="J8" s="10">
        <f>IF(I8="","",IF(G8&gt;I8,1,IF(G8&lt;I8,2,3)))</f>
        <v>1</v>
      </c>
      <c r="K8" s="11">
        <f>IF(I8="","",IF($G8&gt;$I8,3,IF($G8=$I8,1,0)))</f>
        <v>3</v>
      </c>
      <c r="L8" s="11">
        <f>IF(I8="","",IF($G8&lt;$I8,3,IF($G8=$I8,1,0)))</f>
        <v>0</v>
      </c>
      <c r="O8" s="72" t="s">
        <v>41</v>
      </c>
      <c r="P8" s="73" t="s">
        <v>42</v>
      </c>
      <c r="Q8" s="73" t="s">
        <v>43</v>
      </c>
      <c r="R8" s="74" t="s">
        <v>44</v>
      </c>
      <c r="S8" s="75" t="s">
        <v>45</v>
      </c>
      <c r="T8" s="76" t="s">
        <v>46</v>
      </c>
      <c r="U8" s="40"/>
      <c r="V8" s="40"/>
      <c r="W8" s="40"/>
      <c r="Y8" s="109">
        <f>AF8</f>
        <v>5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5</v>
      </c>
      <c r="AG8" s="108">
        <f t="shared" ref="AG8:AG55" si="0">IF(AC8="",0,(IF(G8=AC8,1,0)))</f>
        <v>0</v>
      </c>
      <c r="AH8" s="108">
        <f t="shared" ref="AH8:AH55" si="1">IF(AD8="",0,(IF(I8=AD8,1,0)))</f>
        <v>0</v>
      </c>
      <c r="AI8" s="108">
        <f>IF(AND(AG8=1,AH8=1),10,0)</f>
        <v>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12">
        <v>2</v>
      </c>
      <c r="C9" s="13">
        <v>41803</v>
      </c>
      <c r="D9" s="14" t="s">
        <v>11</v>
      </c>
      <c r="E9" s="15" t="s">
        <v>9</v>
      </c>
      <c r="F9" s="16" t="s">
        <v>12</v>
      </c>
      <c r="G9" s="85">
        <v>0</v>
      </c>
      <c r="H9" s="15" t="s">
        <v>9</v>
      </c>
      <c r="I9" s="90">
        <v>1</v>
      </c>
      <c r="J9" s="17">
        <f t="shared" ref="J9:J55" si="5">IF(I9="","",IF(G9&gt;I9,1,IF(G9&lt;I9,2,3)))</f>
        <v>2</v>
      </c>
      <c r="K9" s="11">
        <f t="shared" ref="K9:K55" si="6">IF(I9="","",IF($G9&gt;$I9,3,IF($G9=$I9,1,0)))</f>
        <v>0</v>
      </c>
      <c r="L9" s="11">
        <f t="shared" ref="L9:L55" si="7">IF(I9="","",IF($G9&lt;$I9,3,IF($G9=$I9,1,0)))</f>
        <v>3</v>
      </c>
      <c r="O9" s="44" t="s">
        <v>8</v>
      </c>
      <c r="P9" s="45">
        <f>SUMIF($D$8:$D$55,$O9,$G$8:$G$55)+SUMIF($F$8:$F$55,$O9,$I$8:$I$55)</f>
        <v>6</v>
      </c>
      <c r="Q9" s="45">
        <f>SUMIF($D$8:$D$55,$O9,$I$8:$I$55)+SUMIF($F$8:$F$55,$O9,$G$8:$G$55)</f>
        <v>0</v>
      </c>
      <c r="R9" s="46">
        <f>P9-Q9</f>
        <v>6</v>
      </c>
      <c r="S9" s="47">
        <f>SUMIF($D$8:$D$55,$O9,$K$8:$K$55)+SUMIF($F$8:$F$55,$O9,$L$8:$L$55)</f>
        <v>9</v>
      </c>
      <c r="T9" s="94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0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0</v>
      </c>
      <c r="AG9" s="108">
        <f t="shared" si="0"/>
        <v>0</v>
      </c>
      <c r="AH9" s="108">
        <f t="shared" si="1"/>
        <v>0</v>
      </c>
      <c r="AI9" s="108">
        <f t="shared" ref="AI9:AI55" si="10">IF(AND(AG9=1,AH9=1),10,0)</f>
        <v>0</v>
      </c>
      <c r="AJ9" s="108">
        <f t="shared" si="2"/>
        <v>0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18">
        <v>3</v>
      </c>
      <c r="C10" s="19">
        <v>41803</v>
      </c>
      <c r="D10" s="20" t="s">
        <v>13</v>
      </c>
      <c r="E10" s="21" t="s">
        <v>9</v>
      </c>
      <c r="F10" s="22" t="s">
        <v>14</v>
      </c>
      <c r="G10" s="86">
        <v>0</v>
      </c>
      <c r="H10" s="21" t="s">
        <v>9</v>
      </c>
      <c r="I10" s="91">
        <v>0</v>
      </c>
      <c r="J10" s="23">
        <f t="shared" si="5"/>
        <v>3</v>
      </c>
      <c r="K10" s="11">
        <f t="shared" si="6"/>
        <v>1</v>
      </c>
      <c r="L10" s="11">
        <f t="shared" si="7"/>
        <v>1</v>
      </c>
      <c r="O10" s="48" t="s">
        <v>10</v>
      </c>
      <c r="P10" s="49">
        <f>SUMIF($D$8:$D$55,$O10,$G$8:$G$55)+SUMIF($F$8:$F$55,$O10,$I$8:$I$55)</f>
        <v>2</v>
      </c>
      <c r="Q10" s="49">
        <f>SUMIF($D$8:$D$55,$O10,$I$8:$I$55)+SUMIF($F$8:$F$55,$O10,$G$8:$G$55)</f>
        <v>4</v>
      </c>
      <c r="R10" s="49">
        <f>P10-Q10</f>
        <v>-2</v>
      </c>
      <c r="S10" s="50">
        <f>SUMIF($D$8:$D$55,$O10,$K$8:$K$55)+SUMIF($F$8:$F$55,$O10,$L$8:$L$55)</f>
        <v>2</v>
      </c>
      <c r="T10" s="95" t="s">
        <v>49</v>
      </c>
      <c r="U10" s="40"/>
      <c r="V10" s="40" t="str">
        <f>O10</f>
        <v>Kroatië</v>
      </c>
      <c r="W10" s="40" t="s">
        <v>49</v>
      </c>
      <c r="Y10" s="109">
        <f t="shared" si="8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0</v>
      </c>
      <c r="AG10" s="108">
        <f t="shared" si="0"/>
        <v>0</v>
      </c>
      <c r="AH10" s="108">
        <f t="shared" si="1"/>
        <v>0</v>
      </c>
      <c r="AI10" s="108">
        <f t="shared" si="10"/>
        <v>0</v>
      </c>
      <c r="AJ10" s="108">
        <f t="shared" si="2"/>
        <v>0</v>
      </c>
      <c r="AK10" s="108">
        <f t="shared" si="3"/>
        <v>0</v>
      </c>
      <c r="AL10" s="108">
        <f t="shared" si="4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24">
        <v>4</v>
      </c>
      <c r="C11" s="25">
        <v>41803</v>
      </c>
      <c r="D11" s="26" t="s">
        <v>15</v>
      </c>
      <c r="E11" s="27" t="s">
        <v>9</v>
      </c>
      <c r="F11" s="28" t="s">
        <v>16</v>
      </c>
      <c r="G11" s="87">
        <v>0</v>
      </c>
      <c r="H11" s="27" t="s">
        <v>9</v>
      </c>
      <c r="I11" s="92">
        <v>2</v>
      </c>
      <c r="J11" s="29">
        <f t="shared" si="5"/>
        <v>2</v>
      </c>
      <c r="K11" s="11">
        <f t="shared" si="6"/>
        <v>0</v>
      </c>
      <c r="L11" s="11">
        <f t="shared" si="7"/>
        <v>3</v>
      </c>
      <c r="O11" s="48" t="s">
        <v>11</v>
      </c>
      <c r="P11" s="49">
        <f>SUMIF($D$8:$D$55,$O11,$G$8:$G$55)+SUMIF($F$8:$F$55,$O11,$I$8:$I$55)</f>
        <v>1</v>
      </c>
      <c r="Q11" s="49">
        <f>SUMIF($D$8:$D$55,$O11,$I$8:$I$55)+SUMIF($F$8:$F$55,$O11,$G$8:$G$55)</f>
        <v>4</v>
      </c>
      <c r="R11" s="49">
        <f>P11-Q11</f>
        <v>-3</v>
      </c>
      <c r="S11" s="50">
        <f>SUMIF($D$8:$D$55,$O11,$K$8:$K$55)+SUMIF($F$8:$F$55,$O11,$L$8:$L$55)</f>
        <v>1</v>
      </c>
      <c r="T11" s="95" t="s">
        <v>50</v>
      </c>
      <c r="U11" s="40"/>
      <c r="V11" s="40" t="str">
        <f>O11</f>
        <v>Mexico</v>
      </c>
      <c r="W11" s="40" t="s">
        <v>47</v>
      </c>
      <c r="Y11" s="109">
        <f t="shared" si="8"/>
        <v>0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0</v>
      </c>
      <c r="AG11" s="108">
        <f t="shared" si="0"/>
        <v>0</v>
      </c>
      <c r="AH11" s="108">
        <f t="shared" si="1"/>
        <v>0</v>
      </c>
      <c r="AI11" s="108">
        <f t="shared" si="10"/>
        <v>0</v>
      </c>
      <c r="AJ11" s="108">
        <f t="shared" si="2"/>
        <v>0</v>
      </c>
      <c r="AK11" s="108">
        <f t="shared" si="3"/>
        <v>0</v>
      </c>
      <c r="AL11" s="108">
        <f t="shared" si="4"/>
        <v>0</v>
      </c>
      <c r="AM11" s="120">
        <f>AO11</f>
        <v>0</v>
      </c>
      <c r="AN11" s="117" t="s">
        <v>11</v>
      </c>
      <c r="AO11" s="115">
        <f>IF(Uitslag!T11="",0,IF(T11=Uitslag!T11,10,0))</f>
        <v>0</v>
      </c>
    </row>
    <row r="12" spans="2:54" ht="15.75" thickBot="1">
      <c r="B12" s="12">
        <v>5</v>
      </c>
      <c r="C12" s="13">
        <v>41804</v>
      </c>
      <c r="D12" s="14" t="s">
        <v>17</v>
      </c>
      <c r="E12" s="15" t="s">
        <v>9</v>
      </c>
      <c r="F12" s="16" t="s">
        <v>18</v>
      </c>
      <c r="G12" s="85">
        <v>1</v>
      </c>
      <c r="H12" s="15" t="s">
        <v>9</v>
      </c>
      <c r="I12" s="90">
        <v>1</v>
      </c>
      <c r="J12" s="17">
        <f t="shared" si="5"/>
        <v>3</v>
      </c>
      <c r="K12" s="11">
        <f t="shared" si="6"/>
        <v>1</v>
      </c>
      <c r="L12" s="11">
        <f t="shared" si="7"/>
        <v>1</v>
      </c>
      <c r="O12" s="51" t="s">
        <v>12</v>
      </c>
      <c r="P12" s="52">
        <f>SUMIF($D$8:$D$55,$O12,$G$8:$G$55)+SUMIF($F$8:$F$55,$O12,$I$8:$I$55)</f>
        <v>2</v>
      </c>
      <c r="Q12" s="52">
        <f>SUMIF($D$8:$D$55,$O12,$I$8:$I$55)+SUMIF($F$8:$F$55,$O12,$G$8:$G$55)</f>
        <v>3</v>
      </c>
      <c r="R12" s="52">
        <f>P12-Q12</f>
        <v>-1</v>
      </c>
      <c r="S12" s="53">
        <f>SUMIF($D$8:$D$55,$O12,$K$8:$K$55)+SUMIF($F$8:$F$55,$O12,$L$8:$L$55)</f>
        <v>4</v>
      </c>
      <c r="T12" s="96" t="s">
        <v>47</v>
      </c>
      <c r="U12" s="40"/>
      <c r="V12" s="40" t="str">
        <f>O12</f>
        <v>Kameroen</v>
      </c>
      <c r="W12" s="40" t="s">
        <v>50</v>
      </c>
      <c r="Y12" s="109">
        <f t="shared" si="8"/>
        <v>0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0</v>
      </c>
      <c r="AG12" s="108">
        <f t="shared" si="0"/>
        <v>0</v>
      </c>
      <c r="AH12" s="108">
        <f t="shared" si="1"/>
        <v>0</v>
      </c>
      <c r="AI12" s="108">
        <f t="shared" si="10"/>
        <v>0</v>
      </c>
      <c r="AJ12" s="108">
        <f t="shared" si="2"/>
        <v>0</v>
      </c>
      <c r="AK12" s="108">
        <f t="shared" si="3"/>
        <v>0</v>
      </c>
      <c r="AL12" s="108">
        <f t="shared" si="4"/>
        <v>0</v>
      </c>
      <c r="AM12" s="120">
        <f>AO12</f>
        <v>0</v>
      </c>
      <c r="AN12" s="118" t="s">
        <v>12</v>
      </c>
      <c r="AO12" s="115">
        <f>IF(Uitslag!T12="",0,IF(T12=Uitslag!T12,10,0))</f>
        <v>0</v>
      </c>
    </row>
    <row r="13" spans="2:54" ht="15.75" thickBot="1">
      <c r="B13" s="18">
        <v>6</v>
      </c>
      <c r="C13" s="19">
        <v>41804</v>
      </c>
      <c r="D13" s="20" t="s">
        <v>19</v>
      </c>
      <c r="E13" s="21" t="s">
        <v>9</v>
      </c>
      <c r="F13" s="30" t="s">
        <v>20</v>
      </c>
      <c r="G13" s="86">
        <v>1</v>
      </c>
      <c r="H13" s="21" t="s">
        <v>9</v>
      </c>
      <c r="I13" s="91">
        <v>1</v>
      </c>
      <c r="J13" s="23">
        <f t="shared" si="5"/>
        <v>3</v>
      </c>
      <c r="K13" s="11">
        <f t="shared" si="6"/>
        <v>1</v>
      </c>
      <c r="L13" s="11">
        <f t="shared" si="7"/>
        <v>1</v>
      </c>
      <c r="O13" s="40"/>
      <c r="P13" s="41"/>
      <c r="Q13" s="41"/>
      <c r="R13" s="41"/>
      <c r="S13" s="41"/>
      <c r="T13" s="41"/>
      <c r="U13" s="40"/>
      <c r="V13" s="40"/>
      <c r="W13" s="40"/>
      <c r="Y13" s="109">
        <f t="shared" si="8"/>
        <v>1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1</v>
      </c>
      <c r="AG13" s="108">
        <f t="shared" si="0"/>
        <v>1</v>
      </c>
      <c r="AH13" s="108">
        <f t="shared" si="1"/>
        <v>0</v>
      </c>
      <c r="AI13" s="108">
        <f t="shared" si="10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40"/>
      <c r="AO13" s="41"/>
    </row>
    <row r="14" spans="2:54" ht="15.75" thickBot="1">
      <c r="B14" s="18">
        <v>7</v>
      </c>
      <c r="C14" s="19">
        <v>41804</v>
      </c>
      <c r="D14" s="20" t="s">
        <v>21</v>
      </c>
      <c r="E14" s="21" t="s">
        <v>9</v>
      </c>
      <c r="F14" s="30" t="s">
        <v>22</v>
      </c>
      <c r="G14" s="86">
        <v>0</v>
      </c>
      <c r="H14" s="21" t="s">
        <v>9</v>
      </c>
      <c r="I14" s="91">
        <v>0</v>
      </c>
      <c r="J14" s="23">
        <f t="shared" si="5"/>
        <v>3</v>
      </c>
      <c r="K14" s="11">
        <f t="shared" si="6"/>
        <v>1</v>
      </c>
      <c r="L14" s="11">
        <f t="shared" si="7"/>
        <v>1</v>
      </c>
      <c r="O14" s="72" t="s">
        <v>51</v>
      </c>
      <c r="P14" s="73" t="s">
        <v>42</v>
      </c>
      <c r="Q14" s="73" t="s">
        <v>43</v>
      </c>
      <c r="R14" s="74" t="s">
        <v>44</v>
      </c>
      <c r="S14" s="75" t="s">
        <v>45</v>
      </c>
      <c r="T14" s="76" t="s">
        <v>46</v>
      </c>
      <c r="U14" s="40"/>
      <c r="V14" s="40"/>
      <c r="W14" s="40"/>
      <c r="Y14" s="109">
        <f t="shared" si="8"/>
        <v>0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0</v>
      </c>
      <c r="AG14" s="108">
        <f t="shared" si="0"/>
        <v>0</v>
      </c>
      <c r="AH14" s="108">
        <f t="shared" si="1"/>
        <v>0</v>
      </c>
      <c r="AI14" s="108">
        <f t="shared" si="10"/>
        <v>0</v>
      </c>
      <c r="AJ14" s="108">
        <f t="shared" si="2"/>
        <v>0</v>
      </c>
      <c r="AK14" s="108">
        <f t="shared" si="3"/>
        <v>0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24">
        <v>8</v>
      </c>
      <c r="C15" s="25">
        <v>41804</v>
      </c>
      <c r="D15" s="26" t="s">
        <v>23</v>
      </c>
      <c r="E15" s="27" t="s">
        <v>9</v>
      </c>
      <c r="F15" s="28" t="s">
        <v>24</v>
      </c>
      <c r="G15" s="87">
        <v>1</v>
      </c>
      <c r="H15" s="27" t="s">
        <v>9</v>
      </c>
      <c r="I15" s="92">
        <v>0</v>
      </c>
      <c r="J15" s="29">
        <f t="shared" si="5"/>
        <v>1</v>
      </c>
      <c r="K15" s="11">
        <f t="shared" si="6"/>
        <v>3</v>
      </c>
      <c r="L15" s="11">
        <f t="shared" si="7"/>
        <v>0</v>
      </c>
      <c r="O15" s="44" t="s">
        <v>13</v>
      </c>
      <c r="P15" s="45">
        <f>SUMIF($D$8:$D$55,$O15,$G$8:$G$55)+SUMIF($F$8:$F$55,$O15,$I$8:$I$55)</f>
        <v>4</v>
      </c>
      <c r="Q15" s="45">
        <f>SUMIF($D$8:$D$55,$O15,$I$8:$I$55)+SUMIF($F$8:$F$55,$O15,$G$8:$G$55)</f>
        <v>0</v>
      </c>
      <c r="R15" s="46">
        <f>P15-Q15</f>
        <v>4</v>
      </c>
      <c r="S15" s="47">
        <f>SUMIF($D$8:$D$55,$O15,$K$8:$K$55)+SUMIF($F$8:$F$55,$O15,$L$8:$L$55)</f>
        <v>7</v>
      </c>
      <c r="T15" s="94" t="s">
        <v>52</v>
      </c>
      <c r="U15" s="40"/>
      <c r="V15" s="40" t="str">
        <f>O15</f>
        <v>Spanje</v>
      </c>
      <c r="W15" s="40" t="s">
        <v>52</v>
      </c>
      <c r="Y15" s="109">
        <f t="shared" si="8"/>
        <v>5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5</v>
      </c>
      <c r="AG15" s="108">
        <f t="shared" si="0"/>
        <v>0</v>
      </c>
      <c r="AH15" s="108">
        <f t="shared" si="1"/>
        <v>0</v>
      </c>
      <c r="AI15" s="108">
        <f t="shared" si="10"/>
        <v>0</v>
      </c>
      <c r="AJ15" s="108">
        <f t="shared" si="2"/>
        <v>5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12">
        <v>9</v>
      </c>
      <c r="C16" s="13">
        <v>41805</v>
      </c>
      <c r="D16" s="14" t="s">
        <v>25</v>
      </c>
      <c r="E16" s="15" t="s">
        <v>9</v>
      </c>
      <c r="F16" s="16" t="s">
        <v>26</v>
      </c>
      <c r="G16" s="85">
        <v>0</v>
      </c>
      <c r="H16" s="15" t="s">
        <v>9</v>
      </c>
      <c r="I16" s="90">
        <v>1</v>
      </c>
      <c r="J16" s="17">
        <f t="shared" si="5"/>
        <v>2</v>
      </c>
      <c r="K16" s="11">
        <f t="shared" si="6"/>
        <v>0</v>
      </c>
      <c r="L16" s="11">
        <f t="shared" si="7"/>
        <v>3</v>
      </c>
      <c r="O16" s="54" t="s">
        <v>14</v>
      </c>
      <c r="P16" s="49">
        <f>SUMIF($D$8:$D$55,$O16,$G$8:$G$55)+SUMIF($F$8:$F$55,$O16,$I$8:$I$55)</f>
        <v>4</v>
      </c>
      <c r="Q16" s="49">
        <f>SUMIF($D$8:$D$55,$O16,$I$8:$I$55)+SUMIF($F$8:$F$55,$O16,$G$8:$G$55)</f>
        <v>0</v>
      </c>
      <c r="R16" s="49">
        <f>P16-Q16</f>
        <v>4</v>
      </c>
      <c r="S16" s="50">
        <f>SUMIF($D$8:$D$55,$O16,$K$8:$K$55)+SUMIF($F$8:$F$55,$O16,$L$8:$L$55)</f>
        <v>7</v>
      </c>
      <c r="T16" s="95" t="s">
        <v>53</v>
      </c>
      <c r="U16" s="40"/>
      <c r="V16" s="40" t="str">
        <f>O16</f>
        <v>Nederland</v>
      </c>
      <c r="W16" s="40" t="s">
        <v>53</v>
      </c>
      <c r="Y16" s="109">
        <f t="shared" si="8"/>
        <v>1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1</v>
      </c>
      <c r="AG16" s="108">
        <f t="shared" si="0"/>
        <v>0</v>
      </c>
      <c r="AH16" s="108">
        <f t="shared" si="1"/>
        <v>1</v>
      </c>
      <c r="AI16" s="108">
        <f t="shared" si="10"/>
        <v>0</v>
      </c>
      <c r="AJ16" s="108">
        <f t="shared" si="2"/>
        <v>0</v>
      </c>
      <c r="AK16" s="108">
        <f t="shared" si="3"/>
        <v>0</v>
      </c>
      <c r="AL16" s="108">
        <f t="shared" si="4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18">
        <v>10</v>
      </c>
      <c r="C17" s="19">
        <v>41805</v>
      </c>
      <c r="D17" s="20" t="s">
        <v>27</v>
      </c>
      <c r="E17" s="21" t="s">
        <v>9</v>
      </c>
      <c r="F17" s="30" t="s">
        <v>28</v>
      </c>
      <c r="G17" s="86">
        <v>2</v>
      </c>
      <c r="H17" s="21" t="s">
        <v>9</v>
      </c>
      <c r="I17" s="91">
        <v>0</v>
      </c>
      <c r="J17" s="23">
        <f t="shared" si="5"/>
        <v>1</v>
      </c>
      <c r="K17" s="11">
        <f t="shared" si="6"/>
        <v>3</v>
      </c>
      <c r="L17" s="11">
        <f t="shared" si="7"/>
        <v>0</v>
      </c>
      <c r="O17" s="48" t="s">
        <v>15</v>
      </c>
      <c r="P17" s="49">
        <f>SUMIF($D$8:$D$55,$O17,$G$8:$G$55)+SUMIF($F$8:$F$55,$O17,$I$8:$I$55)</f>
        <v>0</v>
      </c>
      <c r="Q17" s="49">
        <f>SUMIF($D$8:$D$55,$O17,$I$8:$I$55)+SUMIF($F$8:$F$55,$O17,$G$8:$G$55)</f>
        <v>6</v>
      </c>
      <c r="R17" s="49">
        <f>P17-Q17</f>
        <v>-6</v>
      </c>
      <c r="S17" s="50">
        <f>SUMIF($D$8:$D$55,$O17,$K$8:$K$55)+SUMIF($F$8:$F$55,$O17,$L$8:$L$55)</f>
        <v>0</v>
      </c>
      <c r="T17" s="95" t="s">
        <v>55</v>
      </c>
      <c r="U17" s="40"/>
      <c r="V17" s="40" t="str">
        <f>O17</f>
        <v>Chili</v>
      </c>
      <c r="W17" s="40" t="s">
        <v>54</v>
      </c>
      <c r="Y17" s="109">
        <f t="shared" si="8"/>
        <v>6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6</v>
      </c>
      <c r="AG17" s="108">
        <f t="shared" si="0"/>
        <v>0</v>
      </c>
      <c r="AH17" s="108">
        <f t="shared" si="1"/>
        <v>1</v>
      </c>
      <c r="AI17" s="108">
        <f t="shared" si="10"/>
        <v>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24">
        <v>11</v>
      </c>
      <c r="C18" s="25">
        <v>41805</v>
      </c>
      <c r="D18" s="26" t="s">
        <v>29</v>
      </c>
      <c r="E18" s="27" t="s">
        <v>9</v>
      </c>
      <c r="F18" s="28" t="s">
        <v>30</v>
      </c>
      <c r="G18" s="87">
        <v>3</v>
      </c>
      <c r="H18" s="27" t="s">
        <v>9</v>
      </c>
      <c r="I18" s="92">
        <v>0</v>
      </c>
      <c r="J18" s="29">
        <f t="shared" si="5"/>
        <v>1</v>
      </c>
      <c r="K18" s="11">
        <f t="shared" si="6"/>
        <v>3</v>
      </c>
      <c r="L18" s="11">
        <f t="shared" si="7"/>
        <v>0</v>
      </c>
      <c r="O18" s="51" t="s">
        <v>16</v>
      </c>
      <c r="P18" s="52">
        <f>SUMIF($D$8:$D$55,$O18,$G$8:$G$55)+SUMIF($F$8:$F$55,$O18,$I$8:$I$55)</f>
        <v>2</v>
      </c>
      <c r="Q18" s="52">
        <f>SUMIF($D$8:$D$55,$O18,$I$8:$I$55)+SUMIF($F$8:$F$55,$O18,$G$8:$G$55)</f>
        <v>4</v>
      </c>
      <c r="R18" s="52">
        <f>P18-Q18</f>
        <v>-2</v>
      </c>
      <c r="S18" s="53">
        <f>SUMIF($D$8:$D$55,$O18,$K$8:$K$55)+SUMIF($F$8:$F$55,$O18,$L$8:$L$55)</f>
        <v>3</v>
      </c>
      <c r="T18" s="96" t="s">
        <v>54</v>
      </c>
      <c r="U18" s="40"/>
      <c r="V18" s="40" t="str">
        <f>O18</f>
        <v>Australië</v>
      </c>
      <c r="W18" s="40" t="s">
        <v>55</v>
      </c>
      <c r="Y18" s="109">
        <f t="shared" si="8"/>
        <v>5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5</v>
      </c>
      <c r="AG18" s="108">
        <f t="shared" si="0"/>
        <v>0</v>
      </c>
      <c r="AH18" s="108">
        <f t="shared" si="1"/>
        <v>0</v>
      </c>
      <c r="AI18" s="108">
        <f t="shared" si="10"/>
        <v>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0</v>
      </c>
      <c r="AN18" s="118" t="s">
        <v>16</v>
      </c>
      <c r="AO18" s="115">
        <f>IF(Uitslag!T18="",0,IF(T18=Uitslag!T18,10,0))</f>
        <v>0</v>
      </c>
    </row>
    <row r="19" spans="2:41" ht="15.75" thickBot="1">
      <c r="B19" s="12">
        <v>12</v>
      </c>
      <c r="C19" s="13">
        <v>41806</v>
      </c>
      <c r="D19" s="14" t="s">
        <v>31</v>
      </c>
      <c r="E19" s="15" t="s">
        <v>9</v>
      </c>
      <c r="F19" s="16" t="s">
        <v>32</v>
      </c>
      <c r="G19" s="85">
        <v>1</v>
      </c>
      <c r="H19" s="15" t="s">
        <v>9</v>
      </c>
      <c r="I19" s="90">
        <v>1</v>
      </c>
      <c r="J19" s="17">
        <f t="shared" si="5"/>
        <v>3</v>
      </c>
      <c r="K19" s="11">
        <f t="shared" si="6"/>
        <v>1</v>
      </c>
      <c r="L19" s="11">
        <f t="shared" si="7"/>
        <v>1</v>
      </c>
      <c r="O19" s="40"/>
      <c r="P19" s="41"/>
      <c r="Q19" s="41"/>
      <c r="R19" s="41"/>
      <c r="S19" s="41"/>
      <c r="T19" s="41"/>
      <c r="U19" s="40"/>
      <c r="V19" s="40"/>
      <c r="W19" s="40"/>
      <c r="Y19" s="109">
        <f t="shared" si="8"/>
        <v>0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0</v>
      </c>
      <c r="AG19" s="108">
        <f t="shared" si="0"/>
        <v>0</v>
      </c>
      <c r="AH19" s="108">
        <f t="shared" si="1"/>
        <v>0</v>
      </c>
      <c r="AI19" s="108">
        <f t="shared" si="10"/>
        <v>0</v>
      </c>
      <c r="AJ19" s="108">
        <f t="shared" si="2"/>
        <v>0</v>
      </c>
      <c r="AK19" s="108">
        <f t="shared" si="3"/>
        <v>0</v>
      </c>
      <c r="AL19" s="108">
        <f t="shared" si="4"/>
        <v>0</v>
      </c>
      <c r="AN19" s="40"/>
      <c r="AO19" s="41"/>
    </row>
    <row r="20" spans="2:41" ht="15.75" thickBot="1">
      <c r="B20" s="18">
        <v>13</v>
      </c>
      <c r="C20" s="19">
        <v>41806</v>
      </c>
      <c r="D20" s="20" t="s">
        <v>33</v>
      </c>
      <c r="E20" s="21" t="s">
        <v>9</v>
      </c>
      <c r="F20" s="30" t="s">
        <v>34</v>
      </c>
      <c r="G20" s="86">
        <v>0</v>
      </c>
      <c r="H20" s="21" t="s">
        <v>9</v>
      </c>
      <c r="I20" s="91">
        <v>1</v>
      </c>
      <c r="J20" s="23">
        <f t="shared" si="5"/>
        <v>2</v>
      </c>
      <c r="K20" s="11">
        <f t="shared" si="6"/>
        <v>0</v>
      </c>
      <c r="L20" s="11">
        <f t="shared" si="7"/>
        <v>3</v>
      </c>
      <c r="O20" s="72" t="s">
        <v>56</v>
      </c>
      <c r="P20" s="73" t="s">
        <v>42</v>
      </c>
      <c r="Q20" s="73" t="s">
        <v>43</v>
      </c>
      <c r="R20" s="74" t="s">
        <v>44</v>
      </c>
      <c r="S20" s="75" t="s">
        <v>45</v>
      </c>
      <c r="T20" s="76" t="s">
        <v>46</v>
      </c>
      <c r="U20" s="40"/>
      <c r="V20" s="40"/>
      <c r="W20" s="40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0"/>
        <v>1</v>
      </c>
      <c r="AH20" s="108">
        <f t="shared" si="1"/>
        <v>0</v>
      </c>
      <c r="AI20" s="108">
        <f t="shared" si="10"/>
        <v>0</v>
      </c>
      <c r="AJ20" s="108">
        <f t="shared" si="2"/>
        <v>0</v>
      </c>
      <c r="AK20" s="108">
        <f t="shared" si="3"/>
        <v>0</v>
      </c>
      <c r="AL20" s="108">
        <f t="shared" si="4"/>
        <v>0</v>
      </c>
      <c r="AN20" s="42" t="s">
        <v>56</v>
      </c>
      <c r="AO20" s="43" t="s">
        <v>46</v>
      </c>
    </row>
    <row r="21" spans="2:41" ht="15.75" thickBot="1">
      <c r="B21" s="24">
        <v>14</v>
      </c>
      <c r="C21" s="25">
        <v>41806</v>
      </c>
      <c r="D21" s="26" t="s">
        <v>35</v>
      </c>
      <c r="E21" s="27" t="s">
        <v>9</v>
      </c>
      <c r="F21" s="28" t="s">
        <v>36</v>
      </c>
      <c r="G21" s="87">
        <v>0</v>
      </c>
      <c r="H21" s="27" t="s">
        <v>9</v>
      </c>
      <c r="I21" s="92">
        <v>0</v>
      </c>
      <c r="J21" s="29">
        <f t="shared" si="5"/>
        <v>3</v>
      </c>
      <c r="K21" s="11">
        <f t="shared" si="6"/>
        <v>1</v>
      </c>
      <c r="L21" s="11">
        <f t="shared" si="7"/>
        <v>1</v>
      </c>
      <c r="O21" s="44" t="s">
        <v>17</v>
      </c>
      <c r="P21" s="45">
        <f>SUMIF($D$8:$D$55,$O21,$G$8:$G$55)+SUMIF($F$8:$F$55,$O21,$I$8:$I$55)</f>
        <v>3</v>
      </c>
      <c r="Q21" s="45">
        <f>SUMIF($D$8:$D$55,$O21,$I$8:$I$55)+SUMIF($F$8:$F$55,$O21,$G$8:$G$55)</f>
        <v>2</v>
      </c>
      <c r="R21" s="46">
        <f>P21-Q21</f>
        <v>1</v>
      </c>
      <c r="S21" s="47">
        <f>SUMIF($D$8:$D$55,$O21,$K$8:$K$55)+SUMIF($F$8:$F$55,$O21,$L$8:$L$55)</f>
        <v>5</v>
      </c>
      <c r="T21" s="94" t="s">
        <v>59</v>
      </c>
      <c r="U21" s="40"/>
      <c r="V21" s="40" t="str">
        <f>O21</f>
        <v>Colombia</v>
      </c>
      <c r="W21" s="40" t="s">
        <v>57</v>
      </c>
      <c r="Y21" s="109">
        <f t="shared" si="8"/>
        <v>0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0</v>
      </c>
      <c r="AG21" s="108">
        <f t="shared" si="0"/>
        <v>0</v>
      </c>
      <c r="AH21" s="108">
        <f t="shared" si="1"/>
        <v>0</v>
      </c>
      <c r="AI21" s="108">
        <f t="shared" si="10"/>
        <v>0</v>
      </c>
      <c r="AJ21" s="108">
        <f t="shared" si="2"/>
        <v>0</v>
      </c>
      <c r="AK21" s="108">
        <f t="shared" si="3"/>
        <v>0</v>
      </c>
      <c r="AL21" s="108">
        <f t="shared" si="4"/>
        <v>0</v>
      </c>
      <c r="AM21" s="120">
        <f>AO21</f>
        <v>0</v>
      </c>
      <c r="AN21" s="116" t="s">
        <v>17</v>
      </c>
      <c r="AO21" s="115">
        <f>IF(Uitslag!T21="",0,IF(T21=Uitslag!T21,10,0))</f>
        <v>0</v>
      </c>
    </row>
    <row r="22" spans="2:41" ht="15.75" thickBot="1">
      <c r="B22" s="12">
        <v>15</v>
      </c>
      <c r="C22" s="13">
        <v>41807</v>
      </c>
      <c r="D22" s="14" t="s">
        <v>37</v>
      </c>
      <c r="E22" s="15" t="s">
        <v>9</v>
      </c>
      <c r="F22" s="16" t="s">
        <v>38</v>
      </c>
      <c r="G22" s="85">
        <v>2</v>
      </c>
      <c r="H22" s="15" t="s">
        <v>9</v>
      </c>
      <c r="I22" s="90">
        <v>0</v>
      </c>
      <c r="J22" s="17">
        <f t="shared" si="5"/>
        <v>1</v>
      </c>
      <c r="K22" s="11">
        <f t="shared" si="6"/>
        <v>3</v>
      </c>
      <c r="L22" s="11">
        <f t="shared" si="7"/>
        <v>0</v>
      </c>
      <c r="O22" s="48" t="s">
        <v>18</v>
      </c>
      <c r="P22" s="49">
        <f>SUMIF($D$8:$D$55,$O22,$G$8:$G$55)+SUMIF($F$8:$F$55,$O22,$I$8:$I$55)</f>
        <v>3</v>
      </c>
      <c r="Q22" s="49">
        <f>SUMIF($D$8:$D$55,$O22,$I$8:$I$55)+SUMIF($F$8:$F$55,$O22,$G$8:$G$55)</f>
        <v>2</v>
      </c>
      <c r="R22" s="49">
        <f>P22-Q22</f>
        <v>1</v>
      </c>
      <c r="S22" s="50">
        <f>SUMIF($D$8:$D$55,$O22,$K$8:$K$55)+SUMIF($F$8:$F$55,$O22,$L$8:$L$55)</f>
        <v>5</v>
      </c>
      <c r="T22" s="95" t="s">
        <v>57</v>
      </c>
      <c r="U22" s="40"/>
      <c r="V22" s="40" t="str">
        <f>O22</f>
        <v>Griekenland</v>
      </c>
      <c r="W22" s="40" t="s">
        <v>58</v>
      </c>
      <c r="Y22" s="109">
        <f t="shared" si="8"/>
        <v>6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6</v>
      </c>
      <c r="AG22" s="108">
        <f t="shared" si="0"/>
        <v>1</v>
      </c>
      <c r="AH22" s="108">
        <f t="shared" si="1"/>
        <v>0</v>
      </c>
      <c r="AI22" s="108">
        <f t="shared" si="10"/>
        <v>0</v>
      </c>
      <c r="AJ22" s="108">
        <f t="shared" si="2"/>
        <v>5</v>
      </c>
      <c r="AK22" s="108">
        <f t="shared" si="3"/>
        <v>0</v>
      </c>
      <c r="AL22" s="108">
        <f t="shared" si="4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18">
        <v>16</v>
      </c>
      <c r="C23" s="19">
        <v>41807</v>
      </c>
      <c r="D23" s="20" t="s">
        <v>8</v>
      </c>
      <c r="E23" s="21" t="s">
        <v>9</v>
      </c>
      <c r="F23" s="30" t="s">
        <v>11</v>
      </c>
      <c r="G23" s="86">
        <v>2</v>
      </c>
      <c r="H23" s="21" t="s">
        <v>9</v>
      </c>
      <c r="I23" s="91">
        <v>0</v>
      </c>
      <c r="J23" s="23">
        <f t="shared" si="5"/>
        <v>1</v>
      </c>
      <c r="K23" s="11">
        <f t="shared" si="6"/>
        <v>3</v>
      </c>
      <c r="L23" s="11">
        <f t="shared" si="7"/>
        <v>0</v>
      </c>
      <c r="O23" s="48" t="s">
        <v>23</v>
      </c>
      <c r="P23" s="49">
        <f>SUMIF($D$8:$D$55,$O23,$G$8:$G$55)+SUMIF($F$8:$F$55,$O23,$I$8:$I$55)</f>
        <v>3</v>
      </c>
      <c r="Q23" s="49">
        <f>SUMIF($D$8:$D$55,$O23,$I$8:$I$55)+SUMIF($F$8:$F$55,$O23,$G$8:$G$55)</f>
        <v>2</v>
      </c>
      <c r="R23" s="49">
        <f>P23-Q23</f>
        <v>1</v>
      </c>
      <c r="S23" s="50">
        <f>SUMIF($D$8:$D$55,$O23,$K$8:$K$55)+SUMIF($F$8:$F$55,$O23,$L$8:$L$55)</f>
        <v>5</v>
      </c>
      <c r="T23" s="95" t="s">
        <v>58</v>
      </c>
      <c r="U23" s="40"/>
      <c r="V23" s="40" t="str">
        <f>O23</f>
        <v>Ivoorkust</v>
      </c>
      <c r="W23" s="40" t="s">
        <v>59</v>
      </c>
      <c r="Y23" s="109">
        <f t="shared" si="8"/>
        <v>1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1</v>
      </c>
      <c r="AG23" s="108">
        <f t="shared" si="0"/>
        <v>0</v>
      </c>
      <c r="AH23" s="108">
        <f t="shared" si="1"/>
        <v>1</v>
      </c>
      <c r="AI23" s="108">
        <f t="shared" si="10"/>
        <v>0</v>
      </c>
      <c r="AJ23" s="108">
        <f t="shared" si="2"/>
        <v>0</v>
      </c>
      <c r="AK23" s="108">
        <f t="shared" si="3"/>
        <v>0</v>
      </c>
      <c r="AL23" s="108">
        <f t="shared" si="4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24">
        <v>17</v>
      </c>
      <c r="C24" s="25">
        <v>41807</v>
      </c>
      <c r="D24" s="26" t="s">
        <v>39</v>
      </c>
      <c r="E24" s="27" t="s">
        <v>9</v>
      </c>
      <c r="F24" s="28" t="s">
        <v>40</v>
      </c>
      <c r="G24" s="87">
        <v>0</v>
      </c>
      <c r="H24" s="27" t="s">
        <v>9</v>
      </c>
      <c r="I24" s="92">
        <v>1</v>
      </c>
      <c r="J24" s="29">
        <f t="shared" si="5"/>
        <v>2</v>
      </c>
      <c r="K24" s="11">
        <f t="shared" si="6"/>
        <v>0</v>
      </c>
      <c r="L24" s="11">
        <f t="shared" si="7"/>
        <v>3</v>
      </c>
      <c r="O24" s="51" t="s">
        <v>24</v>
      </c>
      <c r="P24" s="52">
        <f>SUMIF($D$8:$D$55,$O24,$G$8:$G$55)+SUMIF($F$8:$F$55,$O24,$I$8:$I$55)</f>
        <v>0</v>
      </c>
      <c r="Q24" s="52">
        <f>SUMIF($D$8:$D$55,$O24,$I$8:$I$55)+SUMIF($F$8:$F$55,$O24,$G$8:$G$55)</f>
        <v>3</v>
      </c>
      <c r="R24" s="52">
        <f>P24-Q24</f>
        <v>-3</v>
      </c>
      <c r="S24" s="53">
        <f>SUMIF($D$8:$D$55,$O24,$K$8:$K$55)+SUMIF($F$8:$F$55,$O24,$L$8:$L$55)</f>
        <v>0</v>
      </c>
      <c r="T24" s="96" t="s">
        <v>60</v>
      </c>
      <c r="U24" s="40"/>
      <c r="V24" s="40" t="str">
        <f>O24</f>
        <v>Japan</v>
      </c>
      <c r="W24" s="40" t="s">
        <v>60</v>
      </c>
      <c r="Y24" s="109">
        <f t="shared" si="8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</v>
      </c>
      <c r="AG24" s="108">
        <f t="shared" si="0"/>
        <v>0</v>
      </c>
      <c r="AH24" s="108">
        <f t="shared" si="1"/>
        <v>1</v>
      </c>
      <c r="AI24" s="108">
        <f t="shared" si="10"/>
        <v>0</v>
      </c>
      <c r="AJ24" s="108">
        <f t="shared" si="2"/>
        <v>0</v>
      </c>
      <c r="AK24" s="108">
        <f t="shared" si="3"/>
        <v>0</v>
      </c>
      <c r="AL24" s="108">
        <f t="shared" si="4"/>
        <v>0</v>
      </c>
      <c r="AM24" s="120">
        <f>AO24</f>
        <v>10</v>
      </c>
      <c r="AN24" s="118" t="s">
        <v>24</v>
      </c>
      <c r="AO24" s="115">
        <f>IF(Uitslag!T24="",0,IF(T24=Uitslag!T24,10,0))</f>
        <v>10</v>
      </c>
    </row>
    <row r="25" spans="2:41" ht="15.75" thickBot="1">
      <c r="B25" s="12">
        <v>18</v>
      </c>
      <c r="C25" s="13">
        <v>41808</v>
      </c>
      <c r="D25" s="14" t="s">
        <v>16</v>
      </c>
      <c r="E25" s="15" t="s">
        <v>9</v>
      </c>
      <c r="F25" s="31" t="s">
        <v>14</v>
      </c>
      <c r="G25" s="85">
        <v>0</v>
      </c>
      <c r="H25" s="15" t="s">
        <v>9</v>
      </c>
      <c r="I25" s="90">
        <v>2</v>
      </c>
      <c r="J25" s="17">
        <f t="shared" si="5"/>
        <v>2</v>
      </c>
      <c r="K25" s="11">
        <f t="shared" si="6"/>
        <v>0</v>
      </c>
      <c r="L25" s="11">
        <f t="shared" si="7"/>
        <v>3</v>
      </c>
      <c r="O25" s="40"/>
      <c r="P25" s="41"/>
      <c r="Q25" s="41"/>
      <c r="R25" s="41"/>
      <c r="S25" s="41"/>
      <c r="T25" s="41"/>
      <c r="U25" s="40"/>
      <c r="V25" s="40"/>
      <c r="W25" s="40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0"/>
        <v>0</v>
      </c>
      <c r="AH25" s="108">
        <f t="shared" si="1"/>
        <v>0</v>
      </c>
      <c r="AI25" s="108">
        <f t="shared" si="10"/>
        <v>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40"/>
      <c r="AO25" s="41"/>
    </row>
    <row r="26" spans="2:41" ht="15.75" thickBot="1">
      <c r="B26" s="18">
        <v>19</v>
      </c>
      <c r="C26" s="19">
        <v>41808</v>
      </c>
      <c r="D26" s="20" t="s">
        <v>13</v>
      </c>
      <c r="E26" s="21" t="s">
        <v>9</v>
      </c>
      <c r="F26" s="30" t="s">
        <v>15</v>
      </c>
      <c r="G26" s="86">
        <v>2</v>
      </c>
      <c r="H26" s="21" t="s">
        <v>9</v>
      </c>
      <c r="I26" s="91">
        <v>0</v>
      </c>
      <c r="J26" s="23">
        <f t="shared" si="5"/>
        <v>1</v>
      </c>
      <c r="K26" s="11">
        <f t="shared" si="6"/>
        <v>3</v>
      </c>
      <c r="L26" s="11">
        <f t="shared" si="7"/>
        <v>0</v>
      </c>
      <c r="O26" s="72" t="s">
        <v>61</v>
      </c>
      <c r="P26" s="73" t="s">
        <v>42</v>
      </c>
      <c r="Q26" s="73" t="s">
        <v>43</v>
      </c>
      <c r="R26" s="74" t="s">
        <v>44</v>
      </c>
      <c r="S26" s="75" t="s">
        <v>45</v>
      </c>
      <c r="T26" s="76" t="s">
        <v>46</v>
      </c>
      <c r="U26" s="40"/>
      <c r="V26" s="40"/>
      <c r="W26" s="40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0"/>
        <v>0</v>
      </c>
      <c r="AH26" s="108">
        <f t="shared" si="1"/>
        <v>0</v>
      </c>
      <c r="AI26" s="108">
        <f t="shared" si="10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24">
        <v>20</v>
      </c>
      <c r="C27" s="25">
        <v>41808</v>
      </c>
      <c r="D27" s="26" t="s">
        <v>12</v>
      </c>
      <c r="E27" s="27" t="s">
        <v>9</v>
      </c>
      <c r="F27" s="28" t="s">
        <v>10</v>
      </c>
      <c r="G27" s="87">
        <v>1</v>
      </c>
      <c r="H27" s="27" t="s">
        <v>9</v>
      </c>
      <c r="I27" s="92">
        <v>1</v>
      </c>
      <c r="J27" s="29">
        <f t="shared" si="5"/>
        <v>3</v>
      </c>
      <c r="K27" s="11">
        <f t="shared" si="6"/>
        <v>1</v>
      </c>
      <c r="L27" s="11">
        <f t="shared" si="7"/>
        <v>1</v>
      </c>
      <c r="O27" s="44" t="s">
        <v>19</v>
      </c>
      <c r="P27" s="45">
        <f>SUMIF($D$8:$D$55,$O27,$G$8:$G$55)+SUMIF($F$8:$F$55,$O27,$I$8:$I$55)</f>
        <v>1</v>
      </c>
      <c r="Q27" s="45">
        <f>SUMIF($D$8:$D$55,$O27,$I$8:$I$55)+SUMIF($F$8:$F$55,$O27,$G$8:$G$55)</f>
        <v>5</v>
      </c>
      <c r="R27" s="46">
        <f>P27-Q27</f>
        <v>-4</v>
      </c>
      <c r="S27" s="47">
        <f>SUMIF($D$8:$D$55,$O27,$K$8:$K$55)+SUMIF($F$8:$F$55,$O27,$L$8:$L$55)</f>
        <v>1</v>
      </c>
      <c r="T27" s="94" t="s">
        <v>64</v>
      </c>
      <c r="U27" s="40"/>
      <c r="V27" s="40" t="str">
        <f>O27</f>
        <v>Uruguay</v>
      </c>
      <c r="W27" s="40" t="s">
        <v>62</v>
      </c>
      <c r="Y27" s="109">
        <f t="shared" si="8"/>
        <v>0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0</v>
      </c>
      <c r="AG27" s="108">
        <f t="shared" si="0"/>
        <v>0</v>
      </c>
      <c r="AH27" s="108">
        <f t="shared" si="1"/>
        <v>0</v>
      </c>
      <c r="AI27" s="108">
        <f t="shared" si="10"/>
        <v>0</v>
      </c>
      <c r="AJ27" s="108">
        <f t="shared" si="2"/>
        <v>0</v>
      </c>
      <c r="AK27" s="108">
        <f t="shared" si="3"/>
        <v>0</v>
      </c>
      <c r="AL27" s="108">
        <f t="shared" si="4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12">
        <v>21</v>
      </c>
      <c r="C28" s="13">
        <v>41809</v>
      </c>
      <c r="D28" s="14" t="s">
        <v>17</v>
      </c>
      <c r="E28" s="15" t="s">
        <v>9</v>
      </c>
      <c r="F28" s="16" t="s">
        <v>23</v>
      </c>
      <c r="G28" s="85">
        <v>1</v>
      </c>
      <c r="H28" s="15" t="s">
        <v>9</v>
      </c>
      <c r="I28" s="90">
        <v>1</v>
      </c>
      <c r="J28" s="17">
        <f t="shared" si="5"/>
        <v>3</v>
      </c>
      <c r="K28" s="11">
        <f t="shared" si="6"/>
        <v>1</v>
      </c>
      <c r="L28" s="11">
        <f t="shared" si="7"/>
        <v>1</v>
      </c>
      <c r="O28" s="48" t="s">
        <v>20</v>
      </c>
      <c r="P28" s="49">
        <f>SUMIF($D$8:$D$55,$O28,$G$8:$G$55)+SUMIF($F$8:$F$55,$O28,$I$8:$I$55)</f>
        <v>1</v>
      </c>
      <c r="Q28" s="49">
        <f>SUMIF($D$8:$D$55,$O28,$I$8:$I$55)+SUMIF($F$8:$F$55,$O28,$G$8:$G$55)</f>
        <v>5</v>
      </c>
      <c r="R28" s="49">
        <f>P28-Q28</f>
        <v>-4</v>
      </c>
      <c r="S28" s="50">
        <f>SUMIF($D$8:$D$55,$O28,$K$8:$K$55)+SUMIF($F$8:$F$55,$O28,$L$8:$L$55)</f>
        <v>1</v>
      </c>
      <c r="T28" s="95" t="s">
        <v>65</v>
      </c>
      <c r="U28" s="40"/>
      <c r="V28" s="40" t="str">
        <f>O28</f>
        <v>Costa Rica</v>
      </c>
      <c r="W28" s="40" t="s">
        <v>63</v>
      </c>
      <c r="Y28" s="109">
        <f t="shared" si="8"/>
        <v>1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1</v>
      </c>
      <c r="AG28" s="108">
        <f t="shared" si="0"/>
        <v>0</v>
      </c>
      <c r="AH28" s="108">
        <f t="shared" si="1"/>
        <v>1</v>
      </c>
      <c r="AI28" s="108">
        <f t="shared" si="10"/>
        <v>0</v>
      </c>
      <c r="AJ28" s="108">
        <f t="shared" si="2"/>
        <v>0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18">
        <v>22</v>
      </c>
      <c r="C29" s="19">
        <v>41809</v>
      </c>
      <c r="D29" s="20" t="s">
        <v>19</v>
      </c>
      <c r="E29" s="21" t="s">
        <v>9</v>
      </c>
      <c r="F29" s="30" t="s">
        <v>21</v>
      </c>
      <c r="G29" s="86">
        <v>0</v>
      </c>
      <c r="H29" s="21" t="s">
        <v>9</v>
      </c>
      <c r="I29" s="91">
        <v>2</v>
      </c>
      <c r="J29" s="23">
        <f t="shared" si="5"/>
        <v>2</v>
      </c>
      <c r="K29" s="11">
        <f t="shared" si="6"/>
        <v>0</v>
      </c>
      <c r="L29" s="11">
        <f t="shared" si="7"/>
        <v>3</v>
      </c>
      <c r="O29" s="48" t="s">
        <v>21</v>
      </c>
      <c r="P29" s="49">
        <f>SUMIF($D$8:$D$55,$O29,$G$8:$G$55)+SUMIF($F$8:$F$55,$O29,$I$8:$I$55)</f>
        <v>4</v>
      </c>
      <c r="Q29" s="49">
        <f>SUMIF($D$8:$D$55,$O29,$I$8:$I$55)+SUMIF($F$8:$F$55,$O29,$G$8:$G$55)</f>
        <v>0</v>
      </c>
      <c r="R29" s="49">
        <f>P29-Q29</f>
        <v>4</v>
      </c>
      <c r="S29" s="50">
        <f>SUMIF($D$8:$D$55,$O29,$K$8:$K$55)+SUMIF($F$8:$F$55,$O29,$L$8:$L$55)</f>
        <v>7</v>
      </c>
      <c r="T29" s="95" t="s">
        <v>62</v>
      </c>
      <c r="U29" s="40"/>
      <c r="V29" s="40" t="str">
        <f>O29</f>
        <v>Engeland</v>
      </c>
      <c r="W29" s="40" t="s">
        <v>64</v>
      </c>
      <c r="Y29" s="109">
        <f t="shared" si="8"/>
        <v>0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0</v>
      </c>
      <c r="AG29" s="108">
        <f t="shared" si="0"/>
        <v>0</v>
      </c>
      <c r="AH29" s="108">
        <f t="shared" si="1"/>
        <v>0</v>
      </c>
      <c r="AI29" s="108">
        <f t="shared" si="10"/>
        <v>0</v>
      </c>
      <c r="AJ29" s="108">
        <f t="shared" si="2"/>
        <v>0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24">
        <v>23</v>
      </c>
      <c r="C30" s="25">
        <v>41809</v>
      </c>
      <c r="D30" s="26" t="s">
        <v>24</v>
      </c>
      <c r="E30" s="27" t="s">
        <v>9</v>
      </c>
      <c r="F30" s="28" t="s">
        <v>18</v>
      </c>
      <c r="G30" s="87">
        <v>0</v>
      </c>
      <c r="H30" s="27" t="s">
        <v>9</v>
      </c>
      <c r="I30" s="92">
        <v>1</v>
      </c>
      <c r="J30" s="29">
        <f t="shared" si="5"/>
        <v>2</v>
      </c>
      <c r="K30" s="11">
        <f t="shared" si="6"/>
        <v>0</v>
      </c>
      <c r="L30" s="11">
        <f t="shared" si="7"/>
        <v>3</v>
      </c>
      <c r="O30" s="51" t="s">
        <v>22</v>
      </c>
      <c r="P30" s="52">
        <f>SUMIF($D$8:$D$55,$O30,$G$8:$G$55)+SUMIF($F$8:$F$55,$O30,$I$8:$I$55)</f>
        <v>4</v>
      </c>
      <c r="Q30" s="52">
        <f>SUMIF($D$8:$D$55,$O30,$I$8:$I$55)+SUMIF($F$8:$F$55,$O30,$G$8:$G$55)</f>
        <v>0</v>
      </c>
      <c r="R30" s="52">
        <f>P30-Q30</f>
        <v>4</v>
      </c>
      <c r="S30" s="53">
        <f>SUMIF($D$8:$D$55,$O30,$K$8:$K$55)+SUMIF($F$8:$F$55,$O30,$L$8:$L$55)</f>
        <v>7</v>
      </c>
      <c r="T30" s="96" t="s">
        <v>63</v>
      </c>
      <c r="U30" s="40"/>
      <c r="V30" s="40" t="str">
        <f>O30</f>
        <v>Italië</v>
      </c>
      <c r="W30" s="40" t="s">
        <v>65</v>
      </c>
      <c r="Y30" s="109">
        <f t="shared" si="8"/>
        <v>1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1</v>
      </c>
      <c r="AG30" s="108">
        <f t="shared" si="0"/>
        <v>1</v>
      </c>
      <c r="AH30" s="108">
        <f t="shared" si="1"/>
        <v>0</v>
      </c>
      <c r="AI30" s="108">
        <f t="shared" si="10"/>
        <v>0</v>
      </c>
      <c r="AJ30" s="108">
        <f t="shared" si="2"/>
        <v>0</v>
      </c>
      <c r="AK30" s="108">
        <f t="shared" si="3"/>
        <v>0</v>
      </c>
      <c r="AL30" s="108">
        <f t="shared" si="4"/>
        <v>0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12">
        <v>24</v>
      </c>
      <c r="C31" s="13">
        <v>41810</v>
      </c>
      <c r="D31" s="14" t="s">
        <v>22</v>
      </c>
      <c r="E31" s="15" t="s">
        <v>9</v>
      </c>
      <c r="F31" s="16" t="s">
        <v>20</v>
      </c>
      <c r="G31" s="85">
        <v>2</v>
      </c>
      <c r="H31" s="15" t="s">
        <v>9</v>
      </c>
      <c r="I31" s="90">
        <v>0</v>
      </c>
      <c r="J31" s="17">
        <f t="shared" si="5"/>
        <v>1</v>
      </c>
      <c r="K31" s="11">
        <f t="shared" si="6"/>
        <v>3</v>
      </c>
      <c r="L31" s="11">
        <f t="shared" si="7"/>
        <v>0</v>
      </c>
      <c r="O31" s="40"/>
      <c r="P31" s="41"/>
      <c r="Q31" s="41"/>
      <c r="R31" s="41"/>
      <c r="S31" s="41"/>
      <c r="T31" s="41"/>
      <c r="U31" s="40"/>
      <c r="V31" s="40"/>
      <c r="W31" s="40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0"/>
        <v>0</v>
      </c>
      <c r="AH31" s="108">
        <f t="shared" si="1"/>
        <v>0</v>
      </c>
      <c r="AI31" s="108">
        <f t="shared" si="10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40"/>
      <c r="AO31" s="41"/>
    </row>
    <row r="32" spans="2:41" ht="15.75" thickBot="1">
      <c r="B32" s="18">
        <v>25</v>
      </c>
      <c r="C32" s="19">
        <v>41810</v>
      </c>
      <c r="D32" s="20" t="s">
        <v>25</v>
      </c>
      <c r="E32" s="21" t="s">
        <v>9</v>
      </c>
      <c r="F32" s="30" t="s">
        <v>27</v>
      </c>
      <c r="G32" s="86">
        <v>0</v>
      </c>
      <c r="H32" s="21" t="s">
        <v>9</v>
      </c>
      <c r="I32" s="91">
        <v>1</v>
      </c>
      <c r="J32" s="23">
        <f t="shared" si="5"/>
        <v>2</v>
      </c>
      <c r="K32" s="11">
        <f t="shared" si="6"/>
        <v>0</v>
      </c>
      <c r="L32" s="11">
        <f t="shared" si="7"/>
        <v>3</v>
      </c>
      <c r="O32" s="72" t="s">
        <v>66</v>
      </c>
      <c r="P32" s="73" t="s">
        <v>42</v>
      </c>
      <c r="Q32" s="73" t="s">
        <v>43</v>
      </c>
      <c r="R32" s="74" t="s">
        <v>44</v>
      </c>
      <c r="S32" s="75" t="s">
        <v>45</v>
      </c>
      <c r="T32" s="76" t="s">
        <v>46</v>
      </c>
      <c r="U32" s="40"/>
      <c r="V32" s="40"/>
      <c r="W32" s="40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0"/>
        <v>0</v>
      </c>
      <c r="AH32" s="108">
        <f t="shared" si="1"/>
        <v>0</v>
      </c>
      <c r="AI32" s="108">
        <f t="shared" si="10"/>
        <v>0</v>
      </c>
      <c r="AJ32" s="108">
        <f t="shared" si="2"/>
        <v>0</v>
      </c>
      <c r="AK32" s="108">
        <f t="shared" si="3"/>
        <v>5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24">
        <v>26</v>
      </c>
      <c r="C33" s="25">
        <v>41810</v>
      </c>
      <c r="D33" s="26" t="s">
        <v>28</v>
      </c>
      <c r="E33" s="27" t="s">
        <v>9</v>
      </c>
      <c r="F33" s="28" t="s">
        <v>26</v>
      </c>
      <c r="G33" s="87">
        <v>0</v>
      </c>
      <c r="H33" s="27" t="s">
        <v>9</v>
      </c>
      <c r="I33" s="92">
        <v>0</v>
      </c>
      <c r="J33" s="29">
        <f t="shared" si="5"/>
        <v>3</v>
      </c>
      <c r="K33" s="11">
        <f t="shared" si="6"/>
        <v>1</v>
      </c>
      <c r="L33" s="11">
        <f t="shared" si="7"/>
        <v>1</v>
      </c>
      <c r="O33" s="44" t="s">
        <v>25</v>
      </c>
      <c r="P33" s="45">
        <f>SUMIF($D$8:$D$55,$O33,$G$8:$G$55)+SUMIF($F$8:$F$55,$O33,$I$8:$I$55)</f>
        <v>1</v>
      </c>
      <c r="Q33" s="45">
        <f>SUMIF($D$8:$D$55,$O33,$I$8:$I$55)+SUMIF($F$8:$F$55,$O33,$G$8:$G$55)</f>
        <v>2</v>
      </c>
      <c r="R33" s="46">
        <f>P33-Q33</f>
        <v>-1</v>
      </c>
      <c r="S33" s="47">
        <f>SUMIF($D$8:$D$55,$O33,$K$8:$K$55)+SUMIF($F$8:$F$55,$O33,$L$8:$L$55)</f>
        <v>3</v>
      </c>
      <c r="T33" s="94" t="s">
        <v>68</v>
      </c>
      <c r="U33" s="40"/>
      <c r="V33" s="40" t="str">
        <f>O33</f>
        <v>Zwitserland</v>
      </c>
      <c r="W33" s="40" t="s">
        <v>67</v>
      </c>
      <c r="Y33" s="109">
        <f t="shared" si="8"/>
        <v>0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0</v>
      </c>
      <c r="AG33" s="108">
        <f t="shared" si="0"/>
        <v>0</v>
      </c>
      <c r="AH33" s="108">
        <f t="shared" si="1"/>
        <v>0</v>
      </c>
      <c r="AI33" s="108">
        <f t="shared" si="10"/>
        <v>0</v>
      </c>
      <c r="AJ33" s="108">
        <f t="shared" si="2"/>
        <v>0</v>
      </c>
      <c r="AK33" s="108">
        <f t="shared" si="3"/>
        <v>0</v>
      </c>
      <c r="AL33" s="108">
        <f t="shared" si="4"/>
        <v>0</v>
      </c>
      <c r="AM33" s="120">
        <f>AO33</f>
        <v>10</v>
      </c>
      <c r="AN33" s="116" t="s">
        <v>25</v>
      </c>
      <c r="AO33" s="115">
        <f>IF(Uitslag!T33="",0,IF(T33=Uitslag!T33,10,0))</f>
        <v>10</v>
      </c>
    </row>
    <row r="34" spans="2:41" ht="15.75" thickBot="1">
      <c r="B34" s="12">
        <v>27</v>
      </c>
      <c r="C34" s="13">
        <v>41811</v>
      </c>
      <c r="D34" s="14" t="s">
        <v>29</v>
      </c>
      <c r="E34" s="15" t="s">
        <v>9</v>
      </c>
      <c r="F34" s="16" t="s">
        <v>33</v>
      </c>
      <c r="G34" s="85">
        <v>2</v>
      </c>
      <c r="H34" s="15" t="s">
        <v>9</v>
      </c>
      <c r="I34" s="90">
        <v>0</v>
      </c>
      <c r="J34" s="17">
        <f t="shared" si="5"/>
        <v>1</v>
      </c>
      <c r="K34" s="11">
        <f t="shared" si="6"/>
        <v>3</v>
      </c>
      <c r="L34" s="11">
        <f t="shared" si="7"/>
        <v>0</v>
      </c>
      <c r="O34" s="48" t="s">
        <v>26</v>
      </c>
      <c r="P34" s="49">
        <f>SUMIF($D$8:$D$55,$O34,$G$8:$G$55)+SUMIF($F$8:$F$55,$O34,$I$8:$I$55)</f>
        <v>1</v>
      </c>
      <c r="Q34" s="49">
        <f>SUMIF($D$8:$D$55,$O34,$I$8:$I$55)+SUMIF($F$8:$F$55,$O34,$G$8:$G$55)</f>
        <v>2</v>
      </c>
      <c r="R34" s="49">
        <f>P34-Q34</f>
        <v>-1</v>
      </c>
      <c r="S34" s="50">
        <f>SUMIF($D$8:$D$55,$O34,$K$8:$K$55)+SUMIF($F$8:$F$55,$O34,$L$8:$L$55)</f>
        <v>4</v>
      </c>
      <c r="T34" s="95" t="s">
        <v>69</v>
      </c>
      <c r="U34" s="40"/>
      <c r="V34" s="40" t="str">
        <f>O34</f>
        <v>Ecuador</v>
      </c>
      <c r="W34" s="40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0"/>
        <v>0</v>
      </c>
      <c r="AH34" s="108">
        <f t="shared" si="1"/>
        <v>1</v>
      </c>
      <c r="AI34" s="108">
        <f t="shared" si="10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10</v>
      </c>
      <c r="AN34" s="117" t="s">
        <v>26</v>
      </c>
      <c r="AO34" s="115">
        <f>IF(Uitslag!T34="",0,IF(T34=Uitslag!T34,10,0))</f>
        <v>10</v>
      </c>
    </row>
    <row r="35" spans="2:41" ht="15.75" thickBot="1">
      <c r="B35" s="18">
        <v>28</v>
      </c>
      <c r="C35" s="19">
        <v>41811</v>
      </c>
      <c r="D35" s="20" t="s">
        <v>31</v>
      </c>
      <c r="E35" s="21" t="s">
        <v>9</v>
      </c>
      <c r="F35" s="30" t="s">
        <v>35</v>
      </c>
      <c r="G35" s="86">
        <v>2</v>
      </c>
      <c r="H35" s="21" t="s">
        <v>9</v>
      </c>
      <c r="I35" s="91">
        <v>0</v>
      </c>
      <c r="J35" s="23">
        <f t="shared" si="5"/>
        <v>1</v>
      </c>
      <c r="K35" s="11">
        <f t="shared" si="6"/>
        <v>3</v>
      </c>
      <c r="L35" s="11">
        <f t="shared" si="7"/>
        <v>0</v>
      </c>
      <c r="O35" s="48" t="s">
        <v>27</v>
      </c>
      <c r="P35" s="49">
        <f>SUMIF($D$8:$D$55,$O35,$G$8:$G$55)+SUMIF($F$8:$F$55,$O35,$I$8:$I$55)</f>
        <v>5</v>
      </c>
      <c r="Q35" s="49">
        <f>SUMIF($D$8:$D$55,$O35,$I$8:$I$55)+SUMIF($F$8:$F$55,$O35,$G$8:$G$55)</f>
        <v>0</v>
      </c>
      <c r="R35" s="49">
        <f>P35-Q35</f>
        <v>5</v>
      </c>
      <c r="S35" s="50">
        <f>SUMIF($D$8:$D$55,$O35,$K$8:$K$55)+SUMIF($F$8:$F$55,$O35,$L$8:$L$55)</f>
        <v>9</v>
      </c>
      <c r="T35" s="95" t="s">
        <v>67</v>
      </c>
      <c r="U35" s="40"/>
      <c r="V35" s="40" t="str">
        <f>O35</f>
        <v>Frankrijk</v>
      </c>
      <c r="W35" s="40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0"/>
        <v>1</v>
      </c>
      <c r="AH35" s="108">
        <f t="shared" si="1"/>
        <v>0</v>
      </c>
      <c r="AI35" s="108">
        <f t="shared" si="10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24">
        <v>29</v>
      </c>
      <c r="C36" s="25">
        <v>41811</v>
      </c>
      <c r="D36" s="26" t="s">
        <v>34</v>
      </c>
      <c r="E36" s="27" t="s">
        <v>9</v>
      </c>
      <c r="F36" s="28" t="s">
        <v>30</v>
      </c>
      <c r="G36" s="87">
        <v>1</v>
      </c>
      <c r="H36" s="27" t="s">
        <v>9</v>
      </c>
      <c r="I36" s="92">
        <v>1</v>
      </c>
      <c r="J36" s="29">
        <f t="shared" si="5"/>
        <v>3</v>
      </c>
      <c r="K36" s="11">
        <f t="shared" si="6"/>
        <v>1</v>
      </c>
      <c r="L36" s="11">
        <f t="shared" si="7"/>
        <v>1</v>
      </c>
      <c r="O36" s="51" t="s">
        <v>28</v>
      </c>
      <c r="P36" s="52">
        <f>SUMIF($D$8:$D$55,$O36,$G$8:$G$55)+SUMIF($F$8:$F$55,$O36,$I$8:$I$55)</f>
        <v>0</v>
      </c>
      <c r="Q36" s="52">
        <f>SUMIF($D$8:$D$55,$O36,$I$8:$I$55)+SUMIF($F$8:$F$55,$O36,$G$8:$G$55)</f>
        <v>3</v>
      </c>
      <c r="R36" s="52">
        <f>P36-Q36</f>
        <v>-3</v>
      </c>
      <c r="S36" s="53">
        <f>SUMIF($D$8:$D$55,$O36,$K$8:$K$55)+SUMIF($F$8:$F$55,$O36,$L$8:$L$55)</f>
        <v>1</v>
      </c>
      <c r="T36" s="96" t="s">
        <v>70</v>
      </c>
      <c r="U36" s="40"/>
      <c r="V36" s="40" t="str">
        <f>O36</f>
        <v>Honduras</v>
      </c>
      <c r="W36" s="40" t="s">
        <v>70</v>
      </c>
      <c r="Y36" s="109">
        <f t="shared" si="8"/>
        <v>1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1</v>
      </c>
      <c r="AG36" s="108">
        <f t="shared" si="0"/>
        <v>1</v>
      </c>
      <c r="AH36" s="108">
        <f t="shared" si="1"/>
        <v>0</v>
      </c>
      <c r="AI36" s="108">
        <f t="shared" si="10"/>
        <v>0</v>
      </c>
      <c r="AJ36" s="108">
        <f t="shared" si="2"/>
        <v>0</v>
      </c>
      <c r="AK36" s="108">
        <f t="shared" si="3"/>
        <v>0</v>
      </c>
      <c r="AL36" s="108">
        <f t="shared" si="4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12">
        <v>30</v>
      </c>
      <c r="C37" s="13">
        <v>41812</v>
      </c>
      <c r="D37" s="14" t="s">
        <v>37</v>
      </c>
      <c r="E37" s="15" t="s">
        <v>9</v>
      </c>
      <c r="F37" s="16" t="s">
        <v>39</v>
      </c>
      <c r="G37" s="85">
        <v>1</v>
      </c>
      <c r="H37" s="15" t="s">
        <v>9</v>
      </c>
      <c r="I37" s="90">
        <v>1</v>
      </c>
      <c r="J37" s="17">
        <f t="shared" si="5"/>
        <v>3</v>
      </c>
      <c r="K37" s="11">
        <f t="shared" si="6"/>
        <v>1</v>
      </c>
      <c r="L37" s="11">
        <f t="shared" si="7"/>
        <v>1</v>
      </c>
      <c r="O37" s="40"/>
      <c r="P37" s="41"/>
      <c r="Q37" s="41"/>
      <c r="R37" s="41"/>
      <c r="S37" s="41"/>
      <c r="T37" s="41"/>
      <c r="U37" s="40"/>
      <c r="V37" s="40"/>
      <c r="W37" s="40"/>
      <c r="Y37" s="109">
        <f t="shared" si="8"/>
        <v>1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1</v>
      </c>
      <c r="AG37" s="108">
        <f t="shared" si="0"/>
        <v>1</v>
      </c>
      <c r="AH37" s="108">
        <f t="shared" si="1"/>
        <v>0</v>
      </c>
      <c r="AI37" s="108">
        <f t="shared" si="10"/>
        <v>0</v>
      </c>
      <c r="AJ37" s="108">
        <f t="shared" si="2"/>
        <v>0</v>
      </c>
      <c r="AK37" s="108">
        <f t="shared" si="3"/>
        <v>0</v>
      </c>
      <c r="AL37" s="108">
        <f t="shared" si="4"/>
        <v>0</v>
      </c>
      <c r="AN37" s="40"/>
      <c r="AO37" s="41"/>
    </row>
    <row r="38" spans="2:41" ht="15.75" thickBot="1">
      <c r="B38" s="18">
        <v>31</v>
      </c>
      <c r="C38" s="19">
        <v>41812</v>
      </c>
      <c r="D38" s="20" t="s">
        <v>40</v>
      </c>
      <c r="E38" s="21" t="s">
        <v>9</v>
      </c>
      <c r="F38" s="30" t="s">
        <v>38</v>
      </c>
      <c r="G38" s="86">
        <v>1</v>
      </c>
      <c r="H38" s="21" t="s">
        <v>9</v>
      </c>
      <c r="I38" s="91">
        <v>0</v>
      </c>
      <c r="J38" s="23">
        <f t="shared" si="5"/>
        <v>1</v>
      </c>
      <c r="K38" s="11">
        <f t="shared" si="6"/>
        <v>3</v>
      </c>
      <c r="L38" s="11">
        <f t="shared" si="7"/>
        <v>0</v>
      </c>
      <c r="O38" s="72" t="s">
        <v>71</v>
      </c>
      <c r="P38" s="73" t="s">
        <v>42</v>
      </c>
      <c r="Q38" s="73" t="s">
        <v>43</v>
      </c>
      <c r="R38" s="74" t="s">
        <v>44</v>
      </c>
      <c r="S38" s="75" t="s">
        <v>45</v>
      </c>
      <c r="T38" s="76" t="s">
        <v>46</v>
      </c>
      <c r="U38" s="40"/>
      <c r="V38" s="40"/>
      <c r="W38" s="40"/>
      <c r="Y38" s="109">
        <f t="shared" si="8"/>
        <v>0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0</v>
      </c>
      <c r="AG38" s="108">
        <f t="shared" si="0"/>
        <v>0</v>
      </c>
      <c r="AH38" s="108">
        <f t="shared" si="1"/>
        <v>0</v>
      </c>
      <c r="AI38" s="108">
        <f t="shared" si="10"/>
        <v>0</v>
      </c>
      <c r="AJ38" s="108">
        <f t="shared" si="2"/>
        <v>0</v>
      </c>
      <c r="AK38" s="108">
        <f t="shared" si="3"/>
        <v>0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24">
        <v>32</v>
      </c>
      <c r="C39" s="25">
        <v>41812</v>
      </c>
      <c r="D39" s="26" t="s">
        <v>36</v>
      </c>
      <c r="E39" s="27" t="s">
        <v>9</v>
      </c>
      <c r="F39" s="28" t="s">
        <v>32</v>
      </c>
      <c r="G39" s="87">
        <v>0</v>
      </c>
      <c r="H39" s="27" t="s">
        <v>9</v>
      </c>
      <c r="I39" s="92">
        <v>2</v>
      </c>
      <c r="J39" s="29">
        <f t="shared" si="5"/>
        <v>2</v>
      </c>
      <c r="K39" s="11">
        <f t="shared" si="6"/>
        <v>0</v>
      </c>
      <c r="L39" s="11">
        <f t="shared" si="7"/>
        <v>3</v>
      </c>
      <c r="O39" s="44" t="s">
        <v>29</v>
      </c>
      <c r="P39" s="45">
        <f>SUMIF($D$8:$D$55,$O39,$G$8:$G$55)+SUMIF($F$8:$F$55,$O39,$I$8:$I$55)</f>
        <v>6</v>
      </c>
      <c r="Q39" s="45">
        <f>SUMIF($D$8:$D$55,$O39,$I$8:$I$55)+SUMIF($F$8:$F$55,$O39,$G$8:$G$55)</f>
        <v>0</v>
      </c>
      <c r="R39" s="46">
        <f>P39-Q39</f>
        <v>6</v>
      </c>
      <c r="S39" s="47">
        <f>SUMIF($D$8:$D$55,$O39,$K$8:$K$55)+SUMIF($F$8:$F$55,$O39,$L$8:$L$55)</f>
        <v>9</v>
      </c>
      <c r="T39" s="94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1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1</v>
      </c>
      <c r="AG39" s="108">
        <f t="shared" si="0"/>
        <v>0</v>
      </c>
      <c r="AH39" s="108">
        <f t="shared" si="1"/>
        <v>1</v>
      </c>
      <c r="AI39" s="108">
        <f t="shared" si="10"/>
        <v>0</v>
      </c>
      <c r="AJ39" s="108">
        <f t="shared" si="2"/>
        <v>0</v>
      </c>
      <c r="AK39" s="108">
        <f t="shared" si="3"/>
        <v>0</v>
      </c>
      <c r="AL39" s="108">
        <f t="shared" si="4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12">
        <v>33</v>
      </c>
      <c r="C40" s="13">
        <v>41813</v>
      </c>
      <c r="D40" s="14" t="s">
        <v>16</v>
      </c>
      <c r="E40" s="15" t="s">
        <v>9</v>
      </c>
      <c r="F40" s="16" t="s">
        <v>13</v>
      </c>
      <c r="G40" s="85">
        <v>0</v>
      </c>
      <c r="H40" s="15" t="s">
        <v>9</v>
      </c>
      <c r="I40" s="90">
        <v>2</v>
      </c>
      <c r="J40" s="17">
        <f t="shared" si="5"/>
        <v>2</v>
      </c>
      <c r="K40" s="11">
        <f t="shared" si="6"/>
        <v>0</v>
      </c>
      <c r="L40" s="11">
        <f t="shared" si="7"/>
        <v>3</v>
      </c>
      <c r="O40" s="48" t="s">
        <v>30</v>
      </c>
      <c r="P40" s="49">
        <f>SUMIF($D$8:$D$55,$O40,$G$8:$G$55)+SUMIF($F$8:$F$55,$O40,$I$8:$I$55)</f>
        <v>2</v>
      </c>
      <c r="Q40" s="49">
        <f>SUMIF($D$8:$D$55,$O40,$I$8:$I$55)+SUMIF($F$8:$F$55,$O40,$G$8:$G$55)</f>
        <v>5</v>
      </c>
      <c r="R40" s="49">
        <f>P40-Q40</f>
        <v>-3</v>
      </c>
      <c r="S40" s="50">
        <f>SUMIF($D$8:$D$55,$O40,$K$8:$K$55)+SUMIF($F$8:$F$55,$O40,$L$8:$L$55)</f>
        <v>2</v>
      </c>
      <c r="T40" s="95" t="s">
        <v>74</v>
      </c>
      <c r="U40" s="40"/>
      <c r="V40" s="40" t="str">
        <f>O40</f>
        <v>Bosnië H.</v>
      </c>
      <c r="W40" s="40" t="s">
        <v>73</v>
      </c>
      <c r="Y40" s="109">
        <f t="shared" si="8"/>
        <v>6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6</v>
      </c>
      <c r="AG40" s="108">
        <f t="shared" si="0"/>
        <v>1</v>
      </c>
      <c r="AH40" s="108">
        <f t="shared" si="1"/>
        <v>0</v>
      </c>
      <c r="AI40" s="108">
        <f t="shared" si="10"/>
        <v>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18">
        <v>34</v>
      </c>
      <c r="C41" s="19">
        <v>41813</v>
      </c>
      <c r="D41" s="32" t="s">
        <v>14</v>
      </c>
      <c r="E41" s="21" t="s">
        <v>9</v>
      </c>
      <c r="F41" s="30" t="s">
        <v>15</v>
      </c>
      <c r="G41" s="86">
        <v>2</v>
      </c>
      <c r="H41" s="21" t="s">
        <v>9</v>
      </c>
      <c r="I41" s="91">
        <v>0</v>
      </c>
      <c r="J41" s="23">
        <f t="shared" si="5"/>
        <v>1</v>
      </c>
      <c r="K41" s="11">
        <f t="shared" si="6"/>
        <v>3</v>
      </c>
      <c r="L41" s="11">
        <f t="shared" si="7"/>
        <v>0</v>
      </c>
      <c r="O41" s="48" t="s">
        <v>33</v>
      </c>
      <c r="P41" s="49">
        <f>SUMIF($D$8:$D$55,$O41,$G$8:$G$55)+SUMIF($F$8:$F$55,$O41,$I$8:$I$55)</f>
        <v>1</v>
      </c>
      <c r="Q41" s="49">
        <f>SUMIF($D$8:$D$55,$O41,$I$8:$I$55)+SUMIF($F$8:$F$55,$O41,$G$8:$G$55)</f>
        <v>4</v>
      </c>
      <c r="R41" s="49">
        <f>P41-Q41</f>
        <v>-3</v>
      </c>
      <c r="S41" s="50">
        <f>SUMIF($D$8:$D$55,$O41,$K$8:$K$55)+SUMIF($F$8:$F$55,$O41,$L$8:$L$55)</f>
        <v>1</v>
      </c>
      <c r="T41" s="95" t="s">
        <v>75</v>
      </c>
      <c r="U41" s="40"/>
      <c r="V41" s="40" t="str">
        <f>O41</f>
        <v>Iran</v>
      </c>
      <c r="W41" s="40" t="s">
        <v>74</v>
      </c>
      <c r="Y41" s="109">
        <f t="shared" si="8"/>
        <v>10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10</v>
      </c>
      <c r="AG41" s="108">
        <f t="shared" si="0"/>
        <v>1</v>
      </c>
      <c r="AH41" s="108">
        <f t="shared" si="1"/>
        <v>1</v>
      </c>
      <c r="AI41" s="108">
        <f t="shared" si="10"/>
        <v>10</v>
      </c>
      <c r="AJ41" s="108">
        <f t="shared" si="2"/>
        <v>5</v>
      </c>
      <c r="AK41" s="108">
        <f t="shared" si="3"/>
        <v>0</v>
      </c>
      <c r="AL41" s="108">
        <f t="shared" si="4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18">
        <v>35</v>
      </c>
      <c r="C42" s="19">
        <v>41813</v>
      </c>
      <c r="D42" s="20" t="s">
        <v>12</v>
      </c>
      <c r="E42" s="21" t="s">
        <v>9</v>
      </c>
      <c r="F42" s="30" t="s">
        <v>8</v>
      </c>
      <c r="G42" s="86">
        <v>0</v>
      </c>
      <c r="H42" s="21" t="s">
        <v>9</v>
      </c>
      <c r="I42" s="91">
        <v>2</v>
      </c>
      <c r="J42" s="23">
        <f t="shared" si="5"/>
        <v>2</v>
      </c>
      <c r="K42" s="11">
        <f t="shared" si="6"/>
        <v>0</v>
      </c>
      <c r="L42" s="11">
        <f t="shared" si="7"/>
        <v>3</v>
      </c>
      <c r="O42" s="51" t="s">
        <v>34</v>
      </c>
      <c r="P42" s="52">
        <f>SUMIF($D$8:$D$55,$O42,$G$8:$G$55)+SUMIF($F$8:$F$55,$O42,$I$8:$I$55)</f>
        <v>2</v>
      </c>
      <c r="Q42" s="52">
        <f>SUMIF($D$8:$D$55,$O42,$I$8:$I$55)+SUMIF($F$8:$F$55,$O42,$G$8:$G$55)</f>
        <v>2</v>
      </c>
      <c r="R42" s="52">
        <f>P42-Q42</f>
        <v>0</v>
      </c>
      <c r="S42" s="53">
        <f>SUMIF($D$8:$D$55,$O42,$K$8:$K$55)+SUMIF($F$8:$F$55,$O42,$L$8:$L$55)</f>
        <v>4</v>
      </c>
      <c r="T42" s="96" t="s">
        <v>73</v>
      </c>
      <c r="U42" s="40"/>
      <c r="V42" s="40" t="str">
        <f>O42</f>
        <v>Nigeria</v>
      </c>
      <c r="W42" s="40" t="s">
        <v>75</v>
      </c>
      <c r="Y42" s="109">
        <f t="shared" si="8"/>
        <v>5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5</v>
      </c>
      <c r="AG42" s="108">
        <f t="shared" si="0"/>
        <v>0</v>
      </c>
      <c r="AH42" s="108">
        <f t="shared" si="1"/>
        <v>0</v>
      </c>
      <c r="AI42" s="108">
        <f t="shared" si="10"/>
        <v>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24">
        <v>36</v>
      </c>
      <c r="C43" s="25">
        <v>41813</v>
      </c>
      <c r="D43" s="26" t="s">
        <v>10</v>
      </c>
      <c r="E43" s="27" t="s">
        <v>9</v>
      </c>
      <c r="F43" s="28" t="s">
        <v>11</v>
      </c>
      <c r="G43" s="87">
        <v>1</v>
      </c>
      <c r="H43" s="27" t="s">
        <v>9</v>
      </c>
      <c r="I43" s="92">
        <v>1</v>
      </c>
      <c r="J43" s="29">
        <f t="shared" si="5"/>
        <v>3</v>
      </c>
      <c r="K43" s="11">
        <f t="shared" si="6"/>
        <v>1</v>
      </c>
      <c r="L43" s="11">
        <f t="shared" si="7"/>
        <v>1</v>
      </c>
      <c r="O43" s="40"/>
      <c r="P43" s="41"/>
      <c r="Q43" s="41"/>
      <c r="R43" s="41"/>
      <c r="S43" s="41"/>
      <c r="T43" s="41"/>
      <c r="U43" s="40"/>
      <c r="V43" s="40"/>
      <c r="W43" s="40"/>
      <c r="Y43" s="109">
        <f t="shared" si="8"/>
        <v>1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1</v>
      </c>
      <c r="AG43" s="108">
        <f t="shared" si="0"/>
        <v>1</v>
      </c>
      <c r="AH43" s="108">
        <f t="shared" si="1"/>
        <v>0</v>
      </c>
      <c r="AI43" s="108">
        <f t="shared" si="10"/>
        <v>0</v>
      </c>
      <c r="AJ43" s="108">
        <f t="shared" si="2"/>
        <v>0</v>
      </c>
      <c r="AK43" s="108">
        <f t="shared" si="3"/>
        <v>0</v>
      </c>
      <c r="AL43" s="108">
        <f t="shared" si="4"/>
        <v>0</v>
      </c>
      <c r="AN43" s="40"/>
      <c r="AO43" s="41"/>
    </row>
    <row r="44" spans="2:41" ht="15.75" thickBot="1">
      <c r="B44" s="12">
        <v>37</v>
      </c>
      <c r="C44" s="13">
        <v>41814</v>
      </c>
      <c r="D44" s="14" t="s">
        <v>22</v>
      </c>
      <c r="E44" s="15" t="s">
        <v>9</v>
      </c>
      <c r="F44" s="16" t="s">
        <v>19</v>
      </c>
      <c r="G44" s="85">
        <v>2</v>
      </c>
      <c r="H44" s="15" t="s">
        <v>9</v>
      </c>
      <c r="I44" s="90">
        <v>0</v>
      </c>
      <c r="J44" s="17">
        <f t="shared" si="5"/>
        <v>1</v>
      </c>
      <c r="K44" s="11">
        <f t="shared" si="6"/>
        <v>3</v>
      </c>
      <c r="L44" s="11">
        <f t="shared" si="7"/>
        <v>0</v>
      </c>
      <c r="O44" s="72" t="s">
        <v>76</v>
      </c>
      <c r="P44" s="73" t="s">
        <v>42</v>
      </c>
      <c r="Q44" s="73" t="s">
        <v>43</v>
      </c>
      <c r="R44" s="74" t="s">
        <v>44</v>
      </c>
      <c r="S44" s="75" t="s">
        <v>45</v>
      </c>
      <c r="T44" s="76" t="s">
        <v>46</v>
      </c>
      <c r="U44" s="40"/>
      <c r="V44" s="40"/>
      <c r="W44" s="40"/>
      <c r="Y44" s="109">
        <f t="shared" si="8"/>
        <v>0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0</v>
      </c>
      <c r="AG44" s="108">
        <f t="shared" si="0"/>
        <v>0</v>
      </c>
      <c r="AH44" s="108">
        <f t="shared" si="1"/>
        <v>0</v>
      </c>
      <c r="AI44" s="108">
        <f t="shared" si="10"/>
        <v>0</v>
      </c>
      <c r="AJ44" s="108">
        <f t="shared" si="2"/>
        <v>0</v>
      </c>
      <c r="AK44" s="108">
        <f t="shared" si="3"/>
        <v>0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18">
        <v>38</v>
      </c>
      <c r="C45" s="19">
        <v>41814</v>
      </c>
      <c r="D45" s="20" t="s">
        <v>20</v>
      </c>
      <c r="E45" s="21" t="s">
        <v>9</v>
      </c>
      <c r="F45" s="30" t="s">
        <v>21</v>
      </c>
      <c r="G45" s="86">
        <v>0</v>
      </c>
      <c r="H45" s="21" t="s">
        <v>9</v>
      </c>
      <c r="I45" s="91">
        <v>2</v>
      </c>
      <c r="J45" s="23">
        <f t="shared" si="5"/>
        <v>2</v>
      </c>
      <c r="K45" s="11">
        <f t="shared" si="6"/>
        <v>0</v>
      </c>
      <c r="L45" s="11">
        <f t="shared" si="7"/>
        <v>3</v>
      </c>
      <c r="O45" s="44" t="s">
        <v>31</v>
      </c>
      <c r="P45" s="45">
        <f>SUMIF($D$8:$D$55,$O45,$G$8:$G$55)+SUMIF($F$8:$F$55,$O45,$I$8:$I$55)</f>
        <v>5</v>
      </c>
      <c r="Q45" s="45">
        <f>SUMIF($D$8:$D$55,$O45,$I$8:$I$55)+SUMIF($F$8:$F$55,$O45,$G$8:$G$55)</f>
        <v>2</v>
      </c>
      <c r="R45" s="46">
        <f>P45-Q45</f>
        <v>3</v>
      </c>
      <c r="S45" s="47">
        <f>SUMIF($D$8:$D$55,$O45,$K$8:$K$55)+SUMIF($F$8:$F$55,$O45,$L$8:$L$55)</f>
        <v>7</v>
      </c>
      <c r="T45" s="94" t="s">
        <v>77</v>
      </c>
      <c r="U45" s="40"/>
      <c r="V45" s="40" t="str">
        <f>O45</f>
        <v>Duitsland</v>
      </c>
      <c r="W45" s="40" t="s">
        <v>77</v>
      </c>
      <c r="Y45" s="109">
        <f t="shared" si="8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1</v>
      </c>
      <c r="AG45" s="108">
        <f t="shared" si="0"/>
        <v>1</v>
      </c>
      <c r="AH45" s="108">
        <f t="shared" si="1"/>
        <v>0</v>
      </c>
      <c r="AI45" s="108">
        <f t="shared" si="10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18">
        <v>39</v>
      </c>
      <c r="C46" s="19">
        <v>41814</v>
      </c>
      <c r="D46" s="20" t="s">
        <v>24</v>
      </c>
      <c r="E46" s="21" t="s">
        <v>9</v>
      </c>
      <c r="F46" s="30" t="s">
        <v>17</v>
      </c>
      <c r="G46" s="86">
        <v>0</v>
      </c>
      <c r="H46" s="21" t="s">
        <v>9</v>
      </c>
      <c r="I46" s="91">
        <v>1</v>
      </c>
      <c r="J46" s="23">
        <f t="shared" si="5"/>
        <v>2</v>
      </c>
      <c r="K46" s="11">
        <f t="shared" si="6"/>
        <v>0</v>
      </c>
      <c r="L46" s="11">
        <f t="shared" si="7"/>
        <v>3</v>
      </c>
      <c r="O46" s="48" t="s">
        <v>32</v>
      </c>
      <c r="P46" s="49">
        <f>SUMIF($D$8:$D$55,$O46,$G$8:$G$55)+SUMIF($F$8:$F$55,$O46,$I$8:$I$55)</f>
        <v>5</v>
      </c>
      <c r="Q46" s="49">
        <f>SUMIF($D$8:$D$55,$O46,$I$8:$I$55)+SUMIF($F$8:$F$55,$O46,$G$8:$G$55)</f>
        <v>1</v>
      </c>
      <c r="R46" s="49">
        <f>P46-Q46</f>
        <v>4</v>
      </c>
      <c r="S46" s="50">
        <f>SUMIF($D$8:$D$55,$O46,$K$8:$K$55)+SUMIF($F$8:$F$55,$O46,$L$8:$L$55)</f>
        <v>7</v>
      </c>
      <c r="T46" s="95" t="s">
        <v>78</v>
      </c>
      <c r="U46" s="40"/>
      <c r="V46" s="40" t="str">
        <f>O46</f>
        <v>Portugal</v>
      </c>
      <c r="W46" s="40" t="s">
        <v>78</v>
      </c>
      <c r="Y46" s="109">
        <f t="shared" si="8"/>
        <v>5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5</v>
      </c>
      <c r="AG46" s="108">
        <f t="shared" si="0"/>
        <v>0</v>
      </c>
      <c r="AH46" s="108">
        <f t="shared" si="1"/>
        <v>0</v>
      </c>
      <c r="AI46" s="108">
        <f t="shared" si="10"/>
        <v>0</v>
      </c>
      <c r="AJ46" s="108">
        <f t="shared" si="2"/>
        <v>0</v>
      </c>
      <c r="AK46" s="108">
        <f t="shared" si="3"/>
        <v>5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24">
        <v>40</v>
      </c>
      <c r="C47" s="25">
        <v>41814</v>
      </c>
      <c r="D47" s="26" t="s">
        <v>18</v>
      </c>
      <c r="E47" s="27" t="s">
        <v>9</v>
      </c>
      <c r="F47" s="28" t="s">
        <v>23</v>
      </c>
      <c r="G47" s="87">
        <v>1</v>
      </c>
      <c r="H47" s="27" t="s">
        <v>9</v>
      </c>
      <c r="I47" s="92">
        <v>1</v>
      </c>
      <c r="J47" s="29">
        <f t="shared" si="5"/>
        <v>3</v>
      </c>
      <c r="K47" s="11">
        <f t="shared" si="6"/>
        <v>1</v>
      </c>
      <c r="L47" s="11">
        <f t="shared" si="7"/>
        <v>1</v>
      </c>
      <c r="O47" s="48" t="s">
        <v>35</v>
      </c>
      <c r="P47" s="49">
        <f>SUMIF($D$8:$D$55,$O47,$G$8:$G$55)+SUMIF($F$8:$F$55,$O47,$I$8:$I$55)</f>
        <v>0</v>
      </c>
      <c r="Q47" s="49">
        <f>SUMIF($D$8:$D$55,$O47,$I$8:$I$55)+SUMIF($F$8:$F$55,$O47,$G$8:$G$55)</f>
        <v>4</v>
      </c>
      <c r="R47" s="49">
        <f>P47-Q47</f>
        <v>-4</v>
      </c>
      <c r="S47" s="50">
        <f>SUMIF($D$8:$D$55,$O47,$K$8:$K$55)+SUMIF($F$8:$F$55,$O47,$L$8:$L$55)</f>
        <v>1</v>
      </c>
      <c r="T47" s="95" t="s">
        <v>80</v>
      </c>
      <c r="U47" s="40"/>
      <c r="V47" s="40" t="str">
        <f>O47</f>
        <v>Ghana</v>
      </c>
      <c r="W47" s="40" t="s">
        <v>79</v>
      </c>
      <c r="Y47" s="109">
        <f t="shared" si="8"/>
        <v>1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1</v>
      </c>
      <c r="AG47" s="108">
        <f t="shared" si="0"/>
        <v>0</v>
      </c>
      <c r="AH47" s="108">
        <f t="shared" si="1"/>
        <v>1</v>
      </c>
      <c r="AI47" s="108">
        <f t="shared" si="10"/>
        <v>0</v>
      </c>
      <c r="AJ47" s="108">
        <f t="shared" si="2"/>
        <v>0</v>
      </c>
      <c r="AK47" s="108">
        <f t="shared" si="3"/>
        <v>0</v>
      </c>
      <c r="AL47" s="108">
        <f t="shared" si="4"/>
        <v>0</v>
      </c>
      <c r="AM47" s="120">
        <f>AO47</f>
        <v>10</v>
      </c>
      <c r="AN47" s="117" t="s">
        <v>35</v>
      </c>
      <c r="AO47" s="115">
        <f>IF(Uitslag!T47="",0,IF(T47=Uitslag!T47,10,0))</f>
        <v>10</v>
      </c>
    </row>
    <row r="48" spans="2:41" ht="15.75" thickBot="1">
      <c r="B48" s="12">
        <v>41</v>
      </c>
      <c r="C48" s="13">
        <v>41815</v>
      </c>
      <c r="D48" s="14" t="s">
        <v>34</v>
      </c>
      <c r="E48" s="15" t="s">
        <v>9</v>
      </c>
      <c r="F48" s="16" t="s">
        <v>29</v>
      </c>
      <c r="G48" s="85">
        <v>0</v>
      </c>
      <c r="H48" s="15" t="s">
        <v>9</v>
      </c>
      <c r="I48" s="90">
        <v>1</v>
      </c>
      <c r="J48" s="17">
        <f t="shared" si="5"/>
        <v>2</v>
      </c>
      <c r="K48" s="11">
        <f t="shared" si="6"/>
        <v>0</v>
      </c>
      <c r="L48" s="11">
        <f t="shared" si="7"/>
        <v>3</v>
      </c>
      <c r="O48" s="51" t="s">
        <v>36</v>
      </c>
      <c r="P48" s="52">
        <f>SUMIF($D$8:$D$55,$O48,$G$8:$G$55)+SUMIF($F$8:$F$55,$O48,$I$8:$I$55)</f>
        <v>1</v>
      </c>
      <c r="Q48" s="52">
        <f>SUMIF($D$8:$D$55,$O48,$I$8:$I$55)+SUMIF($F$8:$F$55,$O48,$G$8:$G$55)</f>
        <v>4</v>
      </c>
      <c r="R48" s="52">
        <f>P48-Q48</f>
        <v>-3</v>
      </c>
      <c r="S48" s="53">
        <f>SUMIF($D$8:$D$55,$O48,$K$8:$K$55)+SUMIF($F$8:$F$55,$O48,$L$8:$L$55)</f>
        <v>1</v>
      </c>
      <c r="T48" s="96" t="s">
        <v>79</v>
      </c>
      <c r="U48" s="40"/>
      <c r="V48" s="40" t="str">
        <f>O48</f>
        <v>Verenigde Staten</v>
      </c>
      <c r="W48" s="40" t="s">
        <v>80</v>
      </c>
      <c r="Y48" s="109">
        <f t="shared" si="8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5</v>
      </c>
      <c r="AG48" s="108">
        <f t="shared" si="0"/>
        <v>0</v>
      </c>
      <c r="AH48" s="108">
        <f t="shared" si="1"/>
        <v>0</v>
      </c>
      <c r="AI48" s="108">
        <f t="shared" si="10"/>
        <v>0</v>
      </c>
      <c r="AJ48" s="108">
        <f t="shared" si="2"/>
        <v>0</v>
      </c>
      <c r="AK48" s="108">
        <f t="shared" si="3"/>
        <v>5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18">
        <v>42</v>
      </c>
      <c r="C49" s="19">
        <v>41815</v>
      </c>
      <c r="D49" s="20" t="s">
        <v>30</v>
      </c>
      <c r="E49" s="21" t="s">
        <v>9</v>
      </c>
      <c r="F49" s="30" t="s">
        <v>33</v>
      </c>
      <c r="G49" s="86">
        <v>1</v>
      </c>
      <c r="H49" s="21" t="s">
        <v>9</v>
      </c>
      <c r="I49" s="91">
        <v>1</v>
      </c>
      <c r="J49" s="23">
        <f t="shared" si="5"/>
        <v>3</v>
      </c>
      <c r="K49" s="11">
        <f t="shared" si="6"/>
        <v>1</v>
      </c>
      <c r="L49" s="11">
        <f t="shared" si="7"/>
        <v>1</v>
      </c>
      <c r="O49" s="40"/>
      <c r="P49" s="41"/>
      <c r="Q49" s="41"/>
      <c r="R49" s="41"/>
      <c r="S49" s="41"/>
      <c r="T49" s="41"/>
      <c r="U49" s="40"/>
      <c r="V49" s="40"/>
      <c r="W49" s="40"/>
      <c r="Y49" s="109">
        <f t="shared" si="8"/>
        <v>1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1</v>
      </c>
      <c r="AG49" s="108">
        <f t="shared" si="0"/>
        <v>0</v>
      </c>
      <c r="AH49" s="108">
        <f t="shared" si="1"/>
        <v>1</v>
      </c>
      <c r="AI49" s="108">
        <f t="shared" si="10"/>
        <v>0</v>
      </c>
      <c r="AJ49" s="108">
        <f t="shared" si="2"/>
        <v>0</v>
      </c>
      <c r="AK49" s="108">
        <f t="shared" si="3"/>
        <v>0</v>
      </c>
      <c r="AL49" s="108">
        <f t="shared" si="4"/>
        <v>0</v>
      </c>
      <c r="AN49" s="40"/>
      <c r="AO49" s="41"/>
    </row>
    <row r="50" spans="2:54" ht="15.75" thickBot="1">
      <c r="B50" s="18">
        <v>43</v>
      </c>
      <c r="C50" s="19">
        <v>41815</v>
      </c>
      <c r="D50" s="20" t="s">
        <v>28</v>
      </c>
      <c r="E50" s="21" t="s">
        <v>9</v>
      </c>
      <c r="F50" s="30" t="s">
        <v>25</v>
      </c>
      <c r="G50" s="86">
        <v>0</v>
      </c>
      <c r="H50" s="21" t="s">
        <v>9</v>
      </c>
      <c r="I50" s="91">
        <v>1</v>
      </c>
      <c r="J50" s="23">
        <f t="shared" si="5"/>
        <v>2</v>
      </c>
      <c r="K50" s="11">
        <f t="shared" si="6"/>
        <v>0</v>
      </c>
      <c r="L50" s="11">
        <f t="shared" si="7"/>
        <v>3</v>
      </c>
      <c r="O50" s="72" t="s">
        <v>81</v>
      </c>
      <c r="P50" s="73" t="s">
        <v>42</v>
      </c>
      <c r="Q50" s="73" t="s">
        <v>43</v>
      </c>
      <c r="R50" s="74" t="s">
        <v>44</v>
      </c>
      <c r="S50" s="75" t="s">
        <v>45</v>
      </c>
      <c r="T50" s="76" t="s">
        <v>46</v>
      </c>
      <c r="U50" s="40"/>
      <c r="V50" s="40"/>
      <c r="W50" s="40"/>
      <c r="Y50" s="109">
        <f t="shared" si="8"/>
        <v>6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6</v>
      </c>
      <c r="AG50" s="108">
        <f t="shared" si="0"/>
        <v>1</v>
      </c>
      <c r="AH50" s="108">
        <f t="shared" si="1"/>
        <v>0</v>
      </c>
      <c r="AI50" s="108">
        <f t="shared" si="10"/>
        <v>0</v>
      </c>
      <c r="AJ50" s="108">
        <f t="shared" si="2"/>
        <v>0</v>
      </c>
      <c r="AK50" s="108">
        <f t="shared" si="3"/>
        <v>5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24">
        <v>44</v>
      </c>
      <c r="C51" s="25">
        <v>41815</v>
      </c>
      <c r="D51" s="26" t="s">
        <v>26</v>
      </c>
      <c r="E51" s="27" t="s">
        <v>9</v>
      </c>
      <c r="F51" s="28" t="s">
        <v>27</v>
      </c>
      <c r="G51" s="87">
        <v>0</v>
      </c>
      <c r="H51" s="27" t="s">
        <v>9</v>
      </c>
      <c r="I51" s="92">
        <v>2</v>
      </c>
      <c r="J51" s="29">
        <f t="shared" si="5"/>
        <v>2</v>
      </c>
      <c r="K51" s="11">
        <f t="shared" si="6"/>
        <v>0</v>
      </c>
      <c r="L51" s="11">
        <f>IF(I51="","",IF($G51&lt;$I51,3,IF($G51=$I51,1,0)))</f>
        <v>3</v>
      </c>
      <c r="O51" s="44" t="s">
        <v>37</v>
      </c>
      <c r="P51" s="45">
        <f>SUMIF($D$8:$D$55,$O51,$G$8:$G$55)+SUMIF($F$8:$F$55,$O51,$I$8:$I$55)</f>
        <v>3</v>
      </c>
      <c r="Q51" s="45">
        <f>SUMIF($D$8:$D$55,$O51,$I$8:$I$55)+SUMIF($F$8:$F$55,$O51,$G$8:$G$55)</f>
        <v>2</v>
      </c>
      <c r="R51" s="46">
        <f>P51-Q51</f>
        <v>1</v>
      </c>
      <c r="S51" s="47">
        <f>SUMIF($D$8:$D$55,$O51,$K$8:$K$55)+SUMIF($F$8:$F$55,$O51,$L$8:$L$55)</f>
        <v>4</v>
      </c>
      <c r="T51" s="94" t="s">
        <v>84</v>
      </c>
      <c r="U51" s="40"/>
      <c r="V51" s="40" t="str">
        <f>O51</f>
        <v>België</v>
      </c>
      <c r="W51" s="40" t="s">
        <v>82</v>
      </c>
      <c r="Y51" s="109">
        <f t="shared" si="8"/>
        <v>1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1</v>
      </c>
      <c r="AG51" s="108">
        <f t="shared" si="0"/>
        <v>1</v>
      </c>
      <c r="AH51" s="108">
        <f t="shared" si="1"/>
        <v>0</v>
      </c>
      <c r="AI51" s="108">
        <f t="shared" si="10"/>
        <v>0</v>
      </c>
      <c r="AJ51" s="108">
        <f t="shared" si="2"/>
        <v>0</v>
      </c>
      <c r="AK51" s="108">
        <f t="shared" si="3"/>
        <v>0</v>
      </c>
      <c r="AL51" s="108">
        <f t="shared" si="4"/>
        <v>0</v>
      </c>
      <c r="AM51" s="120">
        <f>AO51</f>
        <v>0</v>
      </c>
      <c r="AN51" s="116" t="s">
        <v>37</v>
      </c>
      <c r="AO51" s="115">
        <f>IF(Uitslag!T51="",0,IF(T51=Uitslag!T51,10,0))</f>
        <v>0</v>
      </c>
    </row>
    <row r="52" spans="2:54" ht="15.75" thickBot="1">
      <c r="B52" s="18">
        <v>45</v>
      </c>
      <c r="C52" s="19">
        <v>41816</v>
      </c>
      <c r="D52" s="20" t="s">
        <v>36</v>
      </c>
      <c r="E52" s="21" t="s">
        <v>9</v>
      </c>
      <c r="F52" s="30" t="s">
        <v>31</v>
      </c>
      <c r="G52" s="86">
        <v>1</v>
      </c>
      <c r="H52" s="21" t="s">
        <v>9</v>
      </c>
      <c r="I52" s="91">
        <v>2</v>
      </c>
      <c r="J52" s="17">
        <f t="shared" si="5"/>
        <v>2</v>
      </c>
      <c r="K52" s="11">
        <f t="shared" si="6"/>
        <v>0</v>
      </c>
      <c r="L52" s="11">
        <f t="shared" si="7"/>
        <v>3</v>
      </c>
      <c r="O52" s="48" t="s">
        <v>38</v>
      </c>
      <c r="P52" s="49">
        <f>SUMIF($D$8:$D$55,$O52,$G$8:$G$55)+SUMIF($F$8:$F$55,$O52,$I$8:$I$55)</f>
        <v>0</v>
      </c>
      <c r="Q52" s="49">
        <f>SUMIF($D$8:$D$55,$O52,$I$8:$I$55)+SUMIF($F$8:$F$55,$O52,$G$8:$G$55)</f>
        <v>4</v>
      </c>
      <c r="R52" s="49">
        <f>P52-Q52</f>
        <v>-4</v>
      </c>
      <c r="S52" s="50">
        <f>SUMIF($D$8:$D$55,$O52,$K$8:$K$55)+SUMIF($F$8:$F$55,$O52,$L$8:$L$55)</f>
        <v>0</v>
      </c>
      <c r="T52" s="95" t="s">
        <v>85</v>
      </c>
      <c r="U52" s="40"/>
      <c r="V52" s="40" t="str">
        <f>O52</f>
        <v>Algerije</v>
      </c>
      <c r="W52" s="40" t="s">
        <v>83</v>
      </c>
      <c r="Y52" s="109">
        <f t="shared" si="8"/>
        <v>5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5</v>
      </c>
      <c r="AG52" s="108">
        <f t="shared" si="0"/>
        <v>0</v>
      </c>
      <c r="AH52" s="108">
        <f t="shared" si="1"/>
        <v>0</v>
      </c>
      <c r="AI52" s="108">
        <f t="shared" si="10"/>
        <v>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18">
        <v>46</v>
      </c>
      <c r="C53" s="19">
        <v>41816</v>
      </c>
      <c r="D53" s="20" t="s">
        <v>32</v>
      </c>
      <c r="E53" s="21" t="s">
        <v>9</v>
      </c>
      <c r="F53" s="30" t="s">
        <v>35</v>
      </c>
      <c r="G53" s="86">
        <v>2</v>
      </c>
      <c r="H53" s="21" t="s">
        <v>9</v>
      </c>
      <c r="I53" s="91">
        <v>0</v>
      </c>
      <c r="J53" s="23">
        <f t="shared" si="5"/>
        <v>1</v>
      </c>
      <c r="K53" s="11">
        <f t="shared" si="6"/>
        <v>3</v>
      </c>
      <c r="L53" s="11">
        <f t="shared" si="7"/>
        <v>0</v>
      </c>
      <c r="O53" s="48" t="s">
        <v>39</v>
      </c>
      <c r="P53" s="49">
        <f>SUMIF($D$8:$D$55,$O53,$G$8:$G$55)+SUMIF($F$8:$F$55,$O53,$I$8:$I$55)</f>
        <v>2</v>
      </c>
      <c r="Q53" s="49">
        <f>SUMIF($D$8:$D$55,$O53,$I$8:$I$55)+SUMIF($F$8:$F$55,$O53,$G$8:$G$55)</f>
        <v>2</v>
      </c>
      <c r="R53" s="49">
        <f>P53-Q53</f>
        <v>0</v>
      </c>
      <c r="S53" s="50">
        <f>SUMIF($D$8:$D$55,$O53,$K$8:$K$55)+SUMIF($F$8:$F$55,$O53,$L$8:$L$55)</f>
        <v>4</v>
      </c>
      <c r="T53" s="95" t="s">
        <v>82</v>
      </c>
      <c r="U53" s="40"/>
      <c r="V53" s="40" t="str">
        <f>O53</f>
        <v>Rusland</v>
      </c>
      <c r="W53" s="40" t="s">
        <v>84</v>
      </c>
      <c r="Y53" s="109">
        <f t="shared" si="8"/>
        <v>6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6</v>
      </c>
      <c r="AG53" s="108">
        <f t="shared" si="0"/>
        <v>1</v>
      </c>
      <c r="AH53" s="108">
        <f t="shared" si="1"/>
        <v>0</v>
      </c>
      <c r="AI53" s="108">
        <f t="shared" si="10"/>
        <v>0</v>
      </c>
      <c r="AJ53" s="108">
        <f t="shared" si="2"/>
        <v>5</v>
      </c>
      <c r="AK53" s="108">
        <f t="shared" si="3"/>
        <v>0</v>
      </c>
      <c r="AL53" s="108">
        <f t="shared" si="4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18">
        <v>47</v>
      </c>
      <c r="C54" s="19">
        <v>41816</v>
      </c>
      <c r="D54" s="20" t="s">
        <v>40</v>
      </c>
      <c r="E54" s="21" t="s">
        <v>9</v>
      </c>
      <c r="F54" s="30" t="s">
        <v>37</v>
      </c>
      <c r="G54" s="86">
        <v>1</v>
      </c>
      <c r="H54" s="21" t="s">
        <v>9</v>
      </c>
      <c r="I54" s="91">
        <v>0</v>
      </c>
      <c r="J54" s="23">
        <f t="shared" si="5"/>
        <v>1</v>
      </c>
      <c r="K54" s="11">
        <f t="shared" si="6"/>
        <v>3</v>
      </c>
      <c r="L54" s="11">
        <f t="shared" si="7"/>
        <v>0</v>
      </c>
      <c r="O54" s="51" t="s">
        <v>40</v>
      </c>
      <c r="P54" s="52">
        <f>SUMIF($D$8:$D$55,$O54,$G$8:$G$55)+SUMIF($F$8:$F$55,$O54,$I$8:$I$55)</f>
        <v>3</v>
      </c>
      <c r="Q54" s="52">
        <f>SUMIF($D$8:$D$55,$O54,$I$8:$I$55)+SUMIF($F$8:$F$55,$O54,$G$8:$G$55)</f>
        <v>0</v>
      </c>
      <c r="R54" s="52">
        <f>P54-Q54</f>
        <v>3</v>
      </c>
      <c r="S54" s="53">
        <f>SUMIF($D$8:$D$55,$O54,$K$8:$K$55)+SUMIF($F$8:$F$55,$O54,$L$8:$L$55)</f>
        <v>9</v>
      </c>
      <c r="T54" s="96" t="s">
        <v>83</v>
      </c>
      <c r="U54" s="40"/>
      <c r="V54" s="40" t="str">
        <f>O54</f>
        <v>Zuid Korea</v>
      </c>
      <c r="W54" s="40" t="s">
        <v>85</v>
      </c>
      <c r="Y54" s="109">
        <f t="shared" si="8"/>
        <v>0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0</v>
      </c>
      <c r="AG54" s="108">
        <f t="shared" si="0"/>
        <v>0</v>
      </c>
      <c r="AH54" s="108">
        <f t="shared" si="1"/>
        <v>0</v>
      </c>
      <c r="AI54" s="108">
        <f t="shared" si="10"/>
        <v>0</v>
      </c>
      <c r="AJ54" s="108">
        <f t="shared" si="2"/>
        <v>0</v>
      </c>
      <c r="AK54" s="108">
        <f t="shared" si="3"/>
        <v>0</v>
      </c>
      <c r="AL54" s="108">
        <f t="shared" si="4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3">
        <v>48</v>
      </c>
      <c r="C55" s="34">
        <v>41816</v>
      </c>
      <c r="D55" s="35" t="s">
        <v>38</v>
      </c>
      <c r="E55" s="36" t="s">
        <v>9</v>
      </c>
      <c r="F55" s="37" t="s">
        <v>39</v>
      </c>
      <c r="G55" s="88">
        <v>0</v>
      </c>
      <c r="H55" s="36" t="s">
        <v>9</v>
      </c>
      <c r="I55" s="93">
        <v>1</v>
      </c>
      <c r="J55" s="38">
        <f t="shared" si="5"/>
        <v>2</v>
      </c>
      <c r="K55" s="11">
        <f t="shared" si="6"/>
        <v>0</v>
      </c>
      <c r="L55" s="11">
        <f t="shared" si="7"/>
        <v>3</v>
      </c>
      <c r="O55" s="40"/>
      <c r="P55" s="41"/>
      <c r="Q55" s="41"/>
      <c r="R55" s="41"/>
      <c r="S55" s="41"/>
      <c r="T55" s="41"/>
      <c r="U55" s="40"/>
      <c r="V55" s="40"/>
      <c r="W55" s="40"/>
      <c r="Y55" s="109">
        <f t="shared" si="8"/>
        <v>1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</v>
      </c>
      <c r="AG55" s="108">
        <f t="shared" si="0"/>
        <v>0</v>
      </c>
      <c r="AH55" s="108">
        <f t="shared" si="1"/>
        <v>1</v>
      </c>
      <c r="AI55" s="108">
        <f t="shared" si="10"/>
        <v>0</v>
      </c>
      <c r="AJ55" s="108">
        <f t="shared" si="2"/>
        <v>0</v>
      </c>
      <c r="AK55" s="108">
        <f t="shared" si="3"/>
        <v>0</v>
      </c>
      <c r="AL55" s="108">
        <f t="shared" si="4"/>
        <v>0</v>
      </c>
    </row>
    <row r="56" spans="2:54" ht="15.75" thickBot="1">
      <c r="B56" s="1"/>
      <c r="C56" s="39"/>
      <c r="D56" s="40"/>
      <c r="E56" s="1"/>
      <c r="F56" s="40"/>
      <c r="G56" s="1"/>
      <c r="H56" s="1"/>
      <c r="I56" s="1"/>
      <c r="J56" s="1"/>
      <c r="K56" s="1"/>
      <c r="L56" s="1"/>
      <c r="M56" s="1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219"/>
      <c r="K57" s="1"/>
      <c r="L57" s="1"/>
      <c r="M57" s="1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78" t="s">
        <v>1</v>
      </c>
      <c r="C58" s="79" t="s">
        <v>2</v>
      </c>
      <c r="D58" s="187" t="s">
        <v>3</v>
      </c>
      <c r="E58" s="81"/>
      <c r="F58" s="217" t="s">
        <v>4</v>
      </c>
      <c r="G58" s="867" t="s">
        <v>5</v>
      </c>
      <c r="H58" s="868"/>
      <c r="I58" s="869"/>
      <c r="J58" s="83" t="s">
        <v>6</v>
      </c>
      <c r="K58" s="1"/>
      <c r="L58" s="1"/>
      <c r="M58" s="1"/>
      <c r="O58" s="135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12">
        <v>49</v>
      </c>
      <c r="C59" s="189">
        <v>41818</v>
      </c>
      <c r="D59" s="153" t="str">
        <f>IF(ISERROR(Z59),K59,Z59)</f>
        <v>Brazilië</v>
      </c>
      <c r="E59" s="15" t="s">
        <v>9</v>
      </c>
      <c r="F59" s="56" t="str">
        <f>IF(ISERROR(AA59),L59,AA59)</f>
        <v>Nederland</v>
      </c>
      <c r="G59" s="85">
        <v>3</v>
      </c>
      <c r="H59" s="15" t="s">
        <v>9</v>
      </c>
      <c r="I59" s="97">
        <v>2</v>
      </c>
      <c r="J59" s="98">
        <v>1</v>
      </c>
      <c r="K59" s="57" t="s">
        <v>48</v>
      </c>
      <c r="L59" s="57" t="s">
        <v>53</v>
      </c>
      <c r="M59" s="57">
        <v>1</v>
      </c>
      <c r="O59" s="135">
        <v>2</v>
      </c>
      <c r="P59" s="877" t="s">
        <v>212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3">AF59</f>
        <v>0</v>
      </c>
      <c r="Z59" t="str">
        <f t="shared" ref="Z59:AA65" si="14">IF(K59=""," ",VLOOKUP(K59,$T$9:$V$54,3,FALSE))</f>
        <v>Brazilië</v>
      </c>
      <c r="AA59" t="str">
        <f t="shared" si="14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0</v>
      </c>
      <c r="AG59" s="108">
        <f t="shared" ref="AG59:AG66" si="16">IF(AC59="",0,(IF(G59=AC59,1,0)))</f>
        <v>0</v>
      </c>
      <c r="AH59" s="108">
        <f t="shared" ref="AH59:AH66" si="17">IF(AD59="",0,(IF(I59=AD59,1,0)))</f>
        <v>0</v>
      </c>
      <c r="AI59" s="108">
        <f t="shared" ref="AI59:AI66" si="18">IF(AND(AG59=1,AH59=1),10,0)</f>
        <v>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24">
        <v>50</v>
      </c>
      <c r="C60" s="190">
        <v>41818</v>
      </c>
      <c r="D60" s="154" t="str">
        <f t="shared" ref="D60:D66" si="23">IF(ISERROR(Z60),K60,Z60)</f>
        <v>Griekenland</v>
      </c>
      <c r="E60" s="27" t="s">
        <v>9</v>
      </c>
      <c r="F60" s="59" t="str">
        <f t="shared" ref="F60:F66" si="24">IF(ISERROR(AA60),L60,AA60)</f>
        <v>Italië</v>
      </c>
      <c r="G60" s="87">
        <v>0</v>
      </c>
      <c r="H60" s="27" t="s">
        <v>9</v>
      </c>
      <c r="I60" s="99">
        <v>2</v>
      </c>
      <c r="J60" s="100">
        <v>2</v>
      </c>
      <c r="K60" s="57" t="s">
        <v>57</v>
      </c>
      <c r="L60" s="57" t="s">
        <v>63</v>
      </c>
      <c r="M60" s="57">
        <v>2</v>
      </c>
      <c r="O60" s="135">
        <v>3</v>
      </c>
      <c r="P60" s="877" t="s">
        <v>211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3"/>
        <v>0</v>
      </c>
      <c r="Z60" t="str">
        <f t="shared" si="14"/>
        <v>Griekenland</v>
      </c>
      <c r="AA60" t="str">
        <f t="shared" si="14"/>
        <v>Italië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0</v>
      </c>
      <c r="AG60" s="108">
        <f t="shared" si="16"/>
        <v>0</v>
      </c>
      <c r="AH60" s="108">
        <f t="shared" si="17"/>
        <v>0</v>
      </c>
      <c r="AI60" s="108">
        <f t="shared" si="18"/>
        <v>0</v>
      </c>
      <c r="AJ60" s="108">
        <f t="shared" si="19"/>
        <v>0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2"/>
        <v>3</v>
      </c>
    </row>
    <row r="61" spans="2:54">
      <c r="B61" s="12">
        <v>51</v>
      </c>
      <c r="C61" s="189">
        <v>41819</v>
      </c>
      <c r="D61" s="188" t="str">
        <f t="shared" si="23"/>
        <v>Spanje</v>
      </c>
      <c r="E61" s="15" t="s">
        <v>9</v>
      </c>
      <c r="F61" s="56" t="str">
        <f t="shared" si="24"/>
        <v>Kroatië</v>
      </c>
      <c r="G61" s="85">
        <v>3</v>
      </c>
      <c r="H61" s="15" t="s">
        <v>9</v>
      </c>
      <c r="I61" s="97">
        <v>0</v>
      </c>
      <c r="J61" s="98">
        <v>1</v>
      </c>
      <c r="K61" s="57" t="s">
        <v>52</v>
      </c>
      <c r="L61" s="57" t="s">
        <v>49</v>
      </c>
      <c r="M61" s="57"/>
      <c r="O61" s="135">
        <v>4</v>
      </c>
      <c r="P61" s="877" t="s">
        <v>209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3"/>
        <v>5</v>
      </c>
      <c r="Z61" t="str">
        <f t="shared" si="14"/>
        <v>Spanje</v>
      </c>
      <c r="AA61" t="str">
        <f t="shared" si="14"/>
        <v>Kroatië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5</v>
      </c>
      <c r="AG61" s="108">
        <f t="shared" si="16"/>
        <v>0</v>
      </c>
      <c r="AH61" s="108">
        <f t="shared" si="17"/>
        <v>0</v>
      </c>
      <c r="AI61" s="108">
        <f t="shared" si="18"/>
        <v>0</v>
      </c>
      <c r="AJ61" s="108">
        <f t="shared" si="19"/>
        <v>5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3</v>
      </c>
      <c r="BB61" s="139">
        <f t="shared" si="22"/>
        <v>3</v>
      </c>
    </row>
    <row r="62" spans="2:54">
      <c r="B62" s="24">
        <v>52</v>
      </c>
      <c r="C62" s="190">
        <v>41819</v>
      </c>
      <c r="D62" s="188" t="str">
        <f t="shared" si="23"/>
        <v>Engeland</v>
      </c>
      <c r="E62" s="27" t="s">
        <v>9</v>
      </c>
      <c r="F62" s="59" t="str">
        <f t="shared" si="24"/>
        <v>Ivoorkust</v>
      </c>
      <c r="G62" s="87">
        <v>0</v>
      </c>
      <c r="H62" s="27" t="s">
        <v>9</v>
      </c>
      <c r="I62" s="99">
        <v>3</v>
      </c>
      <c r="J62" s="100">
        <v>2</v>
      </c>
      <c r="K62" s="57" t="s">
        <v>62</v>
      </c>
      <c r="L62" s="57" t="s">
        <v>58</v>
      </c>
      <c r="M62" s="57"/>
      <c r="O62" s="135">
        <v>5</v>
      </c>
      <c r="P62" s="877" t="s">
        <v>225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3"/>
        <v>0</v>
      </c>
      <c r="Z62" t="str">
        <f t="shared" si="14"/>
        <v>Engeland</v>
      </c>
      <c r="AA62" t="str">
        <f t="shared" si="14"/>
        <v>Ivoorkust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0</v>
      </c>
      <c r="AG62" s="108">
        <f t="shared" si="16"/>
        <v>0</v>
      </c>
      <c r="AH62" s="108">
        <f t="shared" si="17"/>
        <v>0</v>
      </c>
      <c r="AI62" s="108">
        <f t="shared" si="18"/>
        <v>0</v>
      </c>
      <c r="AJ62" s="108">
        <f t="shared" si="19"/>
        <v>0</v>
      </c>
      <c r="AK62" s="108">
        <f t="shared" si="20"/>
        <v>0</v>
      </c>
      <c r="AL62" s="108">
        <f t="shared" si="21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2"/>
        <v>3</v>
      </c>
    </row>
    <row r="63" spans="2:54">
      <c r="B63" s="12">
        <v>53</v>
      </c>
      <c r="C63" s="189">
        <v>41820</v>
      </c>
      <c r="D63" s="153" t="str">
        <f t="shared" si="23"/>
        <v>Frankrijk</v>
      </c>
      <c r="E63" s="15" t="s">
        <v>9</v>
      </c>
      <c r="F63" s="56" t="str">
        <f t="shared" si="24"/>
        <v>Nigeria</v>
      </c>
      <c r="G63" s="85">
        <v>2</v>
      </c>
      <c r="H63" s="15" t="s">
        <v>9</v>
      </c>
      <c r="I63" s="97">
        <v>0</v>
      </c>
      <c r="J63" s="98">
        <v>1</v>
      </c>
      <c r="K63" s="57" t="s">
        <v>67</v>
      </c>
      <c r="L63" s="57" t="s">
        <v>73</v>
      </c>
      <c r="M63" s="57"/>
      <c r="O63" s="135">
        <v>6</v>
      </c>
      <c r="P63" s="877" t="s">
        <v>221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3"/>
        <v>10</v>
      </c>
      <c r="Z63" t="str">
        <f t="shared" si="14"/>
        <v>Frankrijk</v>
      </c>
      <c r="AA63" t="str">
        <f t="shared" si="14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10</v>
      </c>
      <c r="AG63" s="108">
        <f t="shared" si="16"/>
        <v>1</v>
      </c>
      <c r="AH63" s="108">
        <f t="shared" si="17"/>
        <v>1</v>
      </c>
      <c r="AI63" s="108">
        <f t="shared" si="18"/>
        <v>10</v>
      </c>
      <c r="AJ63" s="108">
        <f t="shared" si="19"/>
        <v>5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0</v>
      </c>
      <c r="BB63" s="139">
        <f t="shared" si="22"/>
        <v>0</v>
      </c>
    </row>
    <row r="64" spans="2:54">
      <c r="B64" s="24">
        <v>54</v>
      </c>
      <c r="C64" s="190">
        <v>41820</v>
      </c>
      <c r="D64" s="154" t="str">
        <f t="shared" si="23"/>
        <v>Duitsland</v>
      </c>
      <c r="E64" s="27" t="s">
        <v>9</v>
      </c>
      <c r="F64" s="59" t="str">
        <f t="shared" si="24"/>
        <v>Zuid Korea</v>
      </c>
      <c r="G64" s="87">
        <v>1</v>
      </c>
      <c r="H64" s="27" t="s">
        <v>9</v>
      </c>
      <c r="I64" s="99">
        <v>0</v>
      </c>
      <c r="J64" s="100">
        <v>1</v>
      </c>
      <c r="K64" s="57" t="s">
        <v>77</v>
      </c>
      <c r="L64" s="57" t="s">
        <v>83</v>
      </c>
      <c r="M64" s="57"/>
      <c r="O64" s="135">
        <v>7</v>
      </c>
      <c r="P64" s="877" t="s">
        <v>214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3"/>
        <v>1</v>
      </c>
      <c r="Z64" t="str">
        <f t="shared" si="14"/>
        <v>Duitsland</v>
      </c>
      <c r="AA64" t="str">
        <f t="shared" si="14"/>
        <v>Zuid Korea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1</v>
      </c>
      <c r="AG64" s="108">
        <f t="shared" si="16"/>
        <v>0</v>
      </c>
      <c r="AH64" s="108">
        <f t="shared" si="17"/>
        <v>1</v>
      </c>
      <c r="AI64" s="108">
        <f t="shared" si="18"/>
        <v>0</v>
      </c>
      <c r="AJ64" s="108">
        <f t="shared" si="19"/>
        <v>0</v>
      </c>
      <c r="AK64" s="108">
        <f t="shared" si="20"/>
        <v>0</v>
      </c>
      <c r="AL64" s="108">
        <f t="shared" si="21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2"/>
        <v>3</v>
      </c>
    </row>
    <row r="65" spans="2:54">
      <c r="B65" s="18">
        <v>55</v>
      </c>
      <c r="C65" s="191">
        <v>41821</v>
      </c>
      <c r="D65" s="153" t="str">
        <f t="shared" si="23"/>
        <v>Argentinië</v>
      </c>
      <c r="E65" s="21" t="s">
        <v>9</v>
      </c>
      <c r="F65" s="60" t="str">
        <f t="shared" si="24"/>
        <v>Zwitserland</v>
      </c>
      <c r="G65" s="86">
        <v>2</v>
      </c>
      <c r="H65" s="21" t="s">
        <v>9</v>
      </c>
      <c r="I65" s="101">
        <v>1</v>
      </c>
      <c r="J65" s="102">
        <v>1</v>
      </c>
      <c r="K65" s="57" t="s">
        <v>72</v>
      </c>
      <c r="L65" s="57" t="s">
        <v>68</v>
      </c>
      <c r="M65" s="57"/>
      <c r="O65" s="135">
        <v>8</v>
      </c>
      <c r="P65" s="877" t="s">
        <v>213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3"/>
        <v>0</v>
      </c>
      <c r="Z65" t="str">
        <f t="shared" si="14"/>
        <v>Argentinië</v>
      </c>
      <c r="AA65" t="str">
        <f t="shared" si="14"/>
        <v>Zwitserland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0</v>
      </c>
      <c r="AG65" s="108">
        <f t="shared" si="16"/>
        <v>0</v>
      </c>
      <c r="AH65" s="108">
        <f t="shared" si="17"/>
        <v>0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2"/>
        <v>3</v>
      </c>
    </row>
    <row r="66" spans="2:54" ht="15.75" thickBot="1">
      <c r="B66" s="33">
        <v>56</v>
      </c>
      <c r="C66" s="186">
        <v>41821</v>
      </c>
      <c r="D66" s="155" t="str">
        <f t="shared" si="23"/>
        <v>Rusland</v>
      </c>
      <c r="E66" s="36" t="s">
        <v>9</v>
      </c>
      <c r="F66" s="62" t="str">
        <f t="shared" si="24"/>
        <v>Portugal</v>
      </c>
      <c r="G66" s="88">
        <v>0</v>
      </c>
      <c r="H66" s="36" t="s">
        <v>9</v>
      </c>
      <c r="I66" s="103">
        <v>2</v>
      </c>
      <c r="J66" s="104">
        <v>2</v>
      </c>
      <c r="K66" s="57" t="s">
        <v>82</v>
      </c>
      <c r="L66" s="57" t="s">
        <v>78</v>
      </c>
      <c r="M66" s="57"/>
      <c r="O66" s="135">
        <v>9</v>
      </c>
      <c r="P66" s="877" t="s">
        <v>240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3"/>
        <v>1</v>
      </c>
      <c r="Z66" t="str">
        <f>IF(K66=""," ",VLOOKUP(K66,$T$9:$V$54,3,FALSE))</f>
        <v>Rusland</v>
      </c>
      <c r="AA66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1</v>
      </c>
      <c r="AG66" s="108">
        <f t="shared" si="16"/>
        <v>1</v>
      </c>
      <c r="AH66" s="108">
        <f t="shared" si="17"/>
        <v>0</v>
      </c>
      <c r="AI66" s="108">
        <f t="shared" si="18"/>
        <v>0</v>
      </c>
      <c r="AJ66" s="108">
        <f t="shared" si="19"/>
        <v>0</v>
      </c>
      <c r="AK66" s="108">
        <f t="shared" si="20"/>
        <v>0</v>
      </c>
      <c r="AL66" s="108">
        <f t="shared" si="21"/>
        <v>0</v>
      </c>
      <c r="AZ66" s="138" t="str">
        <f>Uitslag!P66</f>
        <v>Jonathan de Guzman (m)</v>
      </c>
      <c r="BA66" s="140">
        <f t="shared" si="12"/>
        <v>0</v>
      </c>
      <c r="BB66" s="139">
        <f t="shared" si="22"/>
        <v>0</v>
      </c>
    </row>
    <row r="67" spans="2:54" ht="15.75" thickBot="1">
      <c r="B67" s="1"/>
      <c r="C67" s="39"/>
      <c r="D67" s="40"/>
      <c r="E67" s="1"/>
      <c r="F67" s="40"/>
      <c r="G67" s="1"/>
      <c r="H67" s="1"/>
      <c r="I67" s="1"/>
      <c r="J67" s="1"/>
      <c r="K67" s="1"/>
      <c r="L67" s="1"/>
      <c r="M67" s="1"/>
      <c r="O67" s="135">
        <v>10</v>
      </c>
      <c r="P67" s="877" t="s">
        <v>215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2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219"/>
      <c r="K68" s="1"/>
      <c r="L68" s="1"/>
      <c r="M68" s="1"/>
      <c r="O68" s="135">
        <v>11</v>
      </c>
      <c r="P68" s="877" t="s">
        <v>216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2"/>
        <v>3</v>
      </c>
    </row>
    <row r="69" spans="2:54">
      <c r="B69" s="78" t="s">
        <v>1</v>
      </c>
      <c r="C69" s="79" t="s">
        <v>2</v>
      </c>
      <c r="D69" s="216" t="s">
        <v>3</v>
      </c>
      <c r="E69" s="81"/>
      <c r="F69" s="217" t="s">
        <v>4</v>
      </c>
      <c r="G69" s="867" t="s">
        <v>5</v>
      </c>
      <c r="H69" s="868"/>
      <c r="I69" s="869"/>
      <c r="J69" s="83" t="s">
        <v>6</v>
      </c>
      <c r="K69" s="1"/>
      <c r="L69" s="1"/>
      <c r="M69" s="1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27</v>
      </c>
      <c r="BB69" s="139" t="str">
        <f>IF(AND(BA69&lt;&gt;"",BA69=33),15,"nvt")</f>
        <v>nvt</v>
      </c>
    </row>
    <row r="70" spans="2:54">
      <c r="B70" s="12">
        <v>57</v>
      </c>
      <c r="C70" s="13">
        <v>41824</v>
      </c>
      <c r="D70" s="55" t="str">
        <f>IF(J63="","Winnaar 53",IF(J63=1,D63,F63))</f>
        <v>Frankrijk</v>
      </c>
      <c r="E70" s="15" t="s">
        <v>9</v>
      </c>
      <c r="F70" s="56" t="str">
        <f>IF(J64="","Winnaar 54",IF(J64=1,D64,F64))</f>
        <v>Duitsland</v>
      </c>
      <c r="G70" s="85">
        <v>0</v>
      </c>
      <c r="H70" s="15" t="s">
        <v>9</v>
      </c>
      <c r="I70" s="97">
        <v>1</v>
      </c>
      <c r="J70" s="98">
        <v>2</v>
      </c>
      <c r="K70" s="1"/>
      <c r="L70" s="1"/>
      <c r="M70" s="1"/>
      <c r="V70" t="s">
        <v>133</v>
      </c>
      <c r="W70" t="s">
        <v>126</v>
      </c>
      <c r="X70" t="str">
        <f t="shared" si="11"/>
        <v>Karim Rekik (v)</v>
      </c>
      <c r="Y70" s="109">
        <f>AF70</f>
        <v>10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10</v>
      </c>
      <c r="AG70" s="108">
        <f>IF(AC70="",0,(IF(G70=AC70,1,0)))</f>
        <v>1</v>
      </c>
      <c r="AH70" s="108">
        <f>IF(AD70="",0,(IF(I70=AD70,1,0)))</f>
        <v>1</v>
      </c>
      <c r="AI70" s="108">
        <f>IF(AND(AG70=1,AH70=1),10,0)</f>
        <v>10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24">
        <v>58</v>
      </c>
      <c r="C71" s="25">
        <v>41824</v>
      </c>
      <c r="D71" s="58" t="str">
        <f>IF(J59="","Winnaar 49",IF(J59=1,D59,F59))</f>
        <v>Brazilië</v>
      </c>
      <c r="E71" s="27" t="s">
        <v>9</v>
      </c>
      <c r="F71" s="59" t="str">
        <f>IF(J60="","Winnaar 50",IF(J60=1,D60,F60))</f>
        <v>Italië</v>
      </c>
      <c r="G71" s="87">
        <v>0</v>
      </c>
      <c r="H71" s="27" t="s">
        <v>9</v>
      </c>
      <c r="I71" s="99">
        <v>0</v>
      </c>
      <c r="J71" s="100">
        <v>1</v>
      </c>
      <c r="K71" s="1"/>
      <c r="L71" s="1"/>
      <c r="M71" s="1"/>
      <c r="V71" t="s">
        <v>133</v>
      </c>
      <c r="W71" t="s">
        <v>194</v>
      </c>
      <c r="X71" t="str">
        <f t="shared" si="11"/>
        <v>Ron Vlaar (v)</v>
      </c>
      <c r="Y71" s="109">
        <f>AF71</f>
        <v>0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0</v>
      </c>
      <c r="AG71" s="108">
        <f>IF(AC71="",0,(IF(G71=AC71,1,0)))</f>
        <v>0</v>
      </c>
      <c r="AH71" s="108">
        <f>IF(AD71="",0,(IF(I71=AD71,1,0)))</f>
        <v>0</v>
      </c>
      <c r="AI71" s="108">
        <f>IF(AND(AG71=1,AH71=1),10,0)</f>
        <v>0</v>
      </c>
      <c r="AJ71" s="108">
        <f>IF(AND(G71&gt;I71,AC71&gt;AD71),5,0)</f>
        <v>0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12">
        <v>59</v>
      </c>
      <c r="C72" s="13">
        <v>41825</v>
      </c>
      <c r="D72" s="55" t="str">
        <f>IF(J65="","Winnaar 55",IF(J65=1,D65,F65))</f>
        <v>Argentinië</v>
      </c>
      <c r="E72" s="15" t="s">
        <v>9</v>
      </c>
      <c r="F72" s="56" t="str">
        <f>IF(J66="","Winnaar 56",IF(J66=1,D66,F66))</f>
        <v>Portugal</v>
      </c>
      <c r="G72" s="85">
        <v>1</v>
      </c>
      <c r="H72" s="15" t="s">
        <v>9</v>
      </c>
      <c r="I72" s="97">
        <v>1</v>
      </c>
      <c r="J72" s="98">
        <v>1</v>
      </c>
      <c r="K72" s="1"/>
      <c r="L72" s="1"/>
      <c r="M72" s="1"/>
      <c r="V72" t="s">
        <v>133</v>
      </c>
      <c r="W72" t="s">
        <v>195</v>
      </c>
      <c r="X72" t="str">
        <f t="shared" si="11"/>
        <v>John Heitinga (v)</v>
      </c>
      <c r="Y72" s="109">
        <f>AF72</f>
        <v>1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1</v>
      </c>
      <c r="AG72" s="108">
        <f>IF(AC72="",0,(IF(G72=AC72,1,0)))</f>
        <v>1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0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3">
        <v>60</v>
      </c>
      <c r="C73" s="34">
        <v>41825</v>
      </c>
      <c r="D73" s="61" t="str">
        <f>IF(J61="","Winnaar 51",IF(J61=1,D61,F61))</f>
        <v>Spanje</v>
      </c>
      <c r="E73" s="36" t="s">
        <v>9</v>
      </c>
      <c r="F73" s="62" t="str">
        <f>IF(J62="","Winnaar 52",IF(J62=1,D62,F62))</f>
        <v>Ivoorkust</v>
      </c>
      <c r="G73" s="88">
        <v>2</v>
      </c>
      <c r="H73" s="36" t="s">
        <v>9</v>
      </c>
      <c r="I73" s="103">
        <v>0</v>
      </c>
      <c r="J73" s="104">
        <v>1</v>
      </c>
      <c r="K73" s="1"/>
      <c r="L73" s="1"/>
      <c r="M73" s="1"/>
      <c r="V73" t="s">
        <v>133</v>
      </c>
      <c r="W73" t="s">
        <v>196</v>
      </c>
      <c r="X73" t="str">
        <f t="shared" si="11"/>
        <v>Urby Emanuelson (v)</v>
      </c>
      <c r="Y73" s="109">
        <f>AF73</f>
        <v>1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1</v>
      </c>
      <c r="AG73" s="108">
        <f>IF(AC73="",0,(IF(G73=AC73,1,0)))</f>
        <v>0</v>
      </c>
      <c r="AH73" s="108">
        <f>IF(AD73="",0,(IF(I73=AD73,1,0)))</f>
        <v>1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1"/>
      <c r="C74" s="39"/>
      <c r="D74" s="40"/>
      <c r="E74" s="1"/>
      <c r="F74" s="40"/>
      <c r="G74" s="1"/>
      <c r="H74" s="1"/>
      <c r="I74" s="1"/>
      <c r="J74" s="1"/>
      <c r="K74" s="1"/>
      <c r="L74" s="1"/>
      <c r="M74" s="1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219"/>
      <c r="K75" s="1"/>
      <c r="L75" s="1"/>
      <c r="M75" s="1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78" t="s">
        <v>1</v>
      </c>
      <c r="C76" s="79" t="s">
        <v>2</v>
      </c>
      <c r="D76" s="216" t="s">
        <v>3</v>
      </c>
      <c r="E76" s="81"/>
      <c r="F76" s="217" t="s">
        <v>4</v>
      </c>
      <c r="G76" s="867" t="s">
        <v>5</v>
      </c>
      <c r="H76" s="868"/>
      <c r="I76" s="869"/>
      <c r="J76" s="83" t="s">
        <v>6</v>
      </c>
      <c r="K76" s="1"/>
      <c r="L76" s="1"/>
      <c r="M76" s="1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12">
        <v>61</v>
      </c>
      <c r="C77" s="13">
        <v>41828</v>
      </c>
      <c r="D77" s="55" t="str">
        <f>IF(J70="","Winnaar 57",IF(J70=1,D70,F70))</f>
        <v>Duitsland</v>
      </c>
      <c r="E77" s="15" t="s">
        <v>9</v>
      </c>
      <c r="F77" s="56" t="str">
        <f>IF(J71="","Winnaar 58",IF(J71=1,D71,F71))</f>
        <v>Brazilië</v>
      </c>
      <c r="G77" s="85">
        <v>1</v>
      </c>
      <c r="H77" s="15" t="s">
        <v>9</v>
      </c>
      <c r="I77" s="97">
        <v>2</v>
      </c>
      <c r="J77" s="98">
        <v>2</v>
      </c>
      <c r="K77" s="1"/>
      <c r="L77" s="1"/>
      <c r="M77" s="1"/>
      <c r="V77" t="s">
        <v>134</v>
      </c>
      <c r="W77" t="s">
        <v>203</v>
      </c>
      <c r="X77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3">
        <v>62</v>
      </c>
      <c r="C78" s="34">
        <v>41829</v>
      </c>
      <c r="D78" s="61" t="str">
        <f>IF(J72="","Winnaar 59",IF(J72=1,D72,F72))</f>
        <v>Argentinië</v>
      </c>
      <c r="E78" s="36" t="s">
        <v>9</v>
      </c>
      <c r="F78" s="62" t="str">
        <f>IF(J73="","Winnaar 60",IF(J73=1,D73,F73))</f>
        <v>Spanje</v>
      </c>
      <c r="G78" s="88">
        <v>2</v>
      </c>
      <c r="H78" s="36" t="s">
        <v>9</v>
      </c>
      <c r="I78" s="103">
        <v>1</v>
      </c>
      <c r="J78" s="104">
        <v>1</v>
      </c>
      <c r="K78" s="1"/>
      <c r="L78" s="1"/>
      <c r="M78" s="1"/>
      <c r="V78" t="s">
        <v>134</v>
      </c>
      <c r="W78" t="s">
        <v>199</v>
      </c>
      <c r="X78" t="str">
        <f t="shared" si="11"/>
        <v>Leroy Fer (m)</v>
      </c>
      <c r="Y78" s="109">
        <f>AF78</f>
        <v>0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0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1"/>
      <c r="C79" s="39"/>
      <c r="D79" s="40"/>
      <c r="E79" s="1"/>
      <c r="F79" s="40"/>
      <c r="G79" s="1"/>
      <c r="H79" s="1"/>
      <c r="I79" s="1"/>
      <c r="J79" s="1"/>
      <c r="K79" s="1"/>
      <c r="L79" s="1"/>
      <c r="M79" s="1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219"/>
      <c r="K80" s="1"/>
      <c r="L80" s="1"/>
      <c r="M80" s="1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78" t="s">
        <v>1</v>
      </c>
      <c r="C81" s="79" t="s">
        <v>2</v>
      </c>
      <c r="D81" s="216" t="s">
        <v>3</v>
      </c>
      <c r="E81" s="81"/>
      <c r="F81" s="217" t="s">
        <v>4</v>
      </c>
      <c r="G81" s="867" t="s">
        <v>5</v>
      </c>
      <c r="H81" s="868"/>
      <c r="I81" s="869"/>
      <c r="J81" s="83" t="s">
        <v>6</v>
      </c>
      <c r="K81" s="1"/>
      <c r="L81" s="1"/>
      <c r="M81" s="1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2">
        <v>63</v>
      </c>
      <c r="C82" s="63">
        <v>41832</v>
      </c>
      <c r="D82" s="64" t="str">
        <f>IF(J77="","Verliezer 61",IF(J77=1,F77,D77))</f>
        <v>Duitsland</v>
      </c>
      <c r="E82" s="3" t="s">
        <v>9</v>
      </c>
      <c r="F82" s="65" t="str">
        <f>IF(J78="","Verliezer 62",IF(J78=1,F78,D78))</f>
        <v>Spanje</v>
      </c>
      <c r="G82" s="105">
        <v>0</v>
      </c>
      <c r="H82" s="3" t="s">
        <v>9</v>
      </c>
      <c r="I82" s="106">
        <v>1</v>
      </c>
      <c r="J82" s="107">
        <v>2</v>
      </c>
      <c r="K82" s="1"/>
      <c r="L82" s="1"/>
      <c r="M82" s="1"/>
      <c r="V82" t="s">
        <v>134</v>
      </c>
      <c r="W82" t="s">
        <v>125</v>
      </c>
      <c r="X82" t="str">
        <f t="shared" si="11"/>
        <v>Georginio Wijnaldum (m)</v>
      </c>
      <c r="Y82" s="109">
        <f>AF82</f>
        <v>6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6</v>
      </c>
      <c r="AG82" s="108">
        <f>IF(AC82="",0,(IF(G82=AC82,1,0)))</f>
        <v>1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5</v>
      </c>
      <c r="AL82" s="108">
        <f>IF(AND(G82=I82,AC82=AD82),5,0)</f>
        <v>0</v>
      </c>
    </row>
    <row r="83" spans="2:50" ht="15.75" thickBot="1">
      <c r="B83" s="1"/>
      <c r="C83" s="39"/>
      <c r="D83" s="40"/>
      <c r="E83" s="1"/>
      <c r="F83" s="40"/>
      <c r="G83" s="1"/>
      <c r="H83" s="1"/>
      <c r="I83" s="1"/>
      <c r="J83" s="1"/>
      <c r="K83" s="1"/>
      <c r="L83" s="1"/>
      <c r="M83" s="1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219"/>
      <c r="K84" s="1"/>
      <c r="L84" s="1"/>
      <c r="M84" s="1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78" t="s">
        <v>1</v>
      </c>
      <c r="C85" s="79" t="s">
        <v>2</v>
      </c>
      <c r="D85" s="216" t="s">
        <v>3</v>
      </c>
      <c r="E85" s="81"/>
      <c r="F85" s="217" t="s">
        <v>4</v>
      </c>
      <c r="G85" s="867" t="s">
        <v>5</v>
      </c>
      <c r="H85" s="868"/>
      <c r="I85" s="869"/>
      <c r="J85" s="83" t="s">
        <v>6</v>
      </c>
      <c r="K85" s="1"/>
      <c r="L85" s="1"/>
      <c r="M85" s="1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2">
        <v>64</v>
      </c>
      <c r="C86" s="63">
        <v>41833</v>
      </c>
      <c r="D86" s="64" t="str">
        <f>IF(J77="","Winnaar 61",IF(J77=1,D77,F77))</f>
        <v>Brazilië</v>
      </c>
      <c r="E86" s="3" t="s">
        <v>9</v>
      </c>
      <c r="F86" s="65" t="str">
        <f>IF(J78="","Winnaar 62",IF(J78=1,D78,F78))</f>
        <v>Argentinië</v>
      </c>
      <c r="G86" s="105">
        <v>2</v>
      </c>
      <c r="H86" s="3" t="s">
        <v>9</v>
      </c>
      <c r="I86" s="106">
        <v>1</v>
      </c>
      <c r="J86" s="107">
        <v>1</v>
      </c>
      <c r="K86" s="1"/>
      <c r="L86" s="1"/>
      <c r="M86" s="1"/>
      <c r="V86" t="s">
        <v>134</v>
      </c>
      <c r="W86" t="s">
        <v>139</v>
      </c>
      <c r="X86" t="str">
        <f t="shared" si="11"/>
        <v>Nigel de Jong (m)</v>
      </c>
      <c r="Y86" s="109">
        <f>AF86</f>
        <v>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0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Brazilië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5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5</v>
      </c>
      <c r="AV89">
        <f>IF(AR89=0,0,IF(E89=AR89,50,0))</f>
        <v>0</v>
      </c>
      <c r="AW89">
        <f>IF(E89=0,0,IF(OR(E89=AR90),15,0))</f>
        <v>0</v>
      </c>
      <c r="AX89">
        <f>IF(E89=0,0,IF(OR(E89=AR91,E89=AR92),5,0))</f>
        <v>5</v>
      </c>
    </row>
    <row r="90" spans="2:50">
      <c r="C90" s="870">
        <v>2</v>
      </c>
      <c r="D90" s="871"/>
      <c r="E90" s="872" t="str">
        <f>IF(J86=2,D86,IF(J86=1,F86,"Wie wordt 2de?"))</f>
        <v>Argentinië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25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25</v>
      </c>
      <c r="AV90">
        <f>IF(AR90=0,0,IF(AR90=E90,25,0))</f>
        <v>25</v>
      </c>
      <c r="AW90">
        <f>IF(E90=0,0,IF(OR(E90=AR89,),15,0))</f>
        <v>0</v>
      </c>
      <c r="AX90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Spanje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0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0</v>
      </c>
      <c r="AV91">
        <f>IF(AR91=0,0,IF(AR91=E91,15,0))</f>
        <v>0</v>
      </c>
      <c r="AW91">
        <f>IF(E91=0,0,IF(OR(E91=AR92),10,0))</f>
        <v>0</v>
      </c>
      <c r="AX91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Duitsland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5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5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5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35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conditionalFormatting sqref="AO9:AO12 AO15:AO18 AO21:AO24 AO27:AO30 AO33:AO36 AO39:AO42 AO45:AO48 AO51:AO54">
    <cfRule type="cellIs" dxfId="188" priority="3" operator="equal">
      <formula>10</formula>
    </cfRule>
  </conditionalFormatting>
  <conditionalFormatting sqref="P58:T58">
    <cfRule type="duplicateValues" dxfId="187" priority="2"/>
  </conditionalFormatting>
  <conditionalFormatting sqref="P58:T68">
    <cfRule type="duplicateValues" dxfId="186" priority="1"/>
  </conditionalFormatting>
  <dataValidations count="10">
    <dataValidation type="list" allowBlank="1" showInputMessage="1" showErrorMessage="1" sqref="T51:T54">
      <formula1>$W$51:$W$54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P58:P68">
      <formula1>$X$58:$X$98</formula1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B1:BB98"/>
  <sheetViews>
    <sheetView topLeftCell="A37" zoomScale="70" zoomScaleNormal="70" workbookViewId="0">
      <selection activeCell="P58" sqref="P58:T68"/>
    </sheetView>
  </sheetViews>
  <sheetFormatPr defaultRowHeight="15" outlineLevelCol="2"/>
  <cols>
    <col min="1" max="1" width="3.42578125" customWidth="1"/>
    <col min="2" max="2" width="3.5703125" bestFit="1" customWidth="1"/>
    <col min="3" max="3" width="11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145" t="s">
        <v>256</v>
      </c>
      <c r="E3" s="145"/>
      <c r="F3" s="145"/>
      <c r="N3" t="str">
        <f>D3</f>
        <v>Ton G.</v>
      </c>
      <c r="O3" s="144">
        <f>SUM(P3:S3)</f>
        <v>436</v>
      </c>
      <c r="P3" s="109">
        <f>SUM(Y8:Y86)</f>
        <v>193</v>
      </c>
      <c r="Q3" s="109">
        <f>SUM(AM4:AM55)</f>
        <v>180</v>
      </c>
      <c r="R3" s="109">
        <f>SUM(AP89:AP92)</f>
        <v>15</v>
      </c>
      <c r="S3" s="109">
        <f>SUM(BB58:BB69)</f>
        <v>48</v>
      </c>
      <c r="T3" s="109">
        <f>COUNTIF(AF8:AF86,10)</f>
        <v>3</v>
      </c>
      <c r="U3" s="109" t="str">
        <f>E89</f>
        <v>Brazilië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1"/>
      <c r="L6" s="1"/>
      <c r="O6" s="40"/>
      <c r="P6" s="41"/>
      <c r="Q6" s="41"/>
      <c r="R6" s="41"/>
      <c r="S6" s="41"/>
      <c r="T6" s="41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66" t="s">
        <v>1</v>
      </c>
      <c r="C7" s="67" t="s">
        <v>2</v>
      </c>
      <c r="D7" s="220" t="s">
        <v>3</v>
      </c>
      <c r="E7" s="69"/>
      <c r="F7" s="221" t="s">
        <v>4</v>
      </c>
      <c r="G7" s="880" t="s">
        <v>5</v>
      </c>
      <c r="H7" s="881"/>
      <c r="I7" s="882"/>
      <c r="J7" s="71" t="s">
        <v>6</v>
      </c>
      <c r="K7" s="4" t="s">
        <v>7</v>
      </c>
      <c r="L7" s="4" t="s">
        <v>7</v>
      </c>
      <c r="O7" s="1"/>
      <c r="P7" s="41"/>
      <c r="Q7" s="41"/>
      <c r="R7" s="41"/>
      <c r="S7" s="41"/>
      <c r="T7" s="41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5">
        <v>1</v>
      </c>
      <c r="C8" s="6">
        <v>41802</v>
      </c>
      <c r="D8" s="7" t="s">
        <v>8</v>
      </c>
      <c r="E8" s="8" t="s">
        <v>9</v>
      </c>
      <c r="F8" s="9" t="s">
        <v>10</v>
      </c>
      <c r="G8" s="84">
        <v>2</v>
      </c>
      <c r="H8" s="8" t="s">
        <v>9</v>
      </c>
      <c r="I8" s="218">
        <v>0</v>
      </c>
      <c r="J8" s="10">
        <f t="shared" ref="J8:J55" si="0">IF(I8="","",IF(G8&gt;I8,1,IF(G8&lt;I8,2,3)))</f>
        <v>1</v>
      </c>
      <c r="K8" s="11">
        <f t="shared" ref="K8:K55" si="1">IF(I8="","",IF($G8&gt;$I8,3,IF($G8=$I8,1,0)))</f>
        <v>3</v>
      </c>
      <c r="L8" s="11">
        <f t="shared" ref="L8:L55" si="2">IF(I8="","",IF($G8&lt;$I8,3,IF($G8=$I8,1,0)))</f>
        <v>0</v>
      </c>
      <c r="O8" s="72" t="s">
        <v>41</v>
      </c>
      <c r="P8" s="73" t="s">
        <v>42</v>
      </c>
      <c r="Q8" s="73" t="s">
        <v>43</v>
      </c>
      <c r="R8" s="74" t="s">
        <v>44</v>
      </c>
      <c r="S8" s="75" t="s">
        <v>45</v>
      </c>
      <c r="T8" s="76" t="s">
        <v>46</v>
      </c>
      <c r="U8" s="40"/>
      <c r="V8" s="40"/>
      <c r="W8" s="40"/>
      <c r="Y8" s="109">
        <f>AF8</f>
        <v>5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5</v>
      </c>
      <c r="AG8" s="108">
        <f t="shared" ref="AG8:AG55" si="3">IF(AC8="",0,(IF(G8=AC8,1,0)))</f>
        <v>0</v>
      </c>
      <c r="AH8" s="108">
        <f t="shared" ref="AH8:AH55" si="4">IF(AD8="",0,(IF(I8=AD8,1,0)))</f>
        <v>0</v>
      </c>
      <c r="AI8" s="108">
        <f>IF(AND(AG8=1,AH8=1),10,0)</f>
        <v>0</v>
      </c>
      <c r="AJ8" s="108">
        <f t="shared" ref="AJ8:AJ55" si="5">IF(AND(G8&gt;I8,AC8&gt;AD8),5,0)</f>
        <v>5</v>
      </c>
      <c r="AK8" s="108">
        <f t="shared" ref="AK8:AK55" si="6">IF(AND(G8&lt;I8,AC8&lt;AD8),5,0)</f>
        <v>0</v>
      </c>
      <c r="AL8" s="108">
        <f t="shared" ref="AL8:AL55" si="7">IF(AND(G8=I8,AC8=AD8),5,0)</f>
        <v>0</v>
      </c>
      <c r="AN8" s="42" t="s">
        <v>41</v>
      </c>
      <c r="AO8" s="43" t="s">
        <v>46</v>
      </c>
    </row>
    <row r="9" spans="2:54" ht="15.75" thickBot="1">
      <c r="B9" s="12">
        <v>2</v>
      </c>
      <c r="C9" s="13">
        <v>41803</v>
      </c>
      <c r="D9" s="14" t="s">
        <v>11</v>
      </c>
      <c r="E9" s="15" t="s">
        <v>9</v>
      </c>
      <c r="F9" s="16" t="s">
        <v>12</v>
      </c>
      <c r="G9" s="85">
        <v>1</v>
      </c>
      <c r="H9" s="15" t="s">
        <v>9</v>
      </c>
      <c r="I9" s="90">
        <v>0</v>
      </c>
      <c r="J9" s="17">
        <f t="shared" si="0"/>
        <v>1</v>
      </c>
      <c r="K9" s="11">
        <f t="shared" si="1"/>
        <v>3</v>
      </c>
      <c r="L9" s="11">
        <f t="shared" si="2"/>
        <v>0</v>
      </c>
      <c r="O9" s="44" t="s">
        <v>8</v>
      </c>
      <c r="P9" s="45">
        <f>SUMIF($D$8:$D$55,$O9,$G$8:$G$55)+SUMIF($F$8:$F$55,$O9,$I$8:$I$55)</f>
        <v>6</v>
      </c>
      <c r="Q9" s="45">
        <f>SUMIF($D$8:$D$55,$O9,$I$8:$I$55)+SUMIF($F$8:$F$55,$O9,$G$8:$G$55)</f>
        <v>1</v>
      </c>
      <c r="R9" s="46">
        <f>P9-Q9</f>
        <v>5</v>
      </c>
      <c r="S9" s="47">
        <f>SUMIF($D$8:$D$55,$O9,$K$8:$K$55)+SUMIF($F$8:$F$55,$O9,$L$8:$L$55)</f>
        <v>9</v>
      </c>
      <c r="T9" s="94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10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10</v>
      </c>
      <c r="AG9" s="108">
        <f t="shared" si="3"/>
        <v>1</v>
      </c>
      <c r="AH9" s="108">
        <f t="shared" si="4"/>
        <v>1</v>
      </c>
      <c r="AI9" s="108">
        <f t="shared" ref="AI9:AI55" si="10">IF(AND(AG9=1,AH9=1),10,0)</f>
        <v>10</v>
      </c>
      <c r="AJ9" s="108">
        <f t="shared" si="5"/>
        <v>5</v>
      </c>
      <c r="AK9" s="108">
        <f t="shared" si="6"/>
        <v>0</v>
      </c>
      <c r="AL9" s="108">
        <f t="shared" si="7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18">
        <v>3</v>
      </c>
      <c r="C10" s="19">
        <v>41803</v>
      </c>
      <c r="D10" s="20" t="s">
        <v>13</v>
      </c>
      <c r="E10" s="21" t="s">
        <v>9</v>
      </c>
      <c r="F10" s="22" t="s">
        <v>14</v>
      </c>
      <c r="G10" s="86">
        <v>1</v>
      </c>
      <c r="H10" s="21" t="s">
        <v>9</v>
      </c>
      <c r="I10" s="91">
        <v>0</v>
      </c>
      <c r="J10" s="23">
        <f t="shared" si="0"/>
        <v>1</v>
      </c>
      <c r="K10" s="11">
        <f t="shared" si="1"/>
        <v>3</v>
      </c>
      <c r="L10" s="11">
        <f t="shared" si="2"/>
        <v>0</v>
      </c>
      <c r="O10" s="48" t="s">
        <v>10</v>
      </c>
      <c r="P10" s="49">
        <f>SUMIF($D$8:$D$55,$O10,$G$8:$G$55)+SUMIF($F$8:$F$55,$O10,$I$8:$I$55)</f>
        <v>2</v>
      </c>
      <c r="Q10" s="49">
        <f>SUMIF($D$8:$D$55,$O10,$I$8:$I$55)+SUMIF($F$8:$F$55,$O10,$G$8:$G$55)</f>
        <v>3</v>
      </c>
      <c r="R10" s="49">
        <f>P10-Q10</f>
        <v>-1</v>
      </c>
      <c r="S10" s="50">
        <f>SUMIF($D$8:$D$55,$O10,$K$8:$K$55)+SUMIF($F$8:$F$55,$O10,$L$8:$L$55)</f>
        <v>4</v>
      </c>
      <c r="T10" s="95" t="s">
        <v>47</v>
      </c>
      <c r="U10" s="40"/>
      <c r="V10" s="40" t="str">
        <f>O10</f>
        <v>Kroatië</v>
      </c>
      <c r="W10" s="40" t="s">
        <v>49</v>
      </c>
      <c r="Y10" s="109">
        <f t="shared" si="8"/>
        <v>1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1</v>
      </c>
      <c r="AG10" s="108">
        <f t="shared" si="3"/>
        <v>1</v>
      </c>
      <c r="AH10" s="108">
        <f t="shared" si="4"/>
        <v>0</v>
      </c>
      <c r="AI10" s="108">
        <f t="shared" si="10"/>
        <v>0</v>
      </c>
      <c r="AJ10" s="108">
        <f t="shared" si="5"/>
        <v>0</v>
      </c>
      <c r="AK10" s="108">
        <f t="shared" si="6"/>
        <v>0</v>
      </c>
      <c r="AL10" s="108">
        <f t="shared" si="7"/>
        <v>0</v>
      </c>
      <c r="AM10" s="120">
        <f>AO10</f>
        <v>10</v>
      </c>
      <c r="AN10" s="117" t="s">
        <v>10</v>
      </c>
      <c r="AO10" s="115">
        <f>IF(Uitslag!T10="",0,IF(T10=Uitslag!T10,10,0))</f>
        <v>10</v>
      </c>
    </row>
    <row r="11" spans="2:54" ht="15.75" thickBot="1">
      <c r="B11" s="24">
        <v>4</v>
      </c>
      <c r="C11" s="25">
        <v>41803</v>
      </c>
      <c r="D11" s="26" t="s">
        <v>15</v>
      </c>
      <c r="E11" s="27" t="s">
        <v>9</v>
      </c>
      <c r="F11" s="28" t="s">
        <v>16</v>
      </c>
      <c r="G11" s="87">
        <v>2</v>
      </c>
      <c r="H11" s="27" t="s">
        <v>9</v>
      </c>
      <c r="I11" s="92">
        <v>1</v>
      </c>
      <c r="J11" s="29">
        <f t="shared" si="0"/>
        <v>1</v>
      </c>
      <c r="K11" s="11">
        <f t="shared" si="1"/>
        <v>3</v>
      </c>
      <c r="L11" s="11">
        <f t="shared" si="2"/>
        <v>0</v>
      </c>
      <c r="O11" s="48" t="s">
        <v>11</v>
      </c>
      <c r="P11" s="49">
        <f>SUMIF($D$8:$D$55,$O11,$G$8:$G$55)+SUMIF($F$8:$F$55,$O11,$I$8:$I$55)</f>
        <v>3</v>
      </c>
      <c r="Q11" s="49">
        <f>SUMIF($D$8:$D$55,$O11,$I$8:$I$55)+SUMIF($F$8:$F$55,$O11,$G$8:$G$55)</f>
        <v>3</v>
      </c>
      <c r="R11" s="49">
        <f>P11-Q11</f>
        <v>0</v>
      </c>
      <c r="S11" s="50">
        <f>SUMIF($D$8:$D$55,$O11,$K$8:$K$55)+SUMIF($F$8:$F$55,$O11,$L$8:$L$55)</f>
        <v>4</v>
      </c>
      <c r="T11" s="95" t="s">
        <v>49</v>
      </c>
      <c r="U11" s="40"/>
      <c r="V11" s="40" t="str">
        <f>O11</f>
        <v>Mexico</v>
      </c>
      <c r="W11" s="40" t="s">
        <v>47</v>
      </c>
      <c r="Y11" s="109">
        <f t="shared" si="8"/>
        <v>6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6</v>
      </c>
      <c r="AG11" s="108">
        <f t="shared" si="3"/>
        <v>0</v>
      </c>
      <c r="AH11" s="108">
        <f t="shared" si="4"/>
        <v>1</v>
      </c>
      <c r="AI11" s="108">
        <f t="shared" si="10"/>
        <v>0</v>
      </c>
      <c r="AJ11" s="108">
        <f t="shared" si="5"/>
        <v>5</v>
      </c>
      <c r="AK11" s="108">
        <f t="shared" si="6"/>
        <v>0</v>
      </c>
      <c r="AL11" s="108">
        <f t="shared" si="7"/>
        <v>0</v>
      </c>
      <c r="AM11" s="120">
        <f>AO11</f>
        <v>10</v>
      </c>
      <c r="AN11" s="117" t="s">
        <v>11</v>
      </c>
      <c r="AO11" s="115">
        <f>IF(Uitslag!T11="",0,IF(T11=Uitslag!T11,10,0))</f>
        <v>10</v>
      </c>
    </row>
    <row r="12" spans="2:54" ht="15.75" thickBot="1">
      <c r="B12" s="12">
        <v>5</v>
      </c>
      <c r="C12" s="13">
        <v>41804</v>
      </c>
      <c r="D12" s="14" t="s">
        <v>17</v>
      </c>
      <c r="E12" s="15" t="s">
        <v>9</v>
      </c>
      <c r="F12" s="16" t="s">
        <v>18</v>
      </c>
      <c r="G12" s="85">
        <v>0</v>
      </c>
      <c r="H12" s="15" t="s">
        <v>9</v>
      </c>
      <c r="I12" s="90">
        <v>0</v>
      </c>
      <c r="J12" s="17">
        <f t="shared" si="0"/>
        <v>3</v>
      </c>
      <c r="K12" s="11">
        <f t="shared" si="1"/>
        <v>1</v>
      </c>
      <c r="L12" s="11">
        <f t="shared" si="2"/>
        <v>1</v>
      </c>
      <c r="O12" s="51" t="s">
        <v>12</v>
      </c>
      <c r="P12" s="52">
        <f>SUMIF($D$8:$D$55,$O12,$G$8:$G$55)+SUMIF($F$8:$F$55,$O12,$I$8:$I$55)</f>
        <v>0</v>
      </c>
      <c r="Q12" s="52">
        <f>SUMIF($D$8:$D$55,$O12,$I$8:$I$55)+SUMIF($F$8:$F$55,$O12,$G$8:$G$55)</f>
        <v>4</v>
      </c>
      <c r="R12" s="52">
        <f>P12-Q12</f>
        <v>-4</v>
      </c>
      <c r="S12" s="53">
        <f>SUMIF($D$8:$D$55,$O12,$K$8:$K$55)+SUMIF($F$8:$F$55,$O12,$L$8:$L$55)</f>
        <v>0</v>
      </c>
      <c r="T12" s="96" t="s">
        <v>50</v>
      </c>
      <c r="U12" s="40"/>
      <c r="V12" s="40" t="str">
        <f>O12</f>
        <v>Kameroen</v>
      </c>
      <c r="W12" s="40" t="s">
        <v>50</v>
      </c>
      <c r="Y12" s="109">
        <f t="shared" si="8"/>
        <v>1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1</v>
      </c>
      <c r="AG12" s="108">
        <f t="shared" si="3"/>
        <v>0</v>
      </c>
      <c r="AH12" s="108">
        <f t="shared" si="4"/>
        <v>1</v>
      </c>
      <c r="AI12" s="108">
        <f t="shared" si="10"/>
        <v>0</v>
      </c>
      <c r="AJ12" s="108">
        <f t="shared" si="5"/>
        <v>0</v>
      </c>
      <c r="AK12" s="108">
        <f t="shared" si="6"/>
        <v>0</v>
      </c>
      <c r="AL12" s="108">
        <f t="shared" si="7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18">
        <v>6</v>
      </c>
      <c r="C13" s="19">
        <v>41804</v>
      </c>
      <c r="D13" s="20" t="s">
        <v>19</v>
      </c>
      <c r="E13" s="21" t="s">
        <v>9</v>
      </c>
      <c r="F13" s="30" t="s">
        <v>20</v>
      </c>
      <c r="G13" s="86">
        <v>2</v>
      </c>
      <c r="H13" s="21" t="s">
        <v>9</v>
      </c>
      <c r="I13" s="91">
        <v>0</v>
      </c>
      <c r="J13" s="23">
        <f t="shared" si="0"/>
        <v>1</v>
      </c>
      <c r="K13" s="11">
        <f t="shared" si="1"/>
        <v>3</v>
      </c>
      <c r="L13" s="11">
        <f t="shared" si="2"/>
        <v>0</v>
      </c>
      <c r="O13" s="40"/>
      <c r="P13" s="41"/>
      <c r="Q13" s="41"/>
      <c r="R13" s="41"/>
      <c r="S13" s="41"/>
      <c r="T13" s="41"/>
      <c r="U13" s="40"/>
      <c r="V13" s="40"/>
      <c r="W13" s="40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3"/>
        <v>0</v>
      </c>
      <c r="AH13" s="108">
        <f t="shared" si="4"/>
        <v>0</v>
      </c>
      <c r="AI13" s="108">
        <f t="shared" si="10"/>
        <v>0</v>
      </c>
      <c r="AJ13" s="108">
        <f t="shared" si="5"/>
        <v>0</v>
      </c>
      <c r="AK13" s="108">
        <f t="shared" si="6"/>
        <v>0</v>
      </c>
      <c r="AL13" s="108">
        <f t="shared" si="7"/>
        <v>0</v>
      </c>
      <c r="AN13" s="40"/>
      <c r="AO13" s="41"/>
    </row>
    <row r="14" spans="2:54" ht="15.75" thickBot="1">
      <c r="B14" s="18">
        <v>7</v>
      </c>
      <c r="C14" s="19">
        <v>41804</v>
      </c>
      <c r="D14" s="20" t="s">
        <v>21</v>
      </c>
      <c r="E14" s="21" t="s">
        <v>9</v>
      </c>
      <c r="F14" s="30" t="s">
        <v>22</v>
      </c>
      <c r="G14" s="86">
        <v>0</v>
      </c>
      <c r="H14" s="21" t="s">
        <v>9</v>
      </c>
      <c r="I14" s="91">
        <v>0</v>
      </c>
      <c r="J14" s="23">
        <f t="shared" si="0"/>
        <v>3</v>
      </c>
      <c r="K14" s="11">
        <f t="shared" si="1"/>
        <v>1</v>
      </c>
      <c r="L14" s="11">
        <f t="shared" si="2"/>
        <v>1</v>
      </c>
      <c r="O14" s="72" t="s">
        <v>51</v>
      </c>
      <c r="P14" s="73" t="s">
        <v>42</v>
      </c>
      <c r="Q14" s="73" t="s">
        <v>43</v>
      </c>
      <c r="R14" s="74" t="s">
        <v>44</v>
      </c>
      <c r="S14" s="75" t="s">
        <v>45</v>
      </c>
      <c r="T14" s="76" t="s">
        <v>46</v>
      </c>
      <c r="U14" s="40"/>
      <c r="V14" s="40"/>
      <c r="W14" s="40"/>
      <c r="Y14" s="109">
        <f t="shared" si="8"/>
        <v>0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0</v>
      </c>
      <c r="AG14" s="108">
        <f t="shared" si="3"/>
        <v>0</v>
      </c>
      <c r="AH14" s="108">
        <f t="shared" si="4"/>
        <v>0</v>
      </c>
      <c r="AI14" s="108">
        <f t="shared" si="10"/>
        <v>0</v>
      </c>
      <c r="AJ14" s="108">
        <f t="shared" si="5"/>
        <v>0</v>
      </c>
      <c r="AK14" s="108">
        <f t="shared" si="6"/>
        <v>0</v>
      </c>
      <c r="AL14" s="108">
        <f t="shared" si="7"/>
        <v>0</v>
      </c>
      <c r="AN14" s="42" t="s">
        <v>51</v>
      </c>
      <c r="AO14" s="43" t="s">
        <v>46</v>
      </c>
    </row>
    <row r="15" spans="2:54" ht="15.75" thickBot="1">
      <c r="B15" s="24">
        <v>8</v>
      </c>
      <c r="C15" s="25">
        <v>41804</v>
      </c>
      <c r="D15" s="26" t="s">
        <v>23</v>
      </c>
      <c r="E15" s="27" t="s">
        <v>9</v>
      </c>
      <c r="F15" s="28" t="s">
        <v>24</v>
      </c>
      <c r="G15" s="87">
        <v>1</v>
      </c>
      <c r="H15" s="27" t="s">
        <v>9</v>
      </c>
      <c r="I15" s="92">
        <v>1</v>
      </c>
      <c r="J15" s="29">
        <f t="shared" si="0"/>
        <v>3</v>
      </c>
      <c r="K15" s="11">
        <f t="shared" si="1"/>
        <v>1</v>
      </c>
      <c r="L15" s="11">
        <f t="shared" si="2"/>
        <v>1</v>
      </c>
      <c r="O15" s="44" t="s">
        <v>13</v>
      </c>
      <c r="P15" s="45">
        <f>SUMIF($D$8:$D$55,$O15,$G$8:$G$55)+SUMIF($F$8:$F$55,$O15,$I$8:$I$55)</f>
        <v>4</v>
      </c>
      <c r="Q15" s="45">
        <f>SUMIF($D$8:$D$55,$O15,$I$8:$I$55)+SUMIF($F$8:$F$55,$O15,$G$8:$G$55)</f>
        <v>1</v>
      </c>
      <c r="R15" s="46">
        <f>P15-Q15</f>
        <v>3</v>
      </c>
      <c r="S15" s="47">
        <f>SUMIF($D$8:$D$55,$O15,$K$8:$K$55)+SUMIF($F$8:$F$55,$O15,$L$8:$L$55)</f>
        <v>7</v>
      </c>
      <c r="T15" s="94" t="s">
        <v>52</v>
      </c>
      <c r="U15" s="40"/>
      <c r="V15" s="40" t="str">
        <f>O15</f>
        <v>Spanje</v>
      </c>
      <c r="W15" s="40" t="s">
        <v>52</v>
      </c>
      <c r="Y15" s="109">
        <f t="shared" si="8"/>
        <v>1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1</v>
      </c>
      <c r="AG15" s="108">
        <f t="shared" si="3"/>
        <v>0</v>
      </c>
      <c r="AH15" s="108">
        <f t="shared" si="4"/>
        <v>1</v>
      </c>
      <c r="AI15" s="108">
        <f t="shared" si="10"/>
        <v>0</v>
      </c>
      <c r="AJ15" s="108">
        <f t="shared" si="5"/>
        <v>0</v>
      </c>
      <c r="AK15" s="108">
        <f t="shared" si="6"/>
        <v>0</v>
      </c>
      <c r="AL15" s="108">
        <f t="shared" si="7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12">
        <v>9</v>
      </c>
      <c r="C16" s="13">
        <v>41805</v>
      </c>
      <c r="D16" s="14" t="s">
        <v>25</v>
      </c>
      <c r="E16" s="15" t="s">
        <v>9</v>
      </c>
      <c r="F16" s="16" t="s">
        <v>26</v>
      </c>
      <c r="G16" s="85">
        <v>1</v>
      </c>
      <c r="H16" s="15" t="s">
        <v>9</v>
      </c>
      <c r="I16" s="90">
        <v>1</v>
      </c>
      <c r="J16" s="17">
        <f t="shared" si="0"/>
        <v>3</v>
      </c>
      <c r="K16" s="11">
        <f t="shared" si="1"/>
        <v>1</v>
      </c>
      <c r="L16" s="11">
        <f t="shared" si="2"/>
        <v>1</v>
      </c>
      <c r="O16" s="54" t="s">
        <v>14</v>
      </c>
      <c r="P16" s="49">
        <f>SUMIF($D$8:$D$55,$O16,$G$8:$G$55)+SUMIF($F$8:$F$55,$O16,$I$8:$I$55)</f>
        <v>3</v>
      </c>
      <c r="Q16" s="49">
        <f>SUMIF($D$8:$D$55,$O16,$I$8:$I$55)+SUMIF($F$8:$F$55,$O16,$G$8:$G$55)</f>
        <v>2</v>
      </c>
      <c r="R16" s="49">
        <f>P16-Q16</f>
        <v>1</v>
      </c>
      <c r="S16" s="50">
        <f>SUMIF($D$8:$D$55,$O16,$K$8:$K$55)+SUMIF($F$8:$F$55,$O16,$L$8:$L$55)</f>
        <v>4</v>
      </c>
      <c r="T16" s="95" t="s">
        <v>54</v>
      </c>
      <c r="U16" s="40"/>
      <c r="V16" s="40" t="str">
        <f>O16</f>
        <v>Nederland</v>
      </c>
      <c r="W16" s="40" t="s">
        <v>53</v>
      </c>
      <c r="Y16" s="109">
        <f t="shared" si="8"/>
        <v>1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1</v>
      </c>
      <c r="AG16" s="108">
        <f t="shared" si="3"/>
        <v>0</v>
      </c>
      <c r="AH16" s="108">
        <f t="shared" si="4"/>
        <v>1</v>
      </c>
      <c r="AI16" s="108">
        <f t="shared" si="10"/>
        <v>0</v>
      </c>
      <c r="AJ16" s="108">
        <f t="shared" si="5"/>
        <v>0</v>
      </c>
      <c r="AK16" s="108">
        <f t="shared" si="6"/>
        <v>0</v>
      </c>
      <c r="AL16" s="108">
        <f t="shared" si="7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18">
        <v>10</v>
      </c>
      <c r="C17" s="19">
        <v>41805</v>
      </c>
      <c r="D17" s="20" t="s">
        <v>27</v>
      </c>
      <c r="E17" s="21" t="s">
        <v>9</v>
      </c>
      <c r="F17" s="30" t="s">
        <v>28</v>
      </c>
      <c r="G17" s="86">
        <v>2</v>
      </c>
      <c r="H17" s="21" t="s">
        <v>9</v>
      </c>
      <c r="I17" s="91">
        <v>1</v>
      </c>
      <c r="J17" s="23">
        <f t="shared" si="0"/>
        <v>1</v>
      </c>
      <c r="K17" s="11">
        <f t="shared" si="1"/>
        <v>3</v>
      </c>
      <c r="L17" s="11">
        <f t="shared" si="2"/>
        <v>0</v>
      </c>
      <c r="O17" s="48" t="s">
        <v>15</v>
      </c>
      <c r="P17" s="49">
        <f>SUMIF($D$8:$D$55,$O17,$G$8:$G$55)+SUMIF($F$8:$F$55,$O17,$I$8:$I$55)</f>
        <v>4</v>
      </c>
      <c r="Q17" s="49">
        <f>SUMIF($D$8:$D$55,$O17,$I$8:$I$55)+SUMIF($F$8:$F$55,$O17,$G$8:$G$55)</f>
        <v>3</v>
      </c>
      <c r="R17" s="49">
        <f>P17-Q17</f>
        <v>1</v>
      </c>
      <c r="S17" s="50">
        <f>SUMIF($D$8:$D$55,$O17,$K$8:$K$55)+SUMIF($F$8:$F$55,$O17,$L$8:$L$55)</f>
        <v>5</v>
      </c>
      <c r="T17" s="95" t="s">
        <v>53</v>
      </c>
      <c r="U17" s="40"/>
      <c r="V17" s="40" t="str">
        <f>O17</f>
        <v>Chili</v>
      </c>
      <c r="W17" s="40" t="s">
        <v>54</v>
      </c>
      <c r="Y17" s="109">
        <f t="shared" si="8"/>
        <v>5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5</v>
      </c>
      <c r="AG17" s="108">
        <f t="shared" si="3"/>
        <v>0</v>
      </c>
      <c r="AH17" s="108">
        <f t="shared" si="4"/>
        <v>0</v>
      </c>
      <c r="AI17" s="108">
        <f t="shared" si="10"/>
        <v>0</v>
      </c>
      <c r="AJ17" s="108">
        <f t="shared" si="5"/>
        <v>5</v>
      </c>
      <c r="AK17" s="108">
        <f t="shared" si="6"/>
        <v>0</v>
      </c>
      <c r="AL17" s="108">
        <f t="shared" si="7"/>
        <v>0</v>
      </c>
      <c r="AM17" s="120">
        <f>AO17</f>
        <v>10</v>
      </c>
      <c r="AN17" s="117" t="s">
        <v>15</v>
      </c>
      <c r="AO17" s="115">
        <f>IF(Uitslag!T17="",0,IF(T17=Uitslag!T17,10,0))</f>
        <v>10</v>
      </c>
    </row>
    <row r="18" spans="2:41" ht="15.75" thickBot="1">
      <c r="B18" s="24">
        <v>11</v>
      </c>
      <c r="C18" s="25">
        <v>41805</v>
      </c>
      <c r="D18" s="26" t="s">
        <v>29</v>
      </c>
      <c r="E18" s="27" t="s">
        <v>9</v>
      </c>
      <c r="F18" s="28" t="s">
        <v>30</v>
      </c>
      <c r="G18" s="87">
        <v>2</v>
      </c>
      <c r="H18" s="27" t="s">
        <v>9</v>
      </c>
      <c r="I18" s="92">
        <v>0</v>
      </c>
      <c r="J18" s="29">
        <f t="shared" si="0"/>
        <v>1</v>
      </c>
      <c r="K18" s="11">
        <f t="shared" si="1"/>
        <v>3</v>
      </c>
      <c r="L18" s="11">
        <f t="shared" si="2"/>
        <v>0</v>
      </c>
      <c r="O18" s="51" t="s">
        <v>16</v>
      </c>
      <c r="P18" s="52">
        <f>SUMIF($D$8:$D$55,$O18,$G$8:$G$55)+SUMIF($F$8:$F$55,$O18,$I$8:$I$55)</f>
        <v>1</v>
      </c>
      <c r="Q18" s="52">
        <f>SUMIF($D$8:$D$55,$O18,$I$8:$I$55)+SUMIF($F$8:$F$55,$O18,$G$8:$G$55)</f>
        <v>6</v>
      </c>
      <c r="R18" s="52">
        <f>P18-Q18</f>
        <v>-5</v>
      </c>
      <c r="S18" s="53">
        <f>SUMIF($D$8:$D$55,$O18,$K$8:$K$55)+SUMIF($F$8:$F$55,$O18,$L$8:$L$55)</f>
        <v>0</v>
      </c>
      <c r="T18" s="96" t="s">
        <v>55</v>
      </c>
      <c r="U18" s="40"/>
      <c r="V18" s="40" t="str">
        <f>O18</f>
        <v>Australië</v>
      </c>
      <c r="W18" s="40" t="s">
        <v>55</v>
      </c>
      <c r="Y18" s="109">
        <f t="shared" si="8"/>
        <v>6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6</v>
      </c>
      <c r="AG18" s="108">
        <f t="shared" si="3"/>
        <v>1</v>
      </c>
      <c r="AH18" s="108">
        <f t="shared" si="4"/>
        <v>0</v>
      </c>
      <c r="AI18" s="108">
        <f t="shared" si="10"/>
        <v>0</v>
      </c>
      <c r="AJ18" s="108">
        <f t="shared" si="5"/>
        <v>5</v>
      </c>
      <c r="AK18" s="108">
        <f t="shared" si="6"/>
        <v>0</v>
      </c>
      <c r="AL18" s="108">
        <f t="shared" si="7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12">
        <v>12</v>
      </c>
      <c r="C19" s="13">
        <v>41806</v>
      </c>
      <c r="D19" s="14" t="s">
        <v>31</v>
      </c>
      <c r="E19" s="15" t="s">
        <v>9</v>
      </c>
      <c r="F19" s="16" t="s">
        <v>32</v>
      </c>
      <c r="G19" s="85">
        <v>1</v>
      </c>
      <c r="H19" s="15" t="s">
        <v>9</v>
      </c>
      <c r="I19" s="90">
        <v>1</v>
      </c>
      <c r="J19" s="17">
        <f t="shared" si="0"/>
        <v>3</v>
      </c>
      <c r="K19" s="11">
        <f t="shared" si="1"/>
        <v>1</v>
      </c>
      <c r="L19" s="11">
        <f t="shared" si="2"/>
        <v>1</v>
      </c>
      <c r="O19" s="40"/>
      <c r="P19" s="41"/>
      <c r="Q19" s="41"/>
      <c r="R19" s="41"/>
      <c r="S19" s="41"/>
      <c r="T19" s="41"/>
      <c r="U19" s="40"/>
      <c r="V19" s="40"/>
      <c r="W19" s="40"/>
      <c r="Y19" s="109">
        <f t="shared" si="8"/>
        <v>0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0</v>
      </c>
      <c r="AG19" s="108">
        <f t="shared" si="3"/>
        <v>0</v>
      </c>
      <c r="AH19" s="108">
        <f t="shared" si="4"/>
        <v>0</v>
      </c>
      <c r="AI19" s="108">
        <f t="shared" si="10"/>
        <v>0</v>
      </c>
      <c r="AJ19" s="108">
        <f t="shared" si="5"/>
        <v>0</v>
      </c>
      <c r="AK19" s="108">
        <f t="shared" si="6"/>
        <v>0</v>
      </c>
      <c r="AL19" s="108">
        <f t="shared" si="7"/>
        <v>0</v>
      </c>
      <c r="AN19" s="40"/>
      <c r="AO19" s="41"/>
    </row>
    <row r="20" spans="2:41" ht="15.75" thickBot="1">
      <c r="B20" s="18">
        <v>13</v>
      </c>
      <c r="C20" s="19">
        <v>41806</v>
      </c>
      <c r="D20" s="20" t="s">
        <v>33</v>
      </c>
      <c r="E20" s="21" t="s">
        <v>9</v>
      </c>
      <c r="F20" s="30" t="s">
        <v>34</v>
      </c>
      <c r="G20" s="86">
        <v>1</v>
      </c>
      <c r="H20" s="21" t="s">
        <v>9</v>
      </c>
      <c r="I20" s="91">
        <v>1</v>
      </c>
      <c r="J20" s="23">
        <f t="shared" si="0"/>
        <v>3</v>
      </c>
      <c r="K20" s="11">
        <f t="shared" si="1"/>
        <v>1</v>
      </c>
      <c r="L20" s="11">
        <f t="shared" si="2"/>
        <v>1</v>
      </c>
      <c r="O20" s="72" t="s">
        <v>56</v>
      </c>
      <c r="P20" s="73" t="s">
        <v>42</v>
      </c>
      <c r="Q20" s="73" t="s">
        <v>43</v>
      </c>
      <c r="R20" s="74" t="s">
        <v>44</v>
      </c>
      <c r="S20" s="75" t="s">
        <v>45</v>
      </c>
      <c r="T20" s="76" t="s">
        <v>46</v>
      </c>
      <c r="U20" s="40"/>
      <c r="V20" s="40"/>
      <c r="W20" s="40"/>
      <c r="Y20" s="109">
        <f t="shared" si="8"/>
        <v>5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5</v>
      </c>
      <c r="AG20" s="108">
        <f t="shared" si="3"/>
        <v>0</v>
      </c>
      <c r="AH20" s="108">
        <f t="shared" si="4"/>
        <v>0</v>
      </c>
      <c r="AI20" s="108">
        <f t="shared" si="10"/>
        <v>0</v>
      </c>
      <c r="AJ20" s="108">
        <f t="shared" si="5"/>
        <v>0</v>
      </c>
      <c r="AK20" s="108">
        <f t="shared" si="6"/>
        <v>0</v>
      </c>
      <c r="AL20" s="108">
        <f t="shared" si="7"/>
        <v>5</v>
      </c>
      <c r="AN20" s="42" t="s">
        <v>56</v>
      </c>
      <c r="AO20" s="43" t="s">
        <v>46</v>
      </c>
    </row>
    <row r="21" spans="2:41" ht="15.75" thickBot="1">
      <c r="B21" s="24">
        <v>14</v>
      </c>
      <c r="C21" s="25">
        <v>41806</v>
      </c>
      <c r="D21" s="26" t="s">
        <v>35</v>
      </c>
      <c r="E21" s="27" t="s">
        <v>9</v>
      </c>
      <c r="F21" s="28" t="s">
        <v>36</v>
      </c>
      <c r="G21" s="87">
        <v>1</v>
      </c>
      <c r="H21" s="27" t="s">
        <v>9</v>
      </c>
      <c r="I21" s="92">
        <v>2</v>
      </c>
      <c r="J21" s="29">
        <f t="shared" si="0"/>
        <v>2</v>
      </c>
      <c r="K21" s="11">
        <f t="shared" si="1"/>
        <v>0</v>
      </c>
      <c r="L21" s="11">
        <f t="shared" si="2"/>
        <v>3</v>
      </c>
      <c r="O21" s="44" t="s">
        <v>17</v>
      </c>
      <c r="P21" s="45">
        <f>SUMIF($D$8:$D$55,$O21,$G$8:$G$55)+SUMIF($F$8:$F$55,$O21,$I$8:$I$55)</f>
        <v>2</v>
      </c>
      <c r="Q21" s="45">
        <f>SUMIF($D$8:$D$55,$O21,$I$8:$I$55)+SUMIF($F$8:$F$55,$O21,$G$8:$G$55)</f>
        <v>1</v>
      </c>
      <c r="R21" s="46">
        <f>P21-Q21</f>
        <v>1</v>
      </c>
      <c r="S21" s="47">
        <f>SUMIF($D$8:$D$55,$O21,$K$8:$K$55)+SUMIF($F$8:$F$55,$O21,$L$8:$L$55)</f>
        <v>5</v>
      </c>
      <c r="T21" s="94" t="s">
        <v>57</v>
      </c>
      <c r="U21" s="40"/>
      <c r="V21" s="40" t="str">
        <f>O21</f>
        <v>Colombia</v>
      </c>
      <c r="W21" s="40" t="s">
        <v>57</v>
      </c>
      <c r="Y21" s="109">
        <f t="shared" si="8"/>
        <v>10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10</v>
      </c>
      <c r="AG21" s="108">
        <f t="shared" si="3"/>
        <v>1</v>
      </c>
      <c r="AH21" s="108">
        <f t="shared" si="4"/>
        <v>1</v>
      </c>
      <c r="AI21" s="108">
        <f t="shared" si="10"/>
        <v>10</v>
      </c>
      <c r="AJ21" s="108">
        <f t="shared" si="5"/>
        <v>0</v>
      </c>
      <c r="AK21" s="108">
        <f t="shared" si="6"/>
        <v>5</v>
      </c>
      <c r="AL21" s="108">
        <f t="shared" si="7"/>
        <v>0</v>
      </c>
      <c r="AM21" s="120">
        <f>AO21</f>
        <v>10</v>
      </c>
      <c r="AN21" s="116" t="s">
        <v>17</v>
      </c>
      <c r="AO21" s="115">
        <f>IF(Uitslag!T21="",0,IF(T21=Uitslag!T21,10,0))</f>
        <v>10</v>
      </c>
    </row>
    <row r="22" spans="2:41" ht="15.75" thickBot="1">
      <c r="B22" s="12">
        <v>15</v>
      </c>
      <c r="C22" s="13">
        <v>41807</v>
      </c>
      <c r="D22" s="14" t="s">
        <v>37</v>
      </c>
      <c r="E22" s="15" t="s">
        <v>9</v>
      </c>
      <c r="F22" s="16" t="s">
        <v>38</v>
      </c>
      <c r="G22" s="85">
        <v>1</v>
      </c>
      <c r="H22" s="15" t="s">
        <v>9</v>
      </c>
      <c r="I22" s="90">
        <v>0</v>
      </c>
      <c r="J22" s="17">
        <f t="shared" si="0"/>
        <v>1</v>
      </c>
      <c r="K22" s="11">
        <f t="shared" si="1"/>
        <v>3</v>
      </c>
      <c r="L22" s="11">
        <f t="shared" si="2"/>
        <v>0</v>
      </c>
      <c r="O22" s="48" t="s">
        <v>18</v>
      </c>
      <c r="P22" s="49">
        <f>SUMIF($D$8:$D$55,$O22,$G$8:$G$55)+SUMIF($F$8:$F$55,$O22,$I$8:$I$55)</f>
        <v>2</v>
      </c>
      <c r="Q22" s="49">
        <f>SUMIF($D$8:$D$55,$O22,$I$8:$I$55)+SUMIF($F$8:$F$55,$O22,$G$8:$G$55)</f>
        <v>2</v>
      </c>
      <c r="R22" s="49">
        <f>P22-Q22</f>
        <v>0</v>
      </c>
      <c r="S22" s="50">
        <f>SUMIF($D$8:$D$55,$O22,$K$8:$K$55)+SUMIF($F$8:$F$55,$O22,$L$8:$L$55)</f>
        <v>3</v>
      </c>
      <c r="T22" s="95" t="s">
        <v>59</v>
      </c>
      <c r="U22" s="40"/>
      <c r="V22" s="40" t="str">
        <f>O22</f>
        <v>Griekenland</v>
      </c>
      <c r="W22" s="40" t="s">
        <v>58</v>
      </c>
      <c r="Y22" s="109">
        <f t="shared" si="8"/>
        <v>5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5</v>
      </c>
      <c r="AG22" s="108">
        <f t="shared" si="3"/>
        <v>0</v>
      </c>
      <c r="AH22" s="108">
        <f t="shared" si="4"/>
        <v>0</v>
      </c>
      <c r="AI22" s="108">
        <f t="shared" si="10"/>
        <v>0</v>
      </c>
      <c r="AJ22" s="108">
        <f t="shared" si="5"/>
        <v>5</v>
      </c>
      <c r="AK22" s="108">
        <f t="shared" si="6"/>
        <v>0</v>
      </c>
      <c r="AL22" s="108">
        <f t="shared" si="7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18">
        <v>16</v>
      </c>
      <c r="C23" s="19">
        <v>41807</v>
      </c>
      <c r="D23" s="20" t="s">
        <v>8</v>
      </c>
      <c r="E23" s="21" t="s">
        <v>9</v>
      </c>
      <c r="F23" s="30" t="s">
        <v>11</v>
      </c>
      <c r="G23" s="86">
        <v>2</v>
      </c>
      <c r="H23" s="21" t="s">
        <v>9</v>
      </c>
      <c r="I23" s="91">
        <v>1</v>
      </c>
      <c r="J23" s="23">
        <f t="shared" si="0"/>
        <v>1</v>
      </c>
      <c r="K23" s="11">
        <f t="shared" si="1"/>
        <v>3</v>
      </c>
      <c r="L23" s="11">
        <f t="shared" si="2"/>
        <v>0</v>
      </c>
      <c r="O23" s="48" t="s">
        <v>23</v>
      </c>
      <c r="P23" s="49">
        <f>SUMIF($D$8:$D$55,$O23,$G$8:$G$55)+SUMIF($F$8:$F$55,$O23,$I$8:$I$55)</f>
        <v>3</v>
      </c>
      <c r="Q23" s="49">
        <f>SUMIF($D$8:$D$55,$O23,$I$8:$I$55)+SUMIF($F$8:$F$55,$O23,$G$8:$G$55)</f>
        <v>3</v>
      </c>
      <c r="R23" s="49">
        <f>P23-Q23</f>
        <v>0</v>
      </c>
      <c r="S23" s="50">
        <f>SUMIF($D$8:$D$55,$O23,$K$8:$K$55)+SUMIF($F$8:$F$55,$O23,$L$8:$L$55)</f>
        <v>3</v>
      </c>
      <c r="T23" s="95" t="s">
        <v>58</v>
      </c>
      <c r="U23" s="40"/>
      <c r="V23" s="40" t="str">
        <f>O23</f>
        <v>Ivoorkust</v>
      </c>
      <c r="W23" s="40" t="s">
        <v>59</v>
      </c>
      <c r="Y23" s="109">
        <f t="shared" si="8"/>
        <v>0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0</v>
      </c>
      <c r="AG23" s="108">
        <f t="shared" si="3"/>
        <v>0</v>
      </c>
      <c r="AH23" s="108">
        <f t="shared" si="4"/>
        <v>0</v>
      </c>
      <c r="AI23" s="108">
        <f t="shared" si="10"/>
        <v>0</v>
      </c>
      <c r="AJ23" s="108">
        <f t="shared" si="5"/>
        <v>0</v>
      </c>
      <c r="AK23" s="108">
        <f t="shared" si="6"/>
        <v>0</v>
      </c>
      <c r="AL23" s="108">
        <f t="shared" si="7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24">
        <v>17</v>
      </c>
      <c r="C24" s="25">
        <v>41807</v>
      </c>
      <c r="D24" s="26" t="s">
        <v>39</v>
      </c>
      <c r="E24" s="27" t="s">
        <v>9</v>
      </c>
      <c r="F24" s="28" t="s">
        <v>40</v>
      </c>
      <c r="G24" s="87">
        <v>2</v>
      </c>
      <c r="H24" s="27" t="s">
        <v>9</v>
      </c>
      <c r="I24" s="92">
        <v>0</v>
      </c>
      <c r="J24" s="29">
        <f t="shared" si="0"/>
        <v>1</v>
      </c>
      <c r="K24" s="11">
        <f t="shared" si="1"/>
        <v>3</v>
      </c>
      <c r="L24" s="11">
        <f t="shared" si="2"/>
        <v>0</v>
      </c>
      <c r="O24" s="51" t="s">
        <v>24</v>
      </c>
      <c r="P24" s="52">
        <f>SUMIF($D$8:$D$55,$O24,$G$8:$G$55)+SUMIF($F$8:$F$55,$O24,$I$8:$I$55)</f>
        <v>2</v>
      </c>
      <c r="Q24" s="52">
        <f>SUMIF($D$8:$D$55,$O24,$I$8:$I$55)+SUMIF($F$8:$F$55,$O24,$G$8:$G$55)</f>
        <v>3</v>
      </c>
      <c r="R24" s="52">
        <f>P24-Q24</f>
        <v>-1</v>
      </c>
      <c r="S24" s="53">
        <f>SUMIF($D$8:$D$55,$O24,$K$8:$K$55)+SUMIF($F$8:$F$55,$O24,$L$8:$L$55)</f>
        <v>2</v>
      </c>
      <c r="T24" s="96" t="s">
        <v>60</v>
      </c>
      <c r="U24" s="40"/>
      <c r="V24" s="40" t="str">
        <f>O24</f>
        <v>Japan</v>
      </c>
      <c r="W24" s="40" t="s">
        <v>60</v>
      </c>
      <c r="Y24" s="109">
        <f t="shared" si="8"/>
        <v>0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0</v>
      </c>
      <c r="AG24" s="108">
        <f t="shared" si="3"/>
        <v>0</v>
      </c>
      <c r="AH24" s="108">
        <f t="shared" si="4"/>
        <v>0</v>
      </c>
      <c r="AI24" s="108">
        <f t="shared" si="10"/>
        <v>0</v>
      </c>
      <c r="AJ24" s="108">
        <f t="shared" si="5"/>
        <v>0</v>
      </c>
      <c r="AK24" s="108">
        <f t="shared" si="6"/>
        <v>0</v>
      </c>
      <c r="AL24" s="108">
        <f t="shared" si="7"/>
        <v>0</v>
      </c>
      <c r="AM24" s="120">
        <f>AO24</f>
        <v>10</v>
      </c>
      <c r="AN24" s="118" t="s">
        <v>24</v>
      </c>
      <c r="AO24" s="115">
        <f>IF(Uitslag!T24="",0,IF(T24=Uitslag!T24,10,0))</f>
        <v>10</v>
      </c>
    </row>
    <row r="25" spans="2:41" ht="15.75" thickBot="1">
      <c r="B25" s="12">
        <v>18</v>
      </c>
      <c r="C25" s="13">
        <v>41808</v>
      </c>
      <c r="D25" s="14" t="s">
        <v>16</v>
      </c>
      <c r="E25" s="15" t="s">
        <v>9</v>
      </c>
      <c r="F25" s="31" t="s">
        <v>14</v>
      </c>
      <c r="G25" s="85">
        <v>0</v>
      </c>
      <c r="H25" s="15" t="s">
        <v>9</v>
      </c>
      <c r="I25" s="90">
        <v>2</v>
      </c>
      <c r="J25" s="17">
        <f t="shared" si="0"/>
        <v>2</v>
      </c>
      <c r="K25" s="11">
        <f t="shared" si="1"/>
        <v>0</v>
      </c>
      <c r="L25" s="11">
        <f t="shared" si="2"/>
        <v>3</v>
      </c>
      <c r="O25" s="40"/>
      <c r="P25" s="41"/>
      <c r="Q25" s="41"/>
      <c r="R25" s="41"/>
      <c r="S25" s="41"/>
      <c r="T25" s="41"/>
      <c r="U25" s="40"/>
      <c r="V25" s="40"/>
      <c r="W25" s="40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3"/>
        <v>0</v>
      </c>
      <c r="AH25" s="108">
        <f t="shared" si="4"/>
        <v>0</v>
      </c>
      <c r="AI25" s="108">
        <f t="shared" si="10"/>
        <v>0</v>
      </c>
      <c r="AJ25" s="108">
        <f t="shared" si="5"/>
        <v>0</v>
      </c>
      <c r="AK25" s="108">
        <f t="shared" si="6"/>
        <v>5</v>
      </c>
      <c r="AL25" s="108">
        <f t="shared" si="7"/>
        <v>0</v>
      </c>
      <c r="AN25" s="40"/>
      <c r="AO25" s="41"/>
    </row>
    <row r="26" spans="2:41" ht="15.75" thickBot="1">
      <c r="B26" s="18">
        <v>19</v>
      </c>
      <c r="C26" s="19">
        <v>41808</v>
      </c>
      <c r="D26" s="20" t="s">
        <v>13</v>
      </c>
      <c r="E26" s="21" t="s">
        <v>9</v>
      </c>
      <c r="F26" s="30" t="s">
        <v>15</v>
      </c>
      <c r="G26" s="86">
        <v>1</v>
      </c>
      <c r="H26" s="21" t="s">
        <v>9</v>
      </c>
      <c r="I26" s="91">
        <v>1</v>
      </c>
      <c r="J26" s="23">
        <f t="shared" si="0"/>
        <v>3</v>
      </c>
      <c r="K26" s="11">
        <f t="shared" si="1"/>
        <v>1</v>
      </c>
      <c r="L26" s="11">
        <f t="shared" si="2"/>
        <v>1</v>
      </c>
      <c r="O26" s="72" t="s">
        <v>61</v>
      </c>
      <c r="P26" s="73" t="s">
        <v>42</v>
      </c>
      <c r="Q26" s="73" t="s">
        <v>43</v>
      </c>
      <c r="R26" s="74" t="s">
        <v>44</v>
      </c>
      <c r="S26" s="75" t="s">
        <v>45</v>
      </c>
      <c r="T26" s="76" t="s">
        <v>46</v>
      </c>
      <c r="U26" s="40"/>
      <c r="V26" s="40"/>
      <c r="W26" s="40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3"/>
        <v>0</v>
      </c>
      <c r="AH26" s="108">
        <f t="shared" si="4"/>
        <v>0</v>
      </c>
      <c r="AI26" s="108">
        <f t="shared" si="10"/>
        <v>0</v>
      </c>
      <c r="AJ26" s="108">
        <f t="shared" si="5"/>
        <v>0</v>
      </c>
      <c r="AK26" s="108">
        <f t="shared" si="6"/>
        <v>0</v>
      </c>
      <c r="AL26" s="108">
        <f t="shared" si="7"/>
        <v>0</v>
      </c>
      <c r="AN26" s="42" t="s">
        <v>61</v>
      </c>
      <c r="AO26" s="43" t="s">
        <v>46</v>
      </c>
    </row>
    <row r="27" spans="2:41" ht="15.75" thickBot="1">
      <c r="B27" s="24">
        <v>20</v>
      </c>
      <c r="C27" s="25">
        <v>41808</v>
      </c>
      <c r="D27" s="26" t="s">
        <v>12</v>
      </c>
      <c r="E27" s="27" t="s">
        <v>9</v>
      </c>
      <c r="F27" s="28" t="s">
        <v>10</v>
      </c>
      <c r="G27" s="87">
        <v>0</v>
      </c>
      <c r="H27" s="27" t="s">
        <v>9</v>
      </c>
      <c r="I27" s="92">
        <v>1</v>
      </c>
      <c r="J27" s="29">
        <f t="shared" si="0"/>
        <v>2</v>
      </c>
      <c r="K27" s="11">
        <f t="shared" si="1"/>
        <v>0</v>
      </c>
      <c r="L27" s="11">
        <f t="shared" si="2"/>
        <v>3</v>
      </c>
      <c r="O27" s="44" t="s">
        <v>19</v>
      </c>
      <c r="P27" s="45">
        <f>SUMIF($D$8:$D$55,$O27,$G$8:$G$55)+SUMIF($F$8:$F$55,$O27,$I$8:$I$55)</f>
        <v>4</v>
      </c>
      <c r="Q27" s="45">
        <f>SUMIF($D$8:$D$55,$O27,$I$8:$I$55)+SUMIF($F$8:$F$55,$O27,$G$8:$G$55)</f>
        <v>1</v>
      </c>
      <c r="R27" s="46">
        <f>P27-Q27</f>
        <v>3</v>
      </c>
      <c r="S27" s="47">
        <f>SUMIF($D$8:$D$55,$O27,$K$8:$K$55)+SUMIF($F$8:$F$55,$O27,$L$8:$L$55)</f>
        <v>7</v>
      </c>
      <c r="T27" s="94" t="s">
        <v>62</v>
      </c>
      <c r="U27" s="40"/>
      <c r="V27" s="40" t="str">
        <f>O27</f>
        <v>Uruguay</v>
      </c>
      <c r="W27" s="40" t="s">
        <v>62</v>
      </c>
      <c r="Y27" s="109">
        <f t="shared" si="8"/>
        <v>6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6</v>
      </c>
      <c r="AG27" s="108">
        <f t="shared" si="3"/>
        <v>1</v>
      </c>
      <c r="AH27" s="108">
        <f t="shared" si="4"/>
        <v>0</v>
      </c>
      <c r="AI27" s="108">
        <f t="shared" si="10"/>
        <v>0</v>
      </c>
      <c r="AJ27" s="108">
        <f t="shared" si="5"/>
        <v>0</v>
      </c>
      <c r="AK27" s="108">
        <f t="shared" si="6"/>
        <v>5</v>
      </c>
      <c r="AL27" s="108">
        <f t="shared" si="7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12">
        <v>21</v>
      </c>
      <c r="C28" s="13">
        <v>41809</v>
      </c>
      <c r="D28" s="14" t="s">
        <v>17</v>
      </c>
      <c r="E28" s="15" t="s">
        <v>9</v>
      </c>
      <c r="F28" s="16" t="s">
        <v>23</v>
      </c>
      <c r="G28" s="85">
        <v>1</v>
      </c>
      <c r="H28" s="15" t="s">
        <v>9</v>
      </c>
      <c r="I28" s="90">
        <v>1</v>
      </c>
      <c r="J28" s="17">
        <f t="shared" si="0"/>
        <v>3</v>
      </c>
      <c r="K28" s="11">
        <f t="shared" si="1"/>
        <v>1</v>
      </c>
      <c r="L28" s="11">
        <f t="shared" si="2"/>
        <v>1</v>
      </c>
      <c r="O28" s="48" t="s">
        <v>20</v>
      </c>
      <c r="P28" s="49">
        <f>SUMIF($D$8:$D$55,$O28,$G$8:$G$55)+SUMIF($F$8:$F$55,$O28,$I$8:$I$55)</f>
        <v>0</v>
      </c>
      <c r="Q28" s="49">
        <f>SUMIF($D$8:$D$55,$O28,$I$8:$I$55)+SUMIF($F$8:$F$55,$O28,$G$8:$G$55)</f>
        <v>5</v>
      </c>
      <c r="R28" s="49">
        <f>P28-Q28</f>
        <v>-5</v>
      </c>
      <c r="S28" s="50">
        <f>SUMIF($D$8:$D$55,$O28,$K$8:$K$55)+SUMIF($F$8:$F$55,$O28,$L$8:$L$55)</f>
        <v>0</v>
      </c>
      <c r="T28" s="95" t="s">
        <v>65</v>
      </c>
      <c r="U28" s="40"/>
      <c r="V28" s="40" t="str">
        <f>O28</f>
        <v>Costa Rica</v>
      </c>
      <c r="W28" s="40" t="s">
        <v>63</v>
      </c>
      <c r="Y28" s="109">
        <f t="shared" si="8"/>
        <v>1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1</v>
      </c>
      <c r="AG28" s="108">
        <f t="shared" si="3"/>
        <v>0</v>
      </c>
      <c r="AH28" s="108">
        <f t="shared" si="4"/>
        <v>1</v>
      </c>
      <c r="AI28" s="108">
        <f t="shared" si="10"/>
        <v>0</v>
      </c>
      <c r="AJ28" s="108">
        <f t="shared" si="5"/>
        <v>0</v>
      </c>
      <c r="AK28" s="108">
        <f t="shared" si="6"/>
        <v>0</v>
      </c>
      <c r="AL28" s="108">
        <f t="shared" si="7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18">
        <v>22</v>
      </c>
      <c r="C29" s="19">
        <v>41809</v>
      </c>
      <c r="D29" s="20" t="s">
        <v>19</v>
      </c>
      <c r="E29" s="21" t="s">
        <v>9</v>
      </c>
      <c r="F29" s="30" t="s">
        <v>21</v>
      </c>
      <c r="G29" s="86">
        <v>1</v>
      </c>
      <c r="H29" s="21" t="s">
        <v>9</v>
      </c>
      <c r="I29" s="91">
        <v>0</v>
      </c>
      <c r="J29" s="23">
        <f t="shared" si="0"/>
        <v>1</v>
      </c>
      <c r="K29" s="11">
        <f t="shared" si="1"/>
        <v>3</v>
      </c>
      <c r="L29" s="11">
        <f t="shared" si="2"/>
        <v>0</v>
      </c>
      <c r="O29" s="48" t="s">
        <v>21</v>
      </c>
      <c r="P29" s="49">
        <f>SUMIF($D$8:$D$55,$O29,$G$8:$G$55)+SUMIF($F$8:$F$55,$O29,$I$8:$I$55)</f>
        <v>2</v>
      </c>
      <c r="Q29" s="49">
        <f>SUMIF($D$8:$D$55,$O29,$I$8:$I$55)+SUMIF($F$8:$F$55,$O29,$G$8:$G$55)</f>
        <v>1</v>
      </c>
      <c r="R29" s="49">
        <f>P29-Q29</f>
        <v>1</v>
      </c>
      <c r="S29" s="50">
        <f>SUMIF($D$8:$D$55,$O29,$K$8:$K$55)+SUMIF($F$8:$F$55,$O29,$L$8:$L$55)</f>
        <v>4</v>
      </c>
      <c r="T29" s="95" t="s">
        <v>64</v>
      </c>
      <c r="U29" s="40"/>
      <c r="V29" s="40" t="str">
        <f>O29</f>
        <v>Engeland</v>
      </c>
      <c r="W29" s="40" t="s">
        <v>64</v>
      </c>
      <c r="Y29" s="109">
        <f t="shared" si="8"/>
        <v>5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5</v>
      </c>
      <c r="AG29" s="108">
        <f t="shared" si="3"/>
        <v>0</v>
      </c>
      <c r="AH29" s="108">
        <f t="shared" si="4"/>
        <v>0</v>
      </c>
      <c r="AI29" s="108">
        <f t="shared" si="10"/>
        <v>0</v>
      </c>
      <c r="AJ29" s="108">
        <f t="shared" si="5"/>
        <v>5</v>
      </c>
      <c r="AK29" s="108">
        <f t="shared" si="6"/>
        <v>0</v>
      </c>
      <c r="AL29" s="108">
        <f t="shared" si="7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24">
        <v>23</v>
      </c>
      <c r="C30" s="25">
        <v>41809</v>
      </c>
      <c r="D30" s="26" t="s">
        <v>24</v>
      </c>
      <c r="E30" s="27" t="s">
        <v>9</v>
      </c>
      <c r="F30" s="28" t="s">
        <v>18</v>
      </c>
      <c r="G30" s="87">
        <v>1</v>
      </c>
      <c r="H30" s="27" t="s">
        <v>9</v>
      </c>
      <c r="I30" s="92">
        <v>1</v>
      </c>
      <c r="J30" s="29">
        <f t="shared" si="0"/>
        <v>3</v>
      </c>
      <c r="K30" s="11">
        <f t="shared" si="1"/>
        <v>1</v>
      </c>
      <c r="L30" s="11">
        <f t="shared" si="2"/>
        <v>1</v>
      </c>
      <c r="O30" s="51" t="s">
        <v>22</v>
      </c>
      <c r="P30" s="52">
        <f>SUMIF($D$8:$D$55,$O30,$G$8:$G$55)+SUMIF($F$8:$F$55,$O30,$I$8:$I$55)</f>
        <v>2</v>
      </c>
      <c r="Q30" s="52">
        <f>SUMIF($D$8:$D$55,$O30,$I$8:$I$55)+SUMIF($F$8:$F$55,$O30,$G$8:$G$55)</f>
        <v>1</v>
      </c>
      <c r="R30" s="52">
        <f>P30-Q30</f>
        <v>1</v>
      </c>
      <c r="S30" s="53">
        <f>SUMIF($D$8:$D$55,$O30,$K$8:$K$55)+SUMIF($F$8:$F$55,$O30,$L$8:$L$55)</f>
        <v>5</v>
      </c>
      <c r="T30" s="96" t="s">
        <v>63</v>
      </c>
      <c r="U30" s="40"/>
      <c r="V30" s="40" t="str">
        <f>O30</f>
        <v>Italië</v>
      </c>
      <c r="W30" s="40" t="s">
        <v>65</v>
      </c>
      <c r="Y30" s="109">
        <f t="shared" si="8"/>
        <v>5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5</v>
      </c>
      <c r="AG30" s="108">
        <f t="shared" si="3"/>
        <v>0</v>
      </c>
      <c r="AH30" s="108">
        <f t="shared" si="4"/>
        <v>0</v>
      </c>
      <c r="AI30" s="108">
        <f t="shared" si="10"/>
        <v>0</v>
      </c>
      <c r="AJ30" s="108">
        <f t="shared" si="5"/>
        <v>0</v>
      </c>
      <c r="AK30" s="108">
        <f t="shared" si="6"/>
        <v>0</v>
      </c>
      <c r="AL30" s="108">
        <f t="shared" si="7"/>
        <v>5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12">
        <v>24</v>
      </c>
      <c r="C31" s="13">
        <v>41810</v>
      </c>
      <c r="D31" s="14" t="s">
        <v>22</v>
      </c>
      <c r="E31" s="15" t="s">
        <v>9</v>
      </c>
      <c r="F31" s="16" t="s">
        <v>20</v>
      </c>
      <c r="G31" s="85">
        <v>1</v>
      </c>
      <c r="H31" s="15" t="s">
        <v>9</v>
      </c>
      <c r="I31" s="90">
        <v>0</v>
      </c>
      <c r="J31" s="17">
        <f t="shared" si="0"/>
        <v>1</v>
      </c>
      <c r="K31" s="11">
        <f t="shared" si="1"/>
        <v>3</v>
      </c>
      <c r="L31" s="11">
        <f t="shared" si="2"/>
        <v>0</v>
      </c>
      <c r="O31" s="40"/>
      <c r="P31" s="41"/>
      <c r="Q31" s="41"/>
      <c r="R31" s="41"/>
      <c r="S31" s="41"/>
      <c r="T31" s="41"/>
      <c r="U31" s="40"/>
      <c r="V31" s="40"/>
      <c r="W31" s="40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3"/>
        <v>0</v>
      </c>
      <c r="AH31" s="108">
        <f t="shared" si="4"/>
        <v>0</v>
      </c>
      <c r="AI31" s="108">
        <f t="shared" si="10"/>
        <v>0</v>
      </c>
      <c r="AJ31" s="108">
        <f t="shared" si="5"/>
        <v>0</v>
      </c>
      <c r="AK31" s="108">
        <f t="shared" si="6"/>
        <v>0</v>
      </c>
      <c r="AL31" s="108">
        <f t="shared" si="7"/>
        <v>0</v>
      </c>
      <c r="AN31" s="40"/>
      <c r="AO31" s="41"/>
    </row>
    <row r="32" spans="2:41" ht="15.75" thickBot="1">
      <c r="B32" s="18">
        <v>25</v>
      </c>
      <c r="C32" s="19">
        <v>41810</v>
      </c>
      <c r="D32" s="20" t="s">
        <v>25</v>
      </c>
      <c r="E32" s="21" t="s">
        <v>9</v>
      </c>
      <c r="F32" s="30" t="s">
        <v>27</v>
      </c>
      <c r="G32" s="86">
        <v>1</v>
      </c>
      <c r="H32" s="21" t="s">
        <v>9</v>
      </c>
      <c r="I32" s="91">
        <v>1</v>
      </c>
      <c r="J32" s="23">
        <f t="shared" si="0"/>
        <v>3</v>
      </c>
      <c r="K32" s="11">
        <f t="shared" si="1"/>
        <v>1</v>
      </c>
      <c r="L32" s="11">
        <f t="shared" si="2"/>
        <v>1</v>
      </c>
      <c r="O32" s="72" t="s">
        <v>66</v>
      </c>
      <c r="P32" s="73" t="s">
        <v>42</v>
      </c>
      <c r="Q32" s="73" t="s">
        <v>43</v>
      </c>
      <c r="R32" s="74" t="s">
        <v>44</v>
      </c>
      <c r="S32" s="75" t="s">
        <v>45</v>
      </c>
      <c r="T32" s="76" t="s">
        <v>46</v>
      </c>
      <c r="U32" s="40"/>
      <c r="V32" s="40"/>
      <c r="W32" s="40"/>
      <c r="Y32" s="109">
        <f t="shared" si="8"/>
        <v>0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0</v>
      </c>
      <c r="AG32" s="108">
        <f t="shared" si="3"/>
        <v>0</v>
      </c>
      <c r="AH32" s="108">
        <f t="shared" si="4"/>
        <v>0</v>
      </c>
      <c r="AI32" s="108">
        <f t="shared" si="10"/>
        <v>0</v>
      </c>
      <c r="AJ32" s="108">
        <f t="shared" si="5"/>
        <v>0</v>
      </c>
      <c r="AK32" s="108">
        <f t="shared" si="6"/>
        <v>0</v>
      </c>
      <c r="AL32" s="108">
        <f t="shared" si="7"/>
        <v>0</v>
      </c>
      <c r="AN32" s="42" t="s">
        <v>66</v>
      </c>
      <c r="AO32" s="43" t="s">
        <v>46</v>
      </c>
    </row>
    <row r="33" spans="2:41" ht="15.75" thickBot="1">
      <c r="B33" s="24">
        <v>26</v>
      </c>
      <c r="C33" s="25">
        <v>41810</v>
      </c>
      <c r="D33" s="26" t="s">
        <v>28</v>
      </c>
      <c r="E33" s="27" t="s">
        <v>9</v>
      </c>
      <c r="F33" s="28" t="s">
        <v>26</v>
      </c>
      <c r="G33" s="87">
        <v>0</v>
      </c>
      <c r="H33" s="27" t="s">
        <v>9</v>
      </c>
      <c r="I33" s="92">
        <v>1</v>
      </c>
      <c r="J33" s="29">
        <f t="shared" si="0"/>
        <v>2</v>
      </c>
      <c r="K33" s="11">
        <f t="shared" si="1"/>
        <v>0</v>
      </c>
      <c r="L33" s="11">
        <f t="shared" si="2"/>
        <v>3</v>
      </c>
      <c r="O33" s="44" t="s">
        <v>25</v>
      </c>
      <c r="P33" s="45">
        <f>SUMIF($D$8:$D$55,$O33,$G$8:$G$55)+SUMIF($F$8:$F$55,$O33,$I$8:$I$55)</f>
        <v>3</v>
      </c>
      <c r="Q33" s="45">
        <f>SUMIF($D$8:$D$55,$O33,$I$8:$I$55)+SUMIF($F$8:$F$55,$O33,$G$8:$G$55)</f>
        <v>2</v>
      </c>
      <c r="R33" s="46">
        <f>P33-Q33</f>
        <v>1</v>
      </c>
      <c r="S33" s="47">
        <f>SUMIF($D$8:$D$55,$O33,$K$8:$K$55)+SUMIF($F$8:$F$55,$O33,$L$8:$L$55)</f>
        <v>5</v>
      </c>
      <c r="T33" s="94" t="s">
        <v>68</v>
      </c>
      <c r="U33" s="40"/>
      <c r="V33" s="40" t="str">
        <f>O33</f>
        <v>Zwitserland</v>
      </c>
      <c r="W33" s="40" t="s">
        <v>67</v>
      </c>
      <c r="Y33" s="109">
        <f t="shared" si="8"/>
        <v>5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5</v>
      </c>
      <c r="AG33" s="108">
        <f t="shared" si="3"/>
        <v>0</v>
      </c>
      <c r="AH33" s="108">
        <f t="shared" si="4"/>
        <v>0</v>
      </c>
      <c r="AI33" s="108">
        <f t="shared" si="10"/>
        <v>0</v>
      </c>
      <c r="AJ33" s="108">
        <f t="shared" si="5"/>
        <v>0</v>
      </c>
      <c r="AK33" s="108">
        <f t="shared" si="6"/>
        <v>5</v>
      </c>
      <c r="AL33" s="108">
        <f t="shared" si="7"/>
        <v>0</v>
      </c>
      <c r="AM33" s="120">
        <f>AO33</f>
        <v>10</v>
      </c>
      <c r="AN33" s="116" t="s">
        <v>25</v>
      </c>
      <c r="AO33" s="115">
        <f>IF(Uitslag!T33="",0,IF(T33=Uitslag!T33,10,0))</f>
        <v>10</v>
      </c>
    </row>
    <row r="34" spans="2:41" ht="15.75" thickBot="1">
      <c r="B34" s="12">
        <v>27</v>
      </c>
      <c r="C34" s="13">
        <v>41811</v>
      </c>
      <c r="D34" s="14" t="s">
        <v>29</v>
      </c>
      <c r="E34" s="15" t="s">
        <v>9</v>
      </c>
      <c r="F34" s="16" t="s">
        <v>33</v>
      </c>
      <c r="G34" s="85">
        <v>3</v>
      </c>
      <c r="H34" s="15" t="s">
        <v>9</v>
      </c>
      <c r="I34" s="90">
        <v>0</v>
      </c>
      <c r="J34" s="17">
        <f t="shared" si="0"/>
        <v>1</v>
      </c>
      <c r="K34" s="11">
        <f t="shared" si="1"/>
        <v>3</v>
      </c>
      <c r="L34" s="11">
        <f t="shared" si="2"/>
        <v>0</v>
      </c>
      <c r="O34" s="48" t="s">
        <v>26</v>
      </c>
      <c r="P34" s="49">
        <f>SUMIF($D$8:$D$55,$O34,$G$8:$G$55)+SUMIF($F$8:$F$55,$O34,$I$8:$I$55)</f>
        <v>2</v>
      </c>
      <c r="Q34" s="49">
        <f>SUMIF($D$8:$D$55,$O34,$I$8:$I$55)+SUMIF($F$8:$F$55,$O34,$G$8:$G$55)</f>
        <v>2</v>
      </c>
      <c r="R34" s="49">
        <f>P34-Q34</f>
        <v>0</v>
      </c>
      <c r="S34" s="50">
        <f>SUMIF($D$8:$D$55,$O34,$K$8:$K$55)+SUMIF($F$8:$F$55,$O34,$L$8:$L$55)</f>
        <v>4</v>
      </c>
      <c r="T34" s="95" t="s">
        <v>69</v>
      </c>
      <c r="U34" s="40"/>
      <c r="V34" s="40" t="str">
        <f>O34</f>
        <v>Ecuador</v>
      </c>
      <c r="W34" s="40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3"/>
        <v>0</v>
      </c>
      <c r="AH34" s="108">
        <f t="shared" si="4"/>
        <v>1</v>
      </c>
      <c r="AI34" s="108">
        <f t="shared" si="10"/>
        <v>0</v>
      </c>
      <c r="AJ34" s="108">
        <f t="shared" si="5"/>
        <v>5</v>
      </c>
      <c r="AK34" s="108">
        <f t="shared" si="6"/>
        <v>0</v>
      </c>
      <c r="AL34" s="108">
        <f t="shared" si="7"/>
        <v>0</v>
      </c>
      <c r="AM34" s="120">
        <f>AO34</f>
        <v>10</v>
      </c>
      <c r="AN34" s="117" t="s">
        <v>26</v>
      </c>
      <c r="AO34" s="115">
        <f>IF(Uitslag!T34="",0,IF(T34=Uitslag!T34,10,0))</f>
        <v>10</v>
      </c>
    </row>
    <row r="35" spans="2:41" ht="15.75" thickBot="1">
      <c r="B35" s="18">
        <v>28</v>
      </c>
      <c r="C35" s="19">
        <v>41811</v>
      </c>
      <c r="D35" s="20" t="s">
        <v>31</v>
      </c>
      <c r="E35" s="21" t="s">
        <v>9</v>
      </c>
      <c r="F35" s="30" t="s">
        <v>35</v>
      </c>
      <c r="G35" s="86">
        <v>2</v>
      </c>
      <c r="H35" s="21" t="s">
        <v>9</v>
      </c>
      <c r="I35" s="91">
        <v>0</v>
      </c>
      <c r="J35" s="23">
        <f t="shared" si="0"/>
        <v>1</v>
      </c>
      <c r="K35" s="11">
        <f t="shared" si="1"/>
        <v>3</v>
      </c>
      <c r="L35" s="11">
        <f t="shared" si="2"/>
        <v>0</v>
      </c>
      <c r="O35" s="48" t="s">
        <v>27</v>
      </c>
      <c r="P35" s="49">
        <f>SUMIF($D$8:$D$55,$O35,$G$8:$G$55)+SUMIF($F$8:$F$55,$O35,$I$8:$I$55)</f>
        <v>4</v>
      </c>
      <c r="Q35" s="49">
        <f>SUMIF($D$8:$D$55,$O35,$I$8:$I$55)+SUMIF($F$8:$F$55,$O35,$G$8:$G$55)</f>
        <v>2</v>
      </c>
      <c r="R35" s="49">
        <f>P35-Q35</f>
        <v>2</v>
      </c>
      <c r="S35" s="50">
        <f>SUMIF($D$8:$D$55,$O35,$K$8:$K$55)+SUMIF($F$8:$F$55,$O35,$L$8:$L$55)</f>
        <v>7</v>
      </c>
      <c r="T35" s="95" t="s">
        <v>67</v>
      </c>
      <c r="U35" s="40"/>
      <c r="V35" s="40" t="str">
        <f>O35</f>
        <v>Frankrijk</v>
      </c>
      <c r="W35" s="40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3"/>
        <v>1</v>
      </c>
      <c r="AH35" s="108">
        <f t="shared" si="4"/>
        <v>0</v>
      </c>
      <c r="AI35" s="108">
        <f t="shared" si="10"/>
        <v>0</v>
      </c>
      <c r="AJ35" s="108">
        <f t="shared" si="5"/>
        <v>0</v>
      </c>
      <c r="AK35" s="108">
        <f t="shared" si="6"/>
        <v>0</v>
      </c>
      <c r="AL35" s="108">
        <f t="shared" si="7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24">
        <v>29</v>
      </c>
      <c r="C36" s="25">
        <v>41811</v>
      </c>
      <c r="D36" s="26" t="s">
        <v>34</v>
      </c>
      <c r="E36" s="27" t="s">
        <v>9</v>
      </c>
      <c r="F36" s="28" t="s">
        <v>30</v>
      </c>
      <c r="G36" s="87">
        <v>1</v>
      </c>
      <c r="H36" s="27" t="s">
        <v>9</v>
      </c>
      <c r="I36" s="92">
        <v>1</v>
      </c>
      <c r="J36" s="29">
        <f t="shared" si="0"/>
        <v>3</v>
      </c>
      <c r="K36" s="11">
        <f t="shared" si="1"/>
        <v>1</v>
      </c>
      <c r="L36" s="11">
        <f t="shared" si="2"/>
        <v>1</v>
      </c>
      <c r="O36" s="51" t="s">
        <v>28</v>
      </c>
      <c r="P36" s="52">
        <f>SUMIF($D$8:$D$55,$O36,$G$8:$G$55)+SUMIF($F$8:$F$55,$O36,$I$8:$I$55)</f>
        <v>1</v>
      </c>
      <c r="Q36" s="52">
        <f>SUMIF($D$8:$D$55,$O36,$I$8:$I$55)+SUMIF($F$8:$F$55,$O36,$G$8:$G$55)</f>
        <v>4</v>
      </c>
      <c r="R36" s="52">
        <f>P36-Q36</f>
        <v>-3</v>
      </c>
      <c r="S36" s="53">
        <f>SUMIF($D$8:$D$55,$O36,$K$8:$K$55)+SUMIF($F$8:$F$55,$O36,$L$8:$L$55)</f>
        <v>0</v>
      </c>
      <c r="T36" s="96" t="s">
        <v>70</v>
      </c>
      <c r="U36" s="40"/>
      <c r="V36" s="40" t="str">
        <f>O36</f>
        <v>Honduras</v>
      </c>
      <c r="W36" s="40" t="s">
        <v>70</v>
      </c>
      <c r="Y36" s="109">
        <f t="shared" si="8"/>
        <v>1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1</v>
      </c>
      <c r="AG36" s="108">
        <f t="shared" si="3"/>
        <v>1</v>
      </c>
      <c r="AH36" s="108">
        <f t="shared" si="4"/>
        <v>0</v>
      </c>
      <c r="AI36" s="108">
        <f t="shared" si="10"/>
        <v>0</v>
      </c>
      <c r="AJ36" s="108">
        <f t="shared" si="5"/>
        <v>0</v>
      </c>
      <c r="AK36" s="108">
        <f t="shared" si="6"/>
        <v>0</v>
      </c>
      <c r="AL36" s="108">
        <f t="shared" si="7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12">
        <v>30</v>
      </c>
      <c r="C37" s="13">
        <v>41812</v>
      </c>
      <c r="D37" s="14" t="s">
        <v>37</v>
      </c>
      <c r="E37" s="15" t="s">
        <v>9</v>
      </c>
      <c r="F37" s="16" t="s">
        <v>39</v>
      </c>
      <c r="G37" s="85">
        <v>1</v>
      </c>
      <c r="H37" s="15" t="s">
        <v>9</v>
      </c>
      <c r="I37" s="90">
        <v>1</v>
      </c>
      <c r="J37" s="17">
        <f t="shared" si="0"/>
        <v>3</v>
      </c>
      <c r="K37" s="11">
        <f t="shared" si="1"/>
        <v>1</v>
      </c>
      <c r="L37" s="11">
        <f t="shared" si="2"/>
        <v>1</v>
      </c>
      <c r="O37" s="40"/>
      <c r="P37" s="41"/>
      <c r="Q37" s="41"/>
      <c r="R37" s="41"/>
      <c r="S37" s="41"/>
      <c r="T37" s="41"/>
      <c r="U37" s="40"/>
      <c r="V37" s="40"/>
      <c r="W37" s="40"/>
      <c r="Y37" s="109">
        <f t="shared" si="8"/>
        <v>1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1</v>
      </c>
      <c r="AG37" s="108">
        <f t="shared" si="3"/>
        <v>1</v>
      </c>
      <c r="AH37" s="108">
        <f t="shared" si="4"/>
        <v>0</v>
      </c>
      <c r="AI37" s="108">
        <f t="shared" si="10"/>
        <v>0</v>
      </c>
      <c r="AJ37" s="108">
        <f t="shared" si="5"/>
        <v>0</v>
      </c>
      <c r="AK37" s="108">
        <f t="shared" si="6"/>
        <v>0</v>
      </c>
      <c r="AL37" s="108">
        <f t="shared" si="7"/>
        <v>0</v>
      </c>
      <c r="AN37" s="40"/>
      <c r="AO37" s="41"/>
    </row>
    <row r="38" spans="2:41" ht="15.75" thickBot="1">
      <c r="B38" s="18">
        <v>31</v>
      </c>
      <c r="C38" s="19">
        <v>41812</v>
      </c>
      <c r="D38" s="20" t="s">
        <v>40</v>
      </c>
      <c r="E38" s="21" t="s">
        <v>9</v>
      </c>
      <c r="F38" s="30" t="s">
        <v>38</v>
      </c>
      <c r="G38" s="86">
        <v>1</v>
      </c>
      <c r="H38" s="21" t="s">
        <v>9</v>
      </c>
      <c r="I38" s="91">
        <v>2</v>
      </c>
      <c r="J38" s="23">
        <f t="shared" si="0"/>
        <v>2</v>
      </c>
      <c r="K38" s="11">
        <f t="shared" si="1"/>
        <v>0</v>
      </c>
      <c r="L38" s="11">
        <f t="shared" si="2"/>
        <v>3</v>
      </c>
      <c r="O38" s="72" t="s">
        <v>71</v>
      </c>
      <c r="P38" s="73" t="s">
        <v>42</v>
      </c>
      <c r="Q38" s="73" t="s">
        <v>43</v>
      </c>
      <c r="R38" s="74" t="s">
        <v>44</v>
      </c>
      <c r="S38" s="75" t="s">
        <v>45</v>
      </c>
      <c r="T38" s="76" t="s">
        <v>46</v>
      </c>
      <c r="U38" s="40"/>
      <c r="V38" s="40"/>
      <c r="W38" s="40"/>
      <c r="Y38" s="109">
        <f t="shared" si="8"/>
        <v>5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5</v>
      </c>
      <c r="AG38" s="108">
        <f t="shared" si="3"/>
        <v>0</v>
      </c>
      <c r="AH38" s="108">
        <f t="shared" si="4"/>
        <v>0</v>
      </c>
      <c r="AI38" s="108">
        <f t="shared" si="10"/>
        <v>0</v>
      </c>
      <c r="AJ38" s="108">
        <f t="shared" si="5"/>
        <v>0</v>
      </c>
      <c r="AK38" s="108">
        <f t="shared" si="6"/>
        <v>5</v>
      </c>
      <c r="AL38" s="108">
        <f t="shared" si="7"/>
        <v>0</v>
      </c>
      <c r="AN38" s="42" t="s">
        <v>71</v>
      </c>
      <c r="AO38" s="43" t="s">
        <v>46</v>
      </c>
    </row>
    <row r="39" spans="2:41" ht="15.75" thickBot="1">
      <c r="B39" s="24">
        <v>32</v>
      </c>
      <c r="C39" s="25">
        <v>41812</v>
      </c>
      <c r="D39" s="26" t="s">
        <v>36</v>
      </c>
      <c r="E39" s="27" t="s">
        <v>9</v>
      </c>
      <c r="F39" s="28" t="s">
        <v>32</v>
      </c>
      <c r="G39" s="87">
        <v>0</v>
      </c>
      <c r="H39" s="27" t="s">
        <v>9</v>
      </c>
      <c r="I39" s="92">
        <v>2</v>
      </c>
      <c r="J39" s="29">
        <f t="shared" si="0"/>
        <v>2</v>
      </c>
      <c r="K39" s="11">
        <f t="shared" si="1"/>
        <v>0</v>
      </c>
      <c r="L39" s="11">
        <f t="shared" si="2"/>
        <v>3</v>
      </c>
      <c r="O39" s="44" t="s">
        <v>29</v>
      </c>
      <c r="P39" s="45">
        <f>SUMIF($D$8:$D$55,$O39,$G$8:$G$55)+SUMIF($F$8:$F$55,$O39,$I$8:$I$55)</f>
        <v>7</v>
      </c>
      <c r="Q39" s="45">
        <f>SUMIF($D$8:$D$55,$O39,$I$8:$I$55)+SUMIF($F$8:$F$55,$O39,$G$8:$G$55)</f>
        <v>1</v>
      </c>
      <c r="R39" s="46">
        <f>P39-Q39</f>
        <v>6</v>
      </c>
      <c r="S39" s="47">
        <f>SUMIF($D$8:$D$55,$O39,$K$8:$K$55)+SUMIF($F$8:$F$55,$O39,$L$8:$L$55)</f>
        <v>9</v>
      </c>
      <c r="T39" s="94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1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1</v>
      </c>
      <c r="AG39" s="108">
        <f t="shared" si="3"/>
        <v>0</v>
      </c>
      <c r="AH39" s="108">
        <f t="shared" si="4"/>
        <v>1</v>
      </c>
      <c r="AI39" s="108">
        <f t="shared" si="10"/>
        <v>0</v>
      </c>
      <c r="AJ39" s="108">
        <f t="shared" si="5"/>
        <v>0</v>
      </c>
      <c r="AK39" s="108">
        <f t="shared" si="6"/>
        <v>0</v>
      </c>
      <c r="AL39" s="108">
        <f t="shared" si="7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12">
        <v>33</v>
      </c>
      <c r="C40" s="13">
        <v>41813</v>
      </c>
      <c r="D40" s="14" t="s">
        <v>16</v>
      </c>
      <c r="E40" s="15" t="s">
        <v>9</v>
      </c>
      <c r="F40" s="16" t="s">
        <v>13</v>
      </c>
      <c r="G40" s="85">
        <v>0</v>
      </c>
      <c r="H40" s="15" t="s">
        <v>9</v>
      </c>
      <c r="I40" s="90">
        <v>2</v>
      </c>
      <c r="J40" s="17">
        <f t="shared" si="0"/>
        <v>2</v>
      </c>
      <c r="K40" s="11">
        <f t="shared" si="1"/>
        <v>0</v>
      </c>
      <c r="L40" s="11">
        <f t="shared" si="2"/>
        <v>3</v>
      </c>
      <c r="O40" s="48" t="s">
        <v>30</v>
      </c>
      <c r="P40" s="49">
        <f>SUMIF($D$8:$D$55,$O40,$G$8:$G$55)+SUMIF($F$8:$F$55,$O40,$I$8:$I$55)</f>
        <v>3</v>
      </c>
      <c r="Q40" s="49">
        <f>SUMIF($D$8:$D$55,$O40,$I$8:$I$55)+SUMIF($F$8:$F$55,$O40,$G$8:$G$55)</f>
        <v>3</v>
      </c>
      <c r="R40" s="49">
        <f>P40-Q40</f>
        <v>0</v>
      </c>
      <c r="S40" s="50">
        <f>SUMIF($D$8:$D$55,$O40,$K$8:$K$55)+SUMIF($F$8:$F$55,$O40,$L$8:$L$55)</f>
        <v>4</v>
      </c>
      <c r="T40" s="95" t="s">
        <v>73</v>
      </c>
      <c r="U40" s="40"/>
      <c r="V40" s="40" t="str">
        <f>O40</f>
        <v>Bosnië H.</v>
      </c>
      <c r="W40" s="40" t="s">
        <v>73</v>
      </c>
      <c r="Y40" s="109">
        <f t="shared" si="8"/>
        <v>6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6</v>
      </c>
      <c r="AG40" s="108">
        <f t="shared" si="3"/>
        <v>1</v>
      </c>
      <c r="AH40" s="108">
        <f t="shared" si="4"/>
        <v>0</v>
      </c>
      <c r="AI40" s="108">
        <f t="shared" si="10"/>
        <v>0</v>
      </c>
      <c r="AJ40" s="108">
        <f t="shared" si="5"/>
        <v>0</v>
      </c>
      <c r="AK40" s="108">
        <f t="shared" si="6"/>
        <v>5</v>
      </c>
      <c r="AL40" s="108">
        <f t="shared" si="7"/>
        <v>0</v>
      </c>
      <c r="AM40" s="120">
        <f>AO40</f>
        <v>0</v>
      </c>
      <c r="AN40" s="117" t="s">
        <v>30</v>
      </c>
      <c r="AO40" s="115">
        <f>IF(Uitslag!T40="",0,IF(T40=Uitslag!T40,10,0))</f>
        <v>0</v>
      </c>
    </row>
    <row r="41" spans="2:41" ht="15.75" thickBot="1">
      <c r="B41" s="18">
        <v>34</v>
      </c>
      <c r="C41" s="19">
        <v>41813</v>
      </c>
      <c r="D41" s="32" t="s">
        <v>14</v>
      </c>
      <c r="E41" s="21" t="s">
        <v>9</v>
      </c>
      <c r="F41" s="30" t="s">
        <v>15</v>
      </c>
      <c r="G41" s="86">
        <v>1</v>
      </c>
      <c r="H41" s="21" t="s">
        <v>9</v>
      </c>
      <c r="I41" s="91">
        <v>1</v>
      </c>
      <c r="J41" s="23">
        <f t="shared" si="0"/>
        <v>3</v>
      </c>
      <c r="K41" s="11">
        <f t="shared" si="1"/>
        <v>1</v>
      </c>
      <c r="L41" s="11">
        <f t="shared" si="2"/>
        <v>1</v>
      </c>
      <c r="O41" s="48" t="s">
        <v>33</v>
      </c>
      <c r="P41" s="49">
        <f>SUMIF($D$8:$D$55,$O41,$G$8:$G$55)+SUMIF($F$8:$F$55,$O41,$I$8:$I$55)</f>
        <v>1</v>
      </c>
      <c r="Q41" s="49">
        <f>SUMIF($D$8:$D$55,$O41,$I$8:$I$55)+SUMIF($F$8:$F$55,$O41,$G$8:$G$55)</f>
        <v>6</v>
      </c>
      <c r="R41" s="49">
        <f>P41-Q41</f>
        <v>-5</v>
      </c>
      <c r="S41" s="50">
        <f>SUMIF($D$8:$D$55,$O41,$K$8:$K$55)+SUMIF($F$8:$F$55,$O41,$L$8:$L$55)</f>
        <v>1</v>
      </c>
      <c r="T41" s="95" t="s">
        <v>75</v>
      </c>
      <c r="U41" s="40"/>
      <c r="V41" s="40" t="str">
        <f>O41</f>
        <v>Iran</v>
      </c>
      <c r="W41" s="40" t="s">
        <v>74</v>
      </c>
      <c r="Y41" s="109">
        <f t="shared" si="8"/>
        <v>0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0</v>
      </c>
      <c r="AG41" s="108">
        <f t="shared" si="3"/>
        <v>0</v>
      </c>
      <c r="AH41" s="108">
        <f t="shared" si="4"/>
        <v>0</v>
      </c>
      <c r="AI41" s="108">
        <f t="shared" si="10"/>
        <v>0</v>
      </c>
      <c r="AJ41" s="108">
        <f t="shared" si="5"/>
        <v>0</v>
      </c>
      <c r="AK41" s="108">
        <f t="shared" si="6"/>
        <v>0</v>
      </c>
      <c r="AL41" s="108">
        <f t="shared" si="7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18">
        <v>35</v>
      </c>
      <c r="C42" s="19">
        <v>41813</v>
      </c>
      <c r="D42" s="20" t="s">
        <v>12</v>
      </c>
      <c r="E42" s="21" t="s">
        <v>9</v>
      </c>
      <c r="F42" s="30" t="s">
        <v>8</v>
      </c>
      <c r="G42" s="86">
        <v>0</v>
      </c>
      <c r="H42" s="21" t="s">
        <v>9</v>
      </c>
      <c r="I42" s="91">
        <v>2</v>
      </c>
      <c r="J42" s="23">
        <f t="shared" si="0"/>
        <v>2</v>
      </c>
      <c r="K42" s="11">
        <f t="shared" si="1"/>
        <v>0</v>
      </c>
      <c r="L42" s="11">
        <f t="shared" si="2"/>
        <v>3</v>
      </c>
      <c r="O42" s="51" t="s">
        <v>34</v>
      </c>
      <c r="P42" s="52">
        <f>SUMIF($D$8:$D$55,$O42,$G$8:$G$55)+SUMIF($F$8:$F$55,$O42,$I$8:$I$55)</f>
        <v>3</v>
      </c>
      <c r="Q42" s="52">
        <f>SUMIF($D$8:$D$55,$O42,$I$8:$I$55)+SUMIF($F$8:$F$55,$O42,$G$8:$G$55)</f>
        <v>4</v>
      </c>
      <c r="R42" s="52">
        <f>P42-Q42</f>
        <v>-1</v>
      </c>
      <c r="S42" s="53">
        <f>SUMIF($D$8:$D$55,$O42,$K$8:$K$55)+SUMIF($F$8:$F$55,$O42,$L$8:$L$55)</f>
        <v>2</v>
      </c>
      <c r="T42" s="96" t="s">
        <v>74</v>
      </c>
      <c r="U42" s="40"/>
      <c r="V42" s="40" t="str">
        <f>O42</f>
        <v>Nigeria</v>
      </c>
      <c r="W42" s="40" t="s">
        <v>75</v>
      </c>
      <c r="Y42" s="109">
        <f t="shared" si="8"/>
        <v>5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5</v>
      </c>
      <c r="AG42" s="108">
        <f t="shared" si="3"/>
        <v>0</v>
      </c>
      <c r="AH42" s="108">
        <f t="shared" si="4"/>
        <v>0</v>
      </c>
      <c r="AI42" s="108">
        <f t="shared" si="10"/>
        <v>0</v>
      </c>
      <c r="AJ42" s="108">
        <f t="shared" si="5"/>
        <v>0</v>
      </c>
      <c r="AK42" s="108">
        <f t="shared" si="6"/>
        <v>5</v>
      </c>
      <c r="AL42" s="108">
        <f t="shared" si="7"/>
        <v>0</v>
      </c>
      <c r="AM42" s="120">
        <f>AO42</f>
        <v>0</v>
      </c>
      <c r="AN42" s="118" t="s">
        <v>34</v>
      </c>
      <c r="AO42" s="115">
        <f>IF(Uitslag!T42="",0,IF(T42=Uitslag!T42,10,0))</f>
        <v>0</v>
      </c>
    </row>
    <row r="43" spans="2:41" ht="15.75" thickBot="1">
      <c r="B43" s="24">
        <v>36</v>
      </c>
      <c r="C43" s="25">
        <v>41813</v>
      </c>
      <c r="D43" s="26" t="s">
        <v>10</v>
      </c>
      <c r="E43" s="27" t="s">
        <v>9</v>
      </c>
      <c r="F43" s="28" t="s">
        <v>11</v>
      </c>
      <c r="G43" s="87">
        <v>1</v>
      </c>
      <c r="H43" s="27" t="s">
        <v>9</v>
      </c>
      <c r="I43" s="92">
        <v>1</v>
      </c>
      <c r="J43" s="29">
        <f t="shared" si="0"/>
        <v>3</v>
      </c>
      <c r="K43" s="11">
        <f t="shared" si="1"/>
        <v>1</v>
      </c>
      <c r="L43" s="11">
        <f t="shared" si="2"/>
        <v>1</v>
      </c>
      <c r="O43" s="40"/>
      <c r="P43" s="41"/>
      <c r="Q43" s="41"/>
      <c r="R43" s="41"/>
      <c r="S43" s="41"/>
      <c r="T43" s="41"/>
      <c r="U43" s="40"/>
      <c r="V43" s="40"/>
      <c r="W43" s="40"/>
      <c r="Y43" s="109">
        <f t="shared" si="8"/>
        <v>1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1</v>
      </c>
      <c r="AG43" s="108">
        <f t="shared" si="3"/>
        <v>1</v>
      </c>
      <c r="AH43" s="108">
        <f t="shared" si="4"/>
        <v>0</v>
      </c>
      <c r="AI43" s="108">
        <f t="shared" si="10"/>
        <v>0</v>
      </c>
      <c r="AJ43" s="108">
        <f t="shared" si="5"/>
        <v>0</v>
      </c>
      <c r="AK43" s="108">
        <f t="shared" si="6"/>
        <v>0</v>
      </c>
      <c r="AL43" s="108">
        <f t="shared" si="7"/>
        <v>0</v>
      </c>
      <c r="AN43" s="40"/>
      <c r="AO43" s="41"/>
    </row>
    <row r="44" spans="2:41" ht="15.75" thickBot="1">
      <c r="B44" s="12">
        <v>37</v>
      </c>
      <c r="C44" s="13">
        <v>41814</v>
      </c>
      <c r="D44" s="14" t="s">
        <v>22</v>
      </c>
      <c r="E44" s="15" t="s">
        <v>9</v>
      </c>
      <c r="F44" s="16" t="s">
        <v>19</v>
      </c>
      <c r="G44" s="85">
        <v>1</v>
      </c>
      <c r="H44" s="15" t="s">
        <v>9</v>
      </c>
      <c r="I44" s="90">
        <v>1</v>
      </c>
      <c r="J44" s="17">
        <f t="shared" si="0"/>
        <v>3</v>
      </c>
      <c r="K44" s="11">
        <f t="shared" si="1"/>
        <v>1</v>
      </c>
      <c r="L44" s="11">
        <f t="shared" si="2"/>
        <v>1</v>
      </c>
      <c r="O44" s="72" t="s">
        <v>76</v>
      </c>
      <c r="P44" s="73" t="s">
        <v>42</v>
      </c>
      <c r="Q44" s="73" t="s">
        <v>43</v>
      </c>
      <c r="R44" s="74" t="s">
        <v>44</v>
      </c>
      <c r="S44" s="75" t="s">
        <v>45</v>
      </c>
      <c r="T44" s="76" t="s">
        <v>46</v>
      </c>
      <c r="U44" s="40"/>
      <c r="V44" s="40"/>
      <c r="W44" s="40"/>
      <c r="Y44" s="109">
        <f t="shared" si="8"/>
        <v>1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1</v>
      </c>
      <c r="AG44" s="108">
        <f t="shared" si="3"/>
        <v>0</v>
      </c>
      <c r="AH44" s="108">
        <f t="shared" si="4"/>
        <v>1</v>
      </c>
      <c r="AI44" s="108">
        <f t="shared" si="10"/>
        <v>0</v>
      </c>
      <c r="AJ44" s="108">
        <f t="shared" si="5"/>
        <v>0</v>
      </c>
      <c r="AK44" s="108">
        <f t="shared" si="6"/>
        <v>0</v>
      </c>
      <c r="AL44" s="108">
        <f t="shared" si="7"/>
        <v>0</v>
      </c>
      <c r="AN44" s="42" t="s">
        <v>76</v>
      </c>
      <c r="AO44" s="43" t="s">
        <v>46</v>
      </c>
    </row>
    <row r="45" spans="2:41" ht="15.75" thickBot="1">
      <c r="B45" s="18">
        <v>38</v>
      </c>
      <c r="C45" s="19">
        <v>41814</v>
      </c>
      <c r="D45" s="20" t="s">
        <v>20</v>
      </c>
      <c r="E45" s="21" t="s">
        <v>9</v>
      </c>
      <c r="F45" s="30" t="s">
        <v>21</v>
      </c>
      <c r="G45" s="86">
        <v>0</v>
      </c>
      <c r="H45" s="21" t="s">
        <v>9</v>
      </c>
      <c r="I45" s="91">
        <v>2</v>
      </c>
      <c r="J45" s="23">
        <f t="shared" si="0"/>
        <v>2</v>
      </c>
      <c r="K45" s="11">
        <f t="shared" si="1"/>
        <v>0</v>
      </c>
      <c r="L45" s="11">
        <f t="shared" si="2"/>
        <v>3</v>
      </c>
      <c r="O45" s="44" t="s">
        <v>31</v>
      </c>
      <c r="P45" s="45">
        <f>SUMIF($D$8:$D$55,$O45,$G$8:$G$55)+SUMIF($F$8:$F$55,$O45,$I$8:$I$55)</f>
        <v>6</v>
      </c>
      <c r="Q45" s="45">
        <f>SUMIF($D$8:$D$55,$O45,$I$8:$I$55)+SUMIF($F$8:$F$55,$O45,$G$8:$G$55)</f>
        <v>2</v>
      </c>
      <c r="R45" s="46">
        <f>P45-Q45</f>
        <v>4</v>
      </c>
      <c r="S45" s="47">
        <f>SUMIF($D$8:$D$55,$O45,$K$8:$K$55)+SUMIF($F$8:$F$55,$O45,$L$8:$L$55)</f>
        <v>7</v>
      </c>
      <c r="T45" s="94" t="s">
        <v>77</v>
      </c>
      <c r="U45" s="40"/>
      <c r="V45" s="40" t="str">
        <f>O45</f>
        <v>Duitsland</v>
      </c>
      <c r="W45" s="40" t="s">
        <v>77</v>
      </c>
      <c r="Y45" s="109">
        <f t="shared" si="8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1</v>
      </c>
      <c r="AG45" s="108">
        <f t="shared" si="3"/>
        <v>1</v>
      </c>
      <c r="AH45" s="108">
        <f t="shared" si="4"/>
        <v>0</v>
      </c>
      <c r="AI45" s="108">
        <f t="shared" si="10"/>
        <v>0</v>
      </c>
      <c r="AJ45" s="108">
        <f t="shared" si="5"/>
        <v>0</v>
      </c>
      <c r="AK45" s="108">
        <f t="shared" si="6"/>
        <v>0</v>
      </c>
      <c r="AL45" s="108">
        <f t="shared" si="7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18">
        <v>39</v>
      </c>
      <c r="C46" s="19">
        <v>41814</v>
      </c>
      <c r="D46" s="20" t="s">
        <v>24</v>
      </c>
      <c r="E46" s="21" t="s">
        <v>9</v>
      </c>
      <c r="F46" s="30" t="s">
        <v>17</v>
      </c>
      <c r="G46" s="86">
        <v>0</v>
      </c>
      <c r="H46" s="21" t="s">
        <v>9</v>
      </c>
      <c r="I46" s="91">
        <v>1</v>
      </c>
      <c r="J46" s="23">
        <f t="shared" si="0"/>
        <v>2</v>
      </c>
      <c r="K46" s="11">
        <f t="shared" si="1"/>
        <v>0</v>
      </c>
      <c r="L46" s="11">
        <f t="shared" si="2"/>
        <v>3</v>
      </c>
      <c r="O46" s="48" t="s">
        <v>32</v>
      </c>
      <c r="P46" s="49">
        <f>SUMIF($D$8:$D$55,$O46,$G$8:$G$55)+SUMIF($F$8:$F$55,$O46,$I$8:$I$55)</f>
        <v>4</v>
      </c>
      <c r="Q46" s="49">
        <f>SUMIF($D$8:$D$55,$O46,$I$8:$I$55)+SUMIF($F$8:$F$55,$O46,$G$8:$G$55)</f>
        <v>1</v>
      </c>
      <c r="R46" s="49">
        <f>P46-Q46</f>
        <v>3</v>
      </c>
      <c r="S46" s="50">
        <f>SUMIF($D$8:$D$55,$O46,$K$8:$K$55)+SUMIF($F$8:$F$55,$O46,$L$8:$L$55)</f>
        <v>7</v>
      </c>
      <c r="T46" s="95" t="s">
        <v>78</v>
      </c>
      <c r="U46" s="40"/>
      <c r="V46" s="40" t="str">
        <f>O46</f>
        <v>Portugal</v>
      </c>
      <c r="W46" s="40" t="s">
        <v>78</v>
      </c>
      <c r="Y46" s="109">
        <f t="shared" si="8"/>
        <v>5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5</v>
      </c>
      <c r="AG46" s="108">
        <f t="shared" si="3"/>
        <v>0</v>
      </c>
      <c r="AH46" s="108">
        <f t="shared" si="4"/>
        <v>0</v>
      </c>
      <c r="AI46" s="108">
        <f t="shared" si="10"/>
        <v>0</v>
      </c>
      <c r="AJ46" s="108">
        <f t="shared" si="5"/>
        <v>0</v>
      </c>
      <c r="AK46" s="108">
        <f t="shared" si="6"/>
        <v>5</v>
      </c>
      <c r="AL46" s="108">
        <f t="shared" si="7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24">
        <v>40</v>
      </c>
      <c r="C47" s="25">
        <v>41814</v>
      </c>
      <c r="D47" s="26" t="s">
        <v>18</v>
      </c>
      <c r="E47" s="27" t="s">
        <v>9</v>
      </c>
      <c r="F47" s="28" t="s">
        <v>23</v>
      </c>
      <c r="G47" s="87">
        <v>1</v>
      </c>
      <c r="H47" s="27" t="s">
        <v>9</v>
      </c>
      <c r="I47" s="92">
        <v>1</v>
      </c>
      <c r="J47" s="29">
        <f t="shared" si="0"/>
        <v>3</v>
      </c>
      <c r="K47" s="11">
        <f t="shared" si="1"/>
        <v>1</v>
      </c>
      <c r="L47" s="11">
        <f t="shared" si="2"/>
        <v>1</v>
      </c>
      <c r="O47" s="48" t="s">
        <v>35</v>
      </c>
      <c r="P47" s="49">
        <f>SUMIF($D$8:$D$55,$O47,$G$8:$G$55)+SUMIF($F$8:$F$55,$O47,$I$8:$I$55)</f>
        <v>1</v>
      </c>
      <c r="Q47" s="49">
        <f>SUMIF($D$8:$D$55,$O47,$I$8:$I$55)+SUMIF($F$8:$F$55,$O47,$G$8:$G$55)</f>
        <v>5</v>
      </c>
      <c r="R47" s="49">
        <f>P47-Q47</f>
        <v>-4</v>
      </c>
      <c r="S47" s="50">
        <f>SUMIF($D$8:$D$55,$O47,$K$8:$K$55)+SUMIF($F$8:$F$55,$O47,$L$8:$L$55)</f>
        <v>0</v>
      </c>
      <c r="T47" s="95" t="s">
        <v>80</v>
      </c>
      <c r="U47" s="40"/>
      <c r="V47" s="40" t="str">
        <f>O47</f>
        <v>Ghana</v>
      </c>
      <c r="W47" s="40" t="s">
        <v>79</v>
      </c>
      <c r="Y47" s="109">
        <f t="shared" si="8"/>
        <v>1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1</v>
      </c>
      <c r="AG47" s="108">
        <f t="shared" si="3"/>
        <v>0</v>
      </c>
      <c r="AH47" s="108">
        <f t="shared" si="4"/>
        <v>1</v>
      </c>
      <c r="AI47" s="108">
        <f t="shared" si="10"/>
        <v>0</v>
      </c>
      <c r="AJ47" s="108">
        <f t="shared" si="5"/>
        <v>0</v>
      </c>
      <c r="AK47" s="108">
        <f t="shared" si="6"/>
        <v>0</v>
      </c>
      <c r="AL47" s="108">
        <f t="shared" si="7"/>
        <v>0</v>
      </c>
      <c r="AM47" s="120">
        <f>AO47</f>
        <v>10</v>
      </c>
      <c r="AN47" s="117" t="s">
        <v>35</v>
      </c>
      <c r="AO47" s="115">
        <f>IF(Uitslag!T47="",0,IF(T47=Uitslag!T47,10,0))</f>
        <v>10</v>
      </c>
    </row>
    <row r="48" spans="2:41" ht="15.75" thickBot="1">
      <c r="B48" s="12">
        <v>41</v>
      </c>
      <c r="C48" s="13">
        <v>41815</v>
      </c>
      <c r="D48" s="14" t="s">
        <v>34</v>
      </c>
      <c r="E48" s="15" t="s">
        <v>9</v>
      </c>
      <c r="F48" s="16" t="s">
        <v>29</v>
      </c>
      <c r="G48" s="85">
        <v>1</v>
      </c>
      <c r="H48" s="15" t="s">
        <v>9</v>
      </c>
      <c r="I48" s="90">
        <v>2</v>
      </c>
      <c r="J48" s="17">
        <f t="shared" si="0"/>
        <v>2</v>
      </c>
      <c r="K48" s="11">
        <f t="shared" si="1"/>
        <v>0</v>
      </c>
      <c r="L48" s="11">
        <f t="shared" si="2"/>
        <v>3</v>
      </c>
      <c r="O48" s="51" t="s">
        <v>36</v>
      </c>
      <c r="P48" s="52">
        <f>SUMIF($D$8:$D$55,$O48,$G$8:$G$55)+SUMIF($F$8:$F$55,$O48,$I$8:$I$55)</f>
        <v>3</v>
      </c>
      <c r="Q48" s="52">
        <f>SUMIF($D$8:$D$55,$O48,$I$8:$I$55)+SUMIF($F$8:$F$55,$O48,$G$8:$G$55)</f>
        <v>6</v>
      </c>
      <c r="R48" s="52">
        <f>P48-Q48</f>
        <v>-3</v>
      </c>
      <c r="S48" s="53">
        <f>SUMIF($D$8:$D$55,$O48,$K$8:$K$55)+SUMIF($F$8:$F$55,$O48,$L$8:$L$55)</f>
        <v>3</v>
      </c>
      <c r="T48" s="96" t="s">
        <v>79</v>
      </c>
      <c r="U48" s="40"/>
      <c r="V48" s="40" t="str">
        <f>O48</f>
        <v>Verenigde Staten</v>
      </c>
      <c r="W48" s="40" t="s">
        <v>80</v>
      </c>
      <c r="Y48" s="109">
        <f t="shared" si="8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5</v>
      </c>
      <c r="AG48" s="108">
        <f t="shared" si="3"/>
        <v>0</v>
      </c>
      <c r="AH48" s="108">
        <f t="shared" si="4"/>
        <v>0</v>
      </c>
      <c r="AI48" s="108">
        <f t="shared" si="10"/>
        <v>0</v>
      </c>
      <c r="AJ48" s="108">
        <f t="shared" si="5"/>
        <v>0</v>
      </c>
      <c r="AK48" s="108">
        <f t="shared" si="6"/>
        <v>5</v>
      </c>
      <c r="AL48" s="108">
        <f t="shared" si="7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18">
        <v>42</v>
      </c>
      <c r="C49" s="19">
        <v>41815</v>
      </c>
      <c r="D49" s="20" t="s">
        <v>30</v>
      </c>
      <c r="E49" s="21" t="s">
        <v>9</v>
      </c>
      <c r="F49" s="30" t="s">
        <v>33</v>
      </c>
      <c r="G49" s="86">
        <v>2</v>
      </c>
      <c r="H49" s="21" t="s">
        <v>9</v>
      </c>
      <c r="I49" s="91">
        <v>0</v>
      </c>
      <c r="J49" s="23">
        <f t="shared" si="0"/>
        <v>1</v>
      </c>
      <c r="K49" s="11">
        <f t="shared" si="1"/>
        <v>3</v>
      </c>
      <c r="L49" s="11">
        <f t="shared" si="2"/>
        <v>0</v>
      </c>
      <c r="O49" s="40"/>
      <c r="P49" s="41"/>
      <c r="Q49" s="41"/>
      <c r="R49" s="41"/>
      <c r="S49" s="41"/>
      <c r="T49" s="41"/>
      <c r="U49" s="40"/>
      <c r="V49" s="40"/>
      <c r="W49" s="40"/>
      <c r="Y49" s="109">
        <f t="shared" si="8"/>
        <v>5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5</v>
      </c>
      <c r="AG49" s="108">
        <f t="shared" si="3"/>
        <v>0</v>
      </c>
      <c r="AH49" s="108">
        <f t="shared" si="4"/>
        <v>0</v>
      </c>
      <c r="AI49" s="108">
        <f t="shared" si="10"/>
        <v>0</v>
      </c>
      <c r="AJ49" s="108">
        <f t="shared" si="5"/>
        <v>5</v>
      </c>
      <c r="AK49" s="108">
        <f t="shared" si="6"/>
        <v>0</v>
      </c>
      <c r="AL49" s="108">
        <f t="shared" si="7"/>
        <v>0</v>
      </c>
      <c r="AN49" s="40"/>
      <c r="AO49" s="41"/>
    </row>
    <row r="50" spans="2:54" ht="15.75" thickBot="1">
      <c r="B50" s="18">
        <v>43</v>
      </c>
      <c r="C50" s="19">
        <v>41815</v>
      </c>
      <c r="D50" s="20" t="s">
        <v>28</v>
      </c>
      <c r="E50" s="21" t="s">
        <v>9</v>
      </c>
      <c r="F50" s="30" t="s">
        <v>25</v>
      </c>
      <c r="G50" s="86">
        <v>0</v>
      </c>
      <c r="H50" s="21" t="s">
        <v>9</v>
      </c>
      <c r="I50" s="91">
        <v>1</v>
      </c>
      <c r="J50" s="23">
        <f t="shared" si="0"/>
        <v>2</v>
      </c>
      <c r="K50" s="11">
        <f t="shared" si="1"/>
        <v>0</v>
      </c>
      <c r="L50" s="11">
        <f t="shared" si="2"/>
        <v>3</v>
      </c>
      <c r="O50" s="72" t="s">
        <v>81</v>
      </c>
      <c r="P50" s="73" t="s">
        <v>42</v>
      </c>
      <c r="Q50" s="73" t="s">
        <v>43</v>
      </c>
      <c r="R50" s="74" t="s">
        <v>44</v>
      </c>
      <c r="S50" s="75" t="s">
        <v>45</v>
      </c>
      <c r="T50" s="76" t="s">
        <v>46</v>
      </c>
      <c r="U50" s="40"/>
      <c r="V50" s="40"/>
      <c r="W50" s="40"/>
      <c r="Y50" s="109">
        <f t="shared" si="8"/>
        <v>6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6</v>
      </c>
      <c r="AG50" s="108">
        <f t="shared" si="3"/>
        <v>1</v>
      </c>
      <c r="AH50" s="108">
        <f t="shared" si="4"/>
        <v>0</v>
      </c>
      <c r="AI50" s="108">
        <f t="shared" si="10"/>
        <v>0</v>
      </c>
      <c r="AJ50" s="108">
        <f t="shared" si="5"/>
        <v>0</v>
      </c>
      <c r="AK50" s="108">
        <f t="shared" si="6"/>
        <v>5</v>
      </c>
      <c r="AL50" s="108">
        <f t="shared" si="7"/>
        <v>0</v>
      </c>
      <c r="AN50" s="42" t="s">
        <v>81</v>
      </c>
      <c r="AO50" s="43" t="s">
        <v>46</v>
      </c>
    </row>
    <row r="51" spans="2:54" ht="15.75" thickBot="1">
      <c r="B51" s="24">
        <v>44</v>
      </c>
      <c r="C51" s="25">
        <v>41815</v>
      </c>
      <c r="D51" s="26" t="s">
        <v>26</v>
      </c>
      <c r="E51" s="27" t="s">
        <v>9</v>
      </c>
      <c r="F51" s="28" t="s">
        <v>27</v>
      </c>
      <c r="G51" s="87">
        <v>0</v>
      </c>
      <c r="H51" s="27" t="s">
        <v>9</v>
      </c>
      <c r="I51" s="92">
        <v>1</v>
      </c>
      <c r="J51" s="29">
        <f t="shared" si="0"/>
        <v>2</v>
      </c>
      <c r="K51" s="11">
        <f t="shared" si="1"/>
        <v>0</v>
      </c>
      <c r="L51" s="11">
        <f t="shared" si="2"/>
        <v>3</v>
      </c>
      <c r="O51" s="44" t="s">
        <v>37</v>
      </c>
      <c r="P51" s="45">
        <f>SUMIF($D$8:$D$55,$O51,$G$8:$G$55)+SUMIF($F$8:$F$55,$O51,$I$8:$I$55)</f>
        <v>4</v>
      </c>
      <c r="Q51" s="45">
        <f>SUMIF($D$8:$D$55,$O51,$I$8:$I$55)+SUMIF($F$8:$F$55,$O51,$G$8:$G$55)</f>
        <v>2</v>
      </c>
      <c r="R51" s="46">
        <f>P51-Q51</f>
        <v>2</v>
      </c>
      <c r="S51" s="47">
        <f>SUMIF($D$8:$D$55,$O51,$K$8:$K$55)+SUMIF($F$8:$F$55,$O51,$L$8:$L$55)</f>
        <v>7</v>
      </c>
      <c r="T51" s="94" t="s">
        <v>82</v>
      </c>
      <c r="U51" s="40"/>
      <c r="V51" s="40" t="str">
        <f>O51</f>
        <v>België</v>
      </c>
      <c r="W51" s="40" t="s">
        <v>82</v>
      </c>
      <c r="Y51" s="109">
        <f t="shared" si="8"/>
        <v>1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1</v>
      </c>
      <c r="AG51" s="108">
        <f t="shared" si="3"/>
        <v>1</v>
      </c>
      <c r="AH51" s="108">
        <f t="shared" si="4"/>
        <v>0</v>
      </c>
      <c r="AI51" s="108">
        <f t="shared" si="10"/>
        <v>0</v>
      </c>
      <c r="AJ51" s="108">
        <f t="shared" si="5"/>
        <v>0</v>
      </c>
      <c r="AK51" s="108">
        <f t="shared" si="6"/>
        <v>0</v>
      </c>
      <c r="AL51" s="108">
        <f t="shared" si="7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18">
        <v>45</v>
      </c>
      <c r="C52" s="19">
        <v>41816</v>
      </c>
      <c r="D52" s="20" t="s">
        <v>36</v>
      </c>
      <c r="E52" s="21" t="s">
        <v>9</v>
      </c>
      <c r="F52" s="30" t="s">
        <v>31</v>
      </c>
      <c r="G52" s="86">
        <v>1</v>
      </c>
      <c r="H52" s="21" t="s">
        <v>9</v>
      </c>
      <c r="I52" s="91">
        <v>3</v>
      </c>
      <c r="J52" s="17">
        <f t="shared" si="0"/>
        <v>2</v>
      </c>
      <c r="K52" s="11">
        <f t="shared" si="1"/>
        <v>0</v>
      </c>
      <c r="L52" s="11">
        <f t="shared" si="2"/>
        <v>3</v>
      </c>
      <c r="O52" s="48" t="s">
        <v>38</v>
      </c>
      <c r="P52" s="49">
        <f>SUMIF($D$8:$D$55,$O52,$G$8:$G$55)+SUMIF($F$8:$F$55,$O52,$I$8:$I$55)</f>
        <v>2</v>
      </c>
      <c r="Q52" s="49">
        <f>SUMIF($D$8:$D$55,$O52,$I$8:$I$55)+SUMIF($F$8:$F$55,$O52,$G$8:$G$55)</f>
        <v>4</v>
      </c>
      <c r="R52" s="49">
        <f>P52-Q52</f>
        <v>-2</v>
      </c>
      <c r="S52" s="50">
        <f>SUMIF($D$8:$D$55,$O52,$K$8:$K$55)+SUMIF($F$8:$F$55,$O52,$L$8:$L$55)</f>
        <v>3</v>
      </c>
      <c r="T52" s="95" t="s">
        <v>84</v>
      </c>
      <c r="U52" s="40"/>
      <c r="V52" s="40" t="str">
        <f>O52</f>
        <v>Algerije</v>
      </c>
      <c r="W52" s="40" t="s">
        <v>83</v>
      </c>
      <c r="Y52" s="109">
        <f t="shared" si="8"/>
        <v>5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5</v>
      </c>
      <c r="AG52" s="108">
        <f t="shared" si="3"/>
        <v>0</v>
      </c>
      <c r="AH52" s="108">
        <f t="shared" si="4"/>
        <v>0</v>
      </c>
      <c r="AI52" s="108">
        <f t="shared" si="10"/>
        <v>0</v>
      </c>
      <c r="AJ52" s="108">
        <f t="shared" si="5"/>
        <v>0</v>
      </c>
      <c r="AK52" s="108">
        <f t="shared" si="6"/>
        <v>5</v>
      </c>
      <c r="AL52" s="108">
        <f t="shared" si="7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18">
        <v>46</v>
      </c>
      <c r="C53" s="19">
        <v>41816</v>
      </c>
      <c r="D53" s="20" t="s">
        <v>32</v>
      </c>
      <c r="E53" s="21" t="s">
        <v>9</v>
      </c>
      <c r="F53" s="30" t="s">
        <v>35</v>
      </c>
      <c r="G53" s="86">
        <v>1</v>
      </c>
      <c r="H53" s="21" t="s">
        <v>9</v>
      </c>
      <c r="I53" s="91">
        <v>0</v>
      </c>
      <c r="J53" s="23">
        <f t="shared" si="0"/>
        <v>1</v>
      </c>
      <c r="K53" s="11">
        <f t="shared" si="1"/>
        <v>3</v>
      </c>
      <c r="L53" s="11">
        <f t="shared" si="2"/>
        <v>0</v>
      </c>
      <c r="O53" s="48" t="s">
        <v>39</v>
      </c>
      <c r="P53" s="49">
        <f>SUMIF($D$8:$D$55,$O53,$G$8:$G$55)+SUMIF($F$8:$F$55,$O53,$I$8:$I$55)</f>
        <v>5</v>
      </c>
      <c r="Q53" s="49">
        <f>SUMIF($D$8:$D$55,$O53,$I$8:$I$55)+SUMIF($F$8:$F$55,$O53,$G$8:$G$55)</f>
        <v>1</v>
      </c>
      <c r="R53" s="49">
        <f>P53-Q53</f>
        <v>4</v>
      </c>
      <c r="S53" s="50">
        <f>SUMIF($D$8:$D$55,$O53,$K$8:$K$55)+SUMIF($F$8:$F$55,$O53,$L$8:$L$55)</f>
        <v>7</v>
      </c>
      <c r="T53" s="95" t="s">
        <v>83</v>
      </c>
      <c r="U53" s="40"/>
      <c r="V53" s="40" t="str">
        <f>O53</f>
        <v>Rusland</v>
      </c>
      <c r="W53" s="40" t="s">
        <v>84</v>
      </c>
      <c r="Y53" s="109">
        <f t="shared" si="8"/>
        <v>5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5</v>
      </c>
      <c r="AG53" s="108">
        <f t="shared" si="3"/>
        <v>0</v>
      </c>
      <c r="AH53" s="108">
        <f t="shared" si="4"/>
        <v>0</v>
      </c>
      <c r="AI53" s="108">
        <f t="shared" si="10"/>
        <v>0</v>
      </c>
      <c r="AJ53" s="108">
        <f t="shared" si="5"/>
        <v>5</v>
      </c>
      <c r="AK53" s="108">
        <f t="shared" si="6"/>
        <v>0</v>
      </c>
      <c r="AL53" s="108">
        <f t="shared" si="7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18">
        <v>47</v>
      </c>
      <c r="C54" s="19">
        <v>41816</v>
      </c>
      <c r="D54" s="20" t="s">
        <v>40</v>
      </c>
      <c r="E54" s="21" t="s">
        <v>9</v>
      </c>
      <c r="F54" s="30" t="s">
        <v>37</v>
      </c>
      <c r="G54" s="86">
        <v>1</v>
      </c>
      <c r="H54" s="21" t="s">
        <v>9</v>
      </c>
      <c r="I54" s="91">
        <v>2</v>
      </c>
      <c r="J54" s="23">
        <f t="shared" si="0"/>
        <v>2</v>
      </c>
      <c r="K54" s="11">
        <f t="shared" si="1"/>
        <v>0</v>
      </c>
      <c r="L54" s="11">
        <f t="shared" si="2"/>
        <v>3</v>
      </c>
      <c r="O54" s="51" t="s">
        <v>40</v>
      </c>
      <c r="P54" s="52">
        <f>SUMIF($D$8:$D$55,$O54,$G$8:$G$55)+SUMIF($F$8:$F$55,$O54,$I$8:$I$55)</f>
        <v>2</v>
      </c>
      <c r="Q54" s="52">
        <f>SUMIF($D$8:$D$55,$O54,$I$8:$I$55)+SUMIF($F$8:$F$55,$O54,$G$8:$G$55)</f>
        <v>6</v>
      </c>
      <c r="R54" s="52">
        <f>P54-Q54</f>
        <v>-4</v>
      </c>
      <c r="S54" s="53">
        <f>SUMIF($D$8:$D$55,$O54,$K$8:$K$55)+SUMIF($F$8:$F$55,$O54,$L$8:$L$55)</f>
        <v>0</v>
      </c>
      <c r="T54" s="96" t="s">
        <v>85</v>
      </c>
      <c r="U54" s="40"/>
      <c r="V54" s="40" t="str">
        <f>O54</f>
        <v>Zuid Korea</v>
      </c>
      <c r="W54" s="40" t="s">
        <v>85</v>
      </c>
      <c r="Y54" s="109">
        <f t="shared" si="8"/>
        <v>5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5</v>
      </c>
      <c r="AG54" s="108">
        <f t="shared" si="3"/>
        <v>0</v>
      </c>
      <c r="AH54" s="108">
        <f t="shared" si="4"/>
        <v>0</v>
      </c>
      <c r="AI54" s="108">
        <f t="shared" si="10"/>
        <v>0</v>
      </c>
      <c r="AJ54" s="108">
        <f t="shared" si="5"/>
        <v>0</v>
      </c>
      <c r="AK54" s="108">
        <f t="shared" si="6"/>
        <v>5</v>
      </c>
      <c r="AL54" s="108">
        <f t="shared" si="7"/>
        <v>0</v>
      </c>
      <c r="AM54" s="120">
        <f>AO54</f>
        <v>10</v>
      </c>
      <c r="AN54" s="118" t="s">
        <v>40</v>
      </c>
      <c r="AO54" s="115">
        <f>IF(Uitslag!T54="",0,IF(T54=Uitslag!T54,10,0))</f>
        <v>10</v>
      </c>
    </row>
    <row r="55" spans="2:54" ht="15.75" thickBot="1">
      <c r="B55" s="33">
        <v>48</v>
      </c>
      <c r="C55" s="34">
        <v>41816</v>
      </c>
      <c r="D55" s="35" t="s">
        <v>38</v>
      </c>
      <c r="E55" s="36" t="s">
        <v>9</v>
      </c>
      <c r="F55" s="37" t="s">
        <v>39</v>
      </c>
      <c r="G55" s="88">
        <v>0</v>
      </c>
      <c r="H55" s="36" t="s">
        <v>9</v>
      </c>
      <c r="I55" s="93">
        <v>2</v>
      </c>
      <c r="J55" s="38">
        <f t="shared" si="0"/>
        <v>2</v>
      </c>
      <c r="K55" s="11">
        <f t="shared" si="1"/>
        <v>0</v>
      </c>
      <c r="L55" s="11">
        <f t="shared" si="2"/>
        <v>3</v>
      </c>
      <c r="O55" s="40"/>
      <c r="P55" s="41"/>
      <c r="Q55" s="41"/>
      <c r="R55" s="41"/>
      <c r="S55" s="41"/>
      <c r="T55" s="41"/>
      <c r="U55" s="40"/>
      <c r="V55" s="40"/>
      <c r="W55" s="40"/>
      <c r="Y55" s="109">
        <f t="shared" si="8"/>
        <v>0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0</v>
      </c>
      <c r="AG55" s="108">
        <f t="shared" si="3"/>
        <v>0</v>
      </c>
      <c r="AH55" s="108">
        <f t="shared" si="4"/>
        <v>0</v>
      </c>
      <c r="AI55" s="108">
        <f t="shared" si="10"/>
        <v>0</v>
      </c>
      <c r="AJ55" s="108">
        <f t="shared" si="5"/>
        <v>0</v>
      </c>
      <c r="AK55" s="108">
        <f t="shared" si="6"/>
        <v>0</v>
      </c>
      <c r="AL55" s="108">
        <f t="shared" si="7"/>
        <v>0</v>
      </c>
    </row>
    <row r="56" spans="2:54" ht="15.75" thickBot="1">
      <c r="B56" s="1"/>
      <c r="C56" s="39"/>
      <c r="D56" s="40"/>
      <c r="E56" s="1"/>
      <c r="F56" s="40"/>
      <c r="G56" s="1"/>
      <c r="H56" s="1"/>
      <c r="I56" s="1"/>
      <c r="J56" s="1"/>
      <c r="K56" s="1"/>
      <c r="L56" s="1"/>
      <c r="M56" s="1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219"/>
      <c r="K57" s="1"/>
      <c r="L57" s="1"/>
      <c r="M57" s="1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78" t="s">
        <v>1</v>
      </c>
      <c r="C58" s="79" t="s">
        <v>2</v>
      </c>
      <c r="D58" s="187" t="s">
        <v>3</v>
      </c>
      <c r="E58" s="81"/>
      <c r="F58" s="217" t="s">
        <v>4</v>
      </c>
      <c r="G58" s="867" t="s">
        <v>5</v>
      </c>
      <c r="H58" s="868"/>
      <c r="I58" s="869"/>
      <c r="J58" s="83" t="s">
        <v>6</v>
      </c>
      <c r="K58" s="1"/>
      <c r="L58" s="1"/>
      <c r="M58" s="1"/>
      <c r="O58" s="135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12">
        <v>49</v>
      </c>
      <c r="C59" s="189">
        <v>41818</v>
      </c>
      <c r="D59" s="153" t="str">
        <f t="shared" ref="D59:D66" si="13">IF(ISERROR(Z59),K59,Z59)</f>
        <v>Brazilië</v>
      </c>
      <c r="E59" s="15" t="s">
        <v>9</v>
      </c>
      <c r="F59" s="56" t="str">
        <f t="shared" ref="F59:F66" si="14">IF(ISERROR(AA59),L59,AA59)</f>
        <v>Chili</v>
      </c>
      <c r="G59" s="85">
        <v>2</v>
      </c>
      <c r="H59" s="15" t="s">
        <v>9</v>
      </c>
      <c r="I59" s="97">
        <v>0</v>
      </c>
      <c r="J59" s="98">
        <v>1</v>
      </c>
      <c r="K59" s="57" t="s">
        <v>48</v>
      </c>
      <c r="L59" s="57" t="s">
        <v>53</v>
      </c>
      <c r="M59" s="57">
        <v>1</v>
      </c>
      <c r="O59" s="135">
        <v>2</v>
      </c>
      <c r="P59" s="877" t="s">
        <v>220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5">AF59</f>
        <v>0</v>
      </c>
      <c r="Z59" t="str">
        <f t="shared" ref="Z59:AA65" si="16">IF(K59=""," ",VLOOKUP(K59,$T$9:$V$54,3,FALSE))</f>
        <v>Brazilië</v>
      </c>
      <c r="AA59" t="str">
        <f t="shared" si="16"/>
        <v>Chili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7">IF(OR(AC59="",AD59=""),0,(IF(SUM(AG59:AL59)&gt;10,10,SUM(AG59:AL59))))</f>
        <v>0</v>
      </c>
      <c r="AG59" s="108">
        <f t="shared" ref="AG59:AG66" si="18">IF(AC59="",0,(IF(G59=AC59,1,0)))</f>
        <v>0</v>
      </c>
      <c r="AH59" s="108">
        <f t="shared" ref="AH59:AH66" si="19">IF(AD59="",0,(IF(I59=AD59,1,0)))</f>
        <v>0</v>
      </c>
      <c r="AI59" s="108">
        <f t="shared" ref="AI59:AI66" si="20">IF(AND(AG59=1,AH59=1),10,0)</f>
        <v>0</v>
      </c>
      <c r="AJ59" s="108">
        <f t="shared" ref="AJ59:AJ66" si="21">IF(AND(G59&gt;I59,AC59&gt;AD59),5,0)</f>
        <v>0</v>
      </c>
      <c r="AK59" s="108">
        <f t="shared" ref="AK59:AK66" si="22">IF(AND(G59&lt;I59,AC59&lt;AD59),5,0)</f>
        <v>0</v>
      </c>
      <c r="AL59" s="108">
        <f t="shared" ref="AL59:AL66" si="23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4">BA59</f>
        <v>3</v>
      </c>
    </row>
    <row r="60" spans="2:54">
      <c r="B60" s="24">
        <v>50</v>
      </c>
      <c r="C60" s="190">
        <v>41818</v>
      </c>
      <c r="D60" s="154" t="str">
        <f t="shared" si="13"/>
        <v>Colombia</v>
      </c>
      <c r="E60" s="27" t="s">
        <v>9</v>
      </c>
      <c r="F60" s="59" t="str">
        <f t="shared" si="14"/>
        <v>Italië</v>
      </c>
      <c r="G60" s="87">
        <v>0</v>
      </c>
      <c r="H60" s="27" t="s">
        <v>9</v>
      </c>
      <c r="I60" s="99">
        <v>1</v>
      </c>
      <c r="J60" s="100">
        <v>2</v>
      </c>
      <c r="K60" s="57" t="s">
        <v>57</v>
      </c>
      <c r="L60" s="57" t="s">
        <v>63</v>
      </c>
      <c r="M60" s="57">
        <v>2</v>
      </c>
      <c r="O60" s="135">
        <v>3</v>
      </c>
      <c r="P60" s="877" t="s">
        <v>209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5"/>
        <v>0</v>
      </c>
      <c r="Z60" t="str">
        <f t="shared" si="16"/>
        <v>Colombia</v>
      </c>
      <c r="AA60" t="str">
        <f t="shared" si="16"/>
        <v>Italië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7"/>
        <v>0</v>
      </c>
      <c r="AG60" s="108">
        <f t="shared" si="18"/>
        <v>0</v>
      </c>
      <c r="AH60" s="108">
        <f t="shared" si="19"/>
        <v>0</v>
      </c>
      <c r="AI60" s="108">
        <f t="shared" si="20"/>
        <v>0</v>
      </c>
      <c r="AJ60" s="108">
        <f t="shared" si="21"/>
        <v>0</v>
      </c>
      <c r="AK60" s="108">
        <f t="shared" si="22"/>
        <v>0</v>
      </c>
      <c r="AL60" s="108">
        <f t="shared" si="23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4"/>
        <v>3</v>
      </c>
    </row>
    <row r="61" spans="2:54">
      <c r="B61" s="12">
        <v>51</v>
      </c>
      <c r="C61" s="189">
        <v>41819</v>
      </c>
      <c r="D61" s="188" t="str">
        <f t="shared" si="13"/>
        <v>Spanje</v>
      </c>
      <c r="E61" s="15" t="s">
        <v>9</v>
      </c>
      <c r="F61" s="56" t="str">
        <f t="shared" si="14"/>
        <v>Mexico</v>
      </c>
      <c r="G61" s="85">
        <v>2</v>
      </c>
      <c r="H61" s="15" t="s">
        <v>9</v>
      </c>
      <c r="I61" s="97">
        <v>1</v>
      </c>
      <c r="J61" s="98">
        <v>1</v>
      </c>
      <c r="K61" s="57" t="s">
        <v>52</v>
      </c>
      <c r="L61" s="57" t="s">
        <v>49</v>
      </c>
      <c r="M61" s="57"/>
      <c r="O61" s="135">
        <v>4</v>
      </c>
      <c r="P61" s="877" t="s">
        <v>225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5"/>
        <v>10</v>
      </c>
      <c r="Z61" t="str">
        <f t="shared" si="16"/>
        <v>Spanje</v>
      </c>
      <c r="AA61" t="str">
        <f t="shared" si="16"/>
        <v>Mexico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7"/>
        <v>10</v>
      </c>
      <c r="AG61" s="108">
        <f t="shared" si="18"/>
        <v>1</v>
      </c>
      <c r="AH61" s="108">
        <f t="shared" si="19"/>
        <v>1</v>
      </c>
      <c r="AI61" s="108">
        <f t="shared" si="20"/>
        <v>10</v>
      </c>
      <c r="AJ61" s="108">
        <f t="shared" si="21"/>
        <v>5</v>
      </c>
      <c r="AK61" s="108">
        <f t="shared" si="22"/>
        <v>0</v>
      </c>
      <c r="AL61" s="108">
        <f t="shared" si="23"/>
        <v>0</v>
      </c>
      <c r="AZ61" s="138" t="str">
        <f>Uitslag!P61</f>
        <v>Ron Vlaar (v)</v>
      </c>
      <c r="BA61" s="140">
        <f t="shared" si="12"/>
        <v>3</v>
      </c>
      <c r="BB61" s="139">
        <f t="shared" si="24"/>
        <v>3</v>
      </c>
    </row>
    <row r="62" spans="2:54">
      <c r="B62" s="24">
        <v>52</v>
      </c>
      <c r="C62" s="190">
        <v>41819</v>
      </c>
      <c r="D62" s="188" t="str">
        <f t="shared" si="13"/>
        <v>Uruguay</v>
      </c>
      <c r="E62" s="27" t="s">
        <v>9</v>
      </c>
      <c r="F62" s="59" t="str">
        <f t="shared" si="14"/>
        <v>Ivoorkust</v>
      </c>
      <c r="G62" s="87">
        <v>2</v>
      </c>
      <c r="H62" s="27" t="s">
        <v>9</v>
      </c>
      <c r="I62" s="99">
        <v>0</v>
      </c>
      <c r="J62" s="100">
        <v>1</v>
      </c>
      <c r="K62" s="57" t="s">
        <v>62</v>
      </c>
      <c r="L62" s="57" t="s">
        <v>58</v>
      </c>
      <c r="M62" s="57"/>
      <c r="O62" s="135">
        <v>5</v>
      </c>
      <c r="P62" s="877" t="s">
        <v>211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5"/>
        <v>0</v>
      </c>
      <c r="Z62" t="str">
        <f t="shared" si="16"/>
        <v>Uruguay</v>
      </c>
      <c r="AA62" t="str">
        <f t="shared" si="16"/>
        <v>Ivoorkust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7"/>
        <v>0</v>
      </c>
      <c r="AG62" s="108">
        <f t="shared" si="18"/>
        <v>0</v>
      </c>
      <c r="AH62" s="108">
        <f t="shared" si="19"/>
        <v>0</v>
      </c>
      <c r="AI62" s="108">
        <f t="shared" si="20"/>
        <v>0</v>
      </c>
      <c r="AJ62" s="108">
        <f t="shared" si="21"/>
        <v>0</v>
      </c>
      <c r="AK62" s="108">
        <f t="shared" si="22"/>
        <v>0</v>
      </c>
      <c r="AL62" s="108">
        <f t="shared" si="23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4"/>
        <v>3</v>
      </c>
    </row>
    <row r="63" spans="2:54">
      <c r="B63" s="12">
        <v>53</v>
      </c>
      <c r="C63" s="189">
        <v>41820</v>
      </c>
      <c r="D63" s="153" t="str">
        <f t="shared" si="13"/>
        <v>Frankrijk</v>
      </c>
      <c r="E63" s="15" t="s">
        <v>9</v>
      </c>
      <c r="F63" s="56" t="str">
        <f t="shared" si="14"/>
        <v>Bosnië H.</v>
      </c>
      <c r="G63" s="85">
        <v>2</v>
      </c>
      <c r="H63" s="15" t="s">
        <v>9</v>
      </c>
      <c r="I63" s="97">
        <v>1</v>
      </c>
      <c r="J63" s="98">
        <v>1</v>
      </c>
      <c r="K63" s="57" t="s">
        <v>67</v>
      </c>
      <c r="L63" s="57" t="s">
        <v>73</v>
      </c>
      <c r="M63" s="57"/>
      <c r="O63" s="135">
        <v>6</v>
      </c>
      <c r="P63" s="877" t="s">
        <v>212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5"/>
        <v>6</v>
      </c>
      <c r="Z63" t="str">
        <f t="shared" si="16"/>
        <v>Frankrijk</v>
      </c>
      <c r="AA63" t="str">
        <f t="shared" si="16"/>
        <v>Bosnië H.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7"/>
        <v>6</v>
      </c>
      <c r="AG63" s="108">
        <f t="shared" si="18"/>
        <v>1</v>
      </c>
      <c r="AH63" s="108">
        <f t="shared" si="19"/>
        <v>0</v>
      </c>
      <c r="AI63" s="108">
        <f t="shared" si="20"/>
        <v>0</v>
      </c>
      <c r="AJ63" s="108">
        <f t="shared" si="21"/>
        <v>5</v>
      </c>
      <c r="AK63" s="108">
        <f t="shared" si="22"/>
        <v>0</v>
      </c>
      <c r="AL63" s="108">
        <f t="shared" si="23"/>
        <v>0</v>
      </c>
      <c r="AZ63" s="138" t="str">
        <f>Uitslag!P63</f>
        <v>Daley Blind (v)</v>
      </c>
      <c r="BA63" s="140">
        <f t="shared" si="12"/>
        <v>3</v>
      </c>
      <c r="BB63" s="139">
        <f t="shared" si="24"/>
        <v>3</v>
      </c>
    </row>
    <row r="64" spans="2:54">
      <c r="B64" s="24">
        <v>54</v>
      </c>
      <c r="C64" s="190">
        <v>41820</v>
      </c>
      <c r="D64" s="154" t="str">
        <f t="shared" si="13"/>
        <v>Duitsland</v>
      </c>
      <c r="E64" s="27" t="s">
        <v>9</v>
      </c>
      <c r="F64" s="59" t="str">
        <f t="shared" si="14"/>
        <v>Rusland</v>
      </c>
      <c r="G64" s="87">
        <v>1</v>
      </c>
      <c r="H64" s="27" t="s">
        <v>9</v>
      </c>
      <c r="I64" s="99">
        <v>0</v>
      </c>
      <c r="J64" s="100">
        <v>1</v>
      </c>
      <c r="K64" s="57" t="s">
        <v>77</v>
      </c>
      <c r="L64" s="57" t="s">
        <v>83</v>
      </c>
      <c r="M64" s="57"/>
      <c r="O64" s="135">
        <v>7</v>
      </c>
      <c r="P64" s="877" t="s">
        <v>213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5"/>
        <v>1</v>
      </c>
      <c r="Z64" t="str">
        <f t="shared" si="16"/>
        <v>Duitsland</v>
      </c>
      <c r="AA64" t="str">
        <f t="shared" si="16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7"/>
        <v>1</v>
      </c>
      <c r="AG64" s="108">
        <f t="shared" si="18"/>
        <v>0</v>
      </c>
      <c r="AH64" s="108">
        <f t="shared" si="19"/>
        <v>1</v>
      </c>
      <c r="AI64" s="108">
        <f t="shared" si="20"/>
        <v>0</v>
      </c>
      <c r="AJ64" s="108">
        <f t="shared" si="21"/>
        <v>0</v>
      </c>
      <c r="AK64" s="108">
        <f t="shared" si="22"/>
        <v>0</v>
      </c>
      <c r="AL64" s="108">
        <f t="shared" si="23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4"/>
        <v>3</v>
      </c>
    </row>
    <row r="65" spans="2:54">
      <c r="B65" s="18">
        <v>55</v>
      </c>
      <c r="C65" s="191">
        <v>41821</v>
      </c>
      <c r="D65" s="153" t="str">
        <f t="shared" si="13"/>
        <v>Argentinië</v>
      </c>
      <c r="E65" s="21" t="s">
        <v>9</v>
      </c>
      <c r="F65" s="60" t="str">
        <f t="shared" si="14"/>
        <v>Zwitserland</v>
      </c>
      <c r="G65" s="86">
        <v>2</v>
      </c>
      <c r="H65" s="21" t="s">
        <v>9</v>
      </c>
      <c r="I65" s="101">
        <v>1</v>
      </c>
      <c r="J65" s="102">
        <v>1</v>
      </c>
      <c r="K65" s="57" t="s">
        <v>72</v>
      </c>
      <c r="L65" s="57" t="s">
        <v>68</v>
      </c>
      <c r="M65" s="57"/>
      <c r="O65" s="135">
        <v>8</v>
      </c>
      <c r="P65" s="877" t="s">
        <v>226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5"/>
        <v>0</v>
      </c>
      <c r="Z65" t="str">
        <f t="shared" si="16"/>
        <v>Argentinië</v>
      </c>
      <c r="AA65" t="str">
        <f t="shared" si="16"/>
        <v>Zwitserland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7"/>
        <v>0</v>
      </c>
      <c r="AG65" s="108">
        <f t="shared" si="18"/>
        <v>0</v>
      </c>
      <c r="AH65" s="108">
        <f t="shared" si="19"/>
        <v>0</v>
      </c>
      <c r="AI65" s="108">
        <f t="shared" si="20"/>
        <v>0</v>
      </c>
      <c r="AJ65" s="108">
        <f t="shared" si="21"/>
        <v>0</v>
      </c>
      <c r="AK65" s="108">
        <f t="shared" si="22"/>
        <v>0</v>
      </c>
      <c r="AL65" s="108">
        <f t="shared" si="23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4"/>
        <v>3</v>
      </c>
    </row>
    <row r="66" spans="2:54" ht="15.75" thickBot="1">
      <c r="B66" s="33">
        <v>56</v>
      </c>
      <c r="C66" s="186">
        <v>41821</v>
      </c>
      <c r="D66" s="155" t="str">
        <f t="shared" si="13"/>
        <v>België</v>
      </c>
      <c r="E66" s="36" t="s">
        <v>9</v>
      </c>
      <c r="F66" s="62" t="str">
        <f t="shared" si="14"/>
        <v>Portugal</v>
      </c>
      <c r="G66" s="88">
        <v>2</v>
      </c>
      <c r="H66" s="36" t="s">
        <v>9</v>
      </c>
      <c r="I66" s="103">
        <v>1</v>
      </c>
      <c r="J66" s="104">
        <v>1</v>
      </c>
      <c r="K66" s="57" t="s">
        <v>82</v>
      </c>
      <c r="L66" s="57" t="s">
        <v>78</v>
      </c>
      <c r="M66" s="57"/>
      <c r="O66" s="135">
        <v>9</v>
      </c>
      <c r="P66" s="877" t="s">
        <v>214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5"/>
        <v>0</v>
      </c>
      <c r="Z66" t="str">
        <f>IF(K66=""," ",VLOOKUP(K66,$T$9:$V$54,3,FALSE))</f>
        <v>België</v>
      </c>
      <c r="AA66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7"/>
        <v>0</v>
      </c>
      <c r="AG66" s="108">
        <f t="shared" si="18"/>
        <v>0</v>
      </c>
      <c r="AH66" s="108">
        <f t="shared" si="19"/>
        <v>0</v>
      </c>
      <c r="AI66" s="108">
        <f t="shared" si="20"/>
        <v>0</v>
      </c>
      <c r="AJ66" s="108">
        <f t="shared" si="21"/>
        <v>0</v>
      </c>
      <c r="AK66" s="108">
        <f t="shared" si="22"/>
        <v>0</v>
      </c>
      <c r="AL66" s="108">
        <f t="shared" si="23"/>
        <v>0</v>
      </c>
      <c r="AZ66" s="138" t="str">
        <f>Uitslag!P66</f>
        <v>Jonathan de Guzman (m)</v>
      </c>
      <c r="BA66" s="140">
        <f t="shared" si="12"/>
        <v>3</v>
      </c>
      <c r="BB66" s="139">
        <f t="shared" si="24"/>
        <v>3</v>
      </c>
    </row>
    <row r="67" spans="2:54" ht="15.75" thickBot="1">
      <c r="B67" s="1"/>
      <c r="C67" s="39"/>
      <c r="D67" s="40"/>
      <c r="E67" s="1"/>
      <c r="F67" s="40"/>
      <c r="G67" s="1"/>
      <c r="H67" s="1"/>
      <c r="I67" s="1"/>
      <c r="J67" s="1"/>
      <c r="K67" s="1"/>
      <c r="L67" s="1"/>
      <c r="M67" s="1"/>
      <c r="O67" s="135">
        <v>10</v>
      </c>
      <c r="P67" s="877" t="s">
        <v>215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4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219"/>
      <c r="K68" s="1"/>
      <c r="L68" s="1"/>
      <c r="M68" s="1"/>
      <c r="O68" s="135">
        <v>11</v>
      </c>
      <c r="P68" s="877" t="s">
        <v>216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4"/>
        <v>3</v>
      </c>
    </row>
    <row r="69" spans="2:54">
      <c r="B69" s="78" t="s">
        <v>1</v>
      </c>
      <c r="C69" s="79" t="s">
        <v>2</v>
      </c>
      <c r="D69" s="216" t="s">
        <v>3</v>
      </c>
      <c r="E69" s="81"/>
      <c r="F69" s="217" t="s">
        <v>4</v>
      </c>
      <c r="G69" s="867" t="s">
        <v>5</v>
      </c>
      <c r="H69" s="868"/>
      <c r="I69" s="869"/>
      <c r="J69" s="83" t="s">
        <v>6</v>
      </c>
      <c r="K69" s="1"/>
      <c r="L69" s="1"/>
      <c r="M69" s="1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33</v>
      </c>
      <c r="BB69" s="139">
        <f>IF(AND(BA69&lt;&gt;"",BA69=33),15,"nvt")</f>
        <v>15</v>
      </c>
    </row>
    <row r="70" spans="2:54">
      <c r="B70" s="12">
        <v>57</v>
      </c>
      <c r="C70" s="13">
        <v>41824</v>
      </c>
      <c r="D70" s="55" t="str">
        <f>IF(J63="","Winnaar 53",IF(J63=1,D63,F63))</f>
        <v>Frankrijk</v>
      </c>
      <c r="E70" s="15" t="s">
        <v>9</v>
      </c>
      <c r="F70" s="56" t="str">
        <f>IF(J64="","Winnaar 54",IF(J64=1,D64,F64))</f>
        <v>Duitsland</v>
      </c>
      <c r="G70" s="85">
        <v>1</v>
      </c>
      <c r="H70" s="15" t="s">
        <v>9</v>
      </c>
      <c r="I70" s="97">
        <v>2</v>
      </c>
      <c r="J70" s="98">
        <v>2</v>
      </c>
      <c r="K70" s="1"/>
      <c r="L70" s="1"/>
      <c r="M70" s="1"/>
      <c r="V70" t="s">
        <v>133</v>
      </c>
      <c r="W70" t="s">
        <v>126</v>
      </c>
      <c r="X70" t="str">
        <f t="shared" si="11"/>
        <v>Karim Rekik (v)</v>
      </c>
      <c r="Y70" s="109">
        <f>AF70</f>
        <v>5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5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24">
        <v>58</v>
      </c>
      <c r="C71" s="25">
        <v>41824</v>
      </c>
      <c r="D71" s="58" t="str">
        <f>IF(J59="","Winnaar 49",IF(J59=1,D59,F59))</f>
        <v>Brazilië</v>
      </c>
      <c r="E71" s="27" t="s">
        <v>9</v>
      </c>
      <c r="F71" s="59" t="str">
        <f>IF(J60="","Winnaar 50",IF(J60=1,D60,F60))</f>
        <v>Italië</v>
      </c>
      <c r="G71" s="87">
        <v>1</v>
      </c>
      <c r="H71" s="27" t="s">
        <v>9</v>
      </c>
      <c r="I71" s="99">
        <v>0</v>
      </c>
      <c r="J71" s="100">
        <v>1</v>
      </c>
      <c r="K71" s="1"/>
      <c r="L71" s="1"/>
      <c r="M71" s="1"/>
      <c r="V71" t="s">
        <v>133</v>
      </c>
      <c r="W71" t="s">
        <v>194</v>
      </c>
      <c r="X71" t="str">
        <f t="shared" si="11"/>
        <v>Ron Vlaar (v)</v>
      </c>
      <c r="Y71" s="109">
        <f>AF71</f>
        <v>5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5</v>
      </c>
      <c r="AG71" s="108">
        <f>IF(AC71="",0,(IF(G71=AC71,1,0)))</f>
        <v>0</v>
      </c>
      <c r="AH71" s="108">
        <f>IF(AD71="",0,(IF(I71=AD71,1,0)))</f>
        <v>0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12">
        <v>59</v>
      </c>
      <c r="C72" s="13">
        <v>41825</v>
      </c>
      <c r="D72" s="55" t="str">
        <f>IF(J65="","Winnaar 55",IF(J65=1,D65,F65))</f>
        <v>Argentinië</v>
      </c>
      <c r="E72" s="15" t="s">
        <v>9</v>
      </c>
      <c r="F72" s="56" t="str">
        <f>IF(J66="","Winnaar 56",IF(J66=1,D66,F66))</f>
        <v>België</v>
      </c>
      <c r="G72" s="85">
        <v>2</v>
      </c>
      <c r="H72" s="15" t="s">
        <v>9</v>
      </c>
      <c r="I72" s="97">
        <v>1</v>
      </c>
      <c r="J72" s="98">
        <v>1</v>
      </c>
      <c r="K72" s="1"/>
      <c r="L72" s="1"/>
      <c r="M72" s="1"/>
      <c r="V72" t="s">
        <v>133</v>
      </c>
      <c r="W72" t="s">
        <v>195</v>
      </c>
      <c r="X72" t="str">
        <f t="shared" si="11"/>
        <v>John Heitinga (v)</v>
      </c>
      <c r="Y72" s="109">
        <f>AF72</f>
        <v>5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5</v>
      </c>
      <c r="AG72" s="108">
        <f>IF(AC72="",0,(IF(G72=AC72,1,0)))</f>
        <v>0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5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3">
        <v>60</v>
      </c>
      <c r="C73" s="34">
        <v>41825</v>
      </c>
      <c r="D73" s="61" t="str">
        <f>IF(J61="","Winnaar 51",IF(J61=1,D61,F61))</f>
        <v>Spanje</v>
      </c>
      <c r="E73" s="36" t="s">
        <v>9</v>
      </c>
      <c r="F73" s="62" t="str">
        <f>IF(J62="","Winnaar 52",IF(J62=1,D62,F62))</f>
        <v>Uruguay</v>
      </c>
      <c r="G73" s="88">
        <v>1</v>
      </c>
      <c r="H73" s="36" t="s">
        <v>9</v>
      </c>
      <c r="I73" s="103">
        <v>1</v>
      </c>
      <c r="J73" s="104">
        <v>2</v>
      </c>
      <c r="K73" s="1"/>
      <c r="L73" s="1"/>
      <c r="M73" s="1"/>
      <c r="V73" t="s">
        <v>133</v>
      </c>
      <c r="W73" t="s">
        <v>196</v>
      </c>
      <c r="X73" t="str">
        <f t="shared" si="11"/>
        <v>Urby Emanuelson (v)</v>
      </c>
      <c r="Y73" s="109">
        <f>AF73</f>
        <v>5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5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5</v>
      </c>
    </row>
    <row r="74" spans="2:54" ht="15.75" thickBot="1">
      <c r="B74" s="1"/>
      <c r="C74" s="39"/>
      <c r="D74" s="40"/>
      <c r="E74" s="1"/>
      <c r="F74" s="40"/>
      <c r="G74" s="1"/>
      <c r="H74" s="1"/>
      <c r="I74" s="1"/>
      <c r="J74" s="1"/>
      <c r="K74" s="1"/>
      <c r="L74" s="1"/>
      <c r="M74" s="1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219"/>
      <c r="K75" s="1"/>
      <c r="L75" s="1"/>
      <c r="M75" s="1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78" t="s">
        <v>1</v>
      </c>
      <c r="C76" s="79" t="s">
        <v>2</v>
      </c>
      <c r="D76" s="216" t="s">
        <v>3</v>
      </c>
      <c r="E76" s="81"/>
      <c r="F76" s="217" t="s">
        <v>4</v>
      </c>
      <c r="G76" s="867" t="s">
        <v>5</v>
      </c>
      <c r="H76" s="868"/>
      <c r="I76" s="869"/>
      <c r="J76" s="83" t="s">
        <v>6</v>
      </c>
      <c r="K76" s="1"/>
      <c r="L76" s="1"/>
      <c r="M76" s="1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12">
        <v>61</v>
      </c>
      <c r="C77" s="13">
        <v>41828</v>
      </c>
      <c r="D77" s="55" t="str">
        <f>IF(J70="","Winnaar 57",IF(J70=1,D70,F70))</f>
        <v>Duitsland</v>
      </c>
      <c r="E77" s="15" t="s">
        <v>9</v>
      </c>
      <c r="F77" s="56" t="str">
        <f>IF(J71="","Winnaar 58",IF(J71=1,D71,F71))</f>
        <v>Brazilië</v>
      </c>
      <c r="G77" s="85">
        <v>1</v>
      </c>
      <c r="H77" s="15" t="s">
        <v>9</v>
      </c>
      <c r="I77" s="97">
        <v>2</v>
      </c>
      <c r="J77" s="98">
        <v>2</v>
      </c>
      <c r="K77" s="1"/>
      <c r="L77" s="1"/>
      <c r="M77" s="1"/>
      <c r="V77" t="s">
        <v>134</v>
      </c>
      <c r="W77" t="s">
        <v>203</v>
      </c>
      <c r="X77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3">
        <v>62</v>
      </c>
      <c r="C78" s="34">
        <v>41829</v>
      </c>
      <c r="D78" s="61" t="str">
        <f>IF(J72="","Winnaar 59",IF(J72=1,D72,F72))</f>
        <v>Argentinië</v>
      </c>
      <c r="E78" s="36" t="s">
        <v>9</v>
      </c>
      <c r="F78" s="62" t="str">
        <f>IF(J73="","Winnaar 60",IF(J73=1,D73,F73))</f>
        <v>Uruguay</v>
      </c>
      <c r="G78" s="88">
        <v>0</v>
      </c>
      <c r="H78" s="36" t="s">
        <v>9</v>
      </c>
      <c r="I78" s="103">
        <v>1</v>
      </c>
      <c r="J78" s="104">
        <v>2</v>
      </c>
      <c r="K78" s="1"/>
      <c r="L78" s="1"/>
      <c r="M78" s="1"/>
      <c r="V78" t="s">
        <v>134</v>
      </c>
      <c r="W78" t="s">
        <v>199</v>
      </c>
      <c r="X78" t="str">
        <f t="shared" si="11"/>
        <v>Leroy Fer (m)</v>
      </c>
      <c r="Y78" s="109">
        <f>AF78</f>
        <v>1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1</v>
      </c>
      <c r="AG78" s="108">
        <f>IF(AC78="",0,(IF(G78=AC78,1,0)))</f>
        <v>1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1"/>
      <c r="C79" s="39"/>
      <c r="D79" s="40"/>
      <c r="E79" s="1"/>
      <c r="F79" s="40"/>
      <c r="G79" s="1"/>
      <c r="H79" s="1"/>
      <c r="I79" s="1"/>
      <c r="J79" s="1"/>
      <c r="K79" s="1"/>
      <c r="L79" s="1"/>
      <c r="M79" s="1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219"/>
      <c r="K80" s="1"/>
      <c r="L80" s="1"/>
      <c r="M80" s="1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78" t="s">
        <v>1</v>
      </c>
      <c r="C81" s="79" t="s">
        <v>2</v>
      </c>
      <c r="D81" s="216" t="s">
        <v>3</v>
      </c>
      <c r="E81" s="81"/>
      <c r="F81" s="217" t="s">
        <v>4</v>
      </c>
      <c r="G81" s="867" t="s">
        <v>5</v>
      </c>
      <c r="H81" s="868"/>
      <c r="I81" s="869"/>
      <c r="J81" s="83" t="s">
        <v>6</v>
      </c>
      <c r="K81" s="1"/>
      <c r="L81" s="1"/>
      <c r="M81" s="1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2">
        <v>63</v>
      </c>
      <c r="C82" s="63">
        <v>41832</v>
      </c>
      <c r="D82" s="64" t="str">
        <f>IF(J77="","Verliezer 61",IF(J77=1,F77,D77))</f>
        <v>Duitsland</v>
      </c>
      <c r="E82" s="3" t="s">
        <v>9</v>
      </c>
      <c r="F82" s="65" t="str">
        <f>IF(J78="","Verliezer 62",IF(J78=1,F78,D78))</f>
        <v>Argentinië</v>
      </c>
      <c r="G82" s="105">
        <v>1</v>
      </c>
      <c r="H82" s="3" t="s">
        <v>9</v>
      </c>
      <c r="I82" s="106">
        <v>2</v>
      </c>
      <c r="J82" s="107">
        <v>2</v>
      </c>
      <c r="K82" s="1"/>
      <c r="L82" s="1"/>
      <c r="M82" s="1"/>
      <c r="V82" t="s">
        <v>134</v>
      </c>
      <c r="W82" t="s">
        <v>125</v>
      </c>
      <c r="X82" t="str">
        <f t="shared" si="11"/>
        <v>Georginio Wijnaldum (m)</v>
      </c>
      <c r="Y82" s="109">
        <f>AF82</f>
        <v>5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5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5</v>
      </c>
      <c r="AL82" s="108">
        <f>IF(AND(G82=I82,AC82=AD82),5,0)</f>
        <v>0</v>
      </c>
    </row>
    <row r="83" spans="2:50" ht="15.75" thickBot="1">
      <c r="B83" s="1"/>
      <c r="C83" s="39"/>
      <c r="D83" s="40"/>
      <c r="E83" s="1"/>
      <c r="F83" s="40"/>
      <c r="G83" s="1"/>
      <c r="H83" s="1"/>
      <c r="I83" s="1"/>
      <c r="J83" s="1"/>
      <c r="K83" s="1"/>
      <c r="L83" s="1"/>
      <c r="M83" s="1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219"/>
      <c r="K84" s="1"/>
      <c r="L84" s="1"/>
      <c r="M84" s="1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78" t="s">
        <v>1</v>
      </c>
      <c r="C85" s="79" t="s">
        <v>2</v>
      </c>
      <c r="D85" s="216" t="s">
        <v>3</v>
      </c>
      <c r="E85" s="81"/>
      <c r="F85" s="217" t="s">
        <v>4</v>
      </c>
      <c r="G85" s="867" t="s">
        <v>5</v>
      </c>
      <c r="H85" s="868"/>
      <c r="I85" s="869"/>
      <c r="J85" s="83" t="s">
        <v>6</v>
      </c>
      <c r="K85" s="1"/>
      <c r="L85" s="1"/>
      <c r="M85" s="1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2">
        <v>64</v>
      </c>
      <c r="C86" s="63">
        <v>41833</v>
      </c>
      <c r="D86" s="64" t="str">
        <f>IF(J77="","Winnaar 61",IF(J77=1,D77,F77))</f>
        <v>Brazilië</v>
      </c>
      <c r="E86" s="3" t="s">
        <v>9</v>
      </c>
      <c r="F86" s="65" t="str">
        <f>IF(J78="","Winnaar 62",IF(J78=1,D78,F78))</f>
        <v>Uruguay</v>
      </c>
      <c r="G86" s="105">
        <v>2</v>
      </c>
      <c r="H86" s="3" t="s">
        <v>9</v>
      </c>
      <c r="I86" s="106">
        <v>1</v>
      </c>
      <c r="J86" s="107">
        <v>1</v>
      </c>
      <c r="K86" s="1"/>
      <c r="L86" s="1"/>
      <c r="M86" s="1"/>
      <c r="V86" t="s">
        <v>134</v>
      </c>
      <c r="W86" t="s">
        <v>139</v>
      </c>
      <c r="X86" t="str">
        <f t="shared" si="11"/>
        <v>Nigel de Jong (m)</v>
      </c>
      <c r="Y86" s="109">
        <f>AF86</f>
        <v>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0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Brazilië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5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5</v>
      </c>
      <c r="AV89">
        <f>IF(AR89=0,0,IF(E89=AR89,50,0))</f>
        <v>0</v>
      </c>
      <c r="AW89">
        <f>IF(E89=0,0,IF(OR(E89=AR90),15,0))</f>
        <v>0</v>
      </c>
      <c r="AX89">
        <f>IF(E89=0,0,IF(OR(E89=AR91,E89=AR92),5,0))</f>
        <v>5</v>
      </c>
    </row>
    <row r="90" spans="2:50">
      <c r="C90" s="870">
        <v>2</v>
      </c>
      <c r="D90" s="871"/>
      <c r="E90" s="872" t="str">
        <f>IF(J86=2,D86,IF(J86=1,F86,"Wie wordt 2de?"))</f>
        <v>Uruguay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0</v>
      </c>
      <c r="AV90">
        <f>IF(AR90=0,0,IF(AR90=E90,25,0))</f>
        <v>0</v>
      </c>
      <c r="AW90">
        <f>IF(E90=0,0,IF(OR(E90=AR89,),15,0))</f>
        <v>0</v>
      </c>
      <c r="AX90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Argentinië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5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5</v>
      </c>
      <c r="AV91">
        <f>IF(AR91=0,0,IF(AR91=E91,15,0))</f>
        <v>0</v>
      </c>
      <c r="AW91">
        <f>IF(E91=0,0,IF(OR(E91=AR92),10,0))</f>
        <v>0</v>
      </c>
      <c r="AX91">
        <f>IF(E91=0,0,IF(OR(E91=AR89,E91=AR90),5,0))</f>
        <v>5</v>
      </c>
    </row>
    <row r="92" spans="2:50">
      <c r="C92" s="870">
        <v>4</v>
      </c>
      <c r="D92" s="871"/>
      <c r="E92" s="872" t="str">
        <f>IF(J82=2,D82,IF(J82=1,F82,"Wie wordt 4de?"))</f>
        <v>Duitsland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5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5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5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15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conditionalFormatting sqref="AO9:AO12 AO15:AO18 AO21:AO24 AO27:AO30 AO33:AO36 AO39:AO42 AO45:AO48 AO51:AO54">
    <cfRule type="cellIs" dxfId="185" priority="3" operator="equal">
      <formula>10</formula>
    </cfRule>
  </conditionalFormatting>
  <conditionalFormatting sqref="P58:T58">
    <cfRule type="duplicateValues" dxfId="184" priority="2"/>
  </conditionalFormatting>
  <conditionalFormatting sqref="P58:T68">
    <cfRule type="duplicateValues" dxfId="183" priority="1"/>
  </conditionalFormatting>
  <dataValidations count="10">
    <dataValidation type="list" allowBlank="1" showInputMessage="1" showErrorMessage="1" sqref="T51:T54">
      <formula1>$W$51:$W$54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P58:P68">
      <formula1>$X$58:$X$98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K102"/>
  <sheetViews>
    <sheetView workbookViewId="0">
      <selection sqref="A1:J96"/>
    </sheetView>
  </sheetViews>
  <sheetFormatPr defaultRowHeight="15"/>
  <cols>
    <col min="3" max="3" width="30.7109375" bestFit="1" customWidth="1"/>
    <col min="9" max="9" width="11.7109375" bestFit="1" customWidth="1"/>
    <col min="10" max="10" width="10.85546875" style="138" customWidth="1"/>
  </cols>
  <sheetData>
    <row r="1" spans="1:10">
      <c r="A1" s="851"/>
      <c r="B1" s="851"/>
      <c r="C1" s="852"/>
      <c r="D1" s="142" t="s">
        <v>142</v>
      </c>
      <c r="E1" s="142" t="s">
        <v>146</v>
      </c>
      <c r="F1" s="142" t="s">
        <v>147</v>
      </c>
      <c r="G1" s="142" t="s">
        <v>105</v>
      </c>
      <c r="H1" s="142" t="s">
        <v>141</v>
      </c>
      <c r="I1" s="142" t="s">
        <v>107</v>
      </c>
      <c r="J1" s="142" t="s">
        <v>262</v>
      </c>
    </row>
    <row r="2" spans="1:10">
      <c r="A2" s="853" t="s">
        <v>149</v>
      </c>
      <c r="B2" s="853" t="s">
        <v>148</v>
      </c>
      <c r="C2" s="853" t="s">
        <v>143</v>
      </c>
      <c r="D2" s="142" t="s">
        <v>45</v>
      </c>
      <c r="E2" s="142" t="s">
        <v>103</v>
      </c>
      <c r="F2" s="142" t="s">
        <v>104</v>
      </c>
      <c r="G2" s="142"/>
      <c r="H2" s="142"/>
      <c r="I2" s="142" t="s">
        <v>106</v>
      </c>
      <c r="J2" s="142" t="s">
        <v>263</v>
      </c>
    </row>
    <row r="3" spans="1:10">
      <c r="A3" s="149">
        <v>1</v>
      </c>
      <c r="B3" s="146">
        <v>54</v>
      </c>
      <c r="C3" s="147" t="str">
        <f>'54'!N3</f>
        <v>Jornt B.</v>
      </c>
      <c r="D3" s="151">
        <f>'54'!O3</f>
        <v>498</v>
      </c>
      <c r="E3" s="148">
        <f>'54'!P3</f>
        <v>213</v>
      </c>
      <c r="F3" s="148">
        <f>'54'!Q3</f>
        <v>170</v>
      </c>
      <c r="G3" s="148">
        <f>'54'!R3</f>
        <v>85</v>
      </c>
      <c r="H3" s="148">
        <f>'54'!S3</f>
        <v>30</v>
      </c>
      <c r="I3" s="148">
        <f>'54'!T3</f>
        <v>5</v>
      </c>
      <c r="J3" s="148" t="str">
        <f>'54'!U3</f>
        <v>Duitsland</v>
      </c>
    </row>
    <row r="4" spans="1:10">
      <c r="A4" s="150">
        <v>2</v>
      </c>
      <c r="B4" s="146">
        <v>8</v>
      </c>
      <c r="C4" s="147" t="str">
        <f>'8'!N3</f>
        <v>Gabriella Sabatini (JMK)</v>
      </c>
      <c r="D4" s="151">
        <f>'8'!O3</f>
        <v>496</v>
      </c>
      <c r="E4" s="148">
        <f>'8'!P3</f>
        <v>249</v>
      </c>
      <c r="F4" s="148">
        <f>'8'!Q3</f>
        <v>200</v>
      </c>
      <c r="G4" s="148">
        <f>'8'!R3</f>
        <v>20</v>
      </c>
      <c r="H4" s="148">
        <f>'8'!S3</f>
        <v>27</v>
      </c>
      <c r="I4" s="148">
        <f>'8'!T3</f>
        <v>10</v>
      </c>
      <c r="J4" s="148" t="str">
        <f>'8'!U3</f>
        <v>Argentinië</v>
      </c>
    </row>
    <row r="5" spans="1:10">
      <c r="A5" s="149">
        <v>3</v>
      </c>
      <c r="B5" s="146">
        <v>57</v>
      </c>
      <c r="C5" s="147" t="str">
        <f>'57'!N3</f>
        <v>Tinka H.</v>
      </c>
      <c r="D5" s="151">
        <f>'57'!O3</f>
        <v>495</v>
      </c>
      <c r="E5" s="148">
        <f>'57'!P3</f>
        <v>223</v>
      </c>
      <c r="F5" s="148">
        <f>'57'!Q3</f>
        <v>160</v>
      </c>
      <c r="G5" s="148">
        <f>'57'!R3</f>
        <v>85</v>
      </c>
      <c r="H5" s="148">
        <f>'57'!S3</f>
        <v>27</v>
      </c>
      <c r="I5" s="148">
        <f>'57'!T3</f>
        <v>5</v>
      </c>
      <c r="J5" s="148" t="str">
        <f>'57'!U3</f>
        <v>Duitsland</v>
      </c>
    </row>
    <row r="6" spans="1:10">
      <c r="A6" s="150">
        <v>4</v>
      </c>
      <c r="B6" s="146">
        <v>44</v>
      </c>
      <c r="C6" s="147" t="str">
        <f>'44'!N3</f>
        <v>Marcel S.</v>
      </c>
      <c r="D6" s="151">
        <f>'44'!O3</f>
        <v>491</v>
      </c>
      <c r="E6" s="148">
        <f>'44'!P3</f>
        <v>223</v>
      </c>
      <c r="F6" s="148">
        <f>'44'!Q3</f>
        <v>170</v>
      </c>
      <c r="G6" s="148">
        <f>'44'!R3</f>
        <v>50</v>
      </c>
      <c r="H6" s="148">
        <f>'44'!S3</f>
        <v>48</v>
      </c>
      <c r="I6" s="148">
        <f>'44'!T3</f>
        <v>8</v>
      </c>
      <c r="J6" s="148" t="str">
        <f>'44'!U3</f>
        <v>Brazilië</v>
      </c>
    </row>
    <row r="7" spans="1:10">
      <c r="A7" s="149">
        <v>5</v>
      </c>
      <c r="B7" s="146">
        <v>72</v>
      </c>
      <c r="C7" s="147" t="str">
        <f>'72'!N3</f>
        <v>Jan vd H.</v>
      </c>
      <c r="D7" s="151">
        <f>'72'!O3</f>
        <v>489</v>
      </c>
      <c r="E7" s="148">
        <f>'72'!P3</f>
        <v>192</v>
      </c>
      <c r="F7" s="148">
        <f>'72'!Q3</f>
        <v>210</v>
      </c>
      <c r="G7" s="148">
        <f>'72'!R3</f>
        <v>60</v>
      </c>
      <c r="H7" s="148">
        <f>'72'!S3</f>
        <v>27</v>
      </c>
      <c r="I7" s="148">
        <f>'72'!T3</f>
        <v>5</v>
      </c>
      <c r="J7" s="148" t="str">
        <f>'72'!U3</f>
        <v>Duitsland</v>
      </c>
    </row>
    <row r="8" spans="1:10">
      <c r="A8" s="150">
        <v>6</v>
      </c>
      <c r="B8" s="146">
        <v>23</v>
      </c>
      <c r="C8" s="147" t="str">
        <f>'23'!N3</f>
        <v>Frank S.</v>
      </c>
      <c r="D8" s="151">
        <f>'23'!O3</f>
        <v>462</v>
      </c>
      <c r="E8" s="148">
        <f>'23'!P3</f>
        <v>184</v>
      </c>
      <c r="F8" s="148">
        <f>'23'!Q3</f>
        <v>180</v>
      </c>
      <c r="G8" s="148">
        <f>'23'!R3</f>
        <v>50</v>
      </c>
      <c r="H8" s="148">
        <f>'23'!S3</f>
        <v>48</v>
      </c>
      <c r="I8" s="148">
        <f>'23'!T3</f>
        <v>6</v>
      </c>
      <c r="J8" s="148" t="str">
        <f>'23'!U3</f>
        <v>Duitsland</v>
      </c>
    </row>
    <row r="9" spans="1:10">
      <c r="A9" s="149">
        <v>7</v>
      </c>
      <c r="B9" s="146">
        <v>59</v>
      </c>
      <c r="C9" s="147" t="str">
        <f>'59'!N3</f>
        <v xml:space="preserve">Jan L. </v>
      </c>
      <c r="D9" s="151">
        <f>'59'!O3</f>
        <v>459</v>
      </c>
      <c r="E9" s="148">
        <f>'59'!P3</f>
        <v>249</v>
      </c>
      <c r="F9" s="148">
        <f>'59'!Q3</f>
        <v>150</v>
      </c>
      <c r="G9" s="148">
        <f>'59'!R3</f>
        <v>30</v>
      </c>
      <c r="H9" s="148">
        <f>'59'!S3</f>
        <v>30</v>
      </c>
      <c r="I9" s="148">
        <f>'59'!T3</f>
        <v>10</v>
      </c>
      <c r="J9" s="148" t="str">
        <f>'59'!U3</f>
        <v>Uruguay</v>
      </c>
    </row>
    <row r="10" spans="1:10">
      <c r="A10" s="150">
        <v>8</v>
      </c>
      <c r="B10" s="146">
        <v>66</v>
      </c>
      <c r="C10" s="147" t="str">
        <f>'66'!N3</f>
        <v>Jorg R.</v>
      </c>
      <c r="D10" s="151">
        <f>'66'!O3</f>
        <v>455</v>
      </c>
      <c r="E10" s="148">
        <f>'66'!P3</f>
        <v>201</v>
      </c>
      <c r="F10" s="148">
        <f>'66'!Q3</f>
        <v>160</v>
      </c>
      <c r="G10" s="148">
        <f>'66'!R3</f>
        <v>70</v>
      </c>
      <c r="H10" s="148">
        <f>'66'!S3</f>
        <v>24</v>
      </c>
      <c r="I10" s="148">
        <f>'66'!T3</f>
        <v>6</v>
      </c>
      <c r="J10" s="148" t="str">
        <f>'66'!U3</f>
        <v>Duitsland</v>
      </c>
    </row>
    <row r="11" spans="1:10">
      <c r="A11" s="149">
        <v>9</v>
      </c>
      <c r="B11" s="146">
        <v>5</v>
      </c>
      <c r="C11" s="147" t="str">
        <f>'5'!N3</f>
        <v>Yvonne J.</v>
      </c>
      <c r="D11" s="151">
        <f>'5'!O3</f>
        <v>454</v>
      </c>
      <c r="E11" s="148">
        <f>'5'!P3</f>
        <v>209</v>
      </c>
      <c r="F11" s="148">
        <f>'5'!Q3</f>
        <v>180</v>
      </c>
      <c r="G11" s="148">
        <f>'5'!R3</f>
        <v>35</v>
      </c>
      <c r="H11" s="148">
        <f>'5'!S3</f>
        <v>30</v>
      </c>
      <c r="I11" s="148">
        <f>'5'!T3</f>
        <v>5</v>
      </c>
      <c r="J11" s="148" t="str">
        <f>'5'!U3</f>
        <v>Brazilië</v>
      </c>
    </row>
    <row r="12" spans="1:10">
      <c r="A12" s="150">
        <v>10</v>
      </c>
      <c r="B12" s="146">
        <v>55</v>
      </c>
      <c r="C12" s="147" t="str">
        <f>'55'!N3</f>
        <v>Hugo B.</v>
      </c>
      <c r="D12" s="151">
        <f>'55'!O3</f>
        <v>453</v>
      </c>
      <c r="E12" s="148">
        <f>'55'!P3</f>
        <v>245</v>
      </c>
      <c r="F12" s="148">
        <f>'55'!Q3</f>
        <v>140</v>
      </c>
      <c r="G12" s="148">
        <f>'55'!R3</f>
        <v>20</v>
      </c>
      <c r="H12" s="148">
        <f>'55'!S3</f>
        <v>48</v>
      </c>
      <c r="I12" s="148">
        <f>'55'!T3</f>
        <v>9</v>
      </c>
      <c r="J12" s="148" t="str">
        <f>'55'!U3</f>
        <v>Brazilië</v>
      </c>
    </row>
    <row r="13" spans="1:10">
      <c r="A13" s="149">
        <v>11</v>
      </c>
      <c r="B13" s="146">
        <v>53</v>
      </c>
      <c r="C13" s="147" t="str">
        <f>'53'!N3</f>
        <v>Martijn V.</v>
      </c>
      <c r="D13" s="151">
        <f>'53'!O3</f>
        <v>449</v>
      </c>
      <c r="E13" s="148">
        <f>'53'!P3</f>
        <v>224</v>
      </c>
      <c r="F13" s="148">
        <f>'53'!Q3</f>
        <v>170</v>
      </c>
      <c r="G13" s="148">
        <f>'53'!R3</f>
        <v>25</v>
      </c>
      <c r="H13" s="148">
        <f>'53'!S3</f>
        <v>30</v>
      </c>
      <c r="I13" s="148">
        <f>'53'!T3</f>
        <v>4</v>
      </c>
      <c r="J13" s="148" t="str">
        <f>'53'!U3</f>
        <v>Argentinië</v>
      </c>
    </row>
    <row r="14" spans="1:10">
      <c r="A14" s="150">
        <v>12</v>
      </c>
      <c r="B14" s="146">
        <v>61</v>
      </c>
      <c r="C14" s="147" t="str">
        <f>'61'!N3</f>
        <v>Koldo V.</v>
      </c>
      <c r="D14" s="151">
        <f>'61'!O3</f>
        <v>448</v>
      </c>
      <c r="E14" s="148">
        <f>'61'!P3</f>
        <v>233</v>
      </c>
      <c r="F14" s="148">
        <f>'61'!Q3</f>
        <v>180</v>
      </c>
      <c r="G14" s="148">
        <f>'61'!R3</f>
        <v>5</v>
      </c>
      <c r="H14" s="148">
        <f>'61'!S3</f>
        <v>30</v>
      </c>
      <c r="I14" s="148">
        <f>'61'!T3</f>
        <v>11</v>
      </c>
      <c r="J14" s="148" t="str">
        <f>'61'!U3</f>
        <v>Brazilië</v>
      </c>
    </row>
    <row r="15" spans="1:10">
      <c r="A15" s="149">
        <v>13</v>
      </c>
      <c r="B15" s="146">
        <v>24</v>
      </c>
      <c r="C15" s="147" t="str">
        <f>'24'!N3</f>
        <v>Marcel M.</v>
      </c>
      <c r="D15" s="151">
        <f>'24'!O3</f>
        <v>445</v>
      </c>
      <c r="E15" s="148">
        <f>'24'!P3</f>
        <v>222</v>
      </c>
      <c r="F15" s="148">
        <f>'24'!Q3</f>
        <v>110</v>
      </c>
      <c r="G15" s="148">
        <f>'24'!R3</f>
        <v>65</v>
      </c>
      <c r="H15" s="148">
        <f>'24'!S3</f>
        <v>48</v>
      </c>
      <c r="I15" s="148">
        <f>'24'!T3</f>
        <v>6</v>
      </c>
      <c r="J15" s="148" t="str">
        <f>'24'!U3</f>
        <v>Duitsland</v>
      </c>
    </row>
    <row r="16" spans="1:10">
      <c r="A16" s="150">
        <v>14</v>
      </c>
      <c r="B16" s="146">
        <v>78</v>
      </c>
      <c r="C16" s="147" t="str">
        <f>'78'!N3</f>
        <v>Foppe d. J.</v>
      </c>
      <c r="D16" s="151">
        <f>'78'!O3</f>
        <v>444</v>
      </c>
      <c r="E16" s="148">
        <f>'78'!P3</f>
        <v>219</v>
      </c>
      <c r="F16" s="148">
        <f>'78'!Q3</f>
        <v>180</v>
      </c>
      <c r="G16" s="148">
        <f>'78'!R3</f>
        <v>15</v>
      </c>
      <c r="H16" s="148">
        <f>'78'!S3</f>
        <v>30</v>
      </c>
      <c r="I16" s="148">
        <f>'78'!T3</f>
        <v>5</v>
      </c>
      <c r="J16" s="148" t="str">
        <f>'78'!U3</f>
        <v>Brazilië</v>
      </c>
    </row>
    <row r="17" spans="1:10">
      <c r="A17" s="149">
        <v>15</v>
      </c>
      <c r="B17" s="146">
        <v>25</v>
      </c>
      <c r="C17" s="147" t="str">
        <f>'25'!N3</f>
        <v>Ricardo B. (introducee Marcel M.)</v>
      </c>
      <c r="D17" s="151">
        <f>'25'!O3</f>
        <v>443</v>
      </c>
      <c r="E17" s="148">
        <f>'25'!P3</f>
        <v>221</v>
      </c>
      <c r="F17" s="148">
        <f>'25'!Q3</f>
        <v>180</v>
      </c>
      <c r="G17" s="148">
        <f>'25'!R3</f>
        <v>15</v>
      </c>
      <c r="H17" s="148">
        <f>'25'!S3</f>
        <v>27</v>
      </c>
      <c r="I17" s="148">
        <f>'25'!T3</f>
        <v>5</v>
      </c>
      <c r="J17" s="148" t="str">
        <f>'25'!U3</f>
        <v>Brazilië</v>
      </c>
    </row>
    <row r="18" spans="1:10">
      <c r="A18" s="150">
        <v>16</v>
      </c>
      <c r="B18" s="146">
        <v>52</v>
      </c>
      <c r="C18" s="147" t="str">
        <f>'52'!N3</f>
        <v>René vd S.</v>
      </c>
      <c r="D18" s="151">
        <f>'52'!O3</f>
        <v>438</v>
      </c>
      <c r="E18" s="148">
        <f>'52'!P3</f>
        <v>236</v>
      </c>
      <c r="F18" s="148">
        <f>'52'!Q3</f>
        <v>140</v>
      </c>
      <c r="G18" s="148">
        <f>'52'!R3</f>
        <v>35</v>
      </c>
      <c r="H18" s="148">
        <f>'52'!S3</f>
        <v>27</v>
      </c>
      <c r="I18" s="148">
        <f>'52'!T3</f>
        <v>7</v>
      </c>
      <c r="J18" s="148" t="str">
        <f>'52'!U3</f>
        <v>Frankrijk</v>
      </c>
    </row>
    <row r="19" spans="1:10">
      <c r="A19" s="149">
        <v>17</v>
      </c>
      <c r="B19" s="146">
        <v>74</v>
      </c>
      <c r="C19" s="147" t="str">
        <f>'74'!N3</f>
        <v>Anneliez</v>
      </c>
      <c r="D19" s="151">
        <f>'74'!O3</f>
        <v>437</v>
      </c>
      <c r="E19" s="148">
        <f>'74'!P3</f>
        <v>240</v>
      </c>
      <c r="F19" s="148">
        <f>'74'!Q3</f>
        <v>160</v>
      </c>
      <c r="G19" s="148">
        <f>'74'!R3</f>
        <v>10</v>
      </c>
      <c r="H19" s="148">
        <f>'74'!S3</f>
        <v>27</v>
      </c>
      <c r="I19" s="148">
        <f>'74'!T3</f>
        <v>9</v>
      </c>
      <c r="J19" s="148" t="str">
        <f>'74'!U3</f>
        <v>Brazilië</v>
      </c>
    </row>
    <row r="20" spans="1:10">
      <c r="A20" s="150">
        <v>18</v>
      </c>
      <c r="B20" s="146">
        <v>34</v>
      </c>
      <c r="C20" s="147" t="str">
        <f>'34'!N3</f>
        <v>Ton G.</v>
      </c>
      <c r="D20" s="151">
        <f>'34'!O3</f>
        <v>436</v>
      </c>
      <c r="E20" s="148">
        <f>'34'!P3</f>
        <v>193</v>
      </c>
      <c r="F20" s="148">
        <f>'34'!Q3</f>
        <v>180</v>
      </c>
      <c r="G20" s="148">
        <f>'34'!R3</f>
        <v>15</v>
      </c>
      <c r="H20" s="148">
        <f>'34'!S3</f>
        <v>48</v>
      </c>
      <c r="I20" s="148">
        <f>'34'!T3</f>
        <v>3</v>
      </c>
      <c r="J20" s="148" t="str">
        <f>'34'!U3</f>
        <v>Brazilië</v>
      </c>
    </row>
    <row r="21" spans="1:10">
      <c r="A21" s="149">
        <v>19</v>
      </c>
      <c r="B21" s="146">
        <v>68</v>
      </c>
      <c r="C21" s="147" t="str">
        <f>'68'!N3</f>
        <v>Hans V.</v>
      </c>
      <c r="D21" s="151">
        <f>'68'!O3</f>
        <v>434</v>
      </c>
      <c r="E21" s="148">
        <f>'68'!P3</f>
        <v>230</v>
      </c>
      <c r="F21" s="148">
        <f>'68'!Q3</f>
        <v>120</v>
      </c>
      <c r="G21" s="148">
        <f>'68'!R3</f>
        <v>60</v>
      </c>
      <c r="H21" s="148">
        <f>'68'!S3</f>
        <v>24</v>
      </c>
      <c r="I21" s="148">
        <f>'68'!T3</f>
        <v>9</v>
      </c>
      <c r="J21" s="148" t="str">
        <f>'68'!U3</f>
        <v>Duitsland</v>
      </c>
    </row>
    <row r="22" spans="1:10">
      <c r="A22" s="150">
        <v>20</v>
      </c>
      <c r="B22" s="146">
        <v>56</v>
      </c>
      <c r="C22" s="147" t="str">
        <f>'56'!N3</f>
        <v>Gemma R.</v>
      </c>
      <c r="D22" s="151">
        <f>'56'!O3</f>
        <v>432</v>
      </c>
      <c r="E22" s="148">
        <f>'56'!P3</f>
        <v>230</v>
      </c>
      <c r="F22" s="148">
        <f>'56'!Q3</f>
        <v>150</v>
      </c>
      <c r="G22" s="148">
        <f>'56'!R3</f>
        <v>25</v>
      </c>
      <c r="H22" s="148">
        <f>'56'!S3</f>
        <v>27</v>
      </c>
      <c r="I22" s="148">
        <f>'56'!T3</f>
        <v>9</v>
      </c>
      <c r="J22" s="148" t="str">
        <f>'56'!U3</f>
        <v>Italië</v>
      </c>
    </row>
    <row r="23" spans="1:10">
      <c r="A23" s="149">
        <v>21</v>
      </c>
      <c r="B23" s="146">
        <v>3</v>
      </c>
      <c r="C23" s="147" t="str">
        <f>'3'!N3</f>
        <v>Anoeska van S.</v>
      </c>
      <c r="D23" s="151">
        <f>'3'!O3</f>
        <v>431</v>
      </c>
      <c r="E23" s="148">
        <f>'3'!P3</f>
        <v>203</v>
      </c>
      <c r="F23" s="148">
        <f>'3'!Q3</f>
        <v>120</v>
      </c>
      <c r="G23" s="148">
        <f>'3'!R3</f>
        <v>60</v>
      </c>
      <c r="H23" s="148">
        <f>'3'!S3</f>
        <v>48</v>
      </c>
      <c r="I23" s="148">
        <f>'3'!T3</f>
        <v>7</v>
      </c>
      <c r="J23" s="148" t="str">
        <f>'3'!U3</f>
        <v>Duitsland</v>
      </c>
    </row>
    <row r="24" spans="1:10">
      <c r="A24" s="150">
        <v>22</v>
      </c>
      <c r="B24" s="146">
        <v>43</v>
      </c>
      <c r="C24" s="147" t="str">
        <f>'43'!N3</f>
        <v>Frank F.</v>
      </c>
      <c r="D24" s="151">
        <f>'43'!O3</f>
        <v>431</v>
      </c>
      <c r="E24" s="148">
        <f>'43'!P3</f>
        <v>226</v>
      </c>
      <c r="F24" s="148">
        <f>'43'!Q3</f>
        <v>160</v>
      </c>
      <c r="G24" s="148">
        <f>'43'!R3</f>
        <v>15</v>
      </c>
      <c r="H24" s="148">
        <f>'43'!S3</f>
        <v>30</v>
      </c>
      <c r="I24" s="148">
        <f>'43'!T3</f>
        <v>7</v>
      </c>
      <c r="J24" s="148" t="str">
        <f>'43'!U3</f>
        <v>Brazilië</v>
      </c>
    </row>
    <row r="25" spans="1:10">
      <c r="A25" s="149">
        <v>23</v>
      </c>
      <c r="B25" s="146">
        <v>70</v>
      </c>
      <c r="C25" s="147" t="str">
        <f>'70'!N3</f>
        <v>Jordy K. (introducee Vivian v V.)</v>
      </c>
      <c r="D25" s="151">
        <f>'70'!O3</f>
        <v>431</v>
      </c>
      <c r="E25" s="148">
        <f>'70'!P3</f>
        <v>208</v>
      </c>
      <c r="F25" s="148">
        <f>'70'!Q3</f>
        <v>160</v>
      </c>
      <c r="G25" s="148">
        <f>'70'!R3</f>
        <v>15</v>
      </c>
      <c r="H25" s="148">
        <f>'70'!S3</f>
        <v>48</v>
      </c>
      <c r="I25" s="148">
        <f>'70'!T3</f>
        <v>2</v>
      </c>
      <c r="J25" s="148" t="str">
        <f>'70'!U3</f>
        <v>Brazilië</v>
      </c>
    </row>
    <row r="26" spans="1:10">
      <c r="A26" s="150">
        <v>24</v>
      </c>
      <c r="B26" s="146">
        <v>16</v>
      </c>
      <c r="C26" s="147" t="str">
        <f>'16'!N3</f>
        <v>Carlione (HUC)</v>
      </c>
      <c r="D26" s="151">
        <f>'16'!O3</f>
        <v>430</v>
      </c>
      <c r="E26" s="148">
        <f>'16'!P3</f>
        <v>210</v>
      </c>
      <c r="F26" s="148">
        <f>'16'!Q3</f>
        <v>180</v>
      </c>
      <c r="G26" s="148">
        <f>'16'!R3</f>
        <v>10</v>
      </c>
      <c r="H26" s="148">
        <f>'16'!S3</f>
        <v>30</v>
      </c>
      <c r="I26" s="148">
        <f>'16'!T3</f>
        <v>6</v>
      </c>
      <c r="J26" s="148" t="str">
        <f>'16'!U3</f>
        <v>Nederland</v>
      </c>
    </row>
    <row r="27" spans="1:10">
      <c r="A27" s="149">
        <v>25</v>
      </c>
      <c r="B27" s="146">
        <v>88</v>
      </c>
      <c r="C27" s="147" t="str">
        <f>'88'!N3</f>
        <v>Sanne D. (introducee Kay L.)</v>
      </c>
      <c r="D27" s="151">
        <f>'88'!O3</f>
        <v>428</v>
      </c>
      <c r="E27" s="148">
        <f>'88'!P3</f>
        <v>210</v>
      </c>
      <c r="F27" s="148">
        <f>'88'!Q3</f>
        <v>110</v>
      </c>
      <c r="G27" s="148">
        <f>'88'!R3</f>
        <v>60</v>
      </c>
      <c r="H27" s="148">
        <f>'88'!S3</f>
        <v>48</v>
      </c>
      <c r="I27" s="148">
        <f>'88'!T3</f>
        <v>7</v>
      </c>
      <c r="J27" s="148" t="str">
        <f>'88'!U3</f>
        <v>Duitsland</v>
      </c>
    </row>
    <row r="28" spans="1:10">
      <c r="A28" s="150">
        <v>26</v>
      </c>
      <c r="B28" s="146">
        <v>40</v>
      </c>
      <c r="C28" s="147" t="str">
        <f>'40'!N3</f>
        <v>Leo N.</v>
      </c>
      <c r="D28" s="151">
        <f>'40'!O3</f>
        <v>427</v>
      </c>
      <c r="E28" s="148">
        <f>'40'!P3</f>
        <v>200</v>
      </c>
      <c r="F28" s="148">
        <f>'40'!Q3</f>
        <v>180</v>
      </c>
      <c r="G28" s="148">
        <f>'40'!R3</f>
        <v>20</v>
      </c>
      <c r="H28" s="148">
        <f>'40'!S3</f>
        <v>27</v>
      </c>
      <c r="I28" s="148">
        <f>'40'!T3</f>
        <v>3</v>
      </c>
      <c r="J28" s="148" t="str">
        <f>'40'!U3</f>
        <v>Brazilië</v>
      </c>
    </row>
    <row r="29" spans="1:10">
      <c r="A29" s="149">
        <v>27</v>
      </c>
      <c r="B29" s="146">
        <v>62</v>
      </c>
      <c r="C29" s="147" t="str">
        <f>'62'!N3</f>
        <v>Wilbert van D.</v>
      </c>
      <c r="D29" s="151">
        <f>'62'!O3</f>
        <v>426</v>
      </c>
      <c r="E29" s="148">
        <f>'62'!P3</f>
        <v>208</v>
      </c>
      <c r="F29" s="148">
        <f>'62'!Q3</f>
        <v>110</v>
      </c>
      <c r="G29" s="148">
        <f>'62'!R3</f>
        <v>60</v>
      </c>
      <c r="H29" s="148">
        <f>'62'!S3</f>
        <v>48</v>
      </c>
      <c r="I29" s="148">
        <f>'62'!T3</f>
        <v>3</v>
      </c>
      <c r="J29" s="148" t="str">
        <f>'62'!U3</f>
        <v>Duitsland</v>
      </c>
    </row>
    <row r="30" spans="1:10">
      <c r="A30" s="150">
        <v>28</v>
      </c>
      <c r="B30" s="146">
        <v>49</v>
      </c>
      <c r="C30" s="147" t="str">
        <f>'49'!N3</f>
        <v>Léon vh H.</v>
      </c>
      <c r="D30" s="151">
        <f>'49'!O3</f>
        <v>424</v>
      </c>
      <c r="E30" s="148">
        <f>'49'!P3</f>
        <v>177</v>
      </c>
      <c r="F30" s="148">
        <f>'49'!Q3</f>
        <v>170</v>
      </c>
      <c r="G30" s="148">
        <f>'49'!R3</f>
        <v>50</v>
      </c>
      <c r="H30" s="148">
        <f>'49'!S3</f>
        <v>27</v>
      </c>
      <c r="I30" s="148">
        <f>'49'!T3</f>
        <v>3</v>
      </c>
      <c r="J30" s="148" t="str">
        <f>'49'!U3</f>
        <v>Duitsland</v>
      </c>
    </row>
    <row r="31" spans="1:10">
      <c r="A31" s="149">
        <v>29</v>
      </c>
      <c r="B31" s="146">
        <v>41</v>
      </c>
      <c r="C31" s="147" t="str">
        <f>'41'!N3</f>
        <v>Thomas H.</v>
      </c>
      <c r="D31" s="151">
        <f>'41'!O3</f>
        <v>421</v>
      </c>
      <c r="E31" s="148">
        <f>'41'!P3</f>
        <v>229</v>
      </c>
      <c r="F31" s="148">
        <f>'41'!Q3</f>
        <v>140</v>
      </c>
      <c r="G31" s="148">
        <f>'41'!R3</f>
        <v>25</v>
      </c>
      <c r="H31" s="148">
        <f>'41'!S3</f>
        <v>27</v>
      </c>
      <c r="I31" s="148">
        <f>'41'!T3</f>
        <v>8</v>
      </c>
      <c r="J31" s="148" t="str">
        <f>'41'!U3</f>
        <v>België</v>
      </c>
    </row>
    <row r="32" spans="1:10">
      <c r="A32" s="150">
        <v>30</v>
      </c>
      <c r="B32" s="146">
        <v>48</v>
      </c>
      <c r="C32" s="147" t="str">
        <f>'48'!N3</f>
        <v>Louis B.</v>
      </c>
      <c r="D32" s="151">
        <f>'48'!O3</f>
        <v>417</v>
      </c>
      <c r="E32" s="148">
        <f>'48'!P3</f>
        <v>185</v>
      </c>
      <c r="F32" s="148">
        <f>'48'!Q3</f>
        <v>200</v>
      </c>
      <c r="G32" s="148">
        <f>'48'!R3</f>
        <v>5</v>
      </c>
      <c r="H32" s="148">
        <f>'48'!S3</f>
        <v>27</v>
      </c>
      <c r="I32" s="148">
        <f>'48'!T3</f>
        <v>3</v>
      </c>
      <c r="J32" s="148" t="str">
        <f>'48'!U3</f>
        <v>Brazilië</v>
      </c>
    </row>
    <row r="33" spans="1:10">
      <c r="A33" s="149">
        <v>31</v>
      </c>
      <c r="B33" s="146">
        <v>46</v>
      </c>
      <c r="C33" s="147" t="str">
        <f>'46'!N3</f>
        <v>Corjan H.</v>
      </c>
      <c r="D33" s="151">
        <f>'46'!O3</f>
        <v>416</v>
      </c>
      <c r="E33" s="148">
        <f>'46'!P3</f>
        <v>219</v>
      </c>
      <c r="F33" s="148">
        <f>'46'!Q3</f>
        <v>150</v>
      </c>
      <c r="G33" s="148">
        <f>'46'!R3</f>
        <v>20</v>
      </c>
      <c r="H33" s="148">
        <f>'46'!S3</f>
        <v>27</v>
      </c>
      <c r="I33" s="148">
        <f>'46'!T3</f>
        <v>6</v>
      </c>
      <c r="J33" s="148" t="str">
        <f>'46'!U3</f>
        <v>Argentinië</v>
      </c>
    </row>
    <row r="34" spans="1:10">
      <c r="A34" s="150">
        <v>32</v>
      </c>
      <c r="B34" s="146">
        <v>50</v>
      </c>
      <c r="C34" s="147" t="str">
        <f>'50'!N3</f>
        <v>Maurice vd K.</v>
      </c>
      <c r="D34" s="151">
        <f>'50'!O3</f>
        <v>409</v>
      </c>
      <c r="E34" s="148">
        <f>'50'!P3</f>
        <v>229</v>
      </c>
      <c r="F34" s="148">
        <f>'50'!Q3</f>
        <v>140</v>
      </c>
      <c r="G34" s="148">
        <f>'50'!R3</f>
        <v>10</v>
      </c>
      <c r="H34" s="148">
        <f>'50'!S3</f>
        <v>30</v>
      </c>
      <c r="I34" s="148">
        <f>'50'!T3</f>
        <v>5</v>
      </c>
      <c r="J34" s="148" t="str">
        <f>'50'!U3</f>
        <v>Brazilië</v>
      </c>
    </row>
    <row r="35" spans="1:10">
      <c r="A35" s="149">
        <v>33</v>
      </c>
      <c r="B35" s="146">
        <v>10</v>
      </c>
      <c r="C35" s="147" t="str">
        <f>'10'!N3</f>
        <v>Christian van S.</v>
      </c>
      <c r="D35" s="151">
        <f>'10'!O3</f>
        <v>406</v>
      </c>
      <c r="E35" s="148">
        <f>'10'!P3</f>
        <v>211</v>
      </c>
      <c r="F35" s="148">
        <f>'10'!Q3</f>
        <v>130</v>
      </c>
      <c r="G35" s="148">
        <f>'10'!R3</f>
        <v>35</v>
      </c>
      <c r="H35" s="148">
        <f>'10'!S3</f>
        <v>30</v>
      </c>
      <c r="I35" s="148">
        <f>'10'!T3</f>
        <v>3</v>
      </c>
      <c r="J35" s="148" t="str">
        <f>'10'!U3</f>
        <v>Brazilië</v>
      </c>
    </row>
    <row r="36" spans="1:10">
      <c r="A36" s="150">
        <v>34</v>
      </c>
      <c r="B36" s="146">
        <v>4</v>
      </c>
      <c r="C36" s="147" t="str">
        <f>'4'!N3</f>
        <v>Edwin B.</v>
      </c>
      <c r="D36" s="151">
        <f>'4'!O3</f>
        <v>406</v>
      </c>
      <c r="E36" s="148">
        <f>'4'!P3</f>
        <v>204</v>
      </c>
      <c r="F36" s="148">
        <f>'4'!Q3</f>
        <v>160</v>
      </c>
      <c r="G36" s="148">
        <f>'4'!R3</f>
        <v>15</v>
      </c>
      <c r="H36" s="148">
        <f>'4'!S3</f>
        <v>27</v>
      </c>
      <c r="I36" s="148">
        <f>'4'!T3</f>
        <v>8</v>
      </c>
      <c r="J36" s="148" t="str">
        <f>'4'!U3</f>
        <v>Brazilië</v>
      </c>
    </row>
    <row r="37" spans="1:10">
      <c r="A37" s="149">
        <v>35</v>
      </c>
      <c r="B37" s="146">
        <v>73</v>
      </c>
      <c r="C37" s="147" t="str">
        <f>'73'!N3</f>
        <v>Inday vd S.</v>
      </c>
      <c r="D37" s="151">
        <f>'73'!O3</f>
        <v>406</v>
      </c>
      <c r="E37" s="148">
        <f>'73'!P3</f>
        <v>198</v>
      </c>
      <c r="F37" s="148">
        <f>'73'!Q3</f>
        <v>150</v>
      </c>
      <c r="G37" s="148">
        <f>'73'!R3</f>
        <v>10</v>
      </c>
      <c r="H37" s="148">
        <f>'73'!S3</f>
        <v>48</v>
      </c>
      <c r="I37" s="148">
        <f>'73'!T3</f>
        <v>6</v>
      </c>
      <c r="J37" s="148" t="str">
        <f>'73'!U3</f>
        <v>Nederland</v>
      </c>
    </row>
    <row r="38" spans="1:10">
      <c r="A38" s="150">
        <v>36</v>
      </c>
      <c r="B38" s="146">
        <v>20</v>
      </c>
      <c r="C38" s="147" t="str">
        <f>'20'!N3</f>
        <v>René K.</v>
      </c>
      <c r="D38" s="151">
        <f>'20'!O3</f>
        <v>404</v>
      </c>
      <c r="E38" s="148">
        <f>'20'!P3</f>
        <v>186</v>
      </c>
      <c r="F38" s="148">
        <f>'20'!Q3</f>
        <v>140</v>
      </c>
      <c r="G38" s="148">
        <f>'20'!R3</f>
        <v>30</v>
      </c>
      <c r="H38" s="148">
        <f>'20'!S3</f>
        <v>48</v>
      </c>
      <c r="I38" s="148">
        <f>'20'!T3</f>
        <v>5</v>
      </c>
      <c r="J38" s="148" t="str">
        <f>'20'!U3</f>
        <v>Brazilië</v>
      </c>
    </row>
    <row r="39" spans="1:10">
      <c r="A39" s="149">
        <v>37</v>
      </c>
      <c r="B39" s="146">
        <v>69</v>
      </c>
      <c r="C39" s="147" t="str">
        <f>'69'!N3</f>
        <v>Vivian v. V.</v>
      </c>
      <c r="D39" s="151">
        <f>'69'!O3</f>
        <v>404</v>
      </c>
      <c r="E39" s="148">
        <f>'69'!P3</f>
        <v>209</v>
      </c>
      <c r="F39" s="148">
        <f>'69'!Q3</f>
        <v>130</v>
      </c>
      <c r="G39" s="148">
        <f>'69'!R3</f>
        <v>35</v>
      </c>
      <c r="H39" s="148">
        <f>'69'!S3</f>
        <v>30</v>
      </c>
      <c r="I39" s="148">
        <f>'69'!T3</f>
        <v>7</v>
      </c>
      <c r="J39" s="148" t="str">
        <f>'69'!U3</f>
        <v>Brazilië</v>
      </c>
    </row>
    <row r="40" spans="1:10">
      <c r="A40" s="150">
        <v>38</v>
      </c>
      <c r="B40" s="146">
        <v>26</v>
      </c>
      <c r="C40" s="147" t="str">
        <f>'26'!N3</f>
        <v>Ricardo M.</v>
      </c>
      <c r="D40" s="151">
        <f>'26'!O3</f>
        <v>401</v>
      </c>
      <c r="E40" s="148">
        <f>'26'!P3</f>
        <v>216</v>
      </c>
      <c r="F40" s="148">
        <f>'26'!Q3</f>
        <v>140</v>
      </c>
      <c r="G40" s="148">
        <f>'26'!R3</f>
        <v>15</v>
      </c>
      <c r="H40" s="148">
        <f>'26'!S3</f>
        <v>30</v>
      </c>
      <c r="I40" s="148">
        <f>'26'!T3</f>
        <v>5</v>
      </c>
      <c r="J40" s="148" t="str">
        <f>'26'!U3</f>
        <v>Brazilië</v>
      </c>
    </row>
    <row r="41" spans="1:10">
      <c r="A41" s="149">
        <v>39</v>
      </c>
      <c r="B41" s="146">
        <v>28</v>
      </c>
      <c r="C41" s="147" t="str">
        <f>'28'!N3</f>
        <v>Edwin de G. (introducee Yvonne J.)</v>
      </c>
      <c r="D41" s="151">
        <f>'28'!O3</f>
        <v>399</v>
      </c>
      <c r="E41" s="148">
        <f>'28'!P3</f>
        <v>197</v>
      </c>
      <c r="F41" s="148">
        <f>'28'!Q3</f>
        <v>160</v>
      </c>
      <c r="G41" s="148">
        <f>'28'!R3</f>
        <v>15</v>
      </c>
      <c r="H41" s="148">
        <f>'28'!S3</f>
        <v>27</v>
      </c>
      <c r="I41" s="148">
        <f>'28'!T3</f>
        <v>7</v>
      </c>
      <c r="J41" s="148" t="str">
        <f>'28'!U3</f>
        <v>Spanje</v>
      </c>
    </row>
    <row r="42" spans="1:10">
      <c r="A42" s="150">
        <v>40</v>
      </c>
      <c r="B42" s="146">
        <v>91</v>
      </c>
      <c r="C42" s="147" t="str">
        <f>'91'!N3</f>
        <v>Marina P.</v>
      </c>
      <c r="D42" s="151">
        <f>'91'!O3</f>
        <v>398</v>
      </c>
      <c r="E42" s="148">
        <f>'91'!P3</f>
        <v>193</v>
      </c>
      <c r="F42" s="148">
        <f>'91'!Q3</f>
        <v>160</v>
      </c>
      <c r="G42" s="148">
        <f>'91'!R3</f>
        <v>15</v>
      </c>
      <c r="H42" s="148">
        <f>'91'!S3</f>
        <v>30</v>
      </c>
      <c r="I42" s="148">
        <f>'91'!T3</f>
        <v>4</v>
      </c>
      <c r="J42" s="148" t="str">
        <f>'91'!U3</f>
        <v>Brazilië</v>
      </c>
    </row>
    <row r="43" spans="1:10">
      <c r="A43" s="149">
        <v>41</v>
      </c>
      <c r="B43" s="146">
        <v>22</v>
      </c>
      <c r="C43" s="147" t="str">
        <f>'22'!N3</f>
        <v>Arthur K.</v>
      </c>
      <c r="D43" s="151">
        <f>'22'!O3</f>
        <v>397</v>
      </c>
      <c r="E43" s="148">
        <f>'22'!P3</f>
        <v>214</v>
      </c>
      <c r="F43" s="148">
        <f>'22'!Q3</f>
        <v>120</v>
      </c>
      <c r="G43" s="148">
        <f>'22'!R3</f>
        <v>15</v>
      </c>
      <c r="H43" s="148">
        <f>'22'!S3</f>
        <v>48</v>
      </c>
      <c r="I43" s="148">
        <f>'22'!T3</f>
        <v>5</v>
      </c>
      <c r="J43" s="148" t="str">
        <f>'22'!U3</f>
        <v>Brazilië</v>
      </c>
    </row>
    <row r="44" spans="1:10">
      <c r="A44" s="150">
        <v>42</v>
      </c>
      <c r="B44" s="146">
        <v>47</v>
      </c>
      <c r="C44" s="147" t="str">
        <f>'47'!N3</f>
        <v>Quinn H. (introducee Corjan)</v>
      </c>
      <c r="D44" s="151">
        <f>'47'!O3</f>
        <v>397</v>
      </c>
      <c r="E44" s="148">
        <f>'47'!P3</f>
        <v>165</v>
      </c>
      <c r="F44" s="148">
        <f>'47'!Q3</f>
        <v>140</v>
      </c>
      <c r="G44" s="148">
        <f>'47'!R3</f>
        <v>65</v>
      </c>
      <c r="H44" s="148">
        <f>'47'!S3</f>
        <v>27</v>
      </c>
      <c r="I44" s="148">
        <f>'47'!T3</f>
        <v>5</v>
      </c>
      <c r="J44" s="148" t="str">
        <f>'47'!U3</f>
        <v>Duitsland</v>
      </c>
    </row>
    <row r="45" spans="1:10">
      <c r="A45" s="149">
        <v>43</v>
      </c>
      <c r="B45" s="146">
        <v>12</v>
      </c>
      <c r="C45" s="147" t="str">
        <f>'12'!N3</f>
        <v>Pascal vd B.</v>
      </c>
      <c r="D45" s="151">
        <f>'12'!O3</f>
        <v>395</v>
      </c>
      <c r="E45" s="148">
        <f>'12'!P3</f>
        <v>177</v>
      </c>
      <c r="F45" s="148">
        <f>'12'!Q3</f>
        <v>140</v>
      </c>
      <c r="G45" s="148">
        <f>'12'!R3</f>
        <v>30</v>
      </c>
      <c r="H45" s="148">
        <f>'12'!S3</f>
        <v>48</v>
      </c>
      <c r="I45" s="148">
        <f>'12'!T3</f>
        <v>2</v>
      </c>
      <c r="J45" s="148" t="str">
        <f>'12'!U3</f>
        <v>Brazilië</v>
      </c>
    </row>
    <row r="46" spans="1:10">
      <c r="A46" s="150">
        <v>44</v>
      </c>
      <c r="B46" s="146">
        <v>39</v>
      </c>
      <c r="C46" s="147" t="str">
        <f>'39'!N3</f>
        <v>Cindy vd B.</v>
      </c>
      <c r="D46" s="151">
        <f>'39'!O3</f>
        <v>394</v>
      </c>
      <c r="E46" s="148">
        <f>'39'!P3</f>
        <v>199</v>
      </c>
      <c r="F46" s="148">
        <f>'39'!Q3</f>
        <v>140</v>
      </c>
      <c r="G46" s="148">
        <f>'39'!R3</f>
        <v>25</v>
      </c>
      <c r="H46" s="148">
        <f>'39'!S3</f>
        <v>30</v>
      </c>
      <c r="I46" s="148">
        <f>'39'!T3</f>
        <v>6</v>
      </c>
      <c r="J46" s="148" t="str">
        <f>'39'!U3</f>
        <v>Argentinië</v>
      </c>
    </row>
    <row r="47" spans="1:10">
      <c r="A47" s="149">
        <v>45</v>
      </c>
      <c r="B47" s="146">
        <v>30</v>
      </c>
      <c r="C47" s="147" t="str">
        <f>'30'!N3</f>
        <v>Francine S. (introducee Malrini)</v>
      </c>
      <c r="D47" s="151">
        <f>'30'!O3</f>
        <v>394</v>
      </c>
      <c r="E47" s="148">
        <f>'30'!P3</f>
        <v>199</v>
      </c>
      <c r="F47" s="148">
        <f>'30'!Q3</f>
        <v>140</v>
      </c>
      <c r="G47" s="148">
        <f>'30'!R3</f>
        <v>25</v>
      </c>
      <c r="H47" s="148">
        <f>'30'!S3</f>
        <v>30</v>
      </c>
      <c r="I47" s="148">
        <f>'30'!T3</f>
        <v>4</v>
      </c>
      <c r="J47" s="148" t="str">
        <f>'30'!U3</f>
        <v>Argentinië</v>
      </c>
    </row>
    <row r="48" spans="1:10">
      <c r="A48" s="150">
        <v>46</v>
      </c>
      <c r="B48" s="146">
        <v>45</v>
      </c>
      <c r="C48" s="147" t="str">
        <f>'45'!N3</f>
        <v>Jasper S. (introducee Marcel S.)</v>
      </c>
      <c r="D48" s="151">
        <f>'45'!O3</f>
        <v>394</v>
      </c>
      <c r="E48" s="148">
        <f>'45'!P3</f>
        <v>217</v>
      </c>
      <c r="F48" s="148">
        <f>'45'!Q3</f>
        <v>140</v>
      </c>
      <c r="G48" s="148">
        <f>'45'!R3</f>
        <v>10</v>
      </c>
      <c r="H48" s="148">
        <f>'45'!S3</f>
        <v>27</v>
      </c>
      <c r="I48" s="148">
        <f>'45'!T3</f>
        <v>7</v>
      </c>
      <c r="J48" s="148" t="str">
        <f>'45'!U3</f>
        <v>Brazilië</v>
      </c>
    </row>
    <row r="49" spans="1:10">
      <c r="A49" s="149">
        <v>47</v>
      </c>
      <c r="B49" s="146">
        <v>32</v>
      </c>
      <c r="C49" s="147" t="str">
        <f>'32'!N3</f>
        <v>Esther v/d L.</v>
      </c>
      <c r="D49" s="151">
        <f>'32'!O3</f>
        <v>391</v>
      </c>
      <c r="E49" s="148">
        <f>'32'!P3</f>
        <v>214</v>
      </c>
      <c r="F49" s="148">
        <f>'32'!Q3</f>
        <v>90</v>
      </c>
      <c r="G49" s="148">
        <f>'32'!R3</f>
        <v>60</v>
      </c>
      <c r="H49" s="148">
        <f>'32'!S3</f>
        <v>27</v>
      </c>
      <c r="I49" s="148">
        <f>'32'!T3</f>
        <v>11</v>
      </c>
      <c r="J49" s="148" t="str">
        <f>'32'!U3</f>
        <v>Duitsland</v>
      </c>
    </row>
    <row r="50" spans="1:10">
      <c r="A50" s="150">
        <v>48</v>
      </c>
      <c r="B50" s="146">
        <v>21</v>
      </c>
      <c r="C50" s="147" t="str">
        <f>'21'!N3</f>
        <v>Gerrit T. (introducee René K.)</v>
      </c>
      <c r="D50" s="151">
        <f>'21'!O3</f>
        <v>391</v>
      </c>
      <c r="E50" s="148">
        <f>'21'!P3</f>
        <v>181</v>
      </c>
      <c r="F50" s="148">
        <f>'21'!Q3</f>
        <v>160</v>
      </c>
      <c r="G50" s="148">
        <f>'21'!R3</f>
        <v>20</v>
      </c>
      <c r="H50" s="148">
        <f>'21'!S3</f>
        <v>30</v>
      </c>
      <c r="I50" s="148">
        <f>'21'!T3</f>
        <v>3</v>
      </c>
      <c r="J50" s="148" t="str">
        <f>'21'!U3</f>
        <v>Argentinië</v>
      </c>
    </row>
    <row r="51" spans="1:10">
      <c r="A51" s="149">
        <v>49</v>
      </c>
      <c r="B51" s="146">
        <v>17</v>
      </c>
      <c r="C51" s="147" t="str">
        <f>'17'!N3</f>
        <v>Jochem</v>
      </c>
      <c r="D51" s="151">
        <f>'17'!O3</f>
        <v>390</v>
      </c>
      <c r="E51" s="148">
        <f>'17'!P3</f>
        <v>235</v>
      </c>
      <c r="F51" s="148">
        <f>'17'!Q3</f>
        <v>120</v>
      </c>
      <c r="G51" s="148">
        <f>'17'!R3</f>
        <v>5</v>
      </c>
      <c r="H51" s="148">
        <f>'17'!S3</f>
        <v>30</v>
      </c>
      <c r="I51" s="148">
        <f>'17'!T3</f>
        <v>6</v>
      </c>
      <c r="J51" s="148" t="str">
        <f>'17'!U3</f>
        <v>Brazilië</v>
      </c>
    </row>
    <row r="52" spans="1:10">
      <c r="A52" s="150">
        <v>50</v>
      </c>
      <c r="B52" s="146">
        <v>75</v>
      </c>
      <c r="C52" s="147" t="str">
        <f>'75'!N3</f>
        <v>Martinos de Hoekos</v>
      </c>
      <c r="D52" s="151">
        <f>'75'!O3</f>
        <v>390</v>
      </c>
      <c r="E52" s="148">
        <f>'75'!P3</f>
        <v>186</v>
      </c>
      <c r="F52" s="148">
        <f>'75'!Q3</f>
        <v>150</v>
      </c>
      <c r="G52" s="148">
        <f>'75'!R3</f>
        <v>30</v>
      </c>
      <c r="H52" s="148">
        <f>'75'!S3</f>
        <v>24</v>
      </c>
      <c r="I52" s="148">
        <f>'75'!T3</f>
        <v>2</v>
      </c>
      <c r="J52" s="148" t="str">
        <f>'75'!U3</f>
        <v>Portugal</v>
      </c>
    </row>
    <row r="53" spans="1:10">
      <c r="A53" s="149">
        <v>51</v>
      </c>
      <c r="B53" s="146">
        <v>92</v>
      </c>
      <c r="C53" s="147" t="str">
        <f>'92'!N3</f>
        <v>Andrea S. (introducee Léon)</v>
      </c>
      <c r="D53" s="151">
        <f>'92'!O3</f>
        <v>389</v>
      </c>
      <c r="E53" s="148">
        <f>'92'!P3</f>
        <v>189</v>
      </c>
      <c r="F53" s="148">
        <f>'92'!Q3</f>
        <v>150</v>
      </c>
      <c r="G53" s="148">
        <f>'92'!R3</f>
        <v>20</v>
      </c>
      <c r="H53" s="148">
        <f>'92'!S3</f>
        <v>30</v>
      </c>
      <c r="I53" s="148">
        <f>'92'!T3</f>
        <v>7</v>
      </c>
      <c r="J53" s="148" t="str">
        <f>'92'!U3</f>
        <v>Brazilië</v>
      </c>
    </row>
    <row r="54" spans="1:10">
      <c r="A54" s="150">
        <v>52</v>
      </c>
      <c r="B54" s="146">
        <v>64</v>
      </c>
      <c r="C54" s="147" t="str">
        <f>'64'!N3</f>
        <v>Marcel H. (introducee Marjan)</v>
      </c>
      <c r="D54" s="151">
        <f>'64'!O3</f>
        <v>386</v>
      </c>
      <c r="E54" s="148">
        <f>'64'!P3</f>
        <v>179</v>
      </c>
      <c r="F54" s="148">
        <f>'64'!Q3</f>
        <v>120</v>
      </c>
      <c r="G54" s="148">
        <f>'64'!R3</f>
        <v>60</v>
      </c>
      <c r="H54" s="148">
        <f>'64'!S3</f>
        <v>27</v>
      </c>
      <c r="I54" s="148">
        <f>'64'!T3</f>
        <v>4</v>
      </c>
      <c r="J54" s="148" t="str">
        <f>'64'!U3</f>
        <v>Duitsland</v>
      </c>
    </row>
    <row r="55" spans="1:10">
      <c r="A55" s="149">
        <v>53</v>
      </c>
      <c r="B55" s="146">
        <v>35</v>
      </c>
      <c r="C55" s="147" t="str">
        <f>'35'!N3</f>
        <v>Irma</v>
      </c>
      <c r="D55" s="151">
        <f>'35'!O3</f>
        <v>385</v>
      </c>
      <c r="E55" s="148">
        <f>'35'!P3</f>
        <v>215</v>
      </c>
      <c r="F55" s="148">
        <f>'35'!Q3</f>
        <v>150</v>
      </c>
      <c r="G55" s="148">
        <f>'35'!R3</f>
        <v>5</v>
      </c>
      <c r="H55" s="148">
        <f>'35'!S3</f>
        <v>15</v>
      </c>
      <c r="I55" s="148">
        <f>'35'!T3</f>
        <v>8</v>
      </c>
      <c r="J55" s="148" t="str">
        <f>'35'!U3</f>
        <v>Japan</v>
      </c>
    </row>
    <row r="56" spans="1:10">
      <c r="A56" s="150">
        <v>54</v>
      </c>
      <c r="B56" s="146">
        <v>27</v>
      </c>
      <c r="C56" s="147" t="str">
        <f>'27'!N3</f>
        <v>Jolise (introducee Ricardo M.)</v>
      </c>
      <c r="D56" s="151">
        <f>'27'!O3</f>
        <v>377</v>
      </c>
      <c r="E56" s="148">
        <f>'27'!P3</f>
        <v>213</v>
      </c>
      <c r="F56" s="148">
        <f>'27'!Q3</f>
        <v>130</v>
      </c>
      <c r="G56" s="148">
        <f>'27'!R3</f>
        <v>10</v>
      </c>
      <c r="H56" s="148">
        <f>'27'!S3</f>
        <v>24</v>
      </c>
      <c r="I56" s="148">
        <f>'27'!T3</f>
        <v>5</v>
      </c>
      <c r="J56" s="148" t="str">
        <f>'27'!U3</f>
        <v>Spanje</v>
      </c>
    </row>
    <row r="57" spans="1:10">
      <c r="A57" s="149">
        <v>55</v>
      </c>
      <c r="B57" s="146">
        <v>60</v>
      </c>
      <c r="C57" s="147" t="str">
        <f>'60'!N3</f>
        <v>Carola L. (introducee Jan L.)</v>
      </c>
      <c r="D57" s="151">
        <f>'60'!O3</f>
        <v>372</v>
      </c>
      <c r="E57" s="148">
        <f>'60'!P3</f>
        <v>220</v>
      </c>
      <c r="F57" s="148">
        <f>'60'!Q3</f>
        <v>110</v>
      </c>
      <c r="G57" s="148">
        <f>'60'!R3</f>
        <v>15</v>
      </c>
      <c r="H57" s="148">
        <f>'60'!S3</f>
        <v>27</v>
      </c>
      <c r="I57" s="148">
        <f>'60'!T3</f>
        <v>7</v>
      </c>
      <c r="J57" s="148" t="str">
        <f>'60'!U3</f>
        <v>Spanje</v>
      </c>
    </row>
    <row r="58" spans="1:10">
      <c r="A58" s="150">
        <v>56</v>
      </c>
      <c r="B58" s="146">
        <v>51</v>
      </c>
      <c r="C58" s="147" t="str">
        <f>'51'!N3</f>
        <v>Jos S.</v>
      </c>
      <c r="D58" s="151">
        <f>'51'!O3</f>
        <v>372</v>
      </c>
      <c r="E58" s="148">
        <f>'51'!P3</f>
        <v>190</v>
      </c>
      <c r="F58" s="148">
        <f>'51'!Q3</f>
        <v>120</v>
      </c>
      <c r="G58" s="148">
        <f>'51'!R3</f>
        <v>35</v>
      </c>
      <c r="H58" s="148">
        <f>'51'!S3</f>
        <v>27</v>
      </c>
      <c r="I58" s="148">
        <f>'51'!T3</f>
        <v>4</v>
      </c>
      <c r="J58" s="148" t="str">
        <f>'51'!U3</f>
        <v>Brazilië</v>
      </c>
    </row>
    <row r="59" spans="1:10">
      <c r="A59" s="149">
        <v>57</v>
      </c>
      <c r="B59" s="146">
        <v>37</v>
      </c>
      <c r="C59" s="147" t="str">
        <f>'37'!N3</f>
        <v>Hans D.</v>
      </c>
      <c r="D59" s="151">
        <f>'37'!O3</f>
        <v>371</v>
      </c>
      <c r="E59" s="148">
        <f>'37'!P3</f>
        <v>181</v>
      </c>
      <c r="F59" s="148">
        <f>'37'!Q3</f>
        <v>140</v>
      </c>
      <c r="G59" s="148">
        <f>'37'!R3</f>
        <v>20</v>
      </c>
      <c r="H59" s="148">
        <f>'37'!S3</f>
        <v>30</v>
      </c>
      <c r="I59" s="148">
        <f>'37'!T3</f>
        <v>3</v>
      </c>
      <c r="J59" s="148" t="str">
        <f>'37'!U3</f>
        <v>Nederland</v>
      </c>
    </row>
    <row r="60" spans="1:10">
      <c r="A60" s="150">
        <v>58</v>
      </c>
      <c r="B60" s="146">
        <v>9</v>
      </c>
      <c r="C60" s="147" t="str">
        <f>'9'!N3</f>
        <v>Marco V.</v>
      </c>
      <c r="D60" s="151">
        <f>'9'!O3</f>
        <v>371</v>
      </c>
      <c r="E60" s="148">
        <f>'9'!P3</f>
        <v>173</v>
      </c>
      <c r="F60" s="148">
        <f>'9'!Q3</f>
        <v>130</v>
      </c>
      <c r="G60" s="148">
        <f>'9'!R3</f>
        <v>20</v>
      </c>
      <c r="H60" s="148">
        <f>'9'!S3</f>
        <v>48</v>
      </c>
      <c r="I60" s="148">
        <f>'9'!T3</f>
        <v>4</v>
      </c>
      <c r="J60" s="148" t="str">
        <f>'9'!U3</f>
        <v>Brazilië</v>
      </c>
    </row>
    <row r="61" spans="1:10">
      <c r="A61" s="149">
        <v>59</v>
      </c>
      <c r="B61" s="146">
        <v>87</v>
      </c>
      <c r="C61" s="147" t="str">
        <f>'87'!N3</f>
        <v>Glen S.</v>
      </c>
      <c r="D61" s="151">
        <f>'87'!O3</f>
        <v>369</v>
      </c>
      <c r="E61" s="148">
        <f>'87'!P3</f>
        <v>184</v>
      </c>
      <c r="F61" s="148">
        <f>'87'!Q3</f>
        <v>160</v>
      </c>
      <c r="G61" s="148">
        <f>'87'!R3</f>
        <v>10</v>
      </c>
      <c r="H61" s="148">
        <f>'87'!S3</f>
        <v>15</v>
      </c>
      <c r="I61" s="148">
        <f>'87'!T3</f>
        <v>2</v>
      </c>
      <c r="J61" s="148" t="str">
        <f>'87'!U3</f>
        <v>Brazilië</v>
      </c>
    </row>
    <row r="62" spans="1:10">
      <c r="A62" s="150">
        <v>60</v>
      </c>
      <c r="B62" s="146">
        <v>19</v>
      </c>
      <c r="C62" s="147" t="str">
        <f>'19'!N3</f>
        <v>Marcel B.</v>
      </c>
      <c r="D62" s="151">
        <f>'19'!O3</f>
        <v>369</v>
      </c>
      <c r="E62" s="148">
        <f>'19'!P3</f>
        <v>182</v>
      </c>
      <c r="F62" s="148">
        <f>'19'!Q3</f>
        <v>100</v>
      </c>
      <c r="G62" s="148">
        <f>'19'!R3</f>
        <v>60</v>
      </c>
      <c r="H62" s="148">
        <f>'19'!S3</f>
        <v>27</v>
      </c>
      <c r="I62" s="148">
        <f>'19'!T3</f>
        <v>5</v>
      </c>
      <c r="J62" s="148" t="str">
        <f>'19'!U3</f>
        <v>Duitsland</v>
      </c>
    </row>
    <row r="63" spans="1:10">
      <c r="A63" s="149">
        <v>61</v>
      </c>
      <c r="B63" s="146">
        <v>15</v>
      </c>
      <c r="C63" s="147" t="str">
        <f>'15'!N3</f>
        <v>Alex R. (introducee Sylvia)</v>
      </c>
      <c r="D63" s="151">
        <f>'15'!O3</f>
        <v>365</v>
      </c>
      <c r="E63" s="148">
        <f>'15'!P3</f>
        <v>188</v>
      </c>
      <c r="F63" s="148">
        <f>'15'!Q3</f>
        <v>130</v>
      </c>
      <c r="G63" s="148">
        <f>'15'!R3</f>
        <v>20</v>
      </c>
      <c r="H63" s="148">
        <f>'15'!S3</f>
        <v>27</v>
      </c>
      <c r="I63" s="148">
        <f>'15'!T3</f>
        <v>6</v>
      </c>
      <c r="J63" s="148" t="str">
        <f>'15'!U3</f>
        <v>Argentinië</v>
      </c>
    </row>
    <row r="64" spans="1:10">
      <c r="A64" s="150">
        <v>62</v>
      </c>
      <c r="B64" s="146">
        <v>65</v>
      </c>
      <c r="C64" s="147" t="str">
        <f>'65'!N3</f>
        <v>Wim D.</v>
      </c>
      <c r="D64" s="151">
        <f>'65'!O3</f>
        <v>365</v>
      </c>
      <c r="E64" s="148">
        <f>'65'!P3</f>
        <v>177</v>
      </c>
      <c r="F64" s="148">
        <f>'65'!Q3</f>
        <v>110</v>
      </c>
      <c r="G64" s="148">
        <f>'65'!R3</f>
        <v>30</v>
      </c>
      <c r="H64" s="148">
        <f>'65'!S3</f>
        <v>48</v>
      </c>
      <c r="I64" s="148">
        <f>'65'!T3</f>
        <v>3</v>
      </c>
      <c r="J64" s="148" t="str">
        <f>'65'!U3</f>
        <v>Nederland</v>
      </c>
    </row>
    <row r="65" spans="1:10">
      <c r="A65" s="149">
        <v>63</v>
      </c>
      <c r="B65" s="146">
        <v>85</v>
      </c>
      <c r="C65" s="147" t="str">
        <f>'85'!N3</f>
        <v>Emiel V.</v>
      </c>
      <c r="D65" s="151">
        <f>'85'!O3</f>
        <v>361</v>
      </c>
      <c r="E65" s="148">
        <f>'85'!P3</f>
        <v>157</v>
      </c>
      <c r="F65" s="148">
        <f>'85'!Q3</f>
        <v>160</v>
      </c>
      <c r="G65" s="148">
        <f>'85'!R3</f>
        <v>20</v>
      </c>
      <c r="H65" s="148">
        <f>'85'!S3</f>
        <v>24</v>
      </c>
      <c r="I65" s="148">
        <f>'85'!T3</f>
        <v>2</v>
      </c>
      <c r="J65" s="148" t="str">
        <f>'85'!U3</f>
        <v>Argentinië</v>
      </c>
    </row>
    <row r="66" spans="1:10">
      <c r="A66" s="150">
        <v>64</v>
      </c>
      <c r="B66" s="146">
        <v>79</v>
      </c>
      <c r="C66" s="147" t="str">
        <f>'79'!N3</f>
        <v>Patricia U.</v>
      </c>
      <c r="D66" s="151">
        <f>'79'!O3</f>
        <v>358</v>
      </c>
      <c r="E66" s="148">
        <f>'79'!P3</f>
        <v>194</v>
      </c>
      <c r="F66" s="148">
        <f>'79'!Q3</f>
        <v>130</v>
      </c>
      <c r="G66" s="148">
        <f>'79'!R3</f>
        <v>10</v>
      </c>
      <c r="H66" s="148">
        <f>'79'!S3</f>
        <v>24</v>
      </c>
      <c r="I66" s="148">
        <f>'79'!T3</f>
        <v>8</v>
      </c>
      <c r="J66" s="148" t="str">
        <f>'79'!U3</f>
        <v>Nederland</v>
      </c>
    </row>
    <row r="67" spans="1:10">
      <c r="A67" s="149">
        <v>65</v>
      </c>
      <c r="B67" s="146">
        <v>42</v>
      </c>
      <c r="C67" s="147" t="str">
        <f>'42'!N3</f>
        <v>René B.</v>
      </c>
      <c r="D67" s="151">
        <f>'42'!O3</f>
        <v>357</v>
      </c>
      <c r="E67" s="148">
        <f>'42'!P3</f>
        <v>177</v>
      </c>
      <c r="F67" s="148">
        <f>'42'!Q3</f>
        <v>140</v>
      </c>
      <c r="G67" s="148">
        <f>'42'!R3</f>
        <v>10</v>
      </c>
      <c r="H67" s="148">
        <f>'42'!S3</f>
        <v>30</v>
      </c>
      <c r="I67" s="148">
        <f>'42'!T3</f>
        <v>2</v>
      </c>
      <c r="J67" s="148" t="str">
        <f>'42'!U3</f>
        <v>Brazilië</v>
      </c>
    </row>
    <row r="68" spans="1:10">
      <c r="A68" s="150">
        <v>66</v>
      </c>
      <c r="B68" s="146">
        <v>2</v>
      </c>
      <c r="C68" s="147" t="str">
        <f>'2'!N3</f>
        <v>Margret N.</v>
      </c>
      <c r="D68" s="151">
        <f>'2'!O3</f>
        <v>353</v>
      </c>
      <c r="E68" s="148">
        <f>'2'!P3</f>
        <v>163</v>
      </c>
      <c r="F68" s="148">
        <f>'2'!Q3</f>
        <v>160</v>
      </c>
      <c r="G68" s="148">
        <f>'2'!R3</f>
        <v>15</v>
      </c>
      <c r="H68" s="148">
        <f>'2'!S3</f>
        <v>15</v>
      </c>
      <c r="I68" s="148">
        <f>'2'!T3</f>
        <v>3</v>
      </c>
      <c r="J68" s="148" t="str">
        <f>'2'!U3</f>
        <v>Nederland</v>
      </c>
    </row>
    <row r="69" spans="1:10">
      <c r="A69" s="149">
        <v>67</v>
      </c>
      <c r="B69" s="146">
        <v>81</v>
      </c>
      <c r="C69" s="147" t="str">
        <f>'81'!N3</f>
        <v>Stijn v. D.</v>
      </c>
      <c r="D69" s="151">
        <f>'81'!O3</f>
        <v>352</v>
      </c>
      <c r="E69" s="148">
        <f>'81'!P3</f>
        <v>180</v>
      </c>
      <c r="F69" s="148">
        <f>'81'!Q3</f>
        <v>110</v>
      </c>
      <c r="G69" s="148">
        <f>'81'!R3</f>
        <v>35</v>
      </c>
      <c r="H69" s="148">
        <f>'81'!S3</f>
        <v>27</v>
      </c>
      <c r="I69" s="148">
        <f>'81'!T3</f>
        <v>4</v>
      </c>
      <c r="J69" s="148" t="str">
        <f>'81'!U3</f>
        <v>Brazilië</v>
      </c>
    </row>
    <row r="70" spans="1:10">
      <c r="A70" s="150">
        <v>68</v>
      </c>
      <c r="B70" s="146">
        <v>84</v>
      </c>
      <c r="C70" s="147" t="str">
        <f>'84'!N3</f>
        <v>Rob F.</v>
      </c>
      <c r="D70" s="151">
        <f>'84'!O3</f>
        <v>351</v>
      </c>
      <c r="E70" s="148">
        <f>'84'!P3</f>
        <v>162</v>
      </c>
      <c r="F70" s="148">
        <f>'84'!Q3</f>
        <v>130</v>
      </c>
      <c r="G70" s="148">
        <f>'84'!R3</f>
        <v>35</v>
      </c>
      <c r="H70" s="148">
        <f>'84'!S3</f>
        <v>24</v>
      </c>
      <c r="I70" s="148">
        <f>'84'!T3</f>
        <v>1</v>
      </c>
      <c r="J70" s="148" t="str">
        <f>'84'!U3</f>
        <v>Brazilië</v>
      </c>
    </row>
    <row r="71" spans="1:10">
      <c r="A71" s="149">
        <v>69</v>
      </c>
      <c r="B71" s="146">
        <v>29</v>
      </c>
      <c r="C71" s="147" t="str">
        <f>'29'!N3</f>
        <v>Malrini</v>
      </c>
      <c r="D71" s="151">
        <f>'29'!O3</f>
        <v>350</v>
      </c>
      <c r="E71" s="148">
        <f>'29'!P3</f>
        <v>187</v>
      </c>
      <c r="F71" s="148">
        <f>'29'!Q3</f>
        <v>110</v>
      </c>
      <c r="G71" s="148">
        <f>'29'!R3</f>
        <v>5</v>
      </c>
      <c r="H71" s="148">
        <f>'29'!S3</f>
        <v>48</v>
      </c>
      <c r="I71" s="148">
        <f>'29'!T3</f>
        <v>4</v>
      </c>
      <c r="J71" s="148" t="str">
        <f>'29'!U3</f>
        <v>België</v>
      </c>
    </row>
    <row r="72" spans="1:10">
      <c r="A72" s="150">
        <v>70</v>
      </c>
      <c r="B72" s="146">
        <v>38</v>
      </c>
      <c r="C72" s="147" t="str">
        <f>'38'!N3</f>
        <v>Jacco S. (introducee Martin S.)</v>
      </c>
      <c r="D72" s="151">
        <f>'38'!O3</f>
        <v>349</v>
      </c>
      <c r="E72" s="148">
        <f>'38'!P3</f>
        <v>194</v>
      </c>
      <c r="F72" s="148">
        <f>'38'!Q3</f>
        <v>110</v>
      </c>
      <c r="G72" s="148">
        <f>'38'!R3</f>
        <v>15</v>
      </c>
      <c r="H72" s="148">
        <f>'38'!S3</f>
        <v>30</v>
      </c>
      <c r="I72" s="148">
        <f>'38'!T3</f>
        <v>5</v>
      </c>
      <c r="J72" s="148" t="str">
        <f>'38'!U3</f>
        <v>Brazilië</v>
      </c>
    </row>
    <row r="73" spans="1:10">
      <c r="A73" s="149">
        <v>71</v>
      </c>
      <c r="B73" s="146">
        <v>13</v>
      </c>
      <c r="C73" s="147" t="str">
        <f>'13'!N3</f>
        <v>Astrid vd B. (introducee Pascal)</v>
      </c>
      <c r="D73" s="151">
        <f>'13'!O3</f>
        <v>346</v>
      </c>
      <c r="E73" s="148">
        <f>'13'!P3</f>
        <v>198</v>
      </c>
      <c r="F73" s="148">
        <f>'13'!Q3</f>
        <v>70</v>
      </c>
      <c r="G73" s="148">
        <f>'13'!R3</f>
        <v>30</v>
      </c>
      <c r="H73" s="148">
        <f>'13'!S3</f>
        <v>48</v>
      </c>
      <c r="I73" s="148">
        <f>'13'!T3</f>
        <v>7</v>
      </c>
      <c r="J73" s="148" t="str">
        <f>'13'!U3</f>
        <v>Brazilië</v>
      </c>
    </row>
    <row r="74" spans="1:10">
      <c r="A74" s="150">
        <v>72</v>
      </c>
      <c r="B74" s="146">
        <v>94</v>
      </c>
      <c r="C74" s="147" t="str">
        <f>'94'!N3</f>
        <v>Jonas S. (introducee Robért)</v>
      </c>
      <c r="D74" s="151">
        <f>'94'!O3</f>
        <v>342</v>
      </c>
      <c r="E74" s="148">
        <f>'94'!P3</f>
        <v>180</v>
      </c>
      <c r="F74" s="148">
        <f>'94'!Q3</f>
        <v>120</v>
      </c>
      <c r="G74" s="148">
        <f>'94'!R3</f>
        <v>15</v>
      </c>
      <c r="H74" s="148">
        <f>'94'!S3</f>
        <v>27</v>
      </c>
      <c r="I74" s="148">
        <f>'94'!T3</f>
        <v>4</v>
      </c>
      <c r="J74" s="148" t="str">
        <f>'94'!U3</f>
        <v>Brazilië</v>
      </c>
    </row>
    <row r="75" spans="1:10">
      <c r="A75" s="149">
        <v>73</v>
      </c>
      <c r="B75" s="146">
        <v>76</v>
      </c>
      <c r="C75" s="147" t="str">
        <f>'76'!N3</f>
        <v>Radjesh S.</v>
      </c>
      <c r="D75" s="151">
        <f>'76'!O3</f>
        <v>340</v>
      </c>
      <c r="E75" s="148">
        <f>'76'!P3</f>
        <v>180</v>
      </c>
      <c r="F75" s="148">
        <f>'76'!Q3</f>
        <v>130</v>
      </c>
      <c r="G75" s="148">
        <f>'76'!R3</f>
        <v>0</v>
      </c>
      <c r="H75" s="148">
        <f>'76'!S3</f>
        <v>30</v>
      </c>
      <c r="I75" s="148">
        <f>'76'!T3</f>
        <v>5</v>
      </c>
      <c r="J75" s="148" t="str">
        <f>'76'!U3</f>
        <v>Engeland</v>
      </c>
    </row>
    <row r="76" spans="1:10">
      <c r="A76" s="150">
        <v>74</v>
      </c>
      <c r="B76" s="146">
        <v>80</v>
      </c>
      <c r="C76" s="147" t="str">
        <f>'80'!N3</f>
        <v>Ronald v. E.</v>
      </c>
      <c r="D76" s="151">
        <f>'80'!O3</f>
        <v>340</v>
      </c>
      <c r="E76" s="148">
        <f>'80'!P3</f>
        <v>188</v>
      </c>
      <c r="F76" s="148">
        <f>'80'!Q3</f>
        <v>110</v>
      </c>
      <c r="G76" s="148">
        <f>'80'!R3</f>
        <v>15</v>
      </c>
      <c r="H76" s="148">
        <f>'80'!S3</f>
        <v>27</v>
      </c>
      <c r="I76" s="148">
        <f>'80'!T3</f>
        <v>2</v>
      </c>
      <c r="J76" s="148" t="str">
        <f>'80'!U3</f>
        <v>Italië</v>
      </c>
    </row>
    <row r="77" spans="1:10">
      <c r="A77" s="149">
        <v>75</v>
      </c>
      <c r="B77" s="146">
        <v>93</v>
      </c>
      <c r="C77" s="147" t="str">
        <f>'93'!N3</f>
        <v>Robért S.</v>
      </c>
      <c r="D77" s="151">
        <f>'93'!O3</f>
        <v>338</v>
      </c>
      <c r="E77" s="148">
        <f>'93'!P3</f>
        <v>171</v>
      </c>
      <c r="F77" s="148">
        <f>'93'!Q3</f>
        <v>120</v>
      </c>
      <c r="G77" s="148">
        <f>'93'!R3</f>
        <v>20</v>
      </c>
      <c r="H77" s="148">
        <f>'93'!S3</f>
        <v>27</v>
      </c>
      <c r="I77" s="148">
        <f>'93'!T3</f>
        <v>3</v>
      </c>
      <c r="J77" s="148" t="str">
        <f>'93'!U3</f>
        <v>Argentinië</v>
      </c>
    </row>
    <row r="78" spans="1:10">
      <c r="A78" s="150">
        <v>76</v>
      </c>
      <c r="B78" s="146">
        <v>89</v>
      </c>
      <c r="C78" s="147" t="str">
        <f>'89'!N3</f>
        <v>Kees H. (introducee Thomas H.)</v>
      </c>
      <c r="D78" s="151">
        <f>'89'!O3</f>
        <v>337</v>
      </c>
      <c r="E78" s="148">
        <f>'89'!P3</f>
        <v>198</v>
      </c>
      <c r="F78" s="148">
        <f>'89'!Q3</f>
        <v>110</v>
      </c>
      <c r="G78" s="148">
        <f>'89'!R3</f>
        <v>5</v>
      </c>
      <c r="H78" s="148">
        <f>'89'!S3</f>
        <v>24</v>
      </c>
      <c r="I78" s="148">
        <f>'89'!T3</f>
        <v>5</v>
      </c>
      <c r="J78" s="148" t="str">
        <f>'89'!U3</f>
        <v>Brazilië</v>
      </c>
    </row>
    <row r="79" spans="1:10">
      <c r="A79" s="149">
        <v>77</v>
      </c>
      <c r="B79" s="146">
        <v>31</v>
      </c>
      <c r="C79" s="147" t="str">
        <f>'31'!N3</f>
        <v>Kay L.</v>
      </c>
      <c r="D79" s="151">
        <f>'31'!O3</f>
        <v>334</v>
      </c>
      <c r="E79" s="148">
        <f>'31'!P3</f>
        <v>182</v>
      </c>
      <c r="F79" s="148">
        <f>'31'!Q3</f>
        <v>110</v>
      </c>
      <c r="G79" s="148">
        <f>'31'!R3</f>
        <v>15</v>
      </c>
      <c r="H79" s="148">
        <f>'31'!S3</f>
        <v>27</v>
      </c>
      <c r="I79" s="148">
        <f>'31'!T3</f>
        <v>3</v>
      </c>
      <c r="J79" s="148" t="str">
        <f>'31'!U3</f>
        <v>Nederland</v>
      </c>
    </row>
    <row r="80" spans="1:10">
      <c r="A80" s="150">
        <v>78</v>
      </c>
      <c r="B80" s="146">
        <v>90</v>
      </c>
      <c r="C80" s="147" t="str">
        <f>'90'!N3</f>
        <v>Marjan V.</v>
      </c>
      <c r="D80" s="151">
        <f>'90'!O3</f>
        <v>334</v>
      </c>
      <c r="E80" s="148">
        <f>'90'!P3</f>
        <v>182</v>
      </c>
      <c r="F80" s="148">
        <f>'90'!Q3</f>
        <v>70</v>
      </c>
      <c r="G80" s="148">
        <f>'90'!R3</f>
        <v>55</v>
      </c>
      <c r="H80" s="148">
        <f>'90'!S3</f>
        <v>27</v>
      </c>
      <c r="I80" s="148">
        <f>'90'!T3</f>
        <v>6</v>
      </c>
      <c r="J80" s="148" t="str">
        <f>'90'!U3</f>
        <v>Duitsland</v>
      </c>
    </row>
    <row r="81" spans="1:11">
      <c r="A81" s="149">
        <v>79</v>
      </c>
      <c r="B81" s="146">
        <v>63</v>
      </c>
      <c r="C81" s="147" t="str">
        <f>'63'!N3</f>
        <v>Annelies J.</v>
      </c>
      <c r="D81" s="151">
        <f>'63'!O3</f>
        <v>333</v>
      </c>
      <c r="E81" s="148">
        <f>'63'!P3</f>
        <v>169</v>
      </c>
      <c r="F81" s="148">
        <f>'63'!Q3</f>
        <v>130</v>
      </c>
      <c r="G81" s="148">
        <f>'63'!R3</f>
        <v>10</v>
      </c>
      <c r="H81" s="148">
        <f>'63'!S3</f>
        <v>24</v>
      </c>
      <c r="I81" s="148">
        <f>'63'!T3</f>
        <v>6</v>
      </c>
      <c r="J81" s="148" t="str">
        <f>'63'!U3</f>
        <v>Brazilië</v>
      </c>
    </row>
    <row r="82" spans="1:11">
      <c r="A82" s="150">
        <v>80</v>
      </c>
      <c r="B82" s="146">
        <v>7</v>
      </c>
      <c r="C82" s="147" t="str">
        <f>'7'!N3</f>
        <v>Miranda v/d V</v>
      </c>
      <c r="D82" s="151">
        <f>'7'!O3</f>
        <v>333</v>
      </c>
      <c r="E82" s="148">
        <f>'7'!P3</f>
        <v>173</v>
      </c>
      <c r="F82" s="148">
        <f>'7'!Q3</f>
        <v>110</v>
      </c>
      <c r="G82" s="148">
        <f>'7'!R3</f>
        <v>20</v>
      </c>
      <c r="H82" s="148">
        <f>'7'!S3</f>
        <v>30</v>
      </c>
      <c r="I82" s="148">
        <f>'7'!T3</f>
        <v>2</v>
      </c>
      <c r="J82" s="148" t="str">
        <f>'7'!U3</f>
        <v>Engeland</v>
      </c>
    </row>
    <row r="83" spans="1:11">
      <c r="A83" s="149">
        <v>81</v>
      </c>
      <c r="B83" s="146">
        <v>83</v>
      </c>
      <c r="C83" s="147" t="str">
        <f>'83'!N3</f>
        <v>Miranda H.</v>
      </c>
      <c r="D83" s="151">
        <f>'83'!O3</f>
        <v>332</v>
      </c>
      <c r="E83" s="148">
        <f>'83'!P3</f>
        <v>186</v>
      </c>
      <c r="F83" s="148">
        <f>'83'!Q3</f>
        <v>120</v>
      </c>
      <c r="G83" s="148">
        <f>'83'!R3</f>
        <v>5</v>
      </c>
      <c r="H83" s="148">
        <f>'83'!S3</f>
        <v>21</v>
      </c>
      <c r="I83" s="148">
        <f>'83'!T3</f>
        <v>5</v>
      </c>
      <c r="J83" s="148" t="str">
        <f>'83'!U3</f>
        <v>Frankrijk</v>
      </c>
    </row>
    <row r="84" spans="1:11">
      <c r="A84" s="150">
        <v>82</v>
      </c>
      <c r="B84" s="146">
        <v>82</v>
      </c>
      <c r="C84" s="147" t="str">
        <f>'82'!N3</f>
        <v>René vd B.</v>
      </c>
      <c r="D84" s="151">
        <f>'82'!O3</f>
        <v>332</v>
      </c>
      <c r="E84" s="148">
        <f>'82'!P3</f>
        <v>188</v>
      </c>
      <c r="F84" s="148">
        <f>'82'!Q3</f>
        <v>110</v>
      </c>
      <c r="G84" s="148">
        <f>'82'!R3</f>
        <v>10</v>
      </c>
      <c r="H84" s="148">
        <f>'82'!S3</f>
        <v>24</v>
      </c>
      <c r="I84" s="148">
        <f>'82'!T3</f>
        <v>5</v>
      </c>
      <c r="J84" s="148" t="str">
        <f>'82'!U3</f>
        <v>Brazilië</v>
      </c>
    </row>
    <row r="85" spans="1:11">
      <c r="A85" s="149">
        <v>83</v>
      </c>
      <c r="B85" s="146">
        <v>33</v>
      </c>
      <c r="C85" s="147" t="str">
        <f>'33'!N3</f>
        <v>Kim B. (introducee Esther vd L.)</v>
      </c>
      <c r="D85" s="151">
        <f>'33'!O3</f>
        <v>325</v>
      </c>
      <c r="E85" s="148">
        <f>'33'!P3</f>
        <v>143</v>
      </c>
      <c r="F85" s="148">
        <f>'33'!Q3</f>
        <v>120</v>
      </c>
      <c r="G85" s="148">
        <f>'33'!R3</f>
        <v>35</v>
      </c>
      <c r="H85" s="148">
        <f>'33'!S3</f>
        <v>27</v>
      </c>
      <c r="I85" s="148">
        <f>'33'!T3</f>
        <v>3</v>
      </c>
      <c r="J85" s="148" t="str">
        <f>'33'!U3</f>
        <v>Brazilië</v>
      </c>
    </row>
    <row r="86" spans="1:11">
      <c r="A86" s="150">
        <v>84</v>
      </c>
      <c r="B86" s="146">
        <v>1</v>
      </c>
      <c r="C86" s="147" t="str">
        <f>'1'!N3</f>
        <v>Martin S.</v>
      </c>
      <c r="D86" s="151">
        <f>'1'!O3</f>
        <v>325</v>
      </c>
      <c r="E86" s="148">
        <f>'1'!P3</f>
        <v>165</v>
      </c>
      <c r="F86" s="148">
        <f>'1'!Q3</f>
        <v>110</v>
      </c>
      <c r="G86" s="148">
        <f>'1'!R3</f>
        <v>20</v>
      </c>
      <c r="H86" s="148">
        <f>'1'!S3</f>
        <v>30</v>
      </c>
      <c r="I86" s="148">
        <f>'1'!T3</f>
        <v>5</v>
      </c>
      <c r="J86" s="148" t="str">
        <f>'1'!U3</f>
        <v>Brazilië</v>
      </c>
    </row>
    <row r="87" spans="1:11">
      <c r="A87" s="149">
        <v>85</v>
      </c>
      <c r="B87" s="146">
        <v>77</v>
      </c>
      <c r="C87" s="147" t="str">
        <f>'77'!N3</f>
        <v>Yair S.</v>
      </c>
      <c r="D87" s="151">
        <f>'77'!O3</f>
        <v>309</v>
      </c>
      <c r="E87" s="148">
        <f>'77'!P3</f>
        <v>172</v>
      </c>
      <c r="F87" s="148">
        <f>'77'!Q3</f>
        <v>60</v>
      </c>
      <c r="G87" s="148">
        <f>'77'!R3</f>
        <v>65</v>
      </c>
      <c r="H87" s="148">
        <f>'77'!S3</f>
        <v>12</v>
      </c>
      <c r="I87" s="148">
        <f>'77'!T3</f>
        <v>3</v>
      </c>
      <c r="J87" s="148" t="str">
        <f>'77'!U3</f>
        <v>Duitsland</v>
      </c>
    </row>
    <row r="88" spans="1:11">
      <c r="A88" s="150">
        <v>86</v>
      </c>
      <c r="B88" s="146">
        <v>11</v>
      </c>
      <c r="C88" s="147" t="str">
        <f>'11'!N3</f>
        <v>Eric B.</v>
      </c>
      <c r="D88" s="151">
        <f>'11'!O3</f>
        <v>308</v>
      </c>
      <c r="E88" s="148">
        <f>'11'!P3</f>
        <v>167</v>
      </c>
      <c r="F88" s="148">
        <f>'11'!Q3</f>
        <v>100</v>
      </c>
      <c r="G88" s="148">
        <f>'11'!R3</f>
        <v>20</v>
      </c>
      <c r="H88" s="148">
        <f>'11'!S3</f>
        <v>21</v>
      </c>
      <c r="I88" s="148">
        <f>'11'!T3</f>
        <v>4</v>
      </c>
      <c r="J88" s="148" t="str">
        <f>'11'!U3</f>
        <v>Nederland</v>
      </c>
    </row>
    <row r="89" spans="1:11">
      <c r="A89" s="149">
        <v>87</v>
      </c>
      <c r="B89" s="146">
        <v>18</v>
      </c>
      <c r="C89" s="147" t="str">
        <f>'18'!N3</f>
        <v>Mariëlle de K.</v>
      </c>
      <c r="D89" s="151">
        <f>'18'!O3</f>
        <v>306</v>
      </c>
      <c r="E89" s="148">
        <f>'18'!P3</f>
        <v>174</v>
      </c>
      <c r="F89" s="148">
        <f>'18'!Q3</f>
        <v>90</v>
      </c>
      <c r="G89" s="148">
        <f>'18'!R3</f>
        <v>15</v>
      </c>
      <c r="H89" s="148">
        <f>'18'!S3</f>
        <v>27</v>
      </c>
      <c r="I89" s="148">
        <f>'18'!T3</f>
        <v>5</v>
      </c>
      <c r="J89" s="148" t="str">
        <f>'18'!U3</f>
        <v>Portugal</v>
      </c>
    </row>
    <row r="90" spans="1:11">
      <c r="A90" s="150">
        <v>88</v>
      </c>
      <c r="B90" s="146">
        <v>86</v>
      </c>
      <c r="C90" s="147" t="str">
        <f>'86'!N3</f>
        <v>Arnoud J.</v>
      </c>
      <c r="D90" s="151">
        <f>'86'!O3</f>
        <v>303</v>
      </c>
      <c r="E90" s="148">
        <f>'86'!P3</f>
        <v>175</v>
      </c>
      <c r="F90" s="148">
        <f>'86'!Q3</f>
        <v>90</v>
      </c>
      <c r="G90" s="148">
        <f>'86'!R3</f>
        <v>20</v>
      </c>
      <c r="H90" s="148">
        <f>'86'!S3</f>
        <v>18</v>
      </c>
      <c r="I90" s="148">
        <f>'86'!T3</f>
        <v>3</v>
      </c>
      <c r="J90" s="148" t="str">
        <f>'86'!U3</f>
        <v>Argentinië</v>
      </c>
    </row>
    <row r="91" spans="1:11">
      <c r="A91" s="149">
        <v>89</v>
      </c>
      <c r="B91" s="146">
        <v>6</v>
      </c>
      <c r="C91" s="147" t="str">
        <f>'6'!N3</f>
        <v>Daan V.</v>
      </c>
      <c r="D91" s="151">
        <f>'6'!O3</f>
        <v>300</v>
      </c>
      <c r="E91" s="148">
        <f>'6'!P3</f>
        <v>180</v>
      </c>
      <c r="F91" s="148">
        <f>'6'!Q3</f>
        <v>80</v>
      </c>
      <c r="G91" s="148">
        <f>'6'!R3</f>
        <v>10</v>
      </c>
      <c r="H91" s="148">
        <f>'6'!S3</f>
        <v>30</v>
      </c>
      <c r="I91" s="148">
        <f>'6'!T3</f>
        <v>6</v>
      </c>
      <c r="J91" s="148" t="str">
        <f>'6'!U3</f>
        <v>Nederland</v>
      </c>
    </row>
    <row r="92" spans="1:11">
      <c r="A92" s="150">
        <v>90</v>
      </c>
      <c r="B92" s="146">
        <v>67</v>
      </c>
      <c r="C92" s="147" t="str">
        <f>'67'!N3</f>
        <v>Bert vd S</v>
      </c>
      <c r="D92" s="151">
        <f>'67'!O3</f>
        <v>294</v>
      </c>
      <c r="E92" s="148">
        <f>'67'!P3</f>
        <v>140</v>
      </c>
      <c r="F92" s="148">
        <f>'67'!Q3</f>
        <v>120</v>
      </c>
      <c r="G92" s="148">
        <f>'67'!R3</f>
        <v>10</v>
      </c>
      <c r="H92" s="148">
        <f>'67'!S3</f>
        <v>24</v>
      </c>
      <c r="I92" s="148">
        <f>'67'!T3</f>
        <v>1</v>
      </c>
      <c r="J92" s="148" t="str">
        <f>'67'!U3</f>
        <v>Spanje</v>
      </c>
    </row>
    <row r="93" spans="1:11">
      <c r="A93" s="149">
        <v>91</v>
      </c>
      <c r="B93" s="146">
        <v>14</v>
      </c>
      <c r="C93" s="147" t="str">
        <f>'14'!N3</f>
        <v>Sylvia R.</v>
      </c>
      <c r="D93" s="151">
        <f>'14'!O3</f>
        <v>289</v>
      </c>
      <c r="E93" s="148">
        <f>'14'!P3</f>
        <v>162</v>
      </c>
      <c r="F93" s="148">
        <f>'14'!Q3</f>
        <v>90</v>
      </c>
      <c r="G93" s="148">
        <f>'14'!R3</f>
        <v>10</v>
      </c>
      <c r="H93" s="148">
        <f>'14'!S3</f>
        <v>27</v>
      </c>
      <c r="I93" s="148">
        <f>'14'!T3</f>
        <v>2</v>
      </c>
      <c r="J93" s="148" t="str">
        <f>'14'!U3</f>
        <v>Brazilië</v>
      </c>
    </row>
    <row r="94" spans="1:11">
      <c r="A94" s="150">
        <v>92</v>
      </c>
      <c r="B94" s="146">
        <v>58</v>
      </c>
      <c r="C94" s="147" t="str">
        <f>'58'!N3</f>
        <v>Kees K.</v>
      </c>
      <c r="D94" s="151">
        <f>'58'!O3</f>
        <v>286</v>
      </c>
      <c r="E94" s="148">
        <f>'58'!P3</f>
        <v>166</v>
      </c>
      <c r="F94" s="148">
        <f>'58'!Q3</f>
        <v>90</v>
      </c>
      <c r="G94" s="148">
        <f>'58'!R3</f>
        <v>0</v>
      </c>
      <c r="H94" s="148">
        <f>'58'!S3</f>
        <v>30</v>
      </c>
      <c r="I94" s="148">
        <f>'58'!T3</f>
        <v>5</v>
      </c>
      <c r="J94" s="148" t="str">
        <f>'58'!U3</f>
        <v>Spanje</v>
      </c>
    </row>
    <row r="95" spans="1:11">
      <c r="A95" s="149">
        <v>93</v>
      </c>
      <c r="B95" s="146">
        <v>71</v>
      </c>
      <c r="C95" s="147" t="str">
        <f>'71'!N3</f>
        <v>Sylvia W.</v>
      </c>
      <c r="D95" s="151">
        <f>'71'!O3</f>
        <v>282</v>
      </c>
      <c r="E95" s="148">
        <f>'71'!P3</f>
        <v>172</v>
      </c>
      <c r="F95" s="148">
        <f>'71'!Q3</f>
        <v>70</v>
      </c>
      <c r="G95" s="148">
        <f>'71'!R3</f>
        <v>10</v>
      </c>
      <c r="H95" s="148">
        <f>'71'!S3</f>
        <v>30</v>
      </c>
      <c r="I95" s="148">
        <f>'71'!T3</f>
        <v>7</v>
      </c>
      <c r="J95" s="148" t="str">
        <f>'71'!U3</f>
        <v>Nederland</v>
      </c>
      <c r="K95" s="352"/>
    </row>
    <row r="96" spans="1:11">
      <c r="A96" s="150">
        <v>94</v>
      </c>
      <c r="B96" s="146">
        <v>36</v>
      </c>
      <c r="C96" s="147" t="str">
        <f>'36'!N3</f>
        <v>Sabine O.</v>
      </c>
      <c r="D96" s="151">
        <f>'36'!O3</f>
        <v>266</v>
      </c>
      <c r="E96" s="148">
        <f>'36'!P3</f>
        <v>143</v>
      </c>
      <c r="F96" s="148">
        <f>'36'!Q3</f>
        <v>90</v>
      </c>
      <c r="G96" s="148">
        <f>'36'!R3</f>
        <v>15</v>
      </c>
      <c r="H96" s="148">
        <f>'36'!S3</f>
        <v>18</v>
      </c>
      <c r="I96" s="148">
        <f>'36'!T3</f>
        <v>4</v>
      </c>
      <c r="J96" s="148" t="str">
        <f>'36'!U3</f>
        <v>Argentinië</v>
      </c>
      <c r="K96" s="352"/>
    </row>
    <row r="97" spans="1:3" hidden="1">
      <c r="A97" s="149">
        <v>95</v>
      </c>
      <c r="B97" s="146">
        <v>95</v>
      </c>
      <c r="C97" s="147">
        <f>'87'!N11</f>
        <v>0</v>
      </c>
    </row>
    <row r="98" spans="1:3" hidden="1">
      <c r="A98" s="149">
        <v>96</v>
      </c>
      <c r="B98" s="146">
        <v>96</v>
      </c>
      <c r="C98" s="147">
        <f>'88'!N11</f>
        <v>0</v>
      </c>
    </row>
    <row r="99" spans="1:3" hidden="1">
      <c r="A99" s="149">
        <v>97</v>
      </c>
      <c r="B99" s="146">
        <v>97</v>
      </c>
      <c r="C99" s="147">
        <f>'87'!N13</f>
        <v>0</v>
      </c>
    </row>
    <row r="100" spans="1:3" hidden="1">
      <c r="A100" s="149">
        <v>98</v>
      </c>
      <c r="B100" s="146">
        <v>98</v>
      </c>
      <c r="C100" s="147">
        <f>'88'!N13</f>
        <v>0</v>
      </c>
    </row>
    <row r="101" spans="1:3" hidden="1">
      <c r="A101" s="149">
        <v>99</v>
      </c>
      <c r="B101" s="146">
        <v>99</v>
      </c>
      <c r="C101" s="147">
        <f>'87'!N15</f>
        <v>0</v>
      </c>
    </row>
    <row r="102" spans="1:3" hidden="1">
      <c r="A102" s="149">
        <v>100</v>
      </c>
      <c r="B102" s="146">
        <v>100</v>
      </c>
      <c r="C102" s="147">
        <f>'88'!N15</f>
        <v>0</v>
      </c>
    </row>
  </sheetData>
  <sortState ref="B2:J96">
    <sortCondition descending="1" ref="D2:D96"/>
    <sortCondition ref="C2:C96"/>
  </sortState>
  <phoneticPr fontId="24" type="noConversion"/>
  <pageMargins left="0.7" right="0.7" top="0.75" bottom="0.75" header="0.3" footer="0.3"/>
  <pageSetup paperSize="9"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B1:BB98"/>
  <sheetViews>
    <sheetView topLeftCell="A49" zoomScale="70" zoomScaleNormal="70" workbookViewId="0">
      <selection activeCell="P58" sqref="P58:T68"/>
    </sheetView>
  </sheetViews>
  <sheetFormatPr defaultRowHeight="15" outlineLevelCol="2"/>
  <cols>
    <col min="1" max="1" width="3.42578125" customWidth="1"/>
    <col min="2" max="2" width="3.5703125" bestFit="1" customWidth="1"/>
    <col min="3" max="3" width="11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145" t="s">
        <v>259</v>
      </c>
      <c r="E3" s="145"/>
      <c r="F3" s="145"/>
      <c r="N3" t="str">
        <f>D3</f>
        <v>Irma</v>
      </c>
      <c r="O3" s="144">
        <f>SUM(P3:S3)</f>
        <v>385</v>
      </c>
      <c r="P3" s="109">
        <f>SUM(Y8:Y86)</f>
        <v>215</v>
      </c>
      <c r="Q3" s="109">
        <f>SUM(AM4:AM55)</f>
        <v>150</v>
      </c>
      <c r="R3" s="109">
        <f>SUM(AP89:AP92)</f>
        <v>5</v>
      </c>
      <c r="S3" s="109">
        <f>SUM(BB58:BB69)</f>
        <v>15</v>
      </c>
      <c r="T3" s="109">
        <f>COUNTIF(AF8:AF86,10)</f>
        <v>8</v>
      </c>
      <c r="U3" s="109" t="str">
        <f>E89</f>
        <v>Japan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1"/>
      <c r="L6" s="1"/>
      <c r="O6" s="40"/>
      <c r="P6" s="41"/>
      <c r="Q6" s="41"/>
      <c r="R6" s="41"/>
      <c r="S6" s="41"/>
      <c r="T6" s="41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66" t="s">
        <v>1</v>
      </c>
      <c r="C7" s="67" t="s">
        <v>2</v>
      </c>
      <c r="D7" s="226" t="s">
        <v>3</v>
      </c>
      <c r="E7" s="69"/>
      <c r="F7" s="227" t="s">
        <v>4</v>
      </c>
      <c r="G7" s="880" t="s">
        <v>5</v>
      </c>
      <c r="H7" s="881"/>
      <c r="I7" s="882"/>
      <c r="J7" s="71" t="s">
        <v>6</v>
      </c>
      <c r="K7" s="4" t="s">
        <v>7</v>
      </c>
      <c r="L7" s="4" t="s">
        <v>7</v>
      </c>
      <c r="O7" s="1"/>
      <c r="P7" s="41"/>
      <c r="Q7" s="41"/>
      <c r="R7" s="41"/>
      <c r="S7" s="41"/>
      <c r="T7" s="41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5">
        <v>1</v>
      </c>
      <c r="C8" s="6">
        <v>41802</v>
      </c>
      <c r="D8" s="7" t="s">
        <v>8</v>
      </c>
      <c r="E8" s="8" t="s">
        <v>9</v>
      </c>
      <c r="F8" s="9" t="s">
        <v>10</v>
      </c>
      <c r="G8" s="84">
        <v>3</v>
      </c>
      <c r="H8" s="8" t="s">
        <v>9</v>
      </c>
      <c r="I8" s="224">
        <v>1</v>
      </c>
      <c r="J8" s="10">
        <f t="shared" ref="J8:J55" si="0">IF(I8="","",IF(G8&gt;I8,1,IF(G8&lt;I8,2,3)))</f>
        <v>1</v>
      </c>
      <c r="K8" s="11">
        <f t="shared" ref="K8:K55" si="1">IF(I8="","",IF($G8&gt;$I8,3,IF($G8=$I8,1,0)))</f>
        <v>3</v>
      </c>
      <c r="L8" s="11">
        <f t="shared" ref="L8:L55" si="2">IF(I8="","",IF($G8&lt;$I8,3,IF($G8=$I8,1,0)))</f>
        <v>0</v>
      </c>
      <c r="O8" s="72" t="s">
        <v>41</v>
      </c>
      <c r="P8" s="73" t="s">
        <v>42</v>
      </c>
      <c r="Q8" s="73" t="s">
        <v>43</v>
      </c>
      <c r="R8" s="74" t="s">
        <v>44</v>
      </c>
      <c r="S8" s="75" t="s">
        <v>45</v>
      </c>
      <c r="T8" s="76" t="s">
        <v>46</v>
      </c>
      <c r="U8" s="40"/>
      <c r="V8" s="40"/>
      <c r="W8" s="40"/>
      <c r="Y8" s="109">
        <f>AF8</f>
        <v>10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10</v>
      </c>
      <c r="AG8" s="108">
        <f t="shared" ref="AG8:AG55" si="3">IF(AC8="",0,(IF(G8=AC8,1,0)))</f>
        <v>1</v>
      </c>
      <c r="AH8" s="108">
        <f t="shared" ref="AH8:AH55" si="4">IF(AD8="",0,(IF(I8=AD8,1,0)))</f>
        <v>1</v>
      </c>
      <c r="AI8" s="108">
        <f>IF(AND(AG8=1,AH8=1),10,0)</f>
        <v>10</v>
      </c>
      <c r="AJ8" s="108">
        <f t="shared" ref="AJ8:AJ55" si="5">IF(AND(G8&gt;I8,AC8&gt;AD8),5,0)</f>
        <v>5</v>
      </c>
      <c r="AK8" s="108">
        <f t="shared" ref="AK8:AK55" si="6">IF(AND(G8&lt;I8,AC8&lt;AD8),5,0)</f>
        <v>0</v>
      </c>
      <c r="AL8" s="108">
        <f t="shared" ref="AL8:AL55" si="7">IF(AND(G8=I8,AC8=AD8),5,0)</f>
        <v>0</v>
      </c>
      <c r="AN8" s="42" t="s">
        <v>41</v>
      </c>
      <c r="AO8" s="43" t="s">
        <v>46</v>
      </c>
    </row>
    <row r="9" spans="2:54" ht="15.75" thickBot="1">
      <c r="B9" s="12">
        <v>2</v>
      </c>
      <c r="C9" s="13">
        <v>41803</v>
      </c>
      <c r="D9" s="14" t="s">
        <v>11</v>
      </c>
      <c r="E9" s="15" t="s">
        <v>9</v>
      </c>
      <c r="F9" s="16" t="s">
        <v>12</v>
      </c>
      <c r="G9" s="85">
        <v>2</v>
      </c>
      <c r="H9" s="15" t="s">
        <v>9</v>
      </c>
      <c r="I9" s="90">
        <v>1</v>
      </c>
      <c r="J9" s="17">
        <f t="shared" si="0"/>
        <v>1</v>
      </c>
      <c r="K9" s="11">
        <f t="shared" si="1"/>
        <v>3</v>
      </c>
      <c r="L9" s="11">
        <f t="shared" si="2"/>
        <v>0</v>
      </c>
      <c r="O9" s="44" t="s">
        <v>8</v>
      </c>
      <c r="P9" s="45">
        <f>SUMIF($D$8:$D$55,$O9,$G$8:$G$55)+SUMIF($F$8:$F$55,$O9,$I$8:$I$55)</f>
        <v>7</v>
      </c>
      <c r="Q9" s="45">
        <f>SUMIF($D$8:$D$55,$O9,$I$8:$I$55)+SUMIF($F$8:$F$55,$O9,$G$8:$G$55)</f>
        <v>3</v>
      </c>
      <c r="R9" s="46">
        <f>P9-Q9</f>
        <v>4</v>
      </c>
      <c r="S9" s="47">
        <f>SUMIF($D$8:$D$55,$O9,$K$8:$K$55)+SUMIF($F$8:$F$55,$O9,$L$8:$L$55)</f>
        <v>7</v>
      </c>
      <c r="T9" s="94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5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5</v>
      </c>
      <c r="AG9" s="108">
        <f t="shared" si="3"/>
        <v>0</v>
      </c>
      <c r="AH9" s="108">
        <f t="shared" si="4"/>
        <v>0</v>
      </c>
      <c r="AI9" s="108">
        <f t="shared" ref="AI9:AI55" si="10">IF(AND(AG9=1,AH9=1),10,0)</f>
        <v>0</v>
      </c>
      <c r="AJ9" s="108">
        <f t="shared" si="5"/>
        <v>5</v>
      </c>
      <c r="AK9" s="108">
        <f t="shared" si="6"/>
        <v>0</v>
      </c>
      <c r="AL9" s="108">
        <f t="shared" si="7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18">
        <v>3</v>
      </c>
      <c r="C10" s="19">
        <v>41803</v>
      </c>
      <c r="D10" s="20" t="s">
        <v>13</v>
      </c>
      <c r="E10" s="21" t="s">
        <v>9</v>
      </c>
      <c r="F10" s="22" t="s">
        <v>14</v>
      </c>
      <c r="G10" s="86">
        <v>2</v>
      </c>
      <c r="H10" s="21" t="s">
        <v>9</v>
      </c>
      <c r="I10" s="91">
        <v>3</v>
      </c>
      <c r="J10" s="23">
        <f t="shared" si="0"/>
        <v>2</v>
      </c>
      <c r="K10" s="11">
        <f t="shared" si="1"/>
        <v>0</v>
      </c>
      <c r="L10" s="11">
        <f t="shared" si="2"/>
        <v>3</v>
      </c>
      <c r="O10" s="48" t="s">
        <v>10</v>
      </c>
      <c r="P10" s="49">
        <f>SUMIF($D$8:$D$55,$O10,$G$8:$G$55)+SUMIF($F$8:$F$55,$O10,$I$8:$I$55)</f>
        <v>2</v>
      </c>
      <c r="Q10" s="49">
        <f>SUMIF($D$8:$D$55,$O10,$I$8:$I$55)+SUMIF($F$8:$F$55,$O10,$G$8:$G$55)</f>
        <v>5</v>
      </c>
      <c r="R10" s="49">
        <f>P10-Q10</f>
        <v>-3</v>
      </c>
      <c r="S10" s="50">
        <f>SUMIF($D$8:$D$55,$O10,$K$8:$K$55)+SUMIF($F$8:$F$55,$O10,$L$8:$L$55)</f>
        <v>1</v>
      </c>
      <c r="T10" s="95" t="s">
        <v>47</v>
      </c>
      <c r="U10" s="40"/>
      <c r="V10" s="40" t="str">
        <f>O10</f>
        <v>Kroatië</v>
      </c>
      <c r="W10" s="40" t="s">
        <v>49</v>
      </c>
      <c r="Y10" s="109">
        <f t="shared" si="8"/>
        <v>5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5</v>
      </c>
      <c r="AG10" s="108">
        <f t="shared" si="3"/>
        <v>0</v>
      </c>
      <c r="AH10" s="108">
        <f t="shared" si="4"/>
        <v>0</v>
      </c>
      <c r="AI10" s="108">
        <f t="shared" si="10"/>
        <v>0</v>
      </c>
      <c r="AJ10" s="108">
        <f t="shared" si="5"/>
        <v>0</v>
      </c>
      <c r="AK10" s="108">
        <f t="shared" si="6"/>
        <v>5</v>
      </c>
      <c r="AL10" s="108">
        <f t="shared" si="7"/>
        <v>0</v>
      </c>
      <c r="AM10" s="120">
        <f>AO10</f>
        <v>10</v>
      </c>
      <c r="AN10" s="117" t="s">
        <v>10</v>
      </c>
      <c r="AO10" s="115">
        <f>IF(Uitslag!T10="",0,IF(T10=Uitslag!T10,10,0))</f>
        <v>10</v>
      </c>
    </row>
    <row r="11" spans="2:54" ht="15.75" thickBot="1">
      <c r="B11" s="24">
        <v>4</v>
      </c>
      <c r="C11" s="25">
        <v>41803</v>
      </c>
      <c r="D11" s="26" t="s">
        <v>15</v>
      </c>
      <c r="E11" s="27" t="s">
        <v>9</v>
      </c>
      <c r="F11" s="28" t="s">
        <v>16</v>
      </c>
      <c r="G11" s="87">
        <v>1</v>
      </c>
      <c r="H11" s="27" t="s">
        <v>9</v>
      </c>
      <c r="I11" s="92">
        <v>1</v>
      </c>
      <c r="J11" s="29">
        <f t="shared" si="0"/>
        <v>3</v>
      </c>
      <c r="K11" s="11">
        <f t="shared" si="1"/>
        <v>1</v>
      </c>
      <c r="L11" s="11">
        <f t="shared" si="2"/>
        <v>1</v>
      </c>
      <c r="O11" s="48" t="s">
        <v>11</v>
      </c>
      <c r="P11" s="49">
        <f>SUMIF($D$8:$D$55,$O11,$G$8:$G$55)+SUMIF($F$8:$F$55,$O11,$I$8:$I$55)</f>
        <v>4</v>
      </c>
      <c r="Q11" s="49">
        <f>SUMIF($D$8:$D$55,$O11,$I$8:$I$55)+SUMIF($F$8:$F$55,$O11,$G$8:$G$55)</f>
        <v>2</v>
      </c>
      <c r="R11" s="49">
        <f>P11-Q11</f>
        <v>2</v>
      </c>
      <c r="S11" s="50">
        <f>SUMIF($D$8:$D$55,$O11,$K$8:$K$55)+SUMIF($F$8:$F$55,$O11,$L$8:$L$55)</f>
        <v>7</v>
      </c>
      <c r="T11" s="95" t="s">
        <v>49</v>
      </c>
      <c r="U11" s="40"/>
      <c r="V11" s="40" t="str">
        <f>O11</f>
        <v>Mexico</v>
      </c>
      <c r="W11" s="40" t="s">
        <v>47</v>
      </c>
      <c r="Y11" s="109">
        <f t="shared" si="8"/>
        <v>1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1</v>
      </c>
      <c r="AG11" s="108">
        <f t="shared" si="3"/>
        <v>0</v>
      </c>
      <c r="AH11" s="108">
        <f t="shared" si="4"/>
        <v>1</v>
      </c>
      <c r="AI11" s="108">
        <f t="shared" si="10"/>
        <v>0</v>
      </c>
      <c r="AJ11" s="108">
        <f t="shared" si="5"/>
        <v>0</v>
      </c>
      <c r="AK11" s="108">
        <f t="shared" si="6"/>
        <v>0</v>
      </c>
      <c r="AL11" s="108">
        <f t="shared" si="7"/>
        <v>0</v>
      </c>
      <c r="AM11" s="120">
        <f>AO11</f>
        <v>10</v>
      </c>
      <c r="AN11" s="117" t="s">
        <v>11</v>
      </c>
      <c r="AO11" s="115">
        <f>IF(Uitslag!T11="",0,IF(T11=Uitslag!T11,10,0))</f>
        <v>10</v>
      </c>
    </row>
    <row r="12" spans="2:54" ht="15.75" thickBot="1">
      <c r="B12" s="12">
        <v>5</v>
      </c>
      <c r="C12" s="13">
        <v>41804</v>
      </c>
      <c r="D12" s="14" t="s">
        <v>17</v>
      </c>
      <c r="E12" s="15" t="s">
        <v>9</v>
      </c>
      <c r="F12" s="16" t="s">
        <v>18</v>
      </c>
      <c r="G12" s="85">
        <v>0</v>
      </c>
      <c r="H12" s="15" t="s">
        <v>9</v>
      </c>
      <c r="I12" s="90">
        <v>1</v>
      </c>
      <c r="J12" s="17">
        <f t="shared" si="0"/>
        <v>2</v>
      </c>
      <c r="K12" s="11">
        <f t="shared" si="1"/>
        <v>0</v>
      </c>
      <c r="L12" s="11">
        <f t="shared" si="2"/>
        <v>3</v>
      </c>
      <c r="O12" s="51" t="s">
        <v>12</v>
      </c>
      <c r="P12" s="52">
        <f>SUMIF($D$8:$D$55,$O12,$G$8:$G$55)+SUMIF($F$8:$F$55,$O12,$I$8:$I$55)</f>
        <v>3</v>
      </c>
      <c r="Q12" s="52">
        <f>SUMIF($D$8:$D$55,$O12,$I$8:$I$55)+SUMIF($F$8:$F$55,$O12,$G$8:$G$55)</f>
        <v>6</v>
      </c>
      <c r="R12" s="52">
        <f>P12-Q12</f>
        <v>-3</v>
      </c>
      <c r="S12" s="53">
        <f>SUMIF($D$8:$D$55,$O12,$K$8:$K$55)+SUMIF($F$8:$F$55,$O12,$L$8:$L$55)</f>
        <v>1</v>
      </c>
      <c r="T12" s="96" t="s">
        <v>50</v>
      </c>
      <c r="U12" s="40"/>
      <c r="V12" s="40" t="str">
        <f>O12</f>
        <v>Kameroen</v>
      </c>
      <c r="W12" s="40" t="s">
        <v>50</v>
      </c>
      <c r="Y12" s="109">
        <f t="shared" si="8"/>
        <v>0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0</v>
      </c>
      <c r="AG12" s="108">
        <f t="shared" si="3"/>
        <v>0</v>
      </c>
      <c r="AH12" s="108">
        <f t="shared" si="4"/>
        <v>0</v>
      </c>
      <c r="AI12" s="108">
        <f t="shared" si="10"/>
        <v>0</v>
      </c>
      <c r="AJ12" s="108">
        <f t="shared" si="5"/>
        <v>0</v>
      </c>
      <c r="AK12" s="108">
        <f t="shared" si="6"/>
        <v>0</v>
      </c>
      <c r="AL12" s="108">
        <f t="shared" si="7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18">
        <v>6</v>
      </c>
      <c r="C13" s="19">
        <v>41804</v>
      </c>
      <c r="D13" s="20" t="s">
        <v>19</v>
      </c>
      <c r="E13" s="21" t="s">
        <v>9</v>
      </c>
      <c r="F13" s="30" t="s">
        <v>20</v>
      </c>
      <c r="G13" s="86">
        <v>1</v>
      </c>
      <c r="H13" s="21" t="s">
        <v>9</v>
      </c>
      <c r="I13" s="91">
        <v>1</v>
      </c>
      <c r="J13" s="23">
        <f t="shared" si="0"/>
        <v>3</v>
      </c>
      <c r="K13" s="11">
        <f t="shared" si="1"/>
        <v>1</v>
      </c>
      <c r="L13" s="11">
        <f t="shared" si="2"/>
        <v>1</v>
      </c>
      <c r="O13" s="40"/>
      <c r="P13" s="41"/>
      <c r="Q13" s="41"/>
      <c r="R13" s="41"/>
      <c r="S13" s="41"/>
      <c r="T13" s="41"/>
      <c r="U13" s="40"/>
      <c r="V13" s="40"/>
      <c r="W13" s="40"/>
      <c r="Y13" s="109">
        <f t="shared" si="8"/>
        <v>1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1</v>
      </c>
      <c r="AG13" s="108">
        <f t="shared" si="3"/>
        <v>1</v>
      </c>
      <c r="AH13" s="108">
        <f t="shared" si="4"/>
        <v>0</v>
      </c>
      <c r="AI13" s="108">
        <f t="shared" si="10"/>
        <v>0</v>
      </c>
      <c r="AJ13" s="108">
        <f t="shared" si="5"/>
        <v>0</v>
      </c>
      <c r="AK13" s="108">
        <f t="shared" si="6"/>
        <v>0</v>
      </c>
      <c r="AL13" s="108">
        <f t="shared" si="7"/>
        <v>0</v>
      </c>
      <c r="AN13" s="40"/>
      <c r="AO13" s="41"/>
    </row>
    <row r="14" spans="2:54" ht="15.75" thickBot="1">
      <c r="B14" s="18">
        <v>7</v>
      </c>
      <c r="C14" s="19">
        <v>41804</v>
      </c>
      <c r="D14" s="20" t="s">
        <v>21</v>
      </c>
      <c r="E14" s="21" t="s">
        <v>9</v>
      </c>
      <c r="F14" s="30" t="s">
        <v>22</v>
      </c>
      <c r="G14" s="86">
        <v>2</v>
      </c>
      <c r="H14" s="21" t="s">
        <v>9</v>
      </c>
      <c r="I14" s="91">
        <v>2</v>
      </c>
      <c r="J14" s="23">
        <f t="shared" si="0"/>
        <v>3</v>
      </c>
      <c r="K14" s="11">
        <f t="shared" si="1"/>
        <v>1</v>
      </c>
      <c r="L14" s="11">
        <f t="shared" si="2"/>
        <v>1</v>
      </c>
      <c r="O14" s="72" t="s">
        <v>51</v>
      </c>
      <c r="P14" s="73" t="s">
        <v>42</v>
      </c>
      <c r="Q14" s="73" t="s">
        <v>43</v>
      </c>
      <c r="R14" s="74" t="s">
        <v>44</v>
      </c>
      <c r="S14" s="75" t="s">
        <v>45</v>
      </c>
      <c r="T14" s="76" t="s">
        <v>46</v>
      </c>
      <c r="U14" s="40"/>
      <c r="V14" s="40"/>
      <c r="W14" s="40"/>
      <c r="Y14" s="109">
        <f t="shared" si="8"/>
        <v>1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</v>
      </c>
      <c r="AG14" s="108">
        <f t="shared" si="3"/>
        <v>0</v>
      </c>
      <c r="AH14" s="108">
        <f t="shared" si="4"/>
        <v>1</v>
      </c>
      <c r="AI14" s="108">
        <f t="shared" si="10"/>
        <v>0</v>
      </c>
      <c r="AJ14" s="108">
        <f t="shared" si="5"/>
        <v>0</v>
      </c>
      <c r="AK14" s="108">
        <f t="shared" si="6"/>
        <v>0</v>
      </c>
      <c r="AL14" s="108">
        <f t="shared" si="7"/>
        <v>0</v>
      </c>
      <c r="AN14" s="42" t="s">
        <v>51</v>
      </c>
      <c r="AO14" s="43" t="s">
        <v>46</v>
      </c>
    </row>
    <row r="15" spans="2:54" ht="15.75" thickBot="1">
      <c r="B15" s="24">
        <v>8</v>
      </c>
      <c r="C15" s="25">
        <v>41804</v>
      </c>
      <c r="D15" s="26" t="s">
        <v>23</v>
      </c>
      <c r="E15" s="27" t="s">
        <v>9</v>
      </c>
      <c r="F15" s="28" t="s">
        <v>24</v>
      </c>
      <c r="G15" s="87">
        <v>1</v>
      </c>
      <c r="H15" s="27" t="s">
        <v>9</v>
      </c>
      <c r="I15" s="92">
        <v>3</v>
      </c>
      <c r="J15" s="29">
        <f t="shared" si="0"/>
        <v>2</v>
      </c>
      <c r="K15" s="11">
        <f t="shared" si="1"/>
        <v>0</v>
      </c>
      <c r="L15" s="11">
        <f t="shared" si="2"/>
        <v>3</v>
      </c>
      <c r="O15" s="44" t="s">
        <v>13</v>
      </c>
      <c r="P15" s="45">
        <f>SUMIF($D$8:$D$55,$O15,$G$8:$G$55)+SUMIF($F$8:$F$55,$O15,$I$8:$I$55)</f>
        <v>5</v>
      </c>
      <c r="Q15" s="45">
        <f>SUMIF($D$8:$D$55,$O15,$I$8:$I$55)+SUMIF($F$8:$F$55,$O15,$G$8:$G$55)</f>
        <v>5</v>
      </c>
      <c r="R15" s="46">
        <f>P15-Q15</f>
        <v>0</v>
      </c>
      <c r="S15" s="47">
        <f>SUMIF($D$8:$D$55,$O15,$K$8:$K$55)+SUMIF($F$8:$F$55,$O15,$L$8:$L$55)</f>
        <v>4</v>
      </c>
      <c r="T15" s="94" t="s">
        <v>53</v>
      </c>
      <c r="U15" s="40"/>
      <c r="V15" s="40" t="str">
        <f>O15</f>
        <v>Spanje</v>
      </c>
      <c r="W15" s="40" t="s">
        <v>52</v>
      </c>
      <c r="Y15" s="109">
        <f t="shared" si="8"/>
        <v>0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0</v>
      </c>
      <c r="AG15" s="108">
        <f t="shared" si="3"/>
        <v>0</v>
      </c>
      <c r="AH15" s="108">
        <f t="shared" si="4"/>
        <v>0</v>
      </c>
      <c r="AI15" s="108">
        <f t="shared" si="10"/>
        <v>0</v>
      </c>
      <c r="AJ15" s="108">
        <f t="shared" si="5"/>
        <v>0</v>
      </c>
      <c r="AK15" s="108">
        <f t="shared" si="6"/>
        <v>0</v>
      </c>
      <c r="AL15" s="108">
        <f t="shared" si="7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12">
        <v>9</v>
      </c>
      <c r="C16" s="13">
        <v>41805</v>
      </c>
      <c r="D16" s="14" t="s">
        <v>25</v>
      </c>
      <c r="E16" s="15" t="s">
        <v>9</v>
      </c>
      <c r="F16" s="16" t="s">
        <v>26</v>
      </c>
      <c r="G16" s="85">
        <v>2</v>
      </c>
      <c r="H16" s="15" t="s">
        <v>9</v>
      </c>
      <c r="I16" s="90">
        <v>1</v>
      </c>
      <c r="J16" s="17">
        <f t="shared" si="0"/>
        <v>1</v>
      </c>
      <c r="K16" s="11">
        <f t="shared" si="1"/>
        <v>3</v>
      </c>
      <c r="L16" s="11">
        <f t="shared" si="2"/>
        <v>0</v>
      </c>
      <c r="O16" s="54" t="s">
        <v>14</v>
      </c>
      <c r="P16" s="49">
        <f>SUMIF($D$8:$D$55,$O16,$G$8:$G$55)+SUMIF($F$8:$F$55,$O16,$I$8:$I$55)</f>
        <v>8</v>
      </c>
      <c r="Q16" s="49">
        <f>SUMIF($D$8:$D$55,$O16,$I$8:$I$55)+SUMIF($F$8:$F$55,$O16,$G$8:$G$55)</f>
        <v>4</v>
      </c>
      <c r="R16" s="49">
        <f>P16-Q16</f>
        <v>4</v>
      </c>
      <c r="S16" s="50">
        <f>SUMIF($D$8:$D$55,$O16,$K$8:$K$55)+SUMIF($F$8:$F$55,$O16,$L$8:$L$55)</f>
        <v>9</v>
      </c>
      <c r="T16" s="95" t="s">
        <v>52</v>
      </c>
      <c r="U16" s="40"/>
      <c r="V16" s="40" t="str">
        <f>O16</f>
        <v>Nederland</v>
      </c>
      <c r="W16" s="40" t="s">
        <v>53</v>
      </c>
      <c r="Y16" s="109">
        <f t="shared" si="8"/>
        <v>10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10</v>
      </c>
      <c r="AG16" s="108">
        <f t="shared" si="3"/>
        <v>1</v>
      </c>
      <c r="AH16" s="108">
        <f t="shared" si="4"/>
        <v>1</v>
      </c>
      <c r="AI16" s="108">
        <f t="shared" si="10"/>
        <v>10</v>
      </c>
      <c r="AJ16" s="108">
        <f t="shared" si="5"/>
        <v>5</v>
      </c>
      <c r="AK16" s="108">
        <f t="shared" si="6"/>
        <v>0</v>
      </c>
      <c r="AL16" s="108">
        <f t="shared" si="7"/>
        <v>0</v>
      </c>
      <c r="AM16" s="120">
        <f>AO16</f>
        <v>10</v>
      </c>
      <c r="AN16" s="119" t="s">
        <v>14</v>
      </c>
      <c r="AO16" s="115">
        <f>IF(Uitslag!T16="",0,IF(T16=Uitslag!T16,10,0))</f>
        <v>10</v>
      </c>
    </row>
    <row r="17" spans="2:41" ht="15.75" thickBot="1">
      <c r="B17" s="18">
        <v>10</v>
      </c>
      <c r="C17" s="19">
        <v>41805</v>
      </c>
      <c r="D17" s="20" t="s">
        <v>27</v>
      </c>
      <c r="E17" s="21" t="s">
        <v>9</v>
      </c>
      <c r="F17" s="30" t="s">
        <v>28</v>
      </c>
      <c r="G17" s="86">
        <v>2</v>
      </c>
      <c r="H17" s="21" t="s">
        <v>9</v>
      </c>
      <c r="I17" s="91">
        <v>2</v>
      </c>
      <c r="J17" s="23">
        <f t="shared" si="0"/>
        <v>3</v>
      </c>
      <c r="K17" s="11">
        <f t="shared" si="1"/>
        <v>1</v>
      </c>
      <c r="L17" s="11">
        <f t="shared" si="2"/>
        <v>1</v>
      </c>
      <c r="O17" s="48" t="s">
        <v>15</v>
      </c>
      <c r="P17" s="49">
        <f>SUMIF($D$8:$D$55,$O17,$G$8:$G$55)+SUMIF($F$8:$F$55,$O17,$I$8:$I$55)</f>
        <v>3</v>
      </c>
      <c r="Q17" s="49">
        <f>SUMIF($D$8:$D$55,$O17,$I$8:$I$55)+SUMIF($F$8:$F$55,$O17,$G$8:$G$55)</f>
        <v>4</v>
      </c>
      <c r="R17" s="49">
        <f>P17-Q17</f>
        <v>-1</v>
      </c>
      <c r="S17" s="50">
        <f>SUMIF($D$8:$D$55,$O17,$K$8:$K$55)+SUMIF($F$8:$F$55,$O17,$L$8:$L$55)</f>
        <v>2</v>
      </c>
      <c r="T17" s="95" t="s">
        <v>54</v>
      </c>
      <c r="U17" s="40"/>
      <c r="V17" s="40" t="str">
        <f>O17</f>
        <v>Chili</v>
      </c>
      <c r="W17" s="40" t="s">
        <v>54</v>
      </c>
      <c r="Y17" s="109">
        <f t="shared" si="8"/>
        <v>0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0</v>
      </c>
      <c r="AG17" s="108">
        <f t="shared" si="3"/>
        <v>0</v>
      </c>
      <c r="AH17" s="108">
        <f t="shared" si="4"/>
        <v>0</v>
      </c>
      <c r="AI17" s="108">
        <f t="shared" si="10"/>
        <v>0</v>
      </c>
      <c r="AJ17" s="108">
        <f t="shared" si="5"/>
        <v>0</v>
      </c>
      <c r="AK17" s="108">
        <f t="shared" si="6"/>
        <v>0</v>
      </c>
      <c r="AL17" s="108">
        <f t="shared" si="7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24">
        <v>11</v>
      </c>
      <c r="C18" s="25">
        <v>41805</v>
      </c>
      <c r="D18" s="26" t="s">
        <v>29</v>
      </c>
      <c r="E18" s="27" t="s">
        <v>9</v>
      </c>
      <c r="F18" s="28" t="s">
        <v>30</v>
      </c>
      <c r="G18" s="87">
        <v>2</v>
      </c>
      <c r="H18" s="27" t="s">
        <v>9</v>
      </c>
      <c r="I18" s="92">
        <v>0</v>
      </c>
      <c r="J18" s="29">
        <f t="shared" si="0"/>
        <v>1</v>
      </c>
      <c r="K18" s="11">
        <f t="shared" si="1"/>
        <v>3</v>
      </c>
      <c r="L18" s="11">
        <f t="shared" si="2"/>
        <v>0</v>
      </c>
      <c r="O18" s="51" t="s">
        <v>16</v>
      </c>
      <c r="P18" s="52">
        <f>SUMIF($D$8:$D$55,$O18,$G$8:$G$55)+SUMIF($F$8:$F$55,$O18,$I$8:$I$55)</f>
        <v>3</v>
      </c>
      <c r="Q18" s="52">
        <f>SUMIF($D$8:$D$55,$O18,$I$8:$I$55)+SUMIF($F$8:$F$55,$O18,$G$8:$G$55)</f>
        <v>6</v>
      </c>
      <c r="R18" s="52">
        <f>P18-Q18</f>
        <v>-3</v>
      </c>
      <c r="S18" s="53">
        <f>SUMIF($D$8:$D$55,$O18,$K$8:$K$55)+SUMIF($F$8:$F$55,$O18,$L$8:$L$55)</f>
        <v>1</v>
      </c>
      <c r="T18" s="96" t="s">
        <v>55</v>
      </c>
      <c r="U18" s="40"/>
      <c r="V18" s="40" t="str">
        <f>O18</f>
        <v>Australië</v>
      </c>
      <c r="W18" s="40" t="s">
        <v>55</v>
      </c>
      <c r="Y18" s="109">
        <f t="shared" si="8"/>
        <v>6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6</v>
      </c>
      <c r="AG18" s="108">
        <f t="shared" si="3"/>
        <v>1</v>
      </c>
      <c r="AH18" s="108">
        <f t="shared" si="4"/>
        <v>0</v>
      </c>
      <c r="AI18" s="108">
        <f t="shared" si="10"/>
        <v>0</v>
      </c>
      <c r="AJ18" s="108">
        <f t="shared" si="5"/>
        <v>5</v>
      </c>
      <c r="AK18" s="108">
        <f t="shared" si="6"/>
        <v>0</v>
      </c>
      <c r="AL18" s="108">
        <f t="shared" si="7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12">
        <v>12</v>
      </c>
      <c r="C19" s="13">
        <v>41806</v>
      </c>
      <c r="D19" s="14" t="s">
        <v>31</v>
      </c>
      <c r="E19" s="15" t="s">
        <v>9</v>
      </c>
      <c r="F19" s="16" t="s">
        <v>32</v>
      </c>
      <c r="G19" s="85">
        <v>1</v>
      </c>
      <c r="H19" s="15" t="s">
        <v>9</v>
      </c>
      <c r="I19" s="90">
        <v>1</v>
      </c>
      <c r="J19" s="17">
        <f t="shared" si="0"/>
        <v>3</v>
      </c>
      <c r="K19" s="11">
        <f t="shared" si="1"/>
        <v>1</v>
      </c>
      <c r="L19" s="11">
        <f t="shared" si="2"/>
        <v>1</v>
      </c>
      <c r="O19" s="40"/>
      <c r="P19" s="41"/>
      <c r="Q19" s="41"/>
      <c r="R19" s="41"/>
      <c r="S19" s="41"/>
      <c r="T19" s="41"/>
      <c r="U19" s="40"/>
      <c r="V19" s="40"/>
      <c r="W19" s="40"/>
      <c r="Y19" s="109">
        <f t="shared" si="8"/>
        <v>0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0</v>
      </c>
      <c r="AG19" s="108">
        <f t="shared" si="3"/>
        <v>0</v>
      </c>
      <c r="AH19" s="108">
        <f t="shared" si="4"/>
        <v>0</v>
      </c>
      <c r="AI19" s="108">
        <f t="shared" si="10"/>
        <v>0</v>
      </c>
      <c r="AJ19" s="108">
        <f t="shared" si="5"/>
        <v>0</v>
      </c>
      <c r="AK19" s="108">
        <f t="shared" si="6"/>
        <v>0</v>
      </c>
      <c r="AL19" s="108">
        <f t="shared" si="7"/>
        <v>0</v>
      </c>
      <c r="AN19" s="40"/>
      <c r="AO19" s="41"/>
    </row>
    <row r="20" spans="2:41" ht="15.75" thickBot="1">
      <c r="B20" s="18">
        <v>13</v>
      </c>
      <c r="C20" s="19">
        <v>41806</v>
      </c>
      <c r="D20" s="20" t="s">
        <v>33</v>
      </c>
      <c r="E20" s="21" t="s">
        <v>9</v>
      </c>
      <c r="F20" s="30" t="s">
        <v>34</v>
      </c>
      <c r="G20" s="86">
        <v>0</v>
      </c>
      <c r="H20" s="21" t="s">
        <v>9</v>
      </c>
      <c r="I20" s="91">
        <v>2</v>
      </c>
      <c r="J20" s="23">
        <f t="shared" si="0"/>
        <v>2</v>
      </c>
      <c r="K20" s="11">
        <f t="shared" si="1"/>
        <v>0</v>
      </c>
      <c r="L20" s="11">
        <f t="shared" si="2"/>
        <v>3</v>
      </c>
      <c r="O20" s="72" t="s">
        <v>56</v>
      </c>
      <c r="P20" s="73" t="s">
        <v>42</v>
      </c>
      <c r="Q20" s="73" t="s">
        <v>43</v>
      </c>
      <c r="R20" s="74" t="s">
        <v>44</v>
      </c>
      <c r="S20" s="75" t="s">
        <v>45</v>
      </c>
      <c r="T20" s="76" t="s">
        <v>46</v>
      </c>
      <c r="U20" s="40"/>
      <c r="V20" s="40"/>
      <c r="W20" s="40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3"/>
        <v>1</v>
      </c>
      <c r="AH20" s="108">
        <f t="shared" si="4"/>
        <v>0</v>
      </c>
      <c r="AI20" s="108">
        <f t="shared" si="10"/>
        <v>0</v>
      </c>
      <c r="AJ20" s="108">
        <f t="shared" si="5"/>
        <v>0</v>
      </c>
      <c r="AK20" s="108">
        <f t="shared" si="6"/>
        <v>0</v>
      </c>
      <c r="AL20" s="108">
        <f t="shared" si="7"/>
        <v>0</v>
      </c>
      <c r="AN20" s="42" t="s">
        <v>56</v>
      </c>
      <c r="AO20" s="43" t="s">
        <v>46</v>
      </c>
    </row>
    <row r="21" spans="2:41" ht="15.75" thickBot="1">
      <c r="B21" s="24">
        <v>14</v>
      </c>
      <c r="C21" s="25">
        <v>41806</v>
      </c>
      <c r="D21" s="26" t="s">
        <v>35</v>
      </c>
      <c r="E21" s="27" t="s">
        <v>9</v>
      </c>
      <c r="F21" s="28" t="s">
        <v>36</v>
      </c>
      <c r="G21" s="87">
        <v>1</v>
      </c>
      <c r="H21" s="27" t="s">
        <v>9</v>
      </c>
      <c r="I21" s="92">
        <v>1</v>
      </c>
      <c r="J21" s="29">
        <f t="shared" si="0"/>
        <v>3</v>
      </c>
      <c r="K21" s="11">
        <f t="shared" si="1"/>
        <v>1</v>
      </c>
      <c r="L21" s="11">
        <f t="shared" si="2"/>
        <v>1</v>
      </c>
      <c r="O21" s="44" t="s">
        <v>17</v>
      </c>
      <c r="P21" s="45">
        <f>SUMIF($D$8:$D$55,$O21,$G$8:$G$55)+SUMIF($F$8:$F$55,$O21,$I$8:$I$55)</f>
        <v>3</v>
      </c>
      <c r="Q21" s="45">
        <f>SUMIF($D$8:$D$55,$O21,$I$8:$I$55)+SUMIF($F$8:$F$55,$O21,$G$8:$G$55)</f>
        <v>4</v>
      </c>
      <c r="R21" s="46">
        <f>P21-Q21</f>
        <v>-1</v>
      </c>
      <c r="S21" s="47">
        <f>SUMIF($D$8:$D$55,$O21,$K$8:$K$55)+SUMIF($F$8:$F$55,$O21,$L$8:$L$55)</f>
        <v>3</v>
      </c>
      <c r="T21" s="94" t="s">
        <v>59</v>
      </c>
      <c r="U21" s="40"/>
      <c r="V21" s="40" t="str">
        <f>O21</f>
        <v>Colombia</v>
      </c>
      <c r="W21" s="40" t="s">
        <v>57</v>
      </c>
      <c r="Y21" s="109">
        <f t="shared" si="8"/>
        <v>1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1</v>
      </c>
      <c r="AG21" s="108">
        <f t="shared" si="3"/>
        <v>1</v>
      </c>
      <c r="AH21" s="108">
        <f t="shared" si="4"/>
        <v>0</v>
      </c>
      <c r="AI21" s="108">
        <f t="shared" si="10"/>
        <v>0</v>
      </c>
      <c r="AJ21" s="108">
        <f t="shared" si="5"/>
        <v>0</v>
      </c>
      <c r="AK21" s="108">
        <f t="shared" si="6"/>
        <v>0</v>
      </c>
      <c r="AL21" s="108">
        <f t="shared" si="7"/>
        <v>0</v>
      </c>
      <c r="AM21" s="120">
        <f>AO21</f>
        <v>0</v>
      </c>
      <c r="AN21" s="116" t="s">
        <v>17</v>
      </c>
      <c r="AO21" s="115">
        <f>IF(Uitslag!T21="",0,IF(T21=Uitslag!T21,10,0))</f>
        <v>0</v>
      </c>
    </row>
    <row r="22" spans="2:41" ht="15.75" thickBot="1">
      <c r="B22" s="12">
        <v>15</v>
      </c>
      <c r="C22" s="13">
        <v>41807</v>
      </c>
      <c r="D22" s="14" t="s">
        <v>37</v>
      </c>
      <c r="E22" s="15" t="s">
        <v>9</v>
      </c>
      <c r="F22" s="16" t="s">
        <v>38</v>
      </c>
      <c r="G22" s="85">
        <v>2</v>
      </c>
      <c r="H22" s="15" t="s">
        <v>9</v>
      </c>
      <c r="I22" s="90">
        <v>1</v>
      </c>
      <c r="J22" s="17">
        <f t="shared" si="0"/>
        <v>1</v>
      </c>
      <c r="K22" s="11">
        <f t="shared" si="1"/>
        <v>3</v>
      </c>
      <c r="L22" s="11">
        <f t="shared" si="2"/>
        <v>0</v>
      </c>
      <c r="O22" s="48" t="s">
        <v>18</v>
      </c>
      <c r="P22" s="49">
        <f>SUMIF($D$8:$D$55,$O22,$G$8:$G$55)+SUMIF($F$8:$F$55,$O22,$I$8:$I$55)</f>
        <v>5</v>
      </c>
      <c r="Q22" s="49">
        <f>SUMIF($D$8:$D$55,$O22,$I$8:$I$55)+SUMIF($F$8:$F$55,$O22,$G$8:$G$55)</f>
        <v>3</v>
      </c>
      <c r="R22" s="49">
        <f>P22-Q22</f>
        <v>2</v>
      </c>
      <c r="S22" s="50">
        <f>SUMIF($D$8:$D$55,$O22,$K$8:$K$55)+SUMIF($F$8:$F$55,$O22,$L$8:$L$55)</f>
        <v>7</v>
      </c>
      <c r="T22" s="95" t="s">
        <v>57</v>
      </c>
      <c r="U22" s="40"/>
      <c r="V22" s="40" t="str">
        <f>O22</f>
        <v>Griekenland</v>
      </c>
      <c r="W22" s="40" t="s">
        <v>58</v>
      </c>
      <c r="Y22" s="109">
        <f t="shared" si="8"/>
        <v>10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10</v>
      </c>
      <c r="AG22" s="108">
        <f t="shared" si="3"/>
        <v>1</v>
      </c>
      <c r="AH22" s="108">
        <f t="shared" si="4"/>
        <v>1</v>
      </c>
      <c r="AI22" s="108">
        <f t="shared" si="10"/>
        <v>10</v>
      </c>
      <c r="AJ22" s="108">
        <f t="shared" si="5"/>
        <v>5</v>
      </c>
      <c r="AK22" s="108">
        <f t="shared" si="6"/>
        <v>0</v>
      </c>
      <c r="AL22" s="108">
        <f t="shared" si="7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18">
        <v>16</v>
      </c>
      <c r="C23" s="19">
        <v>41807</v>
      </c>
      <c r="D23" s="20" t="s">
        <v>8</v>
      </c>
      <c r="E23" s="21" t="s">
        <v>9</v>
      </c>
      <c r="F23" s="30" t="s">
        <v>11</v>
      </c>
      <c r="G23" s="86">
        <v>1</v>
      </c>
      <c r="H23" s="21" t="s">
        <v>9</v>
      </c>
      <c r="I23" s="91">
        <v>1</v>
      </c>
      <c r="J23" s="23">
        <f t="shared" si="0"/>
        <v>3</v>
      </c>
      <c r="K23" s="11">
        <f t="shared" si="1"/>
        <v>1</v>
      </c>
      <c r="L23" s="11">
        <f t="shared" si="2"/>
        <v>1</v>
      </c>
      <c r="O23" s="48" t="s">
        <v>23</v>
      </c>
      <c r="P23" s="49">
        <f>SUMIF($D$8:$D$55,$O23,$G$8:$G$55)+SUMIF($F$8:$F$55,$O23,$I$8:$I$55)</f>
        <v>4</v>
      </c>
      <c r="Q23" s="49">
        <f>SUMIF($D$8:$D$55,$O23,$I$8:$I$55)+SUMIF($F$8:$F$55,$O23,$G$8:$G$55)</f>
        <v>6</v>
      </c>
      <c r="R23" s="49">
        <f>P23-Q23</f>
        <v>-2</v>
      </c>
      <c r="S23" s="50">
        <f>SUMIF($D$8:$D$55,$O23,$K$8:$K$55)+SUMIF($F$8:$F$55,$O23,$L$8:$L$55)</f>
        <v>3</v>
      </c>
      <c r="T23" s="95" t="s">
        <v>60</v>
      </c>
      <c r="U23" s="40"/>
      <c r="V23" s="40" t="str">
        <f>O23</f>
        <v>Ivoorkust</v>
      </c>
      <c r="W23" s="40" t="s">
        <v>59</v>
      </c>
      <c r="Y23" s="109">
        <f t="shared" si="8"/>
        <v>5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5</v>
      </c>
      <c r="AG23" s="108">
        <f t="shared" si="3"/>
        <v>0</v>
      </c>
      <c r="AH23" s="108">
        <f t="shared" si="4"/>
        <v>0</v>
      </c>
      <c r="AI23" s="108">
        <f t="shared" si="10"/>
        <v>0</v>
      </c>
      <c r="AJ23" s="108">
        <f t="shared" si="5"/>
        <v>0</v>
      </c>
      <c r="AK23" s="108">
        <f t="shared" si="6"/>
        <v>0</v>
      </c>
      <c r="AL23" s="108">
        <f t="shared" si="7"/>
        <v>5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24">
        <v>17</v>
      </c>
      <c r="C24" s="25">
        <v>41807</v>
      </c>
      <c r="D24" s="26" t="s">
        <v>39</v>
      </c>
      <c r="E24" s="27" t="s">
        <v>9</v>
      </c>
      <c r="F24" s="28" t="s">
        <v>40</v>
      </c>
      <c r="G24" s="87">
        <v>1</v>
      </c>
      <c r="H24" s="27" t="s">
        <v>9</v>
      </c>
      <c r="I24" s="92">
        <v>2</v>
      </c>
      <c r="J24" s="29">
        <f t="shared" si="0"/>
        <v>2</v>
      </c>
      <c r="K24" s="11">
        <f t="shared" si="1"/>
        <v>0</v>
      </c>
      <c r="L24" s="11">
        <f t="shared" si="2"/>
        <v>3</v>
      </c>
      <c r="O24" s="51" t="s">
        <v>24</v>
      </c>
      <c r="P24" s="52">
        <f>SUMIF($D$8:$D$55,$O24,$G$8:$G$55)+SUMIF($F$8:$F$55,$O24,$I$8:$I$55)</f>
        <v>6</v>
      </c>
      <c r="Q24" s="52">
        <f>SUMIF($D$8:$D$55,$O24,$I$8:$I$55)+SUMIF($F$8:$F$55,$O24,$G$8:$G$55)</f>
        <v>5</v>
      </c>
      <c r="R24" s="52">
        <f>P24-Q24</f>
        <v>1</v>
      </c>
      <c r="S24" s="53">
        <f>SUMIF($D$8:$D$55,$O24,$K$8:$K$55)+SUMIF($F$8:$F$55,$O24,$L$8:$L$55)</f>
        <v>4</v>
      </c>
      <c r="T24" s="96" t="s">
        <v>58</v>
      </c>
      <c r="U24" s="40"/>
      <c r="V24" s="40" t="str">
        <f>O24</f>
        <v>Japan</v>
      </c>
      <c r="W24" s="40" t="s">
        <v>60</v>
      </c>
      <c r="Y24" s="109">
        <f t="shared" si="8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</v>
      </c>
      <c r="AG24" s="108">
        <f t="shared" si="3"/>
        <v>1</v>
      </c>
      <c r="AH24" s="108">
        <f t="shared" si="4"/>
        <v>0</v>
      </c>
      <c r="AI24" s="108">
        <f t="shared" si="10"/>
        <v>0</v>
      </c>
      <c r="AJ24" s="108">
        <f t="shared" si="5"/>
        <v>0</v>
      </c>
      <c r="AK24" s="108">
        <f t="shared" si="6"/>
        <v>0</v>
      </c>
      <c r="AL24" s="108">
        <f t="shared" si="7"/>
        <v>0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12">
        <v>18</v>
      </c>
      <c r="C25" s="13">
        <v>41808</v>
      </c>
      <c r="D25" s="14" t="s">
        <v>16</v>
      </c>
      <c r="E25" s="15" t="s">
        <v>9</v>
      </c>
      <c r="F25" s="31" t="s">
        <v>14</v>
      </c>
      <c r="G25" s="85">
        <v>1</v>
      </c>
      <c r="H25" s="15" t="s">
        <v>9</v>
      </c>
      <c r="I25" s="90">
        <v>3</v>
      </c>
      <c r="J25" s="17">
        <f t="shared" si="0"/>
        <v>2</v>
      </c>
      <c r="K25" s="11">
        <f t="shared" si="1"/>
        <v>0</v>
      </c>
      <c r="L25" s="11">
        <f t="shared" si="2"/>
        <v>3</v>
      </c>
      <c r="O25" s="40"/>
      <c r="P25" s="41"/>
      <c r="Q25" s="41"/>
      <c r="R25" s="41"/>
      <c r="S25" s="41"/>
      <c r="T25" s="41"/>
      <c r="U25" s="40"/>
      <c r="V25" s="40"/>
      <c r="W25" s="40"/>
      <c r="Y25" s="109">
        <f t="shared" si="8"/>
        <v>6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6</v>
      </c>
      <c r="AG25" s="108">
        <f t="shared" si="3"/>
        <v>0</v>
      </c>
      <c r="AH25" s="108">
        <f t="shared" si="4"/>
        <v>1</v>
      </c>
      <c r="AI25" s="108">
        <f t="shared" si="10"/>
        <v>0</v>
      </c>
      <c r="AJ25" s="108">
        <f t="shared" si="5"/>
        <v>0</v>
      </c>
      <c r="AK25" s="108">
        <f t="shared" si="6"/>
        <v>5</v>
      </c>
      <c r="AL25" s="108">
        <f t="shared" si="7"/>
        <v>0</v>
      </c>
      <c r="AN25" s="40"/>
      <c r="AO25" s="41"/>
    </row>
    <row r="26" spans="2:41" ht="15.75" thickBot="1">
      <c r="B26" s="18">
        <v>19</v>
      </c>
      <c r="C26" s="19">
        <v>41808</v>
      </c>
      <c r="D26" s="20" t="s">
        <v>13</v>
      </c>
      <c r="E26" s="21" t="s">
        <v>9</v>
      </c>
      <c r="F26" s="30" t="s">
        <v>15</v>
      </c>
      <c r="G26" s="86">
        <v>1</v>
      </c>
      <c r="H26" s="21" t="s">
        <v>9</v>
      </c>
      <c r="I26" s="91">
        <v>1</v>
      </c>
      <c r="J26" s="23">
        <f t="shared" si="0"/>
        <v>3</v>
      </c>
      <c r="K26" s="11">
        <f t="shared" si="1"/>
        <v>1</v>
      </c>
      <c r="L26" s="11">
        <f t="shared" si="2"/>
        <v>1</v>
      </c>
      <c r="O26" s="72" t="s">
        <v>61</v>
      </c>
      <c r="P26" s="73" t="s">
        <v>42</v>
      </c>
      <c r="Q26" s="73" t="s">
        <v>43</v>
      </c>
      <c r="R26" s="74" t="s">
        <v>44</v>
      </c>
      <c r="S26" s="75" t="s">
        <v>45</v>
      </c>
      <c r="T26" s="76" t="s">
        <v>46</v>
      </c>
      <c r="U26" s="40"/>
      <c r="V26" s="40"/>
      <c r="W26" s="40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3"/>
        <v>0</v>
      </c>
      <c r="AH26" s="108">
        <f t="shared" si="4"/>
        <v>0</v>
      </c>
      <c r="AI26" s="108">
        <f t="shared" si="10"/>
        <v>0</v>
      </c>
      <c r="AJ26" s="108">
        <f t="shared" si="5"/>
        <v>0</v>
      </c>
      <c r="AK26" s="108">
        <f t="shared" si="6"/>
        <v>0</v>
      </c>
      <c r="AL26" s="108">
        <f t="shared" si="7"/>
        <v>0</v>
      </c>
      <c r="AN26" s="42" t="s">
        <v>61</v>
      </c>
      <c r="AO26" s="43" t="s">
        <v>46</v>
      </c>
    </row>
    <row r="27" spans="2:41" ht="15.75" thickBot="1">
      <c r="B27" s="24">
        <v>20</v>
      </c>
      <c r="C27" s="25">
        <v>41808</v>
      </c>
      <c r="D27" s="26" t="s">
        <v>12</v>
      </c>
      <c r="E27" s="27" t="s">
        <v>9</v>
      </c>
      <c r="F27" s="28" t="s">
        <v>10</v>
      </c>
      <c r="G27" s="87">
        <v>1</v>
      </c>
      <c r="H27" s="27" t="s">
        <v>9</v>
      </c>
      <c r="I27" s="92">
        <v>1</v>
      </c>
      <c r="J27" s="29">
        <f t="shared" si="0"/>
        <v>3</v>
      </c>
      <c r="K27" s="11">
        <f t="shared" si="1"/>
        <v>1</v>
      </c>
      <c r="L27" s="11">
        <f t="shared" si="2"/>
        <v>1</v>
      </c>
      <c r="O27" s="44" t="s">
        <v>19</v>
      </c>
      <c r="P27" s="45">
        <f>SUMIF($D$8:$D$55,$O27,$G$8:$G$55)+SUMIF($F$8:$F$55,$O27,$I$8:$I$55)</f>
        <v>3</v>
      </c>
      <c r="Q27" s="45">
        <f>SUMIF($D$8:$D$55,$O27,$I$8:$I$55)+SUMIF($F$8:$F$55,$O27,$G$8:$G$55)</f>
        <v>5</v>
      </c>
      <c r="R27" s="46">
        <f>P27-Q27</f>
        <v>-2</v>
      </c>
      <c r="S27" s="47">
        <f>SUMIF($D$8:$D$55,$O27,$K$8:$K$55)+SUMIF($F$8:$F$55,$O27,$L$8:$L$55)</f>
        <v>1</v>
      </c>
      <c r="T27" s="94" t="s">
        <v>65</v>
      </c>
      <c r="U27" s="40"/>
      <c r="V27" s="40" t="str">
        <f>O27</f>
        <v>Uruguay</v>
      </c>
      <c r="W27" s="40" t="s">
        <v>62</v>
      </c>
      <c r="Y27" s="109">
        <f t="shared" si="8"/>
        <v>0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0</v>
      </c>
      <c r="AG27" s="108">
        <f t="shared" si="3"/>
        <v>0</v>
      </c>
      <c r="AH27" s="108">
        <f t="shared" si="4"/>
        <v>0</v>
      </c>
      <c r="AI27" s="108">
        <f t="shared" si="10"/>
        <v>0</v>
      </c>
      <c r="AJ27" s="108">
        <f t="shared" si="5"/>
        <v>0</v>
      </c>
      <c r="AK27" s="108">
        <f t="shared" si="6"/>
        <v>0</v>
      </c>
      <c r="AL27" s="108">
        <f t="shared" si="7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12">
        <v>21</v>
      </c>
      <c r="C28" s="13">
        <v>41809</v>
      </c>
      <c r="D28" s="14" t="s">
        <v>17</v>
      </c>
      <c r="E28" s="15" t="s">
        <v>9</v>
      </c>
      <c r="F28" s="16" t="s">
        <v>23</v>
      </c>
      <c r="G28" s="85">
        <v>1</v>
      </c>
      <c r="H28" s="15" t="s">
        <v>9</v>
      </c>
      <c r="I28" s="90">
        <v>2</v>
      </c>
      <c r="J28" s="17">
        <f t="shared" si="0"/>
        <v>2</v>
      </c>
      <c r="K28" s="11">
        <f t="shared" si="1"/>
        <v>0</v>
      </c>
      <c r="L28" s="11">
        <f t="shared" si="2"/>
        <v>3</v>
      </c>
      <c r="O28" s="48" t="s">
        <v>20</v>
      </c>
      <c r="P28" s="49">
        <f>SUMIF($D$8:$D$55,$O28,$G$8:$G$55)+SUMIF($F$8:$F$55,$O28,$I$8:$I$55)</f>
        <v>2</v>
      </c>
      <c r="Q28" s="49">
        <f>SUMIF($D$8:$D$55,$O28,$I$8:$I$55)+SUMIF($F$8:$F$55,$O28,$G$8:$G$55)</f>
        <v>3</v>
      </c>
      <c r="R28" s="49">
        <f>P28-Q28</f>
        <v>-1</v>
      </c>
      <c r="S28" s="50">
        <f>SUMIF($D$8:$D$55,$O28,$K$8:$K$55)+SUMIF($F$8:$F$55,$O28,$L$8:$L$55)</f>
        <v>2</v>
      </c>
      <c r="T28" s="95" t="s">
        <v>64</v>
      </c>
      <c r="U28" s="40"/>
      <c r="V28" s="40" t="str">
        <f>O28</f>
        <v>Costa Rica</v>
      </c>
      <c r="W28" s="40" t="s">
        <v>63</v>
      </c>
      <c r="Y28" s="109">
        <f t="shared" si="8"/>
        <v>0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0</v>
      </c>
      <c r="AG28" s="108">
        <f t="shared" si="3"/>
        <v>0</v>
      </c>
      <c r="AH28" s="108">
        <f t="shared" si="4"/>
        <v>0</v>
      </c>
      <c r="AI28" s="108">
        <f t="shared" si="10"/>
        <v>0</v>
      </c>
      <c r="AJ28" s="108">
        <f t="shared" si="5"/>
        <v>0</v>
      </c>
      <c r="AK28" s="108">
        <f t="shared" si="6"/>
        <v>0</v>
      </c>
      <c r="AL28" s="108">
        <f t="shared" si="7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18">
        <v>22</v>
      </c>
      <c r="C29" s="19">
        <v>41809</v>
      </c>
      <c r="D29" s="20" t="s">
        <v>19</v>
      </c>
      <c r="E29" s="21" t="s">
        <v>9</v>
      </c>
      <c r="F29" s="30" t="s">
        <v>21</v>
      </c>
      <c r="G29" s="86">
        <v>1</v>
      </c>
      <c r="H29" s="21" t="s">
        <v>9</v>
      </c>
      <c r="I29" s="91">
        <v>2</v>
      </c>
      <c r="J29" s="23">
        <f t="shared" si="0"/>
        <v>2</v>
      </c>
      <c r="K29" s="11">
        <f t="shared" si="1"/>
        <v>0</v>
      </c>
      <c r="L29" s="11">
        <f t="shared" si="2"/>
        <v>3</v>
      </c>
      <c r="O29" s="48" t="s">
        <v>21</v>
      </c>
      <c r="P29" s="49">
        <f>SUMIF($D$8:$D$55,$O29,$G$8:$G$55)+SUMIF($F$8:$F$55,$O29,$I$8:$I$55)</f>
        <v>5</v>
      </c>
      <c r="Q29" s="49">
        <f>SUMIF($D$8:$D$55,$O29,$I$8:$I$55)+SUMIF($F$8:$F$55,$O29,$G$8:$G$55)</f>
        <v>3</v>
      </c>
      <c r="R29" s="49">
        <f>P29-Q29</f>
        <v>2</v>
      </c>
      <c r="S29" s="50">
        <f>SUMIF($D$8:$D$55,$O29,$K$8:$K$55)+SUMIF($F$8:$F$55,$O29,$L$8:$L$55)</f>
        <v>7</v>
      </c>
      <c r="T29" s="95" t="s">
        <v>62</v>
      </c>
      <c r="U29" s="40"/>
      <c r="V29" s="40" t="str">
        <f>O29</f>
        <v>Engeland</v>
      </c>
      <c r="W29" s="40" t="s">
        <v>64</v>
      </c>
      <c r="Y29" s="109">
        <f t="shared" si="8"/>
        <v>0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0</v>
      </c>
      <c r="AG29" s="108">
        <f t="shared" si="3"/>
        <v>0</v>
      </c>
      <c r="AH29" s="108">
        <f t="shared" si="4"/>
        <v>0</v>
      </c>
      <c r="AI29" s="108">
        <f t="shared" si="10"/>
        <v>0</v>
      </c>
      <c r="AJ29" s="108">
        <f t="shared" si="5"/>
        <v>0</v>
      </c>
      <c r="AK29" s="108">
        <f t="shared" si="6"/>
        <v>0</v>
      </c>
      <c r="AL29" s="108">
        <f t="shared" si="7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24">
        <v>23</v>
      </c>
      <c r="C30" s="25">
        <v>41809</v>
      </c>
      <c r="D30" s="26" t="s">
        <v>24</v>
      </c>
      <c r="E30" s="27" t="s">
        <v>9</v>
      </c>
      <c r="F30" s="28" t="s">
        <v>18</v>
      </c>
      <c r="G30" s="87">
        <v>2</v>
      </c>
      <c r="H30" s="27" t="s">
        <v>9</v>
      </c>
      <c r="I30" s="92">
        <v>2</v>
      </c>
      <c r="J30" s="29">
        <f t="shared" si="0"/>
        <v>3</v>
      </c>
      <c r="K30" s="11">
        <f t="shared" si="1"/>
        <v>1</v>
      </c>
      <c r="L30" s="11">
        <f t="shared" si="2"/>
        <v>1</v>
      </c>
      <c r="O30" s="51" t="s">
        <v>22</v>
      </c>
      <c r="P30" s="52">
        <f>SUMIF($D$8:$D$55,$O30,$G$8:$G$55)+SUMIF($F$8:$F$55,$O30,$I$8:$I$55)</f>
        <v>5</v>
      </c>
      <c r="Q30" s="52">
        <f>SUMIF($D$8:$D$55,$O30,$I$8:$I$55)+SUMIF($F$8:$F$55,$O30,$G$8:$G$55)</f>
        <v>4</v>
      </c>
      <c r="R30" s="52">
        <f>P30-Q30</f>
        <v>1</v>
      </c>
      <c r="S30" s="53">
        <f>SUMIF($D$8:$D$55,$O30,$K$8:$K$55)+SUMIF($F$8:$F$55,$O30,$L$8:$L$55)</f>
        <v>5</v>
      </c>
      <c r="T30" s="96" t="s">
        <v>63</v>
      </c>
      <c r="U30" s="40"/>
      <c r="V30" s="40" t="str">
        <f>O30</f>
        <v>Italië</v>
      </c>
      <c r="W30" s="40" t="s">
        <v>65</v>
      </c>
      <c r="Y30" s="109">
        <f t="shared" si="8"/>
        <v>5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5</v>
      </c>
      <c r="AG30" s="108">
        <f t="shared" si="3"/>
        <v>0</v>
      </c>
      <c r="AH30" s="108">
        <f t="shared" si="4"/>
        <v>0</v>
      </c>
      <c r="AI30" s="108">
        <f t="shared" si="10"/>
        <v>0</v>
      </c>
      <c r="AJ30" s="108">
        <f t="shared" si="5"/>
        <v>0</v>
      </c>
      <c r="AK30" s="108">
        <f t="shared" si="6"/>
        <v>0</v>
      </c>
      <c r="AL30" s="108">
        <f t="shared" si="7"/>
        <v>5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12">
        <v>24</v>
      </c>
      <c r="C31" s="13">
        <v>41810</v>
      </c>
      <c r="D31" s="14" t="s">
        <v>22</v>
      </c>
      <c r="E31" s="15" t="s">
        <v>9</v>
      </c>
      <c r="F31" s="16" t="s">
        <v>20</v>
      </c>
      <c r="G31" s="85">
        <v>1</v>
      </c>
      <c r="H31" s="15" t="s">
        <v>9</v>
      </c>
      <c r="I31" s="90">
        <v>1</v>
      </c>
      <c r="J31" s="17">
        <f t="shared" si="0"/>
        <v>3</v>
      </c>
      <c r="K31" s="11">
        <f t="shared" si="1"/>
        <v>1</v>
      </c>
      <c r="L31" s="11">
        <f t="shared" si="2"/>
        <v>1</v>
      </c>
      <c r="O31" s="40"/>
      <c r="P31" s="41"/>
      <c r="Q31" s="41"/>
      <c r="R31" s="41"/>
      <c r="S31" s="41"/>
      <c r="T31" s="41"/>
      <c r="U31" s="40"/>
      <c r="V31" s="40"/>
      <c r="W31" s="40"/>
      <c r="Y31" s="109">
        <f t="shared" si="8"/>
        <v>1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1</v>
      </c>
      <c r="AG31" s="108">
        <f t="shared" si="3"/>
        <v>0</v>
      </c>
      <c r="AH31" s="108">
        <f t="shared" si="4"/>
        <v>1</v>
      </c>
      <c r="AI31" s="108">
        <f t="shared" si="10"/>
        <v>0</v>
      </c>
      <c r="AJ31" s="108">
        <f t="shared" si="5"/>
        <v>0</v>
      </c>
      <c r="AK31" s="108">
        <f t="shared" si="6"/>
        <v>0</v>
      </c>
      <c r="AL31" s="108">
        <f t="shared" si="7"/>
        <v>0</v>
      </c>
      <c r="AN31" s="40"/>
      <c r="AO31" s="41"/>
    </row>
    <row r="32" spans="2:41" ht="15.75" thickBot="1">
      <c r="B32" s="18">
        <v>25</v>
      </c>
      <c r="C32" s="19">
        <v>41810</v>
      </c>
      <c r="D32" s="20" t="s">
        <v>25</v>
      </c>
      <c r="E32" s="21" t="s">
        <v>9</v>
      </c>
      <c r="F32" s="30" t="s">
        <v>27</v>
      </c>
      <c r="G32" s="86">
        <v>2</v>
      </c>
      <c r="H32" s="21" t="s">
        <v>9</v>
      </c>
      <c r="I32" s="91">
        <v>1</v>
      </c>
      <c r="J32" s="23">
        <f t="shared" si="0"/>
        <v>1</v>
      </c>
      <c r="K32" s="11">
        <f t="shared" si="1"/>
        <v>3</v>
      </c>
      <c r="L32" s="11">
        <f t="shared" si="2"/>
        <v>0</v>
      </c>
      <c r="O32" s="72" t="s">
        <v>66</v>
      </c>
      <c r="P32" s="73" t="s">
        <v>42</v>
      </c>
      <c r="Q32" s="73" t="s">
        <v>43</v>
      </c>
      <c r="R32" s="74" t="s">
        <v>44</v>
      </c>
      <c r="S32" s="75" t="s">
        <v>45</v>
      </c>
      <c r="T32" s="76" t="s">
        <v>46</v>
      </c>
      <c r="U32" s="40"/>
      <c r="V32" s="40"/>
      <c r="W32" s="40"/>
      <c r="Y32" s="109">
        <f t="shared" si="8"/>
        <v>1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1</v>
      </c>
      <c r="AG32" s="108">
        <f t="shared" si="3"/>
        <v>1</v>
      </c>
      <c r="AH32" s="108">
        <f t="shared" si="4"/>
        <v>0</v>
      </c>
      <c r="AI32" s="108">
        <f t="shared" si="10"/>
        <v>0</v>
      </c>
      <c r="AJ32" s="108">
        <f t="shared" si="5"/>
        <v>0</v>
      </c>
      <c r="AK32" s="108">
        <f t="shared" si="6"/>
        <v>0</v>
      </c>
      <c r="AL32" s="108">
        <f t="shared" si="7"/>
        <v>0</v>
      </c>
      <c r="AN32" s="42" t="s">
        <v>66</v>
      </c>
      <c r="AO32" s="43" t="s">
        <v>46</v>
      </c>
    </row>
    <row r="33" spans="2:41" ht="15.75" thickBot="1">
      <c r="B33" s="24">
        <v>26</v>
      </c>
      <c r="C33" s="25">
        <v>41810</v>
      </c>
      <c r="D33" s="26" t="s">
        <v>28</v>
      </c>
      <c r="E33" s="27" t="s">
        <v>9</v>
      </c>
      <c r="F33" s="28" t="s">
        <v>26</v>
      </c>
      <c r="G33" s="87">
        <v>1</v>
      </c>
      <c r="H33" s="27" t="s">
        <v>9</v>
      </c>
      <c r="I33" s="92">
        <v>2</v>
      </c>
      <c r="J33" s="29">
        <f t="shared" si="0"/>
        <v>2</v>
      </c>
      <c r="K33" s="11">
        <f t="shared" si="1"/>
        <v>0</v>
      </c>
      <c r="L33" s="11">
        <f t="shared" si="2"/>
        <v>3</v>
      </c>
      <c r="O33" s="44" t="s">
        <v>25</v>
      </c>
      <c r="P33" s="45">
        <f>SUMIF($D$8:$D$55,$O33,$G$8:$G$55)+SUMIF($F$8:$F$55,$O33,$I$8:$I$55)</f>
        <v>7</v>
      </c>
      <c r="Q33" s="45">
        <f>SUMIF($D$8:$D$55,$O33,$I$8:$I$55)+SUMIF($F$8:$F$55,$O33,$G$8:$G$55)</f>
        <v>2</v>
      </c>
      <c r="R33" s="46">
        <f>P33-Q33</f>
        <v>5</v>
      </c>
      <c r="S33" s="47">
        <f>SUMIF($D$8:$D$55,$O33,$K$8:$K$55)+SUMIF($F$8:$F$55,$O33,$L$8:$L$55)</f>
        <v>9</v>
      </c>
      <c r="T33" s="94" t="s">
        <v>67</v>
      </c>
      <c r="U33" s="40"/>
      <c r="V33" s="40" t="str">
        <f>O33</f>
        <v>Zwitserland</v>
      </c>
      <c r="W33" s="40" t="s">
        <v>67</v>
      </c>
      <c r="Y33" s="109">
        <f t="shared" si="8"/>
        <v>10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10</v>
      </c>
      <c r="AG33" s="108">
        <f t="shared" si="3"/>
        <v>1</v>
      </c>
      <c r="AH33" s="108">
        <f t="shared" si="4"/>
        <v>1</v>
      </c>
      <c r="AI33" s="108">
        <f t="shared" si="10"/>
        <v>10</v>
      </c>
      <c r="AJ33" s="108">
        <f t="shared" si="5"/>
        <v>0</v>
      </c>
      <c r="AK33" s="108">
        <f t="shared" si="6"/>
        <v>5</v>
      </c>
      <c r="AL33" s="108">
        <f t="shared" si="7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12">
        <v>27</v>
      </c>
      <c r="C34" s="13">
        <v>41811</v>
      </c>
      <c r="D34" s="14" t="s">
        <v>29</v>
      </c>
      <c r="E34" s="15" t="s">
        <v>9</v>
      </c>
      <c r="F34" s="16" t="s">
        <v>33</v>
      </c>
      <c r="G34" s="85">
        <v>3</v>
      </c>
      <c r="H34" s="15" t="s">
        <v>9</v>
      </c>
      <c r="I34" s="90">
        <v>1</v>
      </c>
      <c r="J34" s="17">
        <f t="shared" si="0"/>
        <v>1</v>
      </c>
      <c r="K34" s="11">
        <f t="shared" si="1"/>
        <v>3</v>
      </c>
      <c r="L34" s="11">
        <f t="shared" si="2"/>
        <v>0</v>
      </c>
      <c r="O34" s="48" t="s">
        <v>26</v>
      </c>
      <c r="P34" s="49">
        <f>SUMIF($D$8:$D$55,$O34,$G$8:$G$55)+SUMIF($F$8:$F$55,$O34,$I$8:$I$55)</f>
        <v>4</v>
      </c>
      <c r="Q34" s="49">
        <f>SUMIF($D$8:$D$55,$O34,$I$8:$I$55)+SUMIF($F$8:$F$55,$O34,$G$8:$G$55)</f>
        <v>7</v>
      </c>
      <c r="R34" s="49">
        <f>P34-Q34</f>
        <v>-3</v>
      </c>
      <c r="S34" s="50">
        <f>SUMIF($D$8:$D$55,$O34,$K$8:$K$55)+SUMIF($F$8:$F$55,$O34,$L$8:$L$55)</f>
        <v>3</v>
      </c>
      <c r="T34" s="95" t="s">
        <v>69</v>
      </c>
      <c r="U34" s="40"/>
      <c r="V34" s="40" t="str">
        <f>O34</f>
        <v>Ecuador</v>
      </c>
      <c r="W34" s="40" t="s">
        <v>68</v>
      </c>
      <c r="Y34" s="109">
        <f t="shared" si="8"/>
        <v>5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5</v>
      </c>
      <c r="AG34" s="108">
        <f t="shared" si="3"/>
        <v>0</v>
      </c>
      <c r="AH34" s="108">
        <f t="shared" si="4"/>
        <v>0</v>
      </c>
      <c r="AI34" s="108">
        <f t="shared" si="10"/>
        <v>0</v>
      </c>
      <c r="AJ34" s="108">
        <f t="shared" si="5"/>
        <v>5</v>
      </c>
      <c r="AK34" s="108">
        <f t="shared" si="6"/>
        <v>0</v>
      </c>
      <c r="AL34" s="108">
        <f t="shared" si="7"/>
        <v>0</v>
      </c>
      <c r="AM34" s="120">
        <f>AO34</f>
        <v>10</v>
      </c>
      <c r="AN34" s="117" t="s">
        <v>26</v>
      </c>
      <c r="AO34" s="115">
        <f>IF(Uitslag!T34="",0,IF(T34=Uitslag!T34,10,0))</f>
        <v>10</v>
      </c>
    </row>
    <row r="35" spans="2:41" ht="15.75" thickBot="1">
      <c r="B35" s="18">
        <v>28</v>
      </c>
      <c r="C35" s="19">
        <v>41811</v>
      </c>
      <c r="D35" s="20" t="s">
        <v>31</v>
      </c>
      <c r="E35" s="21" t="s">
        <v>9</v>
      </c>
      <c r="F35" s="30" t="s">
        <v>35</v>
      </c>
      <c r="G35" s="86">
        <v>2</v>
      </c>
      <c r="H35" s="21" t="s">
        <v>9</v>
      </c>
      <c r="I35" s="91">
        <v>0</v>
      </c>
      <c r="J35" s="23">
        <f t="shared" si="0"/>
        <v>1</v>
      </c>
      <c r="K35" s="11">
        <f t="shared" si="1"/>
        <v>3</v>
      </c>
      <c r="L35" s="11">
        <f t="shared" si="2"/>
        <v>0</v>
      </c>
      <c r="O35" s="48" t="s">
        <v>27</v>
      </c>
      <c r="P35" s="49">
        <f>SUMIF($D$8:$D$55,$O35,$G$8:$G$55)+SUMIF($F$8:$F$55,$O35,$I$8:$I$55)</f>
        <v>7</v>
      </c>
      <c r="Q35" s="49">
        <f>SUMIF($D$8:$D$55,$O35,$I$8:$I$55)+SUMIF($F$8:$F$55,$O35,$G$8:$G$55)</f>
        <v>5</v>
      </c>
      <c r="R35" s="49">
        <f>P35-Q35</f>
        <v>2</v>
      </c>
      <c r="S35" s="50">
        <f>SUMIF($D$8:$D$55,$O35,$K$8:$K$55)+SUMIF($F$8:$F$55,$O35,$L$8:$L$55)</f>
        <v>4</v>
      </c>
      <c r="T35" s="95" t="s">
        <v>68</v>
      </c>
      <c r="U35" s="40"/>
      <c r="V35" s="40" t="str">
        <f>O35</f>
        <v>Frankrijk</v>
      </c>
      <c r="W35" s="40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3"/>
        <v>1</v>
      </c>
      <c r="AH35" s="108">
        <f t="shared" si="4"/>
        <v>0</v>
      </c>
      <c r="AI35" s="108">
        <f t="shared" si="10"/>
        <v>0</v>
      </c>
      <c r="AJ35" s="108">
        <f t="shared" si="5"/>
        <v>0</v>
      </c>
      <c r="AK35" s="108">
        <f t="shared" si="6"/>
        <v>0</v>
      </c>
      <c r="AL35" s="108">
        <f t="shared" si="7"/>
        <v>0</v>
      </c>
      <c r="AM35" s="120">
        <f>AO35</f>
        <v>0</v>
      </c>
      <c r="AN35" s="117" t="s">
        <v>27</v>
      </c>
      <c r="AO35" s="115">
        <f>IF(Uitslag!T35="",0,IF(T35=Uitslag!T35,10,0))</f>
        <v>0</v>
      </c>
    </row>
    <row r="36" spans="2:41" ht="15.75" thickBot="1">
      <c r="B36" s="24">
        <v>29</v>
      </c>
      <c r="C36" s="25">
        <v>41811</v>
      </c>
      <c r="D36" s="26" t="s">
        <v>34</v>
      </c>
      <c r="E36" s="27" t="s">
        <v>9</v>
      </c>
      <c r="F36" s="28" t="s">
        <v>30</v>
      </c>
      <c r="G36" s="87">
        <v>1</v>
      </c>
      <c r="H36" s="27" t="s">
        <v>9</v>
      </c>
      <c r="I36" s="92">
        <v>1</v>
      </c>
      <c r="J36" s="29">
        <f t="shared" si="0"/>
        <v>3</v>
      </c>
      <c r="K36" s="11">
        <f t="shared" si="1"/>
        <v>1</v>
      </c>
      <c r="L36" s="11">
        <f t="shared" si="2"/>
        <v>1</v>
      </c>
      <c r="O36" s="51" t="s">
        <v>28</v>
      </c>
      <c r="P36" s="52">
        <f>SUMIF($D$8:$D$55,$O36,$G$8:$G$55)+SUMIF($F$8:$F$55,$O36,$I$8:$I$55)</f>
        <v>3</v>
      </c>
      <c r="Q36" s="52">
        <f>SUMIF($D$8:$D$55,$O36,$I$8:$I$55)+SUMIF($F$8:$F$55,$O36,$G$8:$G$55)</f>
        <v>7</v>
      </c>
      <c r="R36" s="52">
        <f>P36-Q36</f>
        <v>-4</v>
      </c>
      <c r="S36" s="53">
        <f>SUMIF($D$8:$D$55,$O36,$K$8:$K$55)+SUMIF($F$8:$F$55,$O36,$L$8:$L$55)</f>
        <v>1</v>
      </c>
      <c r="T36" s="96" t="s">
        <v>70</v>
      </c>
      <c r="U36" s="40"/>
      <c r="V36" s="40" t="str">
        <f>O36</f>
        <v>Honduras</v>
      </c>
      <c r="W36" s="40" t="s">
        <v>70</v>
      </c>
      <c r="Y36" s="109">
        <f t="shared" si="8"/>
        <v>1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1</v>
      </c>
      <c r="AG36" s="108">
        <f t="shared" si="3"/>
        <v>1</v>
      </c>
      <c r="AH36" s="108">
        <f t="shared" si="4"/>
        <v>0</v>
      </c>
      <c r="AI36" s="108">
        <f t="shared" si="10"/>
        <v>0</v>
      </c>
      <c r="AJ36" s="108">
        <f t="shared" si="5"/>
        <v>0</v>
      </c>
      <c r="AK36" s="108">
        <f t="shared" si="6"/>
        <v>0</v>
      </c>
      <c r="AL36" s="108">
        <f t="shared" si="7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12">
        <v>30</v>
      </c>
      <c r="C37" s="13">
        <v>41812</v>
      </c>
      <c r="D37" s="14" t="s">
        <v>37</v>
      </c>
      <c r="E37" s="15" t="s">
        <v>9</v>
      </c>
      <c r="F37" s="16" t="s">
        <v>39</v>
      </c>
      <c r="G37" s="85">
        <v>2</v>
      </c>
      <c r="H37" s="15" t="s">
        <v>9</v>
      </c>
      <c r="I37" s="90">
        <v>1</v>
      </c>
      <c r="J37" s="17">
        <f t="shared" si="0"/>
        <v>1</v>
      </c>
      <c r="K37" s="11">
        <f t="shared" si="1"/>
        <v>3</v>
      </c>
      <c r="L37" s="11">
        <f t="shared" si="2"/>
        <v>0</v>
      </c>
      <c r="O37" s="40"/>
      <c r="P37" s="41"/>
      <c r="Q37" s="41"/>
      <c r="R37" s="41"/>
      <c r="S37" s="41"/>
      <c r="T37" s="41"/>
      <c r="U37" s="40"/>
      <c r="V37" s="40"/>
      <c r="W37" s="40"/>
      <c r="Y37" s="109">
        <f t="shared" si="8"/>
        <v>5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5</v>
      </c>
      <c r="AG37" s="108">
        <f t="shared" si="3"/>
        <v>0</v>
      </c>
      <c r="AH37" s="108">
        <f t="shared" si="4"/>
        <v>0</v>
      </c>
      <c r="AI37" s="108">
        <f t="shared" si="10"/>
        <v>0</v>
      </c>
      <c r="AJ37" s="108">
        <f t="shared" si="5"/>
        <v>5</v>
      </c>
      <c r="AK37" s="108">
        <f t="shared" si="6"/>
        <v>0</v>
      </c>
      <c r="AL37" s="108">
        <f t="shared" si="7"/>
        <v>0</v>
      </c>
      <c r="AN37" s="40"/>
      <c r="AO37" s="41"/>
    </row>
    <row r="38" spans="2:41" ht="15.75" thickBot="1">
      <c r="B38" s="18">
        <v>31</v>
      </c>
      <c r="C38" s="19">
        <v>41812</v>
      </c>
      <c r="D38" s="20" t="s">
        <v>40</v>
      </c>
      <c r="E38" s="21" t="s">
        <v>9</v>
      </c>
      <c r="F38" s="30" t="s">
        <v>38</v>
      </c>
      <c r="G38" s="86">
        <v>0</v>
      </c>
      <c r="H38" s="21" t="s">
        <v>9</v>
      </c>
      <c r="I38" s="91">
        <v>2</v>
      </c>
      <c r="J38" s="23">
        <f t="shared" si="0"/>
        <v>2</v>
      </c>
      <c r="K38" s="11">
        <f t="shared" si="1"/>
        <v>0</v>
      </c>
      <c r="L38" s="11">
        <f t="shared" si="2"/>
        <v>3</v>
      </c>
      <c r="O38" s="72" t="s">
        <v>71</v>
      </c>
      <c r="P38" s="73" t="s">
        <v>42</v>
      </c>
      <c r="Q38" s="73" t="s">
        <v>43</v>
      </c>
      <c r="R38" s="74" t="s">
        <v>44</v>
      </c>
      <c r="S38" s="75" t="s">
        <v>45</v>
      </c>
      <c r="T38" s="76" t="s">
        <v>46</v>
      </c>
      <c r="U38" s="40"/>
      <c r="V38" s="40"/>
      <c r="W38" s="40"/>
      <c r="Y38" s="109">
        <f t="shared" si="8"/>
        <v>5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5</v>
      </c>
      <c r="AG38" s="108">
        <f t="shared" si="3"/>
        <v>0</v>
      </c>
      <c r="AH38" s="108">
        <f t="shared" si="4"/>
        <v>0</v>
      </c>
      <c r="AI38" s="108">
        <f t="shared" si="10"/>
        <v>0</v>
      </c>
      <c r="AJ38" s="108">
        <f t="shared" si="5"/>
        <v>0</v>
      </c>
      <c r="AK38" s="108">
        <f t="shared" si="6"/>
        <v>5</v>
      </c>
      <c r="AL38" s="108">
        <f t="shared" si="7"/>
        <v>0</v>
      </c>
      <c r="AN38" s="42" t="s">
        <v>71</v>
      </c>
      <c r="AO38" s="43" t="s">
        <v>46</v>
      </c>
    </row>
    <row r="39" spans="2:41" ht="15.75" thickBot="1">
      <c r="B39" s="24">
        <v>32</v>
      </c>
      <c r="C39" s="25">
        <v>41812</v>
      </c>
      <c r="D39" s="26" t="s">
        <v>36</v>
      </c>
      <c r="E39" s="27" t="s">
        <v>9</v>
      </c>
      <c r="F39" s="28" t="s">
        <v>32</v>
      </c>
      <c r="G39" s="87">
        <v>1</v>
      </c>
      <c r="H39" s="27" t="s">
        <v>9</v>
      </c>
      <c r="I39" s="92">
        <v>3</v>
      </c>
      <c r="J39" s="29">
        <f t="shared" si="0"/>
        <v>2</v>
      </c>
      <c r="K39" s="11">
        <f t="shared" si="1"/>
        <v>0</v>
      </c>
      <c r="L39" s="11">
        <f t="shared" si="2"/>
        <v>3</v>
      </c>
      <c r="O39" s="44" t="s">
        <v>29</v>
      </c>
      <c r="P39" s="45">
        <f>SUMIF($D$8:$D$55,$O39,$G$8:$G$55)+SUMIF($F$8:$F$55,$O39,$I$8:$I$55)</f>
        <v>7</v>
      </c>
      <c r="Q39" s="45">
        <f>SUMIF($D$8:$D$55,$O39,$I$8:$I$55)+SUMIF($F$8:$F$55,$O39,$G$8:$G$55)</f>
        <v>2</v>
      </c>
      <c r="R39" s="46">
        <f>P39-Q39</f>
        <v>5</v>
      </c>
      <c r="S39" s="47">
        <f>SUMIF($D$8:$D$55,$O39,$K$8:$K$55)+SUMIF($F$8:$F$55,$O39,$L$8:$L$55)</f>
        <v>9</v>
      </c>
      <c r="T39" s="94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0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0</v>
      </c>
      <c r="AG39" s="108">
        <f t="shared" si="3"/>
        <v>0</v>
      </c>
      <c r="AH39" s="108">
        <f t="shared" si="4"/>
        <v>0</v>
      </c>
      <c r="AI39" s="108">
        <f t="shared" si="10"/>
        <v>0</v>
      </c>
      <c r="AJ39" s="108">
        <f t="shared" si="5"/>
        <v>0</v>
      </c>
      <c r="AK39" s="108">
        <f t="shared" si="6"/>
        <v>0</v>
      </c>
      <c r="AL39" s="108">
        <f t="shared" si="7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12">
        <v>33</v>
      </c>
      <c r="C40" s="13">
        <v>41813</v>
      </c>
      <c r="D40" s="14" t="s">
        <v>16</v>
      </c>
      <c r="E40" s="15" t="s">
        <v>9</v>
      </c>
      <c r="F40" s="16" t="s">
        <v>13</v>
      </c>
      <c r="G40" s="85">
        <v>1</v>
      </c>
      <c r="H40" s="15" t="s">
        <v>9</v>
      </c>
      <c r="I40" s="90">
        <v>2</v>
      </c>
      <c r="J40" s="17">
        <f t="shared" si="0"/>
        <v>2</v>
      </c>
      <c r="K40" s="11">
        <f t="shared" si="1"/>
        <v>0</v>
      </c>
      <c r="L40" s="11">
        <f t="shared" si="2"/>
        <v>3</v>
      </c>
      <c r="O40" s="48" t="s">
        <v>30</v>
      </c>
      <c r="P40" s="49">
        <f>SUMIF($D$8:$D$55,$O40,$G$8:$G$55)+SUMIF($F$8:$F$55,$O40,$I$8:$I$55)</f>
        <v>1</v>
      </c>
      <c r="Q40" s="49">
        <f>SUMIF($D$8:$D$55,$O40,$I$8:$I$55)+SUMIF($F$8:$F$55,$O40,$G$8:$G$55)</f>
        <v>4</v>
      </c>
      <c r="R40" s="49">
        <f>P40-Q40</f>
        <v>-3</v>
      </c>
      <c r="S40" s="50">
        <f>SUMIF($D$8:$D$55,$O40,$K$8:$K$55)+SUMIF($F$8:$F$55,$O40,$L$8:$L$55)</f>
        <v>1</v>
      </c>
      <c r="T40" s="95" t="s">
        <v>75</v>
      </c>
      <c r="U40" s="40"/>
      <c r="V40" s="40" t="str">
        <f>O40</f>
        <v>Bosnië H.</v>
      </c>
      <c r="W40" s="40" t="s">
        <v>73</v>
      </c>
      <c r="Y40" s="109">
        <f t="shared" si="8"/>
        <v>5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5</v>
      </c>
      <c r="AG40" s="108">
        <f t="shared" si="3"/>
        <v>0</v>
      </c>
      <c r="AH40" s="108">
        <f t="shared" si="4"/>
        <v>0</v>
      </c>
      <c r="AI40" s="108">
        <f t="shared" si="10"/>
        <v>0</v>
      </c>
      <c r="AJ40" s="108">
        <f t="shared" si="5"/>
        <v>0</v>
      </c>
      <c r="AK40" s="108">
        <f t="shared" si="6"/>
        <v>5</v>
      </c>
      <c r="AL40" s="108">
        <f t="shared" si="7"/>
        <v>0</v>
      </c>
      <c r="AM40" s="120">
        <f>AO40</f>
        <v>0</v>
      </c>
      <c r="AN40" s="117" t="s">
        <v>30</v>
      </c>
      <c r="AO40" s="115">
        <f>IF(Uitslag!T40="",0,IF(T40=Uitslag!T40,10,0))</f>
        <v>0</v>
      </c>
    </row>
    <row r="41" spans="2:41" ht="15.75" thickBot="1">
      <c r="B41" s="18">
        <v>34</v>
      </c>
      <c r="C41" s="19">
        <v>41813</v>
      </c>
      <c r="D41" s="32" t="s">
        <v>14</v>
      </c>
      <c r="E41" s="21" t="s">
        <v>9</v>
      </c>
      <c r="F41" s="30" t="s">
        <v>15</v>
      </c>
      <c r="G41" s="86">
        <v>2</v>
      </c>
      <c r="H41" s="21" t="s">
        <v>9</v>
      </c>
      <c r="I41" s="91">
        <v>1</v>
      </c>
      <c r="J41" s="23">
        <f t="shared" si="0"/>
        <v>1</v>
      </c>
      <c r="K41" s="11">
        <f t="shared" si="1"/>
        <v>3</v>
      </c>
      <c r="L41" s="11">
        <f t="shared" si="2"/>
        <v>0</v>
      </c>
      <c r="O41" s="48" t="s">
        <v>33</v>
      </c>
      <c r="P41" s="49">
        <f>SUMIF($D$8:$D$55,$O41,$G$8:$G$55)+SUMIF($F$8:$F$55,$O41,$I$8:$I$55)</f>
        <v>2</v>
      </c>
      <c r="Q41" s="49">
        <f>SUMIF($D$8:$D$55,$O41,$I$8:$I$55)+SUMIF($F$8:$F$55,$O41,$G$8:$G$55)</f>
        <v>5</v>
      </c>
      <c r="R41" s="49">
        <f>P41-Q41</f>
        <v>-3</v>
      </c>
      <c r="S41" s="50">
        <f>SUMIF($D$8:$D$55,$O41,$K$8:$K$55)+SUMIF($F$8:$F$55,$O41,$L$8:$L$55)</f>
        <v>3</v>
      </c>
      <c r="T41" s="95" t="s">
        <v>74</v>
      </c>
      <c r="U41" s="40"/>
      <c r="V41" s="40" t="str">
        <f>O41</f>
        <v>Iran</v>
      </c>
      <c r="W41" s="40" t="s">
        <v>74</v>
      </c>
      <c r="Y41" s="109">
        <f t="shared" si="8"/>
        <v>6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6</v>
      </c>
      <c r="AG41" s="108">
        <f t="shared" si="3"/>
        <v>1</v>
      </c>
      <c r="AH41" s="108">
        <f t="shared" si="4"/>
        <v>0</v>
      </c>
      <c r="AI41" s="108">
        <f t="shared" si="10"/>
        <v>0</v>
      </c>
      <c r="AJ41" s="108">
        <f t="shared" si="5"/>
        <v>5</v>
      </c>
      <c r="AK41" s="108">
        <f t="shared" si="6"/>
        <v>0</v>
      </c>
      <c r="AL41" s="108">
        <f t="shared" si="7"/>
        <v>0</v>
      </c>
      <c r="AM41" s="120">
        <f>AO41</f>
        <v>0</v>
      </c>
      <c r="AN41" s="117" t="s">
        <v>33</v>
      </c>
      <c r="AO41" s="115">
        <f>IF(Uitslag!T41="",0,IF(T41=Uitslag!T41,10,0))</f>
        <v>0</v>
      </c>
    </row>
    <row r="42" spans="2:41" ht="15.75" thickBot="1">
      <c r="B42" s="18">
        <v>35</v>
      </c>
      <c r="C42" s="19">
        <v>41813</v>
      </c>
      <c r="D42" s="20" t="s">
        <v>12</v>
      </c>
      <c r="E42" s="21" t="s">
        <v>9</v>
      </c>
      <c r="F42" s="30" t="s">
        <v>8</v>
      </c>
      <c r="G42" s="86">
        <v>1</v>
      </c>
      <c r="H42" s="21" t="s">
        <v>9</v>
      </c>
      <c r="I42" s="91">
        <v>3</v>
      </c>
      <c r="J42" s="23">
        <f t="shared" si="0"/>
        <v>2</v>
      </c>
      <c r="K42" s="11">
        <f t="shared" si="1"/>
        <v>0</v>
      </c>
      <c r="L42" s="11">
        <f t="shared" si="2"/>
        <v>3</v>
      </c>
      <c r="O42" s="51" t="s">
        <v>34</v>
      </c>
      <c r="P42" s="52">
        <f>SUMIF($D$8:$D$55,$O42,$G$8:$G$55)+SUMIF($F$8:$F$55,$O42,$I$8:$I$55)</f>
        <v>4</v>
      </c>
      <c r="Q42" s="52">
        <f>SUMIF($D$8:$D$55,$O42,$I$8:$I$55)+SUMIF($F$8:$F$55,$O42,$G$8:$G$55)</f>
        <v>3</v>
      </c>
      <c r="R42" s="52">
        <f>P42-Q42</f>
        <v>1</v>
      </c>
      <c r="S42" s="53">
        <f>SUMIF($D$8:$D$55,$O42,$K$8:$K$55)+SUMIF($F$8:$F$55,$O42,$L$8:$L$55)</f>
        <v>4</v>
      </c>
      <c r="T42" s="96" t="s">
        <v>73</v>
      </c>
      <c r="U42" s="40"/>
      <c r="V42" s="40" t="str">
        <f>O42</f>
        <v>Nigeria</v>
      </c>
      <c r="W42" s="40" t="s">
        <v>75</v>
      </c>
      <c r="Y42" s="109">
        <f t="shared" si="8"/>
        <v>6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6</v>
      </c>
      <c r="AG42" s="108">
        <f t="shared" si="3"/>
        <v>1</v>
      </c>
      <c r="AH42" s="108">
        <f t="shared" si="4"/>
        <v>0</v>
      </c>
      <c r="AI42" s="108">
        <f t="shared" si="10"/>
        <v>0</v>
      </c>
      <c r="AJ42" s="108">
        <f t="shared" si="5"/>
        <v>0</v>
      </c>
      <c r="AK42" s="108">
        <f t="shared" si="6"/>
        <v>5</v>
      </c>
      <c r="AL42" s="108">
        <f t="shared" si="7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24">
        <v>36</v>
      </c>
      <c r="C43" s="25">
        <v>41813</v>
      </c>
      <c r="D43" s="26" t="s">
        <v>10</v>
      </c>
      <c r="E43" s="27" t="s">
        <v>9</v>
      </c>
      <c r="F43" s="28" t="s">
        <v>11</v>
      </c>
      <c r="G43" s="87">
        <v>0</v>
      </c>
      <c r="H43" s="27" t="s">
        <v>9</v>
      </c>
      <c r="I43" s="92">
        <v>1</v>
      </c>
      <c r="J43" s="29">
        <f t="shared" si="0"/>
        <v>2</v>
      </c>
      <c r="K43" s="11">
        <f t="shared" si="1"/>
        <v>0</v>
      </c>
      <c r="L43" s="11">
        <f t="shared" si="2"/>
        <v>3</v>
      </c>
      <c r="O43" s="40"/>
      <c r="P43" s="41"/>
      <c r="Q43" s="41"/>
      <c r="R43" s="41"/>
      <c r="S43" s="41"/>
      <c r="T43" s="41"/>
      <c r="U43" s="40"/>
      <c r="V43" s="40"/>
      <c r="W43" s="40"/>
      <c r="Y43" s="109">
        <f t="shared" si="8"/>
        <v>5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5</v>
      </c>
      <c r="AG43" s="108">
        <f t="shared" si="3"/>
        <v>0</v>
      </c>
      <c r="AH43" s="108">
        <f t="shared" si="4"/>
        <v>0</v>
      </c>
      <c r="AI43" s="108">
        <f t="shared" si="10"/>
        <v>0</v>
      </c>
      <c r="AJ43" s="108">
        <f t="shared" si="5"/>
        <v>0</v>
      </c>
      <c r="AK43" s="108">
        <f t="shared" si="6"/>
        <v>5</v>
      </c>
      <c r="AL43" s="108">
        <f t="shared" si="7"/>
        <v>0</v>
      </c>
      <c r="AN43" s="40"/>
      <c r="AO43" s="41"/>
    </row>
    <row r="44" spans="2:41" ht="15.75" thickBot="1">
      <c r="B44" s="12">
        <v>37</v>
      </c>
      <c r="C44" s="13">
        <v>41814</v>
      </c>
      <c r="D44" s="14" t="s">
        <v>22</v>
      </c>
      <c r="E44" s="15" t="s">
        <v>9</v>
      </c>
      <c r="F44" s="16" t="s">
        <v>19</v>
      </c>
      <c r="G44" s="85">
        <v>2</v>
      </c>
      <c r="H44" s="15" t="s">
        <v>9</v>
      </c>
      <c r="I44" s="90">
        <v>1</v>
      </c>
      <c r="J44" s="17">
        <f t="shared" si="0"/>
        <v>1</v>
      </c>
      <c r="K44" s="11">
        <f t="shared" si="1"/>
        <v>3</v>
      </c>
      <c r="L44" s="11">
        <f t="shared" si="2"/>
        <v>0</v>
      </c>
      <c r="O44" s="72" t="s">
        <v>76</v>
      </c>
      <c r="P44" s="73" t="s">
        <v>42</v>
      </c>
      <c r="Q44" s="73" t="s">
        <v>43</v>
      </c>
      <c r="R44" s="74" t="s">
        <v>44</v>
      </c>
      <c r="S44" s="75" t="s">
        <v>45</v>
      </c>
      <c r="T44" s="76" t="s">
        <v>46</v>
      </c>
      <c r="U44" s="40"/>
      <c r="V44" s="40"/>
      <c r="W44" s="40"/>
      <c r="Y44" s="109">
        <f t="shared" si="8"/>
        <v>1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1</v>
      </c>
      <c r="AG44" s="108">
        <f t="shared" si="3"/>
        <v>0</v>
      </c>
      <c r="AH44" s="108">
        <f t="shared" si="4"/>
        <v>1</v>
      </c>
      <c r="AI44" s="108">
        <f t="shared" si="10"/>
        <v>0</v>
      </c>
      <c r="AJ44" s="108">
        <f t="shared" si="5"/>
        <v>0</v>
      </c>
      <c r="AK44" s="108">
        <f t="shared" si="6"/>
        <v>0</v>
      </c>
      <c r="AL44" s="108">
        <f t="shared" si="7"/>
        <v>0</v>
      </c>
      <c r="AN44" s="42" t="s">
        <v>76</v>
      </c>
      <c r="AO44" s="43" t="s">
        <v>46</v>
      </c>
    </row>
    <row r="45" spans="2:41" ht="15.75" thickBot="1">
      <c r="B45" s="18">
        <v>38</v>
      </c>
      <c r="C45" s="19">
        <v>41814</v>
      </c>
      <c r="D45" s="20" t="s">
        <v>20</v>
      </c>
      <c r="E45" s="21" t="s">
        <v>9</v>
      </c>
      <c r="F45" s="30" t="s">
        <v>21</v>
      </c>
      <c r="G45" s="86">
        <v>0</v>
      </c>
      <c r="H45" s="21" t="s">
        <v>9</v>
      </c>
      <c r="I45" s="91">
        <v>1</v>
      </c>
      <c r="J45" s="23">
        <f t="shared" si="0"/>
        <v>2</v>
      </c>
      <c r="K45" s="11">
        <f t="shared" si="1"/>
        <v>0</v>
      </c>
      <c r="L45" s="11">
        <f t="shared" si="2"/>
        <v>3</v>
      </c>
      <c r="O45" s="44" t="s">
        <v>31</v>
      </c>
      <c r="P45" s="45">
        <f>SUMIF($D$8:$D$55,$O45,$G$8:$G$55)+SUMIF($F$8:$F$55,$O45,$I$8:$I$55)</f>
        <v>5</v>
      </c>
      <c r="Q45" s="45">
        <f>SUMIF($D$8:$D$55,$O45,$I$8:$I$55)+SUMIF($F$8:$F$55,$O45,$G$8:$G$55)</f>
        <v>2</v>
      </c>
      <c r="R45" s="46">
        <f>P45-Q45</f>
        <v>3</v>
      </c>
      <c r="S45" s="47">
        <f>SUMIF($D$8:$D$55,$O45,$K$8:$K$55)+SUMIF($F$8:$F$55,$O45,$L$8:$L$55)</f>
        <v>7</v>
      </c>
      <c r="T45" s="94" t="s">
        <v>77</v>
      </c>
      <c r="U45" s="40"/>
      <c r="V45" s="40" t="str">
        <f>O45</f>
        <v>Duitsland</v>
      </c>
      <c r="W45" s="40" t="s">
        <v>77</v>
      </c>
      <c r="Y45" s="109">
        <f t="shared" si="8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1</v>
      </c>
      <c r="AG45" s="108">
        <f t="shared" si="3"/>
        <v>1</v>
      </c>
      <c r="AH45" s="108">
        <f t="shared" si="4"/>
        <v>0</v>
      </c>
      <c r="AI45" s="108">
        <f t="shared" si="10"/>
        <v>0</v>
      </c>
      <c r="AJ45" s="108">
        <f t="shared" si="5"/>
        <v>0</v>
      </c>
      <c r="AK45" s="108">
        <f t="shared" si="6"/>
        <v>0</v>
      </c>
      <c r="AL45" s="108">
        <f t="shared" si="7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18">
        <v>39</v>
      </c>
      <c r="C46" s="19">
        <v>41814</v>
      </c>
      <c r="D46" s="20" t="s">
        <v>24</v>
      </c>
      <c r="E46" s="21" t="s">
        <v>9</v>
      </c>
      <c r="F46" s="30" t="s">
        <v>17</v>
      </c>
      <c r="G46" s="86">
        <v>1</v>
      </c>
      <c r="H46" s="21" t="s">
        <v>9</v>
      </c>
      <c r="I46" s="91">
        <v>2</v>
      </c>
      <c r="J46" s="23">
        <f t="shared" si="0"/>
        <v>2</v>
      </c>
      <c r="K46" s="11">
        <f t="shared" si="1"/>
        <v>0</v>
      </c>
      <c r="L46" s="11">
        <f t="shared" si="2"/>
        <v>3</v>
      </c>
      <c r="O46" s="48" t="s">
        <v>32</v>
      </c>
      <c r="P46" s="49">
        <f>SUMIF($D$8:$D$55,$O46,$G$8:$G$55)+SUMIF($F$8:$F$55,$O46,$I$8:$I$55)</f>
        <v>6</v>
      </c>
      <c r="Q46" s="49">
        <f>SUMIF($D$8:$D$55,$O46,$I$8:$I$55)+SUMIF($F$8:$F$55,$O46,$G$8:$G$55)</f>
        <v>3</v>
      </c>
      <c r="R46" s="49">
        <f>P46-Q46</f>
        <v>3</v>
      </c>
      <c r="S46" s="50">
        <f>SUMIF($D$8:$D$55,$O46,$K$8:$K$55)+SUMIF($F$8:$F$55,$O46,$L$8:$L$55)</f>
        <v>7</v>
      </c>
      <c r="T46" s="95" t="s">
        <v>78</v>
      </c>
      <c r="U46" s="40"/>
      <c r="V46" s="40" t="str">
        <f>O46</f>
        <v>Portugal</v>
      </c>
      <c r="W46" s="40" t="s">
        <v>78</v>
      </c>
      <c r="Y46" s="109">
        <f t="shared" si="8"/>
        <v>6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6</v>
      </c>
      <c r="AG46" s="108">
        <f t="shared" si="3"/>
        <v>1</v>
      </c>
      <c r="AH46" s="108">
        <f t="shared" si="4"/>
        <v>0</v>
      </c>
      <c r="AI46" s="108">
        <f t="shared" si="10"/>
        <v>0</v>
      </c>
      <c r="AJ46" s="108">
        <f t="shared" si="5"/>
        <v>0</v>
      </c>
      <c r="AK46" s="108">
        <f t="shared" si="6"/>
        <v>5</v>
      </c>
      <c r="AL46" s="108">
        <f t="shared" si="7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24">
        <v>40</v>
      </c>
      <c r="C47" s="25">
        <v>41814</v>
      </c>
      <c r="D47" s="26" t="s">
        <v>18</v>
      </c>
      <c r="E47" s="27" t="s">
        <v>9</v>
      </c>
      <c r="F47" s="28" t="s">
        <v>23</v>
      </c>
      <c r="G47" s="87">
        <v>2</v>
      </c>
      <c r="H47" s="27" t="s">
        <v>9</v>
      </c>
      <c r="I47" s="92">
        <v>1</v>
      </c>
      <c r="J47" s="29">
        <f t="shared" si="0"/>
        <v>1</v>
      </c>
      <c r="K47" s="11">
        <f t="shared" si="1"/>
        <v>3</v>
      </c>
      <c r="L47" s="11">
        <f t="shared" si="2"/>
        <v>0</v>
      </c>
      <c r="O47" s="48" t="s">
        <v>35</v>
      </c>
      <c r="P47" s="49">
        <f>SUMIF($D$8:$D$55,$O47,$G$8:$G$55)+SUMIF($F$8:$F$55,$O47,$I$8:$I$55)</f>
        <v>2</v>
      </c>
      <c r="Q47" s="49">
        <f>SUMIF($D$8:$D$55,$O47,$I$8:$I$55)+SUMIF($F$8:$F$55,$O47,$G$8:$G$55)</f>
        <v>5</v>
      </c>
      <c r="R47" s="49">
        <f>P47-Q47</f>
        <v>-3</v>
      </c>
      <c r="S47" s="50">
        <f>SUMIF($D$8:$D$55,$O47,$K$8:$K$55)+SUMIF($F$8:$F$55,$O47,$L$8:$L$55)</f>
        <v>1</v>
      </c>
      <c r="T47" s="95" t="s">
        <v>79</v>
      </c>
      <c r="U47" s="40"/>
      <c r="V47" s="40" t="str">
        <f>O47</f>
        <v>Ghana</v>
      </c>
      <c r="W47" s="40" t="s">
        <v>79</v>
      </c>
      <c r="Y47" s="109">
        <f t="shared" si="8"/>
        <v>10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10</v>
      </c>
      <c r="AG47" s="108">
        <f t="shared" si="3"/>
        <v>1</v>
      </c>
      <c r="AH47" s="108">
        <f t="shared" si="4"/>
        <v>1</v>
      </c>
      <c r="AI47" s="108">
        <f t="shared" si="10"/>
        <v>10</v>
      </c>
      <c r="AJ47" s="108">
        <f t="shared" si="5"/>
        <v>5</v>
      </c>
      <c r="AK47" s="108">
        <f t="shared" si="6"/>
        <v>0</v>
      </c>
      <c r="AL47" s="108">
        <f t="shared" si="7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12">
        <v>41</v>
      </c>
      <c r="C48" s="13">
        <v>41815</v>
      </c>
      <c r="D48" s="14" t="s">
        <v>34</v>
      </c>
      <c r="E48" s="15" t="s">
        <v>9</v>
      </c>
      <c r="F48" s="16" t="s">
        <v>29</v>
      </c>
      <c r="G48" s="85">
        <v>1</v>
      </c>
      <c r="H48" s="15" t="s">
        <v>9</v>
      </c>
      <c r="I48" s="90">
        <v>2</v>
      </c>
      <c r="J48" s="17">
        <f t="shared" si="0"/>
        <v>2</v>
      </c>
      <c r="K48" s="11">
        <f t="shared" si="1"/>
        <v>0</v>
      </c>
      <c r="L48" s="11">
        <f t="shared" si="2"/>
        <v>3</v>
      </c>
      <c r="O48" s="51" t="s">
        <v>36</v>
      </c>
      <c r="P48" s="52">
        <f>SUMIF($D$8:$D$55,$O48,$G$8:$G$55)+SUMIF($F$8:$F$55,$O48,$I$8:$I$55)</f>
        <v>3</v>
      </c>
      <c r="Q48" s="52">
        <f>SUMIF($D$8:$D$55,$O48,$I$8:$I$55)+SUMIF($F$8:$F$55,$O48,$G$8:$G$55)</f>
        <v>6</v>
      </c>
      <c r="R48" s="52">
        <f>P48-Q48</f>
        <v>-3</v>
      </c>
      <c r="S48" s="53">
        <f>SUMIF($D$8:$D$55,$O48,$K$8:$K$55)+SUMIF($F$8:$F$55,$O48,$L$8:$L$55)</f>
        <v>1</v>
      </c>
      <c r="T48" s="96" t="s">
        <v>80</v>
      </c>
      <c r="U48" s="40"/>
      <c r="V48" s="40" t="str">
        <f>O48</f>
        <v>Verenigde Staten</v>
      </c>
      <c r="W48" s="40" t="s">
        <v>80</v>
      </c>
      <c r="Y48" s="109">
        <f t="shared" si="8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5</v>
      </c>
      <c r="AG48" s="108">
        <f t="shared" si="3"/>
        <v>0</v>
      </c>
      <c r="AH48" s="108">
        <f t="shared" si="4"/>
        <v>0</v>
      </c>
      <c r="AI48" s="108">
        <f t="shared" si="10"/>
        <v>0</v>
      </c>
      <c r="AJ48" s="108">
        <f t="shared" si="5"/>
        <v>0</v>
      </c>
      <c r="AK48" s="108">
        <f t="shared" si="6"/>
        <v>5</v>
      </c>
      <c r="AL48" s="108">
        <f t="shared" si="7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18">
        <v>42</v>
      </c>
      <c r="C49" s="19">
        <v>41815</v>
      </c>
      <c r="D49" s="20" t="s">
        <v>30</v>
      </c>
      <c r="E49" s="21" t="s">
        <v>9</v>
      </c>
      <c r="F49" s="30" t="s">
        <v>33</v>
      </c>
      <c r="G49" s="86">
        <v>0</v>
      </c>
      <c r="H49" s="21" t="s">
        <v>9</v>
      </c>
      <c r="I49" s="91">
        <v>1</v>
      </c>
      <c r="J49" s="23">
        <f t="shared" si="0"/>
        <v>2</v>
      </c>
      <c r="K49" s="11">
        <f t="shared" si="1"/>
        <v>0</v>
      </c>
      <c r="L49" s="11">
        <f t="shared" si="2"/>
        <v>3</v>
      </c>
      <c r="O49" s="40"/>
      <c r="P49" s="41"/>
      <c r="Q49" s="41"/>
      <c r="R49" s="41"/>
      <c r="S49" s="41"/>
      <c r="T49" s="41"/>
      <c r="U49" s="40"/>
      <c r="V49" s="40"/>
      <c r="W49" s="40"/>
      <c r="Y49" s="109">
        <f t="shared" si="8"/>
        <v>1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1</v>
      </c>
      <c r="AG49" s="108">
        <f t="shared" si="3"/>
        <v>0</v>
      </c>
      <c r="AH49" s="108">
        <f t="shared" si="4"/>
        <v>1</v>
      </c>
      <c r="AI49" s="108">
        <f t="shared" si="10"/>
        <v>0</v>
      </c>
      <c r="AJ49" s="108">
        <f t="shared" si="5"/>
        <v>0</v>
      </c>
      <c r="AK49" s="108">
        <f t="shared" si="6"/>
        <v>0</v>
      </c>
      <c r="AL49" s="108">
        <f t="shared" si="7"/>
        <v>0</v>
      </c>
      <c r="AN49" s="40"/>
      <c r="AO49" s="41"/>
    </row>
    <row r="50" spans="2:54" ht="15.75" thickBot="1">
      <c r="B50" s="18">
        <v>43</v>
      </c>
      <c r="C50" s="19">
        <v>41815</v>
      </c>
      <c r="D50" s="20" t="s">
        <v>28</v>
      </c>
      <c r="E50" s="21" t="s">
        <v>9</v>
      </c>
      <c r="F50" s="30" t="s">
        <v>25</v>
      </c>
      <c r="G50" s="86">
        <v>0</v>
      </c>
      <c r="H50" s="21" t="s">
        <v>9</v>
      </c>
      <c r="I50" s="91">
        <v>3</v>
      </c>
      <c r="J50" s="23">
        <f t="shared" si="0"/>
        <v>2</v>
      </c>
      <c r="K50" s="11">
        <f t="shared" si="1"/>
        <v>0</v>
      </c>
      <c r="L50" s="11">
        <f t="shared" si="2"/>
        <v>3</v>
      </c>
      <c r="O50" s="72" t="s">
        <v>81</v>
      </c>
      <c r="P50" s="73" t="s">
        <v>42</v>
      </c>
      <c r="Q50" s="73" t="s">
        <v>43</v>
      </c>
      <c r="R50" s="74" t="s">
        <v>44</v>
      </c>
      <c r="S50" s="75" t="s">
        <v>45</v>
      </c>
      <c r="T50" s="76" t="s">
        <v>46</v>
      </c>
      <c r="U50" s="40"/>
      <c r="V50" s="40"/>
      <c r="W50" s="40"/>
      <c r="Y50" s="109">
        <f t="shared" si="8"/>
        <v>10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10</v>
      </c>
      <c r="AG50" s="108">
        <f t="shared" si="3"/>
        <v>1</v>
      </c>
      <c r="AH50" s="108">
        <f t="shared" si="4"/>
        <v>1</v>
      </c>
      <c r="AI50" s="108">
        <f t="shared" si="10"/>
        <v>10</v>
      </c>
      <c r="AJ50" s="108">
        <f t="shared" si="5"/>
        <v>0</v>
      </c>
      <c r="AK50" s="108">
        <f t="shared" si="6"/>
        <v>5</v>
      </c>
      <c r="AL50" s="108">
        <f t="shared" si="7"/>
        <v>0</v>
      </c>
      <c r="AN50" s="42" t="s">
        <v>81</v>
      </c>
      <c r="AO50" s="43" t="s">
        <v>46</v>
      </c>
    </row>
    <row r="51" spans="2:54" ht="15.75" thickBot="1">
      <c r="B51" s="24">
        <v>44</v>
      </c>
      <c r="C51" s="25">
        <v>41815</v>
      </c>
      <c r="D51" s="26" t="s">
        <v>26</v>
      </c>
      <c r="E51" s="27" t="s">
        <v>9</v>
      </c>
      <c r="F51" s="28" t="s">
        <v>27</v>
      </c>
      <c r="G51" s="87">
        <v>1</v>
      </c>
      <c r="H51" s="27" t="s">
        <v>9</v>
      </c>
      <c r="I51" s="92">
        <v>4</v>
      </c>
      <c r="J51" s="29">
        <f t="shared" si="0"/>
        <v>2</v>
      </c>
      <c r="K51" s="11">
        <f t="shared" si="1"/>
        <v>0</v>
      </c>
      <c r="L51" s="11">
        <f t="shared" si="2"/>
        <v>3</v>
      </c>
      <c r="O51" s="44" t="s">
        <v>37</v>
      </c>
      <c r="P51" s="45">
        <f>SUMIF($D$8:$D$55,$O51,$G$8:$G$55)+SUMIF($F$8:$F$55,$O51,$I$8:$I$55)</f>
        <v>6</v>
      </c>
      <c r="Q51" s="45">
        <f>SUMIF($D$8:$D$55,$O51,$I$8:$I$55)+SUMIF($F$8:$F$55,$O51,$G$8:$G$55)</f>
        <v>3</v>
      </c>
      <c r="R51" s="46">
        <f>P51-Q51</f>
        <v>3</v>
      </c>
      <c r="S51" s="47">
        <f>SUMIF($D$8:$D$55,$O51,$K$8:$K$55)+SUMIF($F$8:$F$55,$O51,$L$8:$L$55)</f>
        <v>9</v>
      </c>
      <c r="T51" s="94" t="s">
        <v>82</v>
      </c>
      <c r="U51" s="40"/>
      <c r="V51" s="40" t="str">
        <f>O51</f>
        <v>België</v>
      </c>
      <c r="W51" s="40" t="s">
        <v>82</v>
      </c>
      <c r="Y51" s="109">
        <f t="shared" si="8"/>
        <v>0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0</v>
      </c>
      <c r="AG51" s="108">
        <f t="shared" si="3"/>
        <v>0</v>
      </c>
      <c r="AH51" s="108">
        <f t="shared" si="4"/>
        <v>0</v>
      </c>
      <c r="AI51" s="108">
        <f t="shared" si="10"/>
        <v>0</v>
      </c>
      <c r="AJ51" s="108">
        <f t="shared" si="5"/>
        <v>0</v>
      </c>
      <c r="AK51" s="108">
        <f t="shared" si="6"/>
        <v>0</v>
      </c>
      <c r="AL51" s="108">
        <f t="shared" si="7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18">
        <v>45</v>
      </c>
      <c r="C52" s="19">
        <v>41816</v>
      </c>
      <c r="D52" s="20" t="s">
        <v>36</v>
      </c>
      <c r="E52" s="21" t="s">
        <v>9</v>
      </c>
      <c r="F52" s="30" t="s">
        <v>31</v>
      </c>
      <c r="G52" s="86">
        <v>1</v>
      </c>
      <c r="H52" s="21" t="s">
        <v>9</v>
      </c>
      <c r="I52" s="91">
        <v>2</v>
      </c>
      <c r="J52" s="17">
        <f t="shared" si="0"/>
        <v>2</v>
      </c>
      <c r="K52" s="11">
        <f t="shared" si="1"/>
        <v>0</v>
      </c>
      <c r="L52" s="11">
        <f t="shared" si="2"/>
        <v>3</v>
      </c>
      <c r="O52" s="48" t="s">
        <v>38</v>
      </c>
      <c r="P52" s="49">
        <f>SUMIF($D$8:$D$55,$O52,$G$8:$G$55)+SUMIF($F$8:$F$55,$O52,$I$8:$I$55)</f>
        <v>4</v>
      </c>
      <c r="Q52" s="49">
        <f>SUMIF($D$8:$D$55,$O52,$I$8:$I$55)+SUMIF($F$8:$F$55,$O52,$G$8:$G$55)</f>
        <v>4</v>
      </c>
      <c r="R52" s="49">
        <f>P52-Q52</f>
        <v>0</v>
      </c>
      <c r="S52" s="50">
        <f>SUMIF($D$8:$D$55,$O52,$K$8:$K$55)+SUMIF($F$8:$F$55,$O52,$L$8:$L$55)</f>
        <v>3</v>
      </c>
      <c r="T52" s="95" t="s">
        <v>83</v>
      </c>
      <c r="U52" s="40"/>
      <c r="V52" s="40" t="str">
        <f>O52</f>
        <v>Algerije</v>
      </c>
      <c r="W52" s="40" t="s">
        <v>83</v>
      </c>
      <c r="Y52" s="109">
        <f t="shared" si="8"/>
        <v>5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5</v>
      </c>
      <c r="AG52" s="108">
        <f t="shared" si="3"/>
        <v>0</v>
      </c>
      <c r="AH52" s="108">
        <f t="shared" si="4"/>
        <v>0</v>
      </c>
      <c r="AI52" s="108">
        <f t="shared" si="10"/>
        <v>0</v>
      </c>
      <c r="AJ52" s="108">
        <f t="shared" si="5"/>
        <v>0</v>
      </c>
      <c r="AK52" s="108">
        <f t="shared" si="6"/>
        <v>5</v>
      </c>
      <c r="AL52" s="108">
        <f t="shared" si="7"/>
        <v>0</v>
      </c>
      <c r="AM52" s="120">
        <f>AO52</f>
        <v>10</v>
      </c>
      <c r="AN52" s="117" t="s">
        <v>38</v>
      </c>
      <c r="AO52" s="115">
        <f>IF(Uitslag!T52="",0,IF(T52=Uitslag!T52,10,0))</f>
        <v>10</v>
      </c>
    </row>
    <row r="53" spans="2:54" ht="15.75" thickBot="1">
      <c r="B53" s="18">
        <v>46</v>
      </c>
      <c r="C53" s="19">
        <v>41816</v>
      </c>
      <c r="D53" s="20" t="s">
        <v>32</v>
      </c>
      <c r="E53" s="21" t="s">
        <v>9</v>
      </c>
      <c r="F53" s="30" t="s">
        <v>35</v>
      </c>
      <c r="G53" s="86">
        <v>2</v>
      </c>
      <c r="H53" s="21" t="s">
        <v>9</v>
      </c>
      <c r="I53" s="91">
        <v>1</v>
      </c>
      <c r="J53" s="23">
        <f t="shared" si="0"/>
        <v>1</v>
      </c>
      <c r="K53" s="11">
        <f t="shared" si="1"/>
        <v>3</v>
      </c>
      <c r="L53" s="11">
        <f t="shared" si="2"/>
        <v>0</v>
      </c>
      <c r="O53" s="48" t="s">
        <v>39</v>
      </c>
      <c r="P53" s="49">
        <f>SUMIF($D$8:$D$55,$O53,$G$8:$G$55)+SUMIF($F$8:$F$55,$O53,$I$8:$I$55)</f>
        <v>4</v>
      </c>
      <c r="Q53" s="49">
        <f>SUMIF($D$8:$D$55,$O53,$I$8:$I$55)+SUMIF($F$8:$F$55,$O53,$G$8:$G$55)</f>
        <v>5</v>
      </c>
      <c r="R53" s="49">
        <f>P53-Q53</f>
        <v>-1</v>
      </c>
      <c r="S53" s="50">
        <f>SUMIF($D$8:$D$55,$O53,$K$8:$K$55)+SUMIF($F$8:$F$55,$O53,$L$8:$L$55)</f>
        <v>3</v>
      </c>
      <c r="T53" s="95" t="s">
        <v>84</v>
      </c>
      <c r="U53" s="40"/>
      <c r="V53" s="40" t="str">
        <f>O53</f>
        <v>Rusland</v>
      </c>
      <c r="W53" s="40" t="s">
        <v>84</v>
      </c>
      <c r="Y53" s="109">
        <f t="shared" si="8"/>
        <v>10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10</v>
      </c>
      <c r="AG53" s="108">
        <f t="shared" si="3"/>
        <v>1</v>
      </c>
      <c r="AH53" s="108">
        <f t="shared" si="4"/>
        <v>1</v>
      </c>
      <c r="AI53" s="108">
        <f t="shared" si="10"/>
        <v>10</v>
      </c>
      <c r="AJ53" s="108">
        <f t="shared" si="5"/>
        <v>5</v>
      </c>
      <c r="AK53" s="108">
        <f t="shared" si="6"/>
        <v>0</v>
      </c>
      <c r="AL53" s="108">
        <f t="shared" si="7"/>
        <v>0</v>
      </c>
      <c r="AM53" s="120">
        <f>AO53</f>
        <v>10</v>
      </c>
      <c r="AN53" s="117" t="s">
        <v>39</v>
      </c>
      <c r="AO53" s="115">
        <f>IF(Uitslag!T53="",0,IF(T53=Uitslag!T53,10,0))</f>
        <v>10</v>
      </c>
    </row>
    <row r="54" spans="2:54" ht="15.75" thickBot="1">
      <c r="B54" s="18">
        <v>47</v>
      </c>
      <c r="C54" s="19">
        <v>41816</v>
      </c>
      <c r="D54" s="20" t="s">
        <v>40</v>
      </c>
      <c r="E54" s="21" t="s">
        <v>9</v>
      </c>
      <c r="F54" s="30" t="s">
        <v>37</v>
      </c>
      <c r="G54" s="86">
        <v>1</v>
      </c>
      <c r="H54" s="21" t="s">
        <v>9</v>
      </c>
      <c r="I54" s="91">
        <v>2</v>
      </c>
      <c r="J54" s="23">
        <f t="shared" si="0"/>
        <v>2</v>
      </c>
      <c r="K54" s="11">
        <f t="shared" si="1"/>
        <v>0</v>
      </c>
      <c r="L54" s="11">
        <f t="shared" si="2"/>
        <v>3</v>
      </c>
      <c r="O54" s="51" t="s">
        <v>40</v>
      </c>
      <c r="P54" s="52">
        <f>SUMIF($D$8:$D$55,$O54,$G$8:$G$55)+SUMIF($F$8:$F$55,$O54,$I$8:$I$55)</f>
        <v>3</v>
      </c>
      <c r="Q54" s="52">
        <f>SUMIF($D$8:$D$55,$O54,$I$8:$I$55)+SUMIF($F$8:$F$55,$O54,$G$8:$G$55)</f>
        <v>5</v>
      </c>
      <c r="R54" s="52">
        <f>P54-Q54</f>
        <v>-2</v>
      </c>
      <c r="S54" s="53">
        <f>SUMIF($D$8:$D$55,$O54,$K$8:$K$55)+SUMIF($F$8:$F$55,$O54,$L$8:$L$55)</f>
        <v>3</v>
      </c>
      <c r="T54" s="96" t="s">
        <v>85</v>
      </c>
      <c r="U54" s="40"/>
      <c r="V54" s="40" t="str">
        <f>O54</f>
        <v>Zuid Korea</v>
      </c>
      <c r="W54" s="40" t="s">
        <v>85</v>
      </c>
      <c r="Y54" s="109">
        <f t="shared" si="8"/>
        <v>5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5</v>
      </c>
      <c r="AG54" s="108">
        <f t="shared" si="3"/>
        <v>0</v>
      </c>
      <c r="AH54" s="108">
        <f t="shared" si="4"/>
        <v>0</v>
      </c>
      <c r="AI54" s="108">
        <f t="shared" si="10"/>
        <v>0</v>
      </c>
      <c r="AJ54" s="108">
        <f t="shared" si="5"/>
        <v>0</v>
      </c>
      <c r="AK54" s="108">
        <f t="shared" si="6"/>
        <v>5</v>
      </c>
      <c r="AL54" s="108">
        <f t="shared" si="7"/>
        <v>0</v>
      </c>
      <c r="AM54" s="120">
        <f>AO54</f>
        <v>10</v>
      </c>
      <c r="AN54" s="118" t="s">
        <v>40</v>
      </c>
      <c r="AO54" s="115">
        <f>IF(Uitslag!T54="",0,IF(T54=Uitslag!T54,10,0))</f>
        <v>10</v>
      </c>
    </row>
    <row r="55" spans="2:54" ht="15.75" thickBot="1">
      <c r="B55" s="33">
        <v>48</v>
      </c>
      <c r="C55" s="34">
        <v>41816</v>
      </c>
      <c r="D55" s="35" t="s">
        <v>38</v>
      </c>
      <c r="E55" s="36" t="s">
        <v>9</v>
      </c>
      <c r="F55" s="37" t="s">
        <v>39</v>
      </c>
      <c r="G55" s="88">
        <v>1</v>
      </c>
      <c r="H55" s="36" t="s">
        <v>9</v>
      </c>
      <c r="I55" s="93">
        <v>2</v>
      </c>
      <c r="J55" s="38">
        <f t="shared" si="0"/>
        <v>2</v>
      </c>
      <c r="K55" s="11">
        <f t="shared" si="1"/>
        <v>0</v>
      </c>
      <c r="L55" s="11">
        <f t="shared" si="2"/>
        <v>3</v>
      </c>
      <c r="O55" s="40"/>
      <c r="P55" s="41"/>
      <c r="Q55" s="41"/>
      <c r="R55" s="41"/>
      <c r="S55" s="41"/>
      <c r="T55" s="41"/>
      <c r="U55" s="40"/>
      <c r="V55" s="40"/>
      <c r="W55" s="40"/>
      <c r="Y55" s="109">
        <f t="shared" si="8"/>
        <v>1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</v>
      </c>
      <c r="AG55" s="108">
        <f t="shared" si="3"/>
        <v>1</v>
      </c>
      <c r="AH55" s="108">
        <f t="shared" si="4"/>
        <v>0</v>
      </c>
      <c r="AI55" s="108">
        <f t="shared" si="10"/>
        <v>0</v>
      </c>
      <c r="AJ55" s="108">
        <f t="shared" si="5"/>
        <v>0</v>
      </c>
      <c r="AK55" s="108">
        <f t="shared" si="6"/>
        <v>0</v>
      </c>
      <c r="AL55" s="108">
        <f t="shared" si="7"/>
        <v>0</v>
      </c>
    </row>
    <row r="56" spans="2:54" ht="15.75" thickBot="1">
      <c r="B56" s="1"/>
      <c r="C56" s="39"/>
      <c r="D56" s="40"/>
      <c r="E56" s="1"/>
      <c r="F56" s="40"/>
      <c r="G56" s="1"/>
      <c r="H56" s="1"/>
      <c r="I56" s="1"/>
      <c r="J56" s="1"/>
      <c r="K56" s="1"/>
      <c r="L56" s="1"/>
      <c r="M56" s="1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225"/>
      <c r="K57" s="1"/>
      <c r="L57" s="1"/>
      <c r="M57" s="1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78" t="s">
        <v>1</v>
      </c>
      <c r="C58" s="79" t="s">
        <v>2</v>
      </c>
      <c r="D58" s="187" t="s">
        <v>3</v>
      </c>
      <c r="E58" s="81"/>
      <c r="F58" s="223" t="s">
        <v>4</v>
      </c>
      <c r="G58" s="867" t="s">
        <v>5</v>
      </c>
      <c r="H58" s="868"/>
      <c r="I58" s="869"/>
      <c r="J58" s="83" t="s">
        <v>6</v>
      </c>
      <c r="K58" s="1"/>
      <c r="L58" s="1"/>
      <c r="M58" s="1"/>
      <c r="O58" s="135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12">
        <v>49</v>
      </c>
      <c r="C59" s="189">
        <v>41818</v>
      </c>
      <c r="D59" s="153" t="str">
        <f t="shared" ref="D59:D66" si="13">IF(ISERROR(Z59),K59,Z59)</f>
        <v>Brazilië</v>
      </c>
      <c r="E59" s="15" t="s">
        <v>9</v>
      </c>
      <c r="F59" s="56" t="str">
        <f t="shared" ref="F59:F66" si="14">IF(ISERROR(AA59),L59,AA59)</f>
        <v>Spanje</v>
      </c>
      <c r="G59" s="85">
        <v>1</v>
      </c>
      <c r="H59" s="15" t="s">
        <v>9</v>
      </c>
      <c r="I59" s="97">
        <v>3</v>
      </c>
      <c r="J59" s="98">
        <v>1</v>
      </c>
      <c r="K59" s="57" t="s">
        <v>48</v>
      </c>
      <c r="L59" s="57" t="s">
        <v>53</v>
      </c>
      <c r="M59" s="57">
        <v>1</v>
      </c>
      <c r="O59" s="135">
        <v>2</v>
      </c>
      <c r="P59" s="877" t="s">
        <v>225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5">AF59</f>
        <v>1</v>
      </c>
      <c r="Z59" t="str">
        <f t="shared" ref="Z59:AA65" si="16">IF(K59=""," ",VLOOKUP(K59,$T$9:$V$54,3,FALSE))</f>
        <v>Brazilië</v>
      </c>
      <c r="AA59" t="str">
        <f t="shared" si="16"/>
        <v>Spanje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7">IF(OR(AC59="",AD59=""),0,(IF(SUM(AG59:AL59)&gt;10,10,SUM(AG59:AL59))))</f>
        <v>1</v>
      </c>
      <c r="AG59" s="108">
        <f t="shared" ref="AG59:AG66" si="18">IF(AC59="",0,(IF(G59=AC59,1,0)))</f>
        <v>1</v>
      </c>
      <c r="AH59" s="108">
        <f t="shared" ref="AH59:AH66" si="19">IF(AD59="",0,(IF(I59=AD59,1,0)))</f>
        <v>0</v>
      </c>
      <c r="AI59" s="108">
        <f t="shared" ref="AI59:AI66" si="20">IF(AND(AG59=1,AH59=1),10,0)</f>
        <v>0</v>
      </c>
      <c r="AJ59" s="108">
        <f t="shared" ref="AJ59:AJ66" si="21">IF(AND(G59&gt;I59,AC59&gt;AD59),5,0)</f>
        <v>0</v>
      </c>
      <c r="AK59" s="108">
        <f t="shared" ref="AK59:AK66" si="22">IF(AND(G59&lt;I59,AC59&lt;AD59),5,0)</f>
        <v>0</v>
      </c>
      <c r="AL59" s="108">
        <f t="shared" ref="AL59:AL66" si="23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4">BA59</f>
        <v>3</v>
      </c>
    </row>
    <row r="60" spans="2:54">
      <c r="B60" s="24">
        <v>50</v>
      </c>
      <c r="C60" s="190">
        <v>41818</v>
      </c>
      <c r="D60" s="154" t="str">
        <f t="shared" si="13"/>
        <v>Griekenland</v>
      </c>
      <c r="E60" s="27" t="s">
        <v>9</v>
      </c>
      <c r="F60" s="59" t="str">
        <f t="shared" si="14"/>
        <v>Italië</v>
      </c>
      <c r="G60" s="87">
        <v>2</v>
      </c>
      <c r="H60" s="27" t="s">
        <v>9</v>
      </c>
      <c r="I60" s="99">
        <v>4</v>
      </c>
      <c r="J60" s="100">
        <v>2</v>
      </c>
      <c r="K60" s="57" t="s">
        <v>57</v>
      </c>
      <c r="L60" s="57" t="s">
        <v>63</v>
      </c>
      <c r="M60" s="57">
        <v>2</v>
      </c>
      <c r="O60" s="135">
        <v>3</v>
      </c>
      <c r="P60" s="877" t="s">
        <v>209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5"/>
        <v>1</v>
      </c>
      <c r="Z60" t="str">
        <f t="shared" si="16"/>
        <v>Griekenland</v>
      </c>
      <c r="AA60" t="str">
        <f t="shared" si="16"/>
        <v>Italië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7"/>
        <v>1</v>
      </c>
      <c r="AG60" s="108">
        <f t="shared" si="18"/>
        <v>1</v>
      </c>
      <c r="AH60" s="108">
        <f t="shared" si="19"/>
        <v>0</v>
      </c>
      <c r="AI60" s="108">
        <f t="shared" si="20"/>
        <v>0</v>
      </c>
      <c r="AJ60" s="108">
        <f t="shared" si="21"/>
        <v>0</v>
      </c>
      <c r="AK60" s="108">
        <f t="shared" si="22"/>
        <v>0</v>
      </c>
      <c r="AL60" s="108">
        <f t="shared" si="23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4"/>
        <v>3</v>
      </c>
    </row>
    <row r="61" spans="2:54">
      <c r="B61" s="12">
        <v>51</v>
      </c>
      <c r="C61" s="189">
        <v>41819</v>
      </c>
      <c r="D61" s="188" t="str">
        <f t="shared" si="13"/>
        <v>Nederland</v>
      </c>
      <c r="E61" s="15" t="s">
        <v>9</v>
      </c>
      <c r="F61" s="56" t="str">
        <f t="shared" si="14"/>
        <v>Mexico</v>
      </c>
      <c r="G61" s="85">
        <v>2</v>
      </c>
      <c r="H61" s="15" t="s">
        <v>9</v>
      </c>
      <c r="I61" s="97">
        <v>1</v>
      </c>
      <c r="J61" s="98">
        <v>1</v>
      </c>
      <c r="K61" s="57" t="s">
        <v>52</v>
      </c>
      <c r="L61" s="57" t="s">
        <v>49</v>
      </c>
      <c r="M61" s="57"/>
      <c r="O61" s="135">
        <v>4</v>
      </c>
      <c r="P61" s="877" t="s">
        <v>211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5"/>
        <v>10</v>
      </c>
      <c r="Z61" t="str">
        <f t="shared" si="16"/>
        <v>Nederland</v>
      </c>
      <c r="AA61" t="str">
        <f t="shared" si="16"/>
        <v>Mexico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7"/>
        <v>10</v>
      </c>
      <c r="AG61" s="108">
        <f t="shared" si="18"/>
        <v>1</v>
      </c>
      <c r="AH61" s="108">
        <f t="shared" si="19"/>
        <v>1</v>
      </c>
      <c r="AI61" s="108">
        <f t="shared" si="20"/>
        <v>10</v>
      </c>
      <c r="AJ61" s="108">
        <f t="shared" si="21"/>
        <v>5</v>
      </c>
      <c r="AK61" s="108">
        <f t="shared" si="22"/>
        <v>0</v>
      </c>
      <c r="AL61" s="108">
        <f t="shared" si="23"/>
        <v>0</v>
      </c>
      <c r="AZ61" s="138" t="str">
        <f>Uitslag!P61</f>
        <v>Ron Vlaar (v)</v>
      </c>
      <c r="BA61" s="140">
        <f t="shared" si="12"/>
        <v>3</v>
      </c>
      <c r="BB61" s="139">
        <f t="shared" si="24"/>
        <v>3</v>
      </c>
    </row>
    <row r="62" spans="2:54">
      <c r="B62" s="24">
        <v>52</v>
      </c>
      <c r="C62" s="190">
        <v>41819</v>
      </c>
      <c r="D62" s="188" t="str">
        <f t="shared" si="13"/>
        <v>Engeland</v>
      </c>
      <c r="E62" s="27" t="s">
        <v>9</v>
      </c>
      <c r="F62" s="59" t="str">
        <f t="shared" si="14"/>
        <v>Japan</v>
      </c>
      <c r="G62" s="87">
        <v>3</v>
      </c>
      <c r="H62" s="27" t="s">
        <v>9</v>
      </c>
      <c r="I62" s="99">
        <v>2</v>
      </c>
      <c r="J62" s="100">
        <v>2</v>
      </c>
      <c r="K62" s="57" t="s">
        <v>62</v>
      </c>
      <c r="L62" s="57" t="s">
        <v>58</v>
      </c>
      <c r="M62" s="57"/>
      <c r="O62" s="135">
        <v>5</v>
      </c>
      <c r="P62" s="877" t="s">
        <v>220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5"/>
        <v>0</v>
      </c>
      <c r="Z62" t="str">
        <f t="shared" si="16"/>
        <v>Engeland</v>
      </c>
      <c r="AA62" t="str">
        <f t="shared" si="16"/>
        <v>Japan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7"/>
        <v>0</v>
      </c>
      <c r="AG62" s="108">
        <f t="shared" si="18"/>
        <v>0</v>
      </c>
      <c r="AH62" s="108">
        <f t="shared" si="19"/>
        <v>0</v>
      </c>
      <c r="AI62" s="108">
        <f t="shared" si="20"/>
        <v>0</v>
      </c>
      <c r="AJ62" s="108">
        <f t="shared" si="21"/>
        <v>0</v>
      </c>
      <c r="AK62" s="108">
        <f t="shared" si="22"/>
        <v>0</v>
      </c>
      <c r="AL62" s="108">
        <f t="shared" si="23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4"/>
        <v>3</v>
      </c>
    </row>
    <row r="63" spans="2:54">
      <c r="B63" s="12">
        <v>53</v>
      </c>
      <c r="C63" s="189">
        <v>41820</v>
      </c>
      <c r="D63" s="153" t="str">
        <f t="shared" si="13"/>
        <v>Zwitserland</v>
      </c>
      <c r="E63" s="15" t="s">
        <v>9</v>
      </c>
      <c r="F63" s="56" t="str">
        <f t="shared" si="14"/>
        <v>Nigeria</v>
      </c>
      <c r="G63" s="85">
        <v>2</v>
      </c>
      <c r="H63" s="15" t="s">
        <v>9</v>
      </c>
      <c r="I63" s="97">
        <v>1</v>
      </c>
      <c r="J63" s="98">
        <v>1</v>
      </c>
      <c r="K63" s="57" t="s">
        <v>67</v>
      </c>
      <c r="L63" s="57" t="s">
        <v>73</v>
      </c>
      <c r="M63" s="57"/>
      <c r="O63" s="135">
        <v>6</v>
      </c>
      <c r="P63" s="877" t="s">
        <v>234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5"/>
        <v>6</v>
      </c>
      <c r="Z63" t="str">
        <f t="shared" si="16"/>
        <v>Zwitserland</v>
      </c>
      <c r="AA63" t="str">
        <f t="shared" si="16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7"/>
        <v>6</v>
      </c>
      <c r="AG63" s="108">
        <f t="shared" si="18"/>
        <v>1</v>
      </c>
      <c r="AH63" s="108">
        <f t="shared" si="19"/>
        <v>0</v>
      </c>
      <c r="AI63" s="108">
        <f t="shared" si="20"/>
        <v>0</v>
      </c>
      <c r="AJ63" s="108">
        <f t="shared" si="21"/>
        <v>5</v>
      </c>
      <c r="AK63" s="108">
        <f t="shared" si="22"/>
        <v>0</v>
      </c>
      <c r="AL63" s="108">
        <f t="shared" si="23"/>
        <v>0</v>
      </c>
      <c r="AZ63" s="138" t="str">
        <f>Uitslag!P63</f>
        <v>Daley Blind (v)</v>
      </c>
      <c r="BA63" s="140">
        <f t="shared" si="12"/>
        <v>0</v>
      </c>
      <c r="BB63" s="139">
        <f t="shared" si="24"/>
        <v>0</v>
      </c>
    </row>
    <row r="64" spans="2:54">
      <c r="B64" s="24">
        <v>54</v>
      </c>
      <c r="C64" s="190">
        <v>41820</v>
      </c>
      <c r="D64" s="154" t="str">
        <f t="shared" si="13"/>
        <v>Duitsland</v>
      </c>
      <c r="E64" s="27" t="s">
        <v>9</v>
      </c>
      <c r="F64" s="59" t="str">
        <f t="shared" si="14"/>
        <v>Algerije</v>
      </c>
      <c r="G64" s="87">
        <v>1</v>
      </c>
      <c r="H64" s="27" t="s">
        <v>9</v>
      </c>
      <c r="I64" s="99">
        <v>3</v>
      </c>
      <c r="J64" s="100">
        <v>2</v>
      </c>
      <c r="K64" s="57" t="s">
        <v>77</v>
      </c>
      <c r="L64" s="57" t="s">
        <v>83</v>
      </c>
      <c r="M64" s="57"/>
      <c r="O64" s="135">
        <v>7</v>
      </c>
      <c r="P64" s="877" t="s">
        <v>210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5"/>
        <v>0</v>
      </c>
      <c r="Z64" t="str">
        <f t="shared" si="16"/>
        <v>Duitsland</v>
      </c>
      <c r="AA64" t="str">
        <f t="shared" si="16"/>
        <v>Algerije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7"/>
        <v>0</v>
      </c>
      <c r="AG64" s="108">
        <f t="shared" si="18"/>
        <v>0</v>
      </c>
      <c r="AH64" s="108">
        <f t="shared" si="19"/>
        <v>0</v>
      </c>
      <c r="AI64" s="108">
        <f t="shared" si="20"/>
        <v>0</v>
      </c>
      <c r="AJ64" s="108">
        <f t="shared" si="21"/>
        <v>0</v>
      </c>
      <c r="AK64" s="108">
        <f t="shared" si="22"/>
        <v>0</v>
      </c>
      <c r="AL64" s="108">
        <f t="shared" si="23"/>
        <v>0</v>
      </c>
      <c r="AZ64" s="138" t="str">
        <f>Uitslag!P64</f>
        <v>Wesley Sneijder (m)</v>
      </c>
      <c r="BA64" s="140">
        <f t="shared" si="12"/>
        <v>0</v>
      </c>
      <c r="BB64" s="139">
        <f t="shared" si="24"/>
        <v>0</v>
      </c>
    </row>
    <row r="65" spans="2:54">
      <c r="B65" s="18">
        <v>55</v>
      </c>
      <c r="C65" s="191">
        <v>41821</v>
      </c>
      <c r="D65" s="153" t="str">
        <f t="shared" si="13"/>
        <v>Argentinië</v>
      </c>
      <c r="E65" s="21" t="s">
        <v>9</v>
      </c>
      <c r="F65" s="60" t="str">
        <f t="shared" si="14"/>
        <v>Frankrijk</v>
      </c>
      <c r="G65" s="86">
        <v>0</v>
      </c>
      <c r="H65" s="21" t="s">
        <v>9</v>
      </c>
      <c r="I65" s="101">
        <v>1</v>
      </c>
      <c r="J65" s="102">
        <v>1</v>
      </c>
      <c r="K65" s="57" t="s">
        <v>72</v>
      </c>
      <c r="L65" s="57" t="s">
        <v>68</v>
      </c>
      <c r="M65" s="57"/>
      <c r="O65" s="135">
        <v>8</v>
      </c>
      <c r="P65" s="877" t="s">
        <v>219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5"/>
        <v>1</v>
      </c>
      <c r="Z65" t="str">
        <f t="shared" si="16"/>
        <v>Argentinië</v>
      </c>
      <c r="AA65" t="str">
        <f t="shared" si="16"/>
        <v>Frankrijk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7"/>
        <v>1</v>
      </c>
      <c r="AG65" s="108">
        <f t="shared" si="18"/>
        <v>1</v>
      </c>
      <c r="AH65" s="108">
        <f t="shared" si="19"/>
        <v>0</v>
      </c>
      <c r="AI65" s="108">
        <f t="shared" si="20"/>
        <v>0</v>
      </c>
      <c r="AJ65" s="108">
        <f t="shared" si="21"/>
        <v>0</v>
      </c>
      <c r="AK65" s="108">
        <f t="shared" si="22"/>
        <v>0</v>
      </c>
      <c r="AL65" s="108">
        <f t="shared" si="23"/>
        <v>0</v>
      </c>
      <c r="AZ65" s="138" t="str">
        <f>Uitslag!P65</f>
        <v>Nigel de Jong (m)</v>
      </c>
      <c r="BA65" s="140">
        <f t="shared" si="12"/>
        <v>0</v>
      </c>
      <c r="BB65" s="139">
        <f t="shared" si="24"/>
        <v>0</v>
      </c>
    </row>
    <row r="66" spans="2:54" ht="15.75" thickBot="1">
      <c r="B66" s="33">
        <v>56</v>
      </c>
      <c r="C66" s="186">
        <v>41821</v>
      </c>
      <c r="D66" s="155" t="str">
        <f t="shared" si="13"/>
        <v>België</v>
      </c>
      <c r="E66" s="36" t="s">
        <v>9</v>
      </c>
      <c r="F66" s="62" t="str">
        <f t="shared" si="14"/>
        <v>Portugal</v>
      </c>
      <c r="G66" s="88">
        <v>2</v>
      </c>
      <c r="H66" s="36" t="s">
        <v>9</v>
      </c>
      <c r="I66" s="103">
        <v>0</v>
      </c>
      <c r="J66" s="104">
        <v>2</v>
      </c>
      <c r="K66" s="57" t="s">
        <v>82</v>
      </c>
      <c r="L66" s="57" t="s">
        <v>78</v>
      </c>
      <c r="M66" s="57"/>
      <c r="O66" s="135">
        <v>9</v>
      </c>
      <c r="P66" s="877" t="s">
        <v>222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5"/>
        <v>1</v>
      </c>
      <c r="Z66" t="str">
        <f>IF(K66=""," ",VLOOKUP(K66,$T$9:$V$54,3,FALSE))</f>
        <v>België</v>
      </c>
      <c r="AA66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7"/>
        <v>1</v>
      </c>
      <c r="AG66" s="108">
        <f t="shared" si="18"/>
        <v>0</v>
      </c>
      <c r="AH66" s="108">
        <f t="shared" si="19"/>
        <v>1</v>
      </c>
      <c r="AI66" s="108">
        <f t="shared" si="20"/>
        <v>0</v>
      </c>
      <c r="AJ66" s="108">
        <f t="shared" si="21"/>
        <v>0</v>
      </c>
      <c r="AK66" s="108">
        <f t="shared" si="22"/>
        <v>0</v>
      </c>
      <c r="AL66" s="108">
        <f t="shared" si="23"/>
        <v>0</v>
      </c>
      <c r="AZ66" s="138" t="str">
        <f>Uitslag!P66</f>
        <v>Jonathan de Guzman (m)</v>
      </c>
      <c r="BA66" s="140">
        <f t="shared" si="12"/>
        <v>0</v>
      </c>
      <c r="BB66" s="139">
        <f t="shared" si="24"/>
        <v>0</v>
      </c>
    </row>
    <row r="67" spans="2:54" ht="15.75" thickBot="1">
      <c r="B67" s="1"/>
      <c r="C67" s="39"/>
      <c r="D67" s="40"/>
      <c r="E67" s="1"/>
      <c r="F67" s="40"/>
      <c r="G67" s="1"/>
      <c r="H67" s="1"/>
      <c r="I67" s="1"/>
      <c r="J67" s="1"/>
      <c r="K67" s="1"/>
      <c r="L67" s="1"/>
      <c r="M67" s="1"/>
      <c r="O67" s="135">
        <v>10</v>
      </c>
      <c r="P67" s="877" t="s">
        <v>257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0</v>
      </c>
      <c r="BB67" s="139">
        <f t="shared" si="24"/>
        <v>0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225"/>
      <c r="K68" s="1"/>
      <c r="L68" s="1"/>
      <c r="M68" s="1"/>
      <c r="O68" s="135">
        <v>11</v>
      </c>
      <c r="P68" s="877" t="s">
        <v>258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0</v>
      </c>
      <c r="BB68" s="139">
        <f t="shared" si="24"/>
        <v>0</v>
      </c>
    </row>
    <row r="69" spans="2:54">
      <c r="B69" s="78" t="s">
        <v>1</v>
      </c>
      <c r="C69" s="79" t="s">
        <v>2</v>
      </c>
      <c r="D69" s="222" t="s">
        <v>3</v>
      </c>
      <c r="E69" s="81"/>
      <c r="F69" s="223" t="s">
        <v>4</v>
      </c>
      <c r="G69" s="867" t="s">
        <v>5</v>
      </c>
      <c r="H69" s="868"/>
      <c r="I69" s="869"/>
      <c r="J69" s="83" t="s">
        <v>6</v>
      </c>
      <c r="K69" s="1"/>
      <c r="L69" s="1"/>
      <c r="M69" s="1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15</v>
      </c>
      <c r="BB69" s="139" t="str">
        <f>IF(AND(BA69&lt;&gt;"",BA69=33),15,"nvt")</f>
        <v>nvt</v>
      </c>
    </row>
    <row r="70" spans="2:54">
      <c r="B70" s="12">
        <v>57</v>
      </c>
      <c r="C70" s="13">
        <v>41824</v>
      </c>
      <c r="D70" s="55" t="str">
        <f>IF(J63="","Winnaar 53",IF(J63=1,D63,F63))</f>
        <v>Zwitserland</v>
      </c>
      <c r="E70" s="15" t="s">
        <v>9</v>
      </c>
      <c r="F70" s="56" t="str">
        <f>IF(J64="","Winnaar 54",IF(J64=1,D64,F64))</f>
        <v>Algerije</v>
      </c>
      <c r="G70" s="85">
        <v>2</v>
      </c>
      <c r="H70" s="15" t="s">
        <v>9</v>
      </c>
      <c r="I70" s="97">
        <v>3</v>
      </c>
      <c r="J70" s="98">
        <v>1</v>
      </c>
      <c r="K70" s="1"/>
      <c r="L70" s="1"/>
      <c r="M70" s="1"/>
      <c r="V70" t="s">
        <v>133</v>
      </c>
      <c r="W70" t="s">
        <v>126</v>
      </c>
      <c r="X70" t="str">
        <f t="shared" si="11"/>
        <v>Karim Rekik (v)</v>
      </c>
      <c r="Y70" s="109">
        <f>AF70</f>
        <v>5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5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24">
        <v>58</v>
      </c>
      <c r="C71" s="25">
        <v>41824</v>
      </c>
      <c r="D71" s="58" t="str">
        <f>IF(J59="","Winnaar 49",IF(J59=1,D59,F59))</f>
        <v>Brazilië</v>
      </c>
      <c r="E71" s="27" t="s">
        <v>9</v>
      </c>
      <c r="F71" s="59" t="str">
        <f>IF(J60="","Winnaar 50",IF(J60=1,D60,F60))</f>
        <v>Italië</v>
      </c>
      <c r="G71" s="87">
        <v>1</v>
      </c>
      <c r="H71" s="27" t="s">
        <v>9</v>
      </c>
      <c r="I71" s="99">
        <v>2</v>
      </c>
      <c r="J71" s="100">
        <v>2</v>
      </c>
      <c r="K71" s="1"/>
      <c r="L71" s="1"/>
      <c r="M71" s="1"/>
      <c r="V71" t="s">
        <v>133</v>
      </c>
      <c r="W71" t="s">
        <v>194</v>
      </c>
      <c r="X71" t="str">
        <f t="shared" si="11"/>
        <v>Ron Vlaar (v)</v>
      </c>
      <c r="Y71" s="109">
        <f>AF71</f>
        <v>0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0</v>
      </c>
      <c r="AG71" s="108">
        <f>IF(AC71="",0,(IF(G71=AC71,1,0)))</f>
        <v>0</v>
      </c>
      <c r="AH71" s="108">
        <f>IF(AD71="",0,(IF(I71=AD71,1,0)))</f>
        <v>0</v>
      </c>
      <c r="AI71" s="108">
        <f>IF(AND(AG71=1,AH71=1),10,0)</f>
        <v>0</v>
      </c>
      <c r="AJ71" s="108">
        <f>IF(AND(G71&gt;I71,AC71&gt;AD71),5,0)</f>
        <v>0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12">
        <v>59</v>
      </c>
      <c r="C72" s="13">
        <v>41825</v>
      </c>
      <c r="D72" s="55" t="str">
        <f>IF(J65="","Winnaar 55",IF(J65=1,D65,F65))</f>
        <v>Argentinië</v>
      </c>
      <c r="E72" s="15" t="s">
        <v>9</v>
      </c>
      <c r="F72" s="56" t="str">
        <f>IF(J66="","Winnaar 56",IF(J66=1,D66,F66))</f>
        <v>Portugal</v>
      </c>
      <c r="G72" s="85">
        <v>2</v>
      </c>
      <c r="H72" s="15" t="s">
        <v>9</v>
      </c>
      <c r="I72" s="97">
        <v>1</v>
      </c>
      <c r="J72" s="98">
        <v>1</v>
      </c>
      <c r="K72" s="1"/>
      <c r="L72" s="1"/>
      <c r="M72" s="1"/>
      <c r="V72" t="s">
        <v>133</v>
      </c>
      <c r="W72" t="s">
        <v>195</v>
      </c>
      <c r="X72" t="str">
        <f t="shared" si="11"/>
        <v>John Heitinga (v)</v>
      </c>
      <c r="Y72" s="109">
        <f>AF72</f>
        <v>5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5</v>
      </c>
      <c r="AG72" s="108">
        <f>IF(AC72="",0,(IF(G72=AC72,1,0)))</f>
        <v>0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5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3">
        <v>60</v>
      </c>
      <c r="C73" s="34">
        <v>41825</v>
      </c>
      <c r="D73" s="61" t="str">
        <f>IF(J61="","Winnaar 51",IF(J61=1,D61,F61))</f>
        <v>Nederland</v>
      </c>
      <c r="E73" s="36" t="s">
        <v>9</v>
      </c>
      <c r="F73" s="62" t="str">
        <f>IF(J62="","Winnaar 52",IF(J62=1,D62,F62))</f>
        <v>Japan</v>
      </c>
      <c r="G73" s="88">
        <v>3</v>
      </c>
      <c r="H73" s="36" t="s">
        <v>9</v>
      </c>
      <c r="I73" s="103">
        <v>2</v>
      </c>
      <c r="J73" s="104">
        <v>2</v>
      </c>
      <c r="K73" s="1"/>
      <c r="L73" s="1"/>
      <c r="M73" s="1"/>
      <c r="V73" t="s">
        <v>133</v>
      </c>
      <c r="W73" t="s">
        <v>196</v>
      </c>
      <c r="X73" t="str">
        <f t="shared" si="11"/>
        <v>Urby Emanuelson (v)</v>
      </c>
      <c r="Y73" s="109">
        <f>AF73</f>
        <v>0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0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1"/>
      <c r="C74" s="39"/>
      <c r="D74" s="40"/>
      <c r="E74" s="1"/>
      <c r="F74" s="40"/>
      <c r="G74" s="1"/>
      <c r="H74" s="1"/>
      <c r="I74" s="1"/>
      <c r="J74" s="1"/>
      <c r="K74" s="1"/>
      <c r="L74" s="1"/>
      <c r="M74" s="1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225"/>
      <c r="K75" s="1"/>
      <c r="L75" s="1"/>
      <c r="M75" s="1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78" t="s">
        <v>1</v>
      </c>
      <c r="C76" s="79" t="s">
        <v>2</v>
      </c>
      <c r="D76" s="222" t="s">
        <v>3</v>
      </c>
      <c r="E76" s="81"/>
      <c r="F76" s="223" t="s">
        <v>4</v>
      </c>
      <c r="G76" s="867" t="s">
        <v>5</v>
      </c>
      <c r="H76" s="868"/>
      <c r="I76" s="869"/>
      <c r="J76" s="83" t="s">
        <v>6</v>
      </c>
      <c r="K76" s="1"/>
      <c r="L76" s="1"/>
      <c r="M76" s="1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12">
        <v>61</v>
      </c>
      <c r="C77" s="13">
        <v>41828</v>
      </c>
      <c r="D77" s="55" t="str">
        <f>IF(J70="","Winnaar 57",IF(J70=1,D70,F70))</f>
        <v>Zwitserland</v>
      </c>
      <c r="E77" s="15" t="s">
        <v>9</v>
      </c>
      <c r="F77" s="56" t="str">
        <f>IF(J71="","Winnaar 58",IF(J71=1,D71,F71))</f>
        <v>Italië</v>
      </c>
      <c r="G77" s="85">
        <v>4</v>
      </c>
      <c r="H77" s="15" t="s">
        <v>9</v>
      </c>
      <c r="I77" s="97">
        <v>3</v>
      </c>
      <c r="J77" s="98">
        <v>1</v>
      </c>
      <c r="K77" s="1"/>
      <c r="L77" s="1"/>
      <c r="M77" s="1"/>
      <c r="V77" t="s">
        <v>134</v>
      </c>
      <c r="W77" t="s">
        <v>203</v>
      </c>
      <c r="X77" t="str">
        <f t="shared" si="11"/>
        <v>Marco van Ginkel (m)</v>
      </c>
      <c r="Y77" s="109">
        <f>AF77</f>
        <v>5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5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5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3">
        <v>62</v>
      </c>
      <c r="C78" s="34">
        <v>41829</v>
      </c>
      <c r="D78" s="61" t="str">
        <f>IF(J72="","Winnaar 59",IF(J72=1,D72,F72))</f>
        <v>Argentinië</v>
      </c>
      <c r="E78" s="36" t="s">
        <v>9</v>
      </c>
      <c r="F78" s="62" t="str">
        <f>IF(J73="","Winnaar 60",IF(J73=1,D73,F73))</f>
        <v>Japan</v>
      </c>
      <c r="G78" s="88">
        <v>3</v>
      </c>
      <c r="H78" s="36" t="s">
        <v>9</v>
      </c>
      <c r="I78" s="103">
        <v>2</v>
      </c>
      <c r="J78" s="104">
        <v>2</v>
      </c>
      <c r="K78" s="1"/>
      <c r="L78" s="1"/>
      <c r="M78" s="1"/>
      <c r="V78" t="s">
        <v>134</v>
      </c>
      <c r="W78" t="s">
        <v>199</v>
      </c>
      <c r="X78" t="str">
        <f t="shared" si="11"/>
        <v>Leroy Fer (m)</v>
      </c>
      <c r="Y78" s="109">
        <f>AF78</f>
        <v>0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0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1"/>
      <c r="C79" s="39"/>
      <c r="D79" s="40"/>
      <c r="E79" s="1"/>
      <c r="F79" s="40"/>
      <c r="G79" s="1"/>
      <c r="H79" s="1"/>
      <c r="I79" s="1"/>
      <c r="J79" s="1"/>
      <c r="K79" s="1"/>
      <c r="L79" s="1"/>
      <c r="M79" s="1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225"/>
      <c r="K80" s="1"/>
      <c r="L80" s="1"/>
      <c r="M80" s="1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78" t="s">
        <v>1</v>
      </c>
      <c r="C81" s="79" t="s">
        <v>2</v>
      </c>
      <c r="D81" s="222" t="s">
        <v>3</v>
      </c>
      <c r="E81" s="81"/>
      <c r="F81" s="223" t="s">
        <v>4</v>
      </c>
      <c r="G81" s="867" t="s">
        <v>5</v>
      </c>
      <c r="H81" s="868"/>
      <c r="I81" s="869"/>
      <c r="J81" s="83" t="s">
        <v>6</v>
      </c>
      <c r="K81" s="1"/>
      <c r="L81" s="1"/>
      <c r="M81" s="1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2">
        <v>63</v>
      </c>
      <c r="C82" s="63">
        <v>41832</v>
      </c>
      <c r="D82" s="64" t="str">
        <f>IF(J77="","Verliezer 61",IF(J77=1,F77,D77))</f>
        <v>Italië</v>
      </c>
      <c r="E82" s="3" t="s">
        <v>9</v>
      </c>
      <c r="F82" s="65" t="str">
        <f>IF(J78="","Verliezer 62",IF(J78=1,F78,D78))</f>
        <v>Argentinië</v>
      </c>
      <c r="G82" s="105">
        <v>1</v>
      </c>
      <c r="H82" s="3" t="s">
        <v>9</v>
      </c>
      <c r="I82" s="106">
        <v>2</v>
      </c>
      <c r="J82" s="107">
        <v>1</v>
      </c>
      <c r="K82" s="1"/>
      <c r="L82" s="1"/>
      <c r="M82" s="1"/>
      <c r="V82" t="s">
        <v>134</v>
      </c>
      <c r="W82" t="s">
        <v>125</v>
      </c>
      <c r="X82" t="str">
        <f t="shared" si="11"/>
        <v>Georginio Wijnaldum (m)</v>
      </c>
      <c r="Y82" s="109">
        <f>AF82</f>
        <v>5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5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5</v>
      </c>
      <c r="AL82" s="108">
        <f>IF(AND(G82=I82,AC82=AD82),5,0)</f>
        <v>0</v>
      </c>
    </row>
    <row r="83" spans="2:50" ht="15.75" thickBot="1">
      <c r="B83" s="1"/>
      <c r="C83" s="39"/>
      <c r="D83" s="40"/>
      <c r="E83" s="1"/>
      <c r="F83" s="40"/>
      <c r="G83" s="1"/>
      <c r="H83" s="1"/>
      <c r="I83" s="1"/>
      <c r="J83" s="1"/>
      <c r="K83" s="1"/>
      <c r="L83" s="1"/>
      <c r="M83" s="1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225"/>
      <c r="K84" s="1"/>
      <c r="L84" s="1"/>
      <c r="M84" s="1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78" t="s">
        <v>1</v>
      </c>
      <c r="C85" s="79" t="s">
        <v>2</v>
      </c>
      <c r="D85" s="222" t="s">
        <v>3</v>
      </c>
      <c r="E85" s="81"/>
      <c r="F85" s="223" t="s">
        <v>4</v>
      </c>
      <c r="G85" s="867" t="s">
        <v>5</v>
      </c>
      <c r="H85" s="868"/>
      <c r="I85" s="869"/>
      <c r="J85" s="83" t="s">
        <v>6</v>
      </c>
      <c r="K85" s="1"/>
      <c r="L85" s="1"/>
      <c r="M85" s="1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2">
        <v>64</v>
      </c>
      <c r="C86" s="63">
        <v>41833</v>
      </c>
      <c r="D86" s="64" t="str">
        <f>IF(J77="","Winnaar 61",IF(J77=1,D77,F77))</f>
        <v>Zwitserland</v>
      </c>
      <c r="E86" s="3" t="s">
        <v>9</v>
      </c>
      <c r="F86" s="65" t="str">
        <f>IF(J78="","Winnaar 62",IF(J78=1,D78,F78))</f>
        <v>Japan</v>
      </c>
      <c r="G86" s="105">
        <v>2</v>
      </c>
      <c r="H86" s="3" t="s">
        <v>9</v>
      </c>
      <c r="I86" s="106">
        <v>0</v>
      </c>
      <c r="J86" s="107">
        <v>2</v>
      </c>
      <c r="K86" s="1"/>
      <c r="L86" s="1"/>
      <c r="M86" s="1"/>
      <c r="V86" t="s">
        <v>134</v>
      </c>
      <c r="W86" t="s">
        <v>139</v>
      </c>
      <c r="X86" t="str">
        <f t="shared" si="11"/>
        <v>Nigel de Jong (m)</v>
      </c>
      <c r="Y86" s="109">
        <f>AF86</f>
        <v>1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1</v>
      </c>
      <c r="AG86" s="108">
        <f>IF(AC86="",0,(IF(G86=AC86,1,0)))</f>
        <v>0</v>
      </c>
      <c r="AH86" s="108">
        <f>IF(AD86="",0,(IF(I86=AD86,1,0)))</f>
        <v>1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Japan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0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0</v>
      </c>
      <c r="AV89">
        <f>IF(AR89=0,0,IF(E89=AR89,50,0))</f>
        <v>0</v>
      </c>
      <c r="AW89">
        <f>IF(E89=0,0,IF(OR(E89=AR90),15,0))</f>
        <v>0</v>
      </c>
      <c r="AX89">
        <f>IF(E89=0,0,IF(OR(E89=AR91,E89=AR92),5,0))</f>
        <v>0</v>
      </c>
    </row>
    <row r="90" spans="2:50">
      <c r="C90" s="870">
        <v>2</v>
      </c>
      <c r="D90" s="871"/>
      <c r="E90" s="872" t="str">
        <f>IF(J86=2,D86,IF(J86=1,F86,"Wie wordt 2de?"))</f>
        <v>Zwitserland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0</v>
      </c>
      <c r="AV90">
        <f>IF(AR90=0,0,IF(AR90=E90,25,0))</f>
        <v>0</v>
      </c>
      <c r="AW90">
        <f>IF(E90=0,0,IF(OR(E90=AR89,),15,0))</f>
        <v>0</v>
      </c>
      <c r="AX90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Italië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0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0</v>
      </c>
      <c r="AV91">
        <f>IF(AR91=0,0,IF(AR91=E91,15,0))</f>
        <v>0</v>
      </c>
      <c r="AW91">
        <f>IF(E91=0,0,IF(OR(E91=AR92),10,0))</f>
        <v>0</v>
      </c>
      <c r="AX91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Argentinië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5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5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5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5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conditionalFormatting sqref="AO9:AO12 AO15:AO18 AO21:AO24 AO27:AO30 AO33:AO36 AO39:AO42 AO45:AO48 AO51:AO54">
    <cfRule type="cellIs" dxfId="182" priority="3" operator="equal">
      <formula>10</formula>
    </cfRule>
  </conditionalFormatting>
  <conditionalFormatting sqref="P58:T58">
    <cfRule type="duplicateValues" dxfId="181" priority="2"/>
  </conditionalFormatting>
  <conditionalFormatting sqref="P58:T68">
    <cfRule type="duplicateValues" dxfId="180" priority="1"/>
  </conditionalFormatting>
  <dataValidations count="10">
    <dataValidation type="list" allowBlank="1" showInputMessage="1" showErrorMessage="1" sqref="T51:T54">
      <formula1>$W$51:$W$54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P58:P68">
      <formula1>$X$58:$X$98</formula1>
    </dataValidation>
  </dataValidation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B1:BB98"/>
  <sheetViews>
    <sheetView topLeftCell="A37" zoomScale="70" zoomScaleNormal="70" workbookViewId="0">
      <selection activeCell="P58" sqref="P58:T68"/>
    </sheetView>
  </sheetViews>
  <sheetFormatPr defaultRowHeight="15" outlineLevelCol="2"/>
  <cols>
    <col min="1" max="1" width="3.42578125" customWidth="1"/>
    <col min="2" max="2" width="3.5703125" bestFit="1" customWidth="1"/>
    <col min="3" max="3" width="11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260</v>
      </c>
      <c r="E3" s="145"/>
      <c r="F3" s="145"/>
      <c r="N3" t="str">
        <f>D3</f>
        <v>Sabine O.</v>
      </c>
      <c r="O3" s="144">
        <f>SUM(P3:S3)</f>
        <v>266</v>
      </c>
      <c r="P3" s="109">
        <f>SUM(Y8:Y86)</f>
        <v>143</v>
      </c>
      <c r="Q3" s="109">
        <f>SUM(AM4:AM55)</f>
        <v>90</v>
      </c>
      <c r="R3" s="109">
        <f>SUM(AP89:AP92)</f>
        <v>15</v>
      </c>
      <c r="S3" s="109">
        <f>SUM(BB58:BB69)</f>
        <v>18</v>
      </c>
      <c r="T3" s="109">
        <f>COUNTIF(AF8:AF86,10)</f>
        <v>4</v>
      </c>
      <c r="U3" s="109" t="str">
        <f>E89</f>
        <v>Argentinië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229"/>
      <c r="L6" s="229"/>
      <c r="M6" s="228"/>
      <c r="N6" s="228"/>
      <c r="O6" s="268"/>
      <c r="P6" s="269"/>
      <c r="Q6" s="269"/>
      <c r="R6" s="269"/>
      <c r="S6" s="269"/>
      <c r="T6" s="269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292" t="s">
        <v>1</v>
      </c>
      <c r="C7" s="293" t="s">
        <v>2</v>
      </c>
      <c r="D7" s="294" t="s">
        <v>3</v>
      </c>
      <c r="E7" s="295"/>
      <c r="F7" s="296" t="s">
        <v>4</v>
      </c>
      <c r="G7" s="880" t="s">
        <v>5</v>
      </c>
      <c r="H7" s="881"/>
      <c r="I7" s="882"/>
      <c r="J7" s="297" t="s">
        <v>6</v>
      </c>
      <c r="K7" s="232" t="s">
        <v>7</v>
      </c>
      <c r="L7" s="232" t="s">
        <v>7</v>
      </c>
      <c r="M7" s="228"/>
      <c r="N7" s="228"/>
      <c r="O7" s="229"/>
      <c r="P7" s="269"/>
      <c r="Q7" s="269"/>
      <c r="R7" s="269"/>
      <c r="S7" s="269"/>
      <c r="T7" s="269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233">
        <v>1</v>
      </c>
      <c r="C8" s="234">
        <v>41802</v>
      </c>
      <c r="D8" s="235" t="s">
        <v>8</v>
      </c>
      <c r="E8" s="236" t="s">
        <v>9</v>
      </c>
      <c r="F8" s="237" t="s">
        <v>10</v>
      </c>
      <c r="G8" s="310">
        <v>4</v>
      </c>
      <c r="H8" s="236" t="s">
        <v>9</v>
      </c>
      <c r="I8" s="315">
        <v>1</v>
      </c>
      <c r="J8" s="238">
        <v>1</v>
      </c>
      <c r="K8" s="239">
        <v>3</v>
      </c>
      <c r="L8" s="239">
        <v>0</v>
      </c>
      <c r="M8" s="228"/>
      <c r="N8" s="228"/>
      <c r="O8" s="298" t="s">
        <v>41</v>
      </c>
      <c r="P8" s="299" t="s">
        <v>42</v>
      </c>
      <c r="Q8" s="299" t="s">
        <v>43</v>
      </c>
      <c r="R8" s="300" t="s">
        <v>44</v>
      </c>
      <c r="S8" s="301" t="s">
        <v>45</v>
      </c>
      <c r="T8" s="302" t="s">
        <v>46</v>
      </c>
      <c r="U8" s="40"/>
      <c r="V8" s="40"/>
      <c r="W8" s="40"/>
      <c r="Y8" s="109">
        <f>AF8</f>
        <v>6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6</v>
      </c>
      <c r="AG8" s="108">
        <f t="shared" ref="AG8:AG55" si="0">IF(AC8="",0,(IF(G8=AC8,1,0)))</f>
        <v>0</v>
      </c>
      <c r="AH8" s="108">
        <f t="shared" ref="AH8:AH55" si="1">IF(AD8="",0,(IF(I8=AD8,1,0)))</f>
        <v>1</v>
      </c>
      <c r="AI8" s="108">
        <f>IF(AND(AG8=1,AH8=1),10,0)</f>
        <v>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240">
        <v>2</v>
      </c>
      <c r="C9" s="241">
        <v>41803</v>
      </c>
      <c r="D9" s="242" t="s">
        <v>11</v>
      </c>
      <c r="E9" s="243" t="s">
        <v>9</v>
      </c>
      <c r="F9" s="244" t="s">
        <v>12</v>
      </c>
      <c r="G9" s="311">
        <v>2</v>
      </c>
      <c r="H9" s="243" t="s">
        <v>9</v>
      </c>
      <c r="I9" s="316">
        <v>0</v>
      </c>
      <c r="J9" s="245">
        <v>1</v>
      </c>
      <c r="K9" s="239">
        <v>3</v>
      </c>
      <c r="L9" s="239">
        <v>0</v>
      </c>
      <c r="M9" s="228"/>
      <c r="N9" s="228"/>
      <c r="O9" s="270" t="s">
        <v>8</v>
      </c>
      <c r="P9" s="271">
        <v>8</v>
      </c>
      <c r="Q9" s="271">
        <v>4</v>
      </c>
      <c r="R9" s="272">
        <v>4</v>
      </c>
      <c r="S9" s="273">
        <v>7</v>
      </c>
      <c r="T9" s="320" t="s">
        <v>48</v>
      </c>
      <c r="U9" s="40"/>
      <c r="V9" s="40" t="str">
        <f>O9</f>
        <v>Brazilië</v>
      </c>
      <c r="W9" s="40" t="s">
        <v>48</v>
      </c>
      <c r="Y9" s="109">
        <f t="shared" ref="Y9:Y55" si="5">AF9</f>
        <v>6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6">IF(OR(AC9="",AD9=""),0,(IF(SUM(AG9:AL9)&gt;10,10,SUM(AG9:AL9))))</f>
        <v>6</v>
      </c>
      <c r="AG9" s="108">
        <f t="shared" si="0"/>
        <v>0</v>
      </c>
      <c r="AH9" s="108">
        <f t="shared" si="1"/>
        <v>1</v>
      </c>
      <c r="AI9" s="108">
        <f t="shared" ref="AI9:AI55" si="7">IF(AND(AG9=1,AH9=1),10,0)</f>
        <v>0</v>
      </c>
      <c r="AJ9" s="108">
        <f t="shared" si="2"/>
        <v>5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246">
        <v>3</v>
      </c>
      <c r="C10" s="247">
        <v>41803</v>
      </c>
      <c r="D10" s="248" t="s">
        <v>13</v>
      </c>
      <c r="E10" s="249" t="s">
        <v>9</v>
      </c>
      <c r="F10" s="250" t="s">
        <v>14</v>
      </c>
      <c r="G10" s="312">
        <v>1</v>
      </c>
      <c r="H10" s="249" t="s">
        <v>9</v>
      </c>
      <c r="I10" s="317">
        <v>1</v>
      </c>
      <c r="J10" s="251">
        <v>3</v>
      </c>
      <c r="K10" s="239">
        <v>1</v>
      </c>
      <c r="L10" s="239">
        <v>1</v>
      </c>
      <c r="M10" s="228"/>
      <c r="N10" s="228"/>
      <c r="O10" s="274" t="s">
        <v>10</v>
      </c>
      <c r="P10" s="275">
        <v>4</v>
      </c>
      <c r="Q10" s="275">
        <v>7</v>
      </c>
      <c r="R10" s="275">
        <v>-3</v>
      </c>
      <c r="S10" s="276">
        <v>2</v>
      </c>
      <c r="T10" s="321" t="s">
        <v>50</v>
      </c>
      <c r="U10" s="40"/>
      <c r="V10" s="40" t="str">
        <f>O10</f>
        <v>Kroatië</v>
      </c>
      <c r="W10" s="40" t="s">
        <v>49</v>
      </c>
      <c r="Y10" s="109">
        <f t="shared" si="5"/>
        <v>1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6"/>
        <v>1</v>
      </c>
      <c r="AG10" s="108">
        <f t="shared" si="0"/>
        <v>1</v>
      </c>
      <c r="AH10" s="108">
        <f t="shared" si="1"/>
        <v>0</v>
      </c>
      <c r="AI10" s="108">
        <f t="shared" si="7"/>
        <v>0</v>
      </c>
      <c r="AJ10" s="108">
        <f t="shared" si="2"/>
        <v>0</v>
      </c>
      <c r="AK10" s="108">
        <f t="shared" si="3"/>
        <v>0</v>
      </c>
      <c r="AL10" s="108">
        <f t="shared" si="4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252">
        <v>4</v>
      </c>
      <c r="C11" s="253">
        <v>41803</v>
      </c>
      <c r="D11" s="254" t="s">
        <v>15</v>
      </c>
      <c r="E11" s="255" t="s">
        <v>9</v>
      </c>
      <c r="F11" s="256" t="s">
        <v>16</v>
      </c>
      <c r="G11" s="313">
        <v>0</v>
      </c>
      <c r="H11" s="255" t="s">
        <v>9</v>
      </c>
      <c r="I11" s="318">
        <v>1</v>
      </c>
      <c r="J11" s="257">
        <v>2</v>
      </c>
      <c r="K11" s="239">
        <v>0</v>
      </c>
      <c r="L11" s="239">
        <v>3</v>
      </c>
      <c r="M11" s="228"/>
      <c r="N11" s="228"/>
      <c r="O11" s="274" t="s">
        <v>11</v>
      </c>
      <c r="P11" s="275">
        <v>3</v>
      </c>
      <c r="Q11" s="275">
        <v>2</v>
      </c>
      <c r="R11" s="275">
        <v>1</v>
      </c>
      <c r="S11" s="276">
        <v>4</v>
      </c>
      <c r="T11" s="321" t="s">
        <v>49</v>
      </c>
      <c r="U11" s="40"/>
      <c r="V11" s="40" t="str">
        <f>O11</f>
        <v>Mexico</v>
      </c>
      <c r="W11" s="40" t="s">
        <v>47</v>
      </c>
      <c r="Y11" s="109">
        <f t="shared" si="5"/>
        <v>1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6"/>
        <v>1</v>
      </c>
      <c r="AG11" s="108">
        <f t="shared" si="0"/>
        <v>0</v>
      </c>
      <c r="AH11" s="108">
        <f t="shared" si="1"/>
        <v>1</v>
      </c>
      <c r="AI11" s="108">
        <f t="shared" si="7"/>
        <v>0</v>
      </c>
      <c r="AJ11" s="108">
        <f t="shared" si="2"/>
        <v>0</v>
      </c>
      <c r="AK11" s="108">
        <f t="shared" si="3"/>
        <v>0</v>
      </c>
      <c r="AL11" s="108">
        <f t="shared" si="4"/>
        <v>0</v>
      </c>
      <c r="AM11" s="120">
        <f>AO11</f>
        <v>10</v>
      </c>
      <c r="AN11" s="117" t="s">
        <v>11</v>
      </c>
      <c r="AO11" s="115">
        <f>IF(Uitslag!T11="",0,IF(T11=Uitslag!T11,10,0))</f>
        <v>10</v>
      </c>
    </row>
    <row r="12" spans="2:54" ht="15.75" thickBot="1">
      <c r="B12" s="240">
        <v>5</v>
      </c>
      <c r="C12" s="241">
        <v>41804</v>
      </c>
      <c r="D12" s="242" t="s">
        <v>17</v>
      </c>
      <c r="E12" s="243" t="s">
        <v>9</v>
      </c>
      <c r="F12" s="244" t="s">
        <v>18</v>
      </c>
      <c r="G12" s="311">
        <v>3</v>
      </c>
      <c r="H12" s="243" t="s">
        <v>9</v>
      </c>
      <c r="I12" s="316">
        <v>0</v>
      </c>
      <c r="J12" s="245">
        <v>1</v>
      </c>
      <c r="K12" s="239">
        <v>3</v>
      </c>
      <c r="L12" s="239">
        <v>0</v>
      </c>
      <c r="M12" s="228"/>
      <c r="N12" s="228"/>
      <c r="O12" s="277" t="s">
        <v>12</v>
      </c>
      <c r="P12" s="278">
        <v>5</v>
      </c>
      <c r="Q12" s="278">
        <v>7</v>
      </c>
      <c r="R12" s="278">
        <v>-2</v>
      </c>
      <c r="S12" s="279">
        <v>2</v>
      </c>
      <c r="T12" s="322" t="s">
        <v>47</v>
      </c>
      <c r="U12" s="40"/>
      <c r="V12" s="40" t="str">
        <f>O12</f>
        <v>Kameroen</v>
      </c>
      <c r="W12" s="40" t="s">
        <v>50</v>
      </c>
      <c r="Y12" s="109">
        <f t="shared" si="5"/>
        <v>10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6"/>
        <v>10</v>
      </c>
      <c r="AG12" s="108">
        <f t="shared" si="0"/>
        <v>1</v>
      </c>
      <c r="AH12" s="108">
        <f t="shared" si="1"/>
        <v>1</v>
      </c>
      <c r="AI12" s="108">
        <f t="shared" si="7"/>
        <v>10</v>
      </c>
      <c r="AJ12" s="108">
        <f t="shared" si="2"/>
        <v>5</v>
      </c>
      <c r="AK12" s="108">
        <f t="shared" si="3"/>
        <v>0</v>
      </c>
      <c r="AL12" s="108">
        <f t="shared" si="4"/>
        <v>0</v>
      </c>
      <c r="AM12" s="120">
        <f>AO12</f>
        <v>0</v>
      </c>
      <c r="AN12" s="118" t="s">
        <v>12</v>
      </c>
      <c r="AO12" s="115">
        <f>IF(Uitslag!T12="",0,IF(T12=Uitslag!T12,10,0))</f>
        <v>0</v>
      </c>
    </row>
    <row r="13" spans="2:54" ht="15.75" thickBot="1">
      <c r="B13" s="246">
        <v>6</v>
      </c>
      <c r="C13" s="247">
        <v>41804</v>
      </c>
      <c r="D13" s="248" t="s">
        <v>19</v>
      </c>
      <c r="E13" s="249" t="s">
        <v>9</v>
      </c>
      <c r="F13" s="258" t="s">
        <v>20</v>
      </c>
      <c r="G13" s="312">
        <v>1</v>
      </c>
      <c r="H13" s="249" t="s">
        <v>9</v>
      </c>
      <c r="I13" s="317">
        <v>1</v>
      </c>
      <c r="J13" s="251">
        <v>3</v>
      </c>
      <c r="K13" s="239">
        <v>1</v>
      </c>
      <c r="L13" s="239">
        <v>1</v>
      </c>
      <c r="M13" s="228"/>
      <c r="N13" s="228"/>
      <c r="O13" s="268"/>
      <c r="P13" s="269"/>
      <c r="Q13" s="269"/>
      <c r="R13" s="269"/>
      <c r="S13" s="269"/>
      <c r="T13" s="269"/>
      <c r="U13" s="40"/>
      <c r="V13" s="40"/>
      <c r="W13" s="40"/>
      <c r="Y13" s="109">
        <f t="shared" si="5"/>
        <v>1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6"/>
        <v>1</v>
      </c>
      <c r="AG13" s="108">
        <f t="shared" si="0"/>
        <v>1</v>
      </c>
      <c r="AH13" s="108">
        <f t="shared" si="1"/>
        <v>0</v>
      </c>
      <c r="AI13" s="108">
        <f t="shared" si="7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40"/>
      <c r="AO13" s="41"/>
    </row>
    <row r="14" spans="2:54" ht="15.75" thickBot="1">
      <c r="B14" s="246">
        <v>7</v>
      </c>
      <c r="C14" s="247">
        <v>41804</v>
      </c>
      <c r="D14" s="248" t="s">
        <v>21</v>
      </c>
      <c r="E14" s="249" t="s">
        <v>9</v>
      </c>
      <c r="F14" s="258" t="s">
        <v>22</v>
      </c>
      <c r="G14" s="312">
        <v>1</v>
      </c>
      <c r="H14" s="249" t="s">
        <v>9</v>
      </c>
      <c r="I14" s="317">
        <v>3</v>
      </c>
      <c r="J14" s="251">
        <v>2</v>
      </c>
      <c r="K14" s="239">
        <v>0</v>
      </c>
      <c r="L14" s="239">
        <v>3</v>
      </c>
      <c r="M14" s="228"/>
      <c r="N14" s="228"/>
      <c r="O14" s="298" t="s">
        <v>51</v>
      </c>
      <c r="P14" s="299" t="s">
        <v>42</v>
      </c>
      <c r="Q14" s="299" t="s">
        <v>43</v>
      </c>
      <c r="R14" s="300" t="s">
        <v>44</v>
      </c>
      <c r="S14" s="301" t="s">
        <v>45</v>
      </c>
      <c r="T14" s="302" t="s">
        <v>46</v>
      </c>
      <c r="U14" s="40"/>
      <c r="V14" s="40"/>
      <c r="W14" s="40"/>
      <c r="Y14" s="109">
        <f t="shared" si="5"/>
        <v>6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6"/>
        <v>6</v>
      </c>
      <c r="AG14" s="108">
        <f t="shared" si="0"/>
        <v>1</v>
      </c>
      <c r="AH14" s="108">
        <f t="shared" si="1"/>
        <v>0</v>
      </c>
      <c r="AI14" s="108">
        <f t="shared" si="7"/>
        <v>0</v>
      </c>
      <c r="AJ14" s="108">
        <f t="shared" si="2"/>
        <v>0</v>
      </c>
      <c r="AK14" s="108">
        <f t="shared" si="3"/>
        <v>5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252">
        <v>8</v>
      </c>
      <c r="C15" s="253">
        <v>41804</v>
      </c>
      <c r="D15" s="254" t="s">
        <v>23</v>
      </c>
      <c r="E15" s="255" t="s">
        <v>9</v>
      </c>
      <c r="F15" s="256" t="s">
        <v>24</v>
      </c>
      <c r="G15" s="313">
        <v>1</v>
      </c>
      <c r="H15" s="255" t="s">
        <v>9</v>
      </c>
      <c r="I15" s="318">
        <v>1</v>
      </c>
      <c r="J15" s="257">
        <v>3</v>
      </c>
      <c r="K15" s="239">
        <v>1</v>
      </c>
      <c r="L15" s="239">
        <v>1</v>
      </c>
      <c r="M15" s="228"/>
      <c r="N15" s="228"/>
      <c r="O15" s="270" t="s">
        <v>13</v>
      </c>
      <c r="P15" s="271">
        <v>7</v>
      </c>
      <c r="Q15" s="271">
        <v>4</v>
      </c>
      <c r="R15" s="272">
        <v>3</v>
      </c>
      <c r="S15" s="273">
        <v>7</v>
      </c>
      <c r="T15" s="320" t="s">
        <v>52</v>
      </c>
      <c r="U15" s="40"/>
      <c r="V15" s="40" t="str">
        <f>O15</f>
        <v>Spanje</v>
      </c>
      <c r="W15" s="40" t="s">
        <v>52</v>
      </c>
      <c r="Y15" s="109">
        <f t="shared" si="5"/>
        <v>1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6"/>
        <v>1</v>
      </c>
      <c r="AG15" s="108">
        <f t="shared" si="0"/>
        <v>0</v>
      </c>
      <c r="AH15" s="108">
        <f t="shared" si="1"/>
        <v>1</v>
      </c>
      <c r="AI15" s="108">
        <f t="shared" si="7"/>
        <v>0</v>
      </c>
      <c r="AJ15" s="108">
        <f t="shared" si="2"/>
        <v>0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240">
        <v>9</v>
      </c>
      <c r="C16" s="241">
        <v>41805</v>
      </c>
      <c r="D16" s="242" t="s">
        <v>25</v>
      </c>
      <c r="E16" s="243" t="s">
        <v>9</v>
      </c>
      <c r="F16" s="244" t="s">
        <v>26</v>
      </c>
      <c r="G16" s="311">
        <v>0</v>
      </c>
      <c r="H16" s="243" t="s">
        <v>9</v>
      </c>
      <c r="I16" s="316">
        <v>2</v>
      </c>
      <c r="J16" s="245">
        <v>2</v>
      </c>
      <c r="K16" s="239">
        <v>0</v>
      </c>
      <c r="L16" s="239">
        <v>3</v>
      </c>
      <c r="M16" s="228"/>
      <c r="N16" s="228"/>
      <c r="O16" s="280" t="s">
        <v>14</v>
      </c>
      <c r="P16" s="275">
        <v>2</v>
      </c>
      <c r="Q16" s="275">
        <v>2</v>
      </c>
      <c r="R16" s="275">
        <v>0</v>
      </c>
      <c r="S16" s="276">
        <v>3</v>
      </c>
      <c r="T16" s="321" t="s">
        <v>54</v>
      </c>
      <c r="U16" s="40"/>
      <c r="V16" s="40" t="str">
        <f>O16</f>
        <v>Nederland</v>
      </c>
      <c r="W16" s="40" t="s">
        <v>53</v>
      </c>
      <c r="Y16" s="109">
        <f t="shared" si="5"/>
        <v>0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6"/>
        <v>0</v>
      </c>
      <c r="AG16" s="108">
        <f t="shared" si="0"/>
        <v>0</v>
      </c>
      <c r="AH16" s="108">
        <f t="shared" si="1"/>
        <v>0</v>
      </c>
      <c r="AI16" s="108">
        <f t="shared" si="7"/>
        <v>0</v>
      </c>
      <c r="AJ16" s="108">
        <f t="shared" si="2"/>
        <v>0</v>
      </c>
      <c r="AK16" s="108">
        <f t="shared" si="3"/>
        <v>0</v>
      </c>
      <c r="AL16" s="108">
        <f t="shared" si="4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246">
        <v>10</v>
      </c>
      <c r="C17" s="247">
        <v>41805</v>
      </c>
      <c r="D17" s="248" t="s">
        <v>27</v>
      </c>
      <c r="E17" s="249" t="s">
        <v>9</v>
      </c>
      <c r="F17" s="258" t="s">
        <v>28</v>
      </c>
      <c r="G17" s="312">
        <v>0</v>
      </c>
      <c r="H17" s="249" t="s">
        <v>9</v>
      </c>
      <c r="I17" s="317">
        <v>0</v>
      </c>
      <c r="J17" s="251">
        <v>3</v>
      </c>
      <c r="K17" s="239">
        <v>1</v>
      </c>
      <c r="L17" s="239">
        <v>1</v>
      </c>
      <c r="M17" s="228"/>
      <c r="N17" s="228"/>
      <c r="O17" s="274" t="s">
        <v>15</v>
      </c>
      <c r="P17" s="275">
        <v>1</v>
      </c>
      <c r="Q17" s="275">
        <v>3</v>
      </c>
      <c r="R17" s="275">
        <v>-2</v>
      </c>
      <c r="S17" s="276">
        <v>1</v>
      </c>
      <c r="T17" s="321" t="s">
        <v>55</v>
      </c>
      <c r="U17" s="40"/>
      <c r="V17" s="40" t="str">
        <f>O17</f>
        <v>Chili</v>
      </c>
      <c r="W17" s="40" t="s">
        <v>54</v>
      </c>
      <c r="Y17" s="109">
        <f t="shared" si="5"/>
        <v>1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6"/>
        <v>1</v>
      </c>
      <c r="AG17" s="108">
        <f t="shared" si="0"/>
        <v>0</v>
      </c>
      <c r="AH17" s="108">
        <f t="shared" si="1"/>
        <v>1</v>
      </c>
      <c r="AI17" s="108">
        <f t="shared" si="7"/>
        <v>0</v>
      </c>
      <c r="AJ17" s="108">
        <f t="shared" si="2"/>
        <v>0</v>
      </c>
      <c r="AK17" s="108">
        <f t="shared" si="3"/>
        <v>0</v>
      </c>
      <c r="AL17" s="108">
        <f t="shared" si="4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252">
        <v>11</v>
      </c>
      <c r="C18" s="253">
        <v>41805</v>
      </c>
      <c r="D18" s="254" t="s">
        <v>29</v>
      </c>
      <c r="E18" s="255" t="s">
        <v>9</v>
      </c>
      <c r="F18" s="256" t="s">
        <v>30</v>
      </c>
      <c r="G18" s="313">
        <v>2</v>
      </c>
      <c r="H18" s="255" t="s">
        <v>9</v>
      </c>
      <c r="I18" s="318">
        <v>1</v>
      </c>
      <c r="J18" s="257">
        <v>1</v>
      </c>
      <c r="K18" s="239">
        <v>3</v>
      </c>
      <c r="L18" s="239">
        <v>0</v>
      </c>
      <c r="M18" s="228"/>
      <c r="N18" s="228"/>
      <c r="O18" s="277" t="s">
        <v>16</v>
      </c>
      <c r="P18" s="278">
        <v>4</v>
      </c>
      <c r="Q18" s="278">
        <v>5</v>
      </c>
      <c r="R18" s="278">
        <v>-1</v>
      </c>
      <c r="S18" s="279">
        <v>4</v>
      </c>
      <c r="T18" s="322" t="s">
        <v>53</v>
      </c>
      <c r="U18" s="40"/>
      <c r="V18" s="40" t="str">
        <f>O18</f>
        <v>Australië</v>
      </c>
      <c r="W18" s="40" t="s">
        <v>55</v>
      </c>
      <c r="Y18" s="109">
        <f t="shared" si="5"/>
        <v>10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6"/>
        <v>10</v>
      </c>
      <c r="AG18" s="108">
        <f t="shared" si="0"/>
        <v>1</v>
      </c>
      <c r="AH18" s="108">
        <f t="shared" si="1"/>
        <v>1</v>
      </c>
      <c r="AI18" s="108">
        <f t="shared" si="7"/>
        <v>10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0</v>
      </c>
      <c r="AN18" s="118" t="s">
        <v>16</v>
      </c>
      <c r="AO18" s="115">
        <f>IF(Uitslag!T18="",0,IF(T18=Uitslag!T18,10,0))</f>
        <v>0</v>
      </c>
    </row>
    <row r="19" spans="2:41" ht="15.75" thickBot="1">
      <c r="B19" s="240">
        <v>12</v>
      </c>
      <c r="C19" s="241">
        <v>41806</v>
      </c>
      <c r="D19" s="242" t="s">
        <v>31</v>
      </c>
      <c r="E19" s="243" t="s">
        <v>9</v>
      </c>
      <c r="F19" s="244" t="s">
        <v>32</v>
      </c>
      <c r="G19" s="311">
        <v>1</v>
      </c>
      <c r="H19" s="243" t="s">
        <v>9</v>
      </c>
      <c r="I19" s="316">
        <v>1</v>
      </c>
      <c r="J19" s="245">
        <v>3</v>
      </c>
      <c r="K19" s="239">
        <v>1</v>
      </c>
      <c r="L19" s="239">
        <v>1</v>
      </c>
      <c r="M19" s="228"/>
      <c r="N19" s="228"/>
      <c r="O19" s="268"/>
      <c r="P19" s="269"/>
      <c r="Q19" s="269"/>
      <c r="R19" s="269"/>
      <c r="S19" s="269"/>
      <c r="T19" s="269"/>
      <c r="U19" s="40"/>
      <c r="V19" s="40"/>
      <c r="W19" s="40"/>
      <c r="Y19" s="109">
        <f t="shared" si="5"/>
        <v>0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6"/>
        <v>0</v>
      </c>
      <c r="AG19" s="108">
        <f t="shared" si="0"/>
        <v>0</v>
      </c>
      <c r="AH19" s="108">
        <f t="shared" si="1"/>
        <v>0</v>
      </c>
      <c r="AI19" s="108">
        <f t="shared" si="7"/>
        <v>0</v>
      </c>
      <c r="AJ19" s="108">
        <f t="shared" si="2"/>
        <v>0</v>
      </c>
      <c r="AK19" s="108">
        <f t="shared" si="3"/>
        <v>0</v>
      </c>
      <c r="AL19" s="108">
        <f t="shared" si="4"/>
        <v>0</v>
      </c>
      <c r="AN19" s="40"/>
      <c r="AO19" s="41"/>
    </row>
    <row r="20" spans="2:41" ht="15.75" thickBot="1">
      <c r="B20" s="246">
        <v>13</v>
      </c>
      <c r="C20" s="247">
        <v>41806</v>
      </c>
      <c r="D20" s="248" t="s">
        <v>33</v>
      </c>
      <c r="E20" s="249" t="s">
        <v>9</v>
      </c>
      <c r="F20" s="258" t="s">
        <v>34</v>
      </c>
      <c r="G20" s="312">
        <v>0</v>
      </c>
      <c r="H20" s="249" t="s">
        <v>9</v>
      </c>
      <c r="I20" s="317">
        <v>3</v>
      </c>
      <c r="J20" s="251">
        <v>2</v>
      </c>
      <c r="K20" s="239">
        <v>0</v>
      </c>
      <c r="L20" s="239">
        <v>3</v>
      </c>
      <c r="M20" s="228"/>
      <c r="N20" s="228"/>
      <c r="O20" s="298" t="s">
        <v>56</v>
      </c>
      <c r="P20" s="299" t="s">
        <v>42</v>
      </c>
      <c r="Q20" s="299" t="s">
        <v>43</v>
      </c>
      <c r="R20" s="300" t="s">
        <v>44</v>
      </c>
      <c r="S20" s="301" t="s">
        <v>45</v>
      </c>
      <c r="T20" s="302" t="s">
        <v>46</v>
      </c>
      <c r="U20" s="40"/>
      <c r="V20" s="40"/>
      <c r="W20" s="40"/>
      <c r="Y20" s="109">
        <f t="shared" si="5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6"/>
        <v>1</v>
      </c>
      <c r="AG20" s="108">
        <f t="shared" si="0"/>
        <v>1</v>
      </c>
      <c r="AH20" s="108">
        <f t="shared" si="1"/>
        <v>0</v>
      </c>
      <c r="AI20" s="108">
        <f t="shared" si="7"/>
        <v>0</v>
      </c>
      <c r="AJ20" s="108">
        <f t="shared" si="2"/>
        <v>0</v>
      </c>
      <c r="AK20" s="108">
        <f t="shared" si="3"/>
        <v>0</v>
      </c>
      <c r="AL20" s="108">
        <f t="shared" si="4"/>
        <v>0</v>
      </c>
      <c r="AN20" s="42" t="s">
        <v>56</v>
      </c>
      <c r="AO20" s="43" t="s">
        <v>46</v>
      </c>
    </row>
    <row r="21" spans="2:41" ht="15.75" thickBot="1">
      <c r="B21" s="252">
        <v>14</v>
      </c>
      <c r="C21" s="253">
        <v>41806</v>
      </c>
      <c r="D21" s="254" t="s">
        <v>35</v>
      </c>
      <c r="E21" s="255" t="s">
        <v>9</v>
      </c>
      <c r="F21" s="256" t="s">
        <v>36</v>
      </c>
      <c r="G21" s="313">
        <v>2</v>
      </c>
      <c r="H21" s="255" t="s">
        <v>9</v>
      </c>
      <c r="I21" s="318">
        <v>1</v>
      </c>
      <c r="J21" s="257">
        <v>1</v>
      </c>
      <c r="K21" s="239">
        <v>3</v>
      </c>
      <c r="L21" s="239">
        <v>0</v>
      </c>
      <c r="M21" s="228"/>
      <c r="N21" s="228"/>
      <c r="O21" s="270" t="s">
        <v>17</v>
      </c>
      <c r="P21" s="271">
        <v>3</v>
      </c>
      <c r="Q21" s="271">
        <v>1</v>
      </c>
      <c r="R21" s="272">
        <v>2</v>
      </c>
      <c r="S21" s="273">
        <v>4</v>
      </c>
      <c r="T21" s="320" t="s">
        <v>59</v>
      </c>
      <c r="U21" s="40"/>
      <c r="V21" s="40" t="str">
        <f>O21</f>
        <v>Colombia</v>
      </c>
      <c r="W21" s="40" t="s">
        <v>57</v>
      </c>
      <c r="Y21" s="109">
        <f t="shared" si="5"/>
        <v>0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6"/>
        <v>0</v>
      </c>
      <c r="AG21" s="108">
        <f t="shared" si="0"/>
        <v>0</v>
      </c>
      <c r="AH21" s="108">
        <f t="shared" si="1"/>
        <v>0</v>
      </c>
      <c r="AI21" s="108">
        <f t="shared" si="7"/>
        <v>0</v>
      </c>
      <c r="AJ21" s="108">
        <f t="shared" si="2"/>
        <v>0</v>
      </c>
      <c r="AK21" s="108">
        <f t="shared" si="3"/>
        <v>0</v>
      </c>
      <c r="AL21" s="108">
        <f t="shared" si="4"/>
        <v>0</v>
      </c>
      <c r="AM21" s="120">
        <f>AO21</f>
        <v>0</v>
      </c>
      <c r="AN21" s="116" t="s">
        <v>17</v>
      </c>
      <c r="AO21" s="115">
        <f>IF(Uitslag!T21="",0,IF(T21=Uitslag!T21,10,0))</f>
        <v>0</v>
      </c>
    </row>
    <row r="22" spans="2:41" ht="15.75" thickBot="1">
      <c r="B22" s="240">
        <v>15</v>
      </c>
      <c r="C22" s="241">
        <v>41807</v>
      </c>
      <c r="D22" s="242" t="s">
        <v>37</v>
      </c>
      <c r="E22" s="243" t="s">
        <v>9</v>
      </c>
      <c r="F22" s="244" t="s">
        <v>38</v>
      </c>
      <c r="G22" s="311">
        <v>0</v>
      </c>
      <c r="H22" s="243" t="s">
        <v>9</v>
      </c>
      <c r="I22" s="316">
        <v>1</v>
      </c>
      <c r="J22" s="245">
        <v>2</v>
      </c>
      <c r="K22" s="239">
        <v>0</v>
      </c>
      <c r="L22" s="239">
        <v>3</v>
      </c>
      <c r="M22" s="228"/>
      <c r="N22" s="228"/>
      <c r="O22" s="274" t="s">
        <v>18</v>
      </c>
      <c r="P22" s="275">
        <v>1</v>
      </c>
      <c r="Q22" s="275">
        <v>6</v>
      </c>
      <c r="R22" s="275">
        <v>-5</v>
      </c>
      <c r="S22" s="276">
        <v>0</v>
      </c>
      <c r="T22" s="321" t="s">
        <v>60</v>
      </c>
      <c r="U22" s="40"/>
      <c r="V22" s="40" t="str">
        <f>O22</f>
        <v>Griekenland</v>
      </c>
      <c r="W22" s="40" t="s">
        <v>58</v>
      </c>
      <c r="Y22" s="109">
        <f t="shared" si="5"/>
        <v>1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6"/>
        <v>1</v>
      </c>
      <c r="AG22" s="108">
        <f t="shared" si="0"/>
        <v>0</v>
      </c>
      <c r="AH22" s="108">
        <f t="shared" si="1"/>
        <v>1</v>
      </c>
      <c r="AI22" s="108">
        <f t="shared" si="7"/>
        <v>0</v>
      </c>
      <c r="AJ22" s="108">
        <f t="shared" si="2"/>
        <v>0</v>
      </c>
      <c r="AK22" s="108">
        <f t="shared" si="3"/>
        <v>0</v>
      </c>
      <c r="AL22" s="108">
        <f t="shared" si="4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246">
        <v>16</v>
      </c>
      <c r="C23" s="247">
        <v>41807</v>
      </c>
      <c r="D23" s="248" t="s">
        <v>8</v>
      </c>
      <c r="E23" s="249" t="s">
        <v>9</v>
      </c>
      <c r="F23" s="258" t="s">
        <v>11</v>
      </c>
      <c r="G23" s="312">
        <v>1</v>
      </c>
      <c r="H23" s="249" t="s">
        <v>9</v>
      </c>
      <c r="I23" s="317">
        <v>0</v>
      </c>
      <c r="J23" s="251">
        <v>1</v>
      </c>
      <c r="K23" s="239">
        <v>3</v>
      </c>
      <c r="L23" s="239">
        <v>0</v>
      </c>
      <c r="M23" s="228"/>
      <c r="N23" s="228"/>
      <c r="O23" s="274" t="s">
        <v>23</v>
      </c>
      <c r="P23" s="275">
        <v>2</v>
      </c>
      <c r="Q23" s="275">
        <v>1</v>
      </c>
      <c r="R23" s="275">
        <v>1</v>
      </c>
      <c r="S23" s="276">
        <v>5</v>
      </c>
      <c r="T23" s="321" t="s">
        <v>58</v>
      </c>
      <c r="U23" s="40"/>
      <c r="V23" s="40" t="str">
        <f>O23</f>
        <v>Ivoorkust</v>
      </c>
      <c r="W23" s="40" t="s">
        <v>59</v>
      </c>
      <c r="Y23" s="109">
        <f t="shared" si="5"/>
        <v>1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6"/>
        <v>1</v>
      </c>
      <c r="AG23" s="108">
        <f t="shared" si="0"/>
        <v>0</v>
      </c>
      <c r="AH23" s="108">
        <f t="shared" si="1"/>
        <v>1</v>
      </c>
      <c r="AI23" s="108">
        <f t="shared" si="7"/>
        <v>0</v>
      </c>
      <c r="AJ23" s="108">
        <f t="shared" si="2"/>
        <v>0</v>
      </c>
      <c r="AK23" s="108">
        <f t="shared" si="3"/>
        <v>0</v>
      </c>
      <c r="AL23" s="108">
        <f t="shared" si="4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252">
        <v>17</v>
      </c>
      <c r="C24" s="253">
        <v>41807</v>
      </c>
      <c r="D24" s="254" t="s">
        <v>39</v>
      </c>
      <c r="E24" s="255" t="s">
        <v>9</v>
      </c>
      <c r="F24" s="256" t="s">
        <v>40</v>
      </c>
      <c r="G24" s="313">
        <v>1</v>
      </c>
      <c r="H24" s="255" t="s">
        <v>9</v>
      </c>
      <c r="I24" s="318">
        <v>0</v>
      </c>
      <c r="J24" s="257">
        <v>1</v>
      </c>
      <c r="K24" s="239">
        <v>3</v>
      </c>
      <c r="L24" s="239">
        <v>0</v>
      </c>
      <c r="M24" s="228"/>
      <c r="N24" s="228"/>
      <c r="O24" s="277" t="s">
        <v>24</v>
      </c>
      <c r="P24" s="278">
        <v>4</v>
      </c>
      <c r="Q24" s="278">
        <v>2</v>
      </c>
      <c r="R24" s="278">
        <v>2</v>
      </c>
      <c r="S24" s="279">
        <v>7</v>
      </c>
      <c r="T24" s="322" t="s">
        <v>57</v>
      </c>
      <c r="U24" s="40"/>
      <c r="V24" s="40" t="str">
        <f>O24</f>
        <v>Japan</v>
      </c>
      <c r="W24" s="40" t="s">
        <v>60</v>
      </c>
      <c r="Y24" s="109">
        <f t="shared" si="5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6"/>
        <v>1</v>
      </c>
      <c r="AG24" s="108">
        <f t="shared" si="0"/>
        <v>1</v>
      </c>
      <c r="AH24" s="108">
        <f t="shared" si="1"/>
        <v>0</v>
      </c>
      <c r="AI24" s="108">
        <f t="shared" si="7"/>
        <v>0</v>
      </c>
      <c r="AJ24" s="108">
        <f t="shared" si="2"/>
        <v>0</v>
      </c>
      <c r="AK24" s="108">
        <f t="shared" si="3"/>
        <v>0</v>
      </c>
      <c r="AL24" s="108">
        <f t="shared" si="4"/>
        <v>0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240">
        <v>18</v>
      </c>
      <c r="C25" s="241">
        <v>41808</v>
      </c>
      <c r="D25" s="242" t="s">
        <v>16</v>
      </c>
      <c r="E25" s="243" t="s">
        <v>9</v>
      </c>
      <c r="F25" s="259" t="s">
        <v>14</v>
      </c>
      <c r="G25" s="311">
        <v>1</v>
      </c>
      <c r="H25" s="243" t="s">
        <v>9</v>
      </c>
      <c r="I25" s="316">
        <v>1</v>
      </c>
      <c r="J25" s="245">
        <v>3</v>
      </c>
      <c r="K25" s="239">
        <v>1</v>
      </c>
      <c r="L25" s="239">
        <v>1</v>
      </c>
      <c r="M25" s="228"/>
      <c r="N25" s="228"/>
      <c r="O25" s="268"/>
      <c r="P25" s="269"/>
      <c r="Q25" s="269"/>
      <c r="R25" s="269"/>
      <c r="S25" s="269"/>
      <c r="T25" s="269"/>
      <c r="U25" s="40"/>
      <c r="V25" s="40"/>
      <c r="W25" s="40"/>
      <c r="Y25" s="109">
        <f t="shared" si="5"/>
        <v>0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6"/>
        <v>0</v>
      </c>
      <c r="AG25" s="108">
        <f t="shared" si="0"/>
        <v>0</v>
      </c>
      <c r="AH25" s="108">
        <f t="shared" si="1"/>
        <v>0</v>
      </c>
      <c r="AI25" s="108">
        <f t="shared" si="7"/>
        <v>0</v>
      </c>
      <c r="AJ25" s="108">
        <f t="shared" si="2"/>
        <v>0</v>
      </c>
      <c r="AK25" s="108">
        <f t="shared" si="3"/>
        <v>0</v>
      </c>
      <c r="AL25" s="108">
        <f t="shared" si="4"/>
        <v>0</v>
      </c>
      <c r="AN25" s="40"/>
      <c r="AO25" s="41"/>
    </row>
    <row r="26" spans="2:41" ht="15.75" thickBot="1">
      <c r="B26" s="246">
        <v>19</v>
      </c>
      <c r="C26" s="247">
        <v>41808</v>
      </c>
      <c r="D26" s="248" t="s">
        <v>13</v>
      </c>
      <c r="E26" s="249" t="s">
        <v>9</v>
      </c>
      <c r="F26" s="258" t="s">
        <v>15</v>
      </c>
      <c r="G26" s="312">
        <v>2</v>
      </c>
      <c r="H26" s="249" t="s">
        <v>9</v>
      </c>
      <c r="I26" s="317">
        <v>1</v>
      </c>
      <c r="J26" s="251">
        <v>1</v>
      </c>
      <c r="K26" s="239">
        <v>3</v>
      </c>
      <c r="L26" s="239">
        <v>0</v>
      </c>
      <c r="M26" s="228"/>
      <c r="N26" s="228"/>
      <c r="O26" s="298" t="s">
        <v>61</v>
      </c>
      <c r="P26" s="299" t="s">
        <v>42</v>
      </c>
      <c r="Q26" s="299" t="s">
        <v>43</v>
      </c>
      <c r="R26" s="300" t="s">
        <v>44</v>
      </c>
      <c r="S26" s="301" t="s">
        <v>45</v>
      </c>
      <c r="T26" s="302" t="s">
        <v>46</v>
      </c>
      <c r="U26" s="40"/>
      <c r="V26" s="40"/>
      <c r="W26" s="40"/>
      <c r="Y26" s="109">
        <f t="shared" si="5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6"/>
        <v>0</v>
      </c>
      <c r="AG26" s="108">
        <f t="shared" si="0"/>
        <v>0</v>
      </c>
      <c r="AH26" s="108">
        <f t="shared" si="1"/>
        <v>0</v>
      </c>
      <c r="AI26" s="108">
        <f t="shared" si="7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252">
        <v>20</v>
      </c>
      <c r="C27" s="253">
        <v>41808</v>
      </c>
      <c r="D27" s="254" t="s">
        <v>12</v>
      </c>
      <c r="E27" s="255" t="s">
        <v>9</v>
      </c>
      <c r="F27" s="256" t="s">
        <v>10</v>
      </c>
      <c r="G27" s="313">
        <v>2</v>
      </c>
      <c r="H27" s="255" t="s">
        <v>9</v>
      </c>
      <c r="I27" s="318">
        <v>2</v>
      </c>
      <c r="J27" s="257">
        <v>3</v>
      </c>
      <c r="K27" s="239">
        <v>1</v>
      </c>
      <c r="L27" s="239">
        <v>1</v>
      </c>
      <c r="M27" s="228"/>
      <c r="N27" s="228"/>
      <c r="O27" s="270" t="s">
        <v>19</v>
      </c>
      <c r="P27" s="271">
        <v>4</v>
      </c>
      <c r="Q27" s="271">
        <v>3</v>
      </c>
      <c r="R27" s="272">
        <v>1</v>
      </c>
      <c r="S27" s="273">
        <v>4</v>
      </c>
      <c r="T27" s="320" t="s">
        <v>63</v>
      </c>
      <c r="U27" s="40"/>
      <c r="V27" s="40" t="str">
        <f>O27</f>
        <v>Uruguay</v>
      </c>
      <c r="W27" s="40" t="s">
        <v>62</v>
      </c>
      <c r="Y27" s="109">
        <f t="shared" si="5"/>
        <v>0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6"/>
        <v>0</v>
      </c>
      <c r="AG27" s="108">
        <f t="shared" si="0"/>
        <v>0</v>
      </c>
      <c r="AH27" s="108">
        <f t="shared" si="1"/>
        <v>0</v>
      </c>
      <c r="AI27" s="108">
        <f t="shared" si="7"/>
        <v>0</v>
      </c>
      <c r="AJ27" s="108">
        <f t="shared" si="2"/>
        <v>0</v>
      </c>
      <c r="AK27" s="108">
        <f t="shared" si="3"/>
        <v>0</v>
      </c>
      <c r="AL27" s="108">
        <f t="shared" si="4"/>
        <v>0</v>
      </c>
      <c r="AM27" s="120">
        <f>AO27</f>
        <v>10</v>
      </c>
      <c r="AN27" s="116" t="s">
        <v>19</v>
      </c>
      <c r="AO27" s="115">
        <f>IF(Uitslag!T27="",0,IF(T27=Uitslag!T27,10,0))</f>
        <v>10</v>
      </c>
    </row>
    <row r="28" spans="2:41" ht="15.75" thickBot="1">
      <c r="B28" s="240">
        <v>21</v>
      </c>
      <c r="C28" s="241">
        <v>41809</v>
      </c>
      <c r="D28" s="242" t="s">
        <v>17</v>
      </c>
      <c r="E28" s="243" t="s">
        <v>9</v>
      </c>
      <c r="F28" s="244" t="s">
        <v>23</v>
      </c>
      <c r="G28" s="311">
        <v>0</v>
      </c>
      <c r="H28" s="243" t="s">
        <v>9</v>
      </c>
      <c r="I28" s="316">
        <v>0</v>
      </c>
      <c r="J28" s="245">
        <v>3</v>
      </c>
      <c r="K28" s="239">
        <v>1</v>
      </c>
      <c r="L28" s="239">
        <v>1</v>
      </c>
      <c r="M28" s="228"/>
      <c r="N28" s="228"/>
      <c r="O28" s="274" t="s">
        <v>20</v>
      </c>
      <c r="P28" s="275">
        <v>3</v>
      </c>
      <c r="Q28" s="275">
        <v>4</v>
      </c>
      <c r="R28" s="275">
        <v>-1</v>
      </c>
      <c r="S28" s="276">
        <v>4</v>
      </c>
      <c r="T28" s="321" t="s">
        <v>64</v>
      </c>
      <c r="U28" s="40"/>
      <c r="V28" s="40" t="str">
        <f>O28</f>
        <v>Costa Rica</v>
      </c>
      <c r="W28" s="40" t="s">
        <v>63</v>
      </c>
      <c r="Y28" s="109">
        <f t="shared" si="5"/>
        <v>0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6"/>
        <v>0</v>
      </c>
      <c r="AG28" s="108">
        <f t="shared" si="0"/>
        <v>0</v>
      </c>
      <c r="AH28" s="108">
        <f t="shared" si="1"/>
        <v>0</v>
      </c>
      <c r="AI28" s="108">
        <f t="shared" si="7"/>
        <v>0</v>
      </c>
      <c r="AJ28" s="108">
        <f t="shared" si="2"/>
        <v>0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246">
        <v>22</v>
      </c>
      <c r="C29" s="247">
        <v>41809</v>
      </c>
      <c r="D29" s="248" t="s">
        <v>19</v>
      </c>
      <c r="E29" s="249" t="s">
        <v>9</v>
      </c>
      <c r="F29" s="258" t="s">
        <v>21</v>
      </c>
      <c r="G29" s="312">
        <v>3</v>
      </c>
      <c r="H29" s="249" t="s">
        <v>9</v>
      </c>
      <c r="I29" s="317">
        <v>1</v>
      </c>
      <c r="J29" s="251">
        <v>1</v>
      </c>
      <c r="K29" s="239">
        <v>3</v>
      </c>
      <c r="L29" s="239">
        <v>0</v>
      </c>
      <c r="M29" s="228"/>
      <c r="N29" s="228"/>
      <c r="O29" s="274" t="s">
        <v>21</v>
      </c>
      <c r="P29" s="275">
        <v>2</v>
      </c>
      <c r="Q29" s="275">
        <v>8</v>
      </c>
      <c r="R29" s="275">
        <v>-6</v>
      </c>
      <c r="S29" s="276">
        <v>0</v>
      </c>
      <c r="T29" s="321" t="s">
        <v>65</v>
      </c>
      <c r="U29" s="40"/>
      <c r="V29" s="40" t="str">
        <f>O29</f>
        <v>Engeland</v>
      </c>
      <c r="W29" s="40" t="s">
        <v>64</v>
      </c>
      <c r="Y29" s="109">
        <f t="shared" si="5"/>
        <v>6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6"/>
        <v>6</v>
      </c>
      <c r="AG29" s="108">
        <f t="shared" si="0"/>
        <v>0</v>
      </c>
      <c r="AH29" s="108">
        <f t="shared" si="1"/>
        <v>1</v>
      </c>
      <c r="AI29" s="108">
        <f t="shared" si="7"/>
        <v>0</v>
      </c>
      <c r="AJ29" s="108">
        <f t="shared" si="2"/>
        <v>5</v>
      </c>
      <c r="AK29" s="108">
        <f t="shared" si="3"/>
        <v>0</v>
      </c>
      <c r="AL29" s="108">
        <f t="shared" si="4"/>
        <v>0</v>
      </c>
      <c r="AM29" s="120">
        <f>AO29</f>
        <v>10</v>
      </c>
      <c r="AN29" s="117" t="s">
        <v>21</v>
      </c>
      <c r="AO29" s="115">
        <f>IF(Uitslag!T29="",0,IF(T29=Uitslag!T29,10,0))</f>
        <v>10</v>
      </c>
    </row>
    <row r="30" spans="2:41" ht="15.75" thickBot="1">
      <c r="B30" s="252">
        <v>23</v>
      </c>
      <c r="C30" s="253">
        <v>41809</v>
      </c>
      <c r="D30" s="254" t="s">
        <v>24</v>
      </c>
      <c r="E30" s="255" t="s">
        <v>9</v>
      </c>
      <c r="F30" s="256" t="s">
        <v>18</v>
      </c>
      <c r="G30" s="313">
        <v>2</v>
      </c>
      <c r="H30" s="255" t="s">
        <v>9</v>
      </c>
      <c r="I30" s="318">
        <v>1</v>
      </c>
      <c r="J30" s="257">
        <v>1</v>
      </c>
      <c r="K30" s="239">
        <v>3</v>
      </c>
      <c r="L30" s="239">
        <v>0</v>
      </c>
      <c r="M30" s="228"/>
      <c r="N30" s="228"/>
      <c r="O30" s="277" t="s">
        <v>22</v>
      </c>
      <c r="P30" s="278">
        <v>7</v>
      </c>
      <c r="Q30" s="278">
        <v>1</v>
      </c>
      <c r="R30" s="278">
        <v>6</v>
      </c>
      <c r="S30" s="279">
        <v>9</v>
      </c>
      <c r="T30" s="322" t="s">
        <v>62</v>
      </c>
      <c r="U30" s="40"/>
      <c r="V30" s="40" t="str">
        <f>O30</f>
        <v>Italië</v>
      </c>
      <c r="W30" s="40" t="s">
        <v>65</v>
      </c>
      <c r="Y30" s="109">
        <f t="shared" si="5"/>
        <v>0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6"/>
        <v>0</v>
      </c>
      <c r="AG30" s="108">
        <f t="shared" si="0"/>
        <v>0</v>
      </c>
      <c r="AH30" s="108">
        <f t="shared" si="1"/>
        <v>0</v>
      </c>
      <c r="AI30" s="108">
        <f t="shared" si="7"/>
        <v>0</v>
      </c>
      <c r="AJ30" s="108">
        <f t="shared" si="2"/>
        <v>0</v>
      </c>
      <c r="AK30" s="108">
        <f t="shared" si="3"/>
        <v>0</v>
      </c>
      <c r="AL30" s="108">
        <f t="shared" si="4"/>
        <v>0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240">
        <v>24</v>
      </c>
      <c r="C31" s="241">
        <v>41810</v>
      </c>
      <c r="D31" s="242" t="s">
        <v>22</v>
      </c>
      <c r="E31" s="243" t="s">
        <v>9</v>
      </c>
      <c r="F31" s="244" t="s">
        <v>20</v>
      </c>
      <c r="G31" s="311">
        <v>3</v>
      </c>
      <c r="H31" s="243" t="s">
        <v>9</v>
      </c>
      <c r="I31" s="316">
        <v>0</v>
      </c>
      <c r="J31" s="245">
        <v>1</v>
      </c>
      <c r="K31" s="239">
        <v>3</v>
      </c>
      <c r="L31" s="239">
        <v>0</v>
      </c>
      <c r="M31" s="228"/>
      <c r="N31" s="228"/>
      <c r="O31" s="268"/>
      <c r="P31" s="269"/>
      <c r="Q31" s="269"/>
      <c r="R31" s="269"/>
      <c r="S31" s="269"/>
      <c r="T31" s="269"/>
      <c r="U31" s="40"/>
      <c r="V31" s="40"/>
      <c r="W31" s="40"/>
      <c r="Y31" s="109">
        <f t="shared" si="5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6"/>
        <v>0</v>
      </c>
      <c r="AG31" s="108">
        <f t="shared" si="0"/>
        <v>0</v>
      </c>
      <c r="AH31" s="108">
        <f t="shared" si="1"/>
        <v>0</v>
      </c>
      <c r="AI31" s="108">
        <f t="shared" si="7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40"/>
      <c r="AO31" s="41"/>
    </row>
    <row r="32" spans="2:41" ht="15.75" thickBot="1">
      <c r="B32" s="246">
        <v>25</v>
      </c>
      <c r="C32" s="247">
        <v>41810</v>
      </c>
      <c r="D32" s="248" t="s">
        <v>25</v>
      </c>
      <c r="E32" s="249" t="s">
        <v>9</v>
      </c>
      <c r="F32" s="258" t="s">
        <v>27</v>
      </c>
      <c r="G32" s="312">
        <v>1</v>
      </c>
      <c r="H32" s="249" t="s">
        <v>9</v>
      </c>
      <c r="I32" s="317">
        <v>1</v>
      </c>
      <c r="J32" s="251">
        <v>3</v>
      </c>
      <c r="K32" s="239">
        <v>1</v>
      </c>
      <c r="L32" s="239">
        <v>1</v>
      </c>
      <c r="M32" s="228"/>
      <c r="N32" s="228"/>
      <c r="O32" s="298" t="s">
        <v>66</v>
      </c>
      <c r="P32" s="299" t="s">
        <v>42</v>
      </c>
      <c r="Q32" s="299" t="s">
        <v>43</v>
      </c>
      <c r="R32" s="300" t="s">
        <v>44</v>
      </c>
      <c r="S32" s="301" t="s">
        <v>45</v>
      </c>
      <c r="T32" s="302" t="s">
        <v>46</v>
      </c>
      <c r="U32" s="40"/>
      <c r="V32" s="40"/>
      <c r="W32" s="40"/>
      <c r="Y32" s="109">
        <f t="shared" si="5"/>
        <v>0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6"/>
        <v>0</v>
      </c>
      <c r="AG32" s="108">
        <f t="shared" si="0"/>
        <v>0</v>
      </c>
      <c r="AH32" s="108">
        <f t="shared" si="1"/>
        <v>0</v>
      </c>
      <c r="AI32" s="108">
        <f t="shared" si="7"/>
        <v>0</v>
      </c>
      <c r="AJ32" s="108">
        <f t="shared" si="2"/>
        <v>0</v>
      </c>
      <c r="AK32" s="108">
        <f t="shared" si="3"/>
        <v>0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252">
        <v>26</v>
      </c>
      <c r="C33" s="253">
        <v>41810</v>
      </c>
      <c r="D33" s="254" t="s">
        <v>28</v>
      </c>
      <c r="E33" s="255" t="s">
        <v>9</v>
      </c>
      <c r="F33" s="256" t="s">
        <v>26</v>
      </c>
      <c r="G33" s="313">
        <v>0</v>
      </c>
      <c r="H33" s="255" t="s">
        <v>9</v>
      </c>
      <c r="I33" s="318">
        <v>0</v>
      </c>
      <c r="J33" s="257">
        <v>3</v>
      </c>
      <c r="K33" s="239">
        <v>1</v>
      </c>
      <c r="L33" s="239">
        <v>1</v>
      </c>
      <c r="M33" s="228"/>
      <c r="N33" s="228"/>
      <c r="O33" s="270" t="s">
        <v>25</v>
      </c>
      <c r="P33" s="271">
        <v>2</v>
      </c>
      <c r="Q33" s="271">
        <v>4</v>
      </c>
      <c r="R33" s="272">
        <v>-2</v>
      </c>
      <c r="S33" s="273">
        <v>2</v>
      </c>
      <c r="T33" s="320" t="s">
        <v>70</v>
      </c>
      <c r="U33" s="40"/>
      <c r="V33" s="40" t="str">
        <f>O33</f>
        <v>Zwitserland</v>
      </c>
      <c r="W33" s="40" t="s">
        <v>67</v>
      </c>
      <c r="Y33" s="109">
        <f t="shared" si="5"/>
        <v>0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6"/>
        <v>0</v>
      </c>
      <c r="AG33" s="108">
        <f t="shared" si="0"/>
        <v>0</v>
      </c>
      <c r="AH33" s="108">
        <f t="shared" si="1"/>
        <v>0</v>
      </c>
      <c r="AI33" s="108">
        <f t="shared" si="7"/>
        <v>0</v>
      </c>
      <c r="AJ33" s="108">
        <f t="shared" si="2"/>
        <v>0</v>
      </c>
      <c r="AK33" s="108">
        <f t="shared" si="3"/>
        <v>0</v>
      </c>
      <c r="AL33" s="108">
        <f t="shared" si="4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240">
        <v>27</v>
      </c>
      <c r="C34" s="241">
        <v>41811</v>
      </c>
      <c r="D34" s="242" t="s">
        <v>29</v>
      </c>
      <c r="E34" s="243" t="s">
        <v>9</v>
      </c>
      <c r="F34" s="244" t="s">
        <v>33</v>
      </c>
      <c r="G34" s="311">
        <v>1</v>
      </c>
      <c r="H34" s="243" t="s">
        <v>9</v>
      </c>
      <c r="I34" s="316">
        <v>1</v>
      </c>
      <c r="J34" s="245">
        <v>3</v>
      </c>
      <c r="K34" s="239">
        <v>1</v>
      </c>
      <c r="L34" s="239">
        <v>1</v>
      </c>
      <c r="M34" s="228"/>
      <c r="N34" s="228"/>
      <c r="O34" s="274" t="s">
        <v>26</v>
      </c>
      <c r="P34" s="275">
        <v>4</v>
      </c>
      <c r="Q34" s="275">
        <v>2</v>
      </c>
      <c r="R34" s="275">
        <v>2</v>
      </c>
      <c r="S34" s="276">
        <v>5</v>
      </c>
      <c r="T34" s="321" t="s">
        <v>67</v>
      </c>
      <c r="U34" s="40"/>
      <c r="V34" s="40" t="str">
        <f>O34</f>
        <v>Ecuador</v>
      </c>
      <c r="W34" s="40" t="s">
        <v>68</v>
      </c>
      <c r="Y34" s="109">
        <f t="shared" si="5"/>
        <v>1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6"/>
        <v>1</v>
      </c>
      <c r="AG34" s="108">
        <f t="shared" si="0"/>
        <v>1</v>
      </c>
      <c r="AH34" s="108">
        <f t="shared" si="1"/>
        <v>0</v>
      </c>
      <c r="AI34" s="108">
        <f t="shared" si="7"/>
        <v>0</v>
      </c>
      <c r="AJ34" s="108">
        <f t="shared" si="2"/>
        <v>0</v>
      </c>
      <c r="AK34" s="108">
        <f t="shared" si="3"/>
        <v>0</v>
      </c>
      <c r="AL34" s="108">
        <f t="shared" si="4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246">
        <v>28</v>
      </c>
      <c r="C35" s="247">
        <v>41811</v>
      </c>
      <c r="D35" s="248" t="s">
        <v>31</v>
      </c>
      <c r="E35" s="249" t="s">
        <v>9</v>
      </c>
      <c r="F35" s="258" t="s">
        <v>35</v>
      </c>
      <c r="G35" s="312">
        <v>3</v>
      </c>
      <c r="H35" s="249" t="s">
        <v>9</v>
      </c>
      <c r="I35" s="317">
        <v>2</v>
      </c>
      <c r="J35" s="251">
        <v>1</v>
      </c>
      <c r="K35" s="239">
        <v>3</v>
      </c>
      <c r="L35" s="239">
        <v>0</v>
      </c>
      <c r="M35" s="228"/>
      <c r="N35" s="228"/>
      <c r="O35" s="274" t="s">
        <v>27</v>
      </c>
      <c r="P35" s="275">
        <v>3</v>
      </c>
      <c r="Q35" s="275">
        <v>3</v>
      </c>
      <c r="R35" s="275">
        <v>0</v>
      </c>
      <c r="S35" s="276">
        <v>3</v>
      </c>
      <c r="T35" s="321" t="s">
        <v>68</v>
      </c>
      <c r="U35" s="40"/>
      <c r="V35" s="40" t="str">
        <f>O35</f>
        <v>Frankrijk</v>
      </c>
      <c r="W35" s="40" t="s">
        <v>69</v>
      </c>
      <c r="Y35" s="109">
        <f t="shared" si="5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6"/>
        <v>1</v>
      </c>
      <c r="AG35" s="108">
        <f t="shared" si="0"/>
        <v>0</v>
      </c>
      <c r="AH35" s="108">
        <f t="shared" si="1"/>
        <v>1</v>
      </c>
      <c r="AI35" s="108">
        <f t="shared" si="7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0</v>
      </c>
      <c r="AN35" s="117" t="s">
        <v>27</v>
      </c>
      <c r="AO35" s="115">
        <f>IF(Uitslag!T35="",0,IF(T35=Uitslag!T35,10,0))</f>
        <v>0</v>
      </c>
    </row>
    <row r="36" spans="2:41" ht="15.75" thickBot="1">
      <c r="B36" s="252">
        <v>29</v>
      </c>
      <c r="C36" s="253">
        <v>41811</v>
      </c>
      <c r="D36" s="254" t="s">
        <v>34</v>
      </c>
      <c r="E36" s="255" t="s">
        <v>9</v>
      </c>
      <c r="F36" s="256" t="s">
        <v>30</v>
      </c>
      <c r="G36" s="313">
        <v>1</v>
      </c>
      <c r="H36" s="255" t="s">
        <v>9</v>
      </c>
      <c r="I36" s="318">
        <v>0</v>
      </c>
      <c r="J36" s="257">
        <v>1</v>
      </c>
      <c r="K36" s="239">
        <v>3</v>
      </c>
      <c r="L36" s="239">
        <v>0</v>
      </c>
      <c r="M36" s="228"/>
      <c r="N36" s="228"/>
      <c r="O36" s="277" t="s">
        <v>28</v>
      </c>
      <c r="P36" s="278">
        <v>1</v>
      </c>
      <c r="Q36" s="278">
        <v>1</v>
      </c>
      <c r="R36" s="278">
        <v>0</v>
      </c>
      <c r="S36" s="279">
        <v>3</v>
      </c>
      <c r="T36" s="322" t="s">
        <v>69</v>
      </c>
      <c r="U36" s="40"/>
      <c r="V36" s="40" t="str">
        <f>O36</f>
        <v>Honduras</v>
      </c>
      <c r="W36" s="40" t="s">
        <v>70</v>
      </c>
      <c r="Y36" s="109">
        <f t="shared" si="5"/>
        <v>10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6"/>
        <v>10</v>
      </c>
      <c r="AG36" s="108">
        <f t="shared" si="0"/>
        <v>1</v>
      </c>
      <c r="AH36" s="108">
        <f t="shared" si="1"/>
        <v>1</v>
      </c>
      <c r="AI36" s="108">
        <f t="shared" si="7"/>
        <v>10</v>
      </c>
      <c r="AJ36" s="108">
        <f t="shared" si="2"/>
        <v>5</v>
      </c>
      <c r="AK36" s="108">
        <f t="shared" si="3"/>
        <v>0</v>
      </c>
      <c r="AL36" s="108">
        <f t="shared" si="4"/>
        <v>0</v>
      </c>
      <c r="AM36" s="120">
        <f>AO36</f>
        <v>0</v>
      </c>
      <c r="AN36" s="118" t="s">
        <v>28</v>
      </c>
      <c r="AO36" s="115">
        <f>IF(Uitslag!T36="",0,IF(T36=Uitslag!T36,10,0))</f>
        <v>0</v>
      </c>
    </row>
    <row r="37" spans="2:41" ht="15.75" thickBot="1">
      <c r="B37" s="240">
        <v>30</v>
      </c>
      <c r="C37" s="241">
        <v>41812</v>
      </c>
      <c r="D37" s="242" t="s">
        <v>37</v>
      </c>
      <c r="E37" s="243" t="s">
        <v>9</v>
      </c>
      <c r="F37" s="244" t="s">
        <v>39</v>
      </c>
      <c r="G37" s="311">
        <v>2</v>
      </c>
      <c r="H37" s="243" t="s">
        <v>9</v>
      </c>
      <c r="I37" s="316">
        <v>1</v>
      </c>
      <c r="J37" s="245">
        <v>1</v>
      </c>
      <c r="K37" s="239">
        <v>3</v>
      </c>
      <c r="L37" s="239">
        <v>0</v>
      </c>
      <c r="M37" s="228"/>
      <c r="N37" s="228"/>
      <c r="O37" s="268"/>
      <c r="P37" s="269"/>
      <c r="Q37" s="269"/>
      <c r="R37" s="269"/>
      <c r="S37" s="269"/>
      <c r="T37" s="269"/>
      <c r="U37" s="40"/>
      <c r="V37" s="40"/>
      <c r="W37" s="40"/>
      <c r="Y37" s="109">
        <f t="shared" si="5"/>
        <v>5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6"/>
        <v>5</v>
      </c>
      <c r="AG37" s="108">
        <f t="shared" si="0"/>
        <v>0</v>
      </c>
      <c r="AH37" s="108">
        <f t="shared" si="1"/>
        <v>0</v>
      </c>
      <c r="AI37" s="108">
        <f t="shared" si="7"/>
        <v>0</v>
      </c>
      <c r="AJ37" s="108">
        <f t="shared" si="2"/>
        <v>5</v>
      </c>
      <c r="AK37" s="108">
        <f t="shared" si="3"/>
        <v>0</v>
      </c>
      <c r="AL37" s="108">
        <f t="shared" si="4"/>
        <v>0</v>
      </c>
      <c r="AN37" s="40"/>
      <c r="AO37" s="41"/>
    </row>
    <row r="38" spans="2:41" ht="15.75" thickBot="1">
      <c r="B38" s="246">
        <v>31</v>
      </c>
      <c r="C38" s="247">
        <v>41812</v>
      </c>
      <c r="D38" s="248" t="s">
        <v>40</v>
      </c>
      <c r="E38" s="249" t="s">
        <v>9</v>
      </c>
      <c r="F38" s="258" t="s">
        <v>38</v>
      </c>
      <c r="G38" s="312">
        <v>1</v>
      </c>
      <c r="H38" s="249" t="s">
        <v>9</v>
      </c>
      <c r="I38" s="317">
        <v>1</v>
      </c>
      <c r="J38" s="251">
        <v>3</v>
      </c>
      <c r="K38" s="239">
        <v>1</v>
      </c>
      <c r="L38" s="239">
        <v>1</v>
      </c>
      <c r="M38" s="228"/>
      <c r="N38" s="228"/>
      <c r="O38" s="298" t="s">
        <v>71</v>
      </c>
      <c r="P38" s="299" t="s">
        <v>42</v>
      </c>
      <c r="Q38" s="299" t="s">
        <v>43</v>
      </c>
      <c r="R38" s="300" t="s">
        <v>44</v>
      </c>
      <c r="S38" s="301" t="s">
        <v>45</v>
      </c>
      <c r="T38" s="302" t="s">
        <v>46</v>
      </c>
      <c r="U38" s="40"/>
      <c r="V38" s="40"/>
      <c r="W38" s="40"/>
      <c r="Y38" s="109">
        <f t="shared" si="5"/>
        <v>0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6"/>
        <v>0</v>
      </c>
      <c r="AG38" s="108">
        <f t="shared" si="0"/>
        <v>0</v>
      </c>
      <c r="AH38" s="108">
        <f t="shared" si="1"/>
        <v>0</v>
      </c>
      <c r="AI38" s="108">
        <f t="shared" si="7"/>
        <v>0</v>
      </c>
      <c r="AJ38" s="108">
        <f t="shared" si="2"/>
        <v>0</v>
      </c>
      <c r="AK38" s="108">
        <f t="shared" si="3"/>
        <v>0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252">
        <v>32</v>
      </c>
      <c r="C39" s="253">
        <v>41812</v>
      </c>
      <c r="D39" s="254" t="s">
        <v>36</v>
      </c>
      <c r="E39" s="255" t="s">
        <v>9</v>
      </c>
      <c r="F39" s="256" t="s">
        <v>32</v>
      </c>
      <c r="G39" s="313">
        <v>1</v>
      </c>
      <c r="H39" s="255" t="s">
        <v>9</v>
      </c>
      <c r="I39" s="318">
        <v>1</v>
      </c>
      <c r="J39" s="257">
        <v>3</v>
      </c>
      <c r="K39" s="239">
        <v>1</v>
      </c>
      <c r="L39" s="239">
        <v>1</v>
      </c>
      <c r="M39" s="228"/>
      <c r="N39" s="228"/>
      <c r="O39" s="270" t="s">
        <v>29</v>
      </c>
      <c r="P39" s="271">
        <v>4</v>
      </c>
      <c r="Q39" s="271">
        <v>2</v>
      </c>
      <c r="R39" s="272">
        <v>2</v>
      </c>
      <c r="S39" s="273">
        <v>7</v>
      </c>
      <c r="T39" s="320" t="s">
        <v>72</v>
      </c>
      <c r="U39" s="40"/>
      <c r="V39" s="40" t="str">
        <f>O39</f>
        <v>Argentinië</v>
      </c>
      <c r="W39" s="40" t="s">
        <v>72</v>
      </c>
      <c r="Y39" s="109">
        <f t="shared" si="5"/>
        <v>5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6"/>
        <v>5</v>
      </c>
      <c r="AG39" s="108">
        <f t="shared" si="0"/>
        <v>0</v>
      </c>
      <c r="AH39" s="108">
        <f t="shared" si="1"/>
        <v>0</v>
      </c>
      <c r="AI39" s="108">
        <f t="shared" si="7"/>
        <v>0</v>
      </c>
      <c r="AJ39" s="108">
        <f t="shared" si="2"/>
        <v>0</v>
      </c>
      <c r="AK39" s="108">
        <f t="shared" si="3"/>
        <v>0</v>
      </c>
      <c r="AL39" s="108">
        <f t="shared" si="4"/>
        <v>5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240">
        <v>33</v>
      </c>
      <c r="C40" s="241">
        <v>41813</v>
      </c>
      <c r="D40" s="242" t="s">
        <v>16</v>
      </c>
      <c r="E40" s="243" t="s">
        <v>9</v>
      </c>
      <c r="F40" s="244" t="s">
        <v>13</v>
      </c>
      <c r="G40" s="311">
        <v>2</v>
      </c>
      <c r="H40" s="243" t="s">
        <v>9</v>
      </c>
      <c r="I40" s="316">
        <v>4</v>
      </c>
      <c r="J40" s="245">
        <v>2</v>
      </c>
      <c r="K40" s="239">
        <v>0</v>
      </c>
      <c r="L40" s="239">
        <v>3</v>
      </c>
      <c r="M40" s="228"/>
      <c r="N40" s="228"/>
      <c r="O40" s="274" t="s">
        <v>30</v>
      </c>
      <c r="P40" s="275">
        <v>1</v>
      </c>
      <c r="Q40" s="275">
        <v>6</v>
      </c>
      <c r="R40" s="275">
        <v>-5</v>
      </c>
      <c r="S40" s="276">
        <v>0</v>
      </c>
      <c r="T40" s="321" t="s">
        <v>75</v>
      </c>
      <c r="U40" s="40"/>
      <c r="V40" s="40" t="str">
        <f>O40</f>
        <v>Bosnië H.</v>
      </c>
      <c r="W40" s="40" t="s">
        <v>73</v>
      </c>
      <c r="Y40" s="109">
        <f t="shared" si="5"/>
        <v>5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6"/>
        <v>5</v>
      </c>
      <c r="AG40" s="108">
        <f t="shared" si="0"/>
        <v>0</v>
      </c>
      <c r="AH40" s="108">
        <f t="shared" si="1"/>
        <v>0</v>
      </c>
      <c r="AI40" s="108">
        <f t="shared" si="7"/>
        <v>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0</v>
      </c>
      <c r="AN40" s="117" t="s">
        <v>30</v>
      </c>
      <c r="AO40" s="115">
        <f>IF(Uitslag!T40="",0,IF(T40=Uitslag!T40,10,0))</f>
        <v>0</v>
      </c>
    </row>
    <row r="41" spans="2:41" ht="15.75" thickBot="1">
      <c r="B41" s="246">
        <v>34</v>
      </c>
      <c r="C41" s="247">
        <v>41813</v>
      </c>
      <c r="D41" s="260" t="s">
        <v>14</v>
      </c>
      <c r="E41" s="249" t="s">
        <v>9</v>
      </c>
      <c r="F41" s="258" t="s">
        <v>15</v>
      </c>
      <c r="G41" s="312">
        <v>0</v>
      </c>
      <c r="H41" s="249" t="s">
        <v>9</v>
      </c>
      <c r="I41" s="317">
        <v>0</v>
      </c>
      <c r="J41" s="251">
        <v>3</v>
      </c>
      <c r="K41" s="239">
        <v>1</v>
      </c>
      <c r="L41" s="239">
        <v>1</v>
      </c>
      <c r="M41" s="228"/>
      <c r="N41" s="228"/>
      <c r="O41" s="274" t="s">
        <v>33</v>
      </c>
      <c r="P41" s="275">
        <v>4</v>
      </c>
      <c r="Q41" s="275">
        <v>4</v>
      </c>
      <c r="R41" s="275">
        <v>0</v>
      </c>
      <c r="S41" s="276">
        <v>4</v>
      </c>
      <c r="T41" s="321" t="s">
        <v>74</v>
      </c>
      <c r="U41" s="40"/>
      <c r="V41" s="40" t="str">
        <f>O41</f>
        <v>Iran</v>
      </c>
      <c r="W41" s="40" t="s">
        <v>74</v>
      </c>
      <c r="Y41" s="109">
        <f t="shared" si="5"/>
        <v>1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6"/>
        <v>1</v>
      </c>
      <c r="AG41" s="108">
        <f t="shared" si="0"/>
        <v>0</v>
      </c>
      <c r="AH41" s="108">
        <f t="shared" si="1"/>
        <v>1</v>
      </c>
      <c r="AI41" s="108">
        <f t="shared" si="7"/>
        <v>0</v>
      </c>
      <c r="AJ41" s="108">
        <f t="shared" si="2"/>
        <v>0</v>
      </c>
      <c r="AK41" s="108">
        <f t="shared" si="3"/>
        <v>0</v>
      </c>
      <c r="AL41" s="108">
        <f t="shared" si="4"/>
        <v>0</v>
      </c>
      <c r="AM41" s="120">
        <f>AO41</f>
        <v>0</v>
      </c>
      <c r="AN41" s="117" t="s">
        <v>33</v>
      </c>
      <c r="AO41" s="115">
        <f>IF(Uitslag!T41="",0,IF(T41=Uitslag!T41,10,0))</f>
        <v>0</v>
      </c>
    </row>
    <row r="42" spans="2:41" ht="15.75" thickBot="1">
      <c r="B42" s="246">
        <v>35</v>
      </c>
      <c r="C42" s="247">
        <v>41813</v>
      </c>
      <c r="D42" s="248" t="s">
        <v>12</v>
      </c>
      <c r="E42" s="249" t="s">
        <v>9</v>
      </c>
      <c r="F42" s="258" t="s">
        <v>8</v>
      </c>
      <c r="G42" s="312">
        <v>3</v>
      </c>
      <c r="H42" s="249" t="s">
        <v>9</v>
      </c>
      <c r="I42" s="317">
        <v>3</v>
      </c>
      <c r="J42" s="251">
        <v>3</v>
      </c>
      <c r="K42" s="239">
        <v>1</v>
      </c>
      <c r="L42" s="239">
        <v>1</v>
      </c>
      <c r="M42" s="228"/>
      <c r="N42" s="228"/>
      <c r="O42" s="277" t="s">
        <v>34</v>
      </c>
      <c r="P42" s="278">
        <v>4</v>
      </c>
      <c r="Q42" s="278">
        <v>1</v>
      </c>
      <c r="R42" s="278">
        <v>3</v>
      </c>
      <c r="S42" s="279">
        <v>6</v>
      </c>
      <c r="T42" s="322" t="s">
        <v>73</v>
      </c>
      <c r="U42" s="40"/>
      <c r="V42" s="40" t="str">
        <f>O42</f>
        <v>Nigeria</v>
      </c>
      <c r="W42" s="40" t="s">
        <v>75</v>
      </c>
      <c r="Y42" s="109">
        <f t="shared" si="5"/>
        <v>0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6"/>
        <v>0</v>
      </c>
      <c r="AG42" s="108">
        <f t="shared" si="0"/>
        <v>0</v>
      </c>
      <c r="AH42" s="108">
        <f t="shared" si="1"/>
        <v>0</v>
      </c>
      <c r="AI42" s="108">
        <f t="shared" si="7"/>
        <v>0</v>
      </c>
      <c r="AJ42" s="108">
        <f t="shared" si="2"/>
        <v>0</v>
      </c>
      <c r="AK42" s="108">
        <f t="shared" si="3"/>
        <v>0</v>
      </c>
      <c r="AL42" s="108">
        <f t="shared" si="4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252">
        <v>36</v>
      </c>
      <c r="C43" s="253">
        <v>41813</v>
      </c>
      <c r="D43" s="254" t="s">
        <v>10</v>
      </c>
      <c r="E43" s="255" t="s">
        <v>9</v>
      </c>
      <c r="F43" s="256" t="s">
        <v>11</v>
      </c>
      <c r="G43" s="313">
        <v>1</v>
      </c>
      <c r="H43" s="255" t="s">
        <v>9</v>
      </c>
      <c r="I43" s="318">
        <v>1</v>
      </c>
      <c r="J43" s="257">
        <v>3</v>
      </c>
      <c r="K43" s="239">
        <v>1</v>
      </c>
      <c r="L43" s="239">
        <v>1</v>
      </c>
      <c r="M43" s="228"/>
      <c r="N43" s="228"/>
      <c r="O43" s="268"/>
      <c r="P43" s="269"/>
      <c r="Q43" s="269"/>
      <c r="R43" s="269"/>
      <c r="S43" s="269"/>
      <c r="T43" s="269"/>
      <c r="U43" s="40"/>
      <c r="V43" s="40"/>
      <c r="W43" s="40"/>
      <c r="Y43" s="109">
        <f t="shared" si="5"/>
        <v>1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6"/>
        <v>1</v>
      </c>
      <c r="AG43" s="108">
        <f t="shared" si="0"/>
        <v>1</v>
      </c>
      <c r="AH43" s="108">
        <f t="shared" si="1"/>
        <v>0</v>
      </c>
      <c r="AI43" s="108">
        <f t="shared" si="7"/>
        <v>0</v>
      </c>
      <c r="AJ43" s="108">
        <f t="shared" si="2"/>
        <v>0</v>
      </c>
      <c r="AK43" s="108">
        <f t="shared" si="3"/>
        <v>0</v>
      </c>
      <c r="AL43" s="108">
        <f t="shared" si="4"/>
        <v>0</v>
      </c>
      <c r="AN43" s="40"/>
      <c r="AO43" s="41"/>
    </row>
    <row r="44" spans="2:41" ht="15.75" thickBot="1">
      <c r="B44" s="240">
        <v>37</v>
      </c>
      <c r="C44" s="241">
        <v>41814</v>
      </c>
      <c r="D44" s="242" t="s">
        <v>22</v>
      </c>
      <c r="E44" s="243" t="s">
        <v>9</v>
      </c>
      <c r="F44" s="244" t="s">
        <v>19</v>
      </c>
      <c r="G44" s="311">
        <v>1</v>
      </c>
      <c r="H44" s="243" t="s">
        <v>9</v>
      </c>
      <c r="I44" s="316">
        <v>0</v>
      </c>
      <c r="J44" s="245">
        <v>1</v>
      </c>
      <c r="K44" s="239">
        <v>3</v>
      </c>
      <c r="L44" s="239">
        <v>0</v>
      </c>
      <c r="M44" s="228"/>
      <c r="N44" s="228"/>
      <c r="O44" s="298" t="s">
        <v>76</v>
      </c>
      <c r="P44" s="299" t="s">
        <v>42</v>
      </c>
      <c r="Q44" s="299" t="s">
        <v>43</v>
      </c>
      <c r="R44" s="300" t="s">
        <v>44</v>
      </c>
      <c r="S44" s="301" t="s">
        <v>45</v>
      </c>
      <c r="T44" s="302" t="s">
        <v>46</v>
      </c>
      <c r="U44" s="40"/>
      <c r="V44" s="40"/>
      <c r="W44" s="40"/>
      <c r="Y44" s="109">
        <f t="shared" si="5"/>
        <v>0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6"/>
        <v>0</v>
      </c>
      <c r="AG44" s="108">
        <f t="shared" si="0"/>
        <v>0</v>
      </c>
      <c r="AH44" s="108">
        <f t="shared" si="1"/>
        <v>0</v>
      </c>
      <c r="AI44" s="108">
        <f t="shared" si="7"/>
        <v>0</v>
      </c>
      <c r="AJ44" s="108">
        <f t="shared" si="2"/>
        <v>0</v>
      </c>
      <c r="AK44" s="108">
        <f t="shared" si="3"/>
        <v>0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246">
        <v>38</v>
      </c>
      <c r="C45" s="247">
        <v>41814</v>
      </c>
      <c r="D45" s="248" t="s">
        <v>20</v>
      </c>
      <c r="E45" s="249" t="s">
        <v>9</v>
      </c>
      <c r="F45" s="258" t="s">
        <v>21</v>
      </c>
      <c r="G45" s="312">
        <v>2</v>
      </c>
      <c r="H45" s="249" t="s">
        <v>9</v>
      </c>
      <c r="I45" s="317">
        <v>0</v>
      </c>
      <c r="J45" s="251">
        <v>1</v>
      </c>
      <c r="K45" s="239">
        <v>3</v>
      </c>
      <c r="L45" s="239">
        <v>0</v>
      </c>
      <c r="M45" s="228"/>
      <c r="N45" s="228"/>
      <c r="O45" s="270" t="s">
        <v>31</v>
      </c>
      <c r="P45" s="271">
        <v>6</v>
      </c>
      <c r="Q45" s="271">
        <v>3</v>
      </c>
      <c r="R45" s="272">
        <v>3</v>
      </c>
      <c r="S45" s="273">
        <v>7</v>
      </c>
      <c r="T45" s="320" t="s">
        <v>77</v>
      </c>
      <c r="U45" s="40"/>
      <c r="V45" s="40" t="str">
        <f>O45</f>
        <v>Duitsland</v>
      </c>
      <c r="W45" s="40" t="s">
        <v>77</v>
      </c>
      <c r="Y45" s="109">
        <f t="shared" si="5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6"/>
        <v>1</v>
      </c>
      <c r="AG45" s="108">
        <f t="shared" si="0"/>
        <v>0</v>
      </c>
      <c r="AH45" s="108">
        <f t="shared" si="1"/>
        <v>1</v>
      </c>
      <c r="AI45" s="108">
        <f t="shared" si="7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246">
        <v>39</v>
      </c>
      <c r="C46" s="247">
        <v>41814</v>
      </c>
      <c r="D46" s="248" t="s">
        <v>24</v>
      </c>
      <c r="E46" s="249" t="s">
        <v>9</v>
      </c>
      <c r="F46" s="258" t="s">
        <v>17</v>
      </c>
      <c r="G46" s="312">
        <v>1</v>
      </c>
      <c r="H46" s="249" t="s">
        <v>9</v>
      </c>
      <c r="I46" s="317">
        <v>0</v>
      </c>
      <c r="J46" s="251">
        <v>1</v>
      </c>
      <c r="K46" s="239">
        <v>3</v>
      </c>
      <c r="L46" s="239">
        <v>0</v>
      </c>
      <c r="M46" s="228"/>
      <c r="N46" s="228"/>
      <c r="O46" s="274" t="s">
        <v>32</v>
      </c>
      <c r="P46" s="275">
        <v>5</v>
      </c>
      <c r="Q46" s="275">
        <v>4</v>
      </c>
      <c r="R46" s="275">
        <v>1</v>
      </c>
      <c r="S46" s="276">
        <v>5</v>
      </c>
      <c r="T46" s="321" t="s">
        <v>78</v>
      </c>
      <c r="U46" s="40"/>
      <c r="V46" s="40" t="str">
        <f>O46</f>
        <v>Portugal</v>
      </c>
      <c r="W46" s="40" t="s">
        <v>78</v>
      </c>
      <c r="Y46" s="109">
        <f t="shared" si="5"/>
        <v>1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6"/>
        <v>1</v>
      </c>
      <c r="AG46" s="108">
        <f t="shared" si="0"/>
        <v>1</v>
      </c>
      <c r="AH46" s="108">
        <f t="shared" si="1"/>
        <v>0</v>
      </c>
      <c r="AI46" s="108">
        <f t="shared" si="7"/>
        <v>0</v>
      </c>
      <c r="AJ46" s="108">
        <f t="shared" si="2"/>
        <v>0</v>
      </c>
      <c r="AK46" s="108">
        <f t="shared" si="3"/>
        <v>0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252">
        <v>40</v>
      </c>
      <c r="C47" s="253">
        <v>41814</v>
      </c>
      <c r="D47" s="254" t="s">
        <v>18</v>
      </c>
      <c r="E47" s="255" t="s">
        <v>9</v>
      </c>
      <c r="F47" s="256" t="s">
        <v>23</v>
      </c>
      <c r="G47" s="313">
        <v>0</v>
      </c>
      <c r="H47" s="255" t="s">
        <v>9</v>
      </c>
      <c r="I47" s="318">
        <v>1</v>
      </c>
      <c r="J47" s="257">
        <v>2</v>
      </c>
      <c r="K47" s="239">
        <v>0</v>
      </c>
      <c r="L47" s="239">
        <v>3</v>
      </c>
      <c r="M47" s="228"/>
      <c r="N47" s="228"/>
      <c r="O47" s="274" t="s">
        <v>35</v>
      </c>
      <c r="P47" s="275">
        <v>6</v>
      </c>
      <c r="Q47" s="275">
        <v>7</v>
      </c>
      <c r="R47" s="275">
        <v>-1</v>
      </c>
      <c r="S47" s="276">
        <v>3</v>
      </c>
      <c r="T47" s="321" t="s">
        <v>79</v>
      </c>
      <c r="U47" s="40"/>
      <c r="V47" s="40" t="str">
        <f>O47</f>
        <v>Ghana</v>
      </c>
      <c r="W47" s="40" t="s">
        <v>79</v>
      </c>
      <c r="Y47" s="109">
        <f t="shared" si="5"/>
        <v>1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6"/>
        <v>1</v>
      </c>
      <c r="AG47" s="108">
        <f t="shared" si="0"/>
        <v>0</v>
      </c>
      <c r="AH47" s="108">
        <f t="shared" si="1"/>
        <v>1</v>
      </c>
      <c r="AI47" s="108">
        <f t="shared" si="7"/>
        <v>0</v>
      </c>
      <c r="AJ47" s="108">
        <f t="shared" si="2"/>
        <v>0</v>
      </c>
      <c r="AK47" s="108">
        <f t="shared" si="3"/>
        <v>0</v>
      </c>
      <c r="AL47" s="108">
        <f t="shared" si="4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240">
        <v>41</v>
      </c>
      <c r="C48" s="241">
        <v>41815</v>
      </c>
      <c r="D48" s="242" t="s">
        <v>34</v>
      </c>
      <c r="E48" s="243" t="s">
        <v>9</v>
      </c>
      <c r="F48" s="244" t="s">
        <v>29</v>
      </c>
      <c r="G48" s="311">
        <v>0</v>
      </c>
      <c r="H48" s="243" t="s">
        <v>9</v>
      </c>
      <c r="I48" s="316">
        <v>1</v>
      </c>
      <c r="J48" s="245">
        <v>2</v>
      </c>
      <c r="K48" s="239">
        <v>0</v>
      </c>
      <c r="L48" s="239">
        <v>3</v>
      </c>
      <c r="M48" s="228"/>
      <c r="N48" s="228"/>
      <c r="O48" s="277" t="s">
        <v>36</v>
      </c>
      <c r="P48" s="278">
        <v>2</v>
      </c>
      <c r="Q48" s="278">
        <v>5</v>
      </c>
      <c r="R48" s="278">
        <v>-3</v>
      </c>
      <c r="S48" s="279">
        <v>1</v>
      </c>
      <c r="T48" s="322" t="s">
        <v>80</v>
      </c>
      <c r="U48" s="40"/>
      <c r="V48" s="40" t="str">
        <f>O48</f>
        <v>Verenigde Staten</v>
      </c>
      <c r="W48" s="40" t="s">
        <v>80</v>
      </c>
      <c r="Y48" s="109">
        <f t="shared" si="5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6"/>
        <v>5</v>
      </c>
      <c r="AG48" s="108">
        <f t="shared" si="0"/>
        <v>0</v>
      </c>
      <c r="AH48" s="108">
        <f t="shared" si="1"/>
        <v>0</v>
      </c>
      <c r="AI48" s="108">
        <f t="shared" si="7"/>
        <v>0</v>
      </c>
      <c r="AJ48" s="108">
        <f t="shared" si="2"/>
        <v>0</v>
      </c>
      <c r="AK48" s="108">
        <f t="shared" si="3"/>
        <v>5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246">
        <v>42</v>
      </c>
      <c r="C49" s="247">
        <v>41815</v>
      </c>
      <c r="D49" s="248" t="s">
        <v>30</v>
      </c>
      <c r="E49" s="249" t="s">
        <v>9</v>
      </c>
      <c r="F49" s="258" t="s">
        <v>33</v>
      </c>
      <c r="G49" s="312">
        <v>0</v>
      </c>
      <c r="H49" s="249" t="s">
        <v>9</v>
      </c>
      <c r="I49" s="317">
        <v>3</v>
      </c>
      <c r="J49" s="251">
        <v>2</v>
      </c>
      <c r="K49" s="239">
        <v>0</v>
      </c>
      <c r="L49" s="239">
        <v>3</v>
      </c>
      <c r="M49" s="228"/>
      <c r="N49" s="228"/>
      <c r="O49" s="268"/>
      <c r="P49" s="269"/>
      <c r="Q49" s="269"/>
      <c r="R49" s="269"/>
      <c r="S49" s="269"/>
      <c r="T49" s="269"/>
      <c r="U49" s="40"/>
      <c r="V49" s="40"/>
      <c r="W49" s="40"/>
      <c r="Y49" s="109">
        <f t="shared" si="5"/>
        <v>0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6"/>
        <v>0</v>
      </c>
      <c r="AG49" s="108">
        <f t="shared" si="0"/>
        <v>0</v>
      </c>
      <c r="AH49" s="108">
        <f t="shared" si="1"/>
        <v>0</v>
      </c>
      <c r="AI49" s="108">
        <f t="shared" si="7"/>
        <v>0</v>
      </c>
      <c r="AJ49" s="108">
        <f t="shared" si="2"/>
        <v>0</v>
      </c>
      <c r="AK49" s="108">
        <f t="shared" si="3"/>
        <v>0</v>
      </c>
      <c r="AL49" s="108">
        <f t="shared" si="4"/>
        <v>0</v>
      </c>
      <c r="AN49" s="40"/>
      <c r="AO49" s="41"/>
    </row>
    <row r="50" spans="2:54" ht="15.75" thickBot="1">
      <c r="B50" s="246">
        <v>43</v>
      </c>
      <c r="C50" s="247">
        <v>41815</v>
      </c>
      <c r="D50" s="248" t="s">
        <v>28</v>
      </c>
      <c r="E50" s="249" t="s">
        <v>9</v>
      </c>
      <c r="F50" s="258" t="s">
        <v>25</v>
      </c>
      <c r="G50" s="312">
        <v>1</v>
      </c>
      <c r="H50" s="249" t="s">
        <v>9</v>
      </c>
      <c r="I50" s="317">
        <v>1</v>
      </c>
      <c r="J50" s="251">
        <v>3</v>
      </c>
      <c r="K50" s="239">
        <v>1</v>
      </c>
      <c r="L50" s="239">
        <v>1</v>
      </c>
      <c r="M50" s="228"/>
      <c r="N50" s="228"/>
      <c r="O50" s="298" t="s">
        <v>81</v>
      </c>
      <c r="P50" s="299" t="s">
        <v>42</v>
      </c>
      <c r="Q50" s="299" t="s">
        <v>43</v>
      </c>
      <c r="R50" s="300" t="s">
        <v>44</v>
      </c>
      <c r="S50" s="301" t="s">
        <v>45</v>
      </c>
      <c r="T50" s="302" t="s">
        <v>46</v>
      </c>
      <c r="U50" s="40"/>
      <c r="V50" s="40"/>
      <c r="W50" s="40"/>
      <c r="Y50" s="109">
        <f t="shared" si="5"/>
        <v>0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6"/>
        <v>0</v>
      </c>
      <c r="AG50" s="108">
        <f t="shared" si="0"/>
        <v>0</v>
      </c>
      <c r="AH50" s="108">
        <f t="shared" si="1"/>
        <v>0</v>
      </c>
      <c r="AI50" s="108">
        <f t="shared" si="7"/>
        <v>0</v>
      </c>
      <c r="AJ50" s="108">
        <f t="shared" si="2"/>
        <v>0</v>
      </c>
      <c r="AK50" s="108">
        <f t="shared" si="3"/>
        <v>0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252">
        <v>44</v>
      </c>
      <c r="C51" s="253">
        <v>41815</v>
      </c>
      <c r="D51" s="254" t="s">
        <v>26</v>
      </c>
      <c r="E51" s="255" t="s">
        <v>9</v>
      </c>
      <c r="F51" s="256" t="s">
        <v>27</v>
      </c>
      <c r="G51" s="313">
        <v>2</v>
      </c>
      <c r="H51" s="255" t="s">
        <v>9</v>
      </c>
      <c r="I51" s="318">
        <v>2</v>
      </c>
      <c r="J51" s="257">
        <v>3</v>
      </c>
      <c r="K51" s="239">
        <v>1</v>
      </c>
      <c r="L51" s="239">
        <v>1</v>
      </c>
      <c r="M51" s="228"/>
      <c r="N51" s="228"/>
      <c r="O51" s="270" t="s">
        <v>37</v>
      </c>
      <c r="P51" s="271">
        <v>3</v>
      </c>
      <c r="Q51" s="271">
        <v>3</v>
      </c>
      <c r="R51" s="272">
        <v>0</v>
      </c>
      <c r="S51" s="273">
        <v>4</v>
      </c>
      <c r="T51" s="320" t="s">
        <v>83</v>
      </c>
      <c r="U51" s="40"/>
      <c r="V51" s="40" t="str">
        <f>O51</f>
        <v>België</v>
      </c>
      <c r="W51" s="40" t="s">
        <v>82</v>
      </c>
      <c r="Y51" s="109">
        <f t="shared" si="5"/>
        <v>5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6"/>
        <v>5</v>
      </c>
      <c r="AG51" s="108">
        <f t="shared" si="0"/>
        <v>0</v>
      </c>
      <c r="AH51" s="108">
        <f t="shared" si="1"/>
        <v>0</v>
      </c>
      <c r="AI51" s="108">
        <f t="shared" si="7"/>
        <v>0</v>
      </c>
      <c r="AJ51" s="108">
        <f t="shared" si="2"/>
        <v>0</v>
      </c>
      <c r="AK51" s="108">
        <f t="shared" si="3"/>
        <v>0</v>
      </c>
      <c r="AL51" s="108">
        <f t="shared" si="4"/>
        <v>5</v>
      </c>
      <c r="AM51" s="120">
        <f>AO51</f>
        <v>0</v>
      </c>
      <c r="AN51" s="116" t="s">
        <v>37</v>
      </c>
      <c r="AO51" s="115">
        <f>IF(Uitslag!T51="",0,IF(T51=Uitslag!T51,10,0))</f>
        <v>0</v>
      </c>
    </row>
    <row r="52" spans="2:54" ht="15.75" thickBot="1">
      <c r="B52" s="246">
        <v>45</v>
      </c>
      <c r="C52" s="247">
        <v>41816</v>
      </c>
      <c r="D52" s="248" t="s">
        <v>36</v>
      </c>
      <c r="E52" s="249" t="s">
        <v>9</v>
      </c>
      <c r="F52" s="258" t="s">
        <v>31</v>
      </c>
      <c r="G52" s="312">
        <v>0</v>
      </c>
      <c r="H52" s="249" t="s">
        <v>9</v>
      </c>
      <c r="I52" s="317">
        <v>2</v>
      </c>
      <c r="J52" s="245">
        <v>2</v>
      </c>
      <c r="K52" s="239">
        <v>0</v>
      </c>
      <c r="L52" s="239">
        <v>3</v>
      </c>
      <c r="M52" s="228"/>
      <c r="N52" s="228"/>
      <c r="O52" s="274" t="s">
        <v>38</v>
      </c>
      <c r="P52" s="275">
        <v>5</v>
      </c>
      <c r="Q52" s="275">
        <v>2</v>
      </c>
      <c r="R52" s="275">
        <v>3</v>
      </c>
      <c r="S52" s="276">
        <v>7</v>
      </c>
      <c r="T52" s="321" t="s">
        <v>82</v>
      </c>
      <c r="U52" s="40"/>
      <c r="V52" s="40" t="str">
        <f>O52</f>
        <v>Algerije</v>
      </c>
      <c r="W52" s="40" t="s">
        <v>83</v>
      </c>
      <c r="Y52" s="109">
        <f t="shared" si="5"/>
        <v>6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6"/>
        <v>6</v>
      </c>
      <c r="AG52" s="108">
        <f t="shared" si="0"/>
        <v>1</v>
      </c>
      <c r="AH52" s="108">
        <f t="shared" si="1"/>
        <v>0</v>
      </c>
      <c r="AI52" s="108">
        <f t="shared" si="7"/>
        <v>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246">
        <v>46</v>
      </c>
      <c r="C53" s="247">
        <v>41816</v>
      </c>
      <c r="D53" s="248" t="s">
        <v>32</v>
      </c>
      <c r="E53" s="249" t="s">
        <v>9</v>
      </c>
      <c r="F53" s="258" t="s">
        <v>35</v>
      </c>
      <c r="G53" s="312">
        <v>3</v>
      </c>
      <c r="H53" s="249" t="s">
        <v>9</v>
      </c>
      <c r="I53" s="317">
        <v>2</v>
      </c>
      <c r="J53" s="251">
        <v>1</v>
      </c>
      <c r="K53" s="239">
        <v>3</v>
      </c>
      <c r="L53" s="239">
        <v>0</v>
      </c>
      <c r="M53" s="228"/>
      <c r="N53" s="228"/>
      <c r="O53" s="274" t="s">
        <v>39</v>
      </c>
      <c r="P53" s="275">
        <v>3</v>
      </c>
      <c r="Q53" s="275">
        <v>5</v>
      </c>
      <c r="R53" s="275">
        <v>-2</v>
      </c>
      <c r="S53" s="276">
        <v>3</v>
      </c>
      <c r="T53" s="321" t="s">
        <v>84</v>
      </c>
      <c r="U53" s="40"/>
      <c r="V53" s="40" t="str">
        <f>O53</f>
        <v>Rusland</v>
      </c>
      <c r="W53" s="40" t="s">
        <v>84</v>
      </c>
      <c r="Y53" s="109">
        <f t="shared" si="5"/>
        <v>5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6"/>
        <v>5</v>
      </c>
      <c r="AG53" s="108">
        <f t="shared" si="0"/>
        <v>0</v>
      </c>
      <c r="AH53" s="108">
        <f t="shared" si="1"/>
        <v>0</v>
      </c>
      <c r="AI53" s="108">
        <f t="shared" si="7"/>
        <v>0</v>
      </c>
      <c r="AJ53" s="108">
        <f t="shared" si="2"/>
        <v>5</v>
      </c>
      <c r="AK53" s="108">
        <f t="shared" si="3"/>
        <v>0</v>
      </c>
      <c r="AL53" s="108">
        <f t="shared" si="4"/>
        <v>0</v>
      </c>
      <c r="AM53" s="120">
        <f>AO53</f>
        <v>10</v>
      </c>
      <c r="AN53" s="117" t="s">
        <v>39</v>
      </c>
      <c r="AO53" s="115">
        <f>IF(Uitslag!T53="",0,IF(T53=Uitslag!T53,10,0))</f>
        <v>10</v>
      </c>
    </row>
    <row r="54" spans="2:54" ht="15.75" thickBot="1">
      <c r="B54" s="246">
        <v>47</v>
      </c>
      <c r="C54" s="247">
        <v>41816</v>
      </c>
      <c r="D54" s="248" t="s">
        <v>40</v>
      </c>
      <c r="E54" s="249" t="s">
        <v>9</v>
      </c>
      <c r="F54" s="258" t="s">
        <v>37</v>
      </c>
      <c r="G54" s="312">
        <v>1</v>
      </c>
      <c r="H54" s="249" t="s">
        <v>9</v>
      </c>
      <c r="I54" s="317">
        <v>1</v>
      </c>
      <c r="J54" s="251">
        <v>3</v>
      </c>
      <c r="K54" s="239">
        <v>1</v>
      </c>
      <c r="L54" s="239">
        <v>1</v>
      </c>
      <c r="M54" s="228"/>
      <c r="N54" s="228"/>
      <c r="O54" s="277" t="s">
        <v>40</v>
      </c>
      <c r="P54" s="278">
        <v>2</v>
      </c>
      <c r="Q54" s="278">
        <v>3</v>
      </c>
      <c r="R54" s="278">
        <v>-1</v>
      </c>
      <c r="S54" s="279">
        <v>2</v>
      </c>
      <c r="T54" s="322" t="s">
        <v>85</v>
      </c>
      <c r="U54" s="40"/>
      <c r="V54" s="40" t="str">
        <f>O54</f>
        <v>Zuid Korea</v>
      </c>
      <c r="W54" s="40" t="s">
        <v>85</v>
      </c>
      <c r="Y54" s="109">
        <f t="shared" si="5"/>
        <v>1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6"/>
        <v>1</v>
      </c>
      <c r="AG54" s="108">
        <f t="shared" si="0"/>
        <v>0</v>
      </c>
      <c r="AH54" s="108">
        <f t="shared" si="1"/>
        <v>1</v>
      </c>
      <c r="AI54" s="108">
        <f t="shared" si="7"/>
        <v>0</v>
      </c>
      <c r="AJ54" s="108">
        <f t="shared" si="2"/>
        <v>0</v>
      </c>
      <c r="AK54" s="108">
        <f t="shared" si="3"/>
        <v>0</v>
      </c>
      <c r="AL54" s="108">
        <f t="shared" si="4"/>
        <v>0</v>
      </c>
      <c r="AM54" s="120">
        <f>AO54</f>
        <v>10</v>
      </c>
      <c r="AN54" s="118" t="s">
        <v>40</v>
      </c>
      <c r="AO54" s="115">
        <f>IF(Uitslag!T54="",0,IF(T54=Uitslag!T54,10,0))</f>
        <v>10</v>
      </c>
    </row>
    <row r="55" spans="2:54" ht="15.75" thickBot="1">
      <c r="B55" s="261">
        <v>48</v>
      </c>
      <c r="C55" s="262">
        <v>41816</v>
      </c>
      <c r="D55" s="263" t="s">
        <v>38</v>
      </c>
      <c r="E55" s="264" t="s">
        <v>9</v>
      </c>
      <c r="F55" s="265" t="s">
        <v>39</v>
      </c>
      <c r="G55" s="314">
        <v>3</v>
      </c>
      <c r="H55" s="264" t="s">
        <v>9</v>
      </c>
      <c r="I55" s="319">
        <v>1</v>
      </c>
      <c r="J55" s="266">
        <v>1</v>
      </c>
      <c r="K55" s="239">
        <v>3</v>
      </c>
      <c r="L55" s="239">
        <v>0</v>
      </c>
      <c r="M55" s="228"/>
      <c r="N55" s="228"/>
      <c r="O55" s="268"/>
      <c r="P55" s="269"/>
      <c r="Q55" s="269"/>
      <c r="R55" s="269"/>
      <c r="S55" s="269"/>
      <c r="T55" s="269"/>
      <c r="U55" s="40"/>
      <c r="V55" s="40"/>
      <c r="W55" s="40"/>
      <c r="Y55" s="109">
        <f t="shared" si="5"/>
        <v>1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6"/>
        <v>1</v>
      </c>
      <c r="AG55" s="108">
        <f t="shared" si="0"/>
        <v>0</v>
      </c>
      <c r="AH55" s="108">
        <f t="shared" si="1"/>
        <v>1</v>
      </c>
      <c r="AI55" s="108">
        <f t="shared" si="7"/>
        <v>0</v>
      </c>
      <c r="AJ55" s="108">
        <f t="shared" si="2"/>
        <v>0</v>
      </c>
      <c r="AK55" s="108">
        <f t="shared" si="3"/>
        <v>0</v>
      </c>
      <c r="AL55" s="108">
        <f t="shared" si="4"/>
        <v>0</v>
      </c>
    </row>
    <row r="56" spans="2:54" ht="15.75" thickBot="1">
      <c r="B56" s="229"/>
      <c r="C56" s="267"/>
      <c r="D56" s="268"/>
      <c r="E56" s="229"/>
      <c r="F56" s="268"/>
      <c r="G56" s="229"/>
      <c r="H56" s="229"/>
      <c r="I56" s="229"/>
      <c r="J56" s="229"/>
      <c r="K56" s="229"/>
      <c r="L56" s="229"/>
      <c r="M56" s="229"/>
      <c r="N56" s="228"/>
      <c r="O56" s="228"/>
      <c r="P56" s="228"/>
      <c r="Q56" s="228"/>
      <c r="R56" s="228"/>
      <c r="S56" s="228"/>
      <c r="T56" s="228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303"/>
      <c r="K57" s="229"/>
      <c r="L57" s="229"/>
      <c r="M57" s="229"/>
      <c r="N57" s="228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304" t="s">
        <v>1</v>
      </c>
      <c r="C58" s="305" t="s">
        <v>2</v>
      </c>
      <c r="D58" s="340" t="s">
        <v>3</v>
      </c>
      <c r="E58" s="307"/>
      <c r="F58" s="308" t="s">
        <v>4</v>
      </c>
      <c r="G58" s="867" t="s">
        <v>5</v>
      </c>
      <c r="H58" s="868"/>
      <c r="I58" s="869"/>
      <c r="J58" s="309" t="s">
        <v>6</v>
      </c>
      <c r="K58" s="229"/>
      <c r="L58" s="229"/>
      <c r="M58" s="229"/>
      <c r="N58" s="228"/>
      <c r="O58" s="334">
        <v>1</v>
      </c>
      <c r="P58" s="877" t="s">
        <v>239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8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9">IF(P58="","",COUNTIF($AZ$58:$AZ$68,P58)*3)</f>
        <v>0</v>
      </c>
      <c r="BB58" s="139">
        <f>BA58</f>
        <v>0</v>
      </c>
    </row>
    <row r="59" spans="2:54">
      <c r="B59" s="240">
        <v>49</v>
      </c>
      <c r="C59" s="342">
        <v>41818</v>
      </c>
      <c r="D59" s="336" t="s">
        <v>8</v>
      </c>
      <c r="E59" s="243" t="s">
        <v>9</v>
      </c>
      <c r="F59" s="282" t="s">
        <v>16</v>
      </c>
      <c r="G59" s="311">
        <v>3</v>
      </c>
      <c r="H59" s="243" t="s">
        <v>9</v>
      </c>
      <c r="I59" s="323">
        <v>1</v>
      </c>
      <c r="J59" s="324">
        <v>1</v>
      </c>
      <c r="K59" s="283" t="s">
        <v>48</v>
      </c>
      <c r="L59" s="283" t="s">
        <v>53</v>
      </c>
      <c r="M59" s="283">
        <v>1</v>
      </c>
      <c r="N59" s="228"/>
      <c r="O59" s="334">
        <v>2</v>
      </c>
      <c r="P59" s="877" t="s">
        <v>219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8"/>
        <v>Jasper Cillessen (k)</v>
      </c>
      <c r="Y59" s="109">
        <f t="shared" ref="Y59:Y66" si="10">AF59</f>
        <v>1</v>
      </c>
      <c r="Z59" t="str">
        <f t="shared" ref="Z59:AA65" si="11">IF(K59=""," ",VLOOKUP(K59,$T$9:$V$54,3,FALSE))</f>
        <v>Brazilië</v>
      </c>
      <c r="AA59" t="str">
        <f t="shared" si="11"/>
        <v>Australië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2">IF(OR(AC59="",AD59=""),0,(IF(SUM(AG59:AL59)&gt;10,10,SUM(AG59:AL59))))</f>
        <v>1</v>
      </c>
      <c r="AG59" s="108">
        <f t="shared" ref="AG59:AG66" si="13">IF(AC59="",0,(IF(G59=AC59,1,0)))</f>
        <v>0</v>
      </c>
      <c r="AH59" s="108">
        <f t="shared" ref="AH59:AH66" si="14">IF(AD59="",0,(IF(I59=AD59,1,0)))</f>
        <v>1</v>
      </c>
      <c r="AI59" s="108">
        <f t="shared" ref="AI59:AI66" si="15">IF(AND(AG59=1,AH59=1),10,0)</f>
        <v>0</v>
      </c>
      <c r="AJ59" s="108">
        <f t="shared" ref="AJ59:AJ66" si="16">IF(AND(G59&gt;I59,AC59&gt;AD59),5,0)</f>
        <v>0</v>
      </c>
      <c r="AK59" s="108">
        <f t="shared" ref="AK59:AK66" si="17">IF(AND(G59&lt;I59,AC59&lt;AD59),5,0)</f>
        <v>0</v>
      </c>
      <c r="AL59" s="108">
        <f t="shared" ref="AL59:AL66" si="18">IF(AND(G59=I59,AC59=AD59),5,0)</f>
        <v>0</v>
      </c>
      <c r="AZ59" s="138" t="str">
        <f>Uitslag!P59</f>
        <v>Daryl Janmaat (v)</v>
      </c>
      <c r="BA59" s="140">
        <f t="shared" si="9"/>
        <v>0</v>
      </c>
      <c r="BB59" s="139">
        <f t="shared" ref="BB59:BB68" si="19">BA59</f>
        <v>0</v>
      </c>
    </row>
    <row r="60" spans="2:54">
      <c r="B60" s="252">
        <v>50</v>
      </c>
      <c r="C60" s="343">
        <v>41818</v>
      </c>
      <c r="D60" s="337" t="s">
        <v>24</v>
      </c>
      <c r="E60" s="255" t="s">
        <v>9</v>
      </c>
      <c r="F60" s="285" t="s">
        <v>19</v>
      </c>
      <c r="G60" s="313">
        <v>0</v>
      </c>
      <c r="H60" s="255" t="s">
        <v>9</v>
      </c>
      <c r="I60" s="325">
        <v>1</v>
      </c>
      <c r="J60" s="326">
        <v>2</v>
      </c>
      <c r="K60" s="283" t="s">
        <v>57</v>
      </c>
      <c r="L60" s="283" t="s">
        <v>63</v>
      </c>
      <c r="M60" s="283">
        <v>2</v>
      </c>
      <c r="N60" s="228"/>
      <c r="O60" s="334">
        <v>3</v>
      </c>
      <c r="P60" s="877" t="s">
        <v>211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8"/>
        <v>Kenneth Vermeer (k)</v>
      </c>
      <c r="Y60" s="109">
        <f t="shared" si="10"/>
        <v>0</v>
      </c>
      <c r="Z60" t="str">
        <f t="shared" si="11"/>
        <v>Japan</v>
      </c>
      <c r="AA60" t="str">
        <f t="shared" si="11"/>
        <v>Uruguay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2"/>
        <v>0</v>
      </c>
      <c r="AG60" s="108">
        <f t="shared" si="13"/>
        <v>0</v>
      </c>
      <c r="AH60" s="108">
        <f t="shared" si="14"/>
        <v>0</v>
      </c>
      <c r="AI60" s="108">
        <f t="shared" si="15"/>
        <v>0</v>
      </c>
      <c r="AJ60" s="108">
        <f t="shared" si="16"/>
        <v>0</v>
      </c>
      <c r="AK60" s="108">
        <f t="shared" si="17"/>
        <v>0</v>
      </c>
      <c r="AL60" s="108">
        <f t="shared" si="18"/>
        <v>0</v>
      </c>
      <c r="AZ60" s="138" t="str">
        <f>Uitslag!P60</f>
        <v>Stefan de Vrij (v)</v>
      </c>
      <c r="BA60" s="140">
        <f t="shared" si="9"/>
        <v>3</v>
      </c>
      <c r="BB60" s="139">
        <f t="shared" si="19"/>
        <v>3</v>
      </c>
    </row>
    <row r="61" spans="2:54">
      <c r="B61" s="240">
        <v>51</v>
      </c>
      <c r="C61" s="342">
        <v>41819</v>
      </c>
      <c r="D61" s="341" t="s">
        <v>13</v>
      </c>
      <c r="E61" s="243" t="s">
        <v>9</v>
      </c>
      <c r="F61" s="282" t="s">
        <v>11</v>
      </c>
      <c r="G61" s="311">
        <v>2</v>
      </c>
      <c r="H61" s="243" t="s">
        <v>9</v>
      </c>
      <c r="I61" s="323">
        <v>1</v>
      </c>
      <c r="J61" s="324">
        <v>1</v>
      </c>
      <c r="K61" s="283" t="s">
        <v>52</v>
      </c>
      <c r="L61" s="283" t="s">
        <v>49</v>
      </c>
      <c r="M61" s="283"/>
      <c r="N61" s="228"/>
      <c r="O61" s="334">
        <v>4</v>
      </c>
      <c r="P61" s="877" t="s">
        <v>212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8"/>
        <v>Tim Krul (k)</v>
      </c>
      <c r="Y61" s="109">
        <f t="shared" si="10"/>
        <v>10</v>
      </c>
      <c r="Z61" t="str">
        <f t="shared" si="11"/>
        <v>Spanje</v>
      </c>
      <c r="AA61" t="str">
        <f t="shared" si="11"/>
        <v>Mexico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2"/>
        <v>10</v>
      </c>
      <c r="AG61" s="108">
        <f t="shared" si="13"/>
        <v>1</v>
      </c>
      <c r="AH61" s="108">
        <f t="shared" si="14"/>
        <v>1</v>
      </c>
      <c r="AI61" s="108">
        <f t="shared" si="15"/>
        <v>10</v>
      </c>
      <c r="AJ61" s="108">
        <f t="shared" si="16"/>
        <v>5</v>
      </c>
      <c r="AK61" s="108">
        <f t="shared" si="17"/>
        <v>0</v>
      </c>
      <c r="AL61" s="108">
        <f t="shared" si="18"/>
        <v>0</v>
      </c>
      <c r="AZ61" s="138" t="str">
        <f>Uitslag!P61</f>
        <v>Ron Vlaar (v)</v>
      </c>
      <c r="BA61" s="140">
        <f t="shared" si="9"/>
        <v>3</v>
      </c>
      <c r="BB61" s="139">
        <f t="shared" si="19"/>
        <v>3</v>
      </c>
    </row>
    <row r="62" spans="2:54">
      <c r="B62" s="252">
        <v>52</v>
      </c>
      <c r="C62" s="343">
        <v>41819</v>
      </c>
      <c r="D62" s="341" t="s">
        <v>22</v>
      </c>
      <c r="E62" s="255" t="s">
        <v>9</v>
      </c>
      <c r="F62" s="285" t="s">
        <v>23</v>
      </c>
      <c r="G62" s="313">
        <v>3</v>
      </c>
      <c r="H62" s="255" t="s">
        <v>9</v>
      </c>
      <c r="I62" s="325">
        <v>1</v>
      </c>
      <c r="J62" s="326">
        <v>1</v>
      </c>
      <c r="K62" s="283" t="s">
        <v>62</v>
      </c>
      <c r="L62" s="283" t="s">
        <v>58</v>
      </c>
      <c r="M62" s="283"/>
      <c r="N62" s="228"/>
      <c r="O62" s="334">
        <v>5</v>
      </c>
      <c r="P62" s="877" t="s">
        <v>220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8"/>
        <v>Maarten Stekelenburg (k)</v>
      </c>
      <c r="Y62" s="109">
        <f t="shared" si="10"/>
        <v>1</v>
      </c>
      <c r="Z62" t="str">
        <f t="shared" si="11"/>
        <v>Italië</v>
      </c>
      <c r="AA62" t="str">
        <f t="shared" si="11"/>
        <v>Ivoorkust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2"/>
        <v>1</v>
      </c>
      <c r="AG62" s="108">
        <f t="shared" si="13"/>
        <v>0</v>
      </c>
      <c r="AH62" s="108">
        <f t="shared" si="14"/>
        <v>1</v>
      </c>
      <c r="AI62" s="108">
        <f t="shared" si="15"/>
        <v>0</v>
      </c>
      <c r="AJ62" s="108">
        <f t="shared" si="16"/>
        <v>0</v>
      </c>
      <c r="AK62" s="108">
        <f t="shared" si="17"/>
        <v>0</v>
      </c>
      <c r="AL62" s="108">
        <f t="shared" si="18"/>
        <v>0</v>
      </c>
      <c r="AZ62" s="138" t="str">
        <f>Uitslag!P62</f>
        <v>Bruno Martins Indi (v)</v>
      </c>
      <c r="BA62" s="140">
        <f t="shared" si="9"/>
        <v>3</v>
      </c>
      <c r="BB62" s="139">
        <f t="shared" si="19"/>
        <v>3</v>
      </c>
    </row>
    <row r="63" spans="2:54">
      <c r="B63" s="240">
        <v>53</v>
      </c>
      <c r="C63" s="342">
        <v>41820</v>
      </c>
      <c r="D63" s="336" t="s">
        <v>26</v>
      </c>
      <c r="E63" s="243" t="s">
        <v>9</v>
      </c>
      <c r="F63" s="282" t="s">
        <v>34</v>
      </c>
      <c r="G63" s="311">
        <v>1</v>
      </c>
      <c r="H63" s="243" t="s">
        <v>9</v>
      </c>
      <c r="I63" s="323">
        <v>0</v>
      </c>
      <c r="J63" s="324">
        <v>1</v>
      </c>
      <c r="K63" s="283" t="s">
        <v>67</v>
      </c>
      <c r="L63" s="283" t="s">
        <v>73</v>
      </c>
      <c r="M63" s="283"/>
      <c r="N63" s="228"/>
      <c r="O63" s="334">
        <v>6</v>
      </c>
      <c r="P63" s="877" t="s">
        <v>226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8"/>
        <v>Michel Vorm (k)</v>
      </c>
      <c r="Y63" s="109">
        <f t="shared" si="10"/>
        <v>6</v>
      </c>
      <c r="Z63" t="str">
        <f t="shared" si="11"/>
        <v>Ecuador</v>
      </c>
      <c r="AA63" t="str">
        <f t="shared" si="11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2"/>
        <v>6</v>
      </c>
      <c r="AG63" s="108">
        <f t="shared" si="13"/>
        <v>0</v>
      </c>
      <c r="AH63" s="108">
        <f t="shared" si="14"/>
        <v>1</v>
      </c>
      <c r="AI63" s="108">
        <f t="shared" si="15"/>
        <v>0</v>
      </c>
      <c r="AJ63" s="108">
        <f t="shared" si="16"/>
        <v>5</v>
      </c>
      <c r="AK63" s="108">
        <f t="shared" si="17"/>
        <v>0</v>
      </c>
      <c r="AL63" s="108">
        <f t="shared" si="18"/>
        <v>0</v>
      </c>
      <c r="AZ63" s="138" t="str">
        <f>Uitslag!P63</f>
        <v>Daley Blind (v)</v>
      </c>
      <c r="BA63" s="140">
        <f t="shared" si="9"/>
        <v>3</v>
      </c>
      <c r="BB63" s="139">
        <f t="shared" si="19"/>
        <v>3</v>
      </c>
    </row>
    <row r="64" spans="2:54">
      <c r="B64" s="252">
        <v>54</v>
      </c>
      <c r="C64" s="343">
        <v>41820</v>
      </c>
      <c r="D64" s="337" t="s">
        <v>31</v>
      </c>
      <c r="E64" s="255" t="s">
        <v>9</v>
      </c>
      <c r="F64" s="285" t="s">
        <v>37</v>
      </c>
      <c r="G64" s="313">
        <v>3</v>
      </c>
      <c r="H64" s="255" t="s">
        <v>9</v>
      </c>
      <c r="I64" s="325">
        <v>0</v>
      </c>
      <c r="J64" s="326">
        <v>1</v>
      </c>
      <c r="K64" s="283" t="s">
        <v>77</v>
      </c>
      <c r="L64" s="283" t="s">
        <v>83</v>
      </c>
      <c r="M64" s="283"/>
      <c r="N64" s="228"/>
      <c r="O64" s="334">
        <v>7</v>
      </c>
      <c r="P64" s="877" t="s">
        <v>214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8"/>
        <v>Joël Veltman (v)</v>
      </c>
      <c r="Y64" s="109">
        <f t="shared" si="10"/>
        <v>1</v>
      </c>
      <c r="Z64" t="str">
        <f t="shared" si="11"/>
        <v>Duitsland</v>
      </c>
      <c r="AA64" t="str">
        <f t="shared" si="11"/>
        <v>België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2"/>
        <v>1</v>
      </c>
      <c r="AG64" s="108">
        <f t="shared" si="13"/>
        <v>0</v>
      </c>
      <c r="AH64" s="108">
        <f t="shared" si="14"/>
        <v>1</v>
      </c>
      <c r="AI64" s="108">
        <f t="shared" si="15"/>
        <v>0</v>
      </c>
      <c r="AJ64" s="108">
        <f t="shared" si="16"/>
        <v>0</v>
      </c>
      <c r="AK64" s="108">
        <f t="shared" si="17"/>
        <v>0</v>
      </c>
      <c r="AL64" s="108">
        <f t="shared" si="18"/>
        <v>0</v>
      </c>
      <c r="AZ64" s="138" t="str">
        <f>Uitslag!P64</f>
        <v>Wesley Sneijder (m)</v>
      </c>
      <c r="BA64" s="140">
        <f t="shared" si="9"/>
        <v>3</v>
      </c>
      <c r="BB64" s="139">
        <f t="shared" si="19"/>
        <v>3</v>
      </c>
    </row>
    <row r="65" spans="2:54">
      <c r="B65" s="246">
        <v>55</v>
      </c>
      <c r="C65" s="344">
        <v>41821</v>
      </c>
      <c r="D65" s="336" t="s">
        <v>29</v>
      </c>
      <c r="E65" s="249" t="s">
        <v>9</v>
      </c>
      <c r="F65" s="286" t="s">
        <v>27</v>
      </c>
      <c r="G65" s="312">
        <v>3</v>
      </c>
      <c r="H65" s="249" t="s">
        <v>9</v>
      </c>
      <c r="I65" s="327">
        <v>2</v>
      </c>
      <c r="J65" s="328">
        <v>1</v>
      </c>
      <c r="K65" s="283" t="s">
        <v>72</v>
      </c>
      <c r="L65" s="283" t="s">
        <v>68</v>
      </c>
      <c r="M65" s="283"/>
      <c r="N65" s="228"/>
      <c r="O65" s="334">
        <v>8</v>
      </c>
      <c r="P65" s="877" t="s">
        <v>229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8"/>
        <v>Daley Blind (v)</v>
      </c>
      <c r="Y65" s="109">
        <f t="shared" si="10"/>
        <v>0</v>
      </c>
      <c r="Z65" t="str">
        <f t="shared" si="11"/>
        <v>Argentinië</v>
      </c>
      <c r="AA65" t="str">
        <f t="shared" si="11"/>
        <v>Frankrijk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2"/>
        <v>0</v>
      </c>
      <c r="AG65" s="108">
        <f t="shared" si="13"/>
        <v>0</v>
      </c>
      <c r="AH65" s="108">
        <f t="shared" si="14"/>
        <v>0</v>
      </c>
      <c r="AI65" s="108">
        <f t="shared" si="15"/>
        <v>0</v>
      </c>
      <c r="AJ65" s="108">
        <f t="shared" si="16"/>
        <v>0</v>
      </c>
      <c r="AK65" s="108">
        <f t="shared" si="17"/>
        <v>0</v>
      </c>
      <c r="AL65" s="108">
        <f t="shared" si="18"/>
        <v>0</v>
      </c>
      <c r="AZ65" s="138" t="str">
        <f>Uitslag!P65</f>
        <v>Nigel de Jong (m)</v>
      </c>
      <c r="BA65" s="140">
        <f t="shared" si="9"/>
        <v>0</v>
      </c>
      <c r="BB65" s="139">
        <f t="shared" si="19"/>
        <v>0</v>
      </c>
    </row>
    <row r="66" spans="2:54" ht="15.75" thickBot="1">
      <c r="B66" s="261">
        <v>56</v>
      </c>
      <c r="C66" s="339">
        <v>41821</v>
      </c>
      <c r="D66" s="338" t="s">
        <v>38</v>
      </c>
      <c r="E66" s="264" t="s">
        <v>9</v>
      </c>
      <c r="F66" s="288" t="s">
        <v>32</v>
      </c>
      <c r="G66" s="314">
        <v>1</v>
      </c>
      <c r="H66" s="264" t="s">
        <v>9</v>
      </c>
      <c r="I66" s="329">
        <v>3</v>
      </c>
      <c r="J66" s="330">
        <v>2</v>
      </c>
      <c r="K66" s="283" t="s">
        <v>82</v>
      </c>
      <c r="L66" s="283" t="s">
        <v>78</v>
      </c>
      <c r="M66" s="283"/>
      <c r="N66" s="228"/>
      <c r="O66" s="334">
        <v>9</v>
      </c>
      <c r="P66" s="877" t="s">
        <v>240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8"/>
        <v>Daryl Janmaat (v)</v>
      </c>
      <c r="Y66" s="109">
        <f t="shared" si="10"/>
        <v>0</v>
      </c>
      <c r="Z66" t="str">
        <f>IF(K66=""," ",VLOOKUP(K66,$T$9:$V$54,3,FALSE))</f>
        <v>Algerije</v>
      </c>
      <c r="AA66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2"/>
        <v>0</v>
      </c>
      <c r="AG66" s="108">
        <f t="shared" si="13"/>
        <v>0</v>
      </c>
      <c r="AH66" s="108">
        <f t="shared" si="14"/>
        <v>0</v>
      </c>
      <c r="AI66" s="108">
        <f t="shared" si="15"/>
        <v>0</v>
      </c>
      <c r="AJ66" s="108">
        <f t="shared" si="16"/>
        <v>0</v>
      </c>
      <c r="AK66" s="108">
        <f t="shared" si="17"/>
        <v>0</v>
      </c>
      <c r="AL66" s="108">
        <f t="shared" si="18"/>
        <v>0</v>
      </c>
      <c r="AZ66" s="138" t="str">
        <f>Uitslag!P66</f>
        <v>Jonathan de Guzman (m)</v>
      </c>
      <c r="BA66" s="140">
        <f t="shared" si="9"/>
        <v>0</v>
      </c>
      <c r="BB66" s="139">
        <f t="shared" si="19"/>
        <v>0</v>
      </c>
    </row>
    <row r="67" spans="2:54" ht="15.75" thickBot="1">
      <c r="B67" s="229"/>
      <c r="C67" s="267"/>
      <c r="D67" s="268"/>
      <c r="E67" s="229"/>
      <c r="F67" s="268"/>
      <c r="G67" s="229"/>
      <c r="H67" s="229"/>
      <c r="I67" s="229"/>
      <c r="J67" s="229"/>
      <c r="K67" s="229"/>
      <c r="L67" s="229"/>
      <c r="M67" s="229"/>
      <c r="N67" s="228"/>
      <c r="O67" s="334">
        <v>10</v>
      </c>
      <c r="P67" s="877" t="s">
        <v>216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8"/>
        <v>Terence Kongolo (v)</v>
      </c>
      <c r="AZ67" s="138" t="str">
        <f>Uitslag!P67</f>
        <v>Robin van Persie (a)</v>
      </c>
      <c r="BA67" s="140">
        <f t="shared" si="9"/>
        <v>3</v>
      </c>
      <c r="BB67" s="139">
        <f t="shared" si="19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303"/>
      <c r="K68" s="229"/>
      <c r="L68" s="229"/>
      <c r="M68" s="229"/>
      <c r="N68" s="228"/>
      <c r="O68" s="334">
        <v>11</v>
      </c>
      <c r="P68" s="877" t="s">
        <v>235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8"/>
        <v>Bruno Martins Indi (v)</v>
      </c>
      <c r="Y68" s="112" t="s">
        <v>99</v>
      </c>
      <c r="AZ68" s="138" t="str">
        <f>Uitslag!P68</f>
        <v>Arjen Robben (a)</v>
      </c>
      <c r="BA68" s="140">
        <f t="shared" si="9"/>
        <v>0</v>
      </c>
      <c r="BB68" s="139">
        <f t="shared" si="19"/>
        <v>0</v>
      </c>
    </row>
    <row r="69" spans="2:54">
      <c r="B69" s="304" t="s">
        <v>1</v>
      </c>
      <c r="C69" s="305" t="s">
        <v>2</v>
      </c>
      <c r="D69" s="306" t="s">
        <v>3</v>
      </c>
      <c r="E69" s="307"/>
      <c r="F69" s="308" t="s">
        <v>4</v>
      </c>
      <c r="G69" s="867" t="s">
        <v>5</v>
      </c>
      <c r="H69" s="868"/>
      <c r="I69" s="869"/>
      <c r="J69" s="309" t="s">
        <v>6</v>
      </c>
      <c r="K69" s="229"/>
      <c r="L69" s="229"/>
      <c r="M69" s="229"/>
      <c r="N69" s="228"/>
      <c r="O69" s="228"/>
      <c r="P69" s="228"/>
      <c r="Q69" s="228"/>
      <c r="R69" s="228"/>
      <c r="S69" s="228"/>
      <c r="T69" s="228"/>
      <c r="V69" t="s">
        <v>133</v>
      </c>
      <c r="W69" t="s">
        <v>121</v>
      </c>
      <c r="X69" t="str">
        <f t="shared" si="8"/>
        <v>Stefan de Vrij (v)</v>
      </c>
      <c r="Y69" s="113" t="s">
        <v>91</v>
      </c>
      <c r="AP69" s="137" t="s">
        <v>140</v>
      </c>
      <c r="AY69" s="137"/>
      <c r="BA69" s="141">
        <f>SUM(BA58:BA68)</f>
        <v>18</v>
      </c>
      <c r="BB69" s="139" t="str">
        <f>IF(AND(BA69&lt;&gt;"",BA69=33),15,"nvt")</f>
        <v>nvt</v>
      </c>
    </row>
    <row r="70" spans="2:54">
      <c r="B70" s="240">
        <v>57</v>
      </c>
      <c r="C70" s="241">
        <v>41824</v>
      </c>
      <c r="D70" s="281" t="s">
        <v>26</v>
      </c>
      <c r="E70" s="243" t="s">
        <v>9</v>
      </c>
      <c r="F70" s="282" t="s">
        <v>31</v>
      </c>
      <c r="G70" s="311">
        <v>2</v>
      </c>
      <c r="H70" s="243" t="s">
        <v>9</v>
      </c>
      <c r="I70" s="323">
        <v>2</v>
      </c>
      <c r="J70" s="324">
        <v>1</v>
      </c>
      <c r="K70" s="229"/>
      <c r="L70" s="229"/>
      <c r="M70" s="229"/>
      <c r="N70" s="228"/>
      <c r="O70" s="228"/>
      <c r="P70" s="228"/>
      <c r="Q70" s="228"/>
      <c r="R70" s="228"/>
      <c r="S70" s="228"/>
      <c r="T70" s="228"/>
      <c r="V70" t="s">
        <v>133</v>
      </c>
      <c r="W70" t="s">
        <v>126</v>
      </c>
      <c r="X70" t="str">
        <f t="shared" si="8"/>
        <v>Karim Rekik (v)</v>
      </c>
      <c r="Y70" s="109">
        <f>AF70</f>
        <v>0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0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0</v>
      </c>
      <c r="AL70" s="108">
        <f>IF(AND(G70=I70,AC70=AD70),5,0)</f>
        <v>0</v>
      </c>
    </row>
    <row r="71" spans="2:54">
      <c r="B71" s="252">
        <v>58</v>
      </c>
      <c r="C71" s="253">
        <v>41824</v>
      </c>
      <c r="D71" s="284" t="s">
        <v>8</v>
      </c>
      <c r="E71" s="255" t="s">
        <v>9</v>
      </c>
      <c r="F71" s="285" t="s">
        <v>19</v>
      </c>
      <c r="G71" s="313">
        <v>2</v>
      </c>
      <c r="H71" s="255" t="s">
        <v>9</v>
      </c>
      <c r="I71" s="325">
        <v>3</v>
      </c>
      <c r="J71" s="326">
        <v>2</v>
      </c>
      <c r="K71" s="229"/>
      <c r="L71" s="229"/>
      <c r="M71" s="229"/>
      <c r="N71" s="228"/>
      <c r="O71" s="228"/>
      <c r="P71" s="228"/>
      <c r="Q71" s="228"/>
      <c r="R71" s="228"/>
      <c r="S71" s="228"/>
      <c r="T71" s="228"/>
      <c r="V71" t="s">
        <v>133</v>
      </c>
      <c r="W71" t="s">
        <v>194</v>
      </c>
      <c r="X71" t="str">
        <f t="shared" si="8"/>
        <v>Ron Vlaar (v)</v>
      </c>
      <c r="Y71" s="109">
        <f>AF71</f>
        <v>1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1</v>
      </c>
      <c r="AG71" s="108">
        <f>IF(AC71="",0,(IF(G71=AC71,1,0)))</f>
        <v>1</v>
      </c>
      <c r="AH71" s="108">
        <f>IF(AD71="",0,(IF(I71=AD71,1,0)))</f>
        <v>0</v>
      </c>
      <c r="AI71" s="108">
        <f>IF(AND(AG71=1,AH71=1),10,0)</f>
        <v>0</v>
      </c>
      <c r="AJ71" s="108">
        <f>IF(AND(G71&gt;I71,AC71&gt;AD71),5,0)</f>
        <v>0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240">
        <v>59</v>
      </c>
      <c r="C72" s="241">
        <v>41825</v>
      </c>
      <c r="D72" s="281" t="s">
        <v>29</v>
      </c>
      <c r="E72" s="243" t="s">
        <v>9</v>
      </c>
      <c r="F72" s="282" t="s">
        <v>32</v>
      </c>
      <c r="G72" s="311">
        <v>3</v>
      </c>
      <c r="H72" s="243" t="s">
        <v>9</v>
      </c>
      <c r="I72" s="323">
        <v>1</v>
      </c>
      <c r="J72" s="324">
        <v>1</v>
      </c>
      <c r="K72" s="229"/>
      <c r="L72" s="229"/>
      <c r="M72" s="229"/>
      <c r="N72" s="228"/>
      <c r="O72" s="228"/>
      <c r="P72" s="228"/>
      <c r="Q72" s="228"/>
      <c r="R72" s="228"/>
      <c r="S72" s="228"/>
      <c r="T72" s="228"/>
      <c r="V72" t="s">
        <v>133</v>
      </c>
      <c r="W72" t="s">
        <v>195</v>
      </c>
      <c r="X72" t="str">
        <f t="shared" si="8"/>
        <v>John Heitinga (v)</v>
      </c>
      <c r="Y72" s="109">
        <f>AF72</f>
        <v>5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5</v>
      </c>
      <c r="AG72" s="108">
        <f>IF(AC72="",0,(IF(G72=AC72,1,0)))</f>
        <v>0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5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261">
        <v>60</v>
      </c>
      <c r="C73" s="262">
        <v>41825</v>
      </c>
      <c r="D73" s="287" t="s">
        <v>13</v>
      </c>
      <c r="E73" s="264" t="s">
        <v>9</v>
      </c>
      <c r="F73" s="288" t="s">
        <v>22</v>
      </c>
      <c r="G73" s="314">
        <v>1</v>
      </c>
      <c r="H73" s="264" t="s">
        <v>9</v>
      </c>
      <c r="I73" s="329">
        <v>1</v>
      </c>
      <c r="J73" s="330">
        <v>1</v>
      </c>
      <c r="K73" s="229"/>
      <c r="L73" s="229"/>
      <c r="M73" s="229"/>
      <c r="N73" s="228"/>
      <c r="O73" s="228"/>
      <c r="P73" s="228"/>
      <c r="Q73" s="228"/>
      <c r="R73" s="228"/>
      <c r="S73" s="228"/>
      <c r="T73" s="228"/>
      <c r="V73" t="s">
        <v>133</v>
      </c>
      <c r="W73" t="s">
        <v>196</v>
      </c>
      <c r="X73" t="str">
        <f t="shared" si="8"/>
        <v>Urby Emanuelson (v)</v>
      </c>
      <c r="Y73" s="109">
        <f>AF73</f>
        <v>5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5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5</v>
      </c>
    </row>
    <row r="74" spans="2:54" ht="15.75" thickBot="1">
      <c r="B74" s="229"/>
      <c r="C74" s="267"/>
      <c r="D74" s="268"/>
      <c r="E74" s="229"/>
      <c r="F74" s="268"/>
      <c r="G74" s="229"/>
      <c r="H74" s="229"/>
      <c r="I74" s="229"/>
      <c r="J74" s="229"/>
      <c r="K74" s="229"/>
      <c r="L74" s="229"/>
      <c r="M74" s="229"/>
      <c r="N74" s="228"/>
      <c r="O74" s="228"/>
      <c r="P74" s="228"/>
      <c r="Q74" s="228"/>
      <c r="R74" s="228"/>
      <c r="S74" s="228"/>
      <c r="T74" s="228"/>
      <c r="V74" t="s">
        <v>133</v>
      </c>
      <c r="W74" t="s">
        <v>197</v>
      </c>
      <c r="X74" t="str">
        <f t="shared" si="8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303"/>
      <c r="K75" s="229"/>
      <c r="L75" s="229"/>
      <c r="M75" s="229"/>
      <c r="N75" s="228"/>
      <c r="O75" s="228"/>
      <c r="P75" s="228"/>
      <c r="Q75" s="228"/>
      <c r="R75" s="228"/>
      <c r="S75" s="228"/>
      <c r="T75" s="228"/>
      <c r="V75" t="s">
        <v>133</v>
      </c>
      <c r="W75" t="s">
        <v>198</v>
      </c>
      <c r="X75" t="str">
        <f t="shared" si="8"/>
        <v>Virgil van Dijk (v)</v>
      </c>
      <c r="Y75" s="112" t="s">
        <v>99</v>
      </c>
    </row>
    <row r="76" spans="2:54">
      <c r="B76" s="304" t="s">
        <v>1</v>
      </c>
      <c r="C76" s="305" t="s">
        <v>2</v>
      </c>
      <c r="D76" s="306" t="s">
        <v>3</v>
      </c>
      <c r="E76" s="307"/>
      <c r="F76" s="308" t="s">
        <v>4</v>
      </c>
      <c r="G76" s="867" t="s">
        <v>5</v>
      </c>
      <c r="H76" s="868"/>
      <c r="I76" s="869"/>
      <c r="J76" s="309" t="s">
        <v>6</v>
      </c>
      <c r="K76" s="229"/>
      <c r="L76" s="229"/>
      <c r="M76" s="229"/>
      <c r="N76" s="228"/>
      <c r="O76" s="228"/>
      <c r="P76" s="228"/>
      <c r="Q76" s="228"/>
      <c r="R76" s="228"/>
      <c r="S76" s="228"/>
      <c r="T76" s="228"/>
      <c r="V76" t="s">
        <v>133</v>
      </c>
      <c r="W76" t="s">
        <v>202</v>
      </c>
      <c r="X76" t="str">
        <f t="shared" si="8"/>
        <v>Alexander Buttner (v)</v>
      </c>
      <c r="Y76" s="113" t="s">
        <v>91</v>
      </c>
    </row>
    <row r="77" spans="2:54">
      <c r="B77" s="240">
        <v>61</v>
      </c>
      <c r="C77" s="241">
        <v>41828</v>
      </c>
      <c r="D77" s="281" t="s">
        <v>26</v>
      </c>
      <c r="E77" s="243" t="s">
        <v>9</v>
      </c>
      <c r="F77" s="282" t="s">
        <v>19</v>
      </c>
      <c r="G77" s="311">
        <v>1</v>
      </c>
      <c r="H77" s="243" t="s">
        <v>9</v>
      </c>
      <c r="I77" s="323">
        <v>3</v>
      </c>
      <c r="J77" s="324">
        <v>2</v>
      </c>
      <c r="K77" s="229"/>
      <c r="L77" s="229"/>
      <c r="M77" s="229"/>
      <c r="N77" s="228"/>
      <c r="O77" s="228"/>
      <c r="P77" s="228"/>
      <c r="Q77" s="228"/>
      <c r="R77" s="228"/>
      <c r="S77" s="228"/>
      <c r="T77" s="228"/>
      <c r="V77" t="s">
        <v>134</v>
      </c>
      <c r="W77" t="s">
        <v>203</v>
      </c>
      <c r="X77" t="str">
        <f t="shared" si="8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261">
        <v>62</v>
      </c>
      <c r="C78" s="262">
        <v>41829</v>
      </c>
      <c r="D78" s="287" t="s">
        <v>29</v>
      </c>
      <c r="E78" s="264" t="s">
        <v>9</v>
      </c>
      <c r="F78" s="288" t="s">
        <v>13</v>
      </c>
      <c r="G78" s="314">
        <v>2</v>
      </c>
      <c r="H78" s="264" t="s">
        <v>9</v>
      </c>
      <c r="I78" s="329">
        <v>2</v>
      </c>
      <c r="J78" s="330">
        <v>1</v>
      </c>
      <c r="K78" s="229"/>
      <c r="L78" s="229"/>
      <c r="M78" s="229"/>
      <c r="N78" s="228"/>
      <c r="O78" s="228"/>
      <c r="P78" s="228"/>
      <c r="Q78" s="228"/>
      <c r="R78" s="228"/>
      <c r="S78" s="228"/>
      <c r="T78" s="228"/>
      <c r="V78" t="s">
        <v>134</v>
      </c>
      <c r="W78" t="s">
        <v>199</v>
      </c>
      <c r="X78" t="str">
        <f t="shared" si="8"/>
        <v>Leroy Fer (m)</v>
      </c>
      <c r="Y78" s="109">
        <f>AF78</f>
        <v>5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5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5</v>
      </c>
    </row>
    <row r="79" spans="2:54" ht="15.75" thickBot="1">
      <c r="B79" s="229"/>
      <c r="C79" s="267"/>
      <c r="D79" s="268"/>
      <c r="E79" s="229"/>
      <c r="F79" s="268"/>
      <c r="G79" s="229"/>
      <c r="H79" s="229"/>
      <c r="I79" s="229"/>
      <c r="J79" s="229"/>
      <c r="K79" s="229"/>
      <c r="L79" s="229"/>
      <c r="M79" s="229"/>
      <c r="N79" s="228"/>
      <c r="O79" s="228"/>
      <c r="P79" s="228"/>
      <c r="Q79" s="228"/>
      <c r="R79" s="228"/>
      <c r="S79" s="228"/>
      <c r="T79" s="228"/>
      <c r="V79" t="s">
        <v>134</v>
      </c>
      <c r="W79" t="s">
        <v>114</v>
      </c>
      <c r="X79" t="str">
        <f t="shared" si="8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303"/>
      <c r="K80" s="229"/>
      <c r="L80" s="229"/>
      <c r="M80" s="229"/>
      <c r="N80" s="228"/>
      <c r="O80" s="228"/>
      <c r="P80" s="228"/>
      <c r="Q80" s="228"/>
      <c r="R80" s="228"/>
      <c r="S80" s="228"/>
      <c r="T80" s="228"/>
      <c r="V80" t="s">
        <v>134</v>
      </c>
      <c r="W80" t="s">
        <v>117</v>
      </c>
      <c r="X80" t="str">
        <f t="shared" si="8"/>
        <v>Davy Klaassen (m)</v>
      </c>
      <c r="Y80" s="112" t="s">
        <v>99</v>
      </c>
    </row>
    <row r="81" spans="2:50">
      <c r="B81" s="304" t="s">
        <v>1</v>
      </c>
      <c r="C81" s="305" t="s">
        <v>2</v>
      </c>
      <c r="D81" s="306" t="s">
        <v>3</v>
      </c>
      <c r="E81" s="307"/>
      <c r="F81" s="308" t="s">
        <v>4</v>
      </c>
      <c r="G81" s="867" t="s">
        <v>5</v>
      </c>
      <c r="H81" s="868"/>
      <c r="I81" s="869"/>
      <c r="J81" s="309" t="s">
        <v>6</v>
      </c>
      <c r="K81" s="229"/>
      <c r="L81" s="229"/>
      <c r="M81" s="229"/>
      <c r="N81" s="228"/>
      <c r="O81" s="228"/>
      <c r="P81" s="228"/>
      <c r="Q81" s="228"/>
      <c r="R81" s="228"/>
      <c r="S81" s="228"/>
      <c r="T81" s="228"/>
      <c r="V81" t="s">
        <v>134</v>
      </c>
      <c r="W81" t="s">
        <v>120</v>
      </c>
      <c r="X81" t="str">
        <f t="shared" si="8"/>
        <v>Tonny Trindade de Vilhena (m)</v>
      </c>
      <c r="Y81" s="113" t="s">
        <v>91</v>
      </c>
    </row>
    <row r="82" spans="2:50" ht="15.75" thickBot="1">
      <c r="B82" s="230">
        <v>63</v>
      </c>
      <c r="C82" s="289">
        <v>41832</v>
      </c>
      <c r="D82" s="290" t="s">
        <v>26</v>
      </c>
      <c r="E82" s="231" t="s">
        <v>9</v>
      </c>
      <c r="F82" s="291" t="s">
        <v>13</v>
      </c>
      <c r="G82" s="331">
        <v>2</v>
      </c>
      <c r="H82" s="231" t="s">
        <v>9</v>
      </c>
      <c r="I82" s="332">
        <v>2</v>
      </c>
      <c r="J82" s="333">
        <v>1</v>
      </c>
      <c r="K82" s="229"/>
      <c r="L82" s="229"/>
      <c r="M82" s="229"/>
      <c r="N82" s="228"/>
      <c r="O82" s="228"/>
      <c r="P82" s="228"/>
      <c r="Q82" s="228"/>
      <c r="R82" s="228"/>
      <c r="S82" s="228"/>
      <c r="T82" s="228"/>
      <c r="V82" t="s">
        <v>134</v>
      </c>
      <c r="W82" t="s">
        <v>125</v>
      </c>
      <c r="X82" t="str">
        <f t="shared" si="8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229"/>
      <c r="C83" s="267"/>
      <c r="D83" s="268"/>
      <c r="E83" s="229"/>
      <c r="F83" s="268"/>
      <c r="G83" s="229"/>
      <c r="H83" s="229"/>
      <c r="I83" s="229"/>
      <c r="J83" s="229"/>
      <c r="K83" s="229"/>
      <c r="L83" s="229"/>
      <c r="M83" s="229"/>
      <c r="N83" s="228"/>
      <c r="O83" s="228"/>
      <c r="P83" s="228"/>
      <c r="Q83" s="228"/>
      <c r="R83" s="228"/>
      <c r="S83" s="228"/>
      <c r="T83" s="228"/>
      <c r="V83" t="s">
        <v>134</v>
      </c>
      <c r="W83" t="s">
        <v>136</v>
      </c>
      <c r="X83" t="str">
        <f t="shared" si="8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303"/>
      <c r="K84" s="229"/>
      <c r="L84" s="229"/>
      <c r="M84" s="229"/>
      <c r="N84" s="228"/>
      <c r="O84" s="228"/>
      <c r="P84" s="228"/>
      <c r="Q84" s="228"/>
      <c r="R84" s="228"/>
      <c r="S84" s="228"/>
      <c r="T84" s="228"/>
      <c r="V84" t="s">
        <v>134</v>
      </c>
      <c r="W84" t="s">
        <v>137</v>
      </c>
      <c r="X84" t="str">
        <f t="shared" si="8"/>
        <v>Wesley Sneijder (m)</v>
      </c>
      <c r="Y84" s="112" t="s">
        <v>99</v>
      </c>
    </row>
    <row r="85" spans="2:50">
      <c r="B85" s="304" t="s">
        <v>1</v>
      </c>
      <c r="C85" s="305" t="s">
        <v>2</v>
      </c>
      <c r="D85" s="306" t="s">
        <v>3</v>
      </c>
      <c r="E85" s="307"/>
      <c r="F85" s="308" t="s">
        <v>4</v>
      </c>
      <c r="G85" s="867" t="s">
        <v>5</v>
      </c>
      <c r="H85" s="868"/>
      <c r="I85" s="869"/>
      <c r="J85" s="309" t="s">
        <v>6</v>
      </c>
      <c r="K85" s="229"/>
      <c r="L85" s="229"/>
      <c r="M85" s="229"/>
      <c r="N85" s="228"/>
      <c r="O85" s="228"/>
      <c r="P85" s="228"/>
      <c r="Q85" s="228"/>
      <c r="R85" s="228"/>
      <c r="S85" s="228"/>
      <c r="T85" s="228"/>
      <c r="V85" t="s">
        <v>134</v>
      </c>
      <c r="W85" t="s">
        <v>138</v>
      </c>
      <c r="X85" t="str">
        <f t="shared" si="8"/>
        <v>Jonathan de Guzman (m)</v>
      </c>
      <c r="Y85" s="113" t="s">
        <v>91</v>
      </c>
    </row>
    <row r="86" spans="2:50" ht="15.75" thickBot="1">
      <c r="B86" s="230">
        <v>64</v>
      </c>
      <c r="C86" s="289">
        <v>41833</v>
      </c>
      <c r="D86" s="290" t="s">
        <v>19</v>
      </c>
      <c r="E86" s="231" t="s">
        <v>9</v>
      </c>
      <c r="F86" s="291" t="s">
        <v>29</v>
      </c>
      <c r="G86" s="331">
        <v>2</v>
      </c>
      <c r="H86" s="231" t="s">
        <v>9</v>
      </c>
      <c r="I86" s="332">
        <v>3</v>
      </c>
      <c r="J86" s="333">
        <v>2</v>
      </c>
      <c r="K86" s="229"/>
      <c r="L86" s="229"/>
      <c r="M86" s="229"/>
      <c r="N86" s="228"/>
      <c r="O86" s="228"/>
      <c r="P86" s="228"/>
      <c r="Q86" s="228"/>
      <c r="R86" s="228"/>
      <c r="S86" s="228"/>
      <c r="T86" s="228"/>
      <c r="V86" t="s">
        <v>134</v>
      </c>
      <c r="W86" t="s">
        <v>139</v>
      </c>
      <c r="X86" t="str">
        <f t="shared" si="8"/>
        <v>Nigel de Jong (m)</v>
      </c>
      <c r="Y86" s="109">
        <f>AF86</f>
        <v>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0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8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8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Argentinië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8"/>
        <v>Jermain Lens (a)</v>
      </c>
      <c r="AP89" s="109">
        <f>AU89</f>
        <v>15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15</v>
      </c>
      <c r="AV89">
        <f>IF(AR89=0,0,IF(E89=AR89,50,0))</f>
        <v>0</v>
      </c>
      <c r="AW89">
        <f>IF(E89=0,0,IF(OR(E89=AR90),15,0))</f>
        <v>15</v>
      </c>
      <c r="AX89">
        <f>IF(E89=0,0,IF(OR(E89=AR91,E89=AR92),5,0))</f>
        <v>0</v>
      </c>
    </row>
    <row r="90" spans="2:50">
      <c r="C90" s="870">
        <v>2</v>
      </c>
      <c r="D90" s="871"/>
      <c r="E90" s="872" t="str">
        <f>IF(J86=2,D86,IF(J86=1,F86,"Wie wordt 2de?"))</f>
        <v>Uruguay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8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0</v>
      </c>
      <c r="AV90">
        <f>IF(AR90=0,0,IF(AR90=E90,25,0))</f>
        <v>0</v>
      </c>
      <c r="AW90">
        <f>IF(E90=0,0,IF(OR(E90=AR89,),15,0))</f>
        <v>0</v>
      </c>
      <c r="AX90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Ecuador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8"/>
        <v>Jürgen Locadia (a)</v>
      </c>
      <c r="AP91" s="109">
        <f>AU91</f>
        <v>0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0</v>
      </c>
      <c r="AV91">
        <f>IF(AR91=0,0,IF(AR91=E91,15,0))</f>
        <v>0</v>
      </c>
      <c r="AW91">
        <f>IF(E91=0,0,IF(OR(E91=AR92),10,0))</f>
        <v>0</v>
      </c>
      <c r="AX91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Spanje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8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0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0</v>
      </c>
    </row>
    <row r="93" spans="2:50" ht="15.75" thickBot="1">
      <c r="V93" t="s">
        <v>135</v>
      </c>
      <c r="W93" t="s">
        <v>123</v>
      </c>
      <c r="X93" t="str">
        <f t="shared" si="8"/>
        <v>Quincy Promes (a)</v>
      </c>
      <c r="AS93" s="132"/>
      <c r="AU93" s="133">
        <f>SUM(AU89:AU92)</f>
        <v>15</v>
      </c>
    </row>
    <row r="94" spans="2:50" ht="15.75" thickTop="1">
      <c r="V94" t="s">
        <v>135</v>
      </c>
      <c r="W94" t="s">
        <v>122</v>
      </c>
      <c r="X94" t="str">
        <f t="shared" si="8"/>
        <v>Luc Castaignos (a)</v>
      </c>
    </row>
    <row r="95" spans="2:50">
      <c r="V95" t="s">
        <v>135</v>
      </c>
      <c r="W95" t="s">
        <v>113</v>
      </c>
      <c r="X95" t="str">
        <f t="shared" si="8"/>
        <v>Jean-Paul Boëtius (a)</v>
      </c>
    </row>
    <row r="96" spans="2:50">
      <c r="V96" t="s">
        <v>135</v>
      </c>
      <c r="W96" t="s">
        <v>129</v>
      </c>
      <c r="X96" t="str">
        <f t="shared" si="8"/>
        <v>Luciano Narsingh (a)</v>
      </c>
    </row>
    <row r="97" spans="22:24">
      <c r="V97" t="s">
        <v>135</v>
      </c>
      <c r="W97" t="s">
        <v>130</v>
      </c>
      <c r="X97" t="str">
        <f t="shared" si="8"/>
        <v>Robin van Persie (a)</v>
      </c>
    </row>
    <row r="98" spans="22:24">
      <c r="V98" t="s">
        <v>135</v>
      </c>
      <c r="W98" t="s">
        <v>131</v>
      </c>
      <c r="X98" t="str">
        <f t="shared" si="8"/>
        <v>Arjen Robben (a)</v>
      </c>
    </row>
  </sheetData>
  <mergeCells count="36">
    <mergeCell ref="P68:T68"/>
    <mergeCell ref="P63:T63"/>
    <mergeCell ref="P64:T64"/>
    <mergeCell ref="B84:I84"/>
    <mergeCell ref="G76:I76"/>
    <mergeCell ref="B80:I80"/>
    <mergeCell ref="G81:I81"/>
    <mergeCell ref="B75:I75"/>
    <mergeCell ref="G85:I85"/>
    <mergeCell ref="B68:I68"/>
    <mergeCell ref="P62:T62"/>
    <mergeCell ref="B6:J6"/>
    <mergeCell ref="G7:I7"/>
    <mergeCell ref="B57:I57"/>
    <mergeCell ref="G69:I69"/>
    <mergeCell ref="P65:T65"/>
    <mergeCell ref="P66:T66"/>
    <mergeCell ref="P67:T67"/>
    <mergeCell ref="G58:I58"/>
    <mergeCell ref="O57:T57"/>
    <mergeCell ref="P58:T58"/>
    <mergeCell ref="P59:T59"/>
    <mergeCell ref="P60:T60"/>
    <mergeCell ref="P61:T61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conditionalFormatting sqref="AO9:AO12 AO15:AO18 AO21:AO24 AO27:AO30 AO33:AO36 AO39:AO42 AO45:AO48 AO51:AO54">
    <cfRule type="cellIs" dxfId="179" priority="3" operator="equal">
      <formula>10</formula>
    </cfRule>
  </conditionalFormatting>
  <conditionalFormatting sqref="P58:T58">
    <cfRule type="duplicateValues" dxfId="178" priority="2"/>
  </conditionalFormatting>
  <conditionalFormatting sqref="P58:T68">
    <cfRule type="duplicateValues" dxfId="177" priority="1"/>
  </conditionalFormatting>
  <dataValidations count="10">
    <dataValidation type="list" allowBlank="1" showInputMessage="1" showErrorMessage="1" sqref="T51:T54">
      <formula1>$W$51:$W$54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P58:P68">
      <formula1>$X$58:$X$98</formula1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B1:BB98"/>
  <sheetViews>
    <sheetView topLeftCell="A37" zoomScale="70" zoomScaleNormal="70" workbookViewId="0">
      <selection activeCell="P58" sqref="P58:T68"/>
    </sheetView>
  </sheetViews>
  <sheetFormatPr defaultRowHeight="15" outlineLevelCol="2"/>
  <cols>
    <col min="1" max="1" width="3.42578125" customWidth="1"/>
    <col min="2" max="2" width="3.5703125" bestFit="1" customWidth="1"/>
    <col min="3" max="3" width="11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261</v>
      </c>
      <c r="E3" s="145"/>
      <c r="F3" s="145"/>
      <c r="N3" t="str">
        <f>D3</f>
        <v>Hans D.</v>
      </c>
      <c r="O3" s="144">
        <f>SUM(P3:S3)</f>
        <v>371</v>
      </c>
      <c r="P3" s="109">
        <f>SUM(Y8:Y86)</f>
        <v>181</v>
      </c>
      <c r="Q3" s="109">
        <f>SUM(AM4:AM55)</f>
        <v>140</v>
      </c>
      <c r="R3" s="109">
        <f>SUM(AP89:AP92)</f>
        <v>20</v>
      </c>
      <c r="S3" s="109">
        <f>SUM(BB58:BB69)</f>
        <v>30</v>
      </c>
      <c r="T3" s="109">
        <f>COUNTIF(AF8:AF86,10)</f>
        <v>3</v>
      </c>
      <c r="U3" s="109" t="str">
        <f>E89</f>
        <v>Nederland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229"/>
      <c r="L6" s="229"/>
      <c r="M6" s="228"/>
      <c r="N6" s="228"/>
      <c r="O6" s="268"/>
      <c r="P6" s="269"/>
      <c r="Q6" s="269"/>
      <c r="R6" s="269"/>
      <c r="S6" s="269"/>
      <c r="T6" s="269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292" t="s">
        <v>1</v>
      </c>
      <c r="C7" s="293" t="s">
        <v>2</v>
      </c>
      <c r="D7" s="294" t="s">
        <v>3</v>
      </c>
      <c r="E7" s="295"/>
      <c r="F7" s="296" t="s">
        <v>4</v>
      </c>
      <c r="G7" s="880" t="s">
        <v>5</v>
      </c>
      <c r="H7" s="881"/>
      <c r="I7" s="882"/>
      <c r="J7" s="297" t="s">
        <v>6</v>
      </c>
      <c r="K7" s="232" t="s">
        <v>7</v>
      </c>
      <c r="L7" s="232" t="s">
        <v>7</v>
      </c>
      <c r="M7" s="228"/>
      <c r="N7" s="228"/>
      <c r="O7" s="229"/>
      <c r="P7" s="269"/>
      <c r="Q7" s="269"/>
      <c r="R7" s="269"/>
      <c r="S7" s="269"/>
      <c r="T7" s="269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233">
        <v>1</v>
      </c>
      <c r="C8" s="234">
        <v>41802</v>
      </c>
      <c r="D8" s="235" t="s">
        <v>8</v>
      </c>
      <c r="E8" s="236" t="s">
        <v>9</v>
      </c>
      <c r="F8" s="237" t="s">
        <v>10</v>
      </c>
      <c r="G8" s="310">
        <v>3</v>
      </c>
      <c r="H8" s="236" t="s">
        <v>9</v>
      </c>
      <c r="I8" s="315">
        <v>1</v>
      </c>
      <c r="J8" s="238">
        <f>IF(I8="","",IF(G8&gt;I8,1,IF(G8&lt;I8,2,3)))</f>
        <v>1</v>
      </c>
      <c r="K8" s="239">
        <f>IF(I8="","",IF($G8&gt;$I8,3,IF($G8=$I8,1,0)))</f>
        <v>3</v>
      </c>
      <c r="L8" s="239">
        <f>IF(I8="","",IF($G8&lt;$I8,3,IF($G8=$I8,1,0)))</f>
        <v>0</v>
      </c>
      <c r="M8" s="228"/>
      <c r="N8" s="228"/>
      <c r="O8" s="298" t="s">
        <v>41</v>
      </c>
      <c r="P8" s="299" t="s">
        <v>42</v>
      </c>
      <c r="Q8" s="299" t="s">
        <v>43</v>
      </c>
      <c r="R8" s="300" t="s">
        <v>44</v>
      </c>
      <c r="S8" s="301" t="s">
        <v>45</v>
      </c>
      <c r="T8" s="302" t="s">
        <v>46</v>
      </c>
      <c r="U8" s="40"/>
      <c r="V8" s="40"/>
      <c r="W8" s="40"/>
      <c r="Y8" s="109">
        <f>AF8</f>
        <v>10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10</v>
      </c>
      <c r="AG8" s="108">
        <f t="shared" ref="AG8:AG55" si="0">IF(AC8="",0,(IF(G8=AC8,1,0)))</f>
        <v>1</v>
      </c>
      <c r="AH8" s="108">
        <f t="shared" ref="AH8:AH55" si="1">IF(AD8="",0,(IF(I8=AD8,1,0)))</f>
        <v>1</v>
      </c>
      <c r="AI8" s="108">
        <f>IF(AND(AG8=1,AH8=1),10,0)</f>
        <v>10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240">
        <v>2</v>
      </c>
      <c r="C9" s="241">
        <v>41803</v>
      </c>
      <c r="D9" s="242" t="s">
        <v>11</v>
      </c>
      <c r="E9" s="243" t="s">
        <v>9</v>
      </c>
      <c r="F9" s="244" t="s">
        <v>12</v>
      </c>
      <c r="G9" s="311">
        <v>2</v>
      </c>
      <c r="H9" s="243" t="s">
        <v>9</v>
      </c>
      <c r="I9" s="316">
        <v>1</v>
      </c>
      <c r="J9" s="245">
        <f t="shared" ref="J9:J55" si="5">IF(I9="","",IF(G9&gt;I9,1,IF(G9&lt;I9,2,3)))</f>
        <v>1</v>
      </c>
      <c r="K9" s="239">
        <f t="shared" ref="K9:K55" si="6">IF(I9="","",IF($G9&gt;$I9,3,IF($G9=$I9,1,0)))</f>
        <v>3</v>
      </c>
      <c r="L9" s="239">
        <f t="shared" ref="L9:L55" si="7">IF(I9="","",IF($G9&lt;$I9,3,IF($G9=$I9,1,0)))</f>
        <v>0</v>
      </c>
      <c r="M9" s="228"/>
      <c r="N9" s="228"/>
      <c r="O9" s="270" t="s">
        <v>8</v>
      </c>
      <c r="P9" s="271">
        <f>SUMIF($D$8:$D$55,$O9,$G$8:$G$55)+SUMIF($F$8:$F$55,$O9,$I$8:$I$55)</f>
        <v>9</v>
      </c>
      <c r="Q9" s="271">
        <f>SUMIF($D$8:$D$55,$O9,$I$8:$I$55)+SUMIF($F$8:$F$55,$O9,$G$8:$G$55)</f>
        <v>2</v>
      </c>
      <c r="R9" s="272">
        <f>P9-Q9</f>
        <v>7</v>
      </c>
      <c r="S9" s="273">
        <f>SUMIF($D$8:$D$55,$O9,$K$8:$K$55)+SUMIF($F$8:$F$55,$O9,$L$8:$L$55)</f>
        <v>9</v>
      </c>
      <c r="T9" s="320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5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5</v>
      </c>
      <c r="AG9" s="108">
        <f t="shared" si="0"/>
        <v>0</v>
      </c>
      <c r="AH9" s="108">
        <f t="shared" si="1"/>
        <v>0</v>
      </c>
      <c r="AI9" s="108">
        <f t="shared" ref="AI9:AI55" si="10">IF(AND(AG9=1,AH9=1),10,0)</f>
        <v>0</v>
      </c>
      <c r="AJ9" s="108">
        <f t="shared" si="2"/>
        <v>5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246">
        <v>3</v>
      </c>
      <c r="C10" s="247">
        <v>41803</v>
      </c>
      <c r="D10" s="248" t="s">
        <v>13</v>
      </c>
      <c r="E10" s="249" t="s">
        <v>9</v>
      </c>
      <c r="F10" s="250" t="s">
        <v>14</v>
      </c>
      <c r="G10" s="312">
        <v>2</v>
      </c>
      <c r="H10" s="249" t="s">
        <v>9</v>
      </c>
      <c r="I10" s="317">
        <v>2</v>
      </c>
      <c r="J10" s="251">
        <f t="shared" si="5"/>
        <v>3</v>
      </c>
      <c r="K10" s="239">
        <f t="shared" si="6"/>
        <v>1</v>
      </c>
      <c r="L10" s="239">
        <f t="shared" si="7"/>
        <v>1</v>
      </c>
      <c r="M10" s="228"/>
      <c r="N10" s="228"/>
      <c r="O10" s="274" t="s">
        <v>10</v>
      </c>
      <c r="P10" s="275">
        <f>SUMIF($D$8:$D$55,$O10,$G$8:$G$55)+SUMIF($F$8:$F$55,$O10,$I$8:$I$55)</f>
        <v>5</v>
      </c>
      <c r="Q10" s="275">
        <f>SUMIF($D$8:$D$55,$O10,$I$8:$I$55)+SUMIF($F$8:$F$55,$O10,$G$8:$G$55)</f>
        <v>6</v>
      </c>
      <c r="R10" s="275">
        <f>P10-Q10</f>
        <v>-1</v>
      </c>
      <c r="S10" s="276">
        <f>SUMIF($D$8:$D$55,$O10,$K$8:$K$55)+SUMIF($F$8:$F$55,$O10,$L$8:$L$55)</f>
        <v>4</v>
      </c>
      <c r="T10" s="321" t="s">
        <v>49</v>
      </c>
      <c r="U10" s="40"/>
      <c r="V10" s="40" t="str">
        <f>O10</f>
        <v>Kroatië</v>
      </c>
      <c r="W10" s="40" t="s">
        <v>49</v>
      </c>
      <c r="Y10" s="109">
        <f t="shared" si="8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0</v>
      </c>
      <c r="AG10" s="108">
        <f t="shared" si="0"/>
        <v>0</v>
      </c>
      <c r="AH10" s="108">
        <f t="shared" si="1"/>
        <v>0</v>
      </c>
      <c r="AI10" s="108">
        <f t="shared" si="10"/>
        <v>0</v>
      </c>
      <c r="AJ10" s="108">
        <f t="shared" si="2"/>
        <v>0</v>
      </c>
      <c r="AK10" s="108">
        <f t="shared" si="3"/>
        <v>0</v>
      </c>
      <c r="AL10" s="108">
        <f t="shared" si="4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252">
        <v>4</v>
      </c>
      <c r="C11" s="253">
        <v>41803</v>
      </c>
      <c r="D11" s="254" t="s">
        <v>15</v>
      </c>
      <c r="E11" s="255" t="s">
        <v>9</v>
      </c>
      <c r="F11" s="256" t="s">
        <v>16</v>
      </c>
      <c r="G11" s="313">
        <v>2</v>
      </c>
      <c r="H11" s="255" t="s">
        <v>9</v>
      </c>
      <c r="I11" s="318">
        <v>1</v>
      </c>
      <c r="J11" s="257">
        <f t="shared" si="5"/>
        <v>1</v>
      </c>
      <c r="K11" s="239">
        <f t="shared" si="6"/>
        <v>3</v>
      </c>
      <c r="L11" s="239">
        <f t="shared" si="7"/>
        <v>0</v>
      </c>
      <c r="M11" s="228"/>
      <c r="N11" s="228"/>
      <c r="O11" s="274" t="s">
        <v>11</v>
      </c>
      <c r="P11" s="275">
        <f>SUMIF($D$8:$D$55,$O11,$G$8:$G$55)+SUMIF($F$8:$F$55,$O11,$I$8:$I$55)</f>
        <v>4</v>
      </c>
      <c r="Q11" s="275">
        <f>SUMIF($D$8:$D$55,$O11,$I$8:$I$55)+SUMIF($F$8:$F$55,$O11,$G$8:$G$55)</f>
        <v>6</v>
      </c>
      <c r="R11" s="275">
        <f>P11-Q11</f>
        <v>-2</v>
      </c>
      <c r="S11" s="276">
        <f>SUMIF($D$8:$D$55,$O11,$K$8:$K$55)+SUMIF($F$8:$F$55,$O11,$L$8:$L$55)</f>
        <v>4</v>
      </c>
      <c r="T11" s="321" t="s">
        <v>47</v>
      </c>
      <c r="U11" s="40"/>
      <c r="V11" s="40" t="str">
        <f>O11</f>
        <v>Mexico</v>
      </c>
      <c r="W11" s="40" t="s">
        <v>47</v>
      </c>
      <c r="Y11" s="109">
        <f t="shared" si="8"/>
        <v>6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6</v>
      </c>
      <c r="AG11" s="108">
        <f t="shared" si="0"/>
        <v>0</v>
      </c>
      <c r="AH11" s="108">
        <f t="shared" si="1"/>
        <v>1</v>
      </c>
      <c r="AI11" s="108">
        <f t="shared" si="10"/>
        <v>0</v>
      </c>
      <c r="AJ11" s="108">
        <f t="shared" si="2"/>
        <v>5</v>
      </c>
      <c r="AK11" s="108">
        <f t="shared" si="3"/>
        <v>0</v>
      </c>
      <c r="AL11" s="108">
        <f t="shared" si="4"/>
        <v>0</v>
      </c>
      <c r="AM11" s="120">
        <f>AO11</f>
        <v>0</v>
      </c>
      <c r="AN11" s="117" t="s">
        <v>11</v>
      </c>
      <c r="AO11" s="115">
        <f>IF(Uitslag!T11="",0,IF(T11=Uitslag!T11,10,0))</f>
        <v>0</v>
      </c>
    </row>
    <row r="12" spans="2:54" ht="15.75" thickBot="1">
      <c r="B12" s="240">
        <v>5</v>
      </c>
      <c r="C12" s="241">
        <v>41804</v>
      </c>
      <c r="D12" s="242" t="s">
        <v>17</v>
      </c>
      <c r="E12" s="243" t="s">
        <v>9</v>
      </c>
      <c r="F12" s="244" t="s">
        <v>18</v>
      </c>
      <c r="G12" s="311">
        <v>3</v>
      </c>
      <c r="H12" s="243" t="s">
        <v>9</v>
      </c>
      <c r="I12" s="316">
        <v>1</v>
      </c>
      <c r="J12" s="245">
        <f t="shared" si="5"/>
        <v>1</v>
      </c>
      <c r="K12" s="239">
        <f t="shared" si="6"/>
        <v>3</v>
      </c>
      <c r="L12" s="239">
        <f t="shared" si="7"/>
        <v>0</v>
      </c>
      <c r="M12" s="228"/>
      <c r="N12" s="228"/>
      <c r="O12" s="277" t="s">
        <v>12</v>
      </c>
      <c r="P12" s="278">
        <f>SUMIF($D$8:$D$55,$O12,$G$8:$G$55)+SUMIF($F$8:$F$55,$O12,$I$8:$I$55)</f>
        <v>3</v>
      </c>
      <c r="Q12" s="278">
        <f>SUMIF($D$8:$D$55,$O12,$I$8:$I$55)+SUMIF($F$8:$F$55,$O12,$G$8:$G$55)</f>
        <v>7</v>
      </c>
      <c r="R12" s="278">
        <f>P12-Q12</f>
        <v>-4</v>
      </c>
      <c r="S12" s="279">
        <f>SUMIF($D$8:$D$55,$O12,$K$8:$K$55)+SUMIF($F$8:$F$55,$O12,$L$8:$L$55)</f>
        <v>0</v>
      </c>
      <c r="T12" s="322" t="s">
        <v>50</v>
      </c>
      <c r="U12" s="40"/>
      <c r="V12" s="40" t="str">
        <f>O12</f>
        <v>Kameroen</v>
      </c>
      <c r="W12" s="40" t="s">
        <v>50</v>
      </c>
      <c r="Y12" s="109">
        <f t="shared" si="8"/>
        <v>6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6</v>
      </c>
      <c r="AG12" s="108">
        <f t="shared" si="0"/>
        <v>1</v>
      </c>
      <c r="AH12" s="108">
        <f t="shared" si="1"/>
        <v>0</v>
      </c>
      <c r="AI12" s="108">
        <f t="shared" si="10"/>
        <v>0</v>
      </c>
      <c r="AJ12" s="108">
        <f t="shared" si="2"/>
        <v>5</v>
      </c>
      <c r="AK12" s="108">
        <f t="shared" si="3"/>
        <v>0</v>
      </c>
      <c r="AL12" s="108">
        <f t="shared" si="4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246">
        <v>6</v>
      </c>
      <c r="C13" s="247">
        <v>41804</v>
      </c>
      <c r="D13" s="248" t="s">
        <v>19</v>
      </c>
      <c r="E13" s="249" t="s">
        <v>9</v>
      </c>
      <c r="F13" s="258" t="s">
        <v>20</v>
      </c>
      <c r="G13" s="312">
        <v>2</v>
      </c>
      <c r="H13" s="249" t="s">
        <v>9</v>
      </c>
      <c r="I13" s="317">
        <v>0</v>
      </c>
      <c r="J13" s="251">
        <f t="shared" si="5"/>
        <v>1</v>
      </c>
      <c r="K13" s="239">
        <f t="shared" si="6"/>
        <v>3</v>
      </c>
      <c r="L13" s="239">
        <f t="shared" si="7"/>
        <v>0</v>
      </c>
      <c r="M13" s="228"/>
      <c r="N13" s="228"/>
      <c r="O13" s="268"/>
      <c r="P13" s="269"/>
      <c r="Q13" s="269"/>
      <c r="R13" s="269"/>
      <c r="S13" s="269"/>
      <c r="T13" s="269"/>
      <c r="U13" s="40"/>
      <c r="V13" s="40"/>
      <c r="W13" s="40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0"/>
        <v>0</v>
      </c>
      <c r="AH13" s="108">
        <f t="shared" si="1"/>
        <v>0</v>
      </c>
      <c r="AI13" s="108">
        <f t="shared" si="10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40"/>
      <c r="AO13" s="41"/>
    </row>
    <row r="14" spans="2:54" ht="15.75" thickBot="1">
      <c r="B14" s="246">
        <v>7</v>
      </c>
      <c r="C14" s="247">
        <v>41804</v>
      </c>
      <c r="D14" s="248" t="s">
        <v>21</v>
      </c>
      <c r="E14" s="249" t="s">
        <v>9</v>
      </c>
      <c r="F14" s="258" t="s">
        <v>22</v>
      </c>
      <c r="G14" s="312">
        <v>1</v>
      </c>
      <c r="H14" s="249" t="s">
        <v>9</v>
      </c>
      <c r="I14" s="317">
        <v>1</v>
      </c>
      <c r="J14" s="251">
        <f t="shared" si="5"/>
        <v>3</v>
      </c>
      <c r="K14" s="239">
        <f t="shared" si="6"/>
        <v>1</v>
      </c>
      <c r="L14" s="239">
        <f t="shared" si="7"/>
        <v>1</v>
      </c>
      <c r="M14" s="228"/>
      <c r="N14" s="228"/>
      <c r="O14" s="298" t="s">
        <v>51</v>
      </c>
      <c r="P14" s="299" t="s">
        <v>42</v>
      </c>
      <c r="Q14" s="299" t="s">
        <v>43</v>
      </c>
      <c r="R14" s="300" t="s">
        <v>44</v>
      </c>
      <c r="S14" s="301" t="s">
        <v>45</v>
      </c>
      <c r="T14" s="302" t="s">
        <v>46</v>
      </c>
      <c r="U14" s="40"/>
      <c r="V14" s="40"/>
      <c r="W14" s="40"/>
      <c r="Y14" s="109">
        <f t="shared" si="8"/>
        <v>1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</v>
      </c>
      <c r="AG14" s="108">
        <f t="shared" si="0"/>
        <v>1</v>
      </c>
      <c r="AH14" s="108">
        <f t="shared" si="1"/>
        <v>0</v>
      </c>
      <c r="AI14" s="108">
        <f t="shared" si="10"/>
        <v>0</v>
      </c>
      <c r="AJ14" s="108">
        <f t="shared" si="2"/>
        <v>0</v>
      </c>
      <c r="AK14" s="108">
        <f t="shared" si="3"/>
        <v>0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252">
        <v>8</v>
      </c>
      <c r="C15" s="253">
        <v>41804</v>
      </c>
      <c r="D15" s="254" t="s">
        <v>23</v>
      </c>
      <c r="E15" s="255" t="s">
        <v>9</v>
      </c>
      <c r="F15" s="256" t="s">
        <v>24</v>
      </c>
      <c r="G15" s="313">
        <v>0</v>
      </c>
      <c r="H15" s="255" t="s">
        <v>9</v>
      </c>
      <c r="I15" s="318">
        <v>2</v>
      </c>
      <c r="J15" s="257">
        <f t="shared" si="5"/>
        <v>2</v>
      </c>
      <c r="K15" s="239">
        <f t="shared" si="6"/>
        <v>0</v>
      </c>
      <c r="L15" s="239">
        <f t="shared" si="7"/>
        <v>3</v>
      </c>
      <c r="M15" s="228"/>
      <c r="N15" s="228"/>
      <c r="O15" s="270" t="s">
        <v>13</v>
      </c>
      <c r="P15" s="271">
        <f>SUMIF($D$8:$D$55,$O15,$G$8:$G$55)+SUMIF($F$8:$F$55,$O15,$I$8:$I$55)</f>
        <v>6</v>
      </c>
      <c r="Q15" s="271">
        <f>SUMIF($D$8:$D$55,$O15,$I$8:$I$55)+SUMIF($F$8:$F$55,$O15,$G$8:$G$55)</f>
        <v>4</v>
      </c>
      <c r="R15" s="272">
        <f>P15-Q15</f>
        <v>2</v>
      </c>
      <c r="S15" s="273">
        <f>SUMIF($D$8:$D$55,$O15,$K$8:$K$55)+SUMIF($F$8:$F$55,$O15,$L$8:$L$55)</f>
        <v>7</v>
      </c>
      <c r="T15" s="320" t="s">
        <v>53</v>
      </c>
      <c r="U15" s="40"/>
      <c r="V15" s="40" t="str">
        <f>O15</f>
        <v>Spanje</v>
      </c>
      <c r="W15" s="40" t="s">
        <v>52</v>
      </c>
      <c r="Y15" s="109">
        <f t="shared" si="8"/>
        <v>0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0</v>
      </c>
      <c r="AG15" s="108">
        <f t="shared" si="0"/>
        <v>0</v>
      </c>
      <c r="AH15" s="108">
        <f t="shared" si="1"/>
        <v>0</v>
      </c>
      <c r="AI15" s="108">
        <f t="shared" si="10"/>
        <v>0</v>
      </c>
      <c r="AJ15" s="108">
        <f t="shared" si="2"/>
        <v>0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240">
        <v>9</v>
      </c>
      <c r="C16" s="241">
        <v>41805</v>
      </c>
      <c r="D16" s="242" t="s">
        <v>25</v>
      </c>
      <c r="E16" s="243" t="s">
        <v>9</v>
      </c>
      <c r="F16" s="244" t="s">
        <v>26</v>
      </c>
      <c r="G16" s="311">
        <v>1</v>
      </c>
      <c r="H16" s="243" t="s">
        <v>9</v>
      </c>
      <c r="I16" s="316">
        <v>2</v>
      </c>
      <c r="J16" s="245">
        <f t="shared" si="5"/>
        <v>2</v>
      </c>
      <c r="K16" s="239">
        <f t="shared" si="6"/>
        <v>0</v>
      </c>
      <c r="L16" s="239">
        <f t="shared" si="7"/>
        <v>3</v>
      </c>
      <c r="M16" s="228"/>
      <c r="N16" s="228"/>
      <c r="O16" s="280" t="s">
        <v>14</v>
      </c>
      <c r="P16" s="275">
        <f>SUMIF($D$8:$D$55,$O16,$G$8:$G$55)+SUMIF($F$8:$F$55,$O16,$I$8:$I$55)</f>
        <v>8</v>
      </c>
      <c r="Q16" s="275">
        <f>SUMIF($D$8:$D$55,$O16,$I$8:$I$55)+SUMIF($F$8:$F$55,$O16,$G$8:$G$55)</f>
        <v>3</v>
      </c>
      <c r="R16" s="275">
        <f>P16-Q16</f>
        <v>5</v>
      </c>
      <c r="S16" s="276">
        <f>SUMIF($D$8:$D$55,$O16,$K$8:$K$55)+SUMIF($F$8:$F$55,$O16,$L$8:$L$55)</f>
        <v>7</v>
      </c>
      <c r="T16" s="321" t="s">
        <v>52</v>
      </c>
      <c r="U16" s="40"/>
      <c r="V16" s="40" t="str">
        <f>O16</f>
        <v>Nederland</v>
      </c>
      <c r="W16" s="40" t="s">
        <v>53</v>
      </c>
      <c r="Y16" s="109">
        <f t="shared" si="8"/>
        <v>0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0</v>
      </c>
      <c r="AG16" s="108">
        <f t="shared" si="0"/>
        <v>0</v>
      </c>
      <c r="AH16" s="108">
        <f t="shared" si="1"/>
        <v>0</v>
      </c>
      <c r="AI16" s="108">
        <f t="shared" si="10"/>
        <v>0</v>
      </c>
      <c r="AJ16" s="108">
        <f t="shared" si="2"/>
        <v>0</v>
      </c>
      <c r="AK16" s="108">
        <f t="shared" si="3"/>
        <v>0</v>
      </c>
      <c r="AL16" s="108">
        <f t="shared" si="4"/>
        <v>0</v>
      </c>
      <c r="AM16" s="120">
        <f>AO16</f>
        <v>10</v>
      </c>
      <c r="AN16" s="119" t="s">
        <v>14</v>
      </c>
      <c r="AO16" s="115">
        <f>IF(Uitslag!T16="",0,IF(T16=Uitslag!T16,10,0))</f>
        <v>10</v>
      </c>
    </row>
    <row r="17" spans="2:41" ht="15.75" thickBot="1">
      <c r="B17" s="246">
        <v>10</v>
      </c>
      <c r="C17" s="247">
        <v>41805</v>
      </c>
      <c r="D17" s="248" t="s">
        <v>27</v>
      </c>
      <c r="E17" s="249" t="s">
        <v>9</v>
      </c>
      <c r="F17" s="258" t="s">
        <v>28</v>
      </c>
      <c r="G17" s="312">
        <v>2</v>
      </c>
      <c r="H17" s="249" t="s">
        <v>9</v>
      </c>
      <c r="I17" s="317">
        <v>0</v>
      </c>
      <c r="J17" s="251">
        <f t="shared" si="5"/>
        <v>1</v>
      </c>
      <c r="K17" s="239">
        <f t="shared" si="6"/>
        <v>3</v>
      </c>
      <c r="L17" s="239">
        <f t="shared" si="7"/>
        <v>0</v>
      </c>
      <c r="M17" s="228"/>
      <c r="N17" s="228"/>
      <c r="O17" s="274" t="s">
        <v>15</v>
      </c>
      <c r="P17" s="275">
        <f>SUMIF($D$8:$D$55,$O17,$G$8:$G$55)+SUMIF($F$8:$F$55,$O17,$I$8:$I$55)</f>
        <v>3</v>
      </c>
      <c r="Q17" s="275">
        <f>SUMIF($D$8:$D$55,$O17,$I$8:$I$55)+SUMIF($F$8:$F$55,$O17,$G$8:$G$55)</f>
        <v>6</v>
      </c>
      <c r="R17" s="275">
        <f>P17-Q17</f>
        <v>-3</v>
      </c>
      <c r="S17" s="276">
        <f>SUMIF($D$8:$D$55,$O17,$K$8:$K$55)+SUMIF($F$8:$F$55,$O17,$L$8:$L$55)</f>
        <v>3</v>
      </c>
      <c r="T17" s="321" t="s">
        <v>54</v>
      </c>
      <c r="U17" s="40"/>
      <c r="V17" s="40" t="str">
        <f>O17</f>
        <v>Chili</v>
      </c>
      <c r="W17" s="40" t="s">
        <v>54</v>
      </c>
      <c r="Y17" s="109">
        <f t="shared" si="8"/>
        <v>6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6</v>
      </c>
      <c r="AG17" s="108">
        <f t="shared" si="0"/>
        <v>0</v>
      </c>
      <c r="AH17" s="108">
        <f t="shared" si="1"/>
        <v>1</v>
      </c>
      <c r="AI17" s="108">
        <f t="shared" si="10"/>
        <v>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252">
        <v>11</v>
      </c>
      <c r="C18" s="253">
        <v>41805</v>
      </c>
      <c r="D18" s="254" t="s">
        <v>29</v>
      </c>
      <c r="E18" s="255" t="s">
        <v>9</v>
      </c>
      <c r="F18" s="256" t="s">
        <v>30</v>
      </c>
      <c r="G18" s="313">
        <v>3</v>
      </c>
      <c r="H18" s="255" t="s">
        <v>9</v>
      </c>
      <c r="I18" s="318">
        <v>1</v>
      </c>
      <c r="J18" s="257">
        <f t="shared" si="5"/>
        <v>1</v>
      </c>
      <c r="K18" s="239">
        <f t="shared" si="6"/>
        <v>3</v>
      </c>
      <c r="L18" s="239">
        <f t="shared" si="7"/>
        <v>0</v>
      </c>
      <c r="M18" s="228"/>
      <c r="N18" s="228"/>
      <c r="O18" s="277" t="s">
        <v>16</v>
      </c>
      <c r="P18" s="278">
        <f>SUMIF($D$8:$D$55,$O18,$G$8:$G$55)+SUMIF($F$8:$F$55,$O18,$I$8:$I$55)</f>
        <v>3</v>
      </c>
      <c r="Q18" s="278">
        <f>SUMIF($D$8:$D$55,$O18,$I$8:$I$55)+SUMIF($F$8:$F$55,$O18,$G$8:$G$55)</f>
        <v>7</v>
      </c>
      <c r="R18" s="278">
        <f>P18-Q18</f>
        <v>-4</v>
      </c>
      <c r="S18" s="279">
        <f>SUMIF($D$8:$D$55,$O18,$K$8:$K$55)+SUMIF($F$8:$F$55,$O18,$L$8:$L$55)</f>
        <v>0</v>
      </c>
      <c r="T18" s="322" t="s">
        <v>55</v>
      </c>
      <c r="U18" s="40"/>
      <c r="V18" s="40" t="str">
        <f>O18</f>
        <v>Australië</v>
      </c>
      <c r="W18" s="40" t="s">
        <v>55</v>
      </c>
      <c r="Y18" s="109">
        <f t="shared" si="8"/>
        <v>6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6</v>
      </c>
      <c r="AG18" s="108">
        <f t="shared" si="0"/>
        <v>0</v>
      </c>
      <c r="AH18" s="108">
        <f t="shared" si="1"/>
        <v>1</v>
      </c>
      <c r="AI18" s="108">
        <f t="shared" si="10"/>
        <v>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240">
        <v>12</v>
      </c>
      <c r="C19" s="241">
        <v>41806</v>
      </c>
      <c r="D19" s="242" t="s">
        <v>31</v>
      </c>
      <c r="E19" s="243" t="s">
        <v>9</v>
      </c>
      <c r="F19" s="244" t="s">
        <v>32</v>
      </c>
      <c r="G19" s="311">
        <v>1</v>
      </c>
      <c r="H19" s="243" t="s">
        <v>9</v>
      </c>
      <c r="I19" s="316">
        <v>1</v>
      </c>
      <c r="J19" s="245">
        <f t="shared" si="5"/>
        <v>3</v>
      </c>
      <c r="K19" s="239">
        <f t="shared" si="6"/>
        <v>1</v>
      </c>
      <c r="L19" s="239">
        <f t="shared" si="7"/>
        <v>1</v>
      </c>
      <c r="M19" s="228"/>
      <c r="N19" s="228"/>
      <c r="O19" s="268"/>
      <c r="P19" s="269"/>
      <c r="Q19" s="269"/>
      <c r="R19" s="269"/>
      <c r="S19" s="269"/>
      <c r="T19" s="269"/>
      <c r="U19" s="40"/>
      <c r="V19" s="40"/>
      <c r="W19" s="40"/>
      <c r="Y19" s="109">
        <f t="shared" si="8"/>
        <v>0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0</v>
      </c>
      <c r="AG19" s="108">
        <f t="shared" si="0"/>
        <v>0</v>
      </c>
      <c r="AH19" s="108">
        <f t="shared" si="1"/>
        <v>0</v>
      </c>
      <c r="AI19" s="108">
        <f t="shared" si="10"/>
        <v>0</v>
      </c>
      <c r="AJ19" s="108">
        <f t="shared" si="2"/>
        <v>0</v>
      </c>
      <c r="AK19" s="108">
        <f t="shared" si="3"/>
        <v>0</v>
      </c>
      <c r="AL19" s="108">
        <f t="shared" si="4"/>
        <v>0</v>
      </c>
      <c r="AN19" s="40"/>
      <c r="AO19" s="41"/>
    </row>
    <row r="20" spans="2:41" ht="15.75" thickBot="1">
      <c r="B20" s="246">
        <v>13</v>
      </c>
      <c r="C20" s="247">
        <v>41806</v>
      </c>
      <c r="D20" s="248" t="s">
        <v>33</v>
      </c>
      <c r="E20" s="249" t="s">
        <v>9</v>
      </c>
      <c r="F20" s="258" t="s">
        <v>34</v>
      </c>
      <c r="G20" s="312">
        <v>1</v>
      </c>
      <c r="H20" s="249" t="s">
        <v>9</v>
      </c>
      <c r="I20" s="317">
        <v>3</v>
      </c>
      <c r="J20" s="251">
        <f t="shared" si="5"/>
        <v>2</v>
      </c>
      <c r="K20" s="239">
        <f t="shared" si="6"/>
        <v>0</v>
      </c>
      <c r="L20" s="239">
        <f t="shared" si="7"/>
        <v>3</v>
      </c>
      <c r="M20" s="228"/>
      <c r="N20" s="228"/>
      <c r="O20" s="298" t="s">
        <v>56</v>
      </c>
      <c r="P20" s="299" t="s">
        <v>42</v>
      </c>
      <c r="Q20" s="299" t="s">
        <v>43</v>
      </c>
      <c r="R20" s="300" t="s">
        <v>44</v>
      </c>
      <c r="S20" s="301" t="s">
        <v>45</v>
      </c>
      <c r="T20" s="302" t="s">
        <v>46</v>
      </c>
      <c r="U20" s="40"/>
      <c r="V20" s="40"/>
      <c r="W20" s="40"/>
      <c r="Y20" s="109">
        <f t="shared" si="8"/>
        <v>0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0</v>
      </c>
      <c r="AG20" s="108">
        <f t="shared" si="0"/>
        <v>0</v>
      </c>
      <c r="AH20" s="108">
        <f t="shared" si="1"/>
        <v>0</v>
      </c>
      <c r="AI20" s="108">
        <f t="shared" si="10"/>
        <v>0</v>
      </c>
      <c r="AJ20" s="108">
        <f t="shared" si="2"/>
        <v>0</v>
      </c>
      <c r="AK20" s="108">
        <f t="shared" si="3"/>
        <v>0</v>
      </c>
      <c r="AL20" s="108">
        <f t="shared" si="4"/>
        <v>0</v>
      </c>
      <c r="AN20" s="42" t="s">
        <v>56</v>
      </c>
      <c r="AO20" s="43" t="s">
        <v>46</v>
      </c>
    </row>
    <row r="21" spans="2:41" ht="15.75" thickBot="1">
      <c r="B21" s="252">
        <v>14</v>
      </c>
      <c r="C21" s="253">
        <v>41806</v>
      </c>
      <c r="D21" s="254" t="s">
        <v>35</v>
      </c>
      <c r="E21" s="255" t="s">
        <v>9</v>
      </c>
      <c r="F21" s="256" t="s">
        <v>36</v>
      </c>
      <c r="G21" s="313">
        <v>1</v>
      </c>
      <c r="H21" s="255" t="s">
        <v>9</v>
      </c>
      <c r="I21" s="318">
        <v>2</v>
      </c>
      <c r="J21" s="257">
        <f t="shared" si="5"/>
        <v>2</v>
      </c>
      <c r="K21" s="239">
        <f t="shared" si="6"/>
        <v>0</v>
      </c>
      <c r="L21" s="239">
        <f t="shared" si="7"/>
        <v>3</v>
      </c>
      <c r="M21" s="228"/>
      <c r="N21" s="228"/>
      <c r="O21" s="270" t="s">
        <v>17</v>
      </c>
      <c r="P21" s="271">
        <f>SUMIF($D$8:$D$55,$O21,$G$8:$G$55)+SUMIF($F$8:$F$55,$O21,$I$8:$I$55)</f>
        <v>7</v>
      </c>
      <c r="Q21" s="271">
        <f>SUMIF($D$8:$D$55,$O21,$I$8:$I$55)+SUMIF($F$8:$F$55,$O21,$G$8:$G$55)</f>
        <v>2</v>
      </c>
      <c r="R21" s="272">
        <f>P21-Q21</f>
        <v>5</v>
      </c>
      <c r="S21" s="273">
        <f>SUMIF($D$8:$D$55,$O21,$K$8:$K$55)+SUMIF($F$8:$F$55,$O21,$L$8:$L$55)</f>
        <v>9</v>
      </c>
      <c r="T21" s="320" t="s">
        <v>57</v>
      </c>
      <c r="U21" s="40"/>
      <c r="V21" s="40" t="str">
        <f>O21</f>
        <v>Colombia</v>
      </c>
      <c r="W21" s="40" t="s">
        <v>57</v>
      </c>
      <c r="Y21" s="109">
        <f t="shared" si="8"/>
        <v>10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10</v>
      </c>
      <c r="AG21" s="108">
        <f t="shared" si="0"/>
        <v>1</v>
      </c>
      <c r="AH21" s="108">
        <f t="shared" si="1"/>
        <v>1</v>
      </c>
      <c r="AI21" s="108">
        <f t="shared" si="10"/>
        <v>10</v>
      </c>
      <c r="AJ21" s="108">
        <f t="shared" si="2"/>
        <v>0</v>
      </c>
      <c r="AK21" s="108">
        <f t="shared" si="3"/>
        <v>5</v>
      </c>
      <c r="AL21" s="108">
        <f t="shared" si="4"/>
        <v>0</v>
      </c>
      <c r="AM21" s="120">
        <f>AO21</f>
        <v>10</v>
      </c>
      <c r="AN21" s="116" t="s">
        <v>17</v>
      </c>
      <c r="AO21" s="115">
        <f>IF(Uitslag!T21="",0,IF(T21=Uitslag!T21,10,0))</f>
        <v>10</v>
      </c>
    </row>
    <row r="22" spans="2:41" ht="15.75" thickBot="1">
      <c r="B22" s="240">
        <v>15</v>
      </c>
      <c r="C22" s="241">
        <v>41807</v>
      </c>
      <c r="D22" s="242" t="s">
        <v>37</v>
      </c>
      <c r="E22" s="243" t="s">
        <v>9</v>
      </c>
      <c r="F22" s="244" t="s">
        <v>38</v>
      </c>
      <c r="G22" s="311">
        <v>2</v>
      </c>
      <c r="H22" s="243" t="s">
        <v>9</v>
      </c>
      <c r="I22" s="316">
        <v>2</v>
      </c>
      <c r="J22" s="245">
        <f t="shared" si="5"/>
        <v>3</v>
      </c>
      <c r="K22" s="239">
        <f t="shared" si="6"/>
        <v>1</v>
      </c>
      <c r="L22" s="239">
        <f t="shared" si="7"/>
        <v>1</v>
      </c>
      <c r="M22" s="228"/>
      <c r="N22" s="228"/>
      <c r="O22" s="274" t="s">
        <v>18</v>
      </c>
      <c r="P22" s="275">
        <f>SUMIF($D$8:$D$55,$O22,$G$8:$G$55)+SUMIF($F$8:$F$55,$O22,$I$8:$I$55)</f>
        <v>2</v>
      </c>
      <c r="Q22" s="275">
        <f>SUMIF($D$8:$D$55,$O22,$I$8:$I$55)+SUMIF($F$8:$F$55,$O22,$G$8:$G$55)</f>
        <v>5</v>
      </c>
      <c r="R22" s="275">
        <f>P22-Q22</f>
        <v>-3</v>
      </c>
      <c r="S22" s="276">
        <f>SUMIF($D$8:$D$55,$O22,$K$8:$K$55)+SUMIF($F$8:$F$55,$O22,$L$8:$L$55)</f>
        <v>3</v>
      </c>
      <c r="T22" s="321" t="s">
        <v>59</v>
      </c>
      <c r="U22" s="40"/>
      <c r="V22" s="40" t="str">
        <f>O22</f>
        <v>Griekenland</v>
      </c>
      <c r="W22" s="40" t="s">
        <v>58</v>
      </c>
      <c r="Y22" s="109">
        <f t="shared" si="8"/>
        <v>1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1</v>
      </c>
      <c r="AG22" s="108">
        <f t="shared" si="0"/>
        <v>1</v>
      </c>
      <c r="AH22" s="108">
        <f t="shared" si="1"/>
        <v>0</v>
      </c>
      <c r="AI22" s="108">
        <f t="shared" si="10"/>
        <v>0</v>
      </c>
      <c r="AJ22" s="108">
        <f t="shared" si="2"/>
        <v>0</v>
      </c>
      <c r="AK22" s="108">
        <f t="shared" si="3"/>
        <v>0</v>
      </c>
      <c r="AL22" s="108">
        <f t="shared" si="4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246">
        <v>16</v>
      </c>
      <c r="C23" s="247">
        <v>41807</v>
      </c>
      <c r="D23" s="248" t="s">
        <v>8</v>
      </c>
      <c r="E23" s="249" t="s">
        <v>9</v>
      </c>
      <c r="F23" s="258" t="s">
        <v>11</v>
      </c>
      <c r="G23" s="312">
        <v>3</v>
      </c>
      <c r="H23" s="249" t="s">
        <v>9</v>
      </c>
      <c r="I23" s="317">
        <v>0</v>
      </c>
      <c r="J23" s="251">
        <f t="shared" si="5"/>
        <v>1</v>
      </c>
      <c r="K23" s="239">
        <f t="shared" si="6"/>
        <v>3</v>
      </c>
      <c r="L23" s="239">
        <f t="shared" si="7"/>
        <v>0</v>
      </c>
      <c r="M23" s="228"/>
      <c r="N23" s="228"/>
      <c r="O23" s="274" t="s">
        <v>23</v>
      </c>
      <c r="P23" s="275">
        <f>SUMIF($D$8:$D$55,$O23,$G$8:$G$55)+SUMIF($F$8:$F$55,$O23,$I$8:$I$55)</f>
        <v>0</v>
      </c>
      <c r="Q23" s="275">
        <f>SUMIF($D$8:$D$55,$O23,$I$8:$I$55)+SUMIF($F$8:$F$55,$O23,$G$8:$G$55)</f>
        <v>5</v>
      </c>
      <c r="R23" s="275">
        <f>P23-Q23</f>
        <v>-5</v>
      </c>
      <c r="S23" s="276">
        <f>SUMIF($D$8:$D$55,$O23,$K$8:$K$55)+SUMIF($F$8:$F$55,$O23,$L$8:$L$55)</f>
        <v>0</v>
      </c>
      <c r="T23" s="321" t="s">
        <v>60</v>
      </c>
      <c r="U23" s="40"/>
      <c r="V23" s="40" t="str">
        <f>O23</f>
        <v>Ivoorkust</v>
      </c>
      <c r="W23" s="40" t="s">
        <v>59</v>
      </c>
      <c r="Y23" s="109">
        <f t="shared" si="8"/>
        <v>1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1</v>
      </c>
      <c r="AG23" s="108">
        <f t="shared" si="0"/>
        <v>0</v>
      </c>
      <c r="AH23" s="108">
        <f t="shared" si="1"/>
        <v>1</v>
      </c>
      <c r="AI23" s="108">
        <f t="shared" si="10"/>
        <v>0</v>
      </c>
      <c r="AJ23" s="108">
        <f t="shared" si="2"/>
        <v>0</v>
      </c>
      <c r="AK23" s="108">
        <f t="shared" si="3"/>
        <v>0</v>
      </c>
      <c r="AL23" s="108">
        <f t="shared" si="4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252">
        <v>17</v>
      </c>
      <c r="C24" s="253">
        <v>41807</v>
      </c>
      <c r="D24" s="254" t="s">
        <v>39</v>
      </c>
      <c r="E24" s="255" t="s">
        <v>9</v>
      </c>
      <c r="F24" s="256" t="s">
        <v>40</v>
      </c>
      <c r="G24" s="313">
        <v>2</v>
      </c>
      <c r="H24" s="255" t="s">
        <v>9</v>
      </c>
      <c r="I24" s="318">
        <v>0</v>
      </c>
      <c r="J24" s="257">
        <f t="shared" si="5"/>
        <v>1</v>
      </c>
      <c r="K24" s="239">
        <f t="shared" si="6"/>
        <v>3</v>
      </c>
      <c r="L24" s="239">
        <f t="shared" si="7"/>
        <v>0</v>
      </c>
      <c r="M24" s="228"/>
      <c r="N24" s="228"/>
      <c r="O24" s="277" t="s">
        <v>24</v>
      </c>
      <c r="P24" s="278">
        <f>SUMIF($D$8:$D$55,$O24,$G$8:$G$55)+SUMIF($F$8:$F$55,$O24,$I$8:$I$55)</f>
        <v>5</v>
      </c>
      <c r="Q24" s="278">
        <f>SUMIF($D$8:$D$55,$O24,$I$8:$I$55)+SUMIF($F$8:$F$55,$O24,$G$8:$G$55)</f>
        <v>2</v>
      </c>
      <c r="R24" s="278">
        <f>P24-Q24</f>
        <v>3</v>
      </c>
      <c r="S24" s="279">
        <f>SUMIF($D$8:$D$55,$O24,$K$8:$K$55)+SUMIF($F$8:$F$55,$O24,$L$8:$L$55)</f>
        <v>6</v>
      </c>
      <c r="T24" s="322" t="s">
        <v>58</v>
      </c>
      <c r="U24" s="40"/>
      <c r="V24" s="40" t="str">
        <f>O24</f>
        <v>Japan</v>
      </c>
      <c r="W24" s="40" t="s">
        <v>60</v>
      </c>
      <c r="Y24" s="109">
        <f t="shared" si="8"/>
        <v>0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0</v>
      </c>
      <c r="AG24" s="108">
        <f t="shared" si="0"/>
        <v>0</v>
      </c>
      <c r="AH24" s="108">
        <f t="shared" si="1"/>
        <v>0</v>
      </c>
      <c r="AI24" s="108">
        <f t="shared" si="10"/>
        <v>0</v>
      </c>
      <c r="AJ24" s="108">
        <f t="shared" si="2"/>
        <v>0</v>
      </c>
      <c r="AK24" s="108">
        <f t="shared" si="3"/>
        <v>0</v>
      </c>
      <c r="AL24" s="108">
        <f t="shared" si="4"/>
        <v>0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240">
        <v>18</v>
      </c>
      <c r="C25" s="241">
        <v>41808</v>
      </c>
      <c r="D25" s="242" t="s">
        <v>16</v>
      </c>
      <c r="E25" s="243" t="s">
        <v>9</v>
      </c>
      <c r="F25" s="259" t="s">
        <v>14</v>
      </c>
      <c r="G25" s="311">
        <v>1</v>
      </c>
      <c r="H25" s="243" t="s">
        <v>9</v>
      </c>
      <c r="I25" s="316">
        <v>3</v>
      </c>
      <c r="J25" s="245">
        <f t="shared" si="5"/>
        <v>2</v>
      </c>
      <c r="K25" s="239">
        <f t="shared" si="6"/>
        <v>0</v>
      </c>
      <c r="L25" s="239">
        <f t="shared" si="7"/>
        <v>3</v>
      </c>
      <c r="M25" s="228"/>
      <c r="N25" s="228"/>
      <c r="O25" s="268"/>
      <c r="P25" s="269"/>
      <c r="Q25" s="269"/>
      <c r="R25" s="269"/>
      <c r="S25" s="269"/>
      <c r="T25" s="269"/>
      <c r="U25" s="40"/>
      <c r="V25" s="40"/>
      <c r="W25" s="40"/>
      <c r="Y25" s="109">
        <f t="shared" si="8"/>
        <v>6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6</v>
      </c>
      <c r="AG25" s="108">
        <f t="shared" si="0"/>
        <v>0</v>
      </c>
      <c r="AH25" s="108">
        <f t="shared" si="1"/>
        <v>1</v>
      </c>
      <c r="AI25" s="108">
        <f t="shared" si="10"/>
        <v>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40"/>
      <c r="AO25" s="41"/>
    </row>
    <row r="26" spans="2:41" ht="15.75" thickBot="1">
      <c r="B26" s="246">
        <v>19</v>
      </c>
      <c r="C26" s="247">
        <v>41808</v>
      </c>
      <c r="D26" s="248" t="s">
        <v>13</v>
      </c>
      <c r="E26" s="249" t="s">
        <v>9</v>
      </c>
      <c r="F26" s="258" t="s">
        <v>15</v>
      </c>
      <c r="G26" s="312">
        <v>2</v>
      </c>
      <c r="H26" s="249" t="s">
        <v>9</v>
      </c>
      <c r="I26" s="317">
        <v>1</v>
      </c>
      <c r="J26" s="251">
        <f t="shared" si="5"/>
        <v>1</v>
      </c>
      <c r="K26" s="239">
        <f t="shared" si="6"/>
        <v>3</v>
      </c>
      <c r="L26" s="239">
        <f t="shared" si="7"/>
        <v>0</v>
      </c>
      <c r="M26" s="228"/>
      <c r="N26" s="228"/>
      <c r="O26" s="298" t="s">
        <v>61</v>
      </c>
      <c r="P26" s="299" t="s">
        <v>42</v>
      </c>
      <c r="Q26" s="299" t="s">
        <v>43</v>
      </c>
      <c r="R26" s="300" t="s">
        <v>44</v>
      </c>
      <c r="S26" s="301" t="s">
        <v>45</v>
      </c>
      <c r="T26" s="302" t="s">
        <v>46</v>
      </c>
      <c r="U26" s="40"/>
      <c r="V26" s="40"/>
      <c r="W26" s="40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0"/>
        <v>0</v>
      </c>
      <c r="AH26" s="108">
        <f t="shared" si="1"/>
        <v>0</v>
      </c>
      <c r="AI26" s="108">
        <f t="shared" si="10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252">
        <v>20</v>
      </c>
      <c r="C27" s="253">
        <v>41808</v>
      </c>
      <c r="D27" s="254" t="s">
        <v>12</v>
      </c>
      <c r="E27" s="255" t="s">
        <v>9</v>
      </c>
      <c r="F27" s="256" t="s">
        <v>10</v>
      </c>
      <c r="G27" s="313">
        <v>1</v>
      </c>
      <c r="H27" s="255" t="s">
        <v>9</v>
      </c>
      <c r="I27" s="318">
        <v>2</v>
      </c>
      <c r="J27" s="257">
        <f t="shared" si="5"/>
        <v>2</v>
      </c>
      <c r="K27" s="239">
        <f t="shared" si="6"/>
        <v>0</v>
      </c>
      <c r="L27" s="239">
        <f t="shared" si="7"/>
        <v>3</v>
      </c>
      <c r="M27" s="228"/>
      <c r="N27" s="228"/>
      <c r="O27" s="270" t="s">
        <v>19</v>
      </c>
      <c r="P27" s="271">
        <f>SUMIF($D$8:$D$55,$O27,$G$8:$G$55)+SUMIF($F$8:$F$55,$O27,$I$8:$I$55)</f>
        <v>4</v>
      </c>
      <c r="Q27" s="271">
        <f>SUMIF($D$8:$D$55,$O27,$I$8:$I$55)+SUMIF($F$8:$F$55,$O27,$G$8:$G$55)</f>
        <v>5</v>
      </c>
      <c r="R27" s="272">
        <f>P27-Q27</f>
        <v>-1</v>
      </c>
      <c r="S27" s="273">
        <f>SUMIF($D$8:$D$55,$O27,$K$8:$K$55)+SUMIF($F$8:$F$55,$O27,$L$8:$L$55)</f>
        <v>3</v>
      </c>
      <c r="T27" s="320" t="s">
        <v>64</v>
      </c>
      <c r="U27" s="40"/>
      <c r="V27" s="40" t="str">
        <f>O27</f>
        <v>Uruguay</v>
      </c>
      <c r="W27" s="40" t="s">
        <v>62</v>
      </c>
      <c r="Y27" s="109">
        <f t="shared" si="8"/>
        <v>5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5</v>
      </c>
      <c r="AG27" s="108">
        <f t="shared" si="0"/>
        <v>0</v>
      </c>
      <c r="AH27" s="108">
        <f t="shared" si="1"/>
        <v>0</v>
      </c>
      <c r="AI27" s="108">
        <f t="shared" si="10"/>
        <v>0</v>
      </c>
      <c r="AJ27" s="108">
        <f t="shared" si="2"/>
        <v>0</v>
      </c>
      <c r="AK27" s="108">
        <f t="shared" si="3"/>
        <v>5</v>
      </c>
      <c r="AL27" s="108">
        <f t="shared" si="4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240">
        <v>21</v>
      </c>
      <c r="C28" s="241">
        <v>41809</v>
      </c>
      <c r="D28" s="242" t="s">
        <v>17</v>
      </c>
      <c r="E28" s="243" t="s">
        <v>9</v>
      </c>
      <c r="F28" s="244" t="s">
        <v>23</v>
      </c>
      <c r="G28" s="311">
        <v>2</v>
      </c>
      <c r="H28" s="243" t="s">
        <v>9</v>
      </c>
      <c r="I28" s="316">
        <v>0</v>
      </c>
      <c r="J28" s="245">
        <f t="shared" si="5"/>
        <v>1</v>
      </c>
      <c r="K28" s="239">
        <f t="shared" si="6"/>
        <v>3</v>
      </c>
      <c r="L28" s="239">
        <f t="shared" si="7"/>
        <v>0</v>
      </c>
      <c r="M28" s="228"/>
      <c r="N28" s="228"/>
      <c r="O28" s="274" t="s">
        <v>20</v>
      </c>
      <c r="P28" s="275">
        <f>SUMIF($D$8:$D$55,$O28,$G$8:$G$55)+SUMIF($F$8:$F$55,$O28,$I$8:$I$55)</f>
        <v>0</v>
      </c>
      <c r="Q28" s="275">
        <f>SUMIF($D$8:$D$55,$O28,$I$8:$I$55)+SUMIF($F$8:$F$55,$O28,$G$8:$G$55)</f>
        <v>6</v>
      </c>
      <c r="R28" s="275">
        <f>P28-Q28</f>
        <v>-6</v>
      </c>
      <c r="S28" s="276">
        <f>SUMIF($D$8:$D$55,$O28,$K$8:$K$55)+SUMIF($F$8:$F$55,$O28,$L$8:$L$55)</f>
        <v>0</v>
      </c>
      <c r="T28" s="321" t="s">
        <v>65</v>
      </c>
      <c r="U28" s="40"/>
      <c r="V28" s="40" t="str">
        <f>O28</f>
        <v>Costa Rica</v>
      </c>
      <c r="W28" s="40" t="s">
        <v>63</v>
      </c>
      <c r="Y28" s="109">
        <f t="shared" si="8"/>
        <v>6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6</v>
      </c>
      <c r="AG28" s="108">
        <f t="shared" si="0"/>
        <v>1</v>
      </c>
      <c r="AH28" s="108">
        <f t="shared" si="1"/>
        <v>0</v>
      </c>
      <c r="AI28" s="108">
        <f t="shared" si="10"/>
        <v>0</v>
      </c>
      <c r="AJ28" s="108">
        <f t="shared" si="2"/>
        <v>5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246">
        <v>22</v>
      </c>
      <c r="C29" s="247">
        <v>41809</v>
      </c>
      <c r="D29" s="248" t="s">
        <v>19</v>
      </c>
      <c r="E29" s="249" t="s">
        <v>9</v>
      </c>
      <c r="F29" s="258" t="s">
        <v>21</v>
      </c>
      <c r="G29" s="312">
        <v>1</v>
      </c>
      <c r="H29" s="249" t="s">
        <v>9</v>
      </c>
      <c r="I29" s="317">
        <v>3</v>
      </c>
      <c r="J29" s="251">
        <f t="shared" si="5"/>
        <v>2</v>
      </c>
      <c r="K29" s="239">
        <f t="shared" si="6"/>
        <v>0</v>
      </c>
      <c r="L29" s="239">
        <f t="shared" si="7"/>
        <v>3</v>
      </c>
      <c r="M29" s="228"/>
      <c r="N29" s="228"/>
      <c r="O29" s="274" t="s">
        <v>21</v>
      </c>
      <c r="P29" s="275">
        <f>SUMIF($D$8:$D$55,$O29,$G$8:$G$55)+SUMIF($F$8:$F$55,$O29,$I$8:$I$55)</f>
        <v>6</v>
      </c>
      <c r="Q29" s="275">
        <f>SUMIF($D$8:$D$55,$O29,$I$8:$I$55)+SUMIF($F$8:$F$55,$O29,$G$8:$G$55)</f>
        <v>2</v>
      </c>
      <c r="R29" s="275">
        <f>P29-Q29</f>
        <v>4</v>
      </c>
      <c r="S29" s="276">
        <f>SUMIF($D$8:$D$55,$O29,$K$8:$K$55)+SUMIF($F$8:$F$55,$O29,$L$8:$L$55)</f>
        <v>7</v>
      </c>
      <c r="T29" s="321" t="s">
        <v>62</v>
      </c>
      <c r="U29" s="40"/>
      <c r="V29" s="40" t="str">
        <f>O29</f>
        <v>Engeland</v>
      </c>
      <c r="W29" s="40" t="s">
        <v>64</v>
      </c>
      <c r="Y29" s="109">
        <f t="shared" si="8"/>
        <v>0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0</v>
      </c>
      <c r="AG29" s="108">
        <f t="shared" si="0"/>
        <v>0</v>
      </c>
      <c r="AH29" s="108">
        <f t="shared" si="1"/>
        <v>0</v>
      </c>
      <c r="AI29" s="108">
        <f t="shared" si="10"/>
        <v>0</v>
      </c>
      <c r="AJ29" s="108">
        <f t="shared" si="2"/>
        <v>0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252">
        <v>23</v>
      </c>
      <c r="C30" s="253">
        <v>41809</v>
      </c>
      <c r="D30" s="254" t="s">
        <v>24</v>
      </c>
      <c r="E30" s="255" t="s">
        <v>9</v>
      </c>
      <c r="F30" s="256" t="s">
        <v>18</v>
      </c>
      <c r="G30" s="313">
        <v>2</v>
      </c>
      <c r="H30" s="255" t="s">
        <v>9</v>
      </c>
      <c r="I30" s="318">
        <v>0</v>
      </c>
      <c r="J30" s="257">
        <f t="shared" si="5"/>
        <v>1</v>
      </c>
      <c r="K30" s="239">
        <f t="shared" si="6"/>
        <v>3</v>
      </c>
      <c r="L30" s="239">
        <f t="shared" si="7"/>
        <v>0</v>
      </c>
      <c r="M30" s="228"/>
      <c r="N30" s="228"/>
      <c r="O30" s="277" t="s">
        <v>22</v>
      </c>
      <c r="P30" s="278">
        <f>SUMIF($D$8:$D$55,$O30,$G$8:$G$55)+SUMIF($F$8:$F$55,$O30,$I$8:$I$55)</f>
        <v>5</v>
      </c>
      <c r="Q30" s="278">
        <f>SUMIF($D$8:$D$55,$O30,$I$8:$I$55)+SUMIF($F$8:$F$55,$O30,$G$8:$G$55)</f>
        <v>2</v>
      </c>
      <c r="R30" s="278">
        <f>P30-Q30</f>
        <v>3</v>
      </c>
      <c r="S30" s="279">
        <f>SUMIF($D$8:$D$55,$O30,$K$8:$K$55)+SUMIF($F$8:$F$55,$O30,$L$8:$L$55)</f>
        <v>7</v>
      </c>
      <c r="T30" s="322" t="s">
        <v>63</v>
      </c>
      <c r="U30" s="40"/>
      <c r="V30" s="40" t="str">
        <f>O30</f>
        <v>Italië</v>
      </c>
      <c r="W30" s="40" t="s">
        <v>65</v>
      </c>
      <c r="Y30" s="109">
        <f t="shared" si="8"/>
        <v>1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1</v>
      </c>
      <c r="AG30" s="108">
        <f t="shared" si="0"/>
        <v>0</v>
      </c>
      <c r="AH30" s="108">
        <f t="shared" si="1"/>
        <v>1</v>
      </c>
      <c r="AI30" s="108">
        <f t="shared" si="10"/>
        <v>0</v>
      </c>
      <c r="AJ30" s="108">
        <f t="shared" si="2"/>
        <v>0</v>
      </c>
      <c r="AK30" s="108">
        <f t="shared" si="3"/>
        <v>0</v>
      </c>
      <c r="AL30" s="108">
        <f t="shared" si="4"/>
        <v>0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240">
        <v>24</v>
      </c>
      <c r="C31" s="241">
        <v>41810</v>
      </c>
      <c r="D31" s="242" t="s">
        <v>22</v>
      </c>
      <c r="E31" s="243" t="s">
        <v>9</v>
      </c>
      <c r="F31" s="244" t="s">
        <v>20</v>
      </c>
      <c r="G31" s="311">
        <v>2</v>
      </c>
      <c r="H31" s="243" t="s">
        <v>9</v>
      </c>
      <c r="I31" s="316">
        <v>0</v>
      </c>
      <c r="J31" s="245">
        <f t="shared" si="5"/>
        <v>1</v>
      </c>
      <c r="K31" s="239">
        <f t="shared" si="6"/>
        <v>3</v>
      </c>
      <c r="L31" s="239">
        <f t="shared" si="7"/>
        <v>0</v>
      </c>
      <c r="M31" s="228"/>
      <c r="N31" s="228"/>
      <c r="O31" s="268"/>
      <c r="P31" s="269"/>
      <c r="Q31" s="269"/>
      <c r="R31" s="269"/>
      <c r="S31" s="269"/>
      <c r="T31" s="269"/>
      <c r="U31" s="40"/>
      <c r="V31" s="40"/>
      <c r="W31" s="40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0"/>
        <v>0</v>
      </c>
      <c r="AH31" s="108">
        <f t="shared" si="1"/>
        <v>0</v>
      </c>
      <c r="AI31" s="108">
        <f t="shared" si="10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40"/>
      <c r="AO31" s="41"/>
    </row>
    <row r="32" spans="2:41" ht="15.75" thickBot="1">
      <c r="B32" s="246">
        <v>25</v>
      </c>
      <c r="C32" s="247">
        <v>41810</v>
      </c>
      <c r="D32" s="248" t="s">
        <v>25</v>
      </c>
      <c r="E32" s="249" t="s">
        <v>9</v>
      </c>
      <c r="F32" s="258" t="s">
        <v>27</v>
      </c>
      <c r="G32" s="312">
        <v>1</v>
      </c>
      <c r="H32" s="249" t="s">
        <v>9</v>
      </c>
      <c r="I32" s="317">
        <v>1</v>
      </c>
      <c r="J32" s="251">
        <f t="shared" si="5"/>
        <v>3</v>
      </c>
      <c r="K32" s="239">
        <f t="shared" si="6"/>
        <v>1</v>
      </c>
      <c r="L32" s="239">
        <f t="shared" si="7"/>
        <v>1</v>
      </c>
      <c r="M32" s="228"/>
      <c r="N32" s="228"/>
      <c r="O32" s="298" t="s">
        <v>66</v>
      </c>
      <c r="P32" s="299" t="s">
        <v>42</v>
      </c>
      <c r="Q32" s="299" t="s">
        <v>43</v>
      </c>
      <c r="R32" s="300" t="s">
        <v>44</v>
      </c>
      <c r="S32" s="301" t="s">
        <v>45</v>
      </c>
      <c r="T32" s="302" t="s">
        <v>46</v>
      </c>
      <c r="U32" s="40"/>
      <c r="V32" s="40"/>
      <c r="W32" s="40"/>
      <c r="Y32" s="109">
        <f t="shared" si="8"/>
        <v>0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0</v>
      </c>
      <c r="AG32" s="108">
        <f t="shared" si="0"/>
        <v>0</v>
      </c>
      <c r="AH32" s="108">
        <f t="shared" si="1"/>
        <v>0</v>
      </c>
      <c r="AI32" s="108">
        <f t="shared" si="10"/>
        <v>0</v>
      </c>
      <c r="AJ32" s="108">
        <f t="shared" si="2"/>
        <v>0</v>
      </c>
      <c r="AK32" s="108">
        <f t="shared" si="3"/>
        <v>0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252">
        <v>26</v>
      </c>
      <c r="C33" s="253">
        <v>41810</v>
      </c>
      <c r="D33" s="254" t="s">
        <v>28</v>
      </c>
      <c r="E33" s="255" t="s">
        <v>9</v>
      </c>
      <c r="F33" s="256" t="s">
        <v>26</v>
      </c>
      <c r="G33" s="313">
        <v>2</v>
      </c>
      <c r="H33" s="255" t="s">
        <v>9</v>
      </c>
      <c r="I33" s="318">
        <v>2</v>
      </c>
      <c r="J33" s="257">
        <f t="shared" si="5"/>
        <v>3</v>
      </c>
      <c r="K33" s="239">
        <f t="shared" si="6"/>
        <v>1</v>
      </c>
      <c r="L33" s="239">
        <f t="shared" si="7"/>
        <v>1</v>
      </c>
      <c r="M33" s="228"/>
      <c r="N33" s="228"/>
      <c r="O33" s="270" t="s">
        <v>25</v>
      </c>
      <c r="P33" s="271">
        <f>SUMIF($D$8:$D$55,$O33,$G$8:$G$55)+SUMIF($F$8:$F$55,$O33,$I$8:$I$55)</f>
        <v>2</v>
      </c>
      <c r="Q33" s="271">
        <f>SUMIF($D$8:$D$55,$O33,$I$8:$I$55)+SUMIF($F$8:$F$55,$O33,$G$8:$G$55)</f>
        <v>3</v>
      </c>
      <c r="R33" s="272">
        <f>P33-Q33</f>
        <v>-1</v>
      </c>
      <c r="S33" s="273">
        <f>SUMIF($D$8:$D$55,$O33,$K$8:$K$55)+SUMIF($F$8:$F$55,$O33,$L$8:$L$55)</f>
        <v>2</v>
      </c>
      <c r="T33" s="320" t="s">
        <v>69</v>
      </c>
      <c r="U33" s="40"/>
      <c r="V33" s="40" t="str">
        <f>O33</f>
        <v>Zwitserland</v>
      </c>
      <c r="W33" s="40" t="s">
        <v>67</v>
      </c>
      <c r="Y33" s="109">
        <f t="shared" si="8"/>
        <v>1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1</v>
      </c>
      <c r="AG33" s="108">
        <f t="shared" si="0"/>
        <v>0</v>
      </c>
      <c r="AH33" s="108">
        <f t="shared" si="1"/>
        <v>1</v>
      </c>
      <c r="AI33" s="108">
        <f t="shared" si="10"/>
        <v>0</v>
      </c>
      <c r="AJ33" s="108">
        <f t="shared" si="2"/>
        <v>0</v>
      </c>
      <c r="AK33" s="108">
        <f t="shared" si="3"/>
        <v>0</v>
      </c>
      <c r="AL33" s="108">
        <f t="shared" si="4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240">
        <v>27</v>
      </c>
      <c r="C34" s="241">
        <v>41811</v>
      </c>
      <c r="D34" s="242" t="s">
        <v>29</v>
      </c>
      <c r="E34" s="243" t="s">
        <v>9</v>
      </c>
      <c r="F34" s="244" t="s">
        <v>33</v>
      </c>
      <c r="G34" s="311">
        <v>4</v>
      </c>
      <c r="H34" s="243" t="s">
        <v>9</v>
      </c>
      <c r="I34" s="316">
        <v>1</v>
      </c>
      <c r="J34" s="245">
        <f t="shared" si="5"/>
        <v>1</v>
      </c>
      <c r="K34" s="239">
        <f t="shared" si="6"/>
        <v>3</v>
      </c>
      <c r="L34" s="239">
        <f t="shared" si="7"/>
        <v>0</v>
      </c>
      <c r="M34" s="228"/>
      <c r="N34" s="228"/>
      <c r="O34" s="274" t="s">
        <v>26</v>
      </c>
      <c r="P34" s="275">
        <f>SUMIF($D$8:$D$55,$O34,$G$8:$G$55)+SUMIF($F$8:$F$55,$O34,$I$8:$I$55)</f>
        <v>4</v>
      </c>
      <c r="Q34" s="275">
        <f>SUMIF($D$8:$D$55,$O34,$I$8:$I$55)+SUMIF($F$8:$F$55,$O34,$G$8:$G$55)</f>
        <v>6</v>
      </c>
      <c r="R34" s="275">
        <f>P34-Q34</f>
        <v>-2</v>
      </c>
      <c r="S34" s="276">
        <f>SUMIF($D$8:$D$55,$O34,$K$8:$K$55)+SUMIF($F$8:$F$55,$O34,$L$8:$L$55)</f>
        <v>4</v>
      </c>
      <c r="T34" s="321" t="s">
        <v>68</v>
      </c>
      <c r="U34" s="40"/>
      <c r="V34" s="40" t="str">
        <f>O34</f>
        <v>Ecuador</v>
      </c>
      <c r="W34" s="40" t="s">
        <v>68</v>
      </c>
      <c r="Y34" s="109">
        <f t="shared" si="8"/>
        <v>5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5</v>
      </c>
      <c r="AG34" s="108">
        <f t="shared" si="0"/>
        <v>0</v>
      </c>
      <c r="AH34" s="108">
        <f t="shared" si="1"/>
        <v>0</v>
      </c>
      <c r="AI34" s="108">
        <f t="shared" si="10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246">
        <v>28</v>
      </c>
      <c r="C35" s="247">
        <v>41811</v>
      </c>
      <c r="D35" s="248" t="s">
        <v>31</v>
      </c>
      <c r="E35" s="249" t="s">
        <v>9</v>
      </c>
      <c r="F35" s="258" t="s">
        <v>35</v>
      </c>
      <c r="G35" s="312">
        <v>2</v>
      </c>
      <c r="H35" s="249" t="s">
        <v>9</v>
      </c>
      <c r="I35" s="317">
        <v>1</v>
      </c>
      <c r="J35" s="251">
        <f t="shared" si="5"/>
        <v>1</v>
      </c>
      <c r="K35" s="239">
        <f t="shared" si="6"/>
        <v>3</v>
      </c>
      <c r="L35" s="239">
        <f t="shared" si="7"/>
        <v>0</v>
      </c>
      <c r="M35" s="228"/>
      <c r="N35" s="228"/>
      <c r="O35" s="274" t="s">
        <v>27</v>
      </c>
      <c r="P35" s="275">
        <f>SUMIF($D$8:$D$55,$O35,$G$8:$G$55)+SUMIF($F$8:$F$55,$O35,$I$8:$I$55)</f>
        <v>6</v>
      </c>
      <c r="Q35" s="275">
        <f>SUMIF($D$8:$D$55,$O35,$I$8:$I$55)+SUMIF($F$8:$F$55,$O35,$G$8:$G$55)</f>
        <v>1</v>
      </c>
      <c r="R35" s="275">
        <f>P35-Q35</f>
        <v>5</v>
      </c>
      <c r="S35" s="276">
        <f>SUMIF($D$8:$D$55,$O35,$K$8:$K$55)+SUMIF($F$8:$F$55,$O35,$L$8:$L$55)</f>
        <v>7</v>
      </c>
      <c r="T35" s="321" t="s">
        <v>67</v>
      </c>
      <c r="U35" s="40"/>
      <c r="V35" s="40" t="str">
        <f>O35</f>
        <v>Frankrijk</v>
      </c>
      <c r="W35" s="40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0"/>
        <v>1</v>
      </c>
      <c r="AH35" s="108">
        <f t="shared" si="1"/>
        <v>0</v>
      </c>
      <c r="AI35" s="108">
        <f t="shared" si="10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252">
        <v>29</v>
      </c>
      <c r="C36" s="253">
        <v>41811</v>
      </c>
      <c r="D36" s="254" t="s">
        <v>34</v>
      </c>
      <c r="E36" s="255" t="s">
        <v>9</v>
      </c>
      <c r="F36" s="256" t="s">
        <v>30</v>
      </c>
      <c r="G36" s="313">
        <v>2</v>
      </c>
      <c r="H36" s="255" t="s">
        <v>9</v>
      </c>
      <c r="I36" s="318">
        <v>0</v>
      </c>
      <c r="J36" s="257">
        <f t="shared" si="5"/>
        <v>1</v>
      </c>
      <c r="K36" s="239">
        <f t="shared" si="6"/>
        <v>3</v>
      </c>
      <c r="L36" s="239">
        <f t="shared" si="7"/>
        <v>0</v>
      </c>
      <c r="M36" s="228"/>
      <c r="N36" s="228"/>
      <c r="O36" s="277" t="s">
        <v>28</v>
      </c>
      <c r="P36" s="278">
        <f>SUMIF($D$8:$D$55,$O36,$G$8:$G$55)+SUMIF($F$8:$F$55,$O36,$I$8:$I$55)</f>
        <v>2</v>
      </c>
      <c r="Q36" s="278">
        <f>SUMIF($D$8:$D$55,$O36,$I$8:$I$55)+SUMIF($F$8:$F$55,$O36,$G$8:$G$55)</f>
        <v>4</v>
      </c>
      <c r="R36" s="278">
        <f>P36-Q36</f>
        <v>-2</v>
      </c>
      <c r="S36" s="279">
        <f>SUMIF($D$8:$D$55,$O36,$K$8:$K$55)+SUMIF($F$8:$F$55,$O36,$L$8:$L$55)</f>
        <v>2</v>
      </c>
      <c r="T36" s="322" t="s">
        <v>70</v>
      </c>
      <c r="U36" s="40"/>
      <c r="V36" s="40" t="str">
        <f>O36</f>
        <v>Honduras</v>
      </c>
      <c r="W36" s="40" t="s">
        <v>70</v>
      </c>
      <c r="Y36" s="109">
        <f t="shared" si="8"/>
        <v>6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6</v>
      </c>
      <c r="AG36" s="108">
        <f t="shared" si="0"/>
        <v>0</v>
      </c>
      <c r="AH36" s="108">
        <f t="shared" si="1"/>
        <v>1</v>
      </c>
      <c r="AI36" s="108">
        <f t="shared" si="10"/>
        <v>0</v>
      </c>
      <c r="AJ36" s="108">
        <f t="shared" si="2"/>
        <v>5</v>
      </c>
      <c r="AK36" s="108">
        <f t="shared" si="3"/>
        <v>0</v>
      </c>
      <c r="AL36" s="108">
        <f t="shared" si="4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240">
        <v>30</v>
      </c>
      <c r="C37" s="241">
        <v>41812</v>
      </c>
      <c r="D37" s="242" t="s">
        <v>37</v>
      </c>
      <c r="E37" s="243" t="s">
        <v>9</v>
      </c>
      <c r="F37" s="244" t="s">
        <v>39</v>
      </c>
      <c r="G37" s="311">
        <v>0</v>
      </c>
      <c r="H37" s="243" t="s">
        <v>9</v>
      </c>
      <c r="I37" s="316">
        <v>2</v>
      </c>
      <c r="J37" s="245">
        <f t="shared" si="5"/>
        <v>2</v>
      </c>
      <c r="K37" s="239">
        <f t="shared" si="6"/>
        <v>0</v>
      </c>
      <c r="L37" s="239">
        <f t="shared" si="7"/>
        <v>3</v>
      </c>
      <c r="M37" s="228"/>
      <c r="N37" s="228"/>
      <c r="O37" s="268"/>
      <c r="P37" s="269"/>
      <c r="Q37" s="269"/>
      <c r="R37" s="269"/>
      <c r="S37" s="269"/>
      <c r="T37" s="269"/>
      <c r="U37" s="40"/>
      <c r="V37" s="40"/>
      <c r="W37" s="40"/>
      <c r="Y37" s="109">
        <f t="shared" si="8"/>
        <v>0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0</v>
      </c>
      <c r="AG37" s="108">
        <f t="shared" si="0"/>
        <v>0</v>
      </c>
      <c r="AH37" s="108">
        <f t="shared" si="1"/>
        <v>0</v>
      </c>
      <c r="AI37" s="108">
        <f t="shared" si="10"/>
        <v>0</v>
      </c>
      <c r="AJ37" s="108">
        <f t="shared" si="2"/>
        <v>0</v>
      </c>
      <c r="AK37" s="108">
        <f t="shared" si="3"/>
        <v>0</v>
      </c>
      <c r="AL37" s="108">
        <f t="shared" si="4"/>
        <v>0</v>
      </c>
      <c r="AN37" s="40"/>
      <c r="AO37" s="41"/>
    </row>
    <row r="38" spans="2:41" ht="15.75" thickBot="1">
      <c r="B38" s="246">
        <v>31</v>
      </c>
      <c r="C38" s="247">
        <v>41812</v>
      </c>
      <c r="D38" s="248" t="s">
        <v>40</v>
      </c>
      <c r="E38" s="249" t="s">
        <v>9</v>
      </c>
      <c r="F38" s="258" t="s">
        <v>38</v>
      </c>
      <c r="G38" s="312">
        <v>0</v>
      </c>
      <c r="H38" s="249" t="s">
        <v>9</v>
      </c>
      <c r="I38" s="317">
        <v>0</v>
      </c>
      <c r="J38" s="251">
        <f t="shared" si="5"/>
        <v>3</v>
      </c>
      <c r="K38" s="239">
        <f t="shared" si="6"/>
        <v>1</v>
      </c>
      <c r="L38" s="239">
        <f t="shared" si="7"/>
        <v>1</v>
      </c>
      <c r="M38" s="228"/>
      <c r="N38" s="228"/>
      <c r="O38" s="298" t="s">
        <v>71</v>
      </c>
      <c r="P38" s="299" t="s">
        <v>42</v>
      </c>
      <c r="Q38" s="299" t="s">
        <v>43</v>
      </c>
      <c r="R38" s="300" t="s">
        <v>44</v>
      </c>
      <c r="S38" s="301" t="s">
        <v>45</v>
      </c>
      <c r="T38" s="302" t="s">
        <v>46</v>
      </c>
      <c r="U38" s="40"/>
      <c r="V38" s="40"/>
      <c r="W38" s="40"/>
      <c r="Y38" s="109">
        <f t="shared" si="8"/>
        <v>0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0</v>
      </c>
      <c r="AG38" s="108">
        <f t="shared" si="0"/>
        <v>0</v>
      </c>
      <c r="AH38" s="108">
        <f t="shared" si="1"/>
        <v>0</v>
      </c>
      <c r="AI38" s="108">
        <f t="shared" si="10"/>
        <v>0</v>
      </c>
      <c r="AJ38" s="108">
        <f t="shared" si="2"/>
        <v>0</v>
      </c>
      <c r="AK38" s="108">
        <f t="shared" si="3"/>
        <v>0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252">
        <v>32</v>
      </c>
      <c r="C39" s="253">
        <v>41812</v>
      </c>
      <c r="D39" s="254" t="s">
        <v>36</v>
      </c>
      <c r="E39" s="255" t="s">
        <v>9</v>
      </c>
      <c r="F39" s="256" t="s">
        <v>32</v>
      </c>
      <c r="G39" s="313">
        <v>1</v>
      </c>
      <c r="H39" s="255" t="s">
        <v>9</v>
      </c>
      <c r="I39" s="318">
        <v>2</v>
      </c>
      <c r="J39" s="257">
        <f t="shared" si="5"/>
        <v>2</v>
      </c>
      <c r="K39" s="239">
        <f t="shared" si="6"/>
        <v>0</v>
      </c>
      <c r="L39" s="239">
        <f t="shared" si="7"/>
        <v>3</v>
      </c>
      <c r="M39" s="228"/>
      <c r="N39" s="228"/>
      <c r="O39" s="270" t="s">
        <v>29</v>
      </c>
      <c r="P39" s="271">
        <f>SUMIF($D$8:$D$55,$O39,$G$8:$G$55)+SUMIF($F$8:$F$55,$O39,$I$8:$I$55)</f>
        <v>9</v>
      </c>
      <c r="Q39" s="271">
        <f>SUMIF($D$8:$D$55,$O39,$I$8:$I$55)+SUMIF($F$8:$F$55,$O39,$G$8:$G$55)</f>
        <v>3</v>
      </c>
      <c r="R39" s="272">
        <f>P39-Q39</f>
        <v>6</v>
      </c>
      <c r="S39" s="273">
        <f>SUMIF($D$8:$D$55,$O39,$K$8:$K$55)+SUMIF($F$8:$F$55,$O39,$L$8:$L$55)</f>
        <v>9</v>
      </c>
      <c r="T39" s="320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1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1</v>
      </c>
      <c r="AG39" s="108">
        <f t="shared" si="0"/>
        <v>0</v>
      </c>
      <c r="AH39" s="108">
        <f t="shared" si="1"/>
        <v>1</v>
      </c>
      <c r="AI39" s="108">
        <f t="shared" si="10"/>
        <v>0</v>
      </c>
      <c r="AJ39" s="108">
        <f t="shared" si="2"/>
        <v>0</v>
      </c>
      <c r="AK39" s="108">
        <f t="shared" si="3"/>
        <v>0</v>
      </c>
      <c r="AL39" s="108">
        <f t="shared" si="4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240">
        <v>33</v>
      </c>
      <c r="C40" s="241">
        <v>41813</v>
      </c>
      <c r="D40" s="242" t="s">
        <v>16</v>
      </c>
      <c r="E40" s="243" t="s">
        <v>9</v>
      </c>
      <c r="F40" s="244" t="s">
        <v>13</v>
      </c>
      <c r="G40" s="311">
        <v>1</v>
      </c>
      <c r="H40" s="243" t="s">
        <v>9</v>
      </c>
      <c r="I40" s="316">
        <v>2</v>
      </c>
      <c r="J40" s="245">
        <f t="shared" si="5"/>
        <v>2</v>
      </c>
      <c r="K40" s="239">
        <f t="shared" si="6"/>
        <v>0</v>
      </c>
      <c r="L40" s="239">
        <f t="shared" si="7"/>
        <v>3</v>
      </c>
      <c r="M40" s="228"/>
      <c r="N40" s="228"/>
      <c r="O40" s="274" t="s">
        <v>30</v>
      </c>
      <c r="P40" s="275">
        <f>SUMIF($D$8:$D$55,$O40,$G$8:$G$55)+SUMIF($F$8:$F$55,$O40,$I$8:$I$55)</f>
        <v>3</v>
      </c>
      <c r="Q40" s="275">
        <f>SUMIF($D$8:$D$55,$O40,$I$8:$I$55)+SUMIF($F$8:$F$55,$O40,$G$8:$G$55)</f>
        <v>5</v>
      </c>
      <c r="R40" s="275">
        <f>P40-Q40</f>
        <v>-2</v>
      </c>
      <c r="S40" s="276">
        <f>SUMIF($D$8:$D$55,$O40,$K$8:$K$55)+SUMIF($F$8:$F$55,$O40,$L$8:$L$55)</f>
        <v>3</v>
      </c>
      <c r="T40" s="321" t="s">
        <v>74</v>
      </c>
      <c r="U40" s="40"/>
      <c r="V40" s="40" t="str">
        <f>O40</f>
        <v>Bosnië H.</v>
      </c>
      <c r="W40" s="40" t="s">
        <v>73</v>
      </c>
      <c r="Y40" s="109">
        <f t="shared" si="8"/>
        <v>5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5</v>
      </c>
      <c r="AG40" s="108">
        <f t="shared" si="0"/>
        <v>0</v>
      </c>
      <c r="AH40" s="108">
        <f t="shared" si="1"/>
        <v>0</v>
      </c>
      <c r="AI40" s="108">
        <f t="shared" si="10"/>
        <v>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246">
        <v>34</v>
      </c>
      <c r="C41" s="247">
        <v>41813</v>
      </c>
      <c r="D41" s="260" t="s">
        <v>14</v>
      </c>
      <c r="E41" s="249" t="s">
        <v>9</v>
      </c>
      <c r="F41" s="258" t="s">
        <v>15</v>
      </c>
      <c r="G41" s="312">
        <v>3</v>
      </c>
      <c r="H41" s="249" t="s">
        <v>9</v>
      </c>
      <c r="I41" s="317">
        <v>0</v>
      </c>
      <c r="J41" s="251">
        <f t="shared" si="5"/>
        <v>1</v>
      </c>
      <c r="K41" s="239">
        <f t="shared" si="6"/>
        <v>3</v>
      </c>
      <c r="L41" s="239">
        <f t="shared" si="7"/>
        <v>0</v>
      </c>
      <c r="M41" s="228"/>
      <c r="N41" s="228"/>
      <c r="O41" s="274" t="s">
        <v>33</v>
      </c>
      <c r="P41" s="275">
        <f>SUMIF($D$8:$D$55,$O41,$G$8:$G$55)+SUMIF($F$8:$F$55,$O41,$I$8:$I$55)</f>
        <v>2</v>
      </c>
      <c r="Q41" s="275">
        <f>SUMIF($D$8:$D$55,$O41,$I$8:$I$55)+SUMIF($F$8:$F$55,$O41,$G$8:$G$55)</f>
        <v>9</v>
      </c>
      <c r="R41" s="275">
        <f>P41-Q41</f>
        <v>-7</v>
      </c>
      <c r="S41" s="276">
        <f>SUMIF($D$8:$D$55,$O41,$K$8:$K$55)+SUMIF($F$8:$F$55,$O41,$L$8:$L$55)</f>
        <v>0</v>
      </c>
      <c r="T41" s="321" t="s">
        <v>75</v>
      </c>
      <c r="U41" s="40"/>
      <c r="V41" s="40" t="str">
        <f>O41</f>
        <v>Iran</v>
      </c>
      <c r="W41" s="40" t="s">
        <v>74</v>
      </c>
      <c r="Y41" s="109">
        <f t="shared" si="8"/>
        <v>6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6</v>
      </c>
      <c r="AG41" s="108">
        <f t="shared" si="0"/>
        <v>0</v>
      </c>
      <c r="AH41" s="108">
        <f t="shared" si="1"/>
        <v>1</v>
      </c>
      <c r="AI41" s="108">
        <f t="shared" si="10"/>
        <v>0</v>
      </c>
      <c r="AJ41" s="108">
        <f t="shared" si="2"/>
        <v>5</v>
      </c>
      <c r="AK41" s="108">
        <f t="shared" si="3"/>
        <v>0</v>
      </c>
      <c r="AL41" s="108">
        <f t="shared" si="4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246">
        <v>35</v>
      </c>
      <c r="C42" s="247">
        <v>41813</v>
      </c>
      <c r="D42" s="248" t="s">
        <v>12</v>
      </c>
      <c r="E42" s="249" t="s">
        <v>9</v>
      </c>
      <c r="F42" s="258" t="s">
        <v>8</v>
      </c>
      <c r="G42" s="312">
        <v>1</v>
      </c>
      <c r="H42" s="249" t="s">
        <v>9</v>
      </c>
      <c r="I42" s="317">
        <v>3</v>
      </c>
      <c r="J42" s="251">
        <f t="shared" si="5"/>
        <v>2</v>
      </c>
      <c r="K42" s="239">
        <f t="shared" si="6"/>
        <v>0</v>
      </c>
      <c r="L42" s="239">
        <f t="shared" si="7"/>
        <v>3</v>
      </c>
      <c r="M42" s="228"/>
      <c r="N42" s="228"/>
      <c r="O42" s="277" t="s">
        <v>34</v>
      </c>
      <c r="P42" s="278">
        <f>SUMIF($D$8:$D$55,$O42,$G$8:$G$55)+SUMIF($F$8:$F$55,$O42,$I$8:$I$55)</f>
        <v>6</v>
      </c>
      <c r="Q42" s="278">
        <f>SUMIF($D$8:$D$55,$O42,$I$8:$I$55)+SUMIF($F$8:$F$55,$O42,$G$8:$G$55)</f>
        <v>3</v>
      </c>
      <c r="R42" s="278">
        <f>P42-Q42</f>
        <v>3</v>
      </c>
      <c r="S42" s="279">
        <f>SUMIF($D$8:$D$55,$O42,$K$8:$K$55)+SUMIF($F$8:$F$55,$O42,$L$8:$L$55)</f>
        <v>6</v>
      </c>
      <c r="T42" s="322" t="s">
        <v>73</v>
      </c>
      <c r="U42" s="40"/>
      <c r="V42" s="40" t="str">
        <f>O42</f>
        <v>Nigeria</v>
      </c>
      <c r="W42" s="40" t="s">
        <v>75</v>
      </c>
      <c r="Y42" s="109">
        <f t="shared" si="8"/>
        <v>6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6</v>
      </c>
      <c r="AG42" s="108">
        <f t="shared" si="0"/>
        <v>1</v>
      </c>
      <c r="AH42" s="108">
        <f t="shared" si="1"/>
        <v>0</v>
      </c>
      <c r="AI42" s="108">
        <f t="shared" si="10"/>
        <v>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252">
        <v>36</v>
      </c>
      <c r="C43" s="253">
        <v>41813</v>
      </c>
      <c r="D43" s="254" t="s">
        <v>10</v>
      </c>
      <c r="E43" s="255" t="s">
        <v>9</v>
      </c>
      <c r="F43" s="256" t="s">
        <v>11</v>
      </c>
      <c r="G43" s="313">
        <v>2</v>
      </c>
      <c r="H43" s="255" t="s">
        <v>9</v>
      </c>
      <c r="I43" s="318">
        <v>2</v>
      </c>
      <c r="J43" s="257">
        <f t="shared" si="5"/>
        <v>3</v>
      </c>
      <c r="K43" s="239">
        <f t="shared" si="6"/>
        <v>1</v>
      </c>
      <c r="L43" s="239">
        <f t="shared" si="7"/>
        <v>1</v>
      </c>
      <c r="M43" s="228"/>
      <c r="N43" s="228"/>
      <c r="O43" s="268"/>
      <c r="P43" s="269"/>
      <c r="Q43" s="269"/>
      <c r="R43" s="269"/>
      <c r="S43" s="269"/>
      <c r="T43" s="269"/>
      <c r="U43" s="40"/>
      <c r="V43" s="40"/>
      <c r="W43" s="40"/>
      <c r="Y43" s="109">
        <f t="shared" si="8"/>
        <v>0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0</v>
      </c>
      <c r="AG43" s="108">
        <f t="shared" si="0"/>
        <v>0</v>
      </c>
      <c r="AH43" s="108">
        <f t="shared" si="1"/>
        <v>0</v>
      </c>
      <c r="AI43" s="108">
        <f t="shared" si="10"/>
        <v>0</v>
      </c>
      <c r="AJ43" s="108">
        <f t="shared" si="2"/>
        <v>0</v>
      </c>
      <c r="AK43" s="108">
        <f t="shared" si="3"/>
        <v>0</v>
      </c>
      <c r="AL43" s="108">
        <f t="shared" si="4"/>
        <v>0</v>
      </c>
      <c r="AN43" s="40"/>
      <c r="AO43" s="41"/>
    </row>
    <row r="44" spans="2:41" ht="15.75" thickBot="1">
      <c r="B44" s="240">
        <v>37</v>
      </c>
      <c r="C44" s="241">
        <v>41814</v>
      </c>
      <c r="D44" s="242" t="s">
        <v>22</v>
      </c>
      <c r="E44" s="243" t="s">
        <v>9</v>
      </c>
      <c r="F44" s="244" t="s">
        <v>19</v>
      </c>
      <c r="G44" s="311">
        <v>2</v>
      </c>
      <c r="H44" s="243" t="s">
        <v>9</v>
      </c>
      <c r="I44" s="316">
        <v>1</v>
      </c>
      <c r="J44" s="245">
        <f t="shared" si="5"/>
        <v>1</v>
      </c>
      <c r="K44" s="239">
        <f t="shared" si="6"/>
        <v>3</v>
      </c>
      <c r="L44" s="239">
        <f t="shared" si="7"/>
        <v>0</v>
      </c>
      <c r="M44" s="228"/>
      <c r="N44" s="228"/>
      <c r="O44" s="298" t="s">
        <v>76</v>
      </c>
      <c r="P44" s="299" t="s">
        <v>42</v>
      </c>
      <c r="Q44" s="299" t="s">
        <v>43</v>
      </c>
      <c r="R44" s="300" t="s">
        <v>44</v>
      </c>
      <c r="S44" s="301" t="s">
        <v>45</v>
      </c>
      <c r="T44" s="302" t="s">
        <v>46</v>
      </c>
      <c r="U44" s="40"/>
      <c r="V44" s="40"/>
      <c r="W44" s="40"/>
      <c r="Y44" s="109">
        <f t="shared" si="8"/>
        <v>1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1</v>
      </c>
      <c r="AG44" s="108">
        <f t="shared" si="0"/>
        <v>0</v>
      </c>
      <c r="AH44" s="108">
        <f t="shared" si="1"/>
        <v>1</v>
      </c>
      <c r="AI44" s="108">
        <f t="shared" si="10"/>
        <v>0</v>
      </c>
      <c r="AJ44" s="108">
        <f t="shared" si="2"/>
        <v>0</v>
      </c>
      <c r="AK44" s="108">
        <f t="shared" si="3"/>
        <v>0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246">
        <v>38</v>
      </c>
      <c r="C45" s="247">
        <v>41814</v>
      </c>
      <c r="D45" s="248" t="s">
        <v>20</v>
      </c>
      <c r="E45" s="249" t="s">
        <v>9</v>
      </c>
      <c r="F45" s="258" t="s">
        <v>21</v>
      </c>
      <c r="G45" s="312">
        <v>0</v>
      </c>
      <c r="H45" s="249" t="s">
        <v>9</v>
      </c>
      <c r="I45" s="317">
        <v>2</v>
      </c>
      <c r="J45" s="251">
        <f t="shared" si="5"/>
        <v>2</v>
      </c>
      <c r="K45" s="239">
        <f t="shared" si="6"/>
        <v>0</v>
      </c>
      <c r="L45" s="239">
        <f t="shared" si="7"/>
        <v>3</v>
      </c>
      <c r="M45" s="228"/>
      <c r="N45" s="228"/>
      <c r="O45" s="270" t="s">
        <v>31</v>
      </c>
      <c r="P45" s="271">
        <f>SUMIF($D$8:$D$55,$O45,$G$8:$G$55)+SUMIF($F$8:$F$55,$O45,$I$8:$I$55)</f>
        <v>4</v>
      </c>
      <c r="Q45" s="271">
        <f>SUMIF($D$8:$D$55,$O45,$I$8:$I$55)+SUMIF($F$8:$F$55,$O45,$G$8:$G$55)</f>
        <v>2</v>
      </c>
      <c r="R45" s="272">
        <f>P45-Q45</f>
        <v>2</v>
      </c>
      <c r="S45" s="273">
        <f>SUMIF($D$8:$D$55,$O45,$K$8:$K$55)+SUMIF($F$8:$F$55,$O45,$L$8:$L$55)</f>
        <v>7</v>
      </c>
      <c r="T45" s="320" t="s">
        <v>77</v>
      </c>
      <c r="U45" s="40"/>
      <c r="V45" s="40" t="str">
        <f>O45</f>
        <v>Duitsland</v>
      </c>
      <c r="W45" s="40" t="s">
        <v>77</v>
      </c>
      <c r="Y45" s="109">
        <f t="shared" si="8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1</v>
      </c>
      <c r="AG45" s="108">
        <f t="shared" si="0"/>
        <v>1</v>
      </c>
      <c r="AH45" s="108">
        <f t="shared" si="1"/>
        <v>0</v>
      </c>
      <c r="AI45" s="108">
        <f t="shared" si="10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246">
        <v>39</v>
      </c>
      <c r="C46" s="247">
        <v>41814</v>
      </c>
      <c r="D46" s="248" t="s">
        <v>24</v>
      </c>
      <c r="E46" s="249" t="s">
        <v>9</v>
      </c>
      <c r="F46" s="258" t="s">
        <v>17</v>
      </c>
      <c r="G46" s="312">
        <v>1</v>
      </c>
      <c r="H46" s="249" t="s">
        <v>9</v>
      </c>
      <c r="I46" s="317">
        <v>2</v>
      </c>
      <c r="J46" s="251">
        <f t="shared" si="5"/>
        <v>2</v>
      </c>
      <c r="K46" s="239">
        <f t="shared" si="6"/>
        <v>0</v>
      </c>
      <c r="L46" s="239">
        <f t="shared" si="7"/>
        <v>3</v>
      </c>
      <c r="M46" s="228"/>
      <c r="N46" s="228"/>
      <c r="O46" s="274" t="s">
        <v>32</v>
      </c>
      <c r="P46" s="275">
        <f>SUMIF($D$8:$D$55,$O46,$G$8:$G$55)+SUMIF($F$8:$F$55,$O46,$I$8:$I$55)</f>
        <v>5</v>
      </c>
      <c r="Q46" s="275">
        <f>SUMIF($D$8:$D$55,$O46,$I$8:$I$55)+SUMIF($F$8:$F$55,$O46,$G$8:$G$55)</f>
        <v>4</v>
      </c>
      <c r="R46" s="275">
        <f>P46-Q46</f>
        <v>1</v>
      </c>
      <c r="S46" s="276">
        <f>SUMIF($D$8:$D$55,$O46,$K$8:$K$55)+SUMIF($F$8:$F$55,$O46,$L$8:$L$55)</f>
        <v>5</v>
      </c>
      <c r="T46" s="321" t="s">
        <v>78</v>
      </c>
      <c r="U46" s="40"/>
      <c r="V46" s="40" t="str">
        <f>O46</f>
        <v>Portugal</v>
      </c>
      <c r="W46" s="40" t="s">
        <v>78</v>
      </c>
      <c r="Y46" s="109">
        <f t="shared" si="8"/>
        <v>6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6</v>
      </c>
      <c r="AG46" s="108">
        <f t="shared" si="0"/>
        <v>1</v>
      </c>
      <c r="AH46" s="108">
        <f t="shared" si="1"/>
        <v>0</v>
      </c>
      <c r="AI46" s="108">
        <f t="shared" si="10"/>
        <v>0</v>
      </c>
      <c r="AJ46" s="108">
        <f t="shared" si="2"/>
        <v>0</v>
      </c>
      <c r="AK46" s="108">
        <f t="shared" si="3"/>
        <v>5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252">
        <v>40</v>
      </c>
      <c r="C47" s="253">
        <v>41814</v>
      </c>
      <c r="D47" s="254" t="s">
        <v>18</v>
      </c>
      <c r="E47" s="255" t="s">
        <v>9</v>
      </c>
      <c r="F47" s="256" t="s">
        <v>23</v>
      </c>
      <c r="G47" s="313">
        <v>1</v>
      </c>
      <c r="H47" s="255" t="s">
        <v>9</v>
      </c>
      <c r="I47" s="318">
        <v>0</v>
      </c>
      <c r="J47" s="257">
        <f t="shared" si="5"/>
        <v>1</v>
      </c>
      <c r="K47" s="239">
        <f t="shared" si="6"/>
        <v>3</v>
      </c>
      <c r="L47" s="239">
        <f t="shared" si="7"/>
        <v>0</v>
      </c>
      <c r="M47" s="228"/>
      <c r="N47" s="228"/>
      <c r="O47" s="274" t="s">
        <v>35</v>
      </c>
      <c r="P47" s="275">
        <f>SUMIF($D$8:$D$55,$O47,$G$8:$G$55)+SUMIF($F$8:$F$55,$O47,$I$8:$I$55)</f>
        <v>4</v>
      </c>
      <c r="Q47" s="275">
        <f>SUMIF($D$8:$D$55,$O47,$I$8:$I$55)+SUMIF($F$8:$F$55,$O47,$G$8:$G$55)</f>
        <v>6</v>
      </c>
      <c r="R47" s="275">
        <f>P47-Q47</f>
        <v>-2</v>
      </c>
      <c r="S47" s="276">
        <f>SUMIF($D$8:$D$55,$O47,$K$8:$K$55)+SUMIF($F$8:$F$55,$O47,$L$8:$L$55)</f>
        <v>1</v>
      </c>
      <c r="T47" s="321" t="s">
        <v>80</v>
      </c>
      <c r="U47" s="40"/>
      <c r="V47" s="40" t="str">
        <f>O47</f>
        <v>Ghana</v>
      </c>
      <c r="W47" s="40" t="s">
        <v>79</v>
      </c>
      <c r="Y47" s="109">
        <f t="shared" si="8"/>
        <v>5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5</v>
      </c>
      <c r="AG47" s="108">
        <f t="shared" si="0"/>
        <v>0</v>
      </c>
      <c r="AH47" s="108">
        <f t="shared" si="1"/>
        <v>0</v>
      </c>
      <c r="AI47" s="108">
        <f t="shared" si="10"/>
        <v>0</v>
      </c>
      <c r="AJ47" s="108">
        <f t="shared" si="2"/>
        <v>5</v>
      </c>
      <c r="AK47" s="108">
        <f t="shared" si="3"/>
        <v>0</v>
      </c>
      <c r="AL47" s="108">
        <f t="shared" si="4"/>
        <v>0</v>
      </c>
      <c r="AM47" s="120">
        <f>AO47</f>
        <v>10</v>
      </c>
      <c r="AN47" s="117" t="s">
        <v>35</v>
      </c>
      <c r="AO47" s="115">
        <f>IF(Uitslag!T47="",0,IF(T47=Uitslag!T47,10,0))</f>
        <v>10</v>
      </c>
    </row>
    <row r="48" spans="2:41" ht="15.75" thickBot="1">
      <c r="B48" s="240">
        <v>41</v>
      </c>
      <c r="C48" s="241">
        <v>41815</v>
      </c>
      <c r="D48" s="242" t="s">
        <v>34</v>
      </c>
      <c r="E48" s="243" t="s">
        <v>9</v>
      </c>
      <c r="F48" s="244" t="s">
        <v>29</v>
      </c>
      <c r="G48" s="311">
        <v>1</v>
      </c>
      <c r="H48" s="243" t="s">
        <v>9</v>
      </c>
      <c r="I48" s="316">
        <v>2</v>
      </c>
      <c r="J48" s="245">
        <f t="shared" si="5"/>
        <v>2</v>
      </c>
      <c r="K48" s="239">
        <f t="shared" si="6"/>
        <v>0</v>
      </c>
      <c r="L48" s="239">
        <f t="shared" si="7"/>
        <v>3</v>
      </c>
      <c r="M48" s="228"/>
      <c r="N48" s="228"/>
      <c r="O48" s="277" t="s">
        <v>36</v>
      </c>
      <c r="P48" s="278">
        <f>SUMIF($D$8:$D$55,$O48,$G$8:$G$55)+SUMIF($F$8:$F$55,$O48,$I$8:$I$55)</f>
        <v>3</v>
      </c>
      <c r="Q48" s="278">
        <f>SUMIF($D$8:$D$55,$O48,$I$8:$I$55)+SUMIF($F$8:$F$55,$O48,$G$8:$G$55)</f>
        <v>4</v>
      </c>
      <c r="R48" s="278">
        <f>P48-Q48</f>
        <v>-1</v>
      </c>
      <c r="S48" s="279">
        <f>SUMIF($D$8:$D$55,$O48,$K$8:$K$55)+SUMIF($F$8:$F$55,$O48,$L$8:$L$55)</f>
        <v>3</v>
      </c>
      <c r="T48" s="322" t="s">
        <v>79</v>
      </c>
      <c r="U48" s="40"/>
      <c r="V48" s="40" t="str">
        <f>O48</f>
        <v>Verenigde Staten</v>
      </c>
      <c r="W48" s="40" t="s">
        <v>80</v>
      </c>
      <c r="Y48" s="109">
        <f t="shared" si="8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5</v>
      </c>
      <c r="AG48" s="108">
        <f t="shared" si="0"/>
        <v>0</v>
      </c>
      <c r="AH48" s="108">
        <f t="shared" si="1"/>
        <v>0</v>
      </c>
      <c r="AI48" s="108">
        <f t="shared" si="10"/>
        <v>0</v>
      </c>
      <c r="AJ48" s="108">
        <f t="shared" si="2"/>
        <v>0</v>
      </c>
      <c r="AK48" s="108">
        <f t="shared" si="3"/>
        <v>5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246">
        <v>42</v>
      </c>
      <c r="C49" s="247">
        <v>41815</v>
      </c>
      <c r="D49" s="248" t="s">
        <v>30</v>
      </c>
      <c r="E49" s="249" t="s">
        <v>9</v>
      </c>
      <c r="F49" s="258" t="s">
        <v>33</v>
      </c>
      <c r="G49" s="312">
        <v>2</v>
      </c>
      <c r="H49" s="249" t="s">
        <v>9</v>
      </c>
      <c r="I49" s="317">
        <v>0</v>
      </c>
      <c r="J49" s="251">
        <f t="shared" si="5"/>
        <v>1</v>
      </c>
      <c r="K49" s="239">
        <f t="shared" si="6"/>
        <v>3</v>
      </c>
      <c r="L49" s="239">
        <f t="shared" si="7"/>
        <v>0</v>
      </c>
      <c r="M49" s="228"/>
      <c r="N49" s="228"/>
      <c r="O49" s="268"/>
      <c r="P49" s="269"/>
      <c r="Q49" s="269"/>
      <c r="R49" s="269"/>
      <c r="S49" s="269"/>
      <c r="T49" s="269"/>
      <c r="U49" s="40"/>
      <c r="V49" s="40"/>
      <c r="W49" s="40"/>
      <c r="Y49" s="109">
        <f t="shared" si="8"/>
        <v>5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5</v>
      </c>
      <c r="AG49" s="108">
        <f t="shared" si="0"/>
        <v>0</v>
      </c>
      <c r="AH49" s="108">
        <f t="shared" si="1"/>
        <v>0</v>
      </c>
      <c r="AI49" s="108">
        <f t="shared" si="10"/>
        <v>0</v>
      </c>
      <c r="AJ49" s="108">
        <f t="shared" si="2"/>
        <v>5</v>
      </c>
      <c r="AK49" s="108">
        <f t="shared" si="3"/>
        <v>0</v>
      </c>
      <c r="AL49" s="108">
        <f t="shared" si="4"/>
        <v>0</v>
      </c>
      <c r="AN49" s="40"/>
      <c r="AO49" s="41"/>
    </row>
    <row r="50" spans="2:54" ht="15.75" thickBot="1">
      <c r="B50" s="246">
        <v>43</v>
      </c>
      <c r="C50" s="247">
        <v>41815</v>
      </c>
      <c r="D50" s="248" t="s">
        <v>28</v>
      </c>
      <c r="E50" s="249" t="s">
        <v>9</v>
      </c>
      <c r="F50" s="258" t="s">
        <v>25</v>
      </c>
      <c r="G50" s="312">
        <v>0</v>
      </c>
      <c r="H50" s="249" t="s">
        <v>9</v>
      </c>
      <c r="I50" s="317">
        <v>0</v>
      </c>
      <c r="J50" s="251">
        <f t="shared" si="5"/>
        <v>3</v>
      </c>
      <c r="K50" s="239">
        <f t="shared" si="6"/>
        <v>1</v>
      </c>
      <c r="L50" s="239">
        <f t="shared" si="7"/>
        <v>1</v>
      </c>
      <c r="M50" s="228"/>
      <c r="N50" s="228"/>
      <c r="O50" s="298" t="s">
        <v>81</v>
      </c>
      <c r="P50" s="299" t="s">
        <v>42</v>
      </c>
      <c r="Q50" s="299" t="s">
        <v>43</v>
      </c>
      <c r="R50" s="300" t="s">
        <v>44</v>
      </c>
      <c r="S50" s="301" t="s">
        <v>45</v>
      </c>
      <c r="T50" s="302" t="s">
        <v>46</v>
      </c>
      <c r="U50" s="40"/>
      <c r="V50" s="40"/>
      <c r="W50" s="40"/>
      <c r="Y50" s="109">
        <f t="shared" si="8"/>
        <v>1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1</v>
      </c>
      <c r="AG50" s="108">
        <f t="shared" si="0"/>
        <v>1</v>
      </c>
      <c r="AH50" s="108">
        <f t="shared" si="1"/>
        <v>0</v>
      </c>
      <c r="AI50" s="108">
        <f t="shared" si="10"/>
        <v>0</v>
      </c>
      <c r="AJ50" s="108">
        <f t="shared" si="2"/>
        <v>0</v>
      </c>
      <c r="AK50" s="108">
        <f t="shared" si="3"/>
        <v>0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252">
        <v>44</v>
      </c>
      <c r="C51" s="253">
        <v>41815</v>
      </c>
      <c r="D51" s="254" t="s">
        <v>26</v>
      </c>
      <c r="E51" s="255" t="s">
        <v>9</v>
      </c>
      <c r="F51" s="256" t="s">
        <v>27</v>
      </c>
      <c r="G51" s="313">
        <v>0</v>
      </c>
      <c r="H51" s="255" t="s">
        <v>9</v>
      </c>
      <c r="I51" s="318">
        <v>3</v>
      </c>
      <c r="J51" s="257">
        <f t="shared" si="5"/>
        <v>2</v>
      </c>
      <c r="K51" s="239">
        <f t="shared" si="6"/>
        <v>0</v>
      </c>
      <c r="L51" s="239">
        <f>IF(I51="","",IF($G51&lt;$I51,3,IF($G51=$I51,1,0)))</f>
        <v>3</v>
      </c>
      <c r="M51" s="228"/>
      <c r="N51" s="228"/>
      <c r="O51" s="270" t="s">
        <v>37</v>
      </c>
      <c r="P51" s="271">
        <f>SUMIF($D$8:$D$55,$O51,$G$8:$G$55)+SUMIF($F$8:$F$55,$O51,$I$8:$I$55)</f>
        <v>5</v>
      </c>
      <c r="Q51" s="271">
        <f>SUMIF($D$8:$D$55,$O51,$I$8:$I$55)+SUMIF($F$8:$F$55,$O51,$G$8:$G$55)</f>
        <v>5</v>
      </c>
      <c r="R51" s="272">
        <f>P51-Q51</f>
        <v>0</v>
      </c>
      <c r="S51" s="273">
        <f>SUMIF($D$8:$D$55,$O51,$K$8:$K$55)+SUMIF($F$8:$F$55,$O51,$L$8:$L$55)</f>
        <v>4</v>
      </c>
      <c r="T51" s="320" t="s">
        <v>83</v>
      </c>
      <c r="U51" s="40"/>
      <c r="V51" s="40" t="str">
        <f>O51</f>
        <v>België</v>
      </c>
      <c r="W51" s="40" t="s">
        <v>82</v>
      </c>
      <c r="Y51" s="109">
        <f t="shared" si="8"/>
        <v>1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1</v>
      </c>
      <c r="AG51" s="108">
        <f t="shared" si="0"/>
        <v>1</v>
      </c>
      <c r="AH51" s="108">
        <f t="shared" si="1"/>
        <v>0</v>
      </c>
      <c r="AI51" s="108">
        <f t="shared" si="10"/>
        <v>0</v>
      </c>
      <c r="AJ51" s="108">
        <f t="shared" si="2"/>
        <v>0</v>
      </c>
      <c r="AK51" s="108">
        <f t="shared" si="3"/>
        <v>0</v>
      </c>
      <c r="AL51" s="108">
        <f t="shared" si="4"/>
        <v>0</v>
      </c>
      <c r="AM51" s="120">
        <f>AO51</f>
        <v>0</v>
      </c>
      <c r="AN51" s="116" t="s">
        <v>37</v>
      </c>
      <c r="AO51" s="115">
        <f>IF(Uitslag!T51="",0,IF(T51=Uitslag!T51,10,0))</f>
        <v>0</v>
      </c>
    </row>
    <row r="52" spans="2:54" ht="15.75" thickBot="1">
      <c r="B52" s="246">
        <v>45</v>
      </c>
      <c r="C52" s="247">
        <v>41816</v>
      </c>
      <c r="D52" s="248" t="s">
        <v>36</v>
      </c>
      <c r="E52" s="249" t="s">
        <v>9</v>
      </c>
      <c r="F52" s="258" t="s">
        <v>31</v>
      </c>
      <c r="G52" s="312">
        <v>0</v>
      </c>
      <c r="H52" s="249" t="s">
        <v>9</v>
      </c>
      <c r="I52" s="317">
        <v>1</v>
      </c>
      <c r="J52" s="245">
        <f t="shared" si="5"/>
        <v>2</v>
      </c>
      <c r="K52" s="239">
        <f t="shared" si="6"/>
        <v>0</v>
      </c>
      <c r="L52" s="239">
        <f t="shared" si="7"/>
        <v>3</v>
      </c>
      <c r="M52" s="228"/>
      <c r="N52" s="228"/>
      <c r="O52" s="274" t="s">
        <v>38</v>
      </c>
      <c r="P52" s="275">
        <f>SUMIF($D$8:$D$55,$O52,$G$8:$G$55)+SUMIF($F$8:$F$55,$O52,$I$8:$I$55)</f>
        <v>2</v>
      </c>
      <c r="Q52" s="275">
        <f>SUMIF($D$8:$D$55,$O52,$I$8:$I$55)+SUMIF($F$8:$F$55,$O52,$G$8:$G$55)</f>
        <v>4</v>
      </c>
      <c r="R52" s="275">
        <f>P52-Q52</f>
        <v>-2</v>
      </c>
      <c r="S52" s="276">
        <f>SUMIF($D$8:$D$55,$O52,$K$8:$K$55)+SUMIF($F$8:$F$55,$O52,$L$8:$L$55)</f>
        <v>2</v>
      </c>
      <c r="T52" s="321" t="s">
        <v>84</v>
      </c>
      <c r="U52" s="40"/>
      <c r="V52" s="40" t="str">
        <f>O52</f>
        <v>Algerije</v>
      </c>
      <c r="W52" s="40" t="s">
        <v>83</v>
      </c>
      <c r="Y52" s="109">
        <f t="shared" si="8"/>
        <v>10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10</v>
      </c>
      <c r="AG52" s="108">
        <f t="shared" si="0"/>
        <v>1</v>
      </c>
      <c r="AH52" s="108">
        <f t="shared" si="1"/>
        <v>1</v>
      </c>
      <c r="AI52" s="108">
        <f t="shared" si="10"/>
        <v>10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246">
        <v>46</v>
      </c>
      <c r="C53" s="247">
        <v>41816</v>
      </c>
      <c r="D53" s="248" t="s">
        <v>32</v>
      </c>
      <c r="E53" s="249" t="s">
        <v>9</v>
      </c>
      <c r="F53" s="258" t="s">
        <v>35</v>
      </c>
      <c r="G53" s="312">
        <v>2</v>
      </c>
      <c r="H53" s="249" t="s">
        <v>9</v>
      </c>
      <c r="I53" s="317">
        <v>2</v>
      </c>
      <c r="J53" s="251">
        <f t="shared" si="5"/>
        <v>3</v>
      </c>
      <c r="K53" s="239">
        <f t="shared" si="6"/>
        <v>1</v>
      </c>
      <c r="L53" s="239">
        <f t="shared" si="7"/>
        <v>1</v>
      </c>
      <c r="M53" s="228"/>
      <c r="N53" s="228"/>
      <c r="O53" s="274" t="s">
        <v>39</v>
      </c>
      <c r="P53" s="275">
        <f>SUMIF($D$8:$D$55,$O53,$G$8:$G$55)+SUMIF($F$8:$F$55,$O53,$I$8:$I$55)</f>
        <v>6</v>
      </c>
      <c r="Q53" s="275">
        <f>SUMIF($D$8:$D$55,$O53,$I$8:$I$55)+SUMIF($F$8:$F$55,$O53,$G$8:$G$55)</f>
        <v>0</v>
      </c>
      <c r="R53" s="275">
        <f>P53-Q53</f>
        <v>6</v>
      </c>
      <c r="S53" s="276">
        <f>SUMIF($D$8:$D$55,$O53,$K$8:$K$55)+SUMIF($F$8:$F$55,$O53,$L$8:$L$55)</f>
        <v>9</v>
      </c>
      <c r="T53" s="321" t="s">
        <v>82</v>
      </c>
      <c r="U53" s="40"/>
      <c r="V53" s="40" t="str">
        <f>O53</f>
        <v>Rusland</v>
      </c>
      <c r="W53" s="40" t="s">
        <v>84</v>
      </c>
      <c r="Y53" s="109">
        <f t="shared" si="8"/>
        <v>1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1</v>
      </c>
      <c r="AG53" s="108">
        <f t="shared" si="0"/>
        <v>1</v>
      </c>
      <c r="AH53" s="108">
        <f t="shared" si="1"/>
        <v>0</v>
      </c>
      <c r="AI53" s="108">
        <f t="shared" si="10"/>
        <v>0</v>
      </c>
      <c r="AJ53" s="108">
        <f t="shared" si="2"/>
        <v>0</v>
      </c>
      <c r="AK53" s="108">
        <f t="shared" si="3"/>
        <v>0</v>
      </c>
      <c r="AL53" s="108">
        <f t="shared" si="4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246">
        <v>47</v>
      </c>
      <c r="C54" s="247">
        <v>41816</v>
      </c>
      <c r="D54" s="248" t="s">
        <v>40</v>
      </c>
      <c r="E54" s="249" t="s">
        <v>9</v>
      </c>
      <c r="F54" s="258" t="s">
        <v>37</v>
      </c>
      <c r="G54" s="312">
        <v>1</v>
      </c>
      <c r="H54" s="249" t="s">
        <v>9</v>
      </c>
      <c r="I54" s="317">
        <v>3</v>
      </c>
      <c r="J54" s="251">
        <f t="shared" si="5"/>
        <v>2</v>
      </c>
      <c r="K54" s="239">
        <f t="shared" si="6"/>
        <v>0</v>
      </c>
      <c r="L54" s="239">
        <f t="shared" si="7"/>
        <v>3</v>
      </c>
      <c r="M54" s="228"/>
      <c r="N54" s="228"/>
      <c r="O54" s="277" t="s">
        <v>40</v>
      </c>
      <c r="P54" s="278">
        <f>SUMIF($D$8:$D$55,$O54,$G$8:$G$55)+SUMIF($F$8:$F$55,$O54,$I$8:$I$55)</f>
        <v>1</v>
      </c>
      <c r="Q54" s="278">
        <f>SUMIF($D$8:$D$55,$O54,$I$8:$I$55)+SUMIF($F$8:$F$55,$O54,$G$8:$G$55)</f>
        <v>5</v>
      </c>
      <c r="R54" s="278">
        <f>P54-Q54</f>
        <v>-4</v>
      </c>
      <c r="S54" s="279">
        <f>SUMIF($D$8:$D$55,$O54,$K$8:$K$55)+SUMIF($F$8:$F$55,$O54,$L$8:$L$55)</f>
        <v>1</v>
      </c>
      <c r="T54" s="322" t="s">
        <v>85</v>
      </c>
      <c r="U54" s="40"/>
      <c r="V54" s="40" t="str">
        <f>O54</f>
        <v>Zuid Korea</v>
      </c>
      <c r="W54" s="40" t="s">
        <v>85</v>
      </c>
      <c r="Y54" s="109">
        <f t="shared" si="8"/>
        <v>5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5</v>
      </c>
      <c r="AG54" s="108">
        <f t="shared" si="0"/>
        <v>0</v>
      </c>
      <c r="AH54" s="108">
        <f t="shared" si="1"/>
        <v>0</v>
      </c>
      <c r="AI54" s="108">
        <f t="shared" si="10"/>
        <v>0</v>
      </c>
      <c r="AJ54" s="108">
        <f t="shared" si="2"/>
        <v>0</v>
      </c>
      <c r="AK54" s="108">
        <f t="shared" si="3"/>
        <v>5</v>
      </c>
      <c r="AL54" s="108">
        <f t="shared" si="4"/>
        <v>0</v>
      </c>
      <c r="AM54" s="120">
        <f>AO54</f>
        <v>10</v>
      </c>
      <c r="AN54" s="118" t="s">
        <v>40</v>
      </c>
      <c r="AO54" s="115">
        <f>IF(Uitslag!T54="",0,IF(T54=Uitslag!T54,10,0))</f>
        <v>10</v>
      </c>
    </row>
    <row r="55" spans="2:54" ht="15.75" thickBot="1">
      <c r="B55" s="261">
        <v>48</v>
      </c>
      <c r="C55" s="262">
        <v>41816</v>
      </c>
      <c r="D55" s="263" t="s">
        <v>38</v>
      </c>
      <c r="E55" s="264" t="s">
        <v>9</v>
      </c>
      <c r="F55" s="265" t="s">
        <v>39</v>
      </c>
      <c r="G55" s="314">
        <v>0</v>
      </c>
      <c r="H55" s="264" t="s">
        <v>9</v>
      </c>
      <c r="I55" s="319">
        <v>2</v>
      </c>
      <c r="J55" s="266">
        <f t="shared" si="5"/>
        <v>2</v>
      </c>
      <c r="K55" s="239">
        <f t="shared" si="6"/>
        <v>0</v>
      </c>
      <c r="L55" s="239">
        <f t="shared" si="7"/>
        <v>3</v>
      </c>
      <c r="M55" s="228"/>
      <c r="N55" s="228"/>
      <c r="O55" s="268"/>
      <c r="P55" s="269"/>
      <c r="Q55" s="269"/>
      <c r="R55" s="269"/>
      <c r="S55" s="269"/>
      <c r="T55" s="269"/>
      <c r="U55" s="40"/>
      <c r="V55" s="40"/>
      <c r="W55" s="40"/>
      <c r="Y55" s="109">
        <f t="shared" si="8"/>
        <v>0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0</v>
      </c>
      <c r="AG55" s="108">
        <f t="shared" si="0"/>
        <v>0</v>
      </c>
      <c r="AH55" s="108">
        <f t="shared" si="1"/>
        <v>0</v>
      </c>
      <c r="AI55" s="108">
        <f t="shared" si="10"/>
        <v>0</v>
      </c>
      <c r="AJ55" s="108">
        <f t="shared" si="2"/>
        <v>0</v>
      </c>
      <c r="AK55" s="108">
        <f t="shared" si="3"/>
        <v>0</v>
      </c>
      <c r="AL55" s="108">
        <f t="shared" si="4"/>
        <v>0</v>
      </c>
    </row>
    <row r="56" spans="2:54" ht="15.75" thickBot="1">
      <c r="B56" s="229"/>
      <c r="C56" s="267"/>
      <c r="D56" s="268"/>
      <c r="E56" s="229"/>
      <c r="F56" s="268"/>
      <c r="G56" s="229"/>
      <c r="H56" s="229"/>
      <c r="I56" s="229"/>
      <c r="J56" s="229"/>
      <c r="K56" s="229"/>
      <c r="L56" s="229"/>
      <c r="M56" s="229"/>
      <c r="N56" s="228"/>
      <c r="O56" s="228"/>
      <c r="P56" s="228"/>
      <c r="Q56" s="228"/>
      <c r="R56" s="228"/>
      <c r="S56" s="228"/>
      <c r="T56" s="228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303"/>
      <c r="K57" s="229"/>
      <c r="L57" s="229"/>
      <c r="M57" s="229"/>
      <c r="N57" s="228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304" t="s">
        <v>1</v>
      </c>
      <c r="C58" s="305" t="s">
        <v>2</v>
      </c>
      <c r="D58" s="340" t="s">
        <v>3</v>
      </c>
      <c r="E58" s="307"/>
      <c r="F58" s="308" t="s">
        <v>4</v>
      </c>
      <c r="G58" s="867" t="s">
        <v>5</v>
      </c>
      <c r="H58" s="868"/>
      <c r="I58" s="869"/>
      <c r="J58" s="309" t="s">
        <v>6</v>
      </c>
      <c r="K58" s="229"/>
      <c r="L58" s="229"/>
      <c r="M58" s="229"/>
      <c r="N58" s="228"/>
      <c r="O58" s="334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240">
        <v>49</v>
      </c>
      <c r="C59" s="342">
        <v>41818</v>
      </c>
      <c r="D59" s="336" t="str">
        <f>IF(ISERROR(Z59),K59,Z59)</f>
        <v>Brazilië</v>
      </c>
      <c r="E59" s="243" t="s">
        <v>9</v>
      </c>
      <c r="F59" s="282" t="str">
        <f>IF(ISERROR(AA59),L59,AA59)</f>
        <v>Spanje</v>
      </c>
      <c r="G59" s="311">
        <v>3</v>
      </c>
      <c r="H59" s="243" t="s">
        <v>9</v>
      </c>
      <c r="I59" s="323">
        <v>1</v>
      </c>
      <c r="J59" s="324">
        <v>1</v>
      </c>
      <c r="K59" s="283" t="s">
        <v>48</v>
      </c>
      <c r="L59" s="283" t="s">
        <v>53</v>
      </c>
      <c r="M59" s="283">
        <v>1</v>
      </c>
      <c r="N59" s="228"/>
      <c r="O59" s="334">
        <v>2</v>
      </c>
      <c r="P59" s="877" t="s">
        <v>220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3">AF59</f>
        <v>1</v>
      </c>
      <c r="Z59" t="str">
        <f t="shared" ref="Z59:AA65" si="14">IF(K59=""," ",VLOOKUP(K59,$T$9:$V$54,3,FALSE))</f>
        <v>Brazilië</v>
      </c>
      <c r="AA59" t="str">
        <f t="shared" si="14"/>
        <v>Spanje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1</v>
      </c>
      <c r="AG59" s="108">
        <f t="shared" ref="AG59:AG66" si="16">IF(AC59="",0,(IF(G59=AC59,1,0)))</f>
        <v>0</v>
      </c>
      <c r="AH59" s="108">
        <f t="shared" ref="AH59:AH66" si="17">IF(AD59="",0,(IF(I59=AD59,1,0)))</f>
        <v>1</v>
      </c>
      <c r="AI59" s="108">
        <f t="shared" ref="AI59:AI66" si="18">IF(AND(AG59=1,AH59=1),10,0)</f>
        <v>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252">
        <v>50</v>
      </c>
      <c r="C60" s="343">
        <v>41818</v>
      </c>
      <c r="D60" s="337" t="str">
        <f t="shared" ref="D60:D66" si="23">IF(ISERROR(Z60),K60,Z60)</f>
        <v>Colombia</v>
      </c>
      <c r="E60" s="255" t="s">
        <v>9</v>
      </c>
      <c r="F60" s="285" t="str">
        <f t="shared" ref="F60:F66" si="24">IF(ISERROR(AA60),L60,AA60)</f>
        <v>Italië</v>
      </c>
      <c r="G60" s="313">
        <v>0</v>
      </c>
      <c r="H60" s="255" t="s">
        <v>9</v>
      </c>
      <c r="I60" s="325">
        <v>2</v>
      </c>
      <c r="J60" s="326">
        <v>2</v>
      </c>
      <c r="K60" s="283" t="s">
        <v>57</v>
      </c>
      <c r="L60" s="283" t="s">
        <v>63</v>
      </c>
      <c r="M60" s="283">
        <v>2</v>
      </c>
      <c r="N60" s="228"/>
      <c r="O60" s="334">
        <v>3</v>
      </c>
      <c r="P60" s="877" t="s">
        <v>212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3"/>
        <v>0</v>
      </c>
      <c r="Z60" t="str">
        <f t="shared" si="14"/>
        <v>Colombia</v>
      </c>
      <c r="AA60" t="str">
        <f t="shared" si="14"/>
        <v>Italië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0</v>
      </c>
      <c r="AG60" s="108">
        <f t="shared" si="16"/>
        <v>0</v>
      </c>
      <c r="AH60" s="108">
        <f t="shared" si="17"/>
        <v>0</v>
      </c>
      <c r="AI60" s="108">
        <f t="shared" si="18"/>
        <v>0</v>
      </c>
      <c r="AJ60" s="108">
        <f t="shared" si="19"/>
        <v>0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2"/>
        <v>3</v>
      </c>
    </row>
    <row r="61" spans="2:54">
      <c r="B61" s="240">
        <v>51</v>
      </c>
      <c r="C61" s="342">
        <v>41819</v>
      </c>
      <c r="D61" s="341" t="str">
        <f t="shared" si="23"/>
        <v>Nederland</v>
      </c>
      <c r="E61" s="243" t="s">
        <v>9</v>
      </c>
      <c r="F61" s="282" t="str">
        <f t="shared" si="24"/>
        <v>Kroatië</v>
      </c>
      <c r="G61" s="311">
        <v>3</v>
      </c>
      <c r="H61" s="243" t="s">
        <v>9</v>
      </c>
      <c r="I61" s="323">
        <v>1</v>
      </c>
      <c r="J61" s="324">
        <v>1</v>
      </c>
      <c r="K61" s="283" t="s">
        <v>52</v>
      </c>
      <c r="L61" s="283" t="s">
        <v>49</v>
      </c>
      <c r="M61" s="283"/>
      <c r="N61" s="228"/>
      <c r="O61" s="334">
        <v>4</v>
      </c>
      <c r="P61" s="877" t="s">
        <v>211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3"/>
        <v>6</v>
      </c>
      <c r="Z61" t="str">
        <f t="shared" si="14"/>
        <v>Nederland</v>
      </c>
      <c r="AA61" t="str">
        <f t="shared" si="14"/>
        <v>Kroatië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6</v>
      </c>
      <c r="AG61" s="108">
        <f t="shared" si="16"/>
        <v>0</v>
      </c>
      <c r="AH61" s="108">
        <f t="shared" si="17"/>
        <v>1</v>
      </c>
      <c r="AI61" s="108">
        <f t="shared" si="18"/>
        <v>0</v>
      </c>
      <c r="AJ61" s="108">
        <f t="shared" si="19"/>
        <v>5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3</v>
      </c>
      <c r="BB61" s="139">
        <f t="shared" si="22"/>
        <v>3</v>
      </c>
    </row>
    <row r="62" spans="2:54">
      <c r="B62" s="252">
        <v>52</v>
      </c>
      <c r="C62" s="343">
        <v>41819</v>
      </c>
      <c r="D62" s="341" t="str">
        <f t="shared" si="23"/>
        <v>Engeland</v>
      </c>
      <c r="E62" s="255" t="s">
        <v>9</v>
      </c>
      <c r="F62" s="285" t="str">
        <f t="shared" si="24"/>
        <v>Japan</v>
      </c>
      <c r="G62" s="313">
        <v>2</v>
      </c>
      <c r="H62" s="255" t="s">
        <v>9</v>
      </c>
      <c r="I62" s="325">
        <v>0</v>
      </c>
      <c r="J62" s="326">
        <v>1</v>
      </c>
      <c r="K62" s="283" t="s">
        <v>62</v>
      </c>
      <c r="L62" s="283" t="s">
        <v>58</v>
      </c>
      <c r="M62" s="283"/>
      <c r="N62" s="228"/>
      <c r="O62" s="334">
        <v>5</v>
      </c>
      <c r="P62" s="877" t="s">
        <v>225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3"/>
        <v>0</v>
      </c>
      <c r="Z62" t="str">
        <f t="shared" si="14"/>
        <v>Engeland</v>
      </c>
      <c r="AA62" t="str">
        <f t="shared" si="14"/>
        <v>Japan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0</v>
      </c>
      <c r="AG62" s="108">
        <f t="shared" si="16"/>
        <v>0</v>
      </c>
      <c r="AH62" s="108">
        <f t="shared" si="17"/>
        <v>0</v>
      </c>
      <c r="AI62" s="108">
        <f t="shared" si="18"/>
        <v>0</v>
      </c>
      <c r="AJ62" s="108">
        <f t="shared" si="19"/>
        <v>0</v>
      </c>
      <c r="AK62" s="108">
        <f t="shared" si="20"/>
        <v>0</v>
      </c>
      <c r="AL62" s="108">
        <f t="shared" si="21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2"/>
        <v>3</v>
      </c>
    </row>
    <row r="63" spans="2:54">
      <c r="B63" s="240">
        <v>53</v>
      </c>
      <c r="C63" s="342">
        <v>41820</v>
      </c>
      <c r="D63" s="336" t="str">
        <f t="shared" si="23"/>
        <v>Frankrijk</v>
      </c>
      <c r="E63" s="243" t="s">
        <v>9</v>
      </c>
      <c r="F63" s="282" t="str">
        <f t="shared" si="24"/>
        <v>Nigeria</v>
      </c>
      <c r="G63" s="311">
        <v>1</v>
      </c>
      <c r="H63" s="243" t="s">
        <v>9</v>
      </c>
      <c r="I63" s="323">
        <v>0</v>
      </c>
      <c r="J63" s="324">
        <v>1</v>
      </c>
      <c r="K63" s="283" t="s">
        <v>67</v>
      </c>
      <c r="L63" s="283" t="s">
        <v>73</v>
      </c>
      <c r="M63" s="283"/>
      <c r="N63" s="228"/>
      <c r="O63" s="334">
        <v>6</v>
      </c>
      <c r="P63" s="877" t="s">
        <v>209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3"/>
        <v>6</v>
      </c>
      <c r="Z63" t="str">
        <f t="shared" si="14"/>
        <v>Frankrijk</v>
      </c>
      <c r="AA63" t="str">
        <f t="shared" si="14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6</v>
      </c>
      <c r="AG63" s="108">
        <f t="shared" si="16"/>
        <v>0</v>
      </c>
      <c r="AH63" s="108">
        <f t="shared" si="17"/>
        <v>1</v>
      </c>
      <c r="AI63" s="108">
        <f t="shared" si="18"/>
        <v>0</v>
      </c>
      <c r="AJ63" s="108">
        <f t="shared" si="19"/>
        <v>5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3</v>
      </c>
      <c r="BB63" s="139">
        <f t="shared" si="22"/>
        <v>3</v>
      </c>
    </row>
    <row r="64" spans="2:54">
      <c r="B64" s="252">
        <v>54</v>
      </c>
      <c r="C64" s="343">
        <v>41820</v>
      </c>
      <c r="D64" s="337" t="str">
        <f t="shared" si="23"/>
        <v>Duitsland</v>
      </c>
      <c r="E64" s="255" t="s">
        <v>9</v>
      </c>
      <c r="F64" s="285" t="str">
        <f t="shared" si="24"/>
        <v>België</v>
      </c>
      <c r="G64" s="313">
        <v>3</v>
      </c>
      <c r="H64" s="255" t="s">
        <v>9</v>
      </c>
      <c r="I64" s="325">
        <v>2</v>
      </c>
      <c r="J64" s="326">
        <v>1</v>
      </c>
      <c r="K64" s="283" t="s">
        <v>77</v>
      </c>
      <c r="L64" s="283" t="s">
        <v>83</v>
      </c>
      <c r="M64" s="283"/>
      <c r="N64" s="228"/>
      <c r="O64" s="334">
        <v>7</v>
      </c>
      <c r="P64" s="877" t="s">
        <v>213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3"/>
        <v>0</v>
      </c>
      <c r="Z64" t="str">
        <f t="shared" si="14"/>
        <v>Duitsland</v>
      </c>
      <c r="AA64" t="str">
        <f t="shared" si="14"/>
        <v>België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0</v>
      </c>
      <c r="AG64" s="108">
        <f t="shared" si="16"/>
        <v>0</v>
      </c>
      <c r="AH64" s="108">
        <f t="shared" si="17"/>
        <v>0</v>
      </c>
      <c r="AI64" s="108">
        <f t="shared" si="18"/>
        <v>0</v>
      </c>
      <c r="AJ64" s="108">
        <f t="shared" si="19"/>
        <v>0</v>
      </c>
      <c r="AK64" s="108">
        <f t="shared" si="20"/>
        <v>0</v>
      </c>
      <c r="AL64" s="108">
        <f t="shared" si="21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2"/>
        <v>3</v>
      </c>
    </row>
    <row r="65" spans="2:54">
      <c r="B65" s="246">
        <v>55</v>
      </c>
      <c r="C65" s="344">
        <v>41821</v>
      </c>
      <c r="D65" s="336" t="str">
        <f t="shared" si="23"/>
        <v>Argentinië</v>
      </c>
      <c r="E65" s="249" t="s">
        <v>9</v>
      </c>
      <c r="F65" s="286" t="str">
        <f t="shared" si="24"/>
        <v>Ecuador</v>
      </c>
      <c r="G65" s="312">
        <v>4</v>
      </c>
      <c r="H65" s="249" t="s">
        <v>9</v>
      </c>
      <c r="I65" s="327">
        <v>1</v>
      </c>
      <c r="J65" s="328">
        <v>1</v>
      </c>
      <c r="K65" s="283" t="s">
        <v>72</v>
      </c>
      <c r="L65" s="283" t="s">
        <v>68</v>
      </c>
      <c r="M65" s="283"/>
      <c r="N65" s="228"/>
      <c r="O65" s="334">
        <v>8</v>
      </c>
      <c r="P65" s="877" t="s">
        <v>221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3"/>
        <v>0</v>
      </c>
      <c r="Z65" t="str">
        <f t="shared" si="14"/>
        <v>Argentinië</v>
      </c>
      <c r="AA65" t="str">
        <f t="shared" si="14"/>
        <v>Ecuador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0</v>
      </c>
      <c r="AG65" s="108">
        <f t="shared" si="16"/>
        <v>0</v>
      </c>
      <c r="AH65" s="108">
        <f t="shared" si="17"/>
        <v>0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0</v>
      </c>
      <c r="AZ65" s="138" t="str">
        <f>Uitslag!P65</f>
        <v>Nigel de Jong (m)</v>
      </c>
      <c r="BA65" s="140">
        <f t="shared" si="12"/>
        <v>0</v>
      </c>
      <c r="BB65" s="139">
        <f t="shared" si="22"/>
        <v>0</v>
      </c>
    </row>
    <row r="66" spans="2:54" ht="15.75" thickBot="1">
      <c r="B66" s="261">
        <v>56</v>
      </c>
      <c r="C66" s="339">
        <v>41821</v>
      </c>
      <c r="D66" s="338" t="str">
        <f t="shared" si="23"/>
        <v>Rusland</v>
      </c>
      <c r="E66" s="264" t="s">
        <v>9</v>
      </c>
      <c r="F66" s="288" t="str">
        <f t="shared" si="24"/>
        <v>Portugal</v>
      </c>
      <c r="G66" s="314">
        <v>2</v>
      </c>
      <c r="H66" s="264" t="s">
        <v>9</v>
      </c>
      <c r="I66" s="329">
        <v>2</v>
      </c>
      <c r="J66" s="330">
        <v>1</v>
      </c>
      <c r="K66" s="283" t="s">
        <v>82</v>
      </c>
      <c r="L66" s="283" t="s">
        <v>78</v>
      </c>
      <c r="M66" s="283"/>
      <c r="N66" s="228"/>
      <c r="O66" s="334">
        <v>9</v>
      </c>
      <c r="P66" s="877" t="s">
        <v>214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3"/>
        <v>5</v>
      </c>
      <c r="Z66" t="str">
        <f>IF(K66=""," ",VLOOKUP(K66,$T$9:$V$54,3,FALSE))</f>
        <v>Rusland</v>
      </c>
      <c r="AA66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5</v>
      </c>
      <c r="AG66" s="108">
        <f t="shared" si="16"/>
        <v>0</v>
      </c>
      <c r="AH66" s="108">
        <f t="shared" si="17"/>
        <v>0</v>
      </c>
      <c r="AI66" s="108">
        <f t="shared" si="18"/>
        <v>0</v>
      </c>
      <c r="AJ66" s="108">
        <f t="shared" si="19"/>
        <v>0</v>
      </c>
      <c r="AK66" s="108">
        <f t="shared" si="20"/>
        <v>0</v>
      </c>
      <c r="AL66" s="108">
        <f t="shared" si="21"/>
        <v>5</v>
      </c>
      <c r="AZ66" s="138" t="str">
        <f>Uitslag!P66</f>
        <v>Jonathan de Guzman (m)</v>
      </c>
      <c r="BA66" s="140">
        <f t="shared" si="12"/>
        <v>3</v>
      </c>
      <c r="BB66" s="139">
        <f t="shared" si="22"/>
        <v>3</v>
      </c>
    </row>
    <row r="67" spans="2:54" ht="15.75" thickBot="1">
      <c r="B67" s="229"/>
      <c r="C67" s="267"/>
      <c r="D67" s="268"/>
      <c r="E67" s="229"/>
      <c r="F67" s="268"/>
      <c r="G67" s="229"/>
      <c r="H67" s="229"/>
      <c r="I67" s="229"/>
      <c r="J67" s="229"/>
      <c r="K67" s="229"/>
      <c r="L67" s="229"/>
      <c r="M67" s="229"/>
      <c r="N67" s="228"/>
      <c r="O67" s="334">
        <v>10</v>
      </c>
      <c r="P67" s="877" t="s">
        <v>216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2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303"/>
      <c r="K68" s="229"/>
      <c r="L68" s="229"/>
      <c r="M68" s="229"/>
      <c r="N68" s="228"/>
      <c r="O68" s="334">
        <v>11</v>
      </c>
      <c r="P68" s="877" t="s">
        <v>215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2"/>
        <v>3</v>
      </c>
    </row>
    <row r="69" spans="2:54">
      <c r="B69" s="304" t="s">
        <v>1</v>
      </c>
      <c r="C69" s="305" t="s">
        <v>2</v>
      </c>
      <c r="D69" s="306" t="s">
        <v>3</v>
      </c>
      <c r="E69" s="307"/>
      <c r="F69" s="308" t="s">
        <v>4</v>
      </c>
      <c r="G69" s="867" t="s">
        <v>5</v>
      </c>
      <c r="H69" s="868"/>
      <c r="I69" s="869"/>
      <c r="J69" s="309" t="s">
        <v>6</v>
      </c>
      <c r="K69" s="229"/>
      <c r="L69" s="229"/>
      <c r="M69" s="229"/>
      <c r="N69" s="228"/>
      <c r="O69" s="228"/>
      <c r="P69" s="228"/>
      <c r="Q69" s="228"/>
      <c r="R69" s="228"/>
      <c r="S69" s="228"/>
      <c r="T69" s="228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30</v>
      </c>
      <c r="BB69" s="139" t="str">
        <f>IF(AND(BA69&lt;&gt;"",BA69=33),15,"nvt")</f>
        <v>nvt</v>
      </c>
    </row>
    <row r="70" spans="2:54">
      <c r="B70" s="240">
        <v>57</v>
      </c>
      <c r="C70" s="241">
        <v>41824</v>
      </c>
      <c r="D70" s="281" t="str">
        <f>IF(J63="","Winnaar 53",IF(J63=1,D63,F63))</f>
        <v>Frankrijk</v>
      </c>
      <c r="E70" s="243" t="s">
        <v>9</v>
      </c>
      <c r="F70" s="282" t="str">
        <f>IF(J64="","Winnaar 54",IF(J64=1,D64,F64))</f>
        <v>Duitsland</v>
      </c>
      <c r="G70" s="311">
        <v>1</v>
      </c>
      <c r="H70" s="243" t="s">
        <v>9</v>
      </c>
      <c r="I70" s="323">
        <v>2</v>
      </c>
      <c r="J70" s="324">
        <v>2</v>
      </c>
      <c r="K70" s="229"/>
      <c r="L70" s="229"/>
      <c r="M70" s="229"/>
      <c r="N70" s="228"/>
      <c r="O70" s="228"/>
      <c r="P70" s="228"/>
      <c r="Q70" s="228"/>
      <c r="R70" s="228"/>
      <c r="S70" s="228"/>
      <c r="T70" s="228"/>
      <c r="V70" t="s">
        <v>133</v>
      </c>
      <c r="W70" t="s">
        <v>126</v>
      </c>
      <c r="X70" t="str">
        <f t="shared" si="11"/>
        <v>Karim Rekik (v)</v>
      </c>
      <c r="Y70" s="109">
        <f>AF70</f>
        <v>5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5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252">
        <v>58</v>
      </c>
      <c r="C71" s="253">
        <v>41824</v>
      </c>
      <c r="D71" s="284" t="str">
        <f>IF(J59="","Winnaar 49",IF(J59=1,D59,F59))</f>
        <v>Brazilië</v>
      </c>
      <c r="E71" s="255" t="s">
        <v>9</v>
      </c>
      <c r="F71" s="285" t="str">
        <f>IF(J60="","Winnaar 50",IF(J60=1,D60,F60))</f>
        <v>Italië</v>
      </c>
      <c r="G71" s="313">
        <v>3</v>
      </c>
      <c r="H71" s="255" t="s">
        <v>9</v>
      </c>
      <c r="I71" s="325">
        <v>2</v>
      </c>
      <c r="J71" s="326">
        <v>1</v>
      </c>
      <c r="K71" s="229"/>
      <c r="L71" s="229"/>
      <c r="M71" s="229"/>
      <c r="N71" s="228"/>
      <c r="O71" s="228"/>
      <c r="P71" s="228"/>
      <c r="Q71" s="228"/>
      <c r="R71" s="228"/>
      <c r="S71" s="228"/>
      <c r="T71" s="228"/>
      <c r="V71" t="s">
        <v>133</v>
      </c>
      <c r="W71" t="s">
        <v>194</v>
      </c>
      <c r="X71" t="str">
        <f t="shared" si="11"/>
        <v>Ron Vlaar (v)</v>
      </c>
      <c r="Y71" s="109">
        <f>AF71</f>
        <v>5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5</v>
      </c>
      <c r="AG71" s="108">
        <f>IF(AC71="",0,(IF(G71=AC71,1,0)))</f>
        <v>0</v>
      </c>
      <c r="AH71" s="108">
        <f>IF(AD71="",0,(IF(I71=AD71,1,0)))</f>
        <v>0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240">
        <v>59</v>
      </c>
      <c r="C72" s="241">
        <v>41825</v>
      </c>
      <c r="D72" s="281" t="str">
        <f>IF(J65="","Winnaar 55",IF(J65=1,D65,F65))</f>
        <v>Argentinië</v>
      </c>
      <c r="E72" s="243" t="s">
        <v>9</v>
      </c>
      <c r="F72" s="282" t="str">
        <f>IF(J66="","Winnaar 56",IF(J66=1,D66,F66))</f>
        <v>Rusland</v>
      </c>
      <c r="G72" s="311">
        <v>3</v>
      </c>
      <c r="H72" s="243" t="s">
        <v>9</v>
      </c>
      <c r="I72" s="323">
        <v>0</v>
      </c>
      <c r="J72" s="324">
        <v>1</v>
      </c>
      <c r="K72" s="229"/>
      <c r="L72" s="229"/>
      <c r="M72" s="229"/>
      <c r="N72" s="228"/>
      <c r="O72" s="228"/>
      <c r="P72" s="228"/>
      <c r="Q72" s="228"/>
      <c r="R72" s="228"/>
      <c r="S72" s="228"/>
      <c r="T72" s="228"/>
      <c r="V72" t="s">
        <v>133</v>
      </c>
      <c r="W72" t="s">
        <v>195</v>
      </c>
      <c r="X72" t="str">
        <f t="shared" si="11"/>
        <v>John Heitinga (v)</v>
      </c>
      <c r="Y72" s="109">
        <f>AF72</f>
        <v>6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6</v>
      </c>
      <c r="AG72" s="108">
        <f>IF(AC72="",0,(IF(G72=AC72,1,0)))</f>
        <v>0</v>
      </c>
      <c r="AH72" s="108">
        <f>IF(AD72="",0,(IF(I72=AD72,1,0)))</f>
        <v>1</v>
      </c>
      <c r="AI72" s="108">
        <f>IF(AND(AG72=1,AH72=1),10,0)</f>
        <v>0</v>
      </c>
      <c r="AJ72" s="108">
        <f>IF(AND(G72&gt;I72,AC72&gt;AD72),5,0)</f>
        <v>5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261">
        <v>60</v>
      </c>
      <c r="C73" s="262">
        <v>41825</v>
      </c>
      <c r="D73" s="287" t="str">
        <f>IF(J61="","Winnaar 51",IF(J61=1,D61,F61))</f>
        <v>Nederland</v>
      </c>
      <c r="E73" s="264" t="s">
        <v>9</v>
      </c>
      <c r="F73" s="288" t="str">
        <f>IF(J62="","Winnaar 52",IF(J62=1,D62,F62))</f>
        <v>Engeland</v>
      </c>
      <c r="G73" s="314">
        <v>2</v>
      </c>
      <c r="H73" s="264" t="s">
        <v>9</v>
      </c>
      <c r="I73" s="329">
        <v>1</v>
      </c>
      <c r="J73" s="330">
        <v>1</v>
      </c>
      <c r="K73" s="229"/>
      <c r="L73" s="229"/>
      <c r="M73" s="229"/>
      <c r="N73" s="228"/>
      <c r="O73" s="228"/>
      <c r="P73" s="228"/>
      <c r="Q73" s="228"/>
      <c r="R73" s="228"/>
      <c r="S73" s="228"/>
      <c r="T73" s="228"/>
      <c r="V73" t="s">
        <v>133</v>
      </c>
      <c r="W73" t="s">
        <v>196</v>
      </c>
      <c r="X73" t="str">
        <f t="shared" si="11"/>
        <v>Urby Emanuelson (v)</v>
      </c>
      <c r="Y73" s="109">
        <f>AF73</f>
        <v>0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0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229"/>
      <c r="C74" s="267"/>
      <c r="D74" s="268"/>
      <c r="E74" s="229"/>
      <c r="F74" s="268"/>
      <c r="G74" s="229"/>
      <c r="H74" s="229"/>
      <c r="I74" s="229"/>
      <c r="J74" s="229"/>
      <c r="K74" s="229"/>
      <c r="L74" s="229"/>
      <c r="M74" s="229"/>
      <c r="N74" s="228"/>
      <c r="O74" s="228"/>
      <c r="P74" s="228"/>
      <c r="Q74" s="228"/>
      <c r="R74" s="228"/>
      <c r="S74" s="228"/>
      <c r="T74" s="228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303"/>
      <c r="K75" s="229"/>
      <c r="L75" s="229"/>
      <c r="M75" s="229"/>
      <c r="N75" s="228"/>
      <c r="O75" s="228"/>
      <c r="P75" s="228"/>
      <c r="Q75" s="228"/>
      <c r="R75" s="228"/>
      <c r="S75" s="228"/>
      <c r="T75" s="228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304" t="s">
        <v>1</v>
      </c>
      <c r="C76" s="305" t="s">
        <v>2</v>
      </c>
      <c r="D76" s="306" t="s">
        <v>3</v>
      </c>
      <c r="E76" s="307"/>
      <c r="F76" s="308" t="s">
        <v>4</v>
      </c>
      <c r="G76" s="867" t="s">
        <v>5</v>
      </c>
      <c r="H76" s="868"/>
      <c r="I76" s="869"/>
      <c r="J76" s="309" t="s">
        <v>6</v>
      </c>
      <c r="K76" s="229"/>
      <c r="L76" s="229"/>
      <c r="M76" s="229"/>
      <c r="N76" s="228"/>
      <c r="O76" s="228"/>
      <c r="P76" s="228"/>
      <c r="Q76" s="228"/>
      <c r="R76" s="228"/>
      <c r="S76" s="228"/>
      <c r="T76" s="228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240">
        <v>61</v>
      </c>
      <c r="C77" s="241">
        <v>41828</v>
      </c>
      <c r="D77" s="281" t="str">
        <f>IF(J70="","Winnaar 57",IF(J70=1,D70,F70))</f>
        <v>Duitsland</v>
      </c>
      <c r="E77" s="243" t="s">
        <v>9</v>
      </c>
      <c r="F77" s="282" t="str">
        <f>IF(J71="","Winnaar 58",IF(J71=1,D71,F71))</f>
        <v>Brazilië</v>
      </c>
      <c r="G77" s="311">
        <v>1</v>
      </c>
      <c r="H77" s="243" t="s">
        <v>9</v>
      </c>
      <c r="I77" s="323">
        <v>3</v>
      </c>
      <c r="J77" s="324">
        <v>2</v>
      </c>
      <c r="K77" s="229"/>
      <c r="L77" s="229"/>
      <c r="M77" s="229"/>
      <c r="N77" s="228"/>
      <c r="O77" s="228"/>
      <c r="P77" s="228"/>
      <c r="Q77" s="228"/>
      <c r="R77" s="228"/>
      <c r="S77" s="228"/>
      <c r="T77" s="228"/>
      <c r="V77" t="s">
        <v>134</v>
      </c>
      <c r="W77" t="s">
        <v>203</v>
      </c>
      <c r="X77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261">
        <v>62</v>
      </c>
      <c r="C78" s="262">
        <v>41829</v>
      </c>
      <c r="D78" s="287" t="str">
        <f>IF(J72="","Winnaar 59",IF(J72=1,D72,F72))</f>
        <v>Argentinië</v>
      </c>
      <c r="E78" s="264" t="s">
        <v>9</v>
      </c>
      <c r="F78" s="288" t="str">
        <f>IF(J73="","Winnaar 60",IF(J73=1,D73,F73))</f>
        <v>Nederland</v>
      </c>
      <c r="G78" s="314">
        <v>1</v>
      </c>
      <c r="H78" s="264" t="s">
        <v>9</v>
      </c>
      <c r="I78" s="329">
        <v>2</v>
      </c>
      <c r="J78" s="330">
        <v>2</v>
      </c>
      <c r="K78" s="229"/>
      <c r="L78" s="229"/>
      <c r="M78" s="229"/>
      <c r="N78" s="228"/>
      <c r="O78" s="228"/>
      <c r="P78" s="228"/>
      <c r="Q78" s="228"/>
      <c r="R78" s="228"/>
      <c r="S78" s="228"/>
      <c r="T78" s="228"/>
      <c r="V78" t="s">
        <v>134</v>
      </c>
      <c r="W78" t="s">
        <v>199</v>
      </c>
      <c r="X78" t="str">
        <f t="shared" si="11"/>
        <v>Leroy Fer (m)</v>
      </c>
      <c r="Y78" s="109">
        <f>AF78</f>
        <v>0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0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229"/>
      <c r="C79" s="267"/>
      <c r="D79" s="268"/>
      <c r="E79" s="229"/>
      <c r="F79" s="268"/>
      <c r="G79" s="229"/>
      <c r="H79" s="229"/>
      <c r="I79" s="229"/>
      <c r="J79" s="229"/>
      <c r="K79" s="229"/>
      <c r="L79" s="229"/>
      <c r="M79" s="229"/>
      <c r="N79" s="228"/>
      <c r="O79" s="228"/>
      <c r="P79" s="228"/>
      <c r="Q79" s="228"/>
      <c r="R79" s="228"/>
      <c r="S79" s="228"/>
      <c r="T79" s="228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303"/>
      <c r="K80" s="229"/>
      <c r="L80" s="229"/>
      <c r="M80" s="229"/>
      <c r="N80" s="228"/>
      <c r="O80" s="228"/>
      <c r="P80" s="228"/>
      <c r="Q80" s="228"/>
      <c r="R80" s="228"/>
      <c r="S80" s="228"/>
      <c r="T80" s="228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304" t="s">
        <v>1</v>
      </c>
      <c r="C81" s="305" t="s">
        <v>2</v>
      </c>
      <c r="D81" s="306" t="s">
        <v>3</v>
      </c>
      <c r="E81" s="307"/>
      <c r="F81" s="308" t="s">
        <v>4</v>
      </c>
      <c r="G81" s="867" t="s">
        <v>5</v>
      </c>
      <c r="H81" s="868"/>
      <c r="I81" s="869"/>
      <c r="J81" s="309" t="s">
        <v>6</v>
      </c>
      <c r="K81" s="229"/>
      <c r="L81" s="229"/>
      <c r="M81" s="229"/>
      <c r="N81" s="228"/>
      <c r="O81" s="228"/>
      <c r="P81" s="228"/>
      <c r="Q81" s="228"/>
      <c r="R81" s="228"/>
      <c r="S81" s="228"/>
      <c r="T81" s="228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230">
        <v>63</v>
      </c>
      <c r="C82" s="289">
        <v>41832</v>
      </c>
      <c r="D82" s="290" t="str">
        <f>IF(J77="","Verliezer 61",IF(J77=1,F77,D77))</f>
        <v>Duitsland</v>
      </c>
      <c r="E82" s="231" t="s">
        <v>9</v>
      </c>
      <c r="F82" s="291" t="str">
        <f>IF(J78="","Verliezer 62",IF(J78=1,F78,D78))</f>
        <v>Argentinië</v>
      </c>
      <c r="G82" s="331">
        <v>1</v>
      </c>
      <c r="H82" s="231" t="s">
        <v>9</v>
      </c>
      <c r="I82" s="332">
        <v>2</v>
      </c>
      <c r="J82" s="333">
        <v>2</v>
      </c>
      <c r="K82" s="229"/>
      <c r="L82" s="229"/>
      <c r="M82" s="229"/>
      <c r="N82" s="228"/>
      <c r="O82" s="228"/>
      <c r="P82" s="228"/>
      <c r="Q82" s="228"/>
      <c r="R82" s="228"/>
      <c r="S82" s="228"/>
      <c r="T82" s="228"/>
      <c r="V82" t="s">
        <v>134</v>
      </c>
      <c r="W82" t="s">
        <v>125</v>
      </c>
      <c r="X82" t="str">
        <f t="shared" si="11"/>
        <v>Georginio Wijnaldum (m)</v>
      </c>
      <c r="Y82" s="109">
        <f>AF82</f>
        <v>5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5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5</v>
      </c>
      <c r="AL82" s="108">
        <f>IF(AND(G82=I82,AC82=AD82),5,0)</f>
        <v>0</v>
      </c>
    </row>
    <row r="83" spans="2:50" ht="15.75" thickBot="1">
      <c r="B83" s="229"/>
      <c r="C83" s="267"/>
      <c r="D83" s="268"/>
      <c r="E83" s="229"/>
      <c r="F83" s="268"/>
      <c r="G83" s="229"/>
      <c r="H83" s="229"/>
      <c r="I83" s="229"/>
      <c r="J83" s="229"/>
      <c r="K83" s="229"/>
      <c r="L83" s="229"/>
      <c r="M83" s="229"/>
      <c r="N83" s="228"/>
      <c r="O83" s="228"/>
      <c r="P83" s="228"/>
      <c r="Q83" s="228"/>
      <c r="R83" s="228"/>
      <c r="S83" s="228"/>
      <c r="T83" s="228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303"/>
      <c r="K84" s="229"/>
      <c r="L84" s="229"/>
      <c r="M84" s="229"/>
      <c r="N84" s="228"/>
      <c r="O84" s="228"/>
      <c r="P84" s="228"/>
      <c r="Q84" s="228"/>
      <c r="R84" s="228"/>
      <c r="S84" s="228"/>
      <c r="T84" s="228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304" t="s">
        <v>1</v>
      </c>
      <c r="C85" s="305" t="s">
        <v>2</v>
      </c>
      <c r="D85" s="306" t="s">
        <v>3</v>
      </c>
      <c r="E85" s="307"/>
      <c r="F85" s="308" t="s">
        <v>4</v>
      </c>
      <c r="G85" s="867" t="s">
        <v>5</v>
      </c>
      <c r="H85" s="868"/>
      <c r="I85" s="869"/>
      <c r="J85" s="309" t="s">
        <v>6</v>
      </c>
      <c r="K85" s="229"/>
      <c r="L85" s="229"/>
      <c r="M85" s="229"/>
      <c r="N85" s="228"/>
      <c r="O85" s="228"/>
      <c r="P85" s="228"/>
      <c r="Q85" s="228"/>
      <c r="R85" s="228"/>
      <c r="S85" s="228"/>
      <c r="T85" s="228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230">
        <v>64</v>
      </c>
      <c r="C86" s="289">
        <v>41833</v>
      </c>
      <c r="D86" s="290" t="str">
        <f>IF(J77="","Winnaar 61",IF(J77=1,D77,F77))</f>
        <v>Brazilië</v>
      </c>
      <c r="E86" s="231" t="s">
        <v>9</v>
      </c>
      <c r="F86" s="291" t="str">
        <f>IF(J78="","Winnaar 62",IF(J78=1,D78,F78))</f>
        <v>Nederland</v>
      </c>
      <c r="G86" s="331">
        <v>1</v>
      </c>
      <c r="H86" s="231" t="s">
        <v>9</v>
      </c>
      <c r="I86" s="332">
        <v>2</v>
      </c>
      <c r="J86" s="333">
        <v>2</v>
      </c>
      <c r="K86" s="229"/>
      <c r="L86" s="229"/>
      <c r="M86" s="229"/>
      <c r="N86" s="228"/>
      <c r="O86" s="228"/>
      <c r="P86" s="228"/>
      <c r="Q86" s="228"/>
      <c r="R86" s="228"/>
      <c r="S86" s="228"/>
      <c r="T86" s="228"/>
      <c r="V86" t="s">
        <v>134</v>
      </c>
      <c r="W86" t="s">
        <v>139</v>
      </c>
      <c r="X86" t="str">
        <f t="shared" si="11"/>
        <v>Nigel de Jong (m)</v>
      </c>
      <c r="Y86" s="109">
        <f>AF86</f>
        <v>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0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Nederland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5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5</v>
      </c>
      <c r="AV89">
        <f>IF(AR89=0,0,IF(E89=AR89,50,0))</f>
        <v>0</v>
      </c>
      <c r="AW89">
        <f>IF(E89=0,0,IF(OR(E89=AR90),15,0))</f>
        <v>0</v>
      </c>
      <c r="AX89">
        <f>IF(E89=0,0,IF(OR(E89=AR91,E89=AR92),5,0))</f>
        <v>5</v>
      </c>
    </row>
    <row r="90" spans="2:50">
      <c r="C90" s="870">
        <v>2</v>
      </c>
      <c r="D90" s="871"/>
      <c r="E90" s="872" t="str">
        <f>IF(J86=2,D86,IF(J86=1,F86,"Wie wordt 2de?"))</f>
        <v>Brazilië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5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5</v>
      </c>
      <c r="AV90">
        <f>IF(AR90=0,0,IF(AR90=E90,25,0))</f>
        <v>0</v>
      </c>
      <c r="AW90">
        <f>IF(E90=0,0,IF(OR(E90=AR89,),15,0))</f>
        <v>0</v>
      </c>
      <c r="AX90">
        <f>IF(E90=0,0,IF(OR(E90=AR91,E90=AR92),5,0))</f>
        <v>5</v>
      </c>
    </row>
    <row r="91" spans="2:50">
      <c r="C91" s="870">
        <v>3</v>
      </c>
      <c r="D91" s="871"/>
      <c r="E91" s="872" t="str">
        <f>IF(J82=1,D82,IF(J82=2,F82,"Wie wordt 3de?"))</f>
        <v>Argentinië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5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5</v>
      </c>
      <c r="AV91">
        <f>IF(AR91=0,0,IF(AR91=E91,15,0))</f>
        <v>0</v>
      </c>
      <c r="AW91">
        <f>IF(E91=0,0,IF(OR(E91=AR92),10,0))</f>
        <v>0</v>
      </c>
      <c r="AX91">
        <f>IF(E91=0,0,IF(OR(E91=AR89,E91=AR90),5,0))</f>
        <v>5</v>
      </c>
    </row>
    <row r="92" spans="2:50">
      <c r="C92" s="870">
        <v>4</v>
      </c>
      <c r="D92" s="871"/>
      <c r="E92" s="872" t="str">
        <f>IF(J82=2,D82,IF(J82=1,F82,"Wie wordt 4de?"))</f>
        <v>Duitsland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5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5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5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20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conditionalFormatting sqref="AO9:AO12 AO15:AO18 AO21:AO24 AO27:AO30 AO33:AO36 AO39:AO42 AO45:AO48 AO51:AO54">
    <cfRule type="cellIs" dxfId="176" priority="3" operator="equal">
      <formula>10</formula>
    </cfRule>
  </conditionalFormatting>
  <conditionalFormatting sqref="P58:T58">
    <cfRule type="duplicateValues" dxfId="175" priority="2"/>
  </conditionalFormatting>
  <conditionalFormatting sqref="P58:T68">
    <cfRule type="duplicateValues" dxfId="174" priority="1"/>
  </conditionalFormatting>
  <dataValidations count="10">
    <dataValidation type="list" allowBlank="1" showInputMessage="1" showErrorMessage="1" sqref="P58:P68">
      <formula1>$X$58:$X$98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51:T54">
      <formula1>$W$51:$W$54</formula1>
    </dataValidation>
  </dataValidation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B1:BB98"/>
  <sheetViews>
    <sheetView topLeftCell="A37" zoomScale="70" zoomScaleNormal="70" workbookViewId="0">
      <selection activeCell="P58" sqref="P58:T68"/>
    </sheetView>
  </sheetViews>
  <sheetFormatPr defaultRowHeight="15" outlineLevelCol="2"/>
  <cols>
    <col min="1" max="1" width="3.42578125" customWidth="1"/>
    <col min="2" max="2" width="3.5703125" bestFit="1" customWidth="1"/>
    <col min="3" max="3" width="11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337</v>
      </c>
      <c r="E3" s="145"/>
      <c r="F3" s="145"/>
      <c r="N3" t="str">
        <f>D3</f>
        <v>Jacco S. (introducee Martin S.)</v>
      </c>
      <c r="O3" s="144">
        <f>SUM(P3:S3)</f>
        <v>349</v>
      </c>
      <c r="P3" s="109">
        <f>SUM(Y8:Y86)</f>
        <v>194</v>
      </c>
      <c r="Q3" s="109">
        <f>SUM(AM4:AM55)</f>
        <v>110</v>
      </c>
      <c r="R3" s="109">
        <f>SUM(AP89:AP92)</f>
        <v>15</v>
      </c>
      <c r="S3" s="109">
        <f>SUM(BB58:BB69)</f>
        <v>30</v>
      </c>
      <c r="T3" s="109">
        <f>COUNTIF(AF8:AF86,10)</f>
        <v>5</v>
      </c>
      <c r="U3" s="109" t="str">
        <f>E89</f>
        <v>Brazilië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229"/>
      <c r="L6" s="229"/>
      <c r="M6" s="228"/>
      <c r="N6" s="228"/>
      <c r="O6" s="268"/>
      <c r="P6" s="269"/>
      <c r="Q6" s="269"/>
      <c r="R6" s="269"/>
      <c r="S6" s="269"/>
      <c r="T6" s="269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292" t="s">
        <v>1</v>
      </c>
      <c r="C7" s="293" t="s">
        <v>2</v>
      </c>
      <c r="D7" s="349" t="s">
        <v>3</v>
      </c>
      <c r="E7" s="295"/>
      <c r="F7" s="350" t="s">
        <v>4</v>
      </c>
      <c r="G7" s="880" t="s">
        <v>5</v>
      </c>
      <c r="H7" s="881"/>
      <c r="I7" s="882"/>
      <c r="J7" s="297" t="s">
        <v>6</v>
      </c>
      <c r="K7" s="232" t="s">
        <v>7</v>
      </c>
      <c r="L7" s="232" t="s">
        <v>7</v>
      </c>
      <c r="M7" s="228"/>
      <c r="N7" s="228"/>
      <c r="O7" s="229"/>
      <c r="P7" s="269"/>
      <c r="Q7" s="269"/>
      <c r="R7" s="269"/>
      <c r="S7" s="269"/>
      <c r="T7" s="269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233">
        <v>1</v>
      </c>
      <c r="C8" s="234">
        <v>41802</v>
      </c>
      <c r="D8" s="235" t="s">
        <v>8</v>
      </c>
      <c r="E8" s="236" t="s">
        <v>9</v>
      </c>
      <c r="F8" s="237" t="s">
        <v>10</v>
      </c>
      <c r="G8" s="310">
        <v>2</v>
      </c>
      <c r="H8" s="236" t="s">
        <v>9</v>
      </c>
      <c r="I8" s="347">
        <v>0</v>
      </c>
      <c r="J8" s="238">
        <f>IF(I8="","",IF(G8&gt;I8,1,IF(G8&lt;I8,2,3)))</f>
        <v>1</v>
      </c>
      <c r="K8" s="239">
        <f>IF(I8="","",IF($G8&gt;$I8,3,IF($G8=$I8,1,0)))</f>
        <v>3</v>
      </c>
      <c r="L8" s="239">
        <f>IF(I8="","",IF($G8&lt;$I8,3,IF($G8=$I8,1,0)))</f>
        <v>0</v>
      </c>
      <c r="M8" s="228"/>
      <c r="N8" s="228"/>
      <c r="O8" s="298" t="s">
        <v>41</v>
      </c>
      <c r="P8" s="299" t="s">
        <v>42</v>
      </c>
      <c r="Q8" s="299" t="s">
        <v>43</v>
      </c>
      <c r="R8" s="300" t="s">
        <v>44</v>
      </c>
      <c r="S8" s="301" t="s">
        <v>45</v>
      </c>
      <c r="T8" s="302" t="s">
        <v>46</v>
      </c>
      <c r="U8" s="40"/>
      <c r="V8" s="40"/>
      <c r="W8" s="40"/>
      <c r="Y8" s="109">
        <f>AF8</f>
        <v>5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5</v>
      </c>
      <c r="AG8" s="108">
        <f t="shared" ref="AG8:AG55" si="0">IF(AC8="",0,(IF(G8=AC8,1,0)))</f>
        <v>0</v>
      </c>
      <c r="AH8" s="108">
        <f t="shared" ref="AH8:AH55" si="1">IF(AD8="",0,(IF(I8=AD8,1,0)))</f>
        <v>0</v>
      </c>
      <c r="AI8" s="108">
        <f>IF(AND(AG8=1,AH8=1),10,0)</f>
        <v>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240">
        <v>2</v>
      </c>
      <c r="C9" s="241">
        <v>41803</v>
      </c>
      <c r="D9" s="242" t="s">
        <v>11</v>
      </c>
      <c r="E9" s="243" t="s">
        <v>9</v>
      </c>
      <c r="F9" s="244" t="s">
        <v>12</v>
      </c>
      <c r="G9" s="311">
        <v>1</v>
      </c>
      <c r="H9" s="243" t="s">
        <v>9</v>
      </c>
      <c r="I9" s="316">
        <v>0</v>
      </c>
      <c r="J9" s="245">
        <f t="shared" ref="J9:J55" si="5">IF(I9="","",IF(G9&gt;I9,1,IF(G9&lt;I9,2,3)))</f>
        <v>1</v>
      </c>
      <c r="K9" s="239">
        <f t="shared" ref="K9:K55" si="6">IF(I9="","",IF($G9&gt;$I9,3,IF($G9=$I9,1,0)))</f>
        <v>3</v>
      </c>
      <c r="L9" s="239">
        <f t="shared" ref="L9:L55" si="7">IF(I9="","",IF($G9&lt;$I9,3,IF($G9=$I9,1,0)))</f>
        <v>0</v>
      </c>
      <c r="M9" s="228"/>
      <c r="N9" s="228"/>
      <c r="O9" s="270" t="s">
        <v>8</v>
      </c>
      <c r="P9" s="271">
        <f>SUMIF($D$8:$D$55,$O9,$G$8:$G$55)+SUMIF($F$8:$F$55,$O9,$I$8:$I$55)</f>
        <v>8</v>
      </c>
      <c r="Q9" s="271">
        <f>SUMIF($D$8:$D$55,$O9,$I$8:$I$55)+SUMIF($F$8:$F$55,$O9,$G$8:$G$55)</f>
        <v>2</v>
      </c>
      <c r="R9" s="272">
        <f>P9-Q9</f>
        <v>6</v>
      </c>
      <c r="S9" s="273">
        <f>SUMIF($D$8:$D$55,$O9,$K$8:$K$55)+SUMIF($F$8:$F$55,$O9,$L$8:$L$55)</f>
        <v>9</v>
      </c>
      <c r="T9" s="320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10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10</v>
      </c>
      <c r="AG9" s="108">
        <f t="shared" si="0"/>
        <v>1</v>
      </c>
      <c r="AH9" s="108">
        <f t="shared" si="1"/>
        <v>1</v>
      </c>
      <c r="AI9" s="108">
        <f t="shared" ref="AI9:AI55" si="10">IF(AND(AG9=1,AH9=1),10,0)</f>
        <v>10</v>
      </c>
      <c r="AJ9" s="108">
        <f t="shared" si="2"/>
        <v>5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246">
        <v>3</v>
      </c>
      <c r="C10" s="247">
        <v>41803</v>
      </c>
      <c r="D10" s="248" t="s">
        <v>13</v>
      </c>
      <c r="E10" s="249" t="s">
        <v>9</v>
      </c>
      <c r="F10" s="250" t="s">
        <v>14</v>
      </c>
      <c r="G10" s="312">
        <v>2</v>
      </c>
      <c r="H10" s="249" t="s">
        <v>9</v>
      </c>
      <c r="I10" s="317">
        <v>1</v>
      </c>
      <c r="J10" s="251">
        <f t="shared" si="5"/>
        <v>1</v>
      </c>
      <c r="K10" s="239">
        <f t="shared" si="6"/>
        <v>3</v>
      </c>
      <c r="L10" s="239">
        <f t="shared" si="7"/>
        <v>0</v>
      </c>
      <c r="M10" s="228"/>
      <c r="N10" s="228"/>
      <c r="O10" s="274" t="s">
        <v>10</v>
      </c>
      <c r="P10" s="275">
        <f>SUMIF($D$8:$D$55,$O10,$G$8:$G$55)+SUMIF($F$8:$F$55,$O10,$I$8:$I$55)</f>
        <v>4</v>
      </c>
      <c r="Q10" s="275">
        <f>SUMIF($D$8:$D$55,$O10,$I$8:$I$55)+SUMIF($F$8:$F$55,$O10,$G$8:$G$55)</f>
        <v>4</v>
      </c>
      <c r="R10" s="275">
        <f>P10-Q10</f>
        <v>0</v>
      </c>
      <c r="S10" s="276">
        <f>SUMIF($D$8:$D$55,$O10,$K$8:$K$55)+SUMIF($F$8:$F$55,$O10,$L$8:$L$55)</f>
        <v>6</v>
      </c>
      <c r="T10" s="321" t="s">
        <v>49</v>
      </c>
      <c r="U10" s="40"/>
      <c r="V10" s="40" t="str">
        <f>O10</f>
        <v>Kroatië</v>
      </c>
      <c r="W10" s="40" t="s">
        <v>49</v>
      </c>
      <c r="Y10" s="109">
        <f t="shared" si="8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0</v>
      </c>
      <c r="AG10" s="108">
        <f t="shared" si="0"/>
        <v>0</v>
      </c>
      <c r="AH10" s="108">
        <f t="shared" si="1"/>
        <v>0</v>
      </c>
      <c r="AI10" s="108">
        <f t="shared" si="10"/>
        <v>0</v>
      </c>
      <c r="AJ10" s="108">
        <f t="shared" si="2"/>
        <v>0</v>
      </c>
      <c r="AK10" s="108">
        <f t="shared" si="3"/>
        <v>0</v>
      </c>
      <c r="AL10" s="108">
        <f t="shared" si="4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252">
        <v>4</v>
      </c>
      <c r="C11" s="253">
        <v>41803</v>
      </c>
      <c r="D11" s="254" t="s">
        <v>15</v>
      </c>
      <c r="E11" s="255" t="s">
        <v>9</v>
      </c>
      <c r="F11" s="256" t="s">
        <v>16</v>
      </c>
      <c r="G11" s="313">
        <v>1</v>
      </c>
      <c r="H11" s="255" t="s">
        <v>9</v>
      </c>
      <c r="I11" s="318">
        <v>0</v>
      </c>
      <c r="J11" s="257">
        <f t="shared" si="5"/>
        <v>1</v>
      </c>
      <c r="K11" s="239">
        <f t="shared" si="6"/>
        <v>3</v>
      </c>
      <c r="L11" s="239">
        <f t="shared" si="7"/>
        <v>0</v>
      </c>
      <c r="M11" s="228"/>
      <c r="N11" s="228"/>
      <c r="O11" s="274" t="s">
        <v>11</v>
      </c>
      <c r="P11" s="275">
        <f>SUMIF($D$8:$D$55,$O11,$G$8:$G$55)+SUMIF($F$8:$F$55,$O11,$I$8:$I$55)</f>
        <v>3</v>
      </c>
      <c r="Q11" s="275">
        <f>SUMIF($D$8:$D$55,$O11,$I$8:$I$55)+SUMIF($F$8:$F$55,$O11,$G$8:$G$55)</f>
        <v>5</v>
      </c>
      <c r="R11" s="275">
        <f>P11-Q11</f>
        <v>-2</v>
      </c>
      <c r="S11" s="276">
        <f>SUMIF($D$8:$D$55,$O11,$K$8:$K$55)+SUMIF($F$8:$F$55,$O11,$L$8:$L$55)</f>
        <v>3</v>
      </c>
      <c r="T11" s="321" t="s">
        <v>47</v>
      </c>
      <c r="U11" s="40"/>
      <c r="V11" s="40" t="str">
        <f>O11</f>
        <v>Mexico</v>
      </c>
      <c r="W11" s="40" t="s">
        <v>47</v>
      </c>
      <c r="Y11" s="109">
        <f t="shared" si="8"/>
        <v>5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5</v>
      </c>
      <c r="AG11" s="108">
        <f t="shared" si="0"/>
        <v>0</v>
      </c>
      <c r="AH11" s="108">
        <f t="shared" si="1"/>
        <v>0</v>
      </c>
      <c r="AI11" s="108">
        <f t="shared" si="10"/>
        <v>0</v>
      </c>
      <c r="AJ11" s="108">
        <f t="shared" si="2"/>
        <v>5</v>
      </c>
      <c r="AK11" s="108">
        <f t="shared" si="3"/>
        <v>0</v>
      </c>
      <c r="AL11" s="108">
        <f t="shared" si="4"/>
        <v>0</v>
      </c>
      <c r="AM11" s="120">
        <f>AO11</f>
        <v>0</v>
      </c>
      <c r="AN11" s="117" t="s">
        <v>11</v>
      </c>
      <c r="AO11" s="115">
        <f>IF(Uitslag!T11="",0,IF(T11=Uitslag!T11,10,0))</f>
        <v>0</v>
      </c>
    </row>
    <row r="12" spans="2:54" ht="15.75" thickBot="1">
      <c r="B12" s="240">
        <v>5</v>
      </c>
      <c r="C12" s="241">
        <v>41804</v>
      </c>
      <c r="D12" s="242" t="s">
        <v>17</v>
      </c>
      <c r="E12" s="243" t="s">
        <v>9</v>
      </c>
      <c r="F12" s="244" t="s">
        <v>18</v>
      </c>
      <c r="G12" s="311">
        <v>1</v>
      </c>
      <c r="H12" s="243" t="s">
        <v>9</v>
      </c>
      <c r="I12" s="316">
        <v>1</v>
      </c>
      <c r="J12" s="245">
        <f t="shared" si="5"/>
        <v>3</v>
      </c>
      <c r="K12" s="239">
        <f t="shared" si="6"/>
        <v>1</v>
      </c>
      <c r="L12" s="239">
        <f t="shared" si="7"/>
        <v>1</v>
      </c>
      <c r="M12" s="228"/>
      <c r="N12" s="228"/>
      <c r="O12" s="277" t="s">
        <v>12</v>
      </c>
      <c r="P12" s="278">
        <f>SUMIF($D$8:$D$55,$O12,$G$8:$G$55)+SUMIF($F$8:$F$55,$O12,$I$8:$I$55)</f>
        <v>2</v>
      </c>
      <c r="Q12" s="278">
        <f>SUMIF($D$8:$D$55,$O12,$I$8:$I$55)+SUMIF($F$8:$F$55,$O12,$G$8:$G$55)</f>
        <v>6</v>
      </c>
      <c r="R12" s="278">
        <f>P12-Q12</f>
        <v>-4</v>
      </c>
      <c r="S12" s="279">
        <f>SUMIF($D$8:$D$55,$O12,$K$8:$K$55)+SUMIF($F$8:$F$55,$O12,$L$8:$L$55)</f>
        <v>0</v>
      </c>
      <c r="T12" s="322" t="s">
        <v>50</v>
      </c>
      <c r="U12" s="40"/>
      <c r="V12" s="40" t="str">
        <f>O12</f>
        <v>Kameroen</v>
      </c>
      <c r="W12" s="40" t="s">
        <v>50</v>
      </c>
      <c r="Y12" s="109">
        <f t="shared" si="8"/>
        <v>0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0</v>
      </c>
      <c r="AG12" s="108">
        <f t="shared" si="0"/>
        <v>0</v>
      </c>
      <c r="AH12" s="108">
        <f t="shared" si="1"/>
        <v>0</v>
      </c>
      <c r="AI12" s="108">
        <f t="shared" si="10"/>
        <v>0</v>
      </c>
      <c r="AJ12" s="108">
        <f t="shared" si="2"/>
        <v>0</v>
      </c>
      <c r="AK12" s="108">
        <f t="shared" si="3"/>
        <v>0</v>
      </c>
      <c r="AL12" s="108">
        <f t="shared" si="4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246">
        <v>6</v>
      </c>
      <c r="C13" s="247">
        <v>41804</v>
      </c>
      <c r="D13" s="248" t="s">
        <v>19</v>
      </c>
      <c r="E13" s="249" t="s">
        <v>9</v>
      </c>
      <c r="F13" s="258" t="s">
        <v>20</v>
      </c>
      <c r="G13" s="312">
        <v>3</v>
      </c>
      <c r="H13" s="249" t="s">
        <v>9</v>
      </c>
      <c r="I13" s="317">
        <v>0</v>
      </c>
      <c r="J13" s="251">
        <f t="shared" si="5"/>
        <v>1</v>
      </c>
      <c r="K13" s="239">
        <f t="shared" si="6"/>
        <v>3</v>
      </c>
      <c r="L13" s="239">
        <f t="shared" si="7"/>
        <v>0</v>
      </c>
      <c r="M13" s="228"/>
      <c r="N13" s="228"/>
      <c r="O13" s="268"/>
      <c r="P13" s="269"/>
      <c r="Q13" s="269"/>
      <c r="R13" s="269"/>
      <c r="S13" s="269"/>
      <c r="T13" s="269"/>
      <c r="U13" s="40"/>
      <c r="V13" s="40"/>
      <c r="W13" s="40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0"/>
        <v>0</v>
      </c>
      <c r="AH13" s="108">
        <f t="shared" si="1"/>
        <v>0</v>
      </c>
      <c r="AI13" s="108">
        <f t="shared" si="10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40"/>
      <c r="AO13" s="41"/>
    </row>
    <row r="14" spans="2:54" ht="15.75" thickBot="1">
      <c r="B14" s="246">
        <v>7</v>
      </c>
      <c r="C14" s="247">
        <v>41804</v>
      </c>
      <c r="D14" s="248" t="s">
        <v>21</v>
      </c>
      <c r="E14" s="249" t="s">
        <v>9</v>
      </c>
      <c r="F14" s="258" t="s">
        <v>22</v>
      </c>
      <c r="G14" s="312">
        <v>0</v>
      </c>
      <c r="H14" s="249" t="s">
        <v>9</v>
      </c>
      <c r="I14" s="317">
        <v>1</v>
      </c>
      <c r="J14" s="251">
        <f t="shared" si="5"/>
        <v>2</v>
      </c>
      <c r="K14" s="239">
        <f t="shared" si="6"/>
        <v>0</v>
      </c>
      <c r="L14" s="239">
        <f t="shared" si="7"/>
        <v>3</v>
      </c>
      <c r="M14" s="228"/>
      <c r="N14" s="228"/>
      <c r="O14" s="298" t="s">
        <v>51</v>
      </c>
      <c r="P14" s="299" t="s">
        <v>42</v>
      </c>
      <c r="Q14" s="299" t="s">
        <v>43</v>
      </c>
      <c r="R14" s="300" t="s">
        <v>44</v>
      </c>
      <c r="S14" s="301" t="s">
        <v>45</v>
      </c>
      <c r="T14" s="302" t="s">
        <v>46</v>
      </c>
      <c r="U14" s="40"/>
      <c r="V14" s="40"/>
      <c r="W14" s="40"/>
      <c r="Y14" s="109">
        <f t="shared" si="8"/>
        <v>5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5</v>
      </c>
      <c r="AG14" s="108">
        <f t="shared" si="0"/>
        <v>0</v>
      </c>
      <c r="AH14" s="108">
        <f t="shared" si="1"/>
        <v>0</v>
      </c>
      <c r="AI14" s="108">
        <f t="shared" si="10"/>
        <v>0</v>
      </c>
      <c r="AJ14" s="108">
        <f t="shared" si="2"/>
        <v>0</v>
      </c>
      <c r="AK14" s="108">
        <f t="shared" si="3"/>
        <v>5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252">
        <v>8</v>
      </c>
      <c r="C15" s="253">
        <v>41804</v>
      </c>
      <c r="D15" s="254" t="s">
        <v>23</v>
      </c>
      <c r="E15" s="255" t="s">
        <v>9</v>
      </c>
      <c r="F15" s="256" t="s">
        <v>24</v>
      </c>
      <c r="G15" s="313">
        <v>1</v>
      </c>
      <c r="H15" s="255" t="s">
        <v>9</v>
      </c>
      <c r="I15" s="318">
        <v>2</v>
      </c>
      <c r="J15" s="257">
        <f t="shared" si="5"/>
        <v>2</v>
      </c>
      <c r="K15" s="239">
        <f t="shared" si="6"/>
        <v>0</v>
      </c>
      <c r="L15" s="239">
        <f t="shared" si="7"/>
        <v>3</v>
      </c>
      <c r="M15" s="228"/>
      <c r="N15" s="228"/>
      <c r="O15" s="270" t="s">
        <v>13</v>
      </c>
      <c r="P15" s="271">
        <f>SUMIF($D$8:$D$55,$O15,$G$8:$G$55)+SUMIF($F$8:$F$55,$O15,$I$8:$I$55)</f>
        <v>7</v>
      </c>
      <c r="Q15" s="271">
        <f>SUMIF($D$8:$D$55,$O15,$I$8:$I$55)+SUMIF($F$8:$F$55,$O15,$G$8:$G$55)</f>
        <v>1</v>
      </c>
      <c r="R15" s="272">
        <f>P15-Q15</f>
        <v>6</v>
      </c>
      <c r="S15" s="273">
        <f>SUMIF($D$8:$D$55,$O15,$K$8:$K$55)+SUMIF($F$8:$F$55,$O15,$L$8:$L$55)</f>
        <v>9</v>
      </c>
      <c r="T15" s="320" t="s">
        <v>52</v>
      </c>
      <c r="U15" s="40"/>
      <c r="V15" s="40" t="str">
        <f>O15</f>
        <v>Spanje</v>
      </c>
      <c r="W15" s="40" t="s">
        <v>52</v>
      </c>
      <c r="Y15" s="109">
        <f t="shared" si="8"/>
        <v>0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0</v>
      </c>
      <c r="AG15" s="108">
        <f t="shared" si="0"/>
        <v>0</v>
      </c>
      <c r="AH15" s="108">
        <f t="shared" si="1"/>
        <v>0</v>
      </c>
      <c r="AI15" s="108">
        <f t="shared" si="10"/>
        <v>0</v>
      </c>
      <c r="AJ15" s="108">
        <f t="shared" si="2"/>
        <v>0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240">
        <v>9</v>
      </c>
      <c r="C16" s="241">
        <v>41805</v>
      </c>
      <c r="D16" s="242" t="s">
        <v>25</v>
      </c>
      <c r="E16" s="243" t="s">
        <v>9</v>
      </c>
      <c r="F16" s="244" t="s">
        <v>26</v>
      </c>
      <c r="G16" s="311">
        <v>0</v>
      </c>
      <c r="H16" s="243" t="s">
        <v>9</v>
      </c>
      <c r="I16" s="316">
        <v>1</v>
      </c>
      <c r="J16" s="245">
        <f t="shared" si="5"/>
        <v>2</v>
      </c>
      <c r="K16" s="239">
        <f t="shared" si="6"/>
        <v>0</v>
      </c>
      <c r="L16" s="239">
        <f t="shared" si="7"/>
        <v>3</v>
      </c>
      <c r="M16" s="228"/>
      <c r="N16" s="228"/>
      <c r="O16" s="280" t="s">
        <v>14</v>
      </c>
      <c r="P16" s="275">
        <f>SUMIF($D$8:$D$55,$O16,$G$8:$G$55)+SUMIF($F$8:$F$55,$O16,$I$8:$I$55)</f>
        <v>5</v>
      </c>
      <c r="Q16" s="275">
        <f>SUMIF($D$8:$D$55,$O16,$I$8:$I$55)+SUMIF($F$8:$F$55,$O16,$G$8:$G$55)</f>
        <v>4</v>
      </c>
      <c r="R16" s="275">
        <f>P16-Q16</f>
        <v>1</v>
      </c>
      <c r="S16" s="276">
        <f>SUMIF($D$8:$D$55,$O16,$K$8:$K$55)+SUMIF($F$8:$F$55,$O16,$L$8:$L$55)</f>
        <v>4</v>
      </c>
      <c r="T16" s="321" t="s">
        <v>53</v>
      </c>
      <c r="U16" s="40"/>
      <c r="V16" s="40" t="str">
        <f>O16</f>
        <v>Nederland</v>
      </c>
      <c r="W16" s="40" t="s">
        <v>53</v>
      </c>
      <c r="Y16" s="109">
        <f t="shared" si="8"/>
        <v>1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1</v>
      </c>
      <c r="AG16" s="108">
        <f t="shared" si="0"/>
        <v>0</v>
      </c>
      <c r="AH16" s="108">
        <f t="shared" si="1"/>
        <v>1</v>
      </c>
      <c r="AI16" s="108">
        <f t="shared" si="10"/>
        <v>0</v>
      </c>
      <c r="AJ16" s="108">
        <f t="shared" si="2"/>
        <v>0</v>
      </c>
      <c r="AK16" s="108">
        <f t="shared" si="3"/>
        <v>0</v>
      </c>
      <c r="AL16" s="108">
        <f t="shared" si="4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246">
        <v>10</v>
      </c>
      <c r="C17" s="247">
        <v>41805</v>
      </c>
      <c r="D17" s="248" t="s">
        <v>27</v>
      </c>
      <c r="E17" s="249" t="s">
        <v>9</v>
      </c>
      <c r="F17" s="258" t="s">
        <v>28</v>
      </c>
      <c r="G17" s="312">
        <v>2</v>
      </c>
      <c r="H17" s="249" t="s">
        <v>9</v>
      </c>
      <c r="I17" s="317">
        <v>0</v>
      </c>
      <c r="J17" s="251">
        <f t="shared" si="5"/>
        <v>1</v>
      </c>
      <c r="K17" s="239">
        <f t="shared" si="6"/>
        <v>3</v>
      </c>
      <c r="L17" s="239">
        <f t="shared" si="7"/>
        <v>0</v>
      </c>
      <c r="M17" s="228"/>
      <c r="N17" s="228"/>
      <c r="O17" s="274" t="s">
        <v>15</v>
      </c>
      <c r="P17" s="275">
        <f>SUMIF($D$8:$D$55,$O17,$G$8:$G$55)+SUMIF($F$8:$F$55,$O17,$I$8:$I$55)</f>
        <v>2</v>
      </c>
      <c r="Q17" s="275">
        <f>SUMIF($D$8:$D$55,$O17,$I$8:$I$55)+SUMIF($F$8:$F$55,$O17,$G$8:$G$55)</f>
        <v>3</v>
      </c>
      <c r="R17" s="275">
        <f>P17-Q17</f>
        <v>-1</v>
      </c>
      <c r="S17" s="276">
        <f>SUMIF($D$8:$D$55,$O17,$K$8:$K$55)+SUMIF($F$8:$F$55,$O17,$L$8:$L$55)</f>
        <v>4</v>
      </c>
      <c r="T17" s="321" t="s">
        <v>54</v>
      </c>
      <c r="U17" s="40"/>
      <c r="V17" s="40" t="str">
        <f>O17</f>
        <v>Chili</v>
      </c>
      <c r="W17" s="40" t="s">
        <v>54</v>
      </c>
      <c r="Y17" s="109">
        <f t="shared" si="8"/>
        <v>6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6</v>
      </c>
      <c r="AG17" s="108">
        <f t="shared" si="0"/>
        <v>0</v>
      </c>
      <c r="AH17" s="108">
        <f t="shared" si="1"/>
        <v>1</v>
      </c>
      <c r="AI17" s="108">
        <f t="shared" si="10"/>
        <v>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252">
        <v>11</v>
      </c>
      <c r="C18" s="253">
        <v>41805</v>
      </c>
      <c r="D18" s="254" t="s">
        <v>29</v>
      </c>
      <c r="E18" s="255" t="s">
        <v>9</v>
      </c>
      <c r="F18" s="256" t="s">
        <v>30</v>
      </c>
      <c r="G18" s="313">
        <v>3</v>
      </c>
      <c r="H18" s="255" t="s">
        <v>9</v>
      </c>
      <c r="I18" s="318">
        <v>0</v>
      </c>
      <c r="J18" s="257">
        <f t="shared" si="5"/>
        <v>1</v>
      </c>
      <c r="K18" s="239">
        <f t="shared" si="6"/>
        <v>3</v>
      </c>
      <c r="L18" s="239">
        <f t="shared" si="7"/>
        <v>0</v>
      </c>
      <c r="M18" s="228"/>
      <c r="N18" s="228"/>
      <c r="O18" s="277" t="s">
        <v>16</v>
      </c>
      <c r="P18" s="278">
        <f>SUMIF($D$8:$D$55,$O18,$G$8:$G$55)+SUMIF($F$8:$F$55,$O18,$I$8:$I$55)</f>
        <v>1</v>
      </c>
      <c r="Q18" s="278">
        <f>SUMIF($D$8:$D$55,$O18,$I$8:$I$55)+SUMIF($F$8:$F$55,$O18,$G$8:$G$55)</f>
        <v>7</v>
      </c>
      <c r="R18" s="278">
        <f>P18-Q18</f>
        <v>-6</v>
      </c>
      <c r="S18" s="279">
        <f>SUMIF($D$8:$D$55,$O18,$K$8:$K$55)+SUMIF($F$8:$F$55,$O18,$L$8:$L$55)</f>
        <v>0</v>
      </c>
      <c r="T18" s="322" t="s">
        <v>55</v>
      </c>
      <c r="U18" s="40"/>
      <c r="V18" s="40" t="str">
        <f>O18</f>
        <v>Australië</v>
      </c>
      <c r="W18" s="40" t="s">
        <v>55</v>
      </c>
      <c r="Y18" s="109">
        <f t="shared" si="8"/>
        <v>5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5</v>
      </c>
      <c r="AG18" s="108">
        <f t="shared" si="0"/>
        <v>0</v>
      </c>
      <c r="AH18" s="108">
        <f t="shared" si="1"/>
        <v>0</v>
      </c>
      <c r="AI18" s="108">
        <f t="shared" si="10"/>
        <v>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240">
        <v>12</v>
      </c>
      <c r="C19" s="241">
        <v>41806</v>
      </c>
      <c r="D19" s="242" t="s">
        <v>31</v>
      </c>
      <c r="E19" s="243" t="s">
        <v>9</v>
      </c>
      <c r="F19" s="244" t="s">
        <v>32</v>
      </c>
      <c r="G19" s="311">
        <v>2</v>
      </c>
      <c r="H19" s="243" t="s">
        <v>9</v>
      </c>
      <c r="I19" s="316">
        <v>1</v>
      </c>
      <c r="J19" s="245">
        <f t="shared" si="5"/>
        <v>1</v>
      </c>
      <c r="K19" s="239">
        <f t="shared" si="6"/>
        <v>3</v>
      </c>
      <c r="L19" s="239">
        <f t="shared" si="7"/>
        <v>0</v>
      </c>
      <c r="M19" s="228"/>
      <c r="N19" s="228"/>
      <c r="O19" s="268"/>
      <c r="P19" s="269"/>
      <c r="Q19" s="269"/>
      <c r="R19" s="269"/>
      <c r="S19" s="269"/>
      <c r="T19" s="269"/>
      <c r="U19" s="40"/>
      <c r="V19" s="40"/>
      <c r="W19" s="40"/>
      <c r="Y19" s="109">
        <f t="shared" si="8"/>
        <v>5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5</v>
      </c>
      <c r="AG19" s="108">
        <f t="shared" si="0"/>
        <v>0</v>
      </c>
      <c r="AH19" s="108">
        <f t="shared" si="1"/>
        <v>0</v>
      </c>
      <c r="AI19" s="108">
        <f t="shared" si="10"/>
        <v>0</v>
      </c>
      <c r="AJ19" s="108">
        <f t="shared" si="2"/>
        <v>5</v>
      </c>
      <c r="AK19" s="108">
        <f t="shared" si="3"/>
        <v>0</v>
      </c>
      <c r="AL19" s="108">
        <f t="shared" si="4"/>
        <v>0</v>
      </c>
      <c r="AN19" s="40"/>
      <c r="AO19" s="41"/>
    </row>
    <row r="20" spans="2:41" ht="15.75" thickBot="1">
      <c r="B20" s="246">
        <v>13</v>
      </c>
      <c r="C20" s="247">
        <v>41806</v>
      </c>
      <c r="D20" s="248" t="s">
        <v>33</v>
      </c>
      <c r="E20" s="249" t="s">
        <v>9</v>
      </c>
      <c r="F20" s="258" t="s">
        <v>34</v>
      </c>
      <c r="G20" s="312">
        <v>0</v>
      </c>
      <c r="H20" s="249" t="s">
        <v>9</v>
      </c>
      <c r="I20" s="317">
        <v>2</v>
      </c>
      <c r="J20" s="251">
        <f t="shared" si="5"/>
        <v>2</v>
      </c>
      <c r="K20" s="239">
        <f t="shared" si="6"/>
        <v>0</v>
      </c>
      <c r="L20" s="239">
        <f t="shared" si="7"/>
        <v>3</v>
      </c>
      <c r="M20" s="228"/>
      <c r="N20" s="228"/>
      <c r="O20" s="298" t="s">
        <v>56</v>
      </c>
      <c r="P20" s="299" t="s">
        <v>42</v>
      </c>
      <c r="Q20" s="299" t="s">
        <v>43</v>
      </c>
      <c r="R20" s="300" t="s">
        <v>44</v>
      </c>
      <c r="S20" s="301" t="s">
        <v>45</v>
      </c>
      <c r="T20" s="302" t="s">
        <v>46</v>
      </c>
      <c r="U20" s="40"/>
      <c r="V20" s="40"/>
      <c r="W20" s="40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0"/>
        <v>1</v>
      </c>
      <c r="AH20" s="108">
        <f t="shared" si="1"/>
        <v>0</v>
      </c>
      <c r="AI20" s="108">
        <f t="shared" si="10"/>
        <v>0</v>
      </c>
      <c r="AJ20" s="108">
        <f t="shared" si="2"/>
        <v>0</v>
      </c>
      <c r="AK20" s="108">
        <f t="shared" si="3"/>
        <v>0</v>
      </c>
      <c r="AL20" s="108">
        <f t="shared" si="4"/>
        <v>0</v>
      </c>
      <c r="AN20" s="42" t="s">
        <v>56</v>
      </c>
      <c r="AO20" s="43" t="s">
        <v>46</v>
      </c>
    </row>
    <row r="21" spans="2:41" ht="15.75" thickBot="1">
      <c r="B21" s="252">
        <v>14</v>
      </c>
      <c r="C21" s="253">
        <v>41806</v>
      </c>
      <c r="D21" s="254" t="s">
        <v>35</v>
      </c>
      <c r="E21" s="255" t="s">
        <v>9</v>
      </c>
      <c r="F21" s="256" t="s">
        <v>36</v>
      </c>
      <c r="G21" s="313">
        <v>1</v>
      </c>
      <c r="H21" s="255" t="s">
        <v>9</v>
      </c>
      <c r="I21" s="318">
        <v>0</v>
      </c>
      <c r="J21" s="257">
        <f t="shared" si="5"/>
        <v>1</v>
      </c>
      <c r="K21" s="239">
        <f t="shared" si="6"/>
        <v>3</v>
      </c>
      <c r="L21" s="239">
        <f t="shared" si="7"/>
        <v>0</v>
      </c>
      <c r="M21" s="228"/>
      <c r="N21" s="228"/>
      <c r="O21" s="270" t="s">
        <v>17</v>
      </c>
      <c r="P21" s="271">
        <f>SUMIF($D$8:$D$55,$O21,$G$8:$G$55)+SUMIF($F$8:$F$55,$O21,$I$8:$I$55)</f>
        <v>1</v>
      </c>
      <c r="Q21" s="271">
        <f>SUMIF($D$8:$D$55,$O21,$I$8:$I$55)+SUMIF($F$8:$F$55,$O21,$G$8:$G$55)</f>
        <v>5</v>
      </c>
      <c r="R21" s="272">
        <f>P21-Q21</f>
        <v>-4</v>
      </c>
      <c r="S21" s="273">
        <f>SUMIF($D$8:$D$55,$O21,$K$8:$K$55)+SUMIF($F$8:$F$55,$O21,$L$8:$L$55)</f>
        <v>1</v>
      </c>
      <c r="T21" s="320" t="s">
        <v>59</v>
      </c>
      <c r="U21" s="40"/>
      <c r="V21" s="40" t="str">
        <f>O21</f>
        <v>Colombia</v>
      </c>
      <c r="W21" s="40" t="s">
        <v>57</v>
      </c>
      <c r="Y21" s="109">
        <f t="shared" si="8"/>
        <v>1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1</v>
      </c>
      <c r="AG21" s="108">
        <f t="shared" si="0"/>
        <v>1</v>
      </c>
      <c r="AH21" s="108">
        <f t="shared" si="1"/>
        <v>0</v>
      </c>
      <c r="AI21" s="108">
        <f t="shared" si="10"/>
        <v>0</v>
      </c>
      <c r="AJ21" s="108">
        <f t="shared" si="2"/>
        <v>0</v>
      </c>
      <c r="AK21" s="108">
        <f t="shared" si="3"/>
        <v>0</v>
      </c>
      <c r="AL21" s="108">
        <f t="shared" si="4"/>
        <v>0</v>
      </c>
      <c r="AM21" s="120">
        <f>AO21</f>
        <v>0</v>
      </c>
      <c r="AN21" s="116" t="s">
        <v>17</v>
      </c>
      <c r="AO21" s="115">
        <f>IF(Uitslag!T21="",0,IF(T21=Uitslag!T21,10,0))</f>
        <v>0</v>
      </c>
    </row>
    <row r="22" spans="2:41" ht="15.75" thickBot="1">
      <c r="B22" s="240">
        <v>15</v>
      </c>
      <c r="C22" s="241">
        <v>41807</v>
      </c>
      <c r="D22" s="242" t="s">
        <v>37</v>
      </c>
      <c r="E22" s="243" t="s">
        <v>9</v>
      </c>
      <c r="F22" s="244" t="s">
        <v>38</v>
      </c>
      <c r="G22" s="311">
        <v>3</v>
      </c>
      <c r="H22" s="243" t="s">
        <v>9</v>
      </c>
      <c r="I22" s="316">
        <v>0</v>
      </c>
      <c r="J22" s="245">
        <f t="shared" si="5"/>
        <v>1</v>
      </c>
      <c r="K22" s="239">
        <f t="shared" si="6"/>
        <v>3</v>
      </c>
      <c r="L22" s="239">
        <f t="shared" si="7"/>
        <v>0</v>
      </c>
      <c r="M22" s="228"/>
      <c r="N22" s="228"/>
      <c r="O22" s="274" t="s">
        <v>18</v>
      </c>
      <c r="P22" s="275">
        <f>SUMIF($D$8:$D$55,$O22,$G$8:$G$55)+SUMIF($F$8:$F$55,$O22,$I$8:$I$55)</f>
        <v>2</v>
      </c>
      <c r="Q22" s="275">
        <f>SUMIF($D$8:$D$55,$O22,$I$8:$I$55)+SUMIF($F$8:$F$55,$O22,$G$8:$G$55)</f>
        <v>4</v>
      </c>
      <c r="R22" s="275">
        <f>P22-Q22</f>
        <v>-2</v>
      </c>
      <c r="S22" s="276">
        <f>SUMIF($D$8:$D$55,$O22,$K$8:$K$55)+SUMIF($F$8:$F$55,$O22,$L$8:$L$55)</f>
        <v>1</v>
      </c>
      <c r="T22" s="321" t="s">
        <v>59</v>
      </c>
      <c r="U22" s="40"/>
      <c r="V22" s="40" t="str">
        <f>O22</f>
        <v>Griekenland</v>
      </c>
      <c r="W22" s="40" t="s">
        <v>58</v>
      </c>
      <c r="Y22" s="109">
        <f t="shared" si="8"/>
        <v>5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5</v>
      </c>
      <c r="AG22" s="108">
        <f t="shared" si="0"/>
        <v>0</v>
      </c>
      <c r="AH22" s="108">
        <f t="shared" si="1"/>
        <v>0</v>
      </c>
      <c r="AI22" s="108">
        <f t="shared" si="10"/>
        <v>0</v>
      </c>
      <c r="AJ22" s="108">
        <f t="shared" si="2"/>
        <v>5</v>
      </c>
      <c r="AK22" s="108">
        <f t="shared" si="3"/>
        <v>0</v>
      </c>
      <c r="AL22" s="108">
        <f t="shared" si="4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246">
        <v>16</v>
      </c>
      <c r="C23" s="247">
        <v>41807</v>
      </c>
      <c r="D23" s="248" t="s">
        <v>8</v>
      </c>
      <c r="E23" s="249" t="s">
        <v>9</v>
      </c>
      <c r="F23" s="258" t="s">
        <v>11</v>
      </c>
      <c r="G23" s="312">
        <v>3</v>
      </c>
      <c r="H23" s="249" t="s">
        <v>9</v>
      </c>
      <c r="I23" s="317">
        <v>1</v>
      </c>
      <c r="J23" s="251">
        <f t="shared" si="5"/>
        <v>1</v>
      </c>
      <c r="K23" s="239">
        <f t="shared" si="6"/>
        <v>3</v>
      </c>
      <c r="L23" s="239">
        <f t="shared" si="7"/>
        <v>0</v>
      </c>
      <c r="M23" s="228"/>
      <c r="N23" s="228"/>
      <c r="O23" s="274" t="s">
        <v>23</v>
      </c>
      <c r="P23" s="275">
        <f>SUMIF($D$8:$D$55,$O23,$G$8:$G$55)+SUMIF($F$8:$F$55,$O23,$I$8:$I$55)</f>
        <v>5</v>
      </c>
      <c r="Q23" s="275">
        <f>SUMIF($D$8:$D$55,$O23,$I$8:$I$55)+SUMIF($F$8:$F$55,$O23,$G$8:$G$55)</f>
        <v>3</v>
      </c>
      <c r="R23" s="275">
        <f>P23-Q23</f>
        <v>2</v>
      </c>
      <c r="S23" s="276">
        <f>SUMIF($D$8:$D$55,$O23,$K$8:$K$55)+SUMIF($F$8:$F$55,$O23,$L$8:$L$55)</f>
        <v>6</v>
      </c>
      <c r="T23" s="321" t="s">
        <v>58</v>
      </c>
      <c r="U23" s="40"/>
      <c r="V23" s="40" t="str">
        <f>O23</f>
        <v>Ivoorkust</v>
      </c>
      <c r="W23" s="40" t="s">
        <v>59</v>
      </c>
      <c r="Y23" s="109">
        <f t="shared" si="8"/>
        <v>0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0</v>
      </c>
      <c r="AG23" s="108">
        <f t="shared" si="0"/>
        <v>0</v>
      </c>
      <c r="AH23" s="108">
        <f t="shared" si="1"/>
        <v>0</v>
      </c>
      <c r="AI23" s="108">
        <f t="shared" si="10"/>
        <v>0</v>
      </c>
      <c r="AJ23" s="108">
        <f t="shared" si="2"/>
        <v>0</v>
      </c>
      <c r="AK23" s="108">
        <f t="shared" si="3"/>
        <v>0</v>
      </c>
      <c r="AL23" s="108">
        <f t="shared" si="4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252">
        <v>17</v>
      </c>
      <c r="C24" s="253">
        <v>41807</v>
      </c>
      <c r="D24" s="254" t="s">
        <v>39</v>
      </c>
      <c r="E24" s="255" t="s">
        <v>9</v>
      </c>
      <c r="F24" s="256" t="s">
        <v>40</v>
      </c>
      <c r="G24" s="313">
        <v>2</v>
      </c>
      <c r="H24" s="255" t="s">
        <v>9</v>
      </c>
      <c r="I24" s="318">
        <v>0</v>
      </c>
      <c r="J24" s="257">
        <f t="shared" si="5"/>
        <v>1</v>
      </c>
      <c r="K24" s="239">
        <f t="shared" si="6"/>
        <v>3</v>
      </c>
      <c r="L24" s="239">
        <f t="shared" si="7"/>
        <v>0</v>
      </c>
      <c r="M24" s="228"/>
      <c r="N24" s="228"/>
      <c r="O24" s="277" t="s">
        <v>24</v>
      </c>
      <c r="P24" s="278">
        <f>SUMIF($D$8:$D$55,$O24,$G$8:$G$55)+SUMIF($F$8:$F$55,$O24,$I$8:$I$55)</f>
        <v>5</v>
      </c>
      <c r="Q24" s="278">
        <f>SUMIF($D$8:$D$55,$O24,$I$8:$I$55)+SUMIF($F$8:$F$55,$O24,$G$8:$G$55)</f>
        <v>1</v>
      </c>
      <c r="R24" s="278">
        <f>P24-Q24</f>
        <v>4</v>
      </c>
      <c r="S24" s="279">
        <f>SUMIF($D$8:$D$55,$O24,$K$8:$K$55)+SUMIF($F$8:$F$55,$O24,$L$8:$L$55)</f>
        <v>9</v>
      </c>
      <c r="T24" s="322" t="s">
        <v>57</v>
      </c>
      <c r="U24" s="40"/>
      <c r="V24" s="40" t="str">
        <f>O24</f>
        <v>Japan</v>
      </c>
      <c r="W24" s="40" t="s">
        <v>60</v>
      </c>
      <c r="Y24" s="109">
        <f t="shared" si="8"/>
        <v>0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0</v>
      </c>
      <c r="AG24" s="108">
        <f t="shared" si="0"/>
        <v>0</v>
      </c>
      <c r="AH24" s="108">
        <f t="shared" si="1"/>
        <v>0</v>
      </c>
      <c r="AI24" s="108">
        <f t="shared" si="10"/>
        <v>0</v>
      </c>
      <c r="AJ24" s="108">
        <f t="shared" si="2"/>
        <v>0</v>
      </c>
      <c r="AK24" s="108">
        <f t="shared" si="3"/>
        <v>0</v>
      </c>
      <c r="AL24" s="108">
        <f t="shared" si="4"/>
        <v>0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240">
        <v>18</v>
      </c>
      <c r="C25" s="241">
        <v>41808</v>
      </c>
      <c r="D25" s="242" t="s">
        <v>16</v>
      </c>
      <c r="E25" s="243" t="s">
        <v>9</v>
      </c>
      <c r="F25" s="259" t="s">
        <v>14</v>
      </c>
      <c r="G25" s="311">
        <v>1</v>
      </c>
      <c r="H25" s="243" t="s">
        <v>9</v>
      </c>
      <c r="I25" s="316">
        <v>3</v>
      </c>
      <c r="J25" s="245">
        <f t="shared" si="5"/>
        <v>2</v>
      </c>
      <c r="K25" s="239">
        <f t="shared" si="6"/>
        <v>0</v>
      </c>
      <c r="L25" s="239">
        <f t="shared" si="7"/>
        <v>3</v>
      </c>
      <c r="M25" s="228"/>
      <c r="N25" s="228"/>
      <c r="O25" s="268"/>
      <c r="P25" s="269"/>
      <c r="Q25" s="269"/>
      <c r="R25" s="269"/>
      <c r="S25" s="269"/>
      <c r="T25" s="269"/>
      <c r="U25" s="40"/>
      <c r="V25" s="40"/>
      <c r="W25" s="40"/>
      <c r="Y25" s="109">
        <f t="shared" si="8"/>
        <v>6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6</v>
      </c>
      <c r="AG25" s="108">
        <f t="shared" si="0"/>
        <v>0</v>
      </c>
      <c r="AH25" s="108">
        <f t="shared" si="1"/>
        <v>1</v>
      </c>
      <c r="AI25" s="108">
        <f t="shared" si="10"/>
        <v>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40"/>
      <c r="AO25" s="41"/>
    </row>
    <row r="26" spans="2:41" ht="15.75" thickBot="1">
      <c r="B26" s="246">
        <v>19</v>
      </c>
      <c r="C26" s="247">
        <v>41808</v>
      </c>
      <c r="D26" s="248" t="s">
        <v>13</v>
      </c>
      <c r="E26" s="249" t="s">
        <v>9</v>
      </c>
      <c r="F26" s="258" t="s">
        <v>15</v>
      </c>
      <c r="G26" s="312">
        <v>2</v>
      </c>
      <c r="H26" s="249" t="s">
        <v>9</v>
      </c>
      <c r="I26" s="317">
        <v>0</v>
      </c>
      <c r="J26" s="251">
        <f t="shared" si="5"/>
        <v>1</v>
      </c>
      <c r="K26" s="239">
        <f t="shared" si="6"/>
        <v>3</v>
      </c>
      <c r="L26" s="239">
        <f t="shared" si="7"/>
        <v>0</v>
      </c>
      <c r="M26" s="228"/>
      <c r="N26" s="228"/>
      <c r="O26" s="298" t="s">
        <v>61</v>
      </c>
      <c r="P26" s="299" t="s">
        <v>42</v>
      </c>
      <c r="Q26" s="299" t="s">
        <v>43</v>
      </c>
      <c r="R26" s="300" t="s">
        <v>44</v>
      </c>
      <c r="S26" s="301" t="s">
        <v>45</v>
      </c>
      <c r="T26" s="302" t="s">
        <v>46</v>
      </c>
      <c r="U26" s="40"/>
      <c r="V26" s="40"/>
      <c r="W26" s="40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0"/>
        <v>0</v>
      </c>
      <c r="AH26" s="108">
        <f t="shared" si="1"/>
        <v>0</v>
      </c>
      <c r="AI26" s="108">
        <f t="shared" si="10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252">
        <v>20</v>
      </c>
      <c r="C27" s="253">
        <v>41808</v>
      </c>
      <c r="D27" s="254" t="s">
        <v>12</v>
      </c>
      <c r="E27" s="255" t="s">
        <v>9</v>
      </c>
      <c r="F27" s="256" t="s">
        <v>10</v>
      </c>
      <c r="G27" s="313">
        <v>1</v>
      </c>
      <c r="H27" s="255" t="s">
        <v>9</v>
      </c>
      <c r="I27" s="318">
        <v>2</v>
      </c>
      <c r="J27" s="257">
        <f t="shared" si="5"/>
        <v>2</v>
      </c>
      <c r="K27" s="239">
        <f t="shared" si="6"/>
        <v>0</v>
      </c>
      <c r="L27" s="239">
        <f t="shared" si="7"/>
        <v>3</v>
      </c>
      <c r="M27" s="228"/>
      <c r="N27" s="228"/>
      <c r="O27" s="270" t="s">
        <v>19</v>
      </c>
      <c r="P27" s="271">
        <f>SUMIF($D$8:$D$55,$O27,$G$8:$G$55)+SUMIF($F$8:$F$55,$O27,$I$8:$I$55)</f>
        <v>7</v>
      </c>
      <c r="Q27" s="271">
        <f>SUMIF($D$8:$D$55,$O27,$I$8:$I$55)+SUMIF($F$8:$F$55,$O27,$G$8:$G$55)</f>
        <v>2</v>
      </c>
      <c r="R27" s="272">
        <f>P27-Q27</f>
        <v>5</v>
      </c>
      <c r="S27" s="273">
        <f>SUMIF($D$8:$D$55,$O27,$K$8:$K$55)+SUMIF($F$8:$F$55,$O27,$L$8:$L$55)</f>
        <v>9</v>
      </c>
      <c r="T27" s="320" t="s">
        <v>62</v>
      </c>
      <c r="U27" s="40"/>
      <c r="V27" s="40" t="str">
        <f>O27</f>
        <v>Uruguay</v>
      </c>
      <c r="W27" s="40" t="s">
        <v>62</v>
      </c>
      <c r="Y27" s="109">
        <f t="shared" si="8"/>
        <v>5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5</v>
      </c>
      <c r="AG27" s="108">
        <f t="shared" si="0"/>
        <v>0</v>
      </c>
      <c r="AH27" s="108">
        <f t="shared" si="1"/>
        <v>0</v>
      </c>
      <c r="AI27" s="108">
        <f t="shared" si="10"/>
        <v>0</v>
      </c>
      <c r="AJ27" s="108">
        <f t="shared" si="2"/>
        <v>0</v>
      </c>
      <c r="AK27" s="108">
        <f t="shared" si="3"/>
        <v>5</v>
      </c>
      <c r="AL27" s="108">
        <f t="shared" si="4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240">
        <v>21</v>
      </c>
      <c r="C28" s="241">
        <v>41809</v>
      </c>
      <c r="D28" s="242" t="s">
        <v>17</v>
      </c>
      <c r="E28" s="243" t="s">
        <v>9</v>
      </c>
      <c r="F28" s="244" t="s">
        <v>23</v>
      </c>
      <c r="G28" s="311">
        <v>0</v>
      </c>
      <c r="H28" s="243" t="s">
        <v>9</v>
      </c>
      <c r="I28" s="316">
        <v>2</v>
      </c>
      <c r="J28" s="245">
        <f t="shared" si="5"/>
        <v>2</v>
      </c>
      <c r="K28" s="239">
        <f t="shared" si="6"/>
        <v>0</v>
      </c>
      <c r="L28" s="239">
        <f t="shared" si="7"/>
        <v>3</v>
      </c>
      <c r="M28" s="228"/>
      <c r="N28" s="228"/>
      <c r="O28" s="274" t="s">
        <v>20</v>
      </c>
      <c r="P28" s="275">
        <f>SUMIF($D$8:$D$55,$O28,$G$8:$G$55)+SUMIF($F$8:$F$55,$O28,$I$8:$I$55)</f>
        <v>0</v>
      </c>
      <c r="Q28" s="275">
        <f>SUMIF($D$8:$D$55,$O28,$I$8:$I$55)+SUMIF($F$8:$F$55,$O28,$G$8:$G$55)</f>
        <v>7</v>
      </c>
      <c r="R28" s="275">
        <f>P28-Q28</f>
        <v>-7</v>
      </c>
      <c r="S28" s="276">
        <f>SUMIF($D$8:$D$55,$O28,$K$8:$K$55)+SUMIF($F$8:$F$55,$O28,$L$8:$L$55)</f>
        <v>0</v>
      </c>
      <c r="T28" s="321" t="s">
        <v>65</v>
      </c>
      <c r="U28" s="40"/>
      <c r="V28" s="40" t="str">
        <f>O28</f>
        <v>Costa Rica</v>
      </c>
      <c r="W28" s="40" t="s">
        <v>63</v>
      </c>
      <c r="Y28" s="109">
        <f t="shared" si="8"/>
        <v>0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0</v>
      </c>
      <c r="AG28" s="108">
        <f t="shared" si="0"/>
        <v>0</v>
      </c>
      <c r="AH28" s="108">
        <f t="shared" si="1"/>
        <v>0</v>
      </c>
      <c r="AI28" s="108">
        <f t="shared" si="10"/>
        <v>0</v>
      </c>
      <c r="AJ28" s="108">
        <f t="shared" si="2"/>
        <v>0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246">
        <v>22</v>
      </c>
      <c r="C29" s="247">
        <v>41809</v>
      </c>
      <c r="D29" s="248" t="s">
        <v>19</v>
      </c>
      <c r="E29" s="249" t="s">
        <v>9</v>
      </c>
      <c r="F29" s="258" t="s">
        <v>21</v>
      </c>
      <c r="G29" s="312">
        <v>2</v>
      </c>
      <c r="H29" s="249" t="s">
        <v>9</v>
      </c>
      <c r="I29" s="317">
        <v>1</v>
      </c>
      <c r="J29" s="251">
        <f t="shared" si="5"/>
        <v>1</v>
      </c>
      <c r="K29" s="239">
        <f t="shared" si="6"/>
        <v>3</v>
      </c>
      <c r="L29" s="239">
        <f t="shared" si="7"/>
        <v>0</v>
      </c>
      <c r="M29" s="228"/>
      <c r="N29" s="228"/>
      <c r="O29" s="274" t="s">
        <v>21</v>
      </c>
      <c r="P29" s="275">
        <f>SUMIF($D$8:$D$55,$O29,$G$8:$G$55)+SUMIF($F$8:$F$55,$O29,$I$8:$I$55)</f>
        <v>3</v>
      </c>
      <c r="Q29" s="275">
        <f>SUMIF($D$8:$D$55,$O29,$I$8:$I$55)+SUMIF($F$8:$F$55,$O29,$G$8:$G$55)</f>
        <v>3</v>
      </c>
      <c r="R29" s="275">
        <f>P29-Q29</f>
        <v>0</v>
      </c>
      <c r="S29" s="276">
        <f>SUMIF($D$8:$D$55,$O29,$K$8:$K$55)+SUMIF($F$8:$F$55,$O29,$L$8:$L$55)</f>
        <v>3</v>
      </c>
      <c r="T29" s="321" t="s">
        <v>64</v>
      </c>
      <c r="U29" s="40"/>
      <c r="V29" s="40" t="str">
        <f>O29</f>
        <v>Engeland</v>
      </c>
      <c r="W29" s="40" t="s">
        <v>64</v>
      </c>
      <c r="Y29" s="109">
        <f t="shared" si="8"/>
        <v>10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10</v>
      </c>
      <c r="AG29" s="108">
        <f t="shared" si="0"/>
        <v>1</v>
      </c>
      <c r="AH29" s="108">
        <f t="shared" si="1"/>
        <v>1</v>
      </c>
      <c r="AI29" s="108">
        <f t="shared" si="10"/>
        <v>10</v>
      </c>
      <c r="AJ29" s="108">
        <f t="shared" si="2"/>
        <v>5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252">
        <v>23</v>
      </c>
      <c r="C30" s="253">
        <v>41809</v>
      </c>
      <c r="D30" s="254" t="s">
        <v>24</v>
      </c>
      <c r="E30" s="255" t="s">
        <v>9</v>
      </c>
      <c r="F30" s="256" t="s">
        <v>18</v>
      </c>
      <c r="G30" s="313">
        <v>1</v>
      </c>
      <c r="H30" s="255" t="s">
        <v>9</v>
      </c>
      <c r="I30" s="318">
        <v>0</v>
      </c>
      <c r="J30" s="257">
        <f t="shared" si="5"/>
        <v>1</v>
      </c>
      <c r="K30" s="239">
        <f t="shared" si="6"/>
        <v>3</v>
      </c>
      <c r="L30" s="239">
        <f t="shared" si="7"/>
        <v>0</v>
      </c>
      <c r="M30" s="228"/>
      <c r="N30" s="228"/>
      <c r="O30" s="277" t="s">
        <v>22</v>
      </c>
      <c r="P30" s="278">
        <f>SUMIF($D$8:$D$55,$O30,$G$8:$G$55)+SUMIF($F$8:$F$55,$O30,$I$8:$I$55)</f>
        <v>4</v>
      </c>
      <c r="Q30" s="278">
        <f>SUMIF($D$8:$D$55,$O30,$I$8:$I$55)+SUMIF($F$8:$F$55,$O30,$G$8:$G$55)</f>
        <v>2</v>
      </c>
      <c r="R30" s="278">
        <f>P30-Q30</f>
        <v>2</v>
      </c>
      <c r="S30" s="279">
        <f>SUMIF($D$8:$D$55,$O30,$K$8:$K$55)+SUMIF($F$8:$F$55,$O30,$L$8:$L$55)</f>
        <v>6</v>
      </c>
      <c r="T30" s="322" t="s">
        <v>63</v>
      </c>
      <c r="U30" s="40"/>
      <c r="V30" s="40" t="str">
        <f>O30</f>
        <v>Italië</v>
      </c>
      <c r="W30" s="40" t="s">
        <v>65</v>
      </c>
      <c r="Y30" s="109">
        <f t="shared" si="8"/>
        <v>1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1</v>
      </c>
      <c r="AG30" s="108">
        <f t="shared" si="0"/>
        <v>0</v>
      </c>
      <c r="AH30" s="108">
        <f t="shared" si="1"/>
        <v>1</v>
      </c>
      <c r="AI30" s="108">
        <f t="shared" si="10"/>
        <v>0</v>
      </c>
      <c r="AJ30" s="108">
        <f t="shared" si="2"/>
        <v>0</v>
      </c>
      <c r="AK30" s="108">
        <f t="shared" si="3"/>
        <v>0</v>
      </c>
      <c r="AL30" s="108">
        <f t="shared" si="4"/>
        <v>0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240">
        <v>24</v>
      </c>
      <c r="C31" s="241">
        <v>41810</v>
      </c>
      <c r="D31" s="242" t="s">
        <v>22</v>
      </c>
      <c r="E31" s="243" t="s">
        <v>9</v>
      </c>
      <c r="F31" s="244" t="s">
        <v>20</v>
      </c>
      <c r="G31" s="311">
        <v>2</v>
      </c>
      <c r="H31" s="243" t="s">
        <v>9</v>
      </c>
      <c r="I31" s="316">
        <v>0</v>
      </c>
      <c r="J31" s="245">
        <f t="shared" si="5"/>
        <v>1</v>
      </c>
      <c r="K31" s="239">
        <f t="shared" si="6"/>
        <v>3</v>
      </c>
      <c r="L31" s="239">
        <f t="shared" si="7"/>
        <v>0</v>
      </c>
      <c r="M31" s="228"/>
      <c r="N31" s="228"/>
      <c r="O31" s="268"/>
      <c r="P31" s="269"/>
      <c r="Q31" s="269"/>
      <c r="R31" s="269"/>
      <c r="S31" s="269"/>
      <c r="T31" s="269"/>
      <c r="U31" s="40"/>
      <c r="V31" s="40"/>
      <c r="W31" s="40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0"/>
        <v>0</v>
      </c>
      <c r="AH31" s="108">
        <f t="shared" si="1"/>
        <v>0</v>
      </c>
      <c r="AI31" s="108">
        <f t="shared" si="10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40"/>
      <c r="AO31" s="41"/>
    </row>
    <row r="32" spans="2:41" ht="15.75" thickBot="1">
      <c r="B32" s="246">
        <v>25</v>
      </c>
      <c r="C32" s="247">
        <v>41810</v>
      </c>
      <c r="D32" s="248" t="s">
        <v>25</v>
      </c>
      <c r="E32" s="249" t="s">
        <v>9</v>
      </c>
      <c r="F32" s="258" t="s">
        <v>27</v>
      </c>
      <c r="G32" s="312">
        <v>0</v>
      </c>
      <c r="H32" s="249" t="s">
        <v>9</v>
      </c>
      <c r="I32" s="317">
        <v>2</v>
      </c>
      <c r="J32" s="251">
        <f t="shared" si="5"/>
        <v>2</v>
      </c>
      <c r="K32" s="239">
        <f t="shared" si="6"/>
        <v>0</v>
      </c>
      <c r="L32" s="239">
        <f t="shared" si="7"/>
        <v>3</v>
      </c>
      <c r="M32" s="228"/>
      <c r="N32" s="228"/>
      <c r="O32" s="298" t="s">
        <v>66</v>
      </c>
      <c r="P32" s="299" t="s">
        <v>42</v>
      </c>
      <c r="Q32" s="299" t="s">
        <v>43</v>
      </c>
      <c r="R32" s="300" t="s">
        <v>44</v>
      </c>
      <c r="S32" s="301" t="s">
        <v>45</v>
      </c>
      <c r="T32" s="302" t="s">
        <v>46</v>
      </c>
      <c r="U32" s="40"/>
      <c r="V32" s="40"/>
      <c r="W32" s="40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0"/>
        <v>0</v>
      </c>
      <c r="AH32" s="108">
        <f t="shared" si="1"/>
        <v>0</v>
      </c>
      <c r="AI32" s="108">
        <f t="shared" si="10"/>
        <v>0</v>
      </c>
      <c r="AJ32" s="108">
        <f t="shared" si="2"/>
        <v>0</v>
      </c>
      <c r="AK32" s="108">
        <f t="shared" si="3"/>
        <v>5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252">
        <v>26</v>
      </c>
      <c r="C33" s="253">
        <v>41810</v>
      </c>
      <c r="D33" s="254" t="s">
        <v>28</v>
      </c>
      <c r="E33" s="255" t="s">
        <v>9</v>
      </c>
      <c r="F33" s="256" t="s">
        <v>26</v>
      </c>
      <c r="G33" s="313">
        <v>0</v>
      </c>
      <c r="H33" s="255" t="s">
        <v>9</v>
      </c>
      <c r="I33" s="318">
        <v>1</v>
      </c>
      <c r="J33" s="257">
        <f t="shared" si="5"/>
        <v>2</v>
      </c>
      <c r="K33" s="239">
        <f t="shared" si="6"/>
        <v>0</v>
      </c>
      <c r="L33" s="239">
        <f t="shared" si="7"/>
        <v>3</v>
      </c>
      <c r="M33" s="228"/>
      <c r="N33" s="228"/>
      <c r="O33" s="270" t="s">
        <v>25</v>
      </c>
      <c r="P33" s="271">
        <f>SUMIF($D$8:$D$55,$O33,$G$8:$G$55)+SUMIF($F$8:$F$55,$O33,$I$8:$I$55)</f>
        <v>1</v>
      </c>
      <c r="Q33" s="271">
        <f>SUMIF($D$8:$D$55,$O33,$I$8:$I$55)+SUMIF($F$8:$F$55,$O33,$G$8:$G$55)</f>
        <v>3</v>
      </c>
      <c r="R33" s="272">
        <f>P33-Q33</f>
        <v>-2</v>
      </c>
      <c r="S33" s="273">
        <f>SUMIF($D$8:$D$55,$O33,$K$8:$K$55)+SUMIF($F$8:$F$55,$O33,$L$8:$L$55)</f>
        <v>3</v>
      </c>
      <c r="T33" s="320" t="s">
        <v>69</v>
      </c>
      <c r="U33" s="40"/>
      <c r="V33" s="40" t="str">
        <f>O33</f>
        <v>Zwitserland</v>
      </c>
      <c r="W33" s="40" t="s">
        <v>67</v>
      </c>
      <c r="Y33" s="109">
        <f t="shared" si="8"/>
        <v>5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5</v>
      </c>
      <c r="AG33" s="108">
        <f t="shared" si="0"/>
        <v>0</v>
      </c>
      <c r="AH33" s="108">
        <f t="shared" si="1"/>
        <v>0</v>
      </c>
      <c r="AI33" s="108">
        <f t="shared" si="10"/>
        <v>0</v>
      </c>
      <c r="AJ33" s="108">
        <f t="shared" si="2"/>
        <v>0</v>
      </c>
      <c r="AK33" s="108">
        <f t="shared" si="3"/>
        <v>5</v>
      </c>
      <c r="AL33" s="108">
        <f t="shared" si="4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240">
        <v>27</v>
      </c>
      <c r="C34" s="241">
        <v>41811</v>
      </c>
      <c r="D34" s="242" t="s">
        <v>29</v>
      </c>
      <c r="E34" s="243" t="s">
        <v>9</v>
      </c>
      <c r="F34" s="244" t="s">
        <v>33</v>
      </c>
      <c r="G34" s="311">
        <v>4</v>
      </c>
      <c r="H34" s="243" t="s">
        <v>9</v>
      </c>
      <c r="I34" s="316">
        <v>0</v>
      </c>
      <c r="J34" s="245">
        <f t="shared" si="5"/>
        <v>1</v>
      </c>
      <c r="K34" s="239">
        <f t="shared" si="6"/>
        <v>3</v>
      </c>
      <c r="L34" s="239">
        <f t="shared" si="7"/>
        <v>0</v>
      </c>
      <c r="M34" s="228"/>
      <c r="N34" s="228"/>
      <c r="O34" s="274" t="s">
        <v>26</v>
      </c>
      <c r="P34" s="275">
        <f>SUMIF($D$8:$D$55,$O34,$G$8:$G$55)+SUMIF($F$8:$F$55,$O34,$I$8:$I$55)</f>
        <v>2</v>
      </c>
      <c r="Q34" s="275">
        <f>SUMIF($D$8:$D$55,$O34,$I$8:$I$55)+SUMIF($F$8:$F$55,$O34,$G$8:$G$55)</f>
        <v>2</v>
      </c>
      <c r="R34" s="275">
        <f>P34-Q34</f>
        <v>0</v>
      </c>
      <c r="S34" s="276">
        <f>SUMIF($D$8:$D$55,$O34,$K$8:$K$55)+SUMIF($F$8:$F$55,$O34,$L$8:$L$55)</f>
        <v>6</v>
      </c>
      <c r="T34" s="321" t="s">
        <v>68</v>
      </c>
      <c r="U34" s="40"/>
      <c r="V34" s="40" t="str">
        <f>O34</f>
        <v>Ecuador</v>
      </c>
      <c r="W34" s="40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0"/>
        <v>0</v>
      </c>
      <c r="AH34" s="108">
        <f t="shared" si="1"/>
        <v>1</v>
      </c>
      <c r="AI34" s="108">
        <f t="shared" si="10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246">
        <v>28</v>
      </c>
      <c r="C35" s="247">
        <v>41811</v>
      </c>
      <c r="D35" s="248" t="s">
        <v>31</v>
      </c>
      <c r="E35" s="249" t="s">
        <v>9</v>
      </c>
      <c r="F35" s="258" t="s">
        <v>35</v>
      </c>
      <c r="G35" s="312">
        <v>3</v>
      </c>
      <c r="H35" s="249" t="s">
        <v>9</v>
      </c>
      <c r="I35" s="317">
        <v>0</v>
      </c>
      <c r="J35" s="251">
        <f t="shared" si="5"/>
        <v>1</v>
      </c>
      <c r="K35" s="239">
        <f t="shared" si="6"/>
        <v>3</v>
      </c>
      <c r="L35" s="239">
        <f t="shared" si="7"/>
        <v>0</v>
      </c>
      <c r="M35" s="228"/>
      <c r="N35" s="228"/>
      <c r="O35" s="274" t="s">
        <v>27</v>
      </c>
      <c r="P35" s="275">
        <f>SUMIF($D$8:$D$55,$O35,$G$8:$G$55)+SUMIF($F$8:$F$55,$O35,$I$8:$I$55)</f>
        <v>6</v>
      </c>
      <c r="Q35" s="275">
        <f>SUMIF($D$8:$D$55,$O35,$I$8:$I$55)+SUMIF($F$8:$F$55,$O35,$G$8:$G$55)</f>
        <v>0</v>
      </c>
      <c r="R35" s="275">
        <f>P35-Q35</f>
        <v>6</v>
      </c>
      <c r="S35" s="276">
        <f>SUMIF($D$8:$D$55,$O35,$K$8:$K$55)+SUMIF($F$8:$F$55,$O35,$L$8:$L$55)</f>
        <v>9</v>
      </c>
      <c r="T35" s="321" t="s">
        <v>67</v>
      </c>
      <c r="U35" s="40"/>
      <c r="V35" s="40" t="str">
        <f>O35</f>
        <v>Frankrijk</v>
      </c>
      <c r="W35" s="40" t="s">
        <v>69</v>
      </c>
      <c r="Y35" s="109">
        <f t="shared" si="8"/>
        <v>0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0</v>
      </c>
      <c r="AG35" s="108">
        <f t="shared" si="0"/>
        <v>0</v>
      </c>
      <c r="AH35" s="108">
        <f t="shared" si="1"/>
        <v>0</v>
      </c>
      <c r="AI35" s="108">
        <f t="shared" si="10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252">
        <v>29</v>
      </c>
      <c r="C36" s="253">
        <v>41811</v>
      </c>
      <c r="D36" s="254" t="s">
        <v>34</v>
      </c>
      <c r="E36" s="255" t="s">
        <v>9</v>
      </c>
      <c r="F36" s="256" t="s">
        <v>30</v>
      </c>
      <c r="G36" s="313">
        <v>1</v>
      </c>
      <c r="H36" s="255" t="s">
        <v>9</v>
      </c>
      <c r="I36" s="318">
        <v>0</v>
      </c>
      <c r="J36" s="257">
        <f t="shared" si="5"/>
        <v>1</v>
      </c>
      <c r="K36" s="239">
        <f t="shared" si="6"/>
        <v>3</v>
      </c>
      <c r="L36" s="239">
        <f t="shared" si="7"/>
        <v>0</v>
      </c>
      <c r="M36" s="228"/>
      <c r="N36" s="228"/>
      <c r="O36" s="277" t="s">
        <v>28</v>
      </c>
      <c r="P36" s="278">
        <f>SUMIF($D$8:$D$55,$O36,$G$8:$G$55)+SUMIF($F$8:$F$55,$O36,$I$8:$I$55)</f>
        <v>0</v>
      </c>
      <c r="Q36" s="278">
        <f>SUMIF($D$8:$D$55,$O36,$I$8:$I$55)+SUMIF($F$8:$F$55,$O36,$G$8:$G$55)</f>
        <v>4</v>
      </c>
      <c r="R36" s="278">
        <f>P36-Q36</f>
        <v>-4</v>
      </c>
      <c r="S36" s="279">
        <f>SUMIF($D$8:$D$55,$O36,$K$8:$K$55)+SUMIF($F$8:$F$55,$O36,$L$8:$L$55)</f>
        <v>0</v>
      </c>
      <c r="T36" s="322" t="s">
        <v>70</v>
      </c>
      <c r="U36" s="40"/>
      <c r="V36" s="40" t="str">
        <f>O36</f>
        <v>Honduras</v>
      </c>
      <c r="W36" s="40" t="s">
        <v>70</v>
      </c>
      <c r="Y36" s="109">
        <f t="shared" si="8"/>
        <v>10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10</v>
      </c>
      <c r="AG36" s="108">
        <f t="shared" si="0"/>
        <v>1</v>
      </c>
      <c r="AH36" s="108">
        <f t="shared" si="1"/>
        <v>1</v>
      </c>
      <c r="AI36" s="108">
        <f t="shared" si="10"/>
        <v>10</v>
      </c>
      <c r="AJ36" s="108">
        <f t="shared" si="2"/>
        <v>5</v>
      </c>
      <c r="AK36" s="108">
        <f t="shared" si="3"/>
        <v>0</v>
      </c>
      <c r="AL36" s="108">
        <f t="shared" si="4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240">
        <v>30</v>
      </c>
      <c r="C37" s="241">
        <v>41812</v>
      </c>
      <c r="D37" s="242" t="s">
        <v>37</v>
      </c>
      <c r="E37" s="243" t="s">
        <v>9</v>
      </c>
      <c r="F37" s="244" t="s">
        <v>39</v>
      </c>
      <c r="G37" s="311">
        <v>2</v>
      </c>
      <c r="H37" s="243" t="s">
        <v>9</v>
      </c>
      <c r="I37" s="316">
        <v>0</v>
      </c>
      <c r="J37" s="245">
        <f t="shared" si="5"/>
        <v>1</v>
      </c>
      <c r="K37" s="239">
        <f t="shared" si="6"/>
        <v>3</v>
      </c>
      <c r="L37" s="239">
        <f t="shared" si="7"/>
        <v>0</v>
      </c>
      <c r="M37" s="228"/>
      <c r="N37" s="228"/>
      <c r="O37" s="268"/>
      <c r="P37" s="269"/>
      <c r="Q37" s="269"/>
      <c r="R37" s="269"/>
      <c r="S37" s="269"/>
      <c r="T37" s="269"/>
      <c r="U37" s="40"/>
      <c r="V37" s="40"/>
      <c r="W37" s="40"/>
      <c r="Y37" s="109">
        <f t="shared" si="8"/>
        <v>6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6</v>
      </c>
      <c r="AG37" s="108">
        <f t="shared" si="0"/>
        <v>0</v>
      </c>
      <c r="AH37" s="108">
        <f t="shared" si="1"/>
        <v>1</v>
      </c>
      <c r="AI37" s="108">
        <f t="shared" si="10"/>
        <v>0</v>
      </c>
      <c r="AJ37" s="108">
        <f t="shared" si="2"/>
        <v>5</v>
      </c>
      <c r="AK37" s="108">
        <f t="shared" si="3"/>
        <v>0</v>
      </c>
      <c r="AL37" s="108">
        <f t="shared" si="4"/>
        <v>0</v>
      </c>
      <c r="AN37" s="40"/>
      <c r="AO37" s="41"/>
    </row>
    <row r="38" spans="2:41" ht="15.75" thickBot="1">
      <c r="B38" s="246">
        <v>31</v>
      </c>
      <c r="C38" s="247">
        <v>41812</v>
      </c>
      <c r="D38" s="248" t="s">
        <v>40</v>
      </c>
      <c r="E38" s="249" t="s">
        <v>9</v>
      </c>
      <c r="F38" s="258" t="s">
        <v>38</v>
      </c>
      <c r="G38" s="312">
        <v>1</v>
      </c>
      <c r="H38" s="249" t="s">
        <v>9</v>
      </c>
      <c r="I38" s="317">
        <v>0</v>
      </c>
      <c r="J38" s="251">
        <f t="shared" si="5"/>
        <v>1</v>
      </c>
      <c r="K38" s="239">
        <f t="shared" si="6"/>
        <v>3</v>
      </c>
      <c r="L38" s="239">
        <f t="shared" si="7"/>
        <v>0</v>
      </c>
      <c r="M38" s="228"/>
      <c r="N38" s="228"/>
      <c r="O38" s="298" t="s">
        <v>71</v>
      </c>
      <c r="P38" s="299" t="s">
        <v>42</v>
      </c>
      <c r="Q38" s="299" t="s">
        <v>43</v>
      </c>
      <c r="R38" s="300" t="s">
        <v>44</v>
      </c>
      <c r="S38" s="301" t="s">
        <v>45</v>
      </c>
      <c r="T38" s="302" t="s">
        <v>46</v>
      </c>
      <c r="U38" s="40"/>
      <c r="V38" s="40"/>
      <c r="W38" s="40"/>
      <c r="Y38" s="109">
        <f t="shared" si="8"/>
        <v>0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0</v>
      </c>
      <c r="AG38" s="108">
        <f t="shared" si="0"/>
        <v>0</v>
      </c>
      <c r="AH38" s="108">
        <f t="shared" si="1"/>
        <v>0</v>
      </c>
      <c r="AI38" s="108">
        <f t="shared" si="10"/>
        <v>0</v>
      </c>
      <c r="AJ38" s="108">
        <f t="shared" si="2"/>
        <v>0</v>
      </c>
      <c r="AK38" s="108">
        <f t="shared" si="3"/>
        <v>0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252">
        <v>32</v>
      </c>
      <c r="C39" s="253">
        <v>41812</v>
      </c>
      <c r="D39" s="254" t="s">
        <v>36</v>
      </c>
      <c r="E39" s="255" t="s">
        <v>9</v>
      </c>
      <c r="F39" s="256" t="s">
        <v>32</v>
      </c>
      <c r="G39" s="313">
        <v>0</v>
      </c>
      <c r="H39" s="255" t="s">
        <v>9</v>
      </c>
      <c r="I39" s="318">
        <v>2</v>
      </c>
      <c r="J39" s="257">
        <f t="shared" si="5"/>
        <v>2</v>
      </c>
      <c r="K39" s="239">
        <f t="shared" si="6"/>
        <v>0</v>
      </c>
      <c r="L39" s="239">
        <f t="shared" si="7"/>
        <v>3</v>
      </c>
      <c r="M39" s="228"/>
      <c r="N39" s="228"/>
      <c r="O39" s="270" t="s">
        <v>29</v>
      </c>
      <c r="P39" s="271">
        <f>SUMIF($D$8:$D$55,$O39,$G$8:$G$55)+SUMIF($F$8:$F$55,$O39,$I$8:$I$55)</f>
        <v>10</v>
      </c>
      <c r="Q39" s="271">
        <f>SUMIF($D$8:$D$55,$O39,$I$8:$I$55)+SUMIF($F$8:$F$55,$O39,$G$8:$G$55)</f>
        <v>1</v>
      </c>
      <c r="R39" s="272">
        <f>P39-Q39</f>
        <v>9</v>
      </c>
      <c r="S39" s="273">
        <f>SUMIF($D$8:$D$55,$O39,$K$8:$K$55)+SUMIF($F$8:$F$55,$O39,$L$8:$L$55)</f>
        <v>9</v>
      </c>
      <c r="T39" s="320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1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1</v>
      </c>
      <c r="AG39" s="108">
        <f t="shared" si="0"/>
        <v>0</v>
      </c>
      <c r="AH39" s="108">
        <f t="shared" si="1"/>
        <v>1</v>
      </c>
      <c r="AI39" s="108">
        <f t="shared" si="10"/>
        <v>0</v>
      </c>
      <c r="AJ39" s="108">
        <f t="shared" si="2"/>
        <v>0</v>
      </c>
      <c r="AK39" s="108">
        <f t="shared" si="3"/>
        <v>0</v>
      </c>
      <c r="AL39" s="108">
        <f t="shared" si="4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240">
        <v>33</v>
      </c>
      <c r="C40" s="241">
        <v>41813</v>
      </c>
      <c r="D40" s="242" t="s">
        <v>16</v>
      </c>
      <c r="E40" s="243" t="s">
        <v>9</v>
      </c>
      <c r="F40" s="244" t="s">
        <v>13</v>
      </c>
      <c r="G40" s="311">
        <v>0</v>
      </c>
      <c r="H40" s="243" t="s">
        <v>9</v>
      </c>
      <c r="I40" s="316">
        <v>3</v>
      </c>
      <c r="J40" s="245">
        <f t="shared" si="5"/>
        <v>2</v>
      </c>
      <c r="K40" s="239">
        <f t="shared" si="6"/>
        <v>0</v>
      </c>
      <c r="L40" s="239">
        <f t="shared" si="7"/>
        <v>3</v>
      </c>
      <c r="M40" s="228"/>
      <c r="N40" s="228"/>
      <c r="O40" s="274" t="s">
        <v>30</v>
      </c>
      <c r="P40" s="275">
        <f>SUMIF($D$8:$D$55,$O40,$G$8:$G$55)+SUMIF($F$8:$F$55,$O40,$I$8:$I$55)</f>
        <v>2</v>
      </c>
      <c r="Q40" s="275">
        <f>SUMIF($D$8:$D$55,$O40,$I$8:$I$55)+SUMIF($F$8:$F$55,$O40,$G$8:$G$55)</f>
        <v>4</v>
      </c>
      <c r="R40" s="275">
        <f>P40-Q40</f>
        <v>-2</v>
      </c>
      <c r="S40" s="276">
        <f>SUMIF($D$8:$D$55,$O40,$K$8:$K$55)+SUMIF($F$8:$F$55,$O40,$L$8:$L$55)</f>
        <v>3</v>
      </c>
      <c r="T40" s="321" t="s">
        <v>74</v>
      </c>
      <c r="U40" s="40"/>
      <c r="V40" s="40" t="str">
        <f>O40</f>
        <v>Bosnië H.</v>
      </c>
      <c r="W40" s="40" t="s">
        <v>73</v>
      </c>
      <c r="Y40" s="109">
        <f t="shared" si="8"/>
        <v>10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10</v>
      </c>
      <c r="AG40" s="108">
        <f t="shared" si="0"/>
        <v>1</v>
      </c>
      <c r="AH40" s="108">
        <f t="shared" si="1"/>
        <v>1</v>
      </c>
      <c r="AI40" s="108">
        <f t="shared" si="10"/>
        <v>10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246">
        <v>34</v>
      </c>
      <c r="C41" s="247">
        <v>41813</v>
      </c>
      <c r="D41" s="260" t="s">
        <v>14</v>
      </c>
      <c r="E41" s="249" t="s">
        <v>9</v>
      </c>
      <c r="F41" s="258" t="s">
        <v>15</v>
      </c>
      <c r="G41" s="312">
        <v>1</v>
      </c>
      <c r="H41" s="249" t="s">
        <v>9</v>
      </c>
      <c r="I41" s="317">
        <v>1</v>
      </c>
      <c r="J41" s="251">
        <f t="shared" si="5"/>
        <v>3</v>
      </c>
      <c r="K41" s="239">
        <f t="shared" si="6"/>
        <v>1</v>
      </c>
      <c r="L41" s="239">
        <f t="shared" si="7"/>
        <v>1</v>
      </c>
      <c r="M41" s="228"/>
      <c r="N41" s="228"/>
      <c r="O41" s="274" t="s">
        <v>33</v>
      </c>
      <c r="P41" s="275">
        <f>SUMIF($D$8:$D$55,$O41,$G$8:$G$55)+SUMIF($F$8:$F$55,$O41,$I$8:$I$55)</f>
        <v>0</v>
      </c>
      <c r="Q41" s="275">
        <f>SUMIF($D$8:$D$55,$O41,$I$8:$I$55)+SUMIF($F$8:$F$55,$O41,$G$8:$G$55)</f>
        <v>8</v>
      </c>
      <c r="R41" s="275">
        <f>P41-Q41</f>
        <v>-8</v>
      </c>
      <c r="S41" s="276">
        <f>SUMIF($D$8:$D$55,$O41,$K$8:$K$55)+SUMIF($F$8:$F$55,$O41,$L$8:$L$55)</f>
        <v>0</v>
      </c>
      <c r="T41" s="321" t="s">
        <v>75</v>
      </c>
      <c r="U41" s="40"/>
      <c r="V41" s="40" t="str">
        <f>O41</f>
        <v>Iran</v>
      </c>
      <c r="W41" s="40" t="s">
        <v>74</v>
      </c>
      <c r="Y41" s="109">
        <f t="shared" si="8"/>
        <v>0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0</v>
      </c>
      <c r="AG41" s="108">
        <f t="shared" si="0"/>
        <v>0</v>
      </c>
      <c r="AH41" s="108">
        <f t="shared" si="1"/>
        <v>0</v>
      </c>
      <c r="AI41" s="108">
        <f t="shared" si="10"/>
        <v>0</v>
      </c>
      <c r="AJ41" s="108">
        <f t="shared" si="2"/>
        <v>0</v>
      </c>
      <c r="AK41" s="108">
        <f t="shared" si="3"/>
        <v>0</v>
      </c>
      <c r="AL41" s="108">
        <f t="shared" si="4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246">
        <v>35</v>
      </c>
      <c r="C42" s="247">
        <v>41813</v>
      </c>
      <c r="D42" s="248" t="s">
        <v>12</v>
      </c>
      <c r="E42" s="249" t="s">
        <v>9</v>
      </c>
      <c r="F42" s="258" t="s">
        <v>8</v>
      </c>
      <c r="G42" s="312">
        <v>1</v>
      </c>
      <c r="H42" s="249" t="s">
        <v>9</v>
      </c>
      <c r="I42" s="317">
        <v>3</v>
      </c>
      <c r="J42" s="251">
        <f t="shared" si="5"/>
        <v>2</v>
      </c>
      <c r="K42" s="239">
        <f t="shared" si="6"/>
        <v>0</v>
      </c>
      <c r="L42" s="239">
        <f t="shared" si="7"/>
        <v>3</v>
      </c>
      <c r="M42" s="228"/>
      <c r="N42" s="228"/>
      <c r="O42" s="277" t="s">
        <v>34</v>
      </c>
      <c r="P42" s="278">
        <f>SUMIF($D$8:$D$55,$O42,$G$8:$G$55)+SUMIF($F$8:$F$55,$O42,$I$8:$I$55)</f>
        <v>4</v>
      </c>
      <c r="Q42" s="278">
        <f>SUMIF($D$8:$D$55,$O42,$I$8:$I$55)+SUMIF($F$8:$F$55,$O42,$G$8:$G$55)</f>
        <v>3</v>
      </c>
      <c r="R42" s="278">
        <f>P42-Q42</f>
        <v>1</v>
      </c>
      <c r="S42" s="279">
        <f>SUMIF($D$8:$D$55,$O42,$K$8:$K$55)+SUMIF($F$8:$F$55,$O42,$L$8:$L$55)</f>
        <v>6</v>
      </c>
      <c r="T42" s="322" t="s">
        <v>73</v>
      </c>
      <c r="U42" s="40"/>
      <c r="V42" s="40" t="str">
        <f>O42</f>
        <v>Nigeria</v>
      </c>
      <c r="W42" s="40" t="s">
        <v>75</v>
      </c>
      <c r="Y42" s="109">
        <f t="shared" si="8"/>
        <v>6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6</v>
      </c>
      <c r="AG42" s="108">
        <f t="shared" si="0"/>
        <v>1</v>
      </c>
      <c r="AH42" s="108">
        <f t="shared" si="1"/>
        <v>0</v>
      </c>
      <c r="AI42" s="108">
        <f t="shared" si="10"/>
        <v>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252">
        <v>36</v>
      </c>
      <c r="C43" s="253">
        <v>41813</v>
      </c>
      <c r="D43" s="254" t="s">
        <v>10</v>
      </c>
      <c r="E43" s="255" t="s">
        <v>9</v>
      </c>
      <c r="F43" s="256" t="s">
        <v>11</v>
      </c>
      <c r="G43" s="313">
        <v>2</v>
      </c>
      <c r="H43" s="255" t="s">
        <v>9</v>
      </c>
      <c r="I43" s="318">
        <v>1</v>
      </c>
      <c r="J43" s="257">
        <f t="shared" si="5"/>
        <v>1</v>
      </c>
      <c r="K43" s="239">
        <f t="shared" si="6"/>
        <v>3</v>
      </c>
      <c r="L43" s="239">
        <f t="shared" si="7"/>
        <v>0</v>
      </c>
      <c r="M43" s="228"/>
      <c r="N43" s="228"/>
      <c r="O43" s="268"/>
      <c r="P43" s="269"/>
      <c r="Q43" s="269"/>
      <c r="R43" s="269"/>
      <c r="S43" s="269"/>
      <c r="T43" s="269"/>
      <c r="U43" s="40"/>
      <c r="V43" s="40"/>
      <c r="W43" s="40"/>
      <c r="Y43" s="109">
        <f t="shared" si="8"/>
        <v>0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0</v>
      </c>
      <c r="AG43" s="108">
        <f t="shared" si="0"/>
        <v>0</v>
      </c>
      <c r="AH43" s="108">
        <f t="shared" si="1"/>
        <v>0</v>
      </c>
      <c r="AI43" s="108">
        <f t="shared" si="10"/>
        <v>0</v>
      </c>
      <c r="AJ43" s="108">
        <f t="shared" si="2"/>
        <v>0</v>
      </c>
      <c r="AK43" s="108">
        <f t="shared" si="3"/>
        <v>0</v>
      </c>
      <c r="AL43" s="108">
        <f t="shared" si="4"/>
        <v>0</v>
      </c>
      <c r="AN43" s="40"/>
      <c r="AO43" s="41"/>
    </row>
    <row r="44" spans="2:41" ht="15.75" thickBot="1">
      <c r="B44" s="240">
        <v>37</v>
      </c>
      <c r="C44" s="241">
        <v>41814</v>
      </c>
      <c r="D44" s="242" t="s">
        <v>22</v>
      </c>
      <c r="E44" s="243" t="s">
        <v>9</v>
      </c>
      <c r="F44" s="244" t="s">
        <v>19</v>
      </c>
      <c r="G44" s="311">
        <v>1</v>
      </c>
      <c r="H44" s="243" t="s">
        <v>9</v>
      </c>
      <c r="I44" s="316">
        <v>2</v>
      </c>
      <c r="J44" s="245">
        <f t="shared" si="5"/>
        <v>2</v>
      </c>
      <c r="K44" s="239">
        <f t="shared" si="6"/>
        <v>0</v>
      </c>
      <c r="L44" s="239">
        <f t="shared" si="7"/>
        <v>3</v>
      </c>
      <c r="M44" s="228"/>
      <c r="N44" s="228"/>
      <c r="O44" s="298" t="s">
        <v>76</v>
      </c>
      <c r="P44" s="299" t="s">
        <v>42</v>
      </c>
      <c r="Q44" s="299" t="s">
        <v>43</v>
      </c>
      <c r="R44" s="300" t="s">
        <v>44</v>
      </c>
      <c r="S44" s="301" t="s">
        <v>45</v>
      </c>
      <c r="T44" s="302" t="s">
        <v>46</v>
      </c>
      <c r="U44" s="40"/>
      <c r="V44" s="40"/>
      <c r="W44" s="40"/>
      <c r="Y44" s="109">
        <f t="shared" si="8"/>
        <v>5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5</v>
      </c>
      <c r="AG44" s="108">
        <f t="shared" si="0"/>
        <v>0</v>
      </c>
      <c r="AH44" s="108">
        <f t="shared" si="1"/>
        <v>0</v>
      </c>
      <c r="AI44" s="108">
        <f t="shared" si="10"/>
        <v>0</v>
      </c>
      <c r="AJ44" s="108">
        <f t="shared" si="2"/>
        <v>0</v>
      </c>
      <c r="AK44" s="108">
        <f t="shared" si="3"/>
        <v>5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246">
        <v>38</v>
      </c>
      <c r="C45" s="247">
        <v>41814</v>
      </c>
      <c r="D45" s="248" t="s">
        <v>20</v>
      </c>
      <c r="E45" s="249" t="s">
        <v>9</v>
      </c>
      <c r="F45" s="258" t="s">
        <v>21</v>
      </c>
      <c r="G45" s="312">
        <v>0</v>
      </c>
      <c r="H45" s="249" t="s">
        <v>9</v>
      </c>
      <c r="I45" s="317">
        <v>2</v>
      </c>
      <c r="J45" s="251">
        <f t="shared" si="5"/>
        <v>2</v>
      </c>
      <c r="K45" s="239">
        <f t="shared" si="6"/>
        <v>0</v>
      </c>
      <c r="L45" s="239">
        <f t="shared" si="7"/>
        <v>3</v>
      </c>
      <c r="M45" s="228"/>
      <c r="N45" s="228"/>
      <c r="O45" s="270" t="s">
        <v>31</v>
      </c>
      <c r="P45" s="271">
        <f>SUMIF($D$8:$D$55,$O45,$G$8:$G$55)+SUMIF($F$8:$F$55,$O45,$I$8:$I$55)</f>
        <v>6</v>
      </c>
      <c r="Q45" s="271">
        <f>SUMIF($D$8:$D$55,$O45,$I$8:$I$55)+SUMIF($F$8:$F$55,$O45,$G$8:$G$55)</f>
        <v>1</v>
      </c>
      <c r="R45" s="272">
        <f>P45-Q45</f>
        <v>5</v>
      </c>
      <c r="S45" s="273">
        <f>SUMIF($D$8:$D$55,$O45,$K$8:$K$55)+SUMIF($F$8:$F$55,$O45,$L$8:$L$55)</f>
        <v>9</v>
      </c>
      <c r="T45" s="320" t="s">
        <v>77</v>
      </c>
      <c r="U45" s="40"/>
      <c r="V45" s="40" t="str">
        <f>O45</f>
        <v>Duitsland</v>
      </c>
      <c r="W45" s="40" t="s">
        <v>77</v>
      </c>
      <c r="Y45" s="109">
        <f t="shared" si="8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1</v>
      </c>
      <c r="AG45" s="108">
        <f t="shared" si="0"/>
        <v>1</v>
      </c>
      <c r="AH45" s="108">
        <f t="shared" si="1"/>
        <v>0</v>
      </c>
      <c r="AI45" s="108">
        <f t="shared" si="10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246">
        <v>39</v>
      </c>
      <c r="C46" s="247">
        <v>41814</v>
      </c>
      <c r="D46" s="248" t="s">
        <v>24</v>
      </c>
      <c r="E46" s="249" t="s">
        <v>9</v>
      </c>
      <c r="F46" s="258" t="s">
        <v>17</v>
      </c>
      <c r="G46" s="312">
        <v>2</v>
      </c>
      <c r="H46" s="249" t="s">
        <v>9</v>
      </c>
      <c r="I46" s="317">
        <v>0</v>
      </c>
      <c r="J46" s="251">
        <f t="shared" si="5"/>
        <v>1</v>
      </c>
      <c r="K46" s="239">
        <f t="shared" si="6"/>
        <v>3</v>
      </c>
      <c r="L46" s="239">
        <f t="shared" si="7"/>
        <v>0</v>
      </c>
      <c r="M46" s="228"/>
      <c r="N46" s="228"/>
      <c r="O46" s="274" t="s">
        <v>32</v>
      </c>
      <c r="P46" s="275">
        <f>SUMIF($D$8:$D$55,$O46,$G$8:$G$55)+SUMIF($F$8:$F$55,$O46,$I$8:$I$55)</f>
        <v>5</v>
      </c>
      <c r="Q46" s="275">
        <f>SUMIF($D$8:$D$55,$O46,$I$8:$I$55)+SUMIF($F$8:$F$55,$O46,$G$8:$G$55)</f>
        <v>2</v>
      </c>
      <c r="R46" s="275">
        <f>P46-Q46</f>
        <v>3</v>
      </c>
      <c r="S46" s="276">
        <f>SUMIF($D$8:$D$55,$O46,$K$8:$K$55)+SUMIF($F$8:$F$55,$O46,$L$8:$L$55)</f>
        <v>6</v>
      </c>
      <c r="T46" s="321" t="s">
        <v>78</v>
      </c>
      <c r="U46" s="40"/>
      <c r="V46" s="40" t="str">
        <f>O46</f>
        <v>Portugal</v>
      </c>
      <c r="W46" s="40" t="s">
        <v>78</v>
      </c>
      <c r="Y46" s="109">
        <f t="shared" si="8"/>
        <v>0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0</v>
      </c>
      <c r="AG46" s="108">
        <f t="shared" si="0"/>
        <v>0</v>
      </c>
      <c r="AH46" s="108">
        <f t="shared" si="1"/>
        <v>0</v>
      </c>
      <c r="AI46" s="108">
        <f t="shared" si="10"/>
        <v>0</v>
      </c>
      <c r="AJ46" s="108">
        <f t="shared" si="2"/>
        <v>0</v>
      </c>
      <c r="AK46" s="108">
        <f t="shared" si="3"/>
        <v>0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252">
        <v>40</v>
      </c>
      <c r="C47" s="253">
        <v>41814</v>
      </c>
      <c r="D47" s="254" t="s">
        <v>18</v>
      </c>
      <c r="E47" s="255" t="s">
        <v>9</v>
      </c>
      <c r="F47" s="256" t="s">
        <v>23</v>
      </c>
      <c r="G47" s="313">
        <v>1</v>
      </c>
      <c r="H47" s="255" t="s">
        <v>9</v>
      </c>
      <c r="I47" s="318">
        <v>2</v>
      </c>
      <c r="J47" s="257">
        <f t="shared" si="5"/>
        <v>2</v>
      </c>
      <c r="K47" s="239">
        <f t="shared" si="6"/>
        <v>0</v>
      </c>
      <c r="L47" s="239">
        <f t="shared" si="7"/>
        <v>3</v>
      </c>
      <c r="M47" s="228"/>
      <c r="N47" s="228"/>
      <c r="O47" s="274" t="s">
        <v>35</v>
      </c>
      <c r="P47" s="275">
        <f>SUMIF($D$8:$D$55,$O47,$G$8:$G$55)+SUMIF($F$8:$F$55,$O47,$I$8:$I$55)</f>
        <v>1</v>
      </c>
      <c r="Q47" s="275">
        <f>SUMIF($D$8:$D$55,$O47,$I$8:$I$55)+SUMIF($F$8:$F$55,$O47,$G$8:$G$55)</f>
        <v>5</v>
      </c>
      <c r="R47" s="275">
        <f>P47-Q47</f>
        <v>-4</v>
      </c>
      <c r="S47" s="276">
        <f>SUMIF($D$8:$D$55,$O47,$K$8:$K$55)+SUMIF($F$8:$F$55,$O47,$L$8:$L$55)</f>
        <v>3</v>
      </c>
      <c r="T47" s="321" t="s">
        <v>79</v>
      </c>
      <c r="U47" s="40"/>
      <c r="V47" s="40" t="str">
        <f>O47</f>
        <v>Ghana</v>
      </c>
      <c r="W47" s="40" t="s">
        <v>79</v>
      </c>
      <c r="Y47" s="109">
        <f t="shared" si="8"/>
        <v>0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0</v>
      </c>
      <c r="AG47" s="108">
        <f t="shared" si="0"/>
        <v>0</v>
      </c>
      <c r="AH47" s="108">
        <f t="shared" si="1"/>
        <v>0</v>
      </c>
      <c r="AI47" s="108">
        <f t="shared" si="10"/>
        <v>0</v>
      </c>
      <c r="AJ47" s="108">
        <f t="shared" si="2"/>
        <v>0</v>
      </c>
      <c r="AK47" s="108">
        <f t="shared" si="3"/>
        <v>0</v>
      </c>
      <c r="AL47" s="108">
        <f t="shared" si="4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240">
        <v>41</v>
      </c>
      <c r="C48" s="241">
        <v>41815</v>
      </c>
      <c r="D48" s="242" t="s">
        <v>34</v>
      </c>
      <c r="E48" s="243" t="s">
        <v>9</v>
      </c>
      <c r="F48" s="244" t="s">
        <v>29</v>
      </c>
      <c r="G48" s="311">
        <v>1</v>
      </c>
      <c r="H48" s="243" t="s">
        <v>9</v>
      </c>
      <c r="I48" s="316">
        <v>3</v>
      </c>
      <c r="J48" s="245">
        <f t="shared" si="5"/>
        <v>2</v>
      </c>
      <c r="K48" s="239">
        <f t="shared" si="6"/>
        <v>0</v>
      </c>
      <c r="L48" s="239">
        <f t="shared" si="7"/>
        <v>3</v>
      </c>
      <c r="M48" s="228"/>
      <c r="N48" s="228"/>
      <c r="O48" s="277" t="s">
        <v>36</v>
      </c>
      <c r="P48" s="278">
        <f>SUMIF($D$8:$D$55,$O48,$G$8:$G$55)+SUMIF($F$8:$F$55,$O48,$I$8:$I$55)</f>
        <v>0</v>
      </c>
      <c r="Q48" s="278">
        <f>SUMIF($D$8:$D$55,$O48,$I$8:$I$55)+SUMIF($F$8:$F$55,$O48,$G$8:$G$55)</f>
        <v>4</v>
      </c>
      <c r="R48" s="278">
        <f>P48-Q48</f>
        <v>-4</v>
      </c>
      <c r="S48" s="279">
        <f>SUMIF($D$8:$D$55,$O48,$K$8:$K$55)+SUMIF($F$8:$F$55,$O48,$L$8:$L$55)</f>
        <v>0</v>
      </c>
      <c r="T48" s="322" t="s">
        <v>80</v>
      </c>
      <c r="U48" s="40"/>
      <c r="V48" s="40" t="str">
        <f>O48</f>
        <v>Verenigde Staten</v>
      </c>
      <c r="W48" s="40" t="s">
        <v>80</v>
      </c>
      <c r="Y48" s="109">
        <f t="shared" si="8"/>
        <v>6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6</v>
      </c>
      <c r="AG48" s="108">
        <f t="shared" si="0"/>
        <v>0</v>
      </c>
      <c r="AH48" s="108">
        <f t="shared" si="1"/>
        <v>1</v>
      </c>
      <c r="AI48" s="108">
        <f t="shared" si="10"/>
        <v>0</v>
      </c>
      <c r="AJ48" s="108">
        <f t="shared" si="2"/>
        <v>0</v>
      </c>
      <c r="AK48" s="108">
        <f t="shared" si="3"/>
        <v>5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246">
        <v>42</v>
      </c>
      <c r="C49" s="247">
        <v>41815</v>
      </c>
      <c r="D49" s="248" t="s">
        <v>30</v>
      </c>
      <c r="E49" s="249" t="s">
        <v>9</v>
      </c>
      <c r="F49" s="258" t="s">
        <v>33</v>
      </c>
      <c r="G49" s="312">
        <v>2</v>
      </c>
      <c r="H49" s="249" t="s">
        <v>9</v>
      </c>
      <c r="I49" s="317">
        <v>0</v>
      </c>
      <c r="J49" s="251">
        <f t="shared" si="5"/>
        <v>1</v>
      </c>
      <c r="K49" s="239">
        <f t="shared" si="6"/>
        <v>3</v>
      </c>
      <c r="L49" s="239">
        <f t="shared" si="7"/>
        <v>0</v>
      </c>
      <c r="M49" s="228"/>
      <c r="N49" s="228"/>
      <c r="O49" s="268"/>
      <c r="P49" s="269"/>
      <c r="Q49" s="269"/>
      <c r="R49" s="269"/>
      <c r="S49" s="269"/>
      <c r="T49" s="269"/>
      <c r="U49" s="40"/>
      <c r="V49" s="40"/>
      <c r="W49" s="40"/>
      <c r="Y49" s="109">
        <f t="shared" si="8"/>
        <v>5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5</v>
      </c>
      <c r="AG49" s="108">
        <f t="shared" si="0"/>
        <v>0</v>
      </c>
      <c r="AH49" s="108">
        <f t="shared" si="1"/>
        <v>0</v>
      </c>
      <c r="AI49" s="108">
        <f t="shared" si="10"/>
        <v>0</v>
      </c>
      <c r="AJ49" s="108">
        <f t="shared" si="2"/>
        <v>5</v>
      </c>
      <c r="AK49" s="108">
        <f t="shared" si="3"/>
        <v>0</v>
      </c>
      <c r="AL49" s="108">
        <f t="shared" si="4"/>
        <v>0</v>
      </c>
      <c r="AN49" s="40"/>
      <c r="AO49" s="41"/>
    </row>
    <row r="50" spans="2:54" ht="15.75" thickBot="1">
      <c r="B50" s="246">
        <v>43</v>
      </c>
      <c r="C50" s="247">
        <v>41815</v>
      </c>
      <c r="D50" s="248" t="s">
        <v>28</v>
      </c>
      <c r="E50" s="249" t="s">
        <v>9</v>
      </c>
      <c r="F50" s="258" t="s">
        <v>25</v>
      </c>
      <c r="G50" s="312">
        <v>0</v>
      </c>
      <c r="H50" s="249" t="s">
        <v>9</v>
      </c>
      <c r="I50" s="317">
        <v>1</v>
      </c>
      <c r="J50" s="251">
        <f t="shared" si="5"/>
        <v>2</v>
      </c>
      <c r="K50" s="239">
        <f t="shared" si="6"/>
        <v>0</v>
      </c>
      <c r="L50" s="239">
        <f t="shared" si="7"/>
        <v>3</v>
      </c>
      <c r="M50" s="228"/>
      <c r="N50" s="228"/>
      <c r="O50" s="298" t="s">
        <v>81</v>
      </c>
      <c r="P50" s="299" t="s">
        <v>42</v>
      </c>
      <c r="Q50" s="299" t="s">
        <v>43</v>
      </c>
      <c r="R50" s="300" t="s">
        <v>44</v>
      </c>
      <c r="S50" s="301" t="s">
        <v>45</v>
      </c>
      <c r="T50" s="302" t="s">
        <v>46</v>
      </c>
      <c r="U50" s="40"/>
      <c r="V50" s="40"/>
      <c r="W50" s="40"/>
      <c r="Y50" s="109">
        <f t="shared" si="8"/>
        <v>6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6</v>
      </c>
      <c r="AG50" s="108">
        <f t="shared" si="0"/>
        <v>1</v>
      </c>
      <c r="AH50" s="108">
        <f t="shared" si="1"/>
        <v>0</v>
      </c>
      <c r="AI50" s="108">
        <f t="shared" si="10"/>
        <v>0</v>
      </c>
      <c r="AJ50" s="108">
        <f t="shared" si="2"/>
        <v>0</v>
      </c>
      <c r="AK50" s="108">
        <f t="shared" si="3"/>
        <v>5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252">
        <v>44</v>
      </c>
      <c r="C51" s="253">
        <v>41815</v>
      </c>
      <c r="D51" s="254" t="s">
        <v>26</v>
      </c>
      <c r="E51" s="255" t="s">
        <v>9</v>
      </c>
      <c r="F51" s="256" t="s">
        <v>27</v>
      </c>
      <c r="G51" s="313">
        <v>0</v>
      </c>
      <c r="H51" s="255" t="s">
        <v>9</v>
      </c>
      <c r="I51" s="318">
        <v>2</v>
      </c>
      <c r="J51" s="257">
        <f t="shared" si="5"/>
        <v>2</v>
      </c>
      <c r="K51" s="239">
        <f t="shared" si="6"/>
        <v>0</v>
      </c>
      <c r="L51" s="239">
        <f>IF(I51="","",IF($G51&lt;$I51,3,IF($G51=$I51,1,0)))</f>
        <v>3</v>
      </c>
      <c r="M51" s="228"/>
      <c r="N51" s="228"/>
      <c r="O51" s="270" t="s">
        <v>37</v>
      </c>
      <c r="P51" s="271">
        <f>SUMIF($D$8:$D$55,$O51,$G$8:$G$55)+SUMIF($F$8:$F$55,$O51,$I$8:$I$55)</f>
        <v>7</v>
      </c>
      <c r="Q51" s="271">
        <f>SUMIF($D$8:$D$55,$O51,$I$8:$I$55)+SUMIF($F$8:$F$55,$O51,$G$8:$G$55)</f>
        <v>1</v>
      </c>
      <c r="R51" s="272">
        <f>P51-Q51</f>
        <v>6</v>
      </c>
      <c r="S51" s="273">
        <f>SUMIF($D$8:$D$55,$O51,$K$8:$K$55)+SUMIF($F$8:$F$55,$O51,$L$8:$L$55)</f>
        <v>9</v>
      </c>
      <c r="T51" s="320" t="s">
        <v>82</v>
      </c>
      <c r="U51" s="40"/>
      <c r="V51" s="40" t="str">
        <f>O51</f>
        <v>België</v>
      </c>
      <c r="W51" s="40" t="s">
        <v>82</v>
      </c>
      <c r="Y51" s="109">
        <f t="shared" si="8"/>
        <v>1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1</v>
      </c>
      <c r="AG51" s="108">
        <f t="shared" si="0"/>
        <v>1</v>
      </c>
      <c r="AH51" s="108">
        <f t="shared" si="1"/>
        <v>0</v>
      </c>
      <c r="AI51" s="108">
        <f t="shared" si="10"/>
        <v>0</v>
      </c>
      <c r="AJ51" s="108">
        <f t="shared" si="2"/>
        <v>0</v>
      </c>
      <c r="AK51" s="108">
        <f t="shared" si="3"/>
        <v>0</v>
      </c>
      <c r="AL51" s="108">
        <f t="shared" si="4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246">
        <v>45</v>
      </c>
      <c r="C52" s="247">
        <v>41816</v>
      </c>
      <c r="D52" s="248" t="s">
        <v>36</v>
      </c>
      <c r="E52" s="249" t="s">
        <v>9</v>
      </c>
      <c r="F52" s="258" t="s">
        <v>31</v>
      </c>
      <c r="G52" s="312">
        <v>0</v>
      </c>
      <c r="H52" s="249" t="s">
        <v>9</v>
      </c>
      <c r="I52" s="317">
        <v>1</v>
      </c>
      <c r="J52" s="245">
        <f t="shared" si="5"/>
        <v>2</v>
      </c>
      <c r="K52" s="239">
        <f t="shared" si="6"/>
        <v>0</v>
      </c>
      <c r="L52" s="239">
        <f t="shared" si="7"/>
        <v>3</v>
      </c>
      <c r="M52" s="228"/>
      <c r="N52" s="228"/>
      <c r="O52" s="274" t="s">
        <v>38</v>
      </c>
      <c r="P52" s="275">
        <f>SUMIF($D$8:$D$55,$O52,$G$8:$G$55)+SUMIF($F$8:$F$55,$O52,$I$8:$I$55)</f>
        <v>0</v>
      </c>
      <c r="Q52" s="275">
        <f>SUMIF($D$8:$D$55,$O52,$I$8:$I$55)+SUMIF($F$8:$F$55,$O52,$G$8:$G$55)</f>
        <v>6</v>
      </c>
      <c r="R52" s="275">
        <f>P52-Q52</f>
        <v>-6</v>
      </c>
      <c r="S52" s="276">
        <f>SUMIF($D$8:$D$55,$O52,$K$8:$K$55)+SUMIF($F$8:$F$55,$O52,$L$8:$L$55)</f>
        <v>0</v>
      </c>
      <c r="T52" s="321" t="s">
        <v>85</v>
      </c>
      <c r="U52" s="40"/>
      <c r="V52" s="40" t="str">
        <f>O52</f>
        <v>Algerije</v>
      </c>
      <c r="W52" s="40" t="s">
        <v>83</v>
      </c>
      <c r="Y52" s="109">
        <f t="shared" si="8"/>
        <v>10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10</v>
      </c>
      <c r="AG52" s="108">
        <f t="shared" si="0"/>
        <v>1</v>
      </c>
      <c r="AH52" s="108">
        <f t="shared" si="1"/>
        <v>1</v>
      </c>
      <c r="AI52" s="108">
        <f t="shared" si="10"/>
        <v>10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246">
        <v>46</v>
      </c>
      <c r="C53" s="247">
        <v>41816</v>
      </c>
      <c r="D53" s="248" t="s">
        <v>32</v>
      </c>
      <c r="E53" s="249" t="s">
        <v>9</v>
      </c>
      <c r="F53" s="258" t="s">
        <v>35</v>
      </c>
      <c r="G53" s="312">
        <v>2</v>
      </c>
      <c r="H53" s="249" t="s">
        <v>9</v>
      </c>
      <c r="I53" s="317">
        <v>0</v>
      </c>
      <c r="J53" s="251">
        <f t="shared" si="5"/>
        <v>1</v>
      </c>
      <c r="K53" s="239">
        <f t="shared" si="6"/>
        <v>3</v>
      </c>
      <c r="L53" s="239">
        <f t="shared" si="7"/>
        <v>0</v>
      </c>
      <c r="M53" s="228"/>
      <c r="N53" s="228"/>
      <c r="O53" s="274" t="s">
        <v>39</v>
      </c>
      <c r="P53" s="275">
        <f>SUMIF($D$8:$D$55,$O53,$G$8:$G$55)+SUMIF($F$8:$F$55,$O53,$I$8:$I$55)</f>
        <v>4</v>
      </c>
      <c r="Q53" s="275">
        <f>SUMIF($D$8:$D$55,$O53,$I$8:$I$55)+SUMIF($F$8:$F$55,$O53,$G$8:$G$55)</f>
        <v>2</v>
      </c>
      <c r="R53" s="275">
        <f>P53-Q53</f>
        <v>2</v>
      </c>
      <c r="S53" s="276">
        <f>SUMIF($D$8:$D$55,$O53,$K$8:$K$55)+SUMIF($F$8:$F$55,$O53,$L$8:$L$55)</f>
        <v>6</v>
      </c>
      <c r="T53" s="321" t="s">
        <v>83</v>
      </c>
      <c r="U53" s="40"/>
      <c r="V53" s="40" t="str">
        <f>O53</f>
        <v>Rusland</v>
      </c>
      <c r="W53" s="40" t="s">
        <v>84</v>
      </c>
      <c r="Y53" s="109">
        <f t="shared" si="8"/>
        <v>6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6</v>
      </c>
      <c r="AG53" s="108">
        <f t="shared" si="0"/>
        <v>1</v>
      </c>
      <c r="AH53" s="108">
        <f t="shared" si="1"/>
        <v>0</v>
      </c>
      <c r="AI53" s="108">
        <f t="shared" si="10"/>
        <v>0</v>
      </c>
      <c r="AJ53" s="108">
        <f t="shared" si="2"/>
        <v>5</v>
      </c>
      <c r="AK53" s="108">
        <f t="shared" si="3"/>
        <v>0</v>
      </c>
      <c r="AL53" s="108">
        <f t="shared" si="4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246">
        <v>47</v>
      </c>
      <c r="C54" s="247">
        <v>41816</v>
      </c>
      <c r="D54" s="248" t="s">
        <v>40</v>
      </c>
      <c r="E54" s="249" t="s">
        <v>9</v>
      </c>
      <c r="F54" s="258" t="s">
        <v>37</v>
      </c>
      <c r="G54" s="312">
        <v>1</v>
      </c>
      <c r="H54" s="249" t="s">
        <v>9</v>
      </c>
      <c r="I54" s="317">
        <v>2</v>
      </c>
      <c r="J54" s="251">
        <f t="shared" si="5"/>
        <v>2</v>
      </c>
      <c r="K54" s="239">
        <f t="shared" si="6"/>
        <v>0</v>
      </c>
      <c r="L54" s="239">
        <f t="shared" si="7"/>
        <v>3</v>
      </c>
      <c r="M54" s="228"/>
      <c r="N54" s="228"/>
      <c r="O54" s="277" t="s">
        <v>40</v>
      </c>
      <c r="P54" s="278">
        <f>SUMIF($D$8:$D$55,$O54,$G$8:$G$55)+SUMIF($F$8:$F$55,$O54,$I$8:$I$55)</f>
        <v>2</v>
      </c>
      <c r="Q54" s="278">
        <f>SUMIF($D$8:$D$55,$O54,$I$8:$I$55)+SUMIF($F$8:$F$55,$O54,$G$8:$G$55)</f>
        <v>4</v>
      </c>
      <c r="R54" s="278">
        <f>P54-Q54</f>
        <v>-2</v>
      </c>
      <c r="S54" s="279">
        <f>SUMIF($D$8:$D$55,$O54,$K$8:$K$55)+SUMIF($F$8:$F$55,$O54,$L$8:$L$55)</f>
        <v>3</v>
      </c>
      <c r="T54" s="322" t="s">
        <v>84</v>
      </c>
      <c r="U54" s="40"/>
      <c r="V54" s="40" t="str">
        <f>O54</f>
        <v>Zuid Korea</v>
      </c>
      <c r="W54" s="40" t="s">
        <v>85</v>
      </c>
      <c r="Y54" s="109">
        <f t="shared" si="8"/>
        <v>5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5</v>
      </c>
      <c r="AG54" s="108">
        <f t="shared" si="0"/>
        <v>0</v>
      </c>
      <c r="AH54" s="108">
        <f t="shared" si="1"/>
        <v>0</v>
      </c>
      <c r="AI54" s="108">
        <f t="shared" si="10"/>
        <v>0</v>
      </c>
      <c r="AJ54" s="108">
        <f t="shared" si="2"/>
        <v>0</v>
      </c>
      <c r="AK54" s="108">
        <f t="shared" si="3"/>
        <v>5</v>
      </c>
      <c r="AL54" s="108">
        <f t="shared" si="4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261">
        <v>48</v>
      </c>
      <c r="C55" s="262">
        <v>41816</v>
      </c>
      <c r="D55" s="263" t="s">
        <v>38</v>
      </c>
      <c r="E55" s="264" t="s">
        <v>9</v>
      </c>
      <c r="F55" s="265" t="s">
        <v>39</v>
      </c>
      <c r="G55" s="314">
        <v>0</v>
      </c>
      <c r="H55" s="264" t="s">
        <v>9</v>
      </c>
      <c r="I55" s="319">
        <v>2</v>
      </c>
      <c r="J55" s="266">
        <f t="shared" si="5"/>
        <v>2</v>
      </c>
      <c r="K55" s="239">
        <f t="shared" si="6"/>
        <v>0</v>
      </c>
      <c r="L55" s="239">
        <f t="shared" si="7"/>
        <v>3</v>
      </c>
      <c r="M55" s="228"/>
      <c r="N55" s="228"/>
      <c r="O55" s="268"/>
      <c r="P55" s="269"/>
      <c r="Q55" s="269"/>
      <c r="R55" s="269"/>
      <c r="S55" s="269"/>
      <c r="T55" s="269"/>
      <c r="U55" s="40"/>
      <c r="V55" s="40"/>
      <c r="W55" s="40"/>
      <c r="Y55" s="109">
        <f t="shared" si="8"/>
        <v>0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0</v>
      </c>
      <c r="AG55" s="108">
        <f t="shared" si="0"/>
        <v>0</v>
      </c>
      <c r="AH55" s="108">
        <f t="shared" si="1"/>
        <v>0</v>
      </c>
      <c r="AI55" s="108">
        <f t="shared" si="10"/>
        <v>0</v>
      </c>
      <c r="AJ55" s="108">
        <f t="shared" si="2"/>
        <v>0</v>
      </c>
      <c r="AK55" s="108">
        <f t="shared" si="3"/>
        <v>0</v>
      </c>
      <c r="AL55" s="108">
        <f t="shared" si="4"/>
        <v>0</v>
      </c>
    </row>
    <row r="56" spans="2:54" ht="15.75" thickBot="1">
      <c r="B56" s="229"/>
      <c r="C56" s="267"/>
      <c r="D56" s="268"/>
      <c r="E56" s="229"/>
      <c r="F56" s="268"/>
      <c r="G56" s="229"/>
      <c r="H56" s="229"/>
      <c r="I56" s="229"/>
      <c r="J56" s="229"/>
      <c r="K56" s="229"/>
      <c r="L56" s="229"/>
      <c r="M56" s="229"/>
      <c r="N56" s="228"/>
      <c r="O56" s="228"/>
      <c r="P56" s="228"/>
      <c r="Q56" s="228"/>
      <c r="R56" s="228"/>
      <c r="S56" s="228"/>
      <c r="T56" s="228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348"/>
      <c r="K57" s="229"/>
      <c r="L57" s="229"/>
      <c r="M57" s="229"/>
      <c r="N57" s="228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304" t="s">
        <v>1</v>
      </c>
      <c r="C58" s="305" t="s">
        <v>2</v>
      </c>
      <c r="D58" s="340" t="s">
        <v>3</v>
      </c>
      <c r="E58" s="307"/>
      <c r="F58" s="346" t="s">
        <v>4</v>
      </c>
      <c r="G58" s="867" t="s">
        <v>5</v>
      </c>
      <c r="H58" s="868"/>
      <c r="I58" s="869"/>
      <c r="J58" s="309" t="s">
        <v>6</v>
      </c>
      <c r="K58" s="229"/>
      <c r="L58" s="229"/>
      <c r="M58" s="229"/>
      <c r="N58" s="228"/>
      <c r="O58" s="334">
        <v>1</v>
      </c>
      <c r="P58" s="877" t="s">
        <v>208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0</v>
      </c>
      <c r="BB58" s="139">
        <f>BA58</f>
        <v>0</v>
      </c>
    </row>
    <row r="59" spans="2:54">
      <c r="B59" s="240">
        <v>49</v>
      </c>
      <c r="C59" s="342">
        <v>41818</v>
      </c>
      <c r="D59" s="336" t="str">
        <f>IF(ISERROR(Z59),K59,Z59)</f>
        <v>Brazilië</v>
      </c>
      <c r="E59" s="243" t="s">
        <v>9</v>
      </c>
      <c r="F59" s="282" t="str">
        <f>IF(ISERROR(AA59),L59,AA59)</f>
        <v>Nederland</v>
      </c>
      <c r="G59" s="311">
        <v>2</v>
      </c>
      <c r="H59" s="243" t="s">
        <v>9</v>
      </c>
      <c r="I59" s="323">
        <v>0</v>
      </c>
      <c r="J59" s="324">
        <v>1</v>
      </c>
      <c r="K59" s="283" t="s">
        <v>48</v>
      </c>
      <c r="L59" s="283" t="s">
        <v>53</v>
      </c>
      <c r="M59" s="283">
        <v>1</v>
      </c>
      <c r="N59" s="228"/>
      <c r="O59" s="334">
        <v>2</v>
      </c>
      <c r="P59" s="877" t="s">
        <v>220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3">AF59</f>
        <v>0</v>
      </c>
      <c r="Z59" t="str">
        <f t="shared" ref="Z59:AA65" si="14">IF(K59=""," ",VLOOKUP(K59,$T$9:$V$54,3,FALSE))</f>
        <v>Brazilië</v>
      </c>
      <c r="AA59" t="str">
        <f t="shared" si="14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0</v>
      </c>
      <c r="AG59" s="108">
        <f t="shared" ref="AG59:AG66" si="16">IF(AC59="",0,(IF(G59=AC59,1,0)))</f>
        <v>0</v>
      </c>
      <c r="AH59" s="108">
        <f t="shared" ref="AH59:AH66" si="17">IF(AD59="",0,(IF(I59=AD59,1,0)))</f>
        <v>0</v>
      </c>
      <c r="AI59" s="108">
        <f t="shared" ref="AI59:AI66" si="18">IF(AND(AG59=1,AH59=1),10,0)</f>
        <v>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252">
        <v>50</v>
      </c>
      <c r="C60" s="343">
        <v>41818</v>
      </c>
      <c r="D60" s="337" t="str">
        <f t="shared" ref="D60:D66" si="23">IF(ISERROR(Z60),K60,Z60)</f>
        <v>Japan</v>
      </c>
      <c r="E60" s="255" t="s">
        <v>9</v>
      </c>
      <c r="F60" s="285" t="str">
        <f t="shared" ref="F60:F66" si="24">IF(ISERROR(AA60),L60,AA60)</f>
        <v>Italië</v>
      </c>
      <c r="G60" s="313">
        <v>1</v>
      </c>
      <c r="H60" s="255" t="s">
        <v>9</v>
      </c>
      <c r="I60" s="325">
        <v>2</v>
      </c>
      <c r="J60" s="326">
        <v>2</v>
      </c>
      <c r="K60" s="283" t="s">
        <v>57</v>
      </c>
      <c r="L60" s="283" t="s">
        <v>63</v>
      </c>
      <c r="M60" s="283">
        <v>2</v>
      </c>
      <c r="N60" s="228"/>
      <c r="O60" s="334">
        <v>3</v>
      </c>
      <c r="P60" s="877" t="s">
        <v>225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3"/>
        <v>0</v>
      </c>
      <c r="Z60" t="str">
        <f t="shared" si="14"/>
        <v>Japan</v>
      </c>
      <c r="AA60" t="str">
        <f t="shared" si="14"/>
        <v>Italië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0</v>
      </c>
      <c r="AG60" s="108">
        <f t="shared" si="16"/>
        <v>0</v>
      </c>
      <c r="AH60" s="108">
        <f t="shared" si="17"/>
        <v>0</v>
      </c>
      <c r="AI60" s="108">
        <f t="shared" si="18"/>
        <v>0</v>
      </c>
      <c r="AJ60" s="108">
        <f t="shared" si="19"/>
        <v>0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2"/>
        <v>3</v>
      </c>
    </row>
    <row r="61" spans="2:54">
      <c r="B61" s="240">
        <v>51</v>
      </c>
      <c r="C61" s="342">
        <v>41819</v>
      </c>
      <c r="D61" s="341" t="str">
        <f t="shared" si="23"/>
        <v>Spanje</v>
      </c>
      <c r="E61" s="243" t="s">
        <v>9</v>
      </c>
      <c r="F61" s="282" t="str">
        <f t="shared" si="24"/>
        <v>Kroatië</v>
      </c>
      <c r="G61" s="311">
        <v>2</v>
      </c>
      <c r="H61" s="243" t="s">
        <v>9</v>
      </c>
      <c r="I61" s="323">
        <v>0</v>
      </c>
      <c r="J61" s="324">
        <v>1</v>
      </c>
      <c r="K61" s="283" t="s">
        <v>52</v>
      </c>
      <c r="L61" s="283" t="s">
        <v>49</v>
      </c>
      <c r="M61" s="283"/>
      <c r="N61" s="228"/>
      <c r="O61" s="334">
        <v>4</v>
      </c>
      <c r="P61" s="877" t="s">
        <v>209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3"/>
        <v>6</v>
      </c>
      <c r="Z61" t="str">
        <f t="shared" si="14"/>
        <v>Spanje</v>
      </c>
      <c r="AA61" t="str">
        <f t="shared" si="14"/>
        <v>Kroatië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6</v>
      </c>
      <c r="AG61" s="108">
        <f t="shared" si="16"/>
        <v>1</v>
      </c>
      <c r="AH61" s="108">
        <f t="shared" si="17"/>
        <v>0</v>
      </c>
      <c r="AI61" s="108">
        <f t="shared" si="18"/>
        <v>0</v>
      </c>
      <c r="AJ61" s="108">
        <f t="shared" si="19"/>
        <v>5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3</v>
      </c>
      <c r="BB61" s="139">
        <f t="shared" si="22"/>
        <v>3</v>
      </c>
    </row>
    <row r="62" spans="2:54">
      <c r="B62" s="252">
        <v>52</v>
      </c>
      <c r="C62" s="343">
        <v>41819</v>
      </c>
      <c r="D62" s="341" t="str">
        <f t="shared" si="23"/>
        <v>Uruguay</v>
      </c>
      <c r="E62" s="255" t="s">
        <v>9</v>
      </c>
      <c r="F62" s="285" t="str">
        <f t="shared" si="24"/>
        <v>Ivoorkust</v>
      </c>
      <c r="G62" s="313">
        <v>2</v>
      </c>
      <c r="H62" s="255" t="s">
        <v>9</v>
      </c>
      <c r="I62" s="325">
        <v>0</v>
      </c>
      <c r="J62" s="326">
        <v>1</v>
      </c>
      <c r="K62" s="283" t="s">
        <v>62</v>
      </c>
      <c r="L62" s="283" t="s">
        <v>58</v>
      </c>
      <c r="M62" s="283"/>
      <c r="N62" s="228"/>
      <c r="O62" s="334">
        <v>5</v>
      </c>
      <c r="P62" s="877" t="s">
        <v>211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3"/>
        <v>0</v>
      </c>
      <c r="Z62" t="str">
        <f t="shared" si="14"/>
        <v>Uruguay</v>
      </c>
      <c r="AA62" t="str">
        <f t="shared" si="14"/>
        <v>Ivoorkust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0</v>
      </c>
      <c r="AG62" s="108">
        <f t="shared" si="16"/>
        <v>0</v>
      </c>
      <c r="AH62" s="108">
        <f t="shared" si="17"/>
        <v>0</v>
      </c>
      <c r="AI62" s="108">
        <f t="shared" si="18"/>
        <v>0</v>
      </c>
      <c r="AJ62" s="108">
        <f t="shared" si="19"/>
        <v>0</v>
      </c>
      <c r="AK62" s="108">
        <f t="shared" si="20"/>
        <v>0</v>
      </c>
      <c r="AL62" s="108">
        <f t="shared" si="21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2"/>
        <v>3</v>
      </c>
    </row>
    <row r="63" spans="2:54">
      <c r="B63" s="240">
        <v>53</v>
      </c>
      <c r="C63" s="342">
        <v>41820</v>
      </c>
      <c r="D63" s="336" t="str">
        <f t="shared" si="23"/>
        <v>Frankrijk</v>
      </c>
      <c r="E63" s="243" t="s">
        <v>9</v>
      </c>
      <c r="F63" s="282" t="str">
        <f t="shared" si="24"/>
        <v>Nigeria</v>
      </c>
      <c r="G63" s="311">
        <v>3</v>
      </c>
      <c r="H63" s="243" t="s">
        <v>9</v>
      </c>
      <c r="I63" s="323">
        <v>1</v>
      </c>
      <c r="J63" s="324">
        <v>1</v>
      </c>
      <c r="K63" s="283" t="s">
        <v>67</v>
      </c>
      <c r="L63" s="283" t="s">
        <v>73</v>
      </c>
      <c r="M63" s="283"/>
      <c r="N63" s="228"/>
      <c r="O63" s="334">
        <v>6</v>
      </c>
      <c r="P63" s="877" t="s">
        <v>212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3"/>
        <v>5</v>
      </c>
      <c r="Z63" t="str">
        <f t="shared" si="14"/>
        <v>Frankrijk</v>
      </c>
      <c r="AA63" t="str">
        <f t="shared" si="14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5</v>
      </c>
      <c r="AG63" s="108">
        <f t="shared" si="16"/>
        <v>0</v>
      </c>
      <c r="AH63" s="108">
        <f t="shared" si="17"/>
        <v>0</v>
      </c>
      <c r="AI63" s="108">
        <f t="shared" si="18"/>
        <v>0</v>
      </c>
      <c r="AJ63" s="108">
        <f t="shared" si="19"/>
        <v>5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3</v>
      </c>
      <c r="BB63" s="139">
        <f t="shared" si="22"/>
        <v>3</v>
      </c>
    </row>
    <row r="64" spans="2:54">
      <c r="B64" s="252">
        <v>54</v>
      </c>
      <c r="C64" s="343">
        <v>41820</v>
      </c>
      <c r="D64" s="337" t="str">
        <f t="shared" si="23"/>
        <v>Duitsland</v>
      </c>
      <c r="E64" s="255" t="s">
        <v>9</v>
      </c>
      <c r="F64" s="285" t="str">
        <f t="shared" si="24"/>
        <v>Rusland</v>
      </c>
      <c r="G64" s="313">
        <v>2</v>
      </c>
      <c r="H64" s="255" t="s">
        <v>9</v>
      </c>
      <c r="I64" s="325">
        <v>0</v>
      </c>
      <c r="J64" s="326">
        <v>1</v>
      </c>
      <c r="K64" s="283" t="s">
        <v>77</v>
      </c>
      <c r="L64" s="283" t="s">
        <v>83</v>
      </c>
      <c r="M64" s="283"/>
      <c r="N64" s="228"/>
      <c r="O64" s="334">
        <v>7</v>
      </c>
      <c r="P64" s="877" t="s">
        <v>213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3"/>
        <v>1</v>
      </c>
      <c r="Z64" t="str">
        <f t="shared" si="14"/>
        <v>Duitsland</v>
      </c>
      <c r="AA64" t="str">
        <f t="shared" si="14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1</v>
      </c>
      <c r="AG64" s="108">
        <f t="shared" si="16"/>
        <v>0</v>
      </c>
      <c r="AH64" s="108">
        <f t="shared" si="17"/>
        <v>1</v>
      </c>
      <c r="AI64" s="108">
        <f t="shared" si="18"/>
        <v>0</v>
      </c>
      <c r="AJ64" s="108">
        <f t="shared" si="19"/>
        <v>0</v>
      </c>
      <c r="AK64" s="108">
        <f t="shared" si="20"/>
        <v>0</v>
      </c>
      <c r="AL64" s="108">
        <f t="shared" si="21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2"/>
        <v>3</v>
      </c>
    </row>
    <row r="65" spans="2:54">
      <c r="B65" s="246">
        <v>55</v>
      </c>
      <c r="C65" s="344">
        <v>41821</v>
      </c>
      <c r="D65" s="336" t="str">
        <f t="shared" si="23"/>
        <v>Argentinië</v>
      </c>
      <c r="E65" s="249" t="s">
        <v>9</v>
      </c>
      <c r="F65" s="286" t="str">
        <f t="shared" si="24"/>
        <v>Ecuador</v>
      </c>
      <c r="G65" s="312">
        <v>3</v>
      </c>
      <c r="H65" s="249" t="s">
        <v>9</v>
      </c>
      <c r="I65" s="327">
        <v>0</v>
      </c>
      <c r="J65" s="328">
        <v>1</v>
      </c>
      <c r="K65" s="283" t="s">
        <v>72</v>
      </c>
      <c r="L65" s="283" t="s">
        <v>68</v>
      </c>
      <c r="M65" s="283"/>
      <c r="N65" s="228"/>
      <c r="O65" s="334">
        <v>8</v>
      </c>
      <c r="P65" s="877" t="s">
        <v>226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3"/>
        <v>1</v>
      </c>
      <c r="Z65" t="str">
        <f t="shared" si="14"/>
        <v>Argentinië</v>
      </c>
      <c r="AA65" t="str">
        <f t="shared" si="14"/>
        <v>Ecuador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1</v>
      </c>
      <c r="AG65" s="108">
        <f t="shared" si="16"/>
        <v>0</v>
      </c>
      <c r="AH65" s="108">
        <f t="shared" si="17"/>
        <v>1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2"/>
        <v>3</v>
      </c>
    </row>
    <row r="66" spans="2:54" ht="15.75" thickBot="1">
      <c r="B66" s="261">
        <v>56</v>
      </c>
      <c r="C66" s="339">
        <v>41821</v>
      </c>
      <c r="D66" s="338" t="str">
        <f t="shared" si="23"/>
        <v>België</v>
      </c>
      <c r="E66" s="264" t="s">
        <v>9</v>
      </c>
      <c r="F66" s="288" t="str">
        <f t="shared" si="24"/>
        <v>Portugal</v>
      </c>
      <c r="G66" s="314">
        <v>2</v>
      </c>
      <c r="H66" s="264" t="s">
        <v>9</v>
      </c>
      <c r="I66" s="329">
        <v>1</v>
      </c>
      <c r="J66" s="330">
        <v>1</v>
      </c>
      <c r="K66" s="283" t="s">
        <v>82</v>
      </c>
      <c r="L66" s="283" t="s">
        <v>78</v>
      </c>
      <c r="M66" s="283"/>
      <c r="N66" s="228"/>
      <c r="O66" s="334">
        <v>9</v>
      </c>
      <c r="P66" s="877" t="s">
        <v>214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3"/>
        <v>0</v>
      </c>
      <c r="Z66" t="str">
        <f>IF(K66=""," ",VLOOKUP(K66,$T$9:$V$54,3,FALSE))</f>
        <v>België</v>
      </c>
      <c r="AA66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0</v>
      </c>
      <c r="AG66" s="108">
        <f t="shared" si="16"/>
        <v>0</v>
      </c>
      <c r="AH66" s="108">
        <f t="shared" si="17"/>
        <v>0</v>
      </c>
      <c r="AI66" s="108">
        <f t="shared" si="18"/>
        <v>0</v>
      </c>
      <c r="AJ66" s="108">
        <f t="shared" si="19"/>
        <v>0</v>
      </c>
      <c r="AK66" s="108">
        <f t="shared" si="20"/>
        <v>0</v>
      </c>
      <c r="AL66" s="108">
        <f t="shared" si="21"/>
        <v>0</v>
      </c>
      <c r="AZ66" s="138" t="str">
        <f>Uitslag!P66</f>
        <v>Jonathan de Guzman (m)</v>
      </c>
      <c r="BA66" s="140">
        <f t="shared" si="12"/>
        <v>3</v>
      </c>
      <c r="BB66" s="139">
        <f t="shared" si="22"/>
        <v>3</v>
      </c>
    </row>
    <row r="67" spans="2:54" ht="15.75" thickBot="1">
      <c r="B67" s="229"/>
      <c r="C67" s="267"/>
      <c r="D67" s="268"/>
      <c r="E67" s="229"/>
      <c r="F67" s="268"/>
      <c r="G67" s="229"/>
      <c r="H67" s="229"/>
      <c r="I67" s="229"/>
      <c r="J67" s="229"/>
      <c r="K67" s="229"/>
      <c r="L67" s="229"/>
      <c r="M67" s="229"/>
      <c r="N67" s="228"/>
      <c r="O67" s="334">
        <v>10</v>
      </c>
      <c r="P67" s="877" t="s">
        <v>216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2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348"/>
      <c r="K68" s="229"/>
      <c r="L68" s="229"/>
      <c r="M68" s="229"/>
      <c r="N68" s="228"/>
      <c r="O68" s="334">
        <v>11</v>
      </c>
      <c r="P68" s="877" t="s">
        <v>215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2"/>
        <v>3</v>
      </c>
    </row>
    <row r="69" spans="2:54">
      <c r="B69" s="304" t="s">
        <v>1</v>
      </c>
      <c r="C69" s="305" t="s">
        <v>2</v>
      </c>
      <c r="D69" s="345" t="s">
        <v>3</v>
      </c>
      <c r="E69" s="307"/>
      <c r="F69" s="346" t="s">
        <v>4</v>
      </c>
      <c r="G69" s="867" t="s">
        <v>5</v>
      </c>
      <c r="H69" s="868"/>
      <c r="I69" s="869"/>
      <c r="J69" s="309" t="s">
        <v>6</v>
      </c>
      <c r="K69" s="229"/>
      <c r="L69" s="229"/>
      <c r="M69" s="229"/>
      <c r="N69" s="228"/>
      <c r="O69" s="228"/>
      <c r="P69" s="228"/>
      <c r="Q69" s="228"/>
      <c r="R69" s="228"/>
      <c r="S69" s="228"/>
      <c r="T69" s="228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30</v>
      </c>
      <c r="BB69" s="139" t="str">
        <f>IF(AND(BA69&lt;&gt;"",BA69=33),15,"nvt")</f>
        <v>nvt</v>
      </c>
    </row>
    <row r="70" spans="2:54">
      <c r="B70" s="240">
        <v>57</v>
      </c>
      <c r="C70" s="241">
        <v>41824</v>
      </c>
      <c r="D70" s="281" t="str">
        <f>IF(J63="","Winnaar 53",IF(J63=1,D63,F63))</f>
        <v>Frankrijk</v>
      </c>
      <c r="E70" s="243" t="s">
        <v>9</v>
      </c>
      <c r="F70" s="282" t="str">
        <f>IF(J64="","Winnaar 54",IF(J64=1,D64,F64))</f>
        <v>Duitsland</v>
      </c>
      <c r="G70" s="311">
        <v>1</v>
      </c>
      <c r="H70" s="243" t="s">
        <v>9</v>
      </c>
      <c r="I70" s="323">
        <v>2</v>
      </c>
      <c r="J70" s="324">
        <v>2</v>
      </c>
      <c r="K70" s="229"/>
      <c r="L70" s="229"/>
      <c r="M70" s="229"/>
      <c r="N70" s="228"/>
      <c r="O70" s="228"/>
      <c r="P70" s="228"/>
      <c r="Q70" s="228"/>
      <c r="R70" s="228"/>
      <c r="S70" s="228"/>
      <c r="T70" s="228"/>
      <c r="V70" t="s">
        <v>133</v>
      </c>
      <c r="W70" t="s">
        <v>126</v>
      </c>
      <c r="X70" t="str">
        <f t="shared" si="11"/>
        <v>Karim Rekik (v)</v>
      </c>
      <c r="Y70" s="109">
        <f>AF70</f>
        <v>5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5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252">
        <v>58</v>
      </c>
      <c r="C71" s="253">
        <v>41824</v>
      </c>
      <c r="D71" s="284" t="str">
        <f>IF(J59="","Winnaar 49",IF(J59=1,D59,F59))</f>
        <v>Brazilië</v>
      </c>
      <c r="E71" s="255" t="s">
        <v>9</v>
      </c>
      <c r="F71" s="285" t="str">
        <f>IF(J60="","Winnaar 50",IF(J60=1,D60,F60))</f>
        <v>Italië</v>
      </c>
      <c r="G71" s="313">
        <v>1</v>
      </c>
      <c r="H71" s="255" t="s">
        <v>9</v>
      </c>
      <c r="I71" s="325">
        <v>0</v>
      </c>
      <c r="J71" s="326">
        <v>1</v>
      </c>
      <c r="K71" s="229"/>
      <c r="L71" s="229"/>
      <c r="M71" s="229"/>
      <c r="N71" s="228"/>
      <c r="O71" s="228"/>
      <c r="P71" s="228"/>
      <c r="Q71" s="228"/>
      <c r="R71" s="228"/>
      <c r="S71" s="228"/>
      <c r="T71" s="228"/>
      <c r="V71" t="s">
        <v>133</v>
      </c>
      <c r="W71" t="s">
        <v>194</v>
      </c>
      <c r="X71" t="str">
        <f t="shared" si="11"/>
        <v>Ron Vlaar (v)</v>
      </c>
      <c r="Y71" s="109">
        <f>AF71</f>
        <v>5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5</v>
      </c>
      <c r="AG71" s="108">
        <f>IF(AC71="",0,(IF(G71=AC71,1,0)))</f>
        <v>0</v>
      </c>
      <c r="AH71" s="108">
        <f>IF(AD71="",0,(IF(I71=AD71,1,0)))</f>
        <v>0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240">
        <v>59</v>
      </c>
      <c r="C72" s="241">
        <v>41825</v>
      </c>
      <c r="D72" s="281" t="str">
        <f>IF(J65="","Winnaar 55",IF(J65=1,D65,F65))</f>
        <v>Argentinië</v>
      </c>
      <c r="E72" s="243" t="s">
        <v>9</v>
      </c>
      <c r="F72" s="282" t="str">
        <f>IF(J66="","Winnaar 56",IF(J66=1,D66,F66))</f>
        <v>België</v>
      </c>
      <c r="G72" s="311">
        <v>2</v>
      </c>
      <c r="H72" s="243" t="s">
        <v>9</v>
      </c>
      <c r="I72" s="323">
        <v>1</v>
      </c>
      <c r="J72" s="324">
        <v>1</v>
      </c>
      <c r="K72" s="229"/>
      <c r="L72" s="229"/>
      <c r="M72" s="229"/>
      <c r="N72" s="228"/>
      <c r="O72" s="228"/>
      <c r="P72" s="228"/>
      <c r="Q72" s="228"/>
      <c r="R72" s="228"/>
      <c r="S72" s="228"/>
      <c r="T72" s="228"/>
      <c r="V72" t="s">
        <v>133</v>
      </c>
      <c r="W72" t="s">
        <v>195</v>
      </c>
      <c r="X72" t="str">
        <f t="shared" si="11"/>
        <v>John Heitinga (v)</v>
      </c>
      <c r="Y72" s="109">
        <f>AF72</f>
        <v>5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5</v>
      </c>
      <c r="AG72" s="108">
        <f>IF(AC72="",0,(IF(G72=AC72,1,0)))</f>
        <v>0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5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261">
        <v>60</v>
      </c>
      <c r="C73" s="262">
        <v>41825</v>
      </c>
      <c r="D73" s="287" t="str">
        <f>IF(J61="","Winnaar 51",IF(J61=1,D61,F61))</f>
        <v>Spanje</v>
      </c>
      <c r="E73" s="264" t="s">
        <v>9</v>
      </c>
      <c r="F73" s="288" t="str">
        <f>IF(J62="","Winnaar 52",IF(J62=1,D62,F62))</f>
        <v>Uruguay</v>
      </c>
      <c r="G73" s="314">
        <v>2</v>
      </c>
      <c r="H73" s="264" t="s">
        <v>9</v>
      </c>
      <c r="I73" s="329">
        <v>1</v>
      </c>
      <c r="J73" s="330">
        <v>1</v>
      </c>
      <c r="K73" s="229"/>
      <c r="L73" s="229"/>
      <c r="M73" s="229"/>
      <c r="N73" s="228"/>
      <c r="O73" s="228"/>
      <c r="P73" s="228"/>
      <c r="Q73" s="228"/>
      <c r="R73" s="228"/>
      <c r="S73" s="228"/>
      <c r="T73" s="228"/>
      <c r="V73" t="s">
        <v>133</v>
      </c>
      <c r="W73" t="s">
        <v>196</v>
      </c>
      <c r="X73" t="str">
        <f t="shared" si="11"/>
        <v>Urby Emanuelson (v)</v>
      </c>
      <c r="Y73" s="109">
        <f>AF73</f>
        <v>0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0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229"/>
      <c r="C74" s="267"/>
      <c r="D74" s="268"/>
      <c r="E74" s="229"/>
      <c r="F74" s="268"/>
      <c r="G74" s="229"/>
      <c r="H74" s="229"/>
      <c r="I74" s="229"/>
      <c r="J74" s="229"/>
      <c r="K74" s="229"/>
      <c r="L74" s="229"/>
      <c r="M74" s="229"/>
      <c r="N74" s="228"/>
      <c r="O74" s="228"/>
      <c r="P74" s="228"/>
      <c r="Q74" s="228"/>
      <c r="R74" s="228"/>
      <c r="S74" s="228"/>
      <c r="T74" s="228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348"/>
      <c r="K75" s="229"/>
      <c r="L75" s="229"/>
      <c r="M75" s="229"/>
      <c r="N75" s="228"/>
      <c r="O75" s="228"/>
      <c r="P75" s="228"/>
      <c r="Q75" s="228"/>
      <c r="R75" s="228"/>
      <c r="S75" s="228"/>
      <c r="T75" s="228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304" t="s">
        <v>1</v>
      </c>
      <c r="C76" s="305" t="s">
        <v>2</v>
      </c>
      <c r="D76" s="345" t="s">
        <v>3</v>
      </c>
      <c r="E76" s="307"/>
      <c r="F76" s="346" t="s">
        <v>4</v>
      </c>
      <c r="G76" s="867" t="s">
        <v>5</v>
      </c>
      <c r="H76" s="868"/>
      <c r="I76" s="869"/>
      <c r="J76" s="309" t="s">
        <v>6</v>
      </c>
      <c r="K76" s="229"/>
      <c r="L76" s="229"/>
      <c r="M76" s="229"/>
      <c r="N76" s="228"/>
      <c r="O76" s="228"/>
      <c r="P76" s="228"/>
      <c r="Q76" s="228"/>
      <c r="R76" s="228"/>
      <c r="S76" s="228"/>
      <c r="T76" s="228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240">
        <v>61</v>
      </c>
      <c r="C77" s="241">
        <v>41828</v>
      </c>
      <c r="D77" s="281" t="str">
        <f>IF(J70="","Winnaar 57",IF(J70=1,D70,F70))</f>
        <v>Duitsland</v>
      </c>
      <c r="E77" s="243" t="s">
        <v>9</v>
      </c>
      <c r="F77" s="282" t="str">
        <f>IF(J71="","Winnaar 58",IF(J71=1,D71,F71))</f>
        <v>Brazilië</v>
      </c>
      <c r="G77" s="311">
        <v>1</v>
      </c>
      <c r="H77" s="243" t="s">
        <v>9</v>
      </c>
      <c r="I77" s="323">
        <v>2</v>
      </c>
      <c r="J77" s="324">
        <v>2</v>
      </c>
      <c r="K77" s="229"/>
      <c r="L77" s="229"/>
      <c r="M77" s="229"/>
      <c r="N77" s="228"/>
      <c r="O77" s="228"/>
      <c r="P77" s="228"/>
      <c r="Q77" s="228"/>
      <c r="R77" s="228"/>
      <c r="S77" s="228"/>
      <c r="T77" s="228"/>
      <c r="V77" t="s">
        <v>134</v>
      </c>
      <c r="W77" t="s">
        <v>203</v>
      </c>
      <c r="X77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261">
        <v>62</v>
      </c>
      <c r="C78" s="262">
        <v>41829</v>
      </c>
      <c r="D78" s="287" t="str">
        <f>IF(J72="","Winnaar 59",IF(J72=1,D72,F72))</f>
        <v>Argentinië</v>
      </c>
      <c r="E78" s="264" t="s">
        <v>9</v>
      </c>
      <c r="F78" s="288" t="str">
        <f>IF(J73="","Winnaar 60",IF(J73=1,D73,F73))</f>
        <v>Spanje</v>
      </c>
      <c r="G78" s="314">
        <v>1</v>
      </c>
      <c r="H78" s="264" t="s">
        <v>9</v>
      </c>
      <c r="I78" s="329">
        <v>2</v>
      </c>
      <c r="J78" s="330">
        <v>2</v>
      </c>
      <c r="K78" s="229"/>
      <c r="L78" s="229"/>
      <c r="M78" s="229"/>
      <c r="N78" s="228"/>
      <c r="O78" s="228"/>
      <c r="P78" s="228"/>
      <c r="Q78" s="228"/>
      <c r="R78" s="228"/>
      <c r="S78" s="228"/>
      <c r="T78" s="228"/>
      <c r="V78" t="s">
        <v>134</v>
      </c>
      <c r="W78" t="s">
        <v>199</v>
      </c>
      <c r="X78" t="str">
        <f t="shared" si="11"/>
        <v>Leroy Fer (m)</v>
      </c>
      <c r="Y78" s="109">
        <f>AF78</f>
        <v>0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0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229"/>
      <c r="C79" s="267"/>
      <c r="D79" s="268"/>
      <c r="E79" s="229"/>
      <c r="F79" s="268"/>
      <c r="G79" s="229"/>
      <c r="H79" s="229"/>
      <c r="I79" s="229"/>
      <c r="J79" s="229"/>
      <c r="K79" s="229"/>
      <c r="L79" s="229"/>
      <c r="M79" s="229"/>
      <c r="N79" s="228"/>
      <c r="O79" s="228"/>
      <c r="P79" s="228"/>
      <c r="Q79" s="228"/>
      <c r="R79" s="228"/>
      <c r="S79" s="228"/>
      <c r="T79" s="228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348"/>
      <c r="K80" s="229"/>
      <c r="L80" s="229"/>
      <c r="M80" s="229"/>
      <c r="N80" s="228"/>
      <c r="O80" s="228"/>
      <c r="P80" s="228"/>
      <c r="Q80" s="228"/>
      <c r="R80" s="228"/>
      <c r="S80" s="228"/>
      <c r="T80" s="228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304" t="s">
        <v>1</v>
      </c>
      <c r="C81" s="305" t="s">
        <v>2</v>
      </c>
      <c r="D81" s="345" t="s">
        <v>3</v>
      </c>
      <c r="E81" s="307"/>
      <c r="F81" s="346" t="s">
        <v>4</v>
      </c>
      <c r="G81" s="867" t="s">
        <v>5</v>
      </c>
      <c r="H81" s="868"/>
      <c r="I81" s="869"/>
      <c r="J81" s="309" t="s">
        <v>6</v>
      </c>
      <c r="K81" s="229"/>
      <c r="L81" s="229"/>
      <c r="M81" s="229"/>
      <c r="N81" s="228"/>
      <c r="O81" s="228"/>
      <c r="P81" s="228"/>
      <c r="Q81" s="228"/>
      <c r="R81" s="228"/>
      <c r="S81" s="228"/>
      <c r="T81" s="228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230">
        <v>63</v>
      </c>
      <c r="C82" s="289">
        <v>41832</v>
      </c>
      <c r="D82" s="290" t="str">
        <f>IF(J77="","Verliezer 61",IF(J77=1,F77,D77))</f>
        <v>Duitsland</v>
      </c>
      <c r="E82" s="231" t="s">
        <v>9</v>
      </c>
      <c r="F82" s="291" t="str">
        <f>IF(J78="","Verliezer 62",IF(J78=1,F78,D78))</f>
        <v>Argentinië</v>
      </c>
      <c r="G82" s="331">
        <v>2</v>
      </c>
      <c r="H82" s="231" t="s">
        <v>9</v>
      </c>
      <c r="I82" s="332">
        <v>1</v>
      </c>
      <c r="J82" s="333">
        <v>1</v>
      </c>
      <c r="K82" s="229"/>
      <c r="L82" s="229"/>
      <c r="M82" s="229"/>
      <c r="N82" s="228"/>
      <c r="O82" s="228"/>
      <c r="P82" s="228"/>
      <c r="Q82" s="228"/>
      <c r="R82" s="228"/>
      <c r="S82" s="228"/>
      <c r="T82" s="228"/>
      <c r="V82" t="s">
        <v>134</v>
      </c>
      <c r="W82" t="s">
        <v>125</v>
      </c>
      <c r="X8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229"/>
      <c r="C83" s="267"/>
      <c r="D83" s="268"/>
      <c r="E83" s="229"/>
      <c r="F83" s="268"/>
      <c r="G83" s="229"/>
      <c r="H83" s="229"/>
      <c r="I83" s="229"/>
      <c r="J83" s="229"/>
      <c r="K83" s="229"/>
      <c r="L83" s="229"/>
      <c r="M83" s="229"/>
      <c r="N83" s="228"/>
      <c r="O83" s="228"/>
      <c r="P83" s="228"/>
      <c r="Q83" s="228"/>
      <c r="R83" s="228"/>
      <c r="S83" s="228"/>
      <c r="T83" s="228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348"/>
      <c r="K84" s="229"/>
      <c r="L84" s="229"/>
      <c r="M84" s="229"/>
      <c r="N84" s="228"/>
      <c r="O84" s="228"/>
      <c r="P84" s="228"/>
      <c r="Q84" s="228"/>
      <c r="R84" s="228"/>
      <c r="S84" s="228"/>
      <c r="T84" s="228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304" t="s">
        <v>1</v>
      </c>
      <c r="C85" s="305" t="s">
        <v>2</v>
      </c>
      <c r="D85" s="345" t="s">
        <v>3</v>
      </c>
      <c r="E85" s="307"/>
      <c r="F85" s="346" t="s">
        <v>4</v>
      </c>
      <c r="G85" s="867" t="s">
        <v>5</v>
      </c>
      <c r="H85" s="868"/>
      <c r="I85" s="869"/>
      <c r="J85" s="309" t="s">
        <v>6</v>
      </c>
      <c r="K85" s="229"/>
      <c r="L85" s="229"/>
      <c r="M85" s="229"/>
      <c r="N85" s="228"/>
      <c r="O85" s="228"/>
      <c r="P85" s="228"/>
      <c r="Q85" s="228"/>
      <c r="R85" s="228"/>
      <c r="S85" s="228"/>
      <c r="T85" s="228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230">
        <v>64</v>
      </c>
      <c r="C86" s="289">
        <v>41833</v>
      </c>
      <c r="D86" s="290" t="str">
        <f>IF(J77="","Winnaar 61",IF(J77=1,D77,F77))</f>
        <v>Brazilië</v>
      </c>
      <c r="E86" s="231" t="s">
        <v>9</v>
      </c>
      <c r="F86" s="291" t="str">
        <f>IF(J78="","Winnaar 62",IF(J78=1,D78,F78))</f>
        <v>Spanje</v>
      </c>
      <c r="G86" s="331">
        <v>1</v>
      </c>
      <c r="H86" s="231" t="s">
        <v>9</v>
      </c>
      <c r="I86" s="332">
        <v>0</v>
      </c>
      <c r="J86" s="333">
        <v>1</v>
      </c>
      <c r="K86" s="229"/>
      <c r="L86" s="229"/>
      <c r="M86" s="229"/>
      <c r="N86" s="228"/>
      <c r="O86" s="228"/>
      <c r="P86" s="228"/>
      <c r="Q86" s="228"/>
      <c r="R86" s="228"/>
      <c r="S86" s="228"/>
      <c r="T86" s="228"/>
      <c r="V86" t="s">
        <v>134</v>
      </c>
      <c r="W86" t="s">
        <v>139</v>
      </c>
      <c r="X86" t="str">
        <f t="shared" si="11"/>
        <v>Nigel de Jong (m)</v>
      </c>
      <c r="Y86" s="109">
        <f>AF86</f>
        <v>1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1</v>
      </c>
      <c r="AG86" s="108">
        <f>IF(AC86="",0,(IF(G86=AC86,1,0)))</f>
        <v>0</v>
      </c>
      <c r="AH86" s="108">
        <f>IF(AD86="",0,(IF(I86=AD86,1,0)))</f>
        <v>1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Brazilië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5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5</v>
      </c>
      <c r="AV89">
        <f>IF(AR89=0,0,IF(E89=AR89,50,0))</f>
        <v>0</v>
      </c>
      <c r="AW89">
        <f>IF(E89=0,0,IF(OR(E89=AR90),15,0))</f>
        <v>0</v>
      </c>
      <c r="AX89">
        <f>IF(E89=0,0,IF(OR(E89=AR91,E89=AR92),5,0))</f>
        <v>5</v>
      </c>
    </row>
    <row r="90" spans="2:50">
      <c r="C90" s="870">
        <v>2</v>
      </c>
      <c r="D90" s="871"/>
      <c r="E90" s="872" t="str">
        <f>IF(J86=2,D86,IF(J86=1,F86,"Wie wordt 2de?"))</f>
        <v>Spanje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0</v>
      </c>
      <c r="AV90">
        <f>IF(AR90=0,0,IF(AR90=E90,25,0))</f>
        <v>0</v>
      </c>
      <c r="AW90">
        <f>IF(E90=0,0,IF(OR(E90=AR89,),15,0))</f>
        <v>0</v>
      </c>
      <c r="AX90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Duitsland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5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5</v>
      </c>
      <c r="AV91">
        <f>IF(AR91=0,0,IF(AR91=E91,15,0))</f>
        <v>0</v>
      </c>
      <c r="AW91">
        <f>IF(E91=0,0,IF(OR(E91=AR92),10,0))</f>
        <v>0</v>
      </c>
      <c r="AX91">
        <f>IF(E91=0,0,IF(OR(E91=AR89,E91=AR90),5,0))</f>
        <v>5</v>
      </c>
    </row>
    <row r="92" spans="2:50">
      <c r="C92" s="870">
        <v>4</v>
      </c>
      <c r="D92" s="871"/>
      <c r="E92" s="872" t="str">
        <f>IF(J82=2,D82,IF(J82=1,F82,"Wie wordt 4de?"))</f>
        <v>Argentinië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5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5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5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15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conditionalFormatting sqref="AO9:AO12 AO15:AO18 AO21:AO24 AO27:AO30 AO33:AO36 AO39:AO42 AO45:AO48 AO51:AO54">
    <cfRule type="cellIs" dxfId="173" priority="3" operator="equal">
      <formula>10</formula>
    </cfRule>
  </conditionalFormatting>
  <conditionalFormatting sqref="P58:T58">
    <cfRule type="duplicateValues" dxfId="172" priority="2"/>
  </conditionalFormatting>
  <conditionalFormatting sqref="P58:T68">
    <cfRule type="duplicateValues" dxfId="171" priority="1"/>
  </conditionalFormatting>
  <dataValidations count="10">
    <dataValidation type="list" allowBlank="1" showInputMessage="1" showErrorMessage="1" sqref="P58:P68">
      <formula1>$X$58:$X$98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51:T54">
      <formula1>$W$51:$W$54</formula1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B1:BB98"/>
  <sheetViews>
    <sheetView topLeftCell="A37" zoomScale="70" zoomScaleNormal="70" workbookViewId="0">
      <selection activeCell="P58" sqref="P58:T68"/>
    </sheetView>
  </sheetViews>
  <sheetFormatPr defaultRowHeight="15" outlineLevelCol="2"/>
  <cols>
    <col min="1" max="1" width="3.42578125" customWidth="1"/>
    <col min="2" max="2" width="3.5703125" bestFit="1" customWidth="1"/>
    <col min="3" max="3" width="11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264</v>
      </c>
      <c r="E3" s="145"/>
      <c r="F3" s="145"/>
      <c r="N3" t="str">
        <f>D3</f>
        <v>Cindy vd B.</v>
      </c>
      <c r="O3" s="144">
        <f>SUM(P3:S3)</f>
        <v>394</v>
      </c>
      <c r="P3" s="109">
        <f>SUM(Y8:Y86)</f>
        <v>199</v>
      </c>
      <c r="Q3" s="109">
        <f>SUM(AM4:AM55)</f>
        <v>140</v>
      </c>
      <c r="R3" s="109">
        <f>SUM(AP89:AP92)</f>
        <v>25</v>
      </c>
      <c r="S3" s="109">
        <f>SUM(BB58:BB69)</f>
        <v>30</v>
      </c>
      <c r="T3" s="109">
        <f>COUNTIF(AF8:AF86,10)</f>
        <v>6</v>
      </c>
      <c r="U3" s="109" t="str">
        <f>E89</f>
        <v>Argentinië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229"/>
      <c r="L6" s="229"/>
      <c r="M6" s="228"/>
      <c r="N6" s="228"/>
      <c r="O6" s="268"/>
      <c r="P6" s="269"/>
      <c r="Q6" s="269"/>
      <c r="R6" s="269"/>
      <c r="S6" s="269"/>
      <c r="T6" s="269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292" t="s">
        <v>1</v>
      </c>
      <c r="C7" s="293" t="s">
        <v>2</v>
      </c>
      <c r="D7" s="349" t="s">
        <v>3</v>
      </c>
      <c r="E7" s="295"/>
      <c r="F7" s="350" t="s">
        <v>4</v>
      </c>
      <c r="G7" s="880" t="s">
        <v>5</v>
      </c>
      <c r="H7" s="881"/>
      <c r="I7" s="882"/>
      <c r="J7" s="297" t="s">
        <v>6</v>
      </c>
      <c r="K7" s="232" t="s">
        <v>7</v>
      </c>
      <c r="L7" s="232" t="s">
        <v>7</v>
      </c>
      <c r="M7" s="228"/>
      <c r="N7" s="228"/>
      <c r="O7" s="229"/>
      <c r="P7" s="269"/>
      <c r="Q7" s="269"/>
      <c r="R7" s="269"/>
      <c r="S7" s="269"/>
      <c r="T7" s="269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233">
        <v>1</v>
      </c>
      <c r="C8" s="234">
        <v>41802</v>
      </c>
      <c r="D8" s="235" t="s">
        <v>8</v>
      </c>
      <c r="E8" s="236" t="s">
        <v>9</v>
      </c>
      <c r="F8" s="237" t="s">
        <v>10</v>
      </c>
      <c r="G8" s="310">
        <v>3</v>
      </c>
      <c r="H8" s="236" t="s">
        <v>9</v>
      </c>
      <c r="I8" s="347">
        <v>1</v>
      </c>
      <c r="J8" s="238">
        <f>IF(I8="","",IF(G8&gt;I8,1,IF(G8&lt;I8,2,3)))</f>
        <v>1</v>
      </c>
      <c r="K8" s="239">
        <f>IF(I8="","",IF($G8&gt;$I8,3,IF($G8=$I8,1,0)))</f>
        <v>3</v>
      </c>
      <c r="L8" s="239">
        <f>IF(I8="","",IF($G8&lt;$I8,3,IF($G8=$I8,1,0)))</f>
        <v>0</v>
      </c>
      <c r="M8" s="228"/>
      <c r="N8" s="228"/>
      <c r="O8" s="298" t="s">
        <v>41</v>
      </c>
      <c r="P8" s="299" t="s">
        <v>42</v>
      </c>
      <c r="Q8" s="299" t="s">
        <v>43</v>
      </c>
      <c r="R8" s="300" t="s">
        <v>44</v>
      </c>
      <c r="S8" s="301" t="s">
        <v>45</v>
      </c>
      <c r="T8" s="302" t="s">
        <v>46</v>
      </c>
      <c r="U8" s="40"/>
      <c r="V8" s="40"/>
      <c r="W8" s="40"/>
      <c r="Y8" s="109">
        <f>AF8</f>
        <v>10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10</v>
      </c>
      <c r="AG8" s="108">
        <f t="shared" ref="AG8:AG55" si="0">IF(AC8="",0,(IF(G8=AC8,1,0)))</f>
        <v>1</v>
      </c>
      <c r="AH8" s="108">
        <f t="shared" ref="AH8:AH55" si="1">IF(AD8="",0,(IF(I8=AD8,1,0)))</f>
        <v>1</v>
      </c>
      <c r="AI8" s="108">
        <f>IF(AND(AG8=1,AH8=1),10,0)</f>
        <v>10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240">
        <v>2</v>
      </c>
      <c r="C9" s="241">
        <v>41803</v>
      </c>
      <c r="D9" s="242" t="s">
        <v>11</v>
      </c>
      <c r="E9" s="243" t="s">
        <v>9</v>
      </c>
      <c r="F9" s="244" t="s">
        <v>12</v>
      </c>
      <c r="G9" s="311">
        <v>1</v>
      </c>
      <c r="H9" s="243" t="s">
        <v>9</v>
      </c>
      <c r="I9" s="316">
        <v>1</v>
      </c>
      <c r="J9" s="245">
        <f t="shared" ref="J9:J55" si="5">IF(I9="","",IF(G9&gt;I9,1,IF(G9&lt;I9,2,3)))</f>
        <v>3</v>
      </c>
      <c r="K9" s="239">
        <f t="shared" ref="K9:K55" si="6">IF(I9="","",IF($G9&gt;$I9,3,IF($G9=$I9,1,0)))</f>
        <v>1</v>
      </c>
      <c r="L9" s="239">
        <f t="shared" ref="L9:L55" si="7">IF(I9="","",IF($G9&lt;$I9,3,IF($G9=$I9,1,0)))</f>
        <v>1</v>
      </c>
      <c r="M9" s="228"/>
      <c r="N9" s="228"/>
      <c r="O9" s="270" t="s">
        <v>8</v>
      </c>
      <c r="P9" s="271">
        <f>SUMIF($D$8:$D$55,$O9,$G$8:$G$55)+SUMIF($F$8:$F$55,$O9,$I$8:$I$55)</f>
        <v>7</v>
      </c>
      <c r="Q9" s="271">
        <f>SUMIF($D$8:$D$55,$O9,$I$8:$I$55)+SUMIF($F$8:$F$55,$O9,$G$8:$G$55)</f>
        <v>2</v>
      </c>
      <c r="R9" s="272">
        <f>P9-Q9</f>
        <v>5</v>
      </c>
      <c r="S9" s="273">
        <f>SUMIF($D$8:$D$55,$O9,$K$8:$K$55)+SUMIF($F$8:$F$55,$O9,$L$8:$L$55)</f>
        <v>9</v>
      </c>
      <c r="T9" s="320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1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1</v>
      </c>
      <c r="AG9" s="108">
        <f t="shared" si="0"/>
        <v>1</v>
      </c>
      <c r="AH9" s="108">
        <f t="shared" si="1"/>
        <v>0</v>
      </c>
      <c r="AI9" s="108">
        <f t="shared" ref="AI9:AI55" si="10">IF(AND(AG9=1,AH9=1),10,0)</f>
        <v>0</v>
      </c>
      <c r="AJ9" s="108">
        <f t="shared" si="2"/>
        <v>0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246">
        <v>3</v>
      </c>
      <c r="C10" s="247">
        <v>41803</v>
      </c>
      <c r="D10" s="248" t="s">
        <v>13</v>
      </c>
      <c r="E10" s="249" t="s">
        <v>9</v>
      </c>
      <c r="F10" s="250" t="s">
        <v>14</v>
      </c>
      <c r="G10" s="312">
        <v>1</v>
      </c>
      <c r="H10" s="249" t="s">
        <v>9</v>
      </c>
      <c r="I10" s="317">
        <v>1</v>
      </c>
      <c r="J10" s="251">
        <f t="shared" si="5"/>
        <v>3</v>
      </c>
      <c r="K10" s="239">
        <f t="shared" si="6"/>
        <v>1</v>
      </c>
      <c r="L10" s="239">
        <f t="shared" si="7"/>
        <v>1</v>
      </c>
      <c r="M10" s="228"/>
      <c r="N10" s="228"/>
      <c r="O10" s="274" t="s">
        <v>10</v>
      </c>
      <c r="P10" s="275">
        <f>SUMIF($D$8:$D$55,$O10,$G$8:$G$55)+SUMIF($F$8:$F$55,$O10,$I$8:$I$55)</f>
        <v>3</v>
      </c>
      <c r="Q10" s="275">
        <f>SUMIF($D$8:$D$55,$O10,$I$8:$I$55)+SUMIF($F$8:$F$55,$O10,$G$8:$G$55)</f>
        <v>6</v>
      </c>
      <c r="R10" s="275">
        <f>P10-Q10</f>
        <v>-3</v>
      </c>
      <c r="S10" s="276">
        <f>SUMIF($D$8:$D$55,$O10,$K$8:$K$55)+SUMIF($F$8:$F$55,$O10,$L$8:$L$55)</f>
        <v>1</v>
      </c>
      <c r="T10" s="321" t="s">
        <v>50</v>
      </c>
      <c r="U10" s="40"/>
      <c r="V10" s="40" t="str">
        <f>O10</f>
        <v>Kroatië</v>
      </c>
      <c r="W10" s="40" t="s">
        <v>49</v>
      </c>
      <c r="Y10" s="109">
        <f t="shared" si="8"/>
        <v>1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1</v>
      </c>
      <c r="AG10" s="108">
        <f t="shared" si="0"/>
        <v>1</v>
      </c>
      <c r="AH10" s="108">
        <f t="shared" si="1"/>
        <v>0</v>
      </c>
      <c r="AI10" s="108">
        <f t="shared" si="10"/>
        <v>0</v>
      </c>
      <c r="AJ10" s="108">
        <f t="shared" si="2"/>
        <v>0</v>
      </c>
      <c r="AK10" s="108">
        <f t="shared" si="3"/>
        <v>0</v>
      </c>
      <c r="AL10" s="108">
        <f t="shared" si="4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252">
        <v>4</v>
      </c>
      <c r="C11" s="253">
        <v>41803</v>
      </c>
      <c r="D11" s="254" t="s">
        <v>15</v>
      </c>
      <c r="E11" s="255" t="s">
        <v>9</v>
      </c>
      <c r="F11" s="256" t="s">
        <v>16</v>
      </c>
      <c r="G11" s="313">
        <v>1</v>
      </c>
      <c r="H11" s="255" t="s">
        <v>9</v>
      </c>
      <c r="I11" s="318">
        <v>0</v>
      </c>
      <c r="J11" s="257">
        <f t="shared" si="5"/>
        <v>1</v>
      </c>
      <c r="K11" s="239">
        <f t="shared" si="6"/>
        <v>3</v>
      </c>
      <c r="L11" s="239">
        <f t="shared" si="7"/>
        <v>0</v>
      </c>
      <c r="M11" s="228"/>
      <c r="N11" s="228"/>
      <c r="O11" s="274" t="s">
        <v>11</v>
      </c>
      <c r="P11" s="275">
        <f>SUMIF($D$8:$D$55,$O11,$G$8:$G$55)+SUMIF($F$8:$F$55,$O11,$I$8:$I$55)</f>
        <v>4</v>
      </c>
      <c r="Q11" s="275">
        <f>SUMIF($D$8:$D$55,$O11,$I$8:$I$55)+SUMIF($F$8:$F$55,$O11,$G$8:$G$55)</f>
        <v>4</v>
      </c>
      <c r="R11" s="275">
        <f>P11-Q11</f>
        <v>0</v>
      </c>
      <c r="S11" s="276">
        <f>SUMIF($D$8:$D$55,$O11,$K$8:$K$55)+SUMIF($F$8:$F$55,$O11,$L$8:$L$55)</f>
        <v>4</v>
      </c>
      <c r="T11" s="321" t="s">
        <v>49</v>
      </c>
      <c r="U11" s="40"/>
      <c r="V11" s="40" t="str">
        <f>O11</f>
        <v>Mexico</v>
      </c>
      <c r="W11" s="40" t="s">
        <v>47</v>
      </c>
      <c r="Y11" s="109">
        <f t="shared" si="8"/>
        <v>5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5</v>
      </c>
      <c r="AG11" s="108">
        <f t="shared" si="0"/>
        <v>0</v>
      </c>
      <c r="AH11" s="108">
        <f t="shared" si="1"/>
        <v>0</v>
      </c>
      <c r="AI11" s="108">
        <f t="shared" si="10"/>
        <v>0</v>
      </c>
      <c r="AJ11" s="108">
        <f t="shared" si="2"/>
        <v>5</v>
      </c>
      <c r="AK11" s="108">
        <f t="shared" si="3"/>
        <v>0</v>
      </c>
      <c r="AL11" s="108">
        <f t="shared" si="4"/>
        <v>0</v>
      </c>
      <c r="AM11" s="120">
        <f>AO11</f>
        <v>10</v>
      </c>
      <c r="AN11" s="117" t="s">
        <v>11</v>
      </c>
      <c r="AO11" s="115">
        <f>IF(Uitslag!T11="",0,IF(T11=Uitslag!T11,10,0))</f>
        <v>10</v>
      </c>
    </row>
    <row r="12" spans="2:54" ht="15.75" thickBot="1">
      <c r="B12" s="240">
        <v>5</v>
      </c>
      <c r="C12" s="241">
        <v>41804</v>
      </c>
      <c r="D12" s="242" t="s">
        <v>17</v>
      </c>
      <c r="E12" s="243" t="s">
        <v>9</v>
      </c>
      <c r="F12" s="244" t="s">
        <v>18</v>
      </c>
      <c r="G12" s="311">
        <v>2</v>
      </c>
      <c r="H12" s="243" t="s">
        <v>9</v>
      </c>
      <c r="I12" s="316">
        <v>0</v>
      </c>
      <c r="J12" s="245">
        <f t="shared" si="5"/>
        <v>1</v>
      </c>
      <c r="K12" s="239">
        <f t="shared" si="6"/>
        <v>3</v>
      </c>
      <c r="L12" s="239">
        <f t="shared" si="7"/>
        <v>0</v>
      </c>
      <c r="M12" s="228"/>
      <c r="N12" s="228"/>
      <c r="O12" s="277" t="s">
        <v>12</v>
      </c>
      <c r="P12" s="278">
        <f>SUMIF($D$8:$D$55,$O12,$G$8:$G$55)+SUMIF($F$8:$F$55,$O12,$I$8:$I$55)</f>
        <v>2</v>
      </c>
      <c r="Q12" s="278">
        <f>SUMIF($D$8:$D$55,$O12,$I$8:$I$55)+SUMIF($F$8:$F$55,$O12,$G$8:$G$55)</f>
        <v>4</v>
      </c>
      <c r="R12" s="278">
        <f>P12-Q12</f>
        <v>-2</v>
      </c>
      <c r="S12" s="279">
        <f>SUMIF($D$8:$D$55,$O12,$K$8:$K$55)+SUMIF($F$8:$F$55,$O12,$L$8:$L$55)</f>
        <v>2</v>
      </c>
      <c r="T12" s="322" t="s">
        <v>47</v>
      </c>
      <c r="U12" s="40"/>
      <c r="V12" s="40" t="str">
        <f>O12</f>
        <v>Kameroen</v>
      </c>
      <c r="W12" s="40" t="s">
        <v>50</v>
      </c>
      <c r="Y12" s="109">
        <f t="shared" si="8"/>
        <v>6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6</v>
      </c>
      <c r="AG12" s="108">
        <f t="shared" si="0"/>
        <v>0</v>
      </c>
      <c r="AH12" s="108">
        <f t="shared" si="1"/>
        <v>1</v>
      </c>
      <c r="AI12" s="108">
        <f t="shared" si="10"/>
        <v>0</v>
      </c>
      <c r="AJ12" s="108">
        <f t="shared" si="2"/>
        <v>5</v>
      </c>
      <c r="AK12" s="108">
        <f t="shared" si="3"/>
        <v>0</v>
      </c>
      <c r="AL12" s="108">
        <f t="shared" si="4"/>
        <v>0</v>
      </c>
      <c r="AM12" s="120">
        <f>AO12</f>
        <v>0</v>
      </c>
      <c r="AN12" s="118" t="s">
        <v>12</v>
      </c>
      <c r="AO12" s="115">
        <f>IF(Uitslag!T12="",0,IF(T12=Uitslag!T12,10,0))</f>
        <v>0</v>
      </c>
    </row>
    <row r="13" spans="2:54" ht="15.75" thickBot="1">
      <c r="B13" s="246">
        <v>6</v>
      </c>
      <c r="C13" s="247">
        <v>41804</v>
      </c>
      <c r="D13" s="248" t="s">
        <v>19</v>
      </c>
      <c r="E13" s="249" t="s">
        <v>9</v>
      </c>
      <c r="F13" s="258" t="s">
        <v>20</v>
      </c>
      <c r="G13" s="312">
        <v>2</v>
      </c>
      <c r="H13" s="249" t="s">
        <v>9</v>
      </c>
      <c r="I13" s="317">
        <v>0</v>
      </c>
      <c r="J13" s="251">
        <f t="shared" si="5"/>
        <v>1</v>
      </c>
      <c r="K13" s="239">
        <f t="shared" si="6"/>
        <v>3</v>
      </c>
      <c r="L13" s="239">
        <f t="shared" si="7"/>
        <v>0</v>
      </c>
      <c r="M13" s="228"/>
      <c r="N13" s="228"/>
      <c r="O13" s="268"/>
      <c r="P13" s="269"/>
      <c r="Q13" s="269"/>
      <c r="R13" s="269"/>
      <c r="S13" s="269"/>
      <c r="T13" s="269"/>
      <c r="U13" s="40"/>
      <c r="V13" s="40"/>
      <c r="W13" s="40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0"/>
        <v>0</v>
      </c>
      <c r="AH13" s="108">
        <f t="shared" si="1"/>
        <v>0</v>
      </c>
      <c r="AI13" s="108">
        <f t="shared" si="10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40"/>
      <c r="AO13" s="41"/>
    </row>
    <row r="14" spans="2:54" ht="15.75" thickBot="1">
      <c r="B14" s="246">
        <v>7</v>
      </c>
      <c r="C14" s="247">
        <v>41804</v>
      </c>
      <c r="D14" s="248" t="s">
        <v>21</v>
      </c>
      <c r="E14" s="249" t="s">
        <v>9</v>
      </c>
      <c r="F14" s="258" t="s">
        <v>22</v>
      </c>
      <c r="G14" s="312">
        <v>1</v>
      </c>
      <c r="H14" s="249" t="s">
        <v>9</v>
      </c>
      <c r="I14" s="317">
        <v>1</v>
      </c>
      <c r="J14" s="251">
        <f t="shared" si="5"/>
        <v>3</v>
      </c>
      <c r="K14" s="239">
        <f t="shared" si="6"/>
        <v>1</v>
      </c>
      <c r="L14" s="239">
        <f t="shared" si="7"/>
        <v>1</v>
      </c>
      <c r="M14" s="228"/>
      <c r="N14" s="228"/>
      <c r="O14" s="298" t="s">
        <v>51</v>
      </c>
      <c r="P14" s="299" t="s">
        <v>42</v>
      </c>
      <c r="Q14" s="299" t="s">
        <v>43</v>
      </c>
      <c r="R14" s="300" t="s">
        <v>44</v>
      </c>
      <c r="S14" s="301" t="s">
        <v>45</v>
      </c>
      <c r="T14" s="302" t="s">
        <v>46</v>
      </c>
      <c r="U14" s="40"/>
      <c r="V14" s="40"/>
      <c r="W14" s="40"/>
      <c r="Y14" s="109">
        <f t="shared" si="8"/>
        <v>1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</v>
      </c>
      <c r="AG14" s="108">
        <f t="shared" si="0"/>
        <v>1</v>
      </c>
      <c r="AH14" s="108">
        <f t="shared" si="1"/>
        <v>0</v>
      </c>
      <c r="AI14" s="108">
        <f t="shared" si="10"/>
        <v>0</v>
      </c>
      <c r="AJ14" s="108">
        <f t="shared" si="2"/>
        <v>0</v>
      </c>
      <c r="AK14" s="108">
        <f t="shared" si="3"/>
        <v>0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252">
        <v>8</v>
      </c>
      <c r="C15" s="253">
        <v>41804</v>
      </c>
      <c r="D15" s="254" t="s">
        <v>23</v>
      </c>
      <c r="E15" s="255" t="s">
        <v>9</v>
      </c>
      <c r="F15" s="256" t="s">
        <v>24</v>
      </c>
      <c r="G15" s="313">
        <v>2</v>
      </c>
      <c r="H15" s="255" t="s">
        <v>9</v>
      </c>
      <c r="I15" s="318">
        <v>0</v>
      </c>
      <c r="J15" s="257">
        <f t="shared" si="5"/>
        <v>1</v>
      </c>
      <c r="K15" s="239">
        <f t="shared" si="6"/>
        <v>3</v>
      </c>
      <c r="L15" s="239">
        <f t="shared" si="7"/>
        <v>0</v>
      </c>
      <c r="M15" s="228"/>
      <c r="N15" s="228"/>
      <c r="O15" s="270" t="s">
        <v>13</v>
      </c>
      <c r="P15" s="271">
        <f>SUMIF($D$8:$D$55,$O15,$G$8:$G$55)+SUMIF($F$8:$F$55,$O15,$I$8:$I$55)</f>
        <v>6</v>
      </c>
      <c r="Q15" s="271">
        <f>SUMIF($D$8:$D$55,$O15,$I$8:$I$55)+SUMIF($F$8:$F$55,$O15,$G$8:$G$55)</f>
        <v>2</v>
      </c>
      <c r="R15" s="272">
        <f>P15-Q15</f>
        <v>4</v>
      </c>
      <c r="S15" s="273">
        <f>SUMIF($D$8:$D$55,$O15,$K$8:$K$55)+SUMIF($F$8:$F$55,$O15,$L$8:$L$55)</f>
        <v>7</v>
      </c>
      <c r="T15" s="320" t="s">
        <v>52</v>
      </c>
      <c r="U15" s="40"/>
      <c r="V15" s="40" t="str">
        <f>O15</f>
        <v>Spanje</v>
      </c>
      <c r="W15" s="40" t="s">
        <v>52</v>
      </c>
      <c r="Y15" s="109">
        <f t="shared" si="8"/>
        <v>6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6</v>
      </c>
      <c r="AG15" s="108">
        <f t="shared" si="0"/>
        <v>1</v>
      </c>
      <c r="AH15" s="108">
        <f t="shared" si="1"/>
        <v>0</v>
      </c>
      <c r="AI15" s="108">
        <f t="shared" si="10"/>
        <v>0</v>
      </c>
      <c r="AJ15" s="108">
        <f t="shared" si="2"/>
        <v>5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240">
        <v>9</v>
      </c>
      <c r="C16" s="241">
        <v>41805</v>
      </c>
      <c r="D16" s="242" t="s">
        <v>25</v>
      </c>
      <c r="E16" s="243" t="s">
        <v>9</v>
      </c>
      <c r="F16" s="244" t="s">
        <v>26</v>
      </c>
      <c r="G16" s="311">
        <v>0</v>
      </c>
      <c r="H16" s="243" t="s">
        <v>9</v>
      </c>
      <c r="I16" s="316">
        <v>0</v>
      </c>
      <c r="J16" s="245">
        <f t="shared" si="5"/>
        <v>3</v>
      </c>
      <c r="K16" s="239">
        <f t="shared" si="6"/>
        <v>1</v>
      </c>
      <c r="L16" s="239">
        <f t="shared" si="7"/>
        <v>1</v>
      </c>
      <c r="M16" s="228"/>
      <c r="N16" s="228"/>
      <c r="O16" s="280" t="s">
        <v>14</v>
      </c>
      <c r="P16" s="275">
        <f>SUMIF($D$8:$D$55,$O16,$G$8:$G$55)+SUMIF($F$8:$F$55,$O16,$I$8:$I$55)</f>
        <v>4</v>
      </c>
      <c r="Q16" s="275">
        <f>SUMIF($D$8:$D$55,$O16,$I$8:$I$55)+SUMIF($F$8:$F$55,$O16,$G$8:$G$55)</f>
        <v>3</v>
      </c>
      <c r="R16" s="275">
        <f>P16-Q16</f>
        <v>1</v>
      </c>
      <c r="S16" s="276">
        <f>SUMIF($D$8:$D$55,$O16,$K$8:$K$55)+SUMIF($F$8:$F$55,$O16,$L$8:$L$55)</f>
        <v>5</v>
      </c>
      <c r="T16" s="321" t="s">
        <v>53</v>
      </c>
      <c r="U16" s="40"/>
      <c r="V16" s="40" t="str">
        <f>O16</f>
        <v>Nederland</v>
      </c>
      <c r="W16" s="40" t="s">
        <v>53</v>
      </c>
      <c r="Y16" s="109">
        <f t="shared" si="8"/>
        <v>0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0</v>
      </c>
      <c r="AG16" s="108">
        <f t="shared" si="0"/>
        <v>0</v>
      </c>
      <c r="AH16" s="108">
        <f t="shared" si="1"/>
        <v>0</v>
      </c>
      <c r="AI16" s="108">
        <f t="shared" si="10"/>
        <v>0</v>
      </c>
      <c r="AJ16" s="108">
        <f t="shared" si="2"/>
        <v>0</v>
      </c>
      <c r="AK16" s="108">
        <f t="shared" si="3"/>
        <v>0</v>
      </c>
      <c r="AL16" s="108">
        <f t="shared" si="4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246">
        <v>10</v>
      </c>
      <c r="C17" s="247">
        <v>41805</v>
      </c>
      <c r="D17" s="248" t="s">
        <v>27</v>
      </c>
      <c r="E17" s="249" t="s">
        <v>9</v>
      </c>
      <c r="F17" s="258" t="s">
        <v>28</v>
      </c>
      <c r="G17" s="312">
        <v>2</v>
      </c>
      <c r="H17" s="249" t="s">
        <v>9</v>
      </c>
      <c r="I17" s="317">
        <v>1</v>
      </c>
      <c r="J17" s="251">
        <f t="shared" si="5"/>
        <v>1</v>
      </c>
      <c r="K17" s="239">
        <f t="shared" si="6"/>
        <v>3</v>
      </c>
      <c r="L17" s="239">
        <f t="shared" si="7"/>
        <v>0</v>
      </c>
      <c r="M17" s="228"/>
      <c r="N17" s="228"/>
      <c r="O17" s="274" t="s">
        <v>15</v>
      </c>
      <c r="P17" s="275">
        <f>SUMIF($D$8:$D$55,$O17,$G$8:$G$55)+SUMIF($F$8:$F$55,$O17,$I$8:$I$55)</f>
        <v>3</v>
      </c>
      <c r="Q17" s="275">
        <f>SUMIF($D$8:$D$55,$O17,$I$8:$I$55)+SUMIF($F$8:$F$55,$O17,$G$8:$G$55)</f>
        <v>3</v>
      </c>
      <c r="R17" s="275">
        <f>P17-Q17</f>
        <v>0</v>
      </c>
      <c r="S17" s="276">
        <f>SUMIF($D$8:$D$55,$O17,$K$8:$K$55)+SUMIF($F$8:$F$55,$O17,$L$8:$L$55)</f>
        <v>4</v>
      </c>
      <c r="T17" s="321" t="s">
        <v>54</v>
      </c>
      <c r="U17" s="40"/>
      <c r="V17" s="40" t="str">
        <f>O17</f>
        <v>Chili</v>
      </c>
      <c r="W17" s="40" t="s">
        <v>54</v>
      </c>
      <c r="Y17" s="109">
        <f t="shared" si="8"/>
        <v>5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5</v>
      </c>
      <c r="AG17" s="108">
        <f t="shared" si="0"/>
        <v>0</v>
      </c>
      <c r="AH17" s="108">
        <f t="shared" si="1"/>
        <v>0</v>
      </c>
      <c r="AI17" s="108">
        <f t="shared" si="10"/>
        <v>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252">
        <v>11</v>
      </c>
      <c r="C18" s="253">
        <v>41805</v>
      </c>
      <c r="D18" s="254" t="s">
        <v>29</v>
      </c>
      <c r="E18" s="255" t="s">
        <v>9</v>
      </c>
      <c r="F18" s="256" t="s">
        <v>30</v>
      </c>
      <c r="G18" s="313">
        <v>2</v>
      </c>
      <c r="H18" s="255" t="s">
        <v>9</v>
      </c>
      <c r="I18" s="318">
        <v>0</v>
      </c>
      <c r="J18" s="257">
        <f t="shared" si="5"/>
        <v>1</v>
      </c>
      <c r="K18" s="239">
        <f t="shared" si="6"/>
        <v>3</v>
      </c>
      <c r="L18" s="239">
        <f t="shared" si="7"/>
        <v>0</v>
      </c>
      <c r="M18" s="228"/>
      <c r="N18" s="228"/>
      <c r="O18" s="277" t="s">
        <v>16</v>
      </c>
      <c r="P18" s="278">
        <f>SUMIF($D$8:$D$55,$O18,$G$8:$G$55)+SUMIF($F$8:$F$55,$O18,$I$8:$I$55)</f>
        <v>1</v>
      </c>
      <c r="Q18" s="278">
        <f>SUMIF($D$8:$D$55,$O18,$I$8:$I$55)+SUMIF($F$8:$F$55,$O18,$G$8:$G$55)</f>
        <v>6</v>
      </c>
      <c r="R18" s="278">
        <f>P18-Q18</f>
        <v>-5</v>
      </c>
      <c r="S18" s="279">
        <f>SUMIF($D$8:$D$55,$O18,$K$8:$K$55)+SUMIF($F$8:$F$55,$O18,$L$8:$L$55)</f>
        <v>0</v>
      </c>
      <c r="T18" s="322" t="s">
        <v>55</v>
      </c>
      <c r="U18" s="40"/>
      <c r="V18" s="40" t="str">
        <f>O18</f>
        <v>Australië</v>
      </c>
      <c r="W18" s="40" t="s">
        <v>55</v>
      </c>
      <c r="Y18" s="109">
        <f t="shared" si="8"/>
        <v>6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6</v>
      </c>
      <c r="AG18" s="108">
        <f t="shared" si="0"/>
        <v>1</v>
      </c>
      <c r="AH18" s="108">
        <f t="shared" si="1"/>
        <v>0</v>
      </c>
      <c r="AI18" s="108">
        <f t="shared" si="10"/>
        <v>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240">
        <v>12</v>
      </c>
      <c r="C19" s="241">
        <v>41806</v>
      </c>
      <c r="D19" s="242" t="s">
        <v>31</v>
      </c>
      <c r="E19" s="243" t="s">
        <v>9</v>
      </c>
      <c r="F19" s="244" t="s">
        <v>32</v>
      </c>
      <c r="G19" s="311">
        <v>2</v>
      </c>
      <c r="H19" s="243" t="s">
        <v>9</v>
      </c>
      <c r="I19" s="316">
        <v>2</v>
      </c>
      <c r="J19" s="245">
        <f t="shared" si="5"/>
        <v>3</v>
      </c>
      <c r="K19" s="239">
        <f t="shared" si="6"/>
        <v>1</v>
      </c>
      <c r="L19" s="239">
        <f t="shared" si="7"/>
        <v>1</v>
      </c>
      <c r="M19" s="228"/>
      <c r="N19" s="228"/>
      <c r="O19" s="268"/>
      <c r="P19" s="269"/>
      <c r="Q19" s="269"/>
      <c r="R19" s="269"/>
      <c r="S19" s="269"/>
      <c r="T19" s="269"/>
      <c r="U19" s="40"/>
      <c r="V19" s="40"/>
      <c r="W19" s="40"/>
      <c r="Y19" s="109">
        <f t="shared" si="8"/>
        <v>0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0</v>
      </c>
      <c r="AG19" s="108">
        <f t="shared" si="0"/>
        <v>0</v>
      </c>
      <c r="AH19" s="108">
        <f t="shared" si="1"/>
        <v>0</v>
      </c>
      <c r="AI19" s="108">
        <f t="shared" si="10"/>
        <v>0</v>
      </c>
      <c r="AJ19" s="108">
        <f t="shared" si="2"/>
        <v>0</v>
      </c>
      <c r="AK19" s="108">
        <f t="shared" si="3"/>
        <v>0</v>
      </c>
      <c r="AL19" s="108">
        <f t="shared" si="4"/>
        <v>0</v>
      </c>
      <c r="AN19" s="40"/>
      <c r="AO19" s="41"/>
    </row>
    <row r="20" spans="2:41" ht="15.75" thickBot="1">
      <c r="B20" s="246">
        <v>13</v>
      </c>
      <c r="C20" s="247">
        <v>41806</v>
      </c>
      <c r="D20" s="248" t="s">
        <v>33</v>
      </c>
      <c r="E20" s="249" t="s">
        <v>9</v>
      </c>
      <c r="F20" s="258" t="s">
        <v>34</v>
      </c>
      <c r="G20" s="312">
        <v>0</v>
      </c>
      <c r="H20" s="249" t="s">
        <v>9</v>
      </c>
      <c r="I20" s="317">
        <v>2</v>
      </c>
      <c r="J20" s="251">
        <f t="shared" si="5"/>
        <v>2</v>
      </c>
      <c r="K20" s="239">
        <f t="shared" si="6"/>
        <v>0</v>
      </c>
      <c r="L20" s="239">
        <f t="shared" si="7"/>
        <v>3</v>
      </c>
      <c r="M20" s="228"/>
      <c r="N20" s="228"/>
      <c r="O20" s="298" t="s">
        <v>56</v>
      </c>
      <c r="P20" s="299" t="s">
        <v>42</v>
      </c>
      <c r="Q20" s="299" t="s">
        <v>43</v>
      </c>
      <c r="R20" s="300" t="s">
        <v>44</v>
      </c>
      <c r="S20" s="301" t="s">
        <v>45</v>
      </c>
      <c r="T20" s="302" t="s">
        <v>46</v>
      </c>
      <c r="U20" s="40"/>
      <c r="V20" s="40"/>
      <c r="W20" s="40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0"/>
        <v>1</v>
      </c>
      <c r="AH20" s="108">
        <f t="shared" si="1"/>
        <v>0</v>
      </c>
      <c r="AI20" s="108">
        <f t="shared" si="10"/>
        <v>0</v>
      </c>
      <c r="AJ20" s="108">
        <f t="shared" si="2"/>
        <v>0</v>
      </c>
      <c r="AK20" s="108">
        <f t="shared" si="3"/>
        <v>0</v>
      </c>
      <c r="AL20" s="108">
        <f t="shared" si="4"/>
        <v>0</v>
      </c>
      <c r="AN20" s="42" t="s">
        <v>56</v>
      </c>
      <c r="AO20" s="43" t="s">
        <v>46</v>
      </c>
    </row>
    <row r="21" spans="2:41" ht="15.75" thickBot="1">
      <c r="B21" s="252">
        <v>14</v>
      </c>
      <c r="C21" s="253">
        <v>41806</v>
      </c>
      <c r="D21" s="254" t="s">
        <v>35</v>
      </c>
      <c r="E21" s="255" t="s">
        <v>9</v>
      </c>
      <c r="F21" s="256" t="s">
        <v>36</v>
      </c>
      <c r="G21" s="313">
        <v>2</v>
      </c>
      <c r="H21" s="255" t="s">
        <v>9</v>
      </c>
      <c r="I21" s="318">
        <v>1</v>
      </c>
      <c r="J21" s="257">
        <f t="shared" si="5"/>
        <v>1</v>
      </c>
      <c r="K21" s="239">
        <f t="shared" si="6"/>
        <v>3</v>
      </c>
      <c r="L21" s="239">
        <f t="shared" si="7"/>
        <v>0</v>
      </c>
      <c r="M21" s="228"/>
      <c r="N21" s="228"/>
      <c r="O21" s="270" t="s">
        <v>17</v>
      </c>
      <c r="P21" s="271">
        <f>SUMIF($D$8:$D$55,$O21,$G$8:$G$55)+SUMIF($F$8:$F$55,$O21,$I$8:$I$55)</f>
        <v>5</v>
      </c>
      <c r="Q21" s="271">
        <f>SUMIF($D$8:$D$55,$O21,$I$8:$I$55)+SUMIF($F$8:$F$55,$O21,$G$8:$G$55)</f>
        <v>1</v>
      </c>
      <c r="R21" s="272">
        <f>P21-Q21</f>
        <v>4</v>
      </c>
      <c r="S21" s="273">
        <f>SUMIF($D$8:$D$55,$O21,$K$8:$K$55)+SUMIF($F$8:$F$55,$O21,$L$8:$L$55)</f>
        <v>7</v>
      </c>
      <c r="T21" s="320" t="s">
        <v>57</v>
      </c>
      <c r="U21" s="40"/>
      <c r="V21" s="40" t="str">
        <f>O21</f>
        <v>Colombia</v>
      </c>
      <c r="W21" s="40" t="s">
        <v>57</v>
      </c>
      <c r="Y21" s="109">
        <f t="shared" si="8"/>
        <v>0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0</v>
      </c>
      <c r="AG21" s="108">
        <f t="shared" si="0"/>
        <v>0</v>
      </c>
      <c r="AH21" s="108">
        <f t="shared" si="1"/>
        <v>0</v>
      </c>
      <c r="AI21" s="108">
        <f t="shared" si="10"/>
        <v>0</v>
      </c>
      <c r="AJ21" s="108">
        <f t="shared" si="2"/>
        <v>0</v>
      </c>
      <c r="AK21" s="108">
        <f t="shared" si="3"/>
        <v>0</v>
      </c>
      <c r="AL21" s="108">
        <f t="shared" si="4"/>
        <v>0</v>
      </c>
      <c r="AM21" s="120">
        <f>AO21</f>
        <v>10</v>
      </c>
      <c r="AN21" s="116" t="s">
        <v>17</v>
      </c>
      <c r="AO21" s="115">
        <f>IF(Uitslag!T21="",0,IF(T21=Uitslag!T21,10,0))</f>
        <v>10</v>
      </c>
    </row>
    <row r="22" spans="2:41" ht="15.75" thickBot="1">
      <c r="B22" s="240">
        <v>15</v>
      </c>
      <c r="C22" s="241">
        <v>41807</v>
      </c>
      <c r="D22" s="242" t="s">
        <v>37</v>
      </c>
      <c r="E22" s="243" t="s">
        <v>9</v>
      </c>
      <c r="F22" s="244" t="s">
        <v>38</v>
      </c>
      <c r="G22" s="311">
        <v>2</v>
      </c>
      <c r="H22" s="243" t="s">
        <v>9</v>
      </c>
      <c r="I22" s="316">
        <v>0</v>
      </c>
      <c r="J22" s="245">
        <f t="shared" si="5"/>
        <v>1</v>
      </c>
      <c r="K22" s="239">
        <f t="shared" si="6"/>
        <v>3</v>
      </c>
      <c r="L22" s="239">
        <f t="shared" si="7"/>
        <v>0</v>
      </c>
      <c r="M22" s="228"/>
      <c r="N22" s="228"/>
      <c r="O22" s="274" t="s">
        <v>18</v>
      </c>
      <c r="P22" s="275">
        <f>SUMIF($D$8:$D$55,$O22,$G$8:$G$55)+SUMIF($F$8:$F$55,$O22,$I$8:$I$55)</f>
        <v>0</v>
      </c>
      <c r="Q22" s="275">
        <f>SUMIF($D$8:$D$55,$O22,$I$8:$I$55)+SUMIF($F$8:$F$55,$O22,$G$8:$G$55)</f>
        <v>4</v>
      </c>
      <c r="R22" s="275">
        <f>P22-Q22</f>
        <v>-4</v>
      </c>
      <c r="S22" s="276">
        <f>SUMIF($D$8:$D$55,$O22,$K$8:$K$55)+SUMIF($F$8:$F$55,$O22,$L$8:$L$55)</f>
        <v>1</v>
      </c>
      <c r="T22" s="321" t="s">
        <v>59</v>
      </c>
      <c r="U22" s="40"/>
      <c r="V22" s="40" t="str">
        <f>O22</f>
        <v>Griekenland</v>
      </c>
      <c r="W22" s="40" t="s">
        <v>58</v>
      </c>
      <c r="Y22" s="109">
        <f t="shared" si="8"/>
        <v>6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6</v>
      </c>
      <c r="AG22" s="108">
        <f t="shared" si="0"/>
        <v>1</v>
      </c>
      <c r="AH22" s="108">
        <f t="shared" si="1"/>
        <v>0</v>
      </c>
      <c r="AI22" s="108">
        <f t="shared" si="10"/>
        <v>0</v>
      </c>
      <c r="AJ22" s="108">
        <f t="shared" si="2"/>
        <v>5</v>
      </c>
      <c r="AK22" s="108">
        <f t="shared" si="3"/>
        <v>0</v>
      </c>
      <c r="AL22" s="108">
        <f t="shared" si="4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246">
        <v>16</v>
      </c>
      <c r="C23" s="247">
        <v>41807</v>
      </c>
      <c r="D23" s="248" t="s">
        <v>8</v>
      </c>
      <c r="E23" s="249" t="s">
        <v>9</v>
      </c>
      <c r="F23" s="258" t="s">
        <v>11</v>
      </c>
      <c r="G23" s="312">
        <v>2</v>
      </c>
      <c r="H23" s="249" t="s">
        <v>9</v>
      </c>
      <c r="I23" s="317">
        <v>1</v>
      </c>
      <c r="J23" s="251">
        <f t="shared" si="5"/>
        <v>1</v>
      </c>
      <c r="K23" s="239">
        <f t="shared" si="6"/>
        <v>3</v>
      </c>
      <c r="L23" s="239">
        <f t="shared" si="7"/>
        <v>0</v>
      </c>
      <c r="M23" s="228"/>
      <c r="N23" s="228"/>
      <c r="O23" s="274" t="s">
        <v>23</v>
      </c>
      <c r="P23" s="275">
        <f>SUMIF($D$8:$D$55,$O23,$G$8:$G$55)+SUMIF($F$8:$F$55,$O23,$I$8:$I$55)</f>
        <v>5</v>
      </c>
      <c r="Q23" s="275">
        <f>SUMIF($D$8:$D$55,$O23,$I$8:$I$55)+SUMIF($F$8:$F$55,$O23,$G$8:$G$55)</f>
        <v>1</v>
      </c>
      <c r="R23" s="275">
        <f>P23-Q23</f>
        <v>4</v>
      </c>
      <c r="S23" s="276">
        <f>SUMIF($D$8:$D$55,$O23,$K$8:$K$55)+SUMIF($F$8:$F$55,$O23,$L$8:$L$55)</f>
        <v>7</v>
      </c>
      <c r="T23" s="321" t="s">
        <v>58</v>
      </c>
      <c r="U23" s="40"/>
      <c r="V23" s="40" t="str">
        <f>O23</f>
        <v>Ivoorkust</v>
      </c>
      <c r="W23" s="40" t="s">
        <v>59</v>
      </c>
      <c r="Y23" s="109">
        <f t="shared" si="8"/>
        <v>0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0</v>
      </c>
      <c r="AG23" s="108">
        <f t="shared" si="0"/>
        <v>0</v>
      </c>
      <c r="AH23" s="108">
        <f t="shared" si="1"/>
        <v>0</v>
      </c>
      <c r="AI23" s="108">
        <f t="shared" si="10"/>
        <v>0</v>
      </c>
      <c r="AJ23" s="108">
        <f t="shared" si="2"/>
        <v>0</v>
      </c>
      <c r="AK23" s="108">
        <f t="shared" si="3"/>
        <v>0</v>
      </c>
      <c r="AL23" s="108">
        <f t="shared" si="4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252">
        <v>17</v>
      </c>
      <c r="C24" s="253">
        <v>41807</v>
      </c>
      <c r="D24" s="254" t="s">
        <v>39</v>
      </c>
      <c r="E24" s="255" t="s">
        <v>9</v>
      </c>
      <c r="F24" s="256" t="s">
        <v>40</v>
      </c>
      <c r="G24" s="313">
        <v>2</v>
      </c>
      <c r="H24" s="255" t="s">
        <v>9</v>
      </c>
      <c r="I24" s="318">
        <v>0</v>
      </c>
      <c r="J24" s="257">
        <f t="shared" si="5"/>
        <v>1</v>
      </c>
      <c r="K24" s="239">
        <f t="shared" si="6"/>
        <v>3</v>
      </c>
      <c r="L24" s="239">
        <f t="shared" si="7"/>
        <v>0</v>
      </c>
      <c r="M24" s="228"/>
      <c r="N24" s="228"/>
      <c r="O24" s="277" t="s">
        <v>24</v>
      </c>
      <c r="P24" s="278">
        <f>SUMIF($D$8:$D$55,$O24,$G$8:$G$55)+SUMIF($F$8:$F$55,$O24,$I$8:$I$55)</f>
        <v>0</v>
      </c>
      <c r="Q24" s="278">
        <f>SUMIF($D$8:$D$55,$O24,$I$8:$I$55)+SUMIF($F$8:$F$55,$O24,$G$8:$G$55)</f>
        <v>4</v>
      </c>
      <c r="R24" s="278">
        <f>P24-Q24</f>
        <v>-4</v>
      </c>
      <c r="S24" s="279">
        <f>SUMIF($D$8:$D$55,$O24,$K$8:$K$55)+SUMIF($F$8:$F$55,$O24,$L$8:$L$55)</f>
        <v>1</v>
      </c>
      <c r="T24" s="322" t="s">
        <v>60</v>
      </c>
      <c r="U24" s="40"/>
      <c r="V24" s="40" t="str">
        <f>O24</f>
        <v>Japan</v>
      </c>
      <c r="W24" s="40" t="s">
        <v>60</v>
      </c>
      <c r="Y24" s="109">
        <f t="shared" si="8"/>
        <v>0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0</v>
      </c>
      <c r="AG24" s="108">
        <f t="shared" si="0"/>
        <v>0</v>
      </c>
      <c r="AH24" s="108">
        <f t="shared" si="1"/>
        <v>0</v>
      </c>
      <c r="AI24" s="108">
        <f t="shared" si="10"/>
        <v>0</v>
      </c>
      <c r="AJ24" s="108">
        <f t="shared" si="2"/>
        <v>0</v>
      </c>
      <c r="AK24" s="108">
        <f t="shared" si="3"/>
        <v>0</v>
      </c>
      <c r="AL24" s="108">
        <f t="shared" si="4"/>
        <v>0</v>
      </c>
      <c r="AM24" s="120">
        <f>AO24</f>
        <v>10</v>
      </c>
      <c r="AN24" s="118" t="s">
        <v>24</v>
      </c>
      <c r="AO24" s="115">
        <f>IF(Uitslag!T24="",0,IF(T24=Uitslag!T24,10,0))</f>
        <v>10</v>
      </c>
    </row>
    <row r="25" spans="2:41" ht="15.75" thickBot="1">
      <c r="B25" s="240">
        <v>18</v>
      </c>
      <c r="C25" s="241">
        <v>41808</v>
      </c>
      <c r="D25" s="242" t="s">
        <v>16</v>
      </c>
      <c r="E25" s="243" t="s">
        <v>9</v>
      </c>
      <c r="F25" s="259" t="s">
        <v>14</v>
      </c>
      <c r="G25" s="311">
        <v>1</v>
      </c>
      <c r="H25" s="243" t="s">
        <v>9</v>
      </c>
      <c r="I25" s="316">
        <v>2</v>
      </c>
      <c r="J25" s="245">
        <f t="shared" si="5"/>
        <v>2</v>
      </c>
      <c r="K25" s="239">
        <f t="shared" si="6"/>
        <v>0</v>
      </c>
      <c r="L25" s="239">
        <f t="shared" si="7"/>
        <v>3</v>
      </c>
      <c r="M25" s="228"/>
      <c r="N25" s="228"/>
      <c r="O25" s="268"/>
      <c r="P25" s="269"/>
      <c r="Q25" s="269"/>
      <c r="R25" s="269"/>
      <c r="S25" s="269"/>
      <c r="T25" s="269"/>
      <c r="U25" s="40"/>
      <c r="V25" s="40"/>
      <c r="W25" s="40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0"/>
        <v>0</v>
      </c>
      <c r="AH25" s="108">
        <f t="shared" si="1"/>
        <v>0</v>
      </c>
      <c r="AI25" s="108">
        <f t="shared" si="10"/>
        <v>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40"/>
      <c r="AO25" s="41"/>
    </row>
    <row r="26" spans="2:41" ht="15.75" thickBot="1">
      <c r="B26" s="246">
        <v>19</v>
      </c>
      <c r="C26" s="247">
        <v>41808</v>
      </c>
      <c r="D26" s="248" t="s">
        <v>13</v>
      </c>
      <c r="E26" s="249" t="s">
        <v>9</v>
      </c>
      <c r="F26" s="258" t="s">
        <v>15</v>
      </c>
      <c r="G26" s="312">
        <v>2</v>
      </c>
      <c r="H26" s="249" t="s">
        <v>9</v>
      </c>
      <c r="I26" s="317">
        <v>1</v>
      </c>
      <c r="J26" s="251">
        <f t="shared" si="5"/>
        <v>1</v>
      </c>
      <c r="K26" s="239">
        <f t="shared" si="6"/>
        <v>3</v>
      </c>
      <c r="L26" s="239">
        <f t="shared" si="7"/>
        <v>0</v>
      </c>
      <c r="M26" s="228"/>
      <c r="N26" s="228"/>
      <c r="O26" s="298" t="s">
        <v>61</v>
      </c>
      <c r="P26" s="299" t="s">
        <v>42</v>
      </c>
      <c r="Q26" s="299" t="s">
        <v>43</v>
      </c>
      <c r="R26" s="300" t="s">
        <v>44</v>
      </c>
      <c r="S26" s="301" t="s">
        <v>45</v>
      </c>
      <c r="T26" s="302" t="s">
        <v>46</v>
      </c>
      <c r="U26" s="40"/>
      <c r="V26" s="40"/>
      <c r="W26" s="40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0"/>
        <v>0</v>
      </c>
      <c r="AH26" s="108">
        <f t="shared" si="1"/>
        <v>0</v>
      </c>
      <c r="AI26" s="108">
        <f t="shared" si="10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252">
        <v>20</v>
      </c>
      <c r="C27" s="253">
        <v>41808</v>
      </c>
      <c r="D27" s="254" t="s">
        <v>12</v>
      </c>
      <c r="E27" s="255" t="s">
        <v>9</v>
      </c>
      <c r="F27" s="256" t="s">
        <v>10</v>
      </c>
      <c r="G27" s="313">
        <v>1</v>
      </c>
      <c r="H27" s="255" t="s">
        <v>9</v>
      </c>
      <c r="I27" s="318">
        <v>1</v>
      </c>
      <c r="J27" s="257">
        <f t="shared" si="5"/>
        <v>3</v>
      </c>
      <c r="K27" s="239">
        <f t="shared" si="6"/>
        <v>1</v>
      </c>
      <c r="L27" s="239">
        <f t="shared" si="7"/>
        <v>1</v>
      </c>
      <c r="M27" s="228"/>
      <c r="N27" s="228"/>
      <c r="O27" s="270" t="s">
        <v>19</v>
      </c>
      <c r="P27" s="271">
        <f>SUMIF($D$8:$D$55,$O27,$G$8:$G$55)+SUMIF($F$8:$F$55,$O27,$I$8:$I$55)</f>
        <v>6</v>
      </c>
      <c r="Q27" s="271">
        <f>SUMIF($D$8:$D$55,$O27,$I$8:$I$55)+SUMIF($F$8:$F$55,$O27,$G$8:$G$55)</f>
        <v>4</v>
      </c>
      <c r="R27" s="272">
        <f>P27-Q27</f>
        <v>2</v>
      </c>
      <c r="S27" s="273">
        <f>SUMIF($D$8:$D$55,$O27,$K$8:$K$55)+SUMIF($F$8:$F$55,$O27,$L$8:$L$55)</f>
        <v>5</v>
      </c>
      <c r="T27" s="320" t="s">
        <v>62</v>
      </c>
      <c r="U27" s="40"/>
      <c r="V27" s="40" t="str">
        <f>O27</f>
        <v>Uruguay</v>
      </c>
      <c r="W27" s="40" t="s">
        <v>62</v>
      </c>
      <c r="Y27" s="109">
        <f t="shared" si="8"/>
        <v>0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0</v>
      </c>
      <c r="AG27" s="108">
        <f t="shared" si="0"/>
        <v>0</v>
      </c>
      <c r="AH27" s="108">
        <f t="shared" si="1"/>
        <v>0</v>
      </c>
      <c r="AI27" s="108">
        <f t="shared" si="10"/>
        <v>0</v>
      </c>
      <c r="AJ27" s="108">
        <f t="shared" si="2"/>
        <v>0</v>
      </c>
      <c r="AK27" s="108">
        <f t="shared" si="3"/>
        <v>0</v>
      </c>
      <c r="AL27" s="108">
        <f t="shared" si="4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240">
        <v>21</v>
      </c>
      <c r="C28" s="241">
        <v>41809</v>
      </c>
      <c r="D28" s="242" t="s">
        <v>17</v>
      </c>
      <c r="E28" s="243" t="s">
        <v>9</v>
      </c>
      <c r="F28" s="244" t="s">
        <v>23</v>
      </c>
      <c r="G28" s="311">
        <v>1</v>
      </c>
      <c r="H28" s="243" t="s">
        <v>9</v>
      </c>
      <c r="I28" s="316">
        <v>1</v>
      </c>
      <c r="J28" s="245">
        <f t="shared" si="5"/>
        <v>3</v>
      </c>
      <c r="K28" s="239">
        <f t="shared" si="6"/>
        <v>1</v>
      </c>
      <c r="L28" s="239">
        <f t="shared" si="7"/>
        <v>1</v>
      </c>
      <c r="M28" s="228"/>
      <c r="N28" s="228"/>
      <c r="O28" s="274" t="s">
        <v>20</v>
      </c>
      <c r="P28" s="275">
        <f>SUMIF($D$8:$D$55,$O28,$G$8:$G$55)+SUMIF($F$8:$F$55,$O28,$I$8:$I$55)</f>
        <v>0</v>
      </c>
      <c r="Q28" s="275">
        <f>SUMIF($D$8:$D$55,$O28,$I$8:$I$55)+SUMIF($F$8:$F$55,$O28,$G$8:$G$55)</f>
        <v>6</v>
      </c>
      <c r="R28" s="275">
        <f>P28-Q28</f>
        <v>-6</v>
      </c>
      <c r="S28" s="276">
        <f>SUMIF($D$8:$D$55,$O28,$K$8:$K$55)+SUMIF($F$8:$F$55,$O28,$L$8:$L$55)</f>
        <v>0</v>
      </c>
      <c r="T28" s="321" t="s">
        <v>65</v>
      </c>
      <c r="U28" s="40"/>
      <c r="V28" s="40" t="str">
        <f>O28</f>
        <v>Costa Rica</v>
      </c>
      <c r="W28" s="40" t="s">
        <v>63</v>
      </c>
      <c r="Y28" s="109">
        <f t="shared" si="8"/>
        <v>1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1</v>
      </c>
      <c r="AG28" s="108">
        <f t="shared" si="0"/>
        <v>0</v>
      </c>
      <c r="AH28" s="108">
        <f t="shared" si="1"/>
        <v>1</v>
      </c>
      <c r="AI28" s="108">
        <f t="shared" si="10"/>
        <v>0</v>
      </c>
      <c r="AJ28" s="108">
        <f t="shared" si="2"/>
        <v>0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246">
        <v>22</v>
      </c>
      <c r="C29" s="247">
        <v>41809</v>
      </c>
      <c r="D29" s="248" t="s">
        <v>19</v>
      </c>
      <c r="E29" s="249" t="s">
        <v>9</v>
      </c>
      <c r="F29" s="258" t="s">
        <v>21</v>
      </c>
      <c r="G29" s="312">
        <v>2</v>
      </c>
      <c r="H29" s="249" t="s">
        <v>9</v>
      </c>
      <c r="I29" s="317">
        <v>2</v>
      </c>
      <c r="J29" s="251">
        <f t="shared" si="5"/>
        <v>3</v>
      </c>
      <c r="K29" s="239">
        <f t="shared" si="6"/>
        <v>1</v>
      </c>
      <c r="L29" s="239">
        <f t="shared" si="7"/>
        <v>1</v>
      </c>
      <c r="M29" s="228"/>
      <c r="N29" s="228"/>
      <c r="O29" s="274" t="s">
        <v>21</v>
      </c>
      <c r="P29" s="275">
        <f>SUMIF($D$8:$D$55,$O29,$G$8:$G$55)+SUMIF($F$8:$F$55,$O29,$I$8:$I$55)</f>
        <v>5</v>
      </c>
      <c r="Q29" s="275">
        <f>SUMIF($D$8:$D$55,$O29,$I$8:$I$55)+SUMIF($F$8:$F$55,$O29,$G$8:$G$55)</f>
        <v>3</v>
      </c>
      <c r="R29" s="275">
        <f>P29-Q29</f>
        <v>2</v>
      </c>
      <c r="S29" s="276">
        <f>SUMIF($D$8:$D$55,$O29,$K$8:$K$55)+SUMIF($F$8:$F$55,$O29,$L$8:$L$55)</f>
        <v>5</v>
      </c>
      <c r="T29" s="321" t="s">
        <v>63</v>
      </c>
      <c r="U29" s="40"/>
      <c r="V29" s="40" t="str">
        <f>O29</f>
        <v>Engeland</v>
      </c>
      <c r="W29" s="40" t="s">
        <v>64</v>
      </c>
      <c r="Y29" s="109">
        <f t="shared" si="8"/>
        <v>1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1</v>
      </c>
      <c r="AG29" s="108">
        <f t="shared" si="0"/>
        <v>1</v>
      </c>
      <c r="AH29" s="108">
        <f t="shared" si="1"/>
        <v>0</v>
      </c>
      <c r="AI29" s="108">
        <f t="shared" si="10"/>
        <v>0</v>
      </c>
      <c r="AJ29" s="108">
        <f t="shared" si="2"/>
        <v>0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252">
        <v>23</v>
      </c>
      <c r="C30" s="253">
        <v>41809</v>
      </c>
      <c r="D30" s="254" t="s">
        <v>24</v>
      </c>
      <c r="E30" s="255" t="s">
        <v>9</v>
      </c>
      <c r="F30" s="256" t="s">
        <v>18</v>
      </c>
      <c r="G30" s="313">
        <v>0</v>
      </c>
      <c r="H30" s="255" t="s">
        <v>9</v>
      </c>
      <c r="I30" s="318">
        <v>0</v>
      </c>
      <c r="J30" s="257">
        <f t="shared" si="5"/>
        <v>3</v>
      </c>
      <c r="K30" s="239">
        <f t="shared" si="6"/>
        <v>1</v>
      </c>
      <c r="L30" s="239">
        <f t="shared" si="7"/>
        <v>1</v>
      </c>
      <c r="M30" s="228"/>
      <c r="N30" s="228"/>
      <c r="O30" s="277" t="s">
        <v>22</v>
      </c>
      <c r="P30" s="278">
        <f>SUMIF($D$8:$D$55,$O30,$G$8:$G$55)+SUMIF($F$8:$F$55,$O30,$I$8:$I$55)</f>
        <v>5</v>
      </c>
      <c r="Q30" s="278">
        <f>SUMIF($D$8:$D$55,$O30,$I$8:$I$55)+SUMIF($F$8:$F$55,$O30,$G$8:$G$55)</f>
        <v>3</v>
      </c>
      <c r="R30" s="278">
        <f>P30-Q30</f>
        <v>2</v>
      </c>
      <c r="S30" s="279">
        <f>SUMIF($D$8:$D$55,$O30,$K$8:$K$55)+SUMIF($F$8:$F$55,$O30,$L$8:$L$55)</f>
        <v>5</v>
      </c>
      <c r="T30" s="322" t="s">
        <v>64</v>
      </c>
      <c r="U30" s="40"/>
      <c r="V30" s="40" t="str">
        <f>O30</f>
        <v>Italië</v>
      </c>
      <c r="W30" s="40" t="s">
        <v>65</v>
      </c>
      <c r="Y30" s="109">
        <f t="shared" si="8"/>
        <v>10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10</v>
      </c>
      <c r="AG30" s="108">
        <f t="shared" si="0"/>
        <v>1</v>
      </c>
      <c r="AH30" s="108">
        <f t="shared" si="1"/>
        <v>1</v>
      </c>
      <c r="AI30" s="108">
        <f t="shared" si="10"/>
        <v>10</v>
      </c>
      <c r="AJ30" s="108">
        <f t="shared" si="2"/>
        <v>0</v>
      </c>
      <c r="AK30" s="108">
        <f t="shared" si="3"/>
        <v>0</v>
      </c>
      <c r="AL30" s="108">
        <f t="shared" si="4"/>
        <v>5</v>
      </c>
      <c r="AM30" s="120">
        <f>AO30</f>
        <v>10</v>
      </c>
      <c r="AN30" s="118" t="s">
        <v>22</v>
      </c>
      <c r="AO30" s="115">
        <f>IF(Uitslag!T30="",0,IF(T30=Uitslag!T30,10,0))</f>
        <v>10</v>
      </c>
    </row>
    <row r="31" spans="2:41" ht="15.75" thickBot="1">
      <c r="B31" s="240">
        <v>24</v>
      </c>
      <c r="C31" s="241">
        <v>41810</v>
      </c>
      <c r="D31" s="242" t="s">
        <v>22</v>
      </c>
      <c r="E31" s="243" t="s">
        <v>9</v>
      </c>
      <c r="F31" s="244" t="s">
        <v>20</v>
      </c>
      <c r="G31" s="311">
        <v>2</v>
      </c>
      <c r="H31" s="243" t="s">
        <v>9</v>
      </c>
      <c r="I31" s="316">
        <v>0</v>
      </c>
      <c r="J31" s="245">
        <f t="shared" si="5"/>
        <v>1</v>
      </c>
      <c r="K31" s="239">
        <f t="shared" si="6"/>
        <v>3</v>
      </c>
      <c r="L31" s="239">
        <f t="shared" si="7"/>
        <v>0</v>
      </c>
      <c r="M31" s="228"/>
      <c r="N31" s="228"/>
      <c r="O31" s="268"/>
      <c r="P31" s="269"/>
      <c r="Q31" s="269"/>
      <c r="R31" s="269"/>
      <c r="S31" s="269"/>
      <c r="T31" s="269"/>
      <c r="U31" s="40"/>
      <c r="V31" s="40"/>
      <c r="W31" s="40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0"/>
        <v>0</v>
      </c>
      <c r="AH31" s="108">
        <f t="shared" si="1"/>
        <v>0</v>
      </c>
      <c r="AI31" s="108">
        <f t="shared" si="10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40"/>
      <c r="AO31" s="41"/>
    </row>
    <row r="32" spans="2:41" ht="15.75" thickBot="1">
      <c r="B32" s="246">
        <v>25</v>
      </c>
      <c r="C32" s="247">
        <v>41810</v>
      </c>
      <c r="D32" s="248" t="s">
        <v>25</v>
      </c>
      <c r="E32" s="249" t="s">
        <v>9</v>
      </c>
      <c r="F32" s="258" t="s">
        <v>27</v>
      </c>
      <c r="G32" s="312">
        <v>0</v>
      </c>
      <c r="H32" s="249" t="s">
        <v>9</v>
      </c>
      <c r="I32" s="317">
        <v>3</v>
      </c>
      <c r="J32" s="251">
        <f t="shared" si="5"/>
        <v>2</v>
      </c>
      <c r="K32" s="239">
        <f t="shared" si="6"/>
        <v>0</v>
      </c>
      <c r="L32" s="239">
        <f t="shared" si="7"/>
        <v>3</v>
      </c>
      <c r="M32" s="228"/>
      <c r="N32" s="228"/>
      <c r="O32" s="298" t="s">
        <v>66</v>
      </c>
      <c r="P32" s="299" t="s">
        <v>42</v>
      </c>
      <c r="Q32" s="299" t="s">
        <v>43</v>
      </c>
      <c r="R32" s="300" t="s">
        <v>44</v>
      </c>
      <c r="S32" s="301" t="s">
        <v>45</v>
      </c>
      <c r="T32" s="302" t="s">
        <v>46</v>
      </c>
      <c r="U32" s="40"/>
      <c r="V32" s="40"/>
      <c r="W32" s="40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0"/>
        <v>0</v>
      </c>
      <c r="AH32" s="108">
        <f t="shared" si="1"/>
        <v>0</v>
      </c>
      <c r="AI32" s="108">
        <f t="shared" si="10"/>
        <v>0</v>
      </c>
      <c r="AJ32" s="108">
        <f t="shared" si="2"/>
        <v>0</v>
      </c>
      <c r="AK32" s="108">
        <f t="shared" si="3"/>
        <v>5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252">
        <v>26</v>
      </c>
      <c r="C33" s="253">
        <v>41810</v>
      </c>
      <c r="D33" s="254" t="s">
        <v>28</v>
      </c>
      <c r="E33" s="255" t="s">
        <v>9</v>
      </c>
      <c r="F33" s="256" t="s">
        <v>26</v>
      </c>
      <c r="G33" s="313">
        <v>0</v>
      </c>
      <c r="H33" s="255" t="s">
        <v>9</v>
      </c>
      <c r="I33" s="318">
        <v>1</v>
      </c>
      <c r="J33" s="257">
        <f t="shared" si="5"/>
        <v>2</v>
      </c>
      <c r="K33" s="239">
        <f t="shared" si="6"/>
        <v>0</v>
      </c>
      <c r="L33" s="239">
        <f t="shared" si="7"/>
        <v>3</v>
      </c>
      <c r="M33" s="228"/>
      <c r="N33" s="228"/>
      <c r="O33" s="270" t="s">
        <v>25</v>
      </c>
      <c r="P33" s="271">
        <f>SUMIF($D$8:$D$55,$O33,$G$8:$G$55)+SUMIF($F$8:$F$55,$O33,$I$8:$I$55)</f>
        <v>2</v>
      </c>
      <c r="Q33" s="271">
        <f>SUMIF($D$8:$D$55,$O33,$I$8:$I$55)+SUMIF($F$8:$F$55,$O33,$G$8:$G$55)</f>
        <v>4</v>
      </c>
      <c r="R33" s="272">
        <f>P33-Q33</f>
        <v>-2</v>
      </c>
      <c r="S33" s="273">
        <f>SUMIF($D$8:$D$55,$O33,$K$8:$K$55)+SUMIF($F$8:$F$55,$O33,$L$8:$L$55)</f>
        <v>4</v>
      </c>
      <c r="T33" s="320" t="s">
        <v>69</v>
      </c>
      <c r="U33" s="40"/>
      <c r="V33" s="40" t="str">
        <f>O33</f>
        <v>Zwitserland</v>
      </c>
      <c r="W33" s="40" t="s">
        <v>67</v>
      </c>
      <c r="Y33" s="109">
        <f t="shared" si="8"/>
        <v>5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5</v>
      </c>
      <c r="AG33" s="108">
        <f t="shared" si="0"/>
        <v>0</v>
      </c>
      <c r="AH33" s="108">
        <f t="shared" si="1"/>
        <v>0</v>
      </c>
      <c r="AI33" s="108">
        <f t="shared" si="10"/>
        <v>0</v>
      </c>
      <c r="AJ33" s="108">
        <f t="shared" si="2"/>
        <v>0</v>
      </c>
      <c r="AK33" s="108">
        <f t="shared" si="3"/>
        <v>5</v>
      </c>
      <c r="AL33" s="108">
        <f t="shared" si="4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240">
        <v>27</v>
      </c>
      <c r="C34" s="241">
        <v>41811</v>
      </c>
      <c r="D34" s="242" t="s">
        <v>29</v>
      </c>
      <c r="E34" s="243" t="s">
        <v>9</v>
      </c>
      <c r="F34" s="244" t="s">
        <v>33</v>
      </c>
      <c r="G34" s="311">
        <v>3</v>
      </c>
      <c r="H34" s="243" t="s">
        <v>9</v>
      </c>
      <c r="I34" s="316">
        <v>0</v>
      </c>
      <c r="J34" s="245">
        <f t="shared" si="5"/>
        <v>1</v>
      </c>
      <c r="K34" s="239">
        <f t="shared" si="6"/>
        <v>3</v>
      </c>
      <c r="L34" s="239">
        <f t="shared" si="7"/>
        <v>0</v>
      </c>
      <c r="M34" s="228"/>
      <c r="N34" s="228"/>
      <c r="O34" s="274" t="s">
        <v>26</v>
      </c>
      <c r="P34" s="275">
        <f>SUMIF($D$8:$D$55,$O34,$G$8:$G$55)+SUMIF($F$8:$F$55,$O34,$I$8:$I$55)</f>
        <v>1</v>
      </c>
      <c r="Q34" s="275">
        <f>SUMIF($D$8:$D$55,$O34,$I$8:$I$55)+SUMIF($F$8:$F$55,$O34,$G$8:$G$55)</f>
        <v>2</v>
      </c>
      <c r="R34" s="275">
        <f>P34-Q34</f>
        <v>-1</v>
      </c>
      <c r="S34" s="276">
        <f>SUMIF($D$8:$D$55,$O34,$K$8:$K$55)+SUMIF($F$8:$F$55,$O34,$L$8:$L$55)</f>
        <v>4</v>
      </c>
      <c r="T34" s="321" t="s">
        <v>68</v>
      </c>
      <c r="U34" s="40"/>
      <c r="V34" s="40" t="str">
        <f>O34</f>
        <v>Ecuador</v>
      </c>
      <c r="W34" s="40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0"/>
        <v>0</v>
      </c>
      <c r="AH34" s="108">
        <f t="shared" si="1"/>
        <v>1</v>
      </c>
      <c r="AI34" s="108">
        <f t="shared" si="10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246">
        <v>28</v>
      </c>
      <c r="C35" s="247">
        <v>41811</v>
      </c>
      <c r="D35" s="248" t="s">
        <v>31</v>
      </c>
      <c r="E35" s="249" t="s">
        <v>9</v>
      </c>
      <c r="F35" s="258" t="s">
        <v>35</v>
      </c>
      <c r="G35" s="312">
        <v>2</v>
      </c>
      <c r="H35" s="249" t="s">
        <v>9</v>
      </c>
      <c r="I35" s="317">
        <v>1</v>
      </c>
      <c r="J35" s="251">
        <f t="shared" si="5"/>
        <v>1</v>
      </c>
      <c r="K35" s="239">
        <f t="shared" si="6"/>
        <v>3</v>
      </c>
      <c r="L35" s="239">
        <f t="shared" si="7"/>
        <v>0</v>
      </c>
      <c r="M35" s="228"/>
      <c r="N35" s="228"/>
      <c r="O35" s="274" t="s">
        <v>27</v>
      </c>
      <c r="P35" s="275">
        <f>SUMIF($D$8:$D$55,$O35,$G$8:$G$55)+SUMIF($F$8:$F$55,$O35,$I$8:$I$55)</f>
        <v>7</v>
      </c>
      <c r="Q35" s="275">
        <f>SUMIF($D$8:$D$55,$O35,$I$8:$I$55)+SUMIF($F$8:$F$55,$O35,$G$8:$G$55)</f>
        <v>1</v>
      </c>
      <c r="R35" s="275">
        <f>P35-Q35</f>
        <v>6</v>
      </c>
      <c r="S35" s="276">
        <f>SUMIF($D$8:$D$55,$O35,$K$8:$K$55)+SUMIF($F$8:$F$55,$O35,$L$8:$L$55)</f>
        <v>9</v>
      </c>
      <c r="T35" s="321" t="s">
        <v>67</v>
      </c>
      <c r="U35" s="40"/>
      <c r="V35" s="40" t="str">
        <f>O35</f>
        <v>Frankrijk</v>
      </c>
      <c r="W35" s="40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0"/>
        <v>1</v>
      </c>
      <c r="AH35" s="108">
        <f t="shared" si="1"/>
        <v>0</v>
      </c>
      <c r="AI35" s="108">
        <f t="shared" si="10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252">
        <v>29</v>
      </c>
      <c r="C36" s="253">
        <v>41811</v>
      </c>
      <c r="D36" s="254" t="s">
        <v>34</v>
      </c>
      <c r="E36" s="255" t="s">
        <v>9</v>
      </c>
      <c r="F36" s="256" t="s">
        <v>30</v>
      </c>
      <c r="G36" s="313">
        <v>2</v>
      </c>
      <c r="H36" s="255" t="s">
        <v>9</v>
      </c>
      <c r="I36" s="318">
        <v>0</v>
      </c>
      <c r="J36" s="257">
        <f t="shared" si="5"/>
        <v>1</v>
      </c>
      <c r="K36" s="239">
        <f t="shared" si="6"/>
        <v>3</v>
      </c>
      <c r="L36" s="239">
        <f t="shared" si="7"/>
        <v>0</v>
      </c>
      <c r="M36" s="228"/>
      <c r="N36" s="228"/>
      <c r="O36" s="277" t="s">
        <v>28</v>
      </c>
      <c r="P36" s="278">
        <f>SUMIF($D$8:$D$55,$O36,$G$8:$G$55)+SUMIF($F$8:$F$55,$O36,$I$8:$I$55)</f>
        <v>2</v>
      </c>
      <c r="Q36" s="278">
        <f>SUMIF($D$8:$D$55,$O36,$I$8:$I$55)+SUMIF($F$8:$F$55,$O36,$G$8:$G$55)</f>
        <v>5</v>
      </c>
      <c r="R36" s="278">
        <f>P36-Q36</f>
        <v>-3</v>
      </c>
      <c r="S36" s="279">
        <f>SUMIF($D$8:$D$55,$O36,$K$8:$K$55)+SUMIF($F$8:$F$55,$O36,$L$8:$L$55)</f>
        <v>0</v>
      </c>
      <c r="T36" s="322" t="s">
        <v>70</v>
      </c>
      <c r="U36" s="40"/>
      <c r="V36" s="40" t="str">
        <f>O36</f>
        <v>Honduras</v>
      </c>
      <c r="W36" s="40" t="s">
        <v>70</v>
      </c>
      <c r="Y36" s="109">
        <f t="shared" si="8"/>
        <v>6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6</v>
      </c>
      <c r="AG36" s="108">
        <f t="shared" si="0"/>
        <v>0</v>
      </c>
      <c r="AH36" s="108">
        <f t="shared" si="1"/>
        <v>1</v>
      </c>
      <c r="AI36" s="108">
        <f t="shared" si="10"/>
        <v>0</v>
      </c>
      <c r="AJ36" s="108">
        <f t="shared" si="2"/>
        <v>5</v>
      </c>
      <c r="AK36" s="108">
        <f t="shared" si="3"/>
        <v>0</v>
      </c>
      <c r="AL36" s="108">
        <f t="shared" si="4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240">
        <v>30</v>
      </c>
      <c r="C37" s="241">
        <v>41812</v>
      </c>
      <c r="D37" s="242" t="s">
        <v>37</v>
      </c>
      <c r="E37" s="243" t="s">
        <v>9</v>
      </c>
      <c r="F37" s="244" t="s">
        <v>39</v>
      </c>
      <c r="G37" s="311">
        <v>1</v>
      </c>
      <c r="H37" s="243" t="s">
        <v>9</v>
      </c>
      <c r="I37" s="316">
        <v>1</v>
      </c>
      <c r="J37" s="245">
        <f t="shared" si="5"/>
        <v>3</v>
      </c>
      <c r="K37" s="239">
        <f t="shared" si="6"/>
        <v>1</v>
      </c>
      <c r="L37" s="239">
        <f t="shared" si="7"/>
        <v>1</v>
      </c>
      <c r="M37" s="228"/>
      <c r="N37" s="228"/>
      <c r="O37" s="268"/>
      <c r="P37" s="269"/>
      <c r="Q37" s="269"/>
      <c r="R37" s="269"/>
      <c r="S37" s="269"/>
      <c r="T37" s="269"/>
      <c r="U37" s="40"/>
      <c r="V37" s="40"/>
      <c r="W37" s="40"/>
      <c r="Y37" s="109">
        <f t="shared" si="8"/>
        <v>1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1</v>
      </c>
      <c r="AG37" s="108">
        <f t="shared" si="0"/>
        <v>1</v>
      </c>
      <c r="AH37" s="108">
        <f t="shared" si="1"/>
        <v>0</v>
      </c>
      <c r="AI37" s="108">
        <f t="shared" si="10"/>
        <v>0</v>
      </c>
      <c r="AJ37" s="108">
        <f t="shared" si="2"/>
        <v>0</v>
      </c>
      <c r="AK37" s="108">
        <f t="shared" si="3"/>
        <v>0</v>
      </c>
      <c r="AL37" s="108">
        <f t="shared" si="4"/>
        <v>0</v>
      </c>
      <c r="AN37" s="40"/>
      <c r="AO37" s="41"/>
    </row>
    <row r="38" spans="2:41" ht="15.75" thickBot="1">
      <c r="B38" s="246">
        <v>31</v>
      </c>
      <c r="C38" s="247">
        <v>41812</v>
      </c>
      <c r="D38" s="248" t="s">
        <v>40</v>
      </c>
      <c r="E38" s="249" t="s">
        <v>9</v>
      </c>
      <c r="F38" s="258" t="s">
        <v>38</v>
      </c>
      <c r="G38" s="312">
        <v>2</v>
      </c>
      <c r="H38" s="249" t="s">
        <v>9</v>
      </c>
      <c r="I38" s="317">
        <v>0</v>
      </c>
      <c r="J38" s="251">
        <f t="shared" si="5"/>
        <v>1</v>
      </c>
      <c r="K38" s="239">
        <f t="shared" si="6"/>
        <v>3</v>
      </c>
      <c r="L38" s="239">
        <f t="shared" si="7"/>
        <v>0</v>
      </c>
      <c r="M38" s="228"/>
      <c r="N38" s="228"/>
      <c r="O38" s="298" t="s">
        <v>71</v>
      </c>
      <c r="P38" s="299" t="s">
        <v>42</v>
      </c>
      <c r="Q38" s="299" t="s">
        <v>43</v>
      </c>
      <c r="R38" s="300" t="s">
        <v>44</v>
      </c>
      <c r="S38" s="301" t="s">
        <v>45</v>
      </c>
      <c r="T38" s="302" t="s">
        <v>46</v>
      </c>
      <c r="U38" s="40"/>
      <c r="V38" s="40"/>
      <c r="W38" s="40"/>
      <c r="Y38" s="109">
        <f t="shared" si="8"/>
        <v>1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1</v>
      </c>
      <c r="AG38" s="108">
        <f t="shared" si="0"/>
        <v>1</v>
      </c>
      <c r="AH38" s="108">
        <f t="shared" si="1"/>
        <v>0</v>
      </c>
      <c r="AI38" s="108">
        <f t="shared" si="10"/>
        <v>0</v>
      </c>
      <c r="AJ38" s="108">
        <f t="shared" si="2"/>
        <v>0</v>
      </c>
      <c r="AK38" s="108">
        <f t="shared" si="3"/>
        <v>0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252">
        <v>32</v>
      </c>
      <c r="C39" s="253">
        <v>41812</v>
      </c>
      <c r="D39" s="254" t="s">
        <v>36</v>
      </c>
      <c r="E39" s="255" t="s">
        <v>9</v>
      </c>
      <c r="F39" s="256" t="s">
        <v>32</v>
      </c>
      <c r="G39" s="313">
        <v>0</v>
      </c>
      <c r="H39" s="255" t="s">
        <v>9</v>
      </c>
      <c r="I39" s="318">
        <v>2</v>
      </c>
      <c r="J39" s="257">
        <f t="shared" si="5"/>
        <v>2</v>
      </c>
      <c r="K39" s="239">
        <f t="shared" si="6"/>
        <v>0</v>
      </c>
      <c r="L39" s="239">
        <f t="shared" si="7"/>
        <v>3</v>
      </c>
      <c r="M39" s="228"/>
      <c r="N39" s="228"/>
      <c r="O39" s="270" t="s">
        <v>29</v>
      </c>
      <c r="P39" s="271">
        <f>SUMIF($D$8:$D$55,$O39,$G$8:$G$55)+SUMIF($F$8:$F$55,$O39,$I$8:$I$55)</f>
        <v>8</v>
      </c>
      <c r="Q39" s="271">
        <f>SUMIF($D$8:$D$55,$O39,$I$8:$I$55)+SUMIF($F$8:$F$55,$O39,$G$8:$G$55)</f>
        <v>1</v>
      </c>
      <c r="R39" s="272">
        <f>P39-Q39</f>
        <v>7</v>
      </c>
      <c r="S39" s="273">
        <f>SUMIF($D$8:$D$55,$O39,$K$8:$K$55)+SUMIF($F$8:$F$55,$O39,$L$8:$L$55)</f>
        <v>9</v>
      </c>
      <c r="T39" s="320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1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1</v>
      </c>
      <c r="AG39" s="108">
        <f t="shared" si="0"/>
        <v>0</v>
      </c>
      <c r="AH39" s="108">
        <f t="shared" si="1"/>
        <v>1</v>
      </c>
      <c r="AI39" s="108">
        <f t="shared" si="10"/>
        <v>0</v>
      </c>
      <c r="AJ39" s="108">
        <f t="shared" si="2"/>
        <v>0</v>
      </c>
      <c r="AK39" s="108">
        <f t="shared" si="3"/>
        <v>0</v>
      </c>
      <c r="AL39" s="108">
        <f t="shared" si="4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240">
        <v>33</v>
      </c>
      <c r="C40" s="241">
        <v>41813</v>
      </c>
      <c r="D40" s="242" t="s">
        <v>16</v>
      </c>
      <c r="E40" s="243" t="s">
        <v>9</v>
      </c>
      <c r="F40" s="244" t="s">
        <v>13</v>
      </c>
      <c r="G40" s="311">
        <v>0</v>
      </c>
      <c r="H40" s="243" t="s">
        <v>9</v>
      </c>
      <c r="I40" s="316">
        <v>3</v>
      </c>
      <c r="J40" s="245">
        <f t="shared" si="5"/>
        <v>2</v>
      </c>
      <c r="K40" s="239">
        <f t="shared" si="6"/>
        <v>0</v>
      </c>
      <c r="L40" s="239">
        <f t="shared" si="7"/>
        <v>3</v>
      </c>
      <c r="M40" s="228"/>
      <c r="N40" s="228"/>
      <c r="O40" s="274" t="s">
        <v>30</v>
      </c>
      <c r="P40" s="275">
        <f>SUMIF($D$8:$D$55,$O40,$G$8:$G$55)+SUMIF($F$8:$F$55,$O40,$I$8:$I$55)</f>
        <v>2</v>
      </c>
      <c r="Q40" s="275">
        <f>SUMIF($D$8:$D$55,$O40,$I$8:$I$55)+SUMIF($F$8:$F$55,$O40,$G$8:$G$55)</f>
        <v>5</v>
      </c>
      <c r="R40" s="275">
        <f>P40-Q40</f>
        <v>-3</v>
      </c>
      <c r="S40" s="276">
        <f>SUMIF($D$8:$D$55,$O40,$K$8:$K$55)+SUMIF($F$8:$F$55,$O40,$L$8:$L$55)</f>
        <v>3</v>
      </c>
      <c r="T40" s="321" t="s">
        <v>74</v>
      </c>
      <c r="U40" s="40"/>
      <c r="V40" s="40" t="str">
        <f>O40</f>
        <v>Bosnië H.</v>
      </c>
      <c r="W40" s="40" t="s">
        <v>73</v>
      </c>
      <c r="Y40" s="109">
        <f t="shared" si="8"/>
        <v>10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10</v>
      </c>
      <c r="AG40" s="108">
        <f t="shared" si="0"/>
        <v>1</v>
      </c>
      <c r="AH40" s="108">
        <f t="shared" si="1"/>
        <v>1</v>
      </c>
      <c r="AI40" s="108">
        <f t="shared" si="10"/>
        <v>10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246">
        <v>34</v>
      </c>
      <c r="C41" s="247">
        <v>41813</v>
      </c>
      <c r="D41" s="260" t="s">
        <v>14</v>
      </c>
      <c r="E41" s="249" t="s">
        <v>9</v>
      </c>
      <c r="F41" s="258" t="s">
        <v>15</v>
      </c>
      <c r="G41" s="312">
        <v>1</v>
      </c>
      <c r="H41" s="249" t="s">
        <v>9</v>
      </c>
      <c r="I41" s="317">
        <v>1</v>
      </c>
      <c r="J41" s="251">
        <f t="shared" si="5"/>
        <v>3</v>
      </c>
      <c r="K41" s="239">
        <f t="shared" si="6"/>
        <v>1</v>
      </c>
      <c r="L41" s="239">
        <f t="shared" si="7"/>
        <v>1</v>
      </c>
      <c r="M41" s="228"/>
      <c r="N41" s="228"/>
      <c r="O41" s="274" t="s">
        <v>33</v>
      </c>
      <c r="P41" s="275">
        <f>SUMIF($D$8:$D$55,$O41,$G$8:$G$55)+SUMIF($F$8:$F$55,$O41,$I$8:$I$55)</f>
        <v>1</v>
      </c>
      <c r="Q41" s="275">
        <f>SUMIF($D$8:$D$55,$O41,$I$8:$I$55)+SUMIF($F$8:$F$55,$O41,$G$8:$G$55)</f>
        <v>7</v>
      </c>
      <c r="R41" s="275">
        <f>P41-Q41</f>
        <v>-6</v>
      </c>
      <c r="S41" s="276">
        <f>SUMIF($D$8:$D$55,$O41,$K$8:$K$55)+SUMIF($F$8:$F$55,$O41,$L$8:$L$55)</f>
        <v>0</v>
      </c>
      <c r="T41" s="321" t="s">
        <v>75</v>
      </c>
      <c r="U41" s="40"/>
      <c r="V41" s="40" t="str">
        <f>O41</f>
        <v>Iran</v>
      </c>
      <c r="W41" s="40" t="s">
        <v>74</v>
      </c>
      <c r="Y41" s="109">
        <f t="shared" si="8"/>
        <v>0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0</v>
      </c>
      <c r="AG41" s="108">
        <f t="shared" si="0"/>
        <v>0</v>
      </c>
      <c r="AH41" s="108">
        <f t="shared" si="1"/>
        <v>0</v>
      </c>
      <c r="AI41" s="108">
        <f t="shared" si="10"/>
        <v>0</v>
      </c>
      <c r="AJ41" s="108">
        <f t="shared" si="2"/>
        <v>0</v>
      </c>
      <c r="AK41" s="108">
        <f t="shared" si="3"/>
        <v>0</v>
      </c>
      <c r="AL41" s="108">
        <f t="shared" si="4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246">
        <v>35</v>
      </c>
      <c r="C42" s="247">
        <v>41813</v>
      </c>
      <c r="D42" s="248" t="s">
        <v>12</v>
      </c>
      <c r="E42" s="249" t="s">
        <v>9</v>
      </c>
      <c r="F42" s="258" t="s">
        <v>8</v>
      </c>
      <c r="G42" s="312">
        <v>0</v>
      </c>
      <c r="H42" s="249" t="s">
        <v>9</v>
      </c>
      <c r="I42" s="317">
        <v>2</v>
      </c>
      <c r="J42" s="251">
        <f t="shared" si="5"/>
        <v>2</v>
      </c>
      <c r="K42" s="239">
        <f t="shared" si="6"/>
        <v>0</v>
      </c>
      <c r="L42" s="239">
        <f t="shared" si="7"/>
        <v>3</v>
      </c>
      <c r="M42" s="228"/>
      <c r="N42" s="228"/>
      <c r="O42" s="277" t="s">
        <v>34</v>
      </c>
      <c r="P42" s="278">
        <f>SUMIF($D$8:$D$55,$O42,$G$8:$G$55)+SUMIF($F$8:$F$55,$O42,$I$8:$I$55)</f>
        <v>5</v>
      </c>
      <c r="Q42" s="278">
        <f>SUMIF($D$8:$D$55,$O42,$I$8:$I$55)+SUMIF($F$8:$F$55,$O42,$G$8:$G$55)</f>
        <v>3</v>
      </c>
      <c r="R42" s="278">
        <f>P42-Q42</f>
        <v>2</v>
      </c>
      <c r="S42" s="279">
        <f>SUMIF($D$8:$D$55,$O42,$K$8:$K$55)+SUMIF($F$8:$F$55,$O42,$L$8:$L$55)</f>
        <v>6</v>
      </c>
      <c r="T42" s="322" t="s">
        <v>73</v>
      </c>
      <c r="U42" s="40"/>
      <c r="V42" s="40" t="str">
        <f>O42</f>
        <v>Nigeria</v>
      </c>
      <c r="W42" s="40" t="s">
        <v>75</v>
      </c>
      <c r="Y42" s="109">
        <f t="shared" si="8"/>
        <v>5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5</v>
      </c>
      <c r="AG42" s="108">
        <f t="shared" si="0"/>
        <v>0</v>
      </c>
      <c r="AH42" s="108">
        <f t="shared" si="1"/>
        <v>0</v>
      </c>
      <c r="AI42" s="108">
        <f t="shared" si="10"/>
        <v>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252">
        <v>36</v>
      </c>
      <c r="C43" s="253">
        <v>41813</v>
      </c>
      <c r="D43" s="254" t="s">
        <v>10</v>
      </c>
      <c r="E43" s="255" t="s">
        <v>9</v>
      </c>
      <c r="F43" s="256" t="s">
        <v>11</v>
      </c>
      <c r="G43" s="313">
        <v>1</v>
      </c>
      <c r="H43" s="255" t="s">
        <v>9</v>
      </c>
      <c r="I43" s="318">
        <v>2</v>
      </c>
      <c r="J43" s="257">
        <f t="shared" si="5"/>
        <v>2</v>
      </c>
      <c r="K43" s="239">
        <f t="shared" si="6"/>
        <v>0</v>
      </c>
      <c r="L43" s="239">
        <f t="shared" si="7"/>
        <v>3</v>
      </c>
      <c r="M43" s="228"/>
      <c r="N43" s="228"/>
      <c r="O43" s="268"/>
      <c r="P43" s="269"/>
      <c r="Q43" s="269"/>
      <c r="R43" s="269"/>
      <c r="S43" s="269"/>
      <c r="T43" s="269"/>
      <c r="U43" s="40"/>
      <c r="V43" s="40"/>
      <c r="W43" s="40"/>
      <c r="Y43" s="109">
        <f t="shared" si="8"/>
        <v>6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6</v>
      </c>
      <c r="AG43" s="108">
        <f t="shared" si="0"/>
        <v>1</v>
      </c>
      <c r="AH43" s="108">
        <f t="shared" si="1"/>
        <v>0</v>
      </c>
      <c r="AI43" s="108">
        <f t="shared" si="10"/>
        <v>0</v>
      </c>
      <c r="AJ43" s="108">
        <f t="shared" si="2"/>
        <v>0</v>
      </c>
      <c r="AK43" s="108">
        <f t="shared" si="3"/>
        <v>5</v>
      </c>
      <c r="AL43" s="108">
        <f t="shared" si="4"/>
        <v>0</v>
      </c>
      <c r="AN43" s="40"/>
      <c r="AO43" s="41"/>
    </row>
    <row r="44" spans="2:41" ht="15.75" thickBot="1">
      <c r="B44" s="240">
        <v>37</v>
      </c>
      <c r="C44" s="241">
        <v>41814</v>
      </c>
      <c r="D44" s="242" t="s">
        <v>22</v>
      </c>
      <c r="E44" s="243" t="s">
        <v>9</v>
      </c>
      <c r="F44" s="244" t="s">
        <v>19</v>
      </c>
      <c r="G44" s="311">
        <v>2</v>
      </c>
      <c r="H44" s="243" t="s">
        <v>9</v>
      </c>
      <c r="I44" s="316">
        <v>2</v>
      </c>
      <c r="J44" s="245">
        <f t="shared" si="5"/>
        <v>3</v>
      </c>
      <c r="K44" s="239">
        <f t="shared" si="6"/>
        <v>1</v>
      </c>
      <c r="L44" s="239">
        <f t="shared" si="7"/>
        <v>1</v>
      </c>
      <c r="M44" s="228"/>
      <c r="N44" s="228"/>
      <c r="O44" s="298" t="s">
        <v>76</v>
      </c>
      <c r="P44" s="299" t="s">
        <v>42</v>
      </c>
      <c r="Q44" s="299" t="s">
        <v>43</v>
      </c>
      <c r="R44" s="300" t="s">
        <v>44</v>
      </c>
      <c r="S44" s="301" t="s">
        <v>45</v>
      </c>
      <c r="T44" s="302" t="s">
        <v>46</v>
      </c>
      <c r="U44" s="40"/>
      <c r="V44" s="40"/>
      <c r="W44" s="40"/>
      <c r="Y44" s="109">
        <f t="shared" si="8"/>
        <v>0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0</v>
      </c>
      <c r="AG44" s="108">
        <f t="shared" si="0"/>
        <v>0</v>
      </c>
      <c r="AH44" s="108">
        <f t="shared" si="1"/>
        <v>0</v>
      </c>
      <c r="AI44" s="108">
        <f t="shared" si="10"/>
        <v>0</v>
      </c>
      <c r="AJ44" s="108">
        <f t="shared" si="2"/>
        <v>0</v>
      </c>
      <c r="AK44" s="108">
        <f t="shared" si="3"/>
        <v>0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246">
        <v>38</v>
      </c>
      <c r="C45" s="247">
        <v>41814</v>
      </c>
      <c r="D45" s="248" t="s">
        <v>20</v>
      </c>
      <c r="E45" s="249" t="s">
        <v>9</v>
      </c>
      <c r="F45" s="258" t="s">
        <v>21</v>
      </c>
      <c r="G45" s="312">
        <v>0</v>
      </c>
      <c r="H45" s="249" t="s">
        <v>9</v>
      </c>
      <c r="I45" s="317">
        <v>2</v>
      </c>
      <c r="J45" s="251">
        <f t="shared" si="5"/>
        <v>2</v>
      </c>
      <c r="K45" s="239">
        <f t="shared" si="6"/>
        <v>0</v>
      </c>
      <c r="L45" s="239">
        <f t="shared" si="7"/>
        <v>3</v>
      </c>
      <c r="M45" s="228"/>
      <c r="N45" s="228"/>
      <c r="O45" s="270" t="s">
        <v>31</v>
      </c>
      <c r="P45" s="271">
        <f>SUMIF($D$8:$D$55,$O45,$G$8:$G$55)+SUMIF($F$8:$F$55,$O45,$I$8:$I$55)</f>
        <v>7</v>
      </c>
      <c r="Q45" s="271">
        <f>SUMIF($D$8:$D$55,$O45,$I$8:$I$55)+SUMIF($F$8:$F$55,$O45,$G$8:$G$55)</f>
        <v>4</v>
      </c>
      <c r="R45" s="272">
        <f>P45-Q45</f>
        <v>3</v>
      </c>
      <c r="S45" s="273">
        <f>SUMIF($D$8:$D$55,$O45,$K$8:$K$55)+SUMIF($F$8:$F$55,$O45,$L$8:$L$55)</f>
        <v>7</v>
      </c>
      <c r="T45" s="320" t="s">
        <v>77</v>
      </c>
      <c r="U45" s="40"/>
      <c r="V45" s="40" t="str">
        <f>O45</f>
        <v>Duitsland</v>
      </c>
      <c r="W45" s="40" t="s">
        <v>77</v>
      </c>
      <c r="Y45" s="109">
        <f t="shared" si="8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1</v>
      </c>
      <c r="AG45" s="108">
        <f t="shared" si="0"/>
        <v>1</v>
      </c>
      <c r="AH45" s="108">
        <f t="shared" si="1"/>
        <v>0</v>
      </c>
      <c r="AI45" s="108">
        <f t="shared" si="10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246">
        <v>39</v>
      </c>
      <c r="C46" s="247">
        <v>41814</v>
      </c>
      <c r="D46" s="248" t="s">
        <v>24</v>
      </c>
      <c r="E46" s="249" t="s">
        <v>9</v>
      </c>
      <c r="F46" s="258" t="s">
        <v>17</v>
      </c>
      <c r="G46" s="312">
        <v>0</v>
      </c>
      <c r="H46" s="249" t="s">
        <v>9</v>
      </c>
      <c r="I46" s="317">
        <v>2</v>
      </c>
      <c r="J46" s="251">
        <f t="shared" si="5"/>
        <v>2</v>
      </c>
      <c r="K46" s="239">
        <f t="shared" si="6"/>
        <v>0</v>
      </c>
      <c r="L46" s="239">
        <f t="shared" si="7"/>
        <v>3</v>
      </c>
      <c r="M46" s="228"/>
      <c r="N46" s="228"/>
      <c r="O46" s="274" t="s">
        <v>32</v>
      </c>
      <c r="P46" s="275">
        <f>SUMIF($D$8:$D$55,$O46,$G$8:$G$55)+SUMIF($F$8:$F$55,$O46,$I$8:$I$55)</f>
        <v>6</v>
      </c>
      <c r="Q46" s="275">
        <f>SUMIF($D$8:$D$55,$O46,$I$8:$I$55)+SUMIF($F$8:$F$55,$O46,$G$8:$G$55)</f>
        <v>3</v>
      </c>
      <c r="R46" s="275">
        <f>P46-Q46</f>
        <v>3</v>
      </c>
      <c r="S46" s="276">
        <f>SUMIF($D$8:$D$55,$O46,$K$8:$K$55)+SUMIF($F$8:$F$55,$O46,$L$8:$L$55)</f>
        <v>7</v>
      </c>
      <c r="T46" s="321" t="s">
        <v>78</v>
      </c>
      <c r="U46" s="40"/>
      <c r="V46" s="40" t="str">
        <f>O46</f>
        <v>Portugal</v>
      </c>
      <c r="W46" s="40" t="s">
        <v>78</v>
      </c>
      <c r="Y46" s="109">
        <f t="shared" si="8"/>
        <v>5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5</v>
      </c>
      <c r="AG46" s="108">
        <f t="shared" si="0"/>
        <v>0</v>
      </c>
      <c r="AH46" s="108">
        <f t="shared" si="1"/>
        <v>0</v>
      </c>
      <c r="AI46" s="108">
        <f t="shared" si="10"/>
        <v>0</v>
      </c>
      <c r="AJ46" s="108">
        <f t="shared" si="2"/>
        <v>0</v>
      </c>
      <c r="AK46" s="108">
        <f t="shared" si="3"/>
        <v>5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252">
        <v>40</v>
      </c>
      <c r="C47" s="253">
        <v>41814</v>
      </c>
      <c r="D47" s="254" t="s">
        <v>18</v>
      </c>
      <c r="E47" s="255" t="s">
        <v>9</v>
      </c>
      <c r="F47" s="256" t="s">
        <v>23</v>
      </c>
      <c r="G47" s="313">
        <v>0</v>
      </c>
      <c r="H47" s="255" t="s">
        <v>9</v>
      </c>
      <c r="I47" s="318">
        <v>2</v>
      </c>
      <c r="J47" s="257">
        <f t="shared" si="5"/>
        <v>2</v>
      </c>
      <c r="K47" s="239">
        <f t="shared" si="6"/>
        <v>0</v>
      </c>
      <c r="L47" s="239">
        <f t="shared" si="7"/>
        <v>3</v>
      </c>
      <c r="M47" s="228"/>
      <c r="N47" s="228"/>
      <c r="O47" s="274" t="s">
        <v>35</v>
      </c>
      <c r="P47" s="275">
        <f>SUMIF($D$8:$D$55,$O47,$G$8:$G$55)+SUMIF($F$8:$F$55,$O47,$I$8:$I$55)</f>
        <v>4</v>
      </c>
      <c r="Q47" s="275">
        <f>SUMIF($D$8:$D$55,$O47,$I$8:$I$55)+SUMIF($F$8:$F$55,$O47,$G$8:$G$55)</f>
        <v>5</v>
      </c>
      <c r="R47" s="275">
        <f>P47-Q47</f>
        <v>-1</v>
      </c>
      <c r="S47" s="276">
        <f>SUMIF($D$8:$D$55,$O47,$K$8:$K$55)+SUMIF($F$8:$F$55,$O47,$L$8:$L$55)</f>
        <v>3</v>
      </c>
      <c r="T47" s="321" t="s">
        <v>79</v>
      </c>
      <c r="U47" s="40"/>
      <c r="V47" s="40" t="str">
        <f>O47</f>
        <v>Ghana</v>
      </c>
      <c r="W47" s="40" t="s">
        <v>79</v>
      </c>
      <c r="Y47" s="109">
        <f t="shared" si="8"/>
        <v>0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0</v>
      </c>
      <c r="AG47" s="108">
        <f t="shared" si="0"/>
        <v>0</v>
      </c>
      <c r="AH47" s="108">
        <f t="shared" si="1"/>
        <v>0</v>
      </c>
      <c r="AI47" s="108">
        <f t="shared" si="10"/>
        <v>0</v>
      </c>
      <c r="AJ47" s="108">
        <f t="shared" si="2"/>
        <v>0</v>
      </c>
      <c r="AK47" s="108">
        <f t="shared" si="3"/>
        <v>0</v>
      </c>
      <c r="AL47" s="108">
        <f t="shared" si="4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240">
        <v>41</v>
      </c>
      <c r="C48" s="241">
        <v>41815</v>
      </c>
      <c r="D48" s="242" t="s">
        <v>34</v>
      </c>
      <c r="E48" s="243" t="s">
        <v>9</v>
      </c>
      <c r="F48" s="244" t="s">
        <v>29</v>
      </c>
      <c r="G48" s="311">
        <v>1</v>
      </c>
      <c r="H48" s="243" t="s">
        <v>9</v>
      </c>
      <c r="I48" s="316">
        <v>3</v>
      </c>
      <c r="J48" s="245">
        <f t="shared" si="5"/>
        <v>2</v>
      </c>
      <c r="K48" s="239">
        <f t="shared" si="6"/>
        <v>0</v>
      </c>
      <c r="L48" s="239">
        <f t="shared" si="7"/>
        <v>3</v>
      </c>
      <c r="M48" s="228"/>
      <c r="N48" s="228"/>
      <c r="O48" s="277" t="s">
        <v>36</v>
      </c>
      <c r="P48" s="278">
        <f>SUMIF($D$8:$D$55,$O48,$G$8:$G$55)+SUMIF($F$8:$F$55,$O48,$I$8:$I$55)</f>
        <v>2</v>
      </c>
      <c r="Q48" s="278">
        <f>SUMIF($D$8:$D$55,$O48,$I$8:$I$55)+SUMIF($F$8:$F$55,$O48,$G$8:$G$55)</f>
        <v>7</v>
      </c>
      <c r="R48" s="278">
        <f>P48-Q48</f>
        <v>-5</v>
      </c>
      <c r="S48" s="279">
        <f>SUMIF($D$8:$D$55,$O48,$K$8:$K$55)+SUMIF($F$8:$F$55,$O48,$L$8:$L$55)</f>
        <v>0</v>
      </c>
      <c r="T48" s="322" t="s">
        <v>80</v>
      </c>
      <c r="U48" s="40"/>
      <c r="V48" s="40" t="str">
        <f>O48</f>
        <v>Verenigde Staten</v>
      </c>
      <c r="W48" s="40" t="s">
        <v>80</v>
      </c>
      <c r="Y48" s="109">
        <f t="shared" si="8"/>
        <v>6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6</v>
      </c>
      <c r="AG48" s="108">
        <f t="shared" si="0"/>
        <v>0</v>
      </c>
      <c r="AH48" s="108">
        <f t="shared" si="1"/>
        <v>1</v>
      </c>
      <c r="AI48" s="108">
        <f t="shared" si="10"/>
        <v>0</v>
      </c>
      <c r="AJ48" s="108">
        <f t="shared" si="2"/>
        <v>0</v>
      </c>
      <c r="AK48" s="108">
        <f t="shared" si="3"/>
        <v>5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246">
        <v>42</v>
      </c>
      <c r="C49" s="247">
        <v>41815</v>
      </c>
      <c r="D49" s="248" t="s">
        <v>30</v>
      </c>
      <c r="E49" s="249" t="s">
        <v>9</v>
      </c>
      <c r="F49" s="258" t="s">
        <v>33</v>
      </c>
      <c r="G49" s="312">
        <v>2</v>
      </c>
      <c r="H49" s="249" t="s">
        <v>9</v>
      </c>
      <c r="I49" s="317">
        <v>1</v>
      </c>
      <c r="J49" s="251">
        <f t="shared" si="5"/>
        <v>1</v>
      </c>
      <c r="K49" s="239">
        <f t="shared" si="6"/>
        <v>3</v>
      </c>
      <c r="L49" s="239">
        <f t="shared" si="7"/>
        <v>0</v>
      </c>
      <c r="M49" s="228"/>
      <c r="N49" s="228"/>
      <c r="O49" s="268"/>
      <c r="P49" s="269"/>
      <c r="Q49" s="269"/>
      <c r="R49" s="269"/>
      <c r="S49" s="269"/>
      <c r="T49" s="269"/>
      <c r="U49" s="40"/>
      <c r="V49" s="40"/>
      <c r="W49" s="40"/>
      <c r="Y49" s="109">
        <f t="shared" si="8"/>
        <v>6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6</v>
      </c>
      <c r="AG49" s="108">
        <f t="shared" si="0"/>
        <v>0</v>
      </c>
      <c r="AH49" s="108">
        <f t="shared" si="1"/>
        <v>1</v>
      </c>
      <c r="AI49" s="108">
        <f t="shared" si="10"/>
        <v>0</v>
      </c>
      <c r="AJ49" s="108">
        <f t="shared" si="2"/>
        <v>5</v>
      </c>
      <c r="AK49" s="108">
        <f t="shared" si="3"/>
        <v>0</v>
      </c>
      <c r="AL49" s="108">
        <f t="shared" si="4"/>
        <v>0</v>
      </c>
      <c r="AN49" s="40"/>
      <c r="AO49" s="41"/>
    </row>
    <row r="50" spans="2:54" ht="15.75" thickBot="1">
      <c r="B50" s="246">
        <v>43</v>
      </c>
      <c r="C50" s="247">
        <v>41815</v>
      </c>
      <c r="D50" s="248" t="s">
        <v>28</v>
      </c>
      <c r="E50" s="249" t="s">
        <v>9</v>
      </c>
      <c r="F50" s="258" t="s">
        <v>25</v>
      </c>
      <c r="G50" s="312">
        <v>1</v>
      </c>
      <c r="H50" s="249" t="s">
        <v>9</v>
      </c>
      <c r="I50" s="317">
        <v>2</v>
      </c>
      <c r="J50" s="251">
        <f t="shared" si="5"/>
        <v>2</v>
      </c>
      <c r="K50" s="239">
        <f t="shared" si="6"/>
        <v>0</v>
      </c>
      <c r="L50" s="239">
        <f t="shared" si="7"/>
        <v>3</v>
      </c>
      <c r="M50" s="228"/>
      <c r="N50" s="228"/>
      <c r="O50" s="298" t="s">
        <v>81</v>
      </c>
      <c r="P50" s="299" t="s">
        <v>42</v>
      </c>
      <c r="Q50" s="299" t="s">
        <v>43</v>
      </c>
      <c r="R50" s="300" t="s">
        <v>44</v>
      </c>
      <c r="S50" s="301" t="s">
        <v>45</v>
      </c>
      <c r="T50" s="302" t="s">
        <v>46</v>
      </c>
      <c r="U50" s="40"/>
      <c r="V50" s="40"/>
      <c r="W50" s="40"/>
      <c r="Y50" s="109">
        <f t="shared" si="8"/>
        <v>5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5</v>
      </c>
      <c r="AG50" s="108">
        <f t="shared" si="0"/>
        <v>0</v>
      </c>
      <c r="AH50" s="108">
        <f t="shared" si="1"/>
        <v>0</v>
      </c>
      <c r="AI50" s="108">
        <f t="shared" si="10"/>
        <v>0</v>
      </c>
      <c r="AJ50" s="108">
        <f t="shared" si="2"/>
        <v>0</v>
      </c>
      <c r="AK50" s="108">
        <f t="shared" si="3"/>
        <v>5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252">
        <v>44</v>
      </c>
      <c r="C51" s="253">
        <v>41815</v>
      </c>
      <c r="D51" s="254" t="s">
        <v>26</v>
      </c>
      <c r="E51" s="255" t="s">
        <v>9</v>
      </c>
      <c r="F51" s="256" t="s">
        <v>27</v>
      </c>
      <c r="G51" s="313">
        <v>0</v>
      </c>
      <c r="H51" s="255" t="s">
        <v>9</v>
      </c>
      <c r="I51" s="318">
        <v>2</v>
      </c>
      <c r="J51" s="257">
        <f t="shared" si="5"/>
        <v>2</v>
      </c>
      <c r="K51" s="239">
        <f t="shared" si="6"/>
        <v>0</v>
      </c>
      <c r="L51" s="239">
        <f>IF(I51="","",IF($G51&lt;$I51,3,IF($G51=$I51,1,0)))</f>
        <v>3</v>
      </c>
      <c r="M51" s="228"/>
      <c r="N51" s="228"/>
      <c r="O51" s="270" t="s">
        <v>37</v>
      </c>
      <c r="P51" s="271">
        <f>SUMIF($D$8:$D$55,$O51,$G$8:$G$55)+SUMIF($F$8:$F$55,$O51,$I$8:$I$55)</f>
        <v>5</v>
      </c>
      <c r="Q51" s="271">
        <f>SUMIF($D$8:$D$55,$O51,$I$8:$I$55)+SUMIF($F$8:$F$55,$O51,$G$8:$G$55)</f>
        <v>1</v>
      </c>
      <c r="R51" s="272">
        <f>P51-Q51</f>
        <v>4</v>
      </c>
      <c r="S51" s="273">
        <f>SUMIF($D$8:$D$55,$O51,$K$8:$K$55)+SUMIF($F$8:$F$55,$O51,$L$8:$L$55)</f>
        <v>7</v>
      </c>
      <c r="T51" s="320" t="s">
        <v>82</v>
      </c>
      <c r="U51" s="40"/>
      <c r="V51" s="40" t="str">
        <f>O51</f>
        <v>België</v>
      </c>
      <c r="W51" s="40" t="s">
        <v>82</v>
      </c>
      <c r="Y51" s="109">
        <f t="shared" si="8"/>
        <v>1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1</v>
      </c>
      <c r="AG51" s="108">
        <f t="shared" si="0"/>
        <v>1</v>
      </c>
      <c r="AH51" s="108">
        <f t="shared" si="1"/>
        <v>0</v>
      </c>
      <c r="AI51" s="108">
        <f t="shared" si="10"/>
        <v>0</v>
      </c>
      <c r="AJ51" s="108">
        <f t="shared" si="2"/>
        <v>0</v>
      </c>
      <c r="AK51" s="108">
        <f t="shared" si="3"/>
        <v>0</v>
      </c>
      <c r="AL51" s="108">
        <f t="shared" si="4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246">
        <v>45</v>
      </c>
      <c r="C52" s="247">
        <v>41816</v>
      </c>
      <c r="D52" s="248" t="s">
        <v>36</v>
      </c>
      <c r="E52" s="249" t="s">
        <v>9</v>
      </c>
      <c r="F52" s="258" t="s">
        <v>31</v>
      </c>
      <c r="G52" s="312">
        <v>1</v>
      </c>
      <c r="H52" s="249" t="s">
        <v>9</v>
      </c>
      <c r="I52" s="317">
        <v>3</v>
      </c>
      <c r="J52" s="245">
        <f t="shared" si="5"/>
        <v>2</v>
      </c>
      <c r="K52" s="239">
        <f t="shared" si="6"/>
        <v>0</v>
      </c>
      <c r="L52" s="239">
        <f t="shared" si="7"/>
        <v>3</v>
      </c>
      <c r="M52" s="228"/>
      <c r="N52" s="228"/>
      <c r="O52" s="274" t="s">
        <v>38</v>
      </c>
      <c r="P52" s="275">
        <f>SUMIF($D$8:$D$55,$O52,$G$8:$G$55)+SUMIF($F$8:$F$55,$O52,$I$8:$I$55)</f>
        <v>0</v>
      </c>
      <c r="Q52" s="275">
        <f>SUMIF($D$8:$D$55,$O52,$I$8:$I$55)+SUMIF($F$8:$F$55,$O52,$G$8:$G$55)</f>
        <v>6</v>
      </c>
      <c r="R52" s="275">
        <f>P52-Q52</f>
        <v>-6</v>
      </c>
      <c r="S52" s="276">
        <f>SUMIF($D$8:$D$55,$O52,$K$8:$K$55)+SUMIF($F$8:$F$55,$O52,$L$8:$L$55)</f>
        <v>0</v>
      </c>
      <c r="T52" s="321" t="s">
        <v>85</v>
      </c>
      <c r="U52" s="40"/>
      <c r="V52" s="40" t="str">
        <f>O52</f>
        <v>Algerije</v>
      </c>
      <c r="W52" s="40" t="s">
        <v>83</v>
      </c>
      <c r="Y52" s="109">
        <f t="shared" si="8"/>
        <v>5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5</v>
      </c>
      <c r="AG52" s="108">
        <f t="shared" si="0"/>
        <v>0</v>
      </c>
      <c r="AH52" s="108">
        <f t="shared" si="1"/>
        <v>0</v>
      </c>
      <c r="AI52" s="108">
        <f t="shared" si="10"/>
        <v>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246">
        <v>46</v>
      </c>
      <c r="C53" s="247">
        <v>41816</v>
      </c>
      <c r="D53" s="248" t="s">
        <v>32</v>
      </c>
      <c r="E53" s="249" t="s">
        <v>9</v>
      </c>
      <c r="F53" s="258" t="s">
        <v>35</v>
      </c>
      <c r="G53" s="312">
        <v>2</v>
      </c>
      <c r="H53" s="249" t="s">
        <v>9</v>
      </c>
      <c r="I53" s="317">
        <v>1</v>
      </c>
      <c r="J53" s="251">
        <f t="shared" si="5"/>
        <v>1</v>
      </c>
      <c r="K53" s="239">
        <f t="shared" si="6"/>
        <v>3</v>
      </c>
      <c r="L53" s="239">
        <f t="shared" si="7"/>
        <v>0</v>
      </c>
      <c r="M53" s="228"/>
      <c r="N53" s="228"/>
      <c r="O53" s="274" t="s">
        <v>39</v>
      </c>
      <c r="P53" s="275">
        <f>SUMIF($D$8:$D$55,$O53,$G$8:$G$55)+SUMIF($F$8:$F$55,$O53,$I$8:$I$55)</f>
        <v>5</v>
      </c>
      <c r="Q53" s="275">
        <f>SUMIF($D$8:$D$55,$O53,$I$8:$I$55)+SUMIF($F$8:$F$55,$O53,$G$8:$G$55)</f>
        <v>1</v>
      </c>
      <c r="R53" s="275">
        <f>P53-Q53</f>
        <v>4</v>
      </c>
      <c r="S53" s="276">
        <f>SUMIF($D$8:$D$55,$O53,$K$8:$K$55)+SUMIF($F$8:$F$55,$O53,$L$8:$L$55)</f>
        <v>7</v>
      </c>
      <c r="T53" s="321" t="s">
        <v>83</v>
      </c>
      <c r="U53" s="40"/>
      <c r="V53" s="40" t="str">
        <f>O53</f>
        <v>Rusland</v>
      </c>
      <c r="W53" s="40" t="s">
        <v>84</v>
      </c>
      <c r="Y53" s="109">
        <f t="shared" si="8"/>
        <v>10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10</v>
      </c>
      <c r="AG53" s="108">
        <f t="shared" si="0"/>
        <v>1</v>
      </c>
      <c r="AH53" s="108">
        <f t="shared" si="1"/>
        <v>1</v>
      </c>
      <c r="AI53" s="108">
        <f t="shared" si="10"/>
        <v>10</v>
      </c>
      <c r="AJ53" s="108">
        <f t="shared" si="2"/>
        <v>5</v>
      </c>
      <c r="AK53" s="108">
        <f t="shared" si="3"/>
        <v>0</v>
      </c>
      <c r="AL53" s="108">
        <f t="shared" si="4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246">
        <v>47</v>
      </c>
      <c r="C54" s="247">
        <v>41816</v>
      </c>
      <c r="D54" s="248" t="s">
        <v>40</v>
      </c>
      <c r="E54" s="249" t="s">
        <v>9</v>
      </c>
      <c r="F54" s="258" t="s">
        <v>37</v>
      </c>
      <c r="G54" s="312">
        <v>0</v>
      </c>
      <c r="H54" s="249" t="s">
        <v>9</v>
      </c>
      <c r="I54" s="317">
        <v>2</v>
      </c>
      <c r="J54" s="251">
        <f t="shared" si="5"/>
        <v>2</v>
      </c>
      <c r="K54" s="239">
        <f t="shared" si="6"/>
        <v>0</v>
      </c>
      <c r="L54" s="239">
        <f t="shared" si="7"/>
        <v>3</v>
      </c>
      <c r="M54" s="228"/>
      <c r="N54" s="228"/>
      <c r="O54" s="277" t="s">
        <v>40</v>
      </c>
      <c r="P54" s="278">
        <f>SUMIF($D$8:$D$55,$O54,$G$8:$G$55)+SUMIF($F$8:$F$55,$O54,$I$8:$I$55)</f>
        <v>2</v>
      </c>
      <c r="Q54" s="278">
        <f>SUMIF($D$8:$D$55,$O54,$I$8:$I$55)+SUMIF($F$8:$F$55,$O54,$G$8:$G$55)</f>
        <v>4</v>
      </c>
      <c r="R54" s="278">
        <f>P54-Q54</f>
        <v>-2</v>
      </c>
      <c r="S54" s="279">
        <f>SUMIF($D$8:$D$55,$O54,$K$8:$K$55)+SUMIF($F$8:$F$55,$O54,$L$8:$L$55)</f>
        <v>3</v>
      </c>
      <c r="T54" s="322" t="s">
        <v>84</v>
      </c>
      <c r="U54" s="40"/>
      <c r="V54" s="40" t="str">
        <f>O54</f>
        <v>Zuid Korea</v>
      </c>
      <c r="W54" s="40" t="s">
        <v>85</v>
      </c>
      <c r="Y54" s="109">
        <f t="shared" si="8"/>
        <v>6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6</v>
      </c>
      <c r="AG54" s="108">
        <f t="shared" si="0"/>
        <v>1</v>
      </c>
      <c r="AH54" s="108">
        <f t="shared" si="1"/>
        <v>0</v>
      </c>
      <c r="AI54" s="108">
        <f t="shared" si="10"/>
        <v>0</v>
      </c>
      <c r="AJ54" s="108">
        <f t="shared" si="2"/>
        <v>0</v>
      </c>
      <c r="AK54" s="108">
        <f t="shared" si="3"/>
        <v>5</v>
      </c>
      <c r="AL54" s="108">
        <f t="shared" si="4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261">
        <v>48</v>
      </c>
      <c r="C55" s="262">
        <v>41816</v>
      </c>
      <c r="D55" s="263" t="s">
        <v>38</v>
      </c>
      <c r="E55" s="264" t="s">
        <v>9</v>
      </c>
      <c r="F55" s="265" t="s">
        <v>39</v>
      </c>
      <c r="G55" s="314">
        <v>0</v>
      </c>
      <c r="H55" s="264" t="s">
        <v>9</v>
      </c>
      <c r="I55" s="319">
        <v>2</v>
      </c>
      <c r="J55" s="266">
        <f t="shared" si="5"/>
        <v>2</v>
      </c>
      <c r="K55" s="239">
        <f t="shared" si="6"/>
        <v>0</v>
      </c>
      <c r="L55" s="239">
        <f t="shared" si="7"/>
        <v>3</v>
      </c>
      <c r="M55" s="228"/>
      <c r="N55" s="228"/>
      <c r="O55" s="268"/>
      <c r="P55" s="269"/>
      <c r="Q55" s="269"/>
      <c r="R55" s="269"/>
      <c r="S55" s="269"/>
      <c r="T55" s="269"/>
      <c r="U55" s="40"/>
      <c r="V55" s="40"/>
      <c r="W55" s="40"/>
      <c r="Y55" s="109">
        <f t="shared" si="8"/>
        <v>0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0</v>
      </c>
      <c r="AG55" s="108">
        <f t="shared" si="0"/>
        <v>0</v>
      </c>
      <c r="AH55" s="108">
        <f t="shared" si="1"/>
        <v>0</v>
      </c>
      <c r="AI55" s="108">
        <f t="shared" si="10"/>
        <v>0</v>
      </c>
      <c r="AJ55" s="108">
        <f t="shared" si="2"/>
        <v>0</v>
      </c>
      <c r="AK55" s="108">
        <f t="shared" si="3"/>
        <v>0</v>
      </c>
      <c r="AL55" s="108">
        <f t="shared" si="4"/>
        <v>0</v>
      </c>
    </row>
    <row r="56" spans="2:54" ht="15.75" thickBot="1">
      <c r="B56" s="229"/>
      <c r="C56" s="267"/>
      <c r="D56" s="268"/>
      <c r="E56" s="229"/>
      <c r="F56" s="268"/>
      <c r="G56" s="229"/>
      <c r="H56" s="229"/>
      <c r="I56" s="229"/>
      <c r="J56" s="229"/>
      <c r="K56" s="229"/>
      <c r="L56" s="229"/>
      <c r="M56" s="229"/>
      <c r="N56" s="228"/>
      <c r="O56" s="228"/>
      <c r="P56" s="228"/>
      <c r="Q56" s="228"/>
      <c r="R56" s="228"/>
      <c r="S56" s="228"/>
      <c r="T56" s="228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348"/>
      <c r="K57" s="229"/>
      <c r="L57" s="229"/>
      <c r="M57" s="229"/>
      <c r="N57" s="228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304" t="s">
        <v>1</v>
      </c>
      <c r="C58" s="305" t="s">
        <v>2</v>
      </c>
      <c r="D58" s="340" t="s">
        <v>3</v>
      </c>
      <c r="E58" s="307"/>
      <c r="F58" s="346" t="s">
        <v>4</v>
      </c>
      <c r="G58" s="867" t="s">
        <v>5</v>
      </c>
      <c r="H58" s="868"/>
      <c r="I58" s="869"/>
      <c r="J58" s="309" t="s">
        <v>6</v>
      </c>
      <c r="K58" s="229"/>
      <c r="L58" s="229"/>
      <c r="M58" s="229"/>
      <c r="N58" s="228"/>
      <c r="O58" s="334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240">
        <v>49</v>
      </c>
      <c r="C59" s="342">
        <v>41818</v>
      </c>
      <c r="D59" s="336" t="str">
        <f>IF(ISERROR(Z59),K59,Z59)</f>
        <v>Brazilië</v>
      </c>
      <c r="E59" s="243" t="s">
        <v>9</v>
      </c>
      <c r="F59" s="282" t="str">
        <f>IF(ISERROR(AA59),L59,AA59)</f>
        <v>Nederland</v>
      </c>
      <c r="G59" s="311">
        <v>2</v>
      </c>
      <c r="H59" s="243" t="s">
        <v>9</v>
      </c>
      <c r="I59" s="323">
        <v>1</v>
      </c>
      <c r="J59" s="324">
        <v>1</v>
      </c>
      <c r="K59" s="283" t="s">
        <v>48</v>
      </c>
      <c r="L59" s="283" t="s">
        <v>53</v>
      </c>
      <c r="M59" s="283">
        <v>1</v>
      </c>
      <c r="N59" s="228"/>
      <c r="O59" s="334">
        <v>2</v>
      </c>
      <c r="P59" s="877" t="s">
        <v>220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3">AF59</f>
        <v>1</v>
      </c>
      <c r="Z59" t="str">
        <f t="shared" ref="Z59:AA65" si="14">IF(K59=""," ",VLOOKUP(K59,$T$9:$V$54,3,FALSE))</f>
        <v>Brazilië</v>
      </c>
      <c r="AA59" t="str">
        <f t="shared" si="14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1</v>
      </c>
      <c r="AG59" s="108">
        <f t="shared" ref="AG59:AG66" si="16">IF(AC59="",0,(IF(G59=AC59,1,0)))</f>
        <v>0</v>
      </c>
      <c r="AH59" s="108">
        <f t="shared" ref="AH59:AH66" si="17">IF(AD59="",0,(IF(I59=AD59,1,0)))</f>
        <v>1</v>
      </c>
      <c r="AI59" s="108">
        <f t="shared" ref="AI59:AI66" si="18">IF(AND(AG59=1,AH59=1),10,0)</f>
        <v>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252">
        <v>50</v>
      </c>
      <c r="C60" s="343">
        <v>41818</v>
      </c>
      <c r="D60" s="337" t="str">
        <f t="shared" ref="D60:D66" si="23">IF(ISERROR(Z60),K60,Z60)</f>
        <v>Colombia</v>
      </c>
      <c r="E60" s="255" t="s">
        <v>9</v>
      </c>
      <c r="F60" s="285" t="str">
        <f t="shared" ref="F60:F66" si="24">IF(ISERROR(AA60),L60,AA60)</f>
        <v>Engeland</v>
      </c>
      <c r="G60" s="313">
        <v>2</v>
      </c>
      <c r="H60" s="255" t="s">
        <v>9</v>
      </c>
      <c r="I60" s="325">
        <v>1</v>
      </c>
      <c r="J60" s="326">
        <v>1</v>
      </c>
      <c r="K60" s="283" t="s">
        <v>57</v>
      </c>
      <c r="L60" s="283" t="s">
        <v>63</v>
      </c>
      <c r="M60" s="283">
        <v>2</v>
      </c>
      <c r="N60" s="228"/>
      <c r="O60" s="334">
        <v>3</v>
      </c>
      <c r="P60" s="877" t="s">
        <v>212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3"/>
        <v>6</v>
      </c>
      <c r="Z60" t="str">
        <f t="shared" si="14"/>
        <v>Colombia</v>
      </c>
      <c r="AA60" t="str">
        <f t="shared" si="14"/>
        <v>Engeland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6</v>
      </c>
      <c r="AG60" s="108">
        <f t="shared" si="16"/>
        <v>1</v>
      </c>
      <c r="AH60" s="108">
        <f t="shared" si="17"/>
        <v>0</v>
      </c>
      <c r="AI60" s="108">
        <f t="shared" si="18"/>
        <v>0</v>
      </c>
      <c r="AJ60" s="108">
        <f t="shared" si="19"/>
        <v>5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2"/>
        <v>3</v>
      </c>
    </row>
    <row r="61" spans="2:54">
      <c r="B61" s="240">
        <v>51</v>
      </c>
      <c r="C61" s="342">
        <v>41819</v>
      </c>
      <c r="D61" s="341" t="str">
        <f t="shared" si="23"/>
        <v>Spanje</v>
      </c>
      <c r="E61" s="243" t="s">
        <v>9</v>
      </c>
      <c r="F61" s="282" t="str">
        <f t="shared" si="24"/>
        <v>Mexico</v>
      </c>
      <c r="G61" s="311">
        <v>2</v>
      </c>
      <c r="H61" s="243" t="s">
        <v>9</v>
      </c>
      <c r="I61" s="323">
        <v>0</v>
      </c>
      <c r="J61" s="324">
        <v>1</v>
      </c>
      <c r="K61" s="283" t="s">
        <v>52</v>
      </c>
      <c r="L61" s="283" t="s">
        <v>49</v>
      </c>
      <c r="M61" s="283"/>
      <c r="N61" s="228"/>
      <c r="O61" s="334">
        <v>4</v>
      </c>
      <c r="P61" s="877" t="s">
        <v>211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3"/>
        <v>6</v>
      </c>
      <c r="Z61" t="str">
        <f t="shared" si="14"/>
        <v>Spanje</v>
      </c>
      <c r="AA61" t="str">
        <f t="shared" si="14"/>
        <v>Mexico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6</v>
      </c>
      <c r="AG61" s="108">
        <f t="shared" si="16"/>
        <v>1</v>
      </c>
      <c r="AH61" s="108">
        <f t="shared" si="17"/>
        <v>0</v>
      </c>
      <c r="AI61" s="108">
        <f t="shared" si="18"/>
        <v>0</v>
      </c>
      <c r="AJ61" s="108">
        <f t="shared" si="19"/>
        <v>5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3</v>
      </c>
      <c r="BB61" s="139">
        <f t="shared" si="22"/>
        <v>3</v>
      </c>
    </row>
    <row r="62" spans="2:54">
      <c r="B62" s="252">
        <v>52</v>
      </c>
      <c r="C62" s="343">
        <v>41819</v>
      </c>
      <c r="D62" s="341" t="str">
        <f t="shared" si="23"/>
        <v>Uruguay</v>
      </c>
      <c r="E62" s="255" t="s">
        <v>9</v>
      </c>
      <c r="F62" s="285" t="str">
        <f t="shared" si="24"/>
        <v>Ivoorkust</v>
      </c>
      <c r="G62" s="313">
        <v>1</v>
      </c>
      <c r="H62" s="255" t="s">
        <v>9</v>
      </c>
      <c r="I62" s="325">
        <v>1</v>
      </c>
      <c r="J62" s="326">
        <v>1</v>
      </c>
      <c r="K62" s="283" t="s">
        <v>62</v>
      </c>
      <c r="L62" s="283" t="s">
        <v>58</v>
      </c>
      <c r="M62" s="283"/>
      <c r="N62" s="228"/>
      <c r="O62" s="334">
        <v>5</v>
      </c>
      <c r="P62" s="877" t="s">
        <v>225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3"/>
        <v>10</v>
      </c>
      <c r="Z62" t="str">
        <f t="shared" si="14"/>
        <v>Uruguay</v>
      </c>
      <c r="AA62" t="str">
        <f t="shared" si="14"/>
        <v>Ivoorkust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10</v>
      </c>
      <c r="AG62" s="108">
        <f t="shared" si="16"/>
        <v>1</v>
      </c>
      <c r="AH62" s="108">
        <f t="shared" si="17"/>
        <v>1</v>
      </c>
      <c r="AI62" s="108">
        <f t="shared" si="18"/>
        <v>10</v>
      </c>
      <c r="AJ62" s="108">
        <f t="shared" si="19"/>
        <v>0</v>
      </c>
      <c r="AK62" s="108">
        <f t="shared" si="20"/>
        <v>0</v>
      </c>
      <c r="AL62" s="108">
        <f t="shared" si="21"/>
        <v>5</v>
      </c>
      <c r="AZ62" s="138" t="str">
        <f>Uitslag!P62</f>
        <v>Bruno Martins Indi (v)</v>
      </c>
      <c r="BA62" s="140">
        <f t="shared" si="12"/>
        <v>3</v>
      </c>
      <c r="BB62" s="139">
        <f t="shared" si="22"/>
        <v>3</v>
      </c>
    </row>
    <row r="63" spans="2:54">
      <c r="B63" s="240">
        <v>53</v>
      </c>
      <c r="C63" s="342">
        <v>41820</v>
      </c>
      <c r="D63" s="336" t="str">
        <f t="shared" si="23"/>
        <v>Frankrijk</v>
      </c>
      <c r="E63" s="243" t="s">
        <v>9</v>
      </c>
      <c r="F63" s="282" t="str">
        <f t="shared" si="24"/>
        <v>Nigeria</v>
      </c>
      <c r="G63" s="311">
        <v>1</v>
      </c>
      <c r="H63" s="243" t="s">
        <v>9</v>
      </c>
      <c r="I63" s="323">
        <v>0</v>
      </c>
      <c r="J63" s="324">
        <v>1</v>
      </c>
      <c r="K63" s="283" t="s">
        <v>67</v>
      </c>
      <c r="L63" s="283" t="s">
        <v>73</v>
      </c>
      <c r="M63" s="283"/>
      <c r="N63" s="228"/>
      <c r="O63" s="334">
        <v>6</v>
      </c>
      <c r="P63" s="877" t="s">
        <v>209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3"/>
        <v>6</v>
      </c>
      <c r="Z63" t="str">
        <f t="shared" si="14"/>
        <v>Frankrijk</v>
      </c>
      <c r="AA63" t="str">
        <f t="shared" si="14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6</v>
      </c>
      <c r="AG63" s="108">
        <f t="shared" si="16"/>
        <v>0</v>
      </c>
      <c r="AH63" s="108">
        <f t="shared" si="17"/>
        <v>1</v>
      </c>
      <c r="AI63" s="108">
        <f t="shared" si="18"/>
        <v>0</v>
      </c>
      <c r="AJ63" s="108">
        <f t="shared" si="19"/>
        <v>5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3</v>
      </c>
      <c r="BB63" s="139">
        <f t="shared" si="22"/>
        <v>3</v>
      </c>
    </row>
    <row r="64" spans="2:54">
      <c r="B64" s="252">
        <v>54</v>
      </c>
      <c r="C64" s="343">
        <v>41820</v>
      </c>
      <c r="D64" s="337" t="str">
        <f t="shared" si="23"/>
        <v>Duitsland</v>
      </c>
      <c r="E64" s="255" t="s">
        <v>9</v>
      </c>
      <c r="F64" s="285" t="str">
        <f t="shared" si="24"/>
        <v>Rusland</v>
      </c>
      <c r="G64" s="313">
        <v>3</v>
      </c>
      <c r="H64" s="255" t="s">
        <v>9</v>
      </c>
      <c r="I64" s="325">
        <v>1</v>
      </c>
      <c r="J64" s="326">
        <v>1</v>
      </c>
      <c r="K64" s="283" t="s">
        <v>77</v>
      </c>
      <c r="L64" s="283" t="s">
        <v>83</v>
      </c>
      <c r="M64" s="283"/>
      <c r="N64" s="228"/>
      <c r="O64" s="334">
        <v>7</v>
      </c>
      <c r="P64" s="877" t="s">
        <v>214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3"/>
        <v>0</v>
      </c>
      <c r="Z64" t="str">
        <f t="shared" si="14"/>
        <v>Duitsland</v>
      </c>
      <c r="AA64" t="str">
        <f t="shared" si="14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0</v>
      </c>
      <c r="AG64" s="108">
        <f t="shared" si="16"/>
        <v>0</v>
      </c>
      <c r="AH64" s="108">
        <f t="shared" si="17"/>
        <v>0</v>
      </c>
      <c r="AI64" s="108">
        <f t="shared" si="18"/>
        <v>0</v>
      </c>
      <c r="AJ64" s="108">
        <f t="shared" si="19"/>
        <v>0</v>
      </c>
      <c r="AK64" s="108">
        <f t="shared" si="20"/>
        <v>0</v>
      </c>
      <c r="AL64" s="108">
        <f t="shared" si="21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2"/>
        <v>3</v>
      </c>
    </row>
    <row r="65" spans="2:54">
      <c r="B65" s="246">
        <v>55</v>
      </c>
      <c r="C65" s="344">
        <v>41821</v>
      </c>
      <c r="D65" s="336" t="str">
        <f t="shared" si="23"/>
        <v>Argentinië</v>
      </c>
      <c r="E65" s="249" t="s">
        <v>9</v>
      </c>
      <c r="F65" s="286" t="str">
        <f t="shared" si="24"/>
        <v>Ecuador</v>
      </c>
      <c r="G65" s="312">
        <v>3</v>
      </c>
      <c r="H65" s="249" t="s">
        <v>9</v>
      </c>
      <c r="I65" s="327">
        <v>0</v>
      </c>
      <c r="J65" s="328">
        <v>1</v>
      </c>
      <c r="K65" s="283" t="s">
        <v>72</v>
      </c>
      <c r="L65" s="283" t="s">
        <v>68</v>
      </c>
      <c r="M65" s="283"/>
      <c r="N65" s="228"/>
      <c r="O65" s="334">
        <v>8</v>
      </c>
      <c r="P65" s="877" t="s">
        <v>213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3"/>
        <v>1</v>
      </c>
      <c r="Z65" t="str">
        <f t="shared" si="14"/>
        <v>Argentinië</v>
      </c>
      <c r="AA65" t="str">
        <f t="shared" si="14"/>
        <v>Ecuador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1</v>
      </c>
      <c r="AG65" s="108">
        <f t="shared" si="16"/>
        <v>0</v>
      </c>
      <c r="AH65" s="108">
        <f t="shared" si="17"/>
        <v>1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2"/>
        <v>3</v>
      </c>
    </row>
    <row r="66" spans="2:54" ht="15.75" thickBot="1">
      <c r="B66" s="261">
        <v>56</v>
      </c>
      <c r="C66" s="339">
        <v>41821</v>
      </c>
      <c r="D66" s="338" t="str">
        <f t="shared" si="23"/>
        <v>België</v>
      </c>
      <c r="E66" s="264" t="s">
        <v>9</v>
      </c>
      <c r="F66" s="288" t="str">
        <f t="shared" si="24"/>
        <v>Portugal</v>
      </c>
      <c r="G66" s="314">
        <v>1</v>
      </c>
      <c r="H66" s="264" t="s">
        <v>9</v>
      </c>
      <c r="I66" s="329">
        <v>2</v>
      </c>
      <c r="J66" s="330">
        <v>2</v>
      </c>
      <c r="K66" s="283" t="s">
        <v>82</v>
      </c>
      <c r="L66" s="283" t="s">
        <v>78</v>
      </c>
      <c r="M66" s="283"/>
      <c r="N66" s="228"/>
      <c r="O66" s="334">
        <v>9</v>
      </c>
      <c r="P66" s="877" t="s">
        <v>221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3"/>
        <v>0</v>
      </c>
      <c r="Z66" t="str">
        <f>IF(K66=""," ",VLOOKUP(K66,$T$9:$V$54,3,FALSE))</f>
        <v>België</v>
      </c>
      <c r="AA66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0</v>
      </c>
      <c r="AG66" s="108">
        <f t="shared" si="16"/>
        <v>0</v>
      </c>
      <c r="AH66" s="108">
        <f t="shared" si="17"/>
        <v>0</v>
      </c>
      <c r="AI66" s="108">
        <f t="shared" si="18"/>
        <v>0</v>
      </c>
      <c r="AJ66" s="108">
        <f t="shared" si="19"/>
        <v>0</v>
      </c>
      <c r="AK66" s="108">
        <f t="shared" si="20"/>
        <v>0</v>
      </c>
      <c r="AL66" s="108">
        <f t="shared" si="21"/>
        <v>0</v>
      </c>
      <c r="AZ66" s="138" t="str">
        <f>Uitslag!P66</f>
        <v>Jonathan de Guzman (m)</v>
      </c>
      <c r="BA66" s="140">
        <f t="shared" si="12"/>
        <v>0</v>
      </c>
      <c r="BB66" s="139">
        <f t="shared" si="22"/>
        <v>0</v>
      </c>
    </row>
    <row r="67" spans="2:54" ht="15.75" thickBot="1">
      <c r="B67" s="229"/>
      <c r="C67" s="267"/>
      <c r="D67" s="268"/>
      <c r="E67" s="229"/>
      <c r="F67" s="268"/>
      <c r="G67" s="229"/>
      <c r="H67" s="229"/>
      <c r="I67" s="229"/>
      <c r="J67" s="229"/>
      <c r="K67" s="229"/>
      <c r="L67" s="229"/>
      <c r="M67" s="229"/>
      <c r="N67" s="228"/>
      <c r="O67" s="334">
        <v>10</v>
      </c>
      <c r="P67" s="877" t="s">
        <v>215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2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348"/>
      <c r="K68" s="229"/>
      <c r="L68" s="229"/>
      <c r="M68" s="229"/>
      <c r="N68" s="228"/>
      <c r="O68" s="334">
        <v>11</v>
      </c>
      <c r="P68" s="877" t="s">
        <v>216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2"/>
        <v>3</v>
      </c>
    </row>
    <row r="69" spans="2:54">
      <c r="B69" s="304" t="s">
        <v>1</v>
      </c>
      <c r="C69" s="305" t="s">
        <v>2</v>
      </c>
      <c r="D69" s="345" t="s">
        <v>3</v>
      </c>
      <c r="E69" s="307"/>
      <c r="F69" s="346" t="s">
        <v>4</v>
      </c>
      <c r="G69" s="867" t="s">
        <v>5</v>
      </c>
      <c r="H69" s="868"/>
      <c r="I69" s="869"/>
      <c r="J69" s="309" t="s">
        <v>6</v>
      </c>
      <c r="K69" s="229"/>
      <c r="L69" s="229"/>
      <c r="M69" s="229"/>
      <c r="N69" s="228"/>
      <c r="O69" s="228"/>
      <c r="P69" s="228"/>
      <c r="Q69" s="228"/>
      <c r="R69" s="228"/>
      <c r="S69" s="228"/>
      <c r="T69" s="228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30</v>
      </c>
      <c r="BB69" s="139" t="str">
        <f>IF(AND(BA69&lt;&gt;"",BA69=33),15,"nvt")</f>
        <v>nvt</v>
      </c>
    </row>
    <row r="70" spans="2:54">
      <c r="B70" s="240">
        <v>57</v>
      </c>
      <c r="C70" s="241">
        <v>41824</v>
      </c>
      <c r="D70" s="281" t="str">
        <f>IF(J63="","Winnaar 53",IF(J63=1,D63,F63))</f>
        <v>Frankrijk</v>
      </c>
      <c r="E70" s="243" t="s">
        <v>9</v>
      </c>
      <c r="F70" s="282" t="str">
        <f>IF(J64="","Winnaar 54",IF(J64=1,D64,F64))</f>
        <v>Duitsland</v>
      </c>
      <c r="G70" s="311">
        <v>1</v>
      </c>
      <c r="H70" s="243" t="s">
        <v>9</v>
      </c>
      <c r="I70" s="323">
        <v>1</v>
      </c>
      <c r="J70" s="324">
        <v>2</v>
      </c>
      <c r="K70" s="229"/>
      <c r="L70" s="229"/>
      <c r="M70" s="229"/>
      <c r="N70" s="228"/>
      <c r="O70" s="228"/>
      <c r="P70" s="228"/>
      <c r="Q70" s="228"/>
      <c r="R70" s="228"/>
      <c r="S70" s="228"/>
      <c r="T70" s="228"/>
      <c r="V70" t="s">
        <v>133</v>
      </c>
      <c r="W70" t="s">
        <v>126</v>
      </c>
      <c r="X70" t="str">
        <f t="shared" si="11"/>
        <v>Karim Rekik (v)</v>
      </c>
      <c r="Y70" s="109">
        <f>AF70</f>
        <v>1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1</v>
      </c>
      <c r="AG70" s="108">
        <f>IF(AC70="",0,(IF(G70=AC70,1,0)))</f>
        <v>0</v>
      </c>
      <c r="AH70" s="108">
        <f>IF(AD70="",0,(IF(I70=AD70,1,0)))</f>
        <v>1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0</v>
      </c>
      <c r="AL70" s="108">
        <f>IF(AND(G70=I70,AC70=AD70),5,0)</f>
        <v>0</v>
      </c>
    </row>
    <row r="71" spans="2:54">
      <c r="B71" s="252">
        <v>58</v>
      </c>
      <c r="C71" s="253">
        <v>41824</v>
      </c>
      <c r="D71" s="284" t="str">
        <f>IF(J59="","Winnaar 49",IF(J59=1,D59,F59))</f>
        <v>Brazilië</v>
      </c>
      <c r="E71" s="255" t="s">
        <v>9</v>
      </c>
      <c r="F71" s="285" t="str">
        <f>IF(J60="","Winnaar 50",IF(J60=1,D60,F60))</f>
        <v>Colombia</v>
      </c>
      <c r="G71" s="313">
        <v>2</v>
      </c>
      <c r="H71" s="255" t="s">
        <v>9</v>
      </c>
      <c r="I71" s="325">
        <v>1</v>
      </c>
      <c r="J71" s="326">
        <v>1</v>
      </c>
      <c r="K71" s="229"/>
      <c r="L71" s="229"/>
      <c r="M71" s="229"/>
      <c r="N71" s="228"/>
      <c r="O71" s="228"/>
      <c r="P71" s="228"/>
      <c r="Q71" s="228"/>
      <c r="R71" s="228"/>
      <c r="S71" s="228"/>
      <c r="T71" s="228"/>
      <c r="V71" t="s">
        <v>133</v>
      </c>
      <c r="W71" t="s">
        <v>194</v>
      </c>
      <c r="X71" t="str">
        <f t="shared" si="11"/>
        <v>Ron Vlaar (v)</v>
      </c>
      <c r="Y71" s="109">
        <f>AF71</f>
        <v>10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10</v>
      </c>
      <c r="AG71" s="108">
        <f>IF(AC71="",0,(IF(G71=AC71,1,0)))</f>
        <v>1</v>
      </c>
      <c r="AH71" s="108">
        <f>IF(AD71="",0,(IF(I71=AD71,1,0)))</f>
        <v>1</v>
      </c>
      <c r="AI71" s="108">
        <f>IF(AND(AG71=1,AH71=1),10,0)</f>
        <v>10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240">
        <v>59</v>
      </c>
      <c r="C72" s="241">
        <v>41825</v>
      </c>
      <c r="D72" s="281" t="str">
        <f>IF(J65="","Winnaar 55",IF(J65=1,D65,F65))</f>
        <v>Argentinië</v>
      </c>
      <c r="E72" s="243" t="s">
        <v>9</v>
      </c>
      <c r="F72" s="282" t="str">
        <f>IF(J66="","Winnaar 56",IF(J66=1,D66,F66))</f>
        <v>Portugal</v>
      </c>
      <c r="G72" s="311">
        <v>2</v>
      </c>
      <c r="H72" s="243" t="s">
        <v>9</v>
      </c>
      <c r="I72" s="323">
        <v>2</v>
      </c>
      <c r="J72" s="324">
        <v>1</v>
      </c>
      <c r="K72" s="229"/>
      <c r="L72" s="229"/>
      <c r="M72" s="229"/>
      <c r="N72" s="228"/>
      <c r="O72" s="228"/>
      <c r="P72" s="228"/>
      <c r="Q72" s="228"/>
      <c r="R72" s="228"/>
      <c r="S72" s="228"/>
      <c r="T72" s="228"/>
      <c r="V72" t="s">
        <v>133</v>
      </c>
      <c r="W72" t="s">
        <v>195</v>
      </c>
      <c r="X72" t="str">
        <f t="shared" si="11"/>
        <v>John Heitinga (v)</v>
      </c>
      <c r="Y72" s="109">
        <f>AF72</f>
        <v>0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0</v>
      </c>
      <c r="AG72" s="108">
        <f>IF(AC72="",0,(IF(G72=AC72,1,0)))</f>
        <v>0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0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261">
        <v>60</v>
      </c>
      <c r="C73" s="262">
        <v>41825</v>
      </c>
      <c r="D73" s="287" t="str">
        <f>IF(J61="","Winnaar 51",IF(J61=1,D61,F61))</f>
        <v>Spanje</v>
      </c>
      <c r="E73" s="264" t="s">
        <v>9</v>
      </c>
      <c r="F73" s="288" t="str">
        <f>IF(J62="","Winnaar 52",IF(J62=1,D62,F62))</f>
        <v>Uruguay</v>
      </c>
      <c r="G73" s="314">
        <v>1</v>
      </c>
      <c r="H73" s="264" t="s">
        <v>9</v>
      </c>
      <c r="I73" s="329">
        <v>0</v>
      </c>
      <c r="J73" s="330">
        <v>1</v>
      </c>
      <c r="K73" s="229"/>
      <c r="L73" s="229"/>
      <c r="M73" s="229"/>
      <c r="N73" s="228"/>
      <c r="O73" s="228"/>
      <c r="P73" s="228"/>
      <c r="Q73" s="228"/>
      <c r="R73" s="228"/>
      <c r="S73" s="228"/>
      <c r="T73" s="228"/>
      <c r="V73" t="s">
        <v>133</v>
      </c>
      <c r="W73" t="s">
        <v>196</v>
      </c>
      <c r="X73" t="str">
        <f t="shared" si="11"/>
        <v>Urby Emanuelson (v)</v>
      </c>
      <c r="Y73" s="109">
        <f>AF73</f>
        <v>1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1</v>
      </c>
      <c r="AG73" s="108">
        <f>IF(AC73="",0,(IF(G73=AC73,1,0)))</f>
        <v>0</v>
      </c>
      <c r="AH73" s="108">
        <f>IF(AD73="",0,(IF(I73=AD73,1,0)))</f>
        <v>1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229"/>
      <c r="C74" s="267"/>
      <c r="D74" s="268"/>
      <c r="E74" s="229"/>
      <c r="F74" s="268"/>
      <c r="G74" s="229"/>
      <c r="H74" s="229"/>
      <c r="I74" s="229"/>
      <c r="J74" s="229"/>
      <c r="K74" s="229"/>
      <c r="L74" s="229"/>
      <c r="M74" s="229"/>
      <c r="N74" s="228"/>
      <c r="O74" s="228"/>
      <c r="P74" s="228"/>
      <c r="Q74" s="228"/>
      <c r="R74" s="228"/>
      <c r="S74" s="228"/>
      <c r="T74" s="228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348"/>
      <c r="K75" s="229"/>
      <c r="L75" s="229"/>
      <c r="M75" s="229"/>
      <c r="N75" s="228"/>
      <c r="O75" s="228"/>
      <c r="P75" s="228"/>
      <c r="Q75" s="228"/>
      <c r="R75" s="228"/>
      <c r="S75" s="228"/>
      <c r="T75" s="228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304" t="s">
        <v>1</v>
      </c>
      <c r="C76" s="305" t="s">
        <v>2</v>
      </c>
      <c r="D76" s="345" t="s">
        <v>3</v>
      </c>
      <c r="E76" s="307"/>
      <c r="F76" s="346" t="s">
        <v>4</v>
      </c>
      <c r="G76" s="867" t="s">
        <v>5</v>
      </c>
      <c r="H76" s="868"/>
      <c r="I76" s="869"/>
      <c r="J76" s="309" t="s">
        <v>6</v>
      </c>
      <c r="K76" s="229"/>
      <c r="L76" s="229"/>
      <c r="M76" s="229"/>
      <c r="N76" s="228"/>
      <c r="O76" s="228"/>
      <c r="P76" s="228"/>
      <c r="Q76" s="228"/>
      <c r="R76" s="228"/>
      <c r="S76" s="228"/>
      <c r="T76" s="228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240">
        <v>61</v>
      </c>
      <c r="C77" s="241">
        <v>41828</v>
      </c>
      <c r="D77" s="281" t="str">
        <f>IF(J70="","Winnaar 57",IF(J70=1,D70,F70))</f>
        <v>Duitsland</v>
      </c>
      <c r="E77" s="243" t="s">
        <v>9</v>
      </c>
      <c r="F77" s="282" t="str">
        <f>IF(J71="","Winnaar 58",IF(J71=1,D71,F71))</f>
        <v>Brazilië</v>
      </c>
      <c r="G77" s="311">
        <v>1</v>
      </c>
      <c r="H77" s="243" t="s">
        <v>9</v>
      </c>
      <c r="I77" s="323">
        <v>2</v>
      </c>
      <c r="J77" s="324">
        <v>2</v>
      </c>
      <c r="K77" s="229"/>
      <c r="L77" s="229"/>
      <c r="M77" s="229"/>
      <c r="N77" s="228"/>
      <c r="O77" s="228"/>
      <c r="P77" s="228"/>
      <c r="Q77" s="228"/>
      <c r="R77" s="228"/>
      <c r="S77" s="228"/>
      <c r="T77" s="228"/>
      <c r="V77" t="s">
        <v>134</v>
      </c>
      <c r="W77" t="s">
        <v>203</v>
      </c>
      <c r="X77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261">
        <v>62</v>
      </c>
      <c r="C78" s="262">
        <v>41829</v>
      </c>
      <c r="D78" s="287" t="str">
        <f>IF(J72="","Winnaar 59",IF(J72=1,D72,F72))</f>
        <v>Argentinië</v>
      </c>
      <c r="E78" s="264" t="s">
        <v>9</v>
      </c>
      <c r="F78" s="288" t="str">
        <f>IF(J73="","Winnaar 60",IF(J73=1,D73,F73))</f>
        <v>Spanje</v>
      </c>
      <c r="G78" s="314">
        <v>2</v>
      </c>
      <c r="H78" s="264" t="s">
        <v>9</v>
      </c>
      <c r="I78" s="329">
        <v>1</v>
      </c>
      <c r="J78" s="330">
        <v>1</v>
      </c>
      <c r="K78" s="229"/>
      <c r="L78" s="229"/>
      <c r="M78" s="229"/>
      <c r="N78" s="228"/>
      <c r="O78" s="228"/>
      <c r="P78" s="228"/>
      <c r="Q78" s="228"/>
      <c r="R78" s="228"/>
      <c r="S78" s="228"/>
      <c r="T78" s="228"/>
      <c r="V78" t="s">
        <v>134</v>
      </c>
      <c r="W78" t="s">
        <v>199</v>
      </c>
      <c r="X78" t="str">
        <f t="shared" si="11"/>
        <v>Leroy Fer (m)</v>
      </c>
      <c r="Y78" s="109">
        <f>AF78</f>
        <v>0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0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229"/>
      <c r="C79" s="267"/>
      <c r="D79" s="268"/>
      <c r="E79" s="229"/>
      <c r="F79" s="268"/>
      <c r="G79" s="229"/>
      <c r="H79" s="229"/>
      <c r="I79" s="229"/>
      <c r="J79" s="229"/>
      <c r="K79" s="229"/>
      <c r="L79" s="229"/>
      <c r="M79" s="229"/>
      <c r="N79" s="228"/>
      <c r="O79" s="228"/>
      <c r="P79" s="228"/>
      <c r="Q79" s="228"/>
      <c r="R79" s="228"/>
      <c r="S79" s="228"/>
      <c r="T79" s="228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348"/>
      <c r="K80" s="229"/>
      <c r="L80" s="229"/>
      <c r="M80" s="229"/>
      <c r="N80" s="228"/>
      <c r="O80" s="228"/>
      <c r="P80" s="228"/>
      <c r="Q80" s="228"/>
      <c r="R80" s="228"/>
      <c r="S80" s="228"/>
      <c r="T80" s="228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304" t="s">
        <v>1</v>
      </c>
      <c r="C81" s="305" t="s">
        <v>2</v>
      </c>
      <c r="D81" s="345" t="s">
        <v>3</v>
      </c>
      <c r="E81" s="307"/>
      <c r="F81" s="346" t="s">
        <v>4</v>
      </c>
      <c r="G81" s="867" t="s">
        <v>5</v>
      </c>
      <c r="H81" s="868"/>
      <c r="I81" s="869"/>
      <c r="J81" s="309" t="s">
        <v>6</v>
      </c>
      <c r="K81" s="229"/>
      <c r="L81" s="229"/>
      <c r="M81" s="229"/>
      <c r="N81" s="228"/>
      <c r="O81" s="228"/>
      <c r="P81" s="228"/>
      <c r="Q81" s="228"/>
      <c r="R81" s="228"/>
      <c r="S81" s="228"/>
      <c r="T81" s="228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230">
        <v>63</v>
      </c>
      <c r="C82" s="289">
        <v>41832</v>
      </c>
      <c r="D82" s="290" t="str">
        <f>IF(J77="","Verliezer 61",IF(J77=1,F77,D77))</f>
        <v>Duitsland</v>
      </c>
      <c r="E82" s="231" t="s">
        <v>9</v>
      </c>
      <c r="F82" s="291" t="str">
        <f>IF(J78="","Verliezer 62",IF(J78=1,F78,D78))</f>
        <v>Spanje</v>
      </c>
      <c r="G82" s="331">
        <v>2</v>
      </c>
      <c r="H82" s="231" t="s">
        <v>9</v>
      </c>
      <c r="I82" s="332">
        <v>1</v>
      </c>
      <c r="J82" s="333">
        <v>1</v>
      </c>
      <c r="K82" s="229"/>
      <c r="L82" s="229"/>
      <c r="M82" s="229"/>
      <c r="N82" s="228"/>
      <c r="O82" s="228"/>
      <c r="P82" s="228"/>
      <c r="Q82" s="228"/>
      <c r="R82" s="228"/>
      <c r="S82" s="228"/>
      <c r="T82" s="228"/>
      <c r="V82" t="s">
        <v>134</v>
      </c>
      <c r="W82" t="s">
        <v>125</v>
      </c>
      <c r="X8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229"/>
      <c r="C83" s="267"/>
      <c r="D83" s="268"/>
      <c r="E83" s="229"/>
      <c r="F83" s="268"/>
      <c r="G83" s="229"/>
      <c r="H83" s="229"/>
      <c r="I83" s="229"/>
      <c r="J83" s="229"/>
      <c r="K83" s="229"/>
      <c r="L83" s="229"/>
      <c r="M83" s="229"/>
      <c r="N83" s="228"/>
      <c r="O83" s="228"/>
      <c r="P83" s="228"/>
      <c r="Q83" s="228"/>
      <c r="R83" s="228"/>
      <c r="S83" s="228"/>
      <c r="T83" s="228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348"/>
      <c r="K84" s="229"/>
      <c r="L84" s="229"/>
      <c r="M84" s="229"/>
      <c r="N84" s="228"/>
      <c r="O84" s="228"/>
      <c r="P84" s="228"/>
      <c r="Q84" s="228"/>
      <c r="R84" s="228"/>
      <c r="S84" s="228"/>
      <c r="T84" s="228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304" t="s">
        <v>1</v>
      </c>
      <c r="C85" s="305" t="s">
        <v>2</v>
      </c>
      <c r="D85" s="345" t="s">
        <v>3</v>
      </c>
      <c r="E85" s="307"/>
      <c r="F85" s="346" t="s">
        <v>4</v>
      </c>
      <c r="G85" s="867" t="s">
        <v>5</v>
      </c>
      <c r="H85" s="868"/>
      <c r="I85" s="869"/>
      <c r="J85" s="309" t="s">
        <v>6</v>
      </c>
      <c r="K85" s="229"/>
      <c r="L85" s="229"/>
      <c r="M85" s="229"/>
      <c r="N85" s="228"/>
      <c r="O85" s="228"/>
      <c r="P85" s="228"/>
      <c r="Q85" s="228"/>
      <c r="R85" s="228"/>
      <c r="S85" s="228"/>
      <c r="T85" s="228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230">
        <v>64</v>
      </c>
      <c r="C86" s="289">
        <v>41833</v>
      </c>
      <c r="D86" s="290" t="str">
        <f>IF(J77="","Winnaar 61",IF(J77=1,D77,F77))</f>
        <v>Brazilië</v>
      </c>
      <c r="E86" s="231" t="s">
        <v>9</v>
      </c>
      <c r="F86" s="291" t="str">
        <f>IF(J78="","Winnaar 62",IF(J78=1,D78,F78))</f>
        <v>Argentinië</v>
      </c>
      <c r="G86" s="331">
        <v>1</v>
      </c>
      <c r="H86" s="231" t="s">
        <v>9</v>
      </c>
      <c r="I86" s="332">
        <v>2</v>
      </c>
      <c r="J86" s="333">
        <v>2</v>
      </c>
      <c r="K86" s="229"/>
      <c r="L86" s="229"/>
      <c r="M86" s="229"/>
      <c r="N86" s="228"/>
      <c r="O86" s="228"/>
      <c r="P86" s="228"/>
      <c r="Q86" s="228"/>
      <c r="R86" s="228"/>
      <c r="S86" s="228"/>
      <c r="T86" s="228"/>
      <c r="V86" t="s">
        <v>134</v>
      </c>
      <c r="W86" t="s">
        <v>139</v>
      </c>
      <c r="X86" t="str">
        <f t="shared" si="11"/>
        <v>Nigel de Jong (m)</v>
      </c>
      <c r="Y86" s="109">
        <f>AF86</f>
        <v>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0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Argentinië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15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15</v>
      </c>
      <c r="AV89">
        <f>IF(AR89=0,0,IF(E89=AR89,50,0))</f>
        <v>0</v>
      </c>
      <c r="AW89">
        <f>IF(E89=0,0,IF(OR(E89=AR90),15,0))</f>
        <v>15</v>
      </c>
      <c r="AX89">
        <f>IF(E89=0,0,IF(OR(E89=AR91,E89=AR92),5,0))</f>
        <v>0</v>
      </c>
    </row>
    <row r="90" spans="2:50">
      <c r="C90" s="870">
        <v>2</v>
      </c>
      <c r="D90" s="871"/>
      <c r="E90" s="872" t="str">
        <f>IF(J86=2,D86,IF(J86=1,F86,"Wie wordt 2de?"))</f>
        <v>Brazilië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5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5</v>
      </c>
      <c r="AV90">
        <f>IF(AR90=0,0,IF(AR90=E90,25,0))</f>
        <v>0</v>
      </c>
      <c r="AW90">
        <f>IF(E90=0,0,IF(OR(E90=AR89,),15,0))</f>
        <v>0</v>
      </c>
      <c r="AX90">
        <f>IF(E90=0,0,IF(OR(E90=AR91,E90=AR92),5,0))</f>
        <v>5</v>
      </c>
    </row>
    <row r="91" spans="2:50">
      <c r="C91" s="870">
        <v>3</v>
      </c>
      <c r="D91" s="871"/>
      <c r="E91" s="872" t="str">
        <f>IF(J82=1,D82,IF(J82=2,F82,"Wie wordt 3de?"))</f>
        <v>Duitsland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5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5</v>
      </c>
      <c r="AV91">
        <f>IF(AR91=0,0,IF(AR91=E91,15,0))</f>
        <v>0</v>
      </c>
      <c r="AW91">
        <f>IF(E91=0,0,IF(OR(E91=AR92),10,0))</f>
        <v>0</v>
      </c>
      <c r="AX91">
        <f>IF(E91=0,0,IF(OR(E91=AR89,E91=AR90),5,0))</f>
        <v>5</v>
      </c>
    </row>
    <row r="92" spans="2:50">
      <c r="C92" s="870">
        <v>4</v>
      </c>
      <c r="D92" s="871"/>
      <c r="E92" s="872" t="str">
        <f>IF(J82=2,D82,IF(J82=1,F82,"Wie wordt 4de?"))</f>
        <v>Spanje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0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0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25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conditionalFormatting sqref="AO9:AO12 AO15:AO18 AO21:AO24 AO27:AO30 AO33:AO36 AO39:AO42 AO45:AO48 AO51:AO54">
    <cfRule type="cellIs" dxfId="170" priority="3" operator="equal">
      <formula>10</formula>
    </cfRule>
  </conditionalFormatting>
  <conditionalFormatting sqref="P58:T58">
    <cfRule type="duplicateValues" dxfId="169" priority="2"/>
  </conditionalFormatting>
  <conditionalFormatting sqref="P58:T68">
    <cfRule type="duplicateValues" dxfId="168" priority="1"/>
  </conditionalFormatting>
  <dataValidations count="10">
    <dataValidation type="list" allowBlank="1" showInputMessage="1" showErrorMessage="1" sqref="P58:P68">
      <formula1>$X$58:$X$98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51:T54">
      <formula1>$W$51:$W$54</formula1>
    </dataValidation>
  </dataValidation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B1:BB98"/>
  <sheetViews>
    <sheetView topLeftCell="A43" zoomScale="70" zoomScaleNormal="70" workbookViewId="0">
      <selection activeCell="P58" sqref="P58:T68"/>
    </sheetView>
  </sheetViews>
  <sheetFormatPr defaultRowHeight="15" outlineLevelCol="2"/>
  <cols>
    <col min="1" max="1" width="3.42578125" customWidth="1"/>
    <col min="2" max="2" width="3.5703125" bestFit="1" customWidth="1"/>
    <col min="3" max="3" width="11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265</v>
      </c>
      <c r="E3" s="145"/>
      <c r="F3" s="145"/>
      <c r="N3" t="str">
        <f>D3</f>
        <v>Leo N.</v>
      </c>
      <c r="O3" s="144">
        <f>SUM(P3:S3)</f>
        <v>427</v>
      </c>
      <c r="P3" s="109">
        <f>SUM(Y8:Y86)</f>
        <v>200</v>
      </c>
      <c r="Q3" s="109">
        <f>SUM(AM4:AM55)</f>
        <v>180</v>
      </c>
      <c r="R3" s="109">
        <f>SUM(AP89:AP92)</f>
        <v>20</v>
      </c>
      <c r="S3" s="109">
        <f>SUM(BB58:BB69)</f>
        <v>27</v>
      </c>
      <c r="T3" s="109">
        <f>COUNTIF(AF8:AF86,10)</f>
        <v>3</v>
      </c>
      <c r="U3" s="109" t="str">
        <f>E89</f>
        <v>Brazilië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229"/>
      <c r="L6" s="229"/>
      <c r="M6" s="228"/>
      <c r="N6" s="228"/>
      <c r="O6" s="268"/>
      <c r="P6" s="269"/>
      <c r="Q6" s="269"/>
      <c r="R6" s="269"/>
      <c r="S6" s="269"/>
      <c r="T6" s="269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292" t="s">
        <v>1</v>
      </c>
      <c r="C7" s="293" t="s">
        <v>2</v>
      </c>
      <c r="D7" s="349" t="s">
        <v>3</v>
      </c>
      <c r="E7" s="295"/>
      <c r="F7" s="350" t="s">
        <v>4</v>
      </c>
      <c r="G7" s="880" t="s">
        <v>5</v>
      </c>
      <c r="H7" s="881"/>
      <c r="I7" s="882"/>
      <c r="J7" s="297" t="s">
        <v>6</v>
      </c>
      <c r="K7" s="232" t="s">
        <v>7</v>
      </c>
      <c r="L7" s="232" t="s">
        <v>7</v>
      </c>
      <c r="M7" s="228"/>
      <c r="N7" s="228"/>
      <c r="O7" s="229"/>
      <c r="P7" s="269"/>
      <c r="Q7" s="269"/>
      <c r="R7" s="269"/>
      <c r="S7" s="269"/>
      <c r="T7" s="269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233">
        <v>1</v>
      </c>
      <c r="C8" s="234">
        <v>41802</v>
      </c>
      <c r="D8" s="235" t="s">
        <v>8</v>
      </c>
      <c r="E8" s="236" t="s">
        <v>9</v>
      </c>
      <c r="F8" s="237" t="s">
        <v>10</v>
      </c>
      <c r="G8" s="310">
        <v>2</v>
      </c>
      <c r="H8" s="236" t="s">
        <v>9</v>
      </c>
      <c r="I8" s="347">
        <v>0</v>
      </c>
      <c r="J8" s="238">
        <f>IF(I8="","",IF(G8&gt;I8,1,IF(G8&lt;I8,2,3)))</f>
        <v>1</v>
      </c>
      <c r="K8" s="239">
        <f>IF(I8="","",IF($G8&gt;$I8,3,IF($G8=$I8,1,0)))</f>
        <v>3</v>
      </c>
      <c r="L8" s="239">
        <f>IF(I8="","",IF($G8&lt;$I8,3,IF($G8=$I8,1,0)))</f>
        <v>0</v>
      </c>
      <c r="M8" s="228"/>
      <c r="N8" s="228"/>
      <c r="O8" s="298" t="s">
        <v>41</v>
      </c>
      <c r="P8" s="299" t="s">
        <v>42</v>
      </c>
      <c r="Q8" s="299" t="s">
        <v>43</v>
      </c>
      <c r="R8" s="300" t="s">
        <v>44</v>
      </c>
      <c r="S8" s="301" t="s">
        <v>45</v>
      </c>
      <c r="T8" s="302" t="s">
        <v>46</v>
      </c>
      <c r="U8" s="40"/>
      <c r="V8" s="40"/>
      <c r="W8" s="40"/>
      <c r="Y8" s="109">
        <f>AF8</f>
        <v>5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5</v>
      </c>
      <c r="AG8" s="108">
        <f t="shared" ref="AG8:AG55" si="0">IF(AC8="",0,(IF(G8=AC8,1,0)))</f>
        <v>0</v>
      </c>
      <c r="AH8" s="108">
        <f t="shared" ref="AH8:AH55" si="1">IF(AD8="",0,(IF(I8=AD8,1,0)))</f>
        <v>0</v>
      </c>
      <c r="AI8" s="108">
        <f>IF(AND(AG8=1,AH8=1),10,0)</f>
        <v>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240">
        <v>2</v>
      </c>
      <c r="C9" s="241">
        <v>41803</v>
      </c>
      <c r="D9" s="242" t="s">
        <v>11</v>
      </c>
      <c r="E9" s="243" t="s">
        <v>9</v>
      </c>
      <c r="F9" s="244" t="s">
        <v>12</v>
      </c>
      <c r="G9" s="311">
        <v>1</v>
      </c>
      <c r="H9" s="243" t="s">
        <v>9</v>
      </c>
      <c r="I9" s="316">
        <v>1</v>
      </c>
      <c r="J9" s="245">
        <f t="shared" ref="J9:J55" si="5">IF(I9="","",IF(G9&gt;I9,1,IF(G9&lt;I9,2,3)))</f>
        <v>3</v>
      </c>
      <c r="K9" s="239">
        <f t="shared" ref="K9:K55" si="6">IF(I9="","",IF($G9&gt;$I9,3,IF($G9=$I9,1,0)))</f>
        <v>1</v>
      </c>
      <c r="L9" s="239">
        <f t="shared" ref="L9:L55" si="7">IF(I9="","",IF($G9&lt;$I9,3,IF($G9=$I9,1,0)))</f>
        <v>1</v>
      </c>
      <c r="M9" s="228"/>
      <c r="N9" s="228"/>
      <c r="O9" s="270" t="s">
        <v>8</v>
      </c>
      <c r="P9" s="271">
        <f>SUMIF($D$8:$D$55,$O9,$G$8:$G$55)+SUMIF($F$8:$F$55,$O9,$I$8:$I$55)</f>
        <v>8</v>
      </c>
      <c r="Q9" s="271">
        <f>SUMIF($D$8:$D$55,$O9,$I$8:$I$55)+SUMIF($F$8:$F$55,$O9,$G$8:$G$55)</f>
        <v>1</v>
      </c>
      <c r="R9" s="272">
        <f>P9-Q9</f>
        <v>7</v>
      </c>
      <c r="S9" s="273">
        <f>SUMIF($D$8:$D$55,$O9,$K$8:$K$55)+SUMIF($F$8:$F$55,$O9,$L$8:$L$55)</f>
        <v>9</v>
      </c>
      <c r="T9" s="320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1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1</v>
      </c>
      <c r="AG9" s="108">
        <f t="shared" si="0"/>
        <v>1</v>
      </c>
      <c r="AH9" s="108">
        <f t="shared" si="1"/>
        <v>0</v>
      </c>
      <c r="AI9" s="108">
        <f t="shared" ref="AI9:AI55" si="10">IF(AND(AG9=1,AH9=1),10,0)</f>
        <v>0</v>
      </c>
      <c r="AJ9" s="108">
        <f t="shared" si="2"/>
        <v>0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246">
        <v>3</v>
      </c>
      <c r="C10" s="247">
        <v>41803</v>
      </c>
      <c r="D10" s="248" t="s">
        <v>13</v>
      </c>
      <c r="E10" s="249" t="s">
        <v>9</v>
      </c>
      <c r="F10" s="250" t="s">
        <v>14</v>
      </c>
      <c r="G10" s="312">
        <v>1</v>
      </c>
      <c r="H10" s="249" t="s">
        <v>9</v>
      </c>
      <c r="I10" s="317">
        <v>1</v>
      </c>
      <c r="J10" s="251">
        <f t="shared" si="5"/>
        <v>3</v>
      </c>
      <c r="K10" s="239">
        <f t="shared" si="6"/>
        <v>1</v>
      </c>
      <c r="L10" s="239">
        <f t="shared" si="7"/>
        <v>1</v>
      </c>
      <c r="M10" s="228"/>
      <c r="N10" s="228"/>
      <c r="O10" s="274" t="s">
        <v>10</v>
      </c>
      <c r="P10" s="275">
        <f>SUMIF($D$8:$D$55,$O10,$G$8:$G$55)+SUMIF($F$8:$F$55,$O10,$I$8:$I$55)</f>
        <v>5</v>
      </c>
      <c r="Q10" s="275">
        <f>SUMIF($D$8:$D$55,$O10,$I$8:$I$55)+SUMIF($F$8:$F$55,$O10,$G$8:$G$55)</f>
        <v>4</v>
      </c>
      <c r="R10" s="275">
        <f>P10-Q10</f>
        <v>1</v>
      </c>
      <c r="S10" s="276">
        <f>SUMIF($D$8:$D$55,$O10,$K$8:$K$55)+SUMIF($F$8:$F$55,$O10,$L$8:$L$55)</f>
        <v>6</v>
      </c>
      <c r="T10" s="321" t="s">
        <v>49</v>
      </c>
      <c r="U10" s="40"/>
      <c r="V10" s="40" t="str">
        <f>O10</f>
        <v>Kroatië</v>
      </c>
      <c r="W10" s="40" t="s">
        <v>49</v>
      </c>
      <c r="Y10" s="109">
        <f t="shared" si="8"/>
        <v>1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1</v>
      </c>
      <c r="AG10" s="108">
        <f t="shared" si="0"/>
        <v>1</v>
      </c>
      <c r="AH10" s="108">
        <f t="shared" si="1"/>
        <v>0</v>
      </c>
      <c r="AI10" s="108">
        <f t="shared" si="10"/>
        <v>0</v>
      </c>
      <c r="AJ10" s="108">
        <f t="shared" si="2"/>
        <v>0</v>
      </c>
      <c r="AK10" s="108">
        <f t="shared" si="3"/>
        <v>0</v>
      </c>
      <c r="AL10" s="108">
        <f t="shared" si="4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252">
        <v>4</v>
      </c>
      <c r="C11" s="253">
        <v>41803</v>
      </c>
      <c r="D11" s="254" t="s">
        <v>15</v>
      </c>
      <c r="E11" s="255" t="s">
        <v>9</v>
      </c>
      <c r="F11" s="256" t="s">
        <v>16</v>
      </c>
      <c r="G11" s="313">
        <v>0</v>
      </c>
      <c r="H11" s="255" t="s">
        <v>9</v>
      </c>
      <c r="I11" s="318">
        <v>3</v>
      </c>
      <c r="J11" s="257">
        <f t="shared" si="5"/>
        <v>2</v>
      </c>
      <c r="K11" s="239">
        <f t="shared" si="6"/>
        <v>0</v>
      </c>
      <c r="L11" s="239">
        <f t="shared" si="7"/>
        <v>3</v>
      </c>
      <c r="M11" s="228"/>
      <c r="N11" s="228"/>
      <c r="O11" s="274" t="s">
        <v>11</v>
      </c>
      <c r="P11" s="275">
        <f>SUMIF($D$8:$D$55,$O11,$G$8:$G$55)+SUMIF($F$8:$F$55,$O11,$I$8:$I$55)</f>
        <v>2</v>
      </c>
      <c r="Q11" s="275">
        <f>SUMIF($D$8:$D$55,$O11,$I$8:$I$55)+SUMIF($F$8:$F$55,$O11,$G$8:$G$55)</f>
        <v>5</v>
      </c>
      <c r="R11" s="275">
        <f>P11-Q11</f>
        <v>-3</v>
      </c>
      <c r="S11" s="276">
        <f>SUMIF($D$8:$D$55,$O11,$K$8:$K$55)+SUMIF($F$8:$F$55,$O11,$L$8:$L$55)</f>
        <v>1</v>
      </c>
      <c r="T11" s="321" t="s">
        <v>47</v>
      </c>
      <c r="U11" s="40"/>
      <c r="V11" s="40" t="str">
        <f>O11</f>
        <v>Mexico</v>
      </c>
      <c r="W11" s="40" t="s">
        <v>47</v>
      </c>
      <c r="Y11" s="109">
        <f t="shared" si="8"/>
        <v>0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0</v>
      </c>
      <c r="AG11" s="108">
        <f t="shared" si="0"/>
        <v>0</v>
      </c>
      <c r="AH11" s="108">
        <f t="shared" si="1"/>
        <v>0</v>
      </c>
      <c r="AI11" s="108">
        <f t="shared" si="10"/>
        <v>0</v>
      </c>
      <c r="AJ11" s="108">
        <f t="shared" si="2"/>
        <v>0</v>
      </c>
      <c r="AK11" s="108">
        <f t="shared" si="3"/>
        <v>0</v>
      </c>
      <c r="AL11" s="108">
        <f t="shared" si="4"/>
        <v>0</v>
      </c>
      <c r="AM11" s="120">
        <f>AO11</f>
        <v>0</v>
      </c>
      <c r="AN11" s="117" t="s">
        <v>11</v>
      </c>
      <c r="AO11" s="115">
        <f>IF(Uitslag!T11="",0,IF(T11=Uitslag!T11,10,0))</f>
        <v>0</v>
      </c>
    </row>
    <row r="12" spans="2:54" ht="15.75" thickBot="1">
      <c r="B12" s="240">
        <v>5</v>
      </c>
      <c r="C12" s="241">
        <v>41804</v>
      </c>
      <c r="D12" s="242" t="s">
        <v>17</v>
      </c>
      <c r="E12" s="243" t="s">
        <v>9</v>
      </c>
      <c r="F12" s="244" t="s">
        <v>18</v>
      </c>
      <c r="G12" s="311">
        <v>2</v>
      </c>
      <c r="H12" s="243" t="s">
        <v>9</v>
      </c>
      <c r="I12" s="316">
        <v>0</v>
      </c>
      <c r="J12" s="245">
        <f t="shared" si="5"/>
        <v>1</v>
      </c>
      <c r="K12" s="239">
        <f t="shared" si="6"/>
        <v>3</v>
      </c>
      <c r="L12" s="239">
        <f t="shared" si="7"/>
        <v>0</v>
      </c>
      <c r="M12" s="228"/>
      <c r="N12" s="228"/>
      <c r="O12" s="277" t="s">
        <v>12</v>
      </c>
      <c r="P12" s="278">
        <f>SUMIF($D$8:$D$55,$O12,$G$8:$G$55)+SUMIF($F$8:$F$55,$O12,$I$8:$I$55)</f>
        <v>3</v>
      </c>
      <c r="Q12" s="278">
        <f>SUMIF($D$8:$D$55,$O12,$I$8:$I$55)+SUMIF($F$8:$F$55,$O12,$G$8:$G$55)</f>
        <v>8</v>
      </c>
      <c r="R12" s="278">
        <f>P12-Q12</f>
        <v>-5</v>
      </c>
      <c r="S12" s="279">
        <f>SUMIF($D$8:$D$55,$O12,$K$8:$K$55)+SUMIF($F$8:$F$55,$O12,$L$8:$L$55)</f>
        <v>1</v>
      </c>
      <c r="T12" s="322" t="s">
        <v>50</v>
      </c>
      <c r="U12" s="40"/>
      <c r="V12" s="40" t="str">
        <f>O12</f>
        <v>Kameroen</v>
      </c>
      <c r="W12" s="40" t="s">
        <v>50</v>
      </c>
      <c r="Y12" s="109">
        <f t="shared" si="8"/>
        <v>6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6</v>
      </c>
      <c r="AG12" s="108">
        <f t="shared" si="0"/>
        <v>0</v>
      </c>
      <c r="AH12" s="108">
        <f t="shared" si="1"/>
        <v>1</v>
      </c>
      <c r="AI12" s="108">
        <f t="shared" si="10"/>
        <v>0</v>
      </c>
      <c r="AJ12" s="108">
        <f t="shared" si="2"/>
        <v>5</v>
      </c>
      <c r="AK12" s="108">
        <f t="shared" si="3"/>
        <v>0</v>
      </c>
      <c r="AL12" s="108">
        <f t="shared" si="4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246">
        <v>6</v>
      </c>
      <c r="C13" s="247">
        <v>41804</v>
      </c>
      <c r="D13" s="248" t="s">
        <v>19</v>
      </c>
      <c r="E13" s="249" t="s">
        <v>9</v>
      </c>
      <c r="F13" s="258" t="s">
        <v>20</v>
      </c>
      <c r="G13" s="312">
        <v>3</v>
      </c>
      <c r="H13" s="249" t="s">
        <v>9</v>
      </c>
      <c r="I13" s="317">
        <v>1</v>
      </c>
      <c r="J13" s="251">
        <f t="shared" si="5"/>
        <v>1</v>
      </c>
      <c r="K13" s="239">
        <f t="shared" si="6"/>
        <v>3</v>
      </c>
      <c r="L13" s="239">
        <f t="shared" si="7"/>
        <v>0</v>
      </c>
      <c r="M13" s="228"/>
      <c r="N13" s="228"/>
      <c r="O13" s="268"/>
      <c r="P13" s="269"/>
      <c r="Q13" s="269"/>
      <c r="R13" s="269"/>
      <c r="S13" s="269"/>
      <c r="T13" s="269"/>
      <c r="U13" s="40"/>
      <c r="V13" s="40"/>
      <c r="W13" s="40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0"/>
        <v>0</v>
      </c>
      <c r="AH13" s="108">
        <f t="shared" si="1"/>
        <v>0</v>
      </c>
      <c r="AI13" s="108">
        <f t="shared" si="10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40"/>
      <c r="AO13" s="41"/>
    </row>
    <row r="14" spans="2:54" ht="15.75" thickBot="1">
      <c r="B14" s="246">
        <v>7</v>
      </c>
      <c r="C14" s="247">
        <v>41804</v>
      </c>
      <c r="D14" s="248" t="s">
        <v>21</v>
      </c>
      <c r="E14" s="249" t="s">
        <v>9</v>
      </c>
      <c r="F14" s="258" t="s">
        <v>22</v>
      </c>
      <c r="G14" s="312">
        <v>2</v>
      </c>
      <c r="H14" s="249" t="s">
        <v>9</v>
      </c>
      <c r="I14" s="317">
        <v>1</v>
      </c>
      <c r="J14" s="251">
        <f t="shared" si="5"/>
        <v>1</v>
      </c>
      <c r="K14" s="239">
        <f t="shared" si="6"/>
        <v>3</v>
      </c>
      <c r="L14" s="239">
        <f t="shared" si="7"/>
        <v>0</v>
      </c>
      <c r="M14" s="228"/>
      <c r="N14" s="228"/>
      <c r="O14" s="298" t="s">
        <v>51</v>
      </c>
      <c r="P14" s="299" t="s">
        <v>42</v>
      </c>
      <c r="Q14" s="299" t="s">
        <v>43</v>
      </c>
      <c r="R14" s="300" t="s">
        <v>44</v>
      </c>
      <c r="S14" s="301" t="s">
        <v>45</v>
      </c>
      <c r="T14" s="302" t="s">
        <v>46</v>
      </c>
      <c r="U14" s="40"/>
      <c r="V14" s="40"/>
      <c r="W14" s="40"/>
      <c r="Y14" s="109">
        <f t="shared" si="8"/>
        <v>0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0</v>
      </c>
      <c r="AG14" s="108">
        <f t="shared" si="0"/>
        <v>0</v>
      </c>
      <c r="AH14" s="108">
        <f t="shared" si="1"/>
        <v>0</v>
      </c>
      <c r="AI14" s="108">
        <f t="shared" si="10"/>
        <v>0</v>
      </c>
      <c r="AJ14" s="108">
        <f t="shared" si="2"/>
        <v>0</v>
      </c>
      <c r="AK14" s="108">
        <f t="shared" si="3"/>
        <v>0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252">
        <v>8</v>
      </c>
      <c r="C15" s="253">
        <v>41804</v>
      </c>
      <c r="D15" s="254" t="s">
        <v>23</v>
      </c>
      <c r="E15" s="255" t="s">
        <v>9</v>
      </c>
      <c r="F15" s="256" t="s">
        <v>24</v>
      </c>
      <c r="G15" s="313">
        <v>2</v>
      </c>
      <c r="H15" s="255" t="s">
        <v>9</v>
      </c>
      <c r="I15" s="318">
        <v>0</v>
      </c>
      <c r="J15" s="257">
        <f t="shared" si="5"/>
        <v>1</v>
      </c>
      <c r="K15" s="239">
        <f t="shared" si="6"/>
        <v>3</v>
      </c>
      <c r="L15" s="239">
        <f t="shared" si="7"/>
        <v>0</v>
      </c>
      <c r="M15" s="228"/>
      <c r="N15" s="228"/>
      <c r="O15" s="270" t="s">
        <v>13</v>
      </c>
      <c r="P15" s="271">
        <f>SUMIF($D$8:$D$55,$O15,$G$8:$G$55)+SUMIF($F$8:$F$55,$O15,$I$8:$I$55)</f>
        <v>5</v>
      </c>
      <c r="Q15" s="271">
        <f>SUMIF($D$8:$D$55,$O15,$I$8:$I$55)+SUMIF($F$8:$F$55,$O15,$G$8:$G$55)</f>
        <v>3</v>
      </c>
      <c r="R15" s="272">
        <f>P15-Q15</f>
        <v>2</v>
      </c>
      <c r="S15" s="273">
        <f>SUMIF($D$8:$D$55,$O15,$K$8:$K$55)+SUMIF($F$8:$F$55,$O15,$L$8:$L$55)</f>
        <v>7</v>
      </c>
      <c r="T15" s="320" t="s">
        <v>53</v>
      </c>
      <c r="U15" s="40"/>
      <c r="V15" s="40" t="str">
        <f>O15</f>
        <v>Spanje</v>
      </c>
      <c r="W15" s="40" t="s">
        <v>52</v>
      </c>
      <c r="Y15" s="109">
        <f t="shared" si="8"/>
        <v>6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6</v>
      </c>
      <c r="AG15" s="108">
        <f t="shared" si="0"/>
        <v>1</v>
      </c>
      <c r="AH15" s="108">
        <f t="shared" si="1"/>
        <v>0</v>
      </c>
      <c r="AI15" s="108">
        <f t="shared" si="10"/>
        <v>0</v>
      </c>
      <c r="AJ15" s="108">
        <f t="shared" si="2"/>
        <v>5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240">
        <v>9</v>
      </c>
      <c r="C16" s="241">
        <v>41805</v>
      </c>
      <c r="D16" s="242" t="s">
        <v>25</v>
      </c>
      <c r="E16" s="243" t="s">
        <v>9</v>
      </c>
      <c r="F16" s="244" t="s">
        <v>26</v>
      </c>
      <c r="G16" s="311">
        <v>2</v>
      </c>
      <c r="H16" s="243" t="s">
        <v>9</v>
      </c>
      <c r="I16" s="316">
        <v>3</v>
      </c>
      <c r="J16" s="245">
        <f t="shared" si="5"/>
        <v>2</v>
      </c>
      <c r="K16" s="239">
        <f t="shared" si="6"/>
        <v>0</v>
      </c>
      <c r="L16" s="239">
        <f t="shared" si="7"/>
        <v>3</v>
      </c>
      <c r="M16" s="228"/>
      <c r="N16" s="228"/>
      <c r="O16" s="280" t="s">
        <v>14</v>
      </c>
      <c r="P16" s="275">
        <f>SUMIF($D$8:$D$55,$O16,$G$8:$G$55)+SUMIF($F$8:$F$55,$O16,$I$8:$I$55)</f>
        <v>6</v>
      </c>
      <c r="Q16" s="275">
        <f>SUMIF($D$8:$D$55,$O16,$I$8:$I$55)+SUMIF($F$8:$F$55,$O16,$G$8:$G$55)</f>
        <v>1</v>
      </c>
      <c r="R16" s="275">
        <f>P16-Q16</f>
        <v>5</v>
      </c>
      <c r="S16" s="276">
        <f>SUMIF($D$8:$D$55,$O16,$K$8:$K$55)+SUMIF($F$8:$F$55,$O16,$L$8:$L$55)</f>
        <v>7</v>
      </c>
      <c r="T16" s="321" t="s">
        <v>52</v>
      </c>
      <c r="U16" s="40"/>
      <c r="V16" s="40" t="str">
        <f>O16</f>
        <v>Nederland</v>
      </c>
      <c r="W16" s="40" t="s">
        <v>53</v>
      </c>
      <c r="Y16" s="109">
        <f t="shared" si="8"/>
        <v>1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1</v>
      </c>
      <c r="AG16" s="108">
        <f t="shared" si="0"/>
        <v>1</v>
      </c>
      <c r="AH16" s="108">
        <f t="shared" si="1"/>
        <v>0</v>
      </c>
      <c r="AI16" s="108">
        <f t="shared" si="10"/>
        <v>0</v>
      </c>
      <c r="AJ16" s="108">
        <f t="shared" si="2"/>
        <v>0</v>
      </c>
      <c r="AK16" s="108">
        <f t="shared" si="3"/>
        <v>0</v>
      </c>
      <c r="AL16" s="108">
        <f t="shared" si="4"/>
        <v>0</v>
      </c>
      <c r="AM16" s="120">
        <f>AO16</f>
        <v>10</v>
      </c>
      <c r="AN16" s="119" t="s">
        <v>14</v>
      </c>
      <c r="AO16" s="115">
        <f>IF(Uitslag!T16="",0,IF(T16=Uitslag!T16,10,0))</f>
        <v>10</v>
      </c>
    </row>
    <row r="17" spans="2:41" ht="15.75" thickBot="1">
      <c r="B17" s="246">
        <v>10</v>
      </c>
      <c r="C17" s="247">
        <v>41805</v>
      </c>
      <c r="D17" s="248" t="s">
        <v>27</v>
      </c>
      <c r="E17" s="249" t="s">
        <v>9</v>
      </c>
      <c r="F17" s="258" t="s">
        <v>28</v>
      </c>
      <c r="G17" s="312">
        <v>3</v>
      </c>
      <c r="H17" s="249" t="s">
        <v>9</v>
      </c>
      <c r="I17" s="317">
        <v>0</v>
      </c>
      <c r="J17" s="251">
        <f t="shared" si="5"/>
        <v>1</v>
      </c>
      <c r="K17" s="239">
        <f t="shared" si="6"/>
        <v>3</v>
      </c>
      <c r="L17" s="239">
        <f t="shared" si="7"/>
        <v>0</v>
      </c>
      <c r="M17" s="228"/>
      <c r="N17" s="228"/>
      <c r="O17" s="274" t="s">
        <v>15</v>
      </c>
      <c r="P17" s="275">
        <f>SUMIF($D$8:$D$55,$O17,$G$8:$G$55)+SUMIF($F$8:$F$55,$O17,$I$8:$I$55)</f>
        <v>1</v>
      </c>
      <c r="Q17" s="275">
        <f>SUMIF($D$8:$D$55,$O17,$I$8:$I$55)+SUMIF($F$8:$F$55,$O17,$G$8:$G$55)</f>
        <v>8</v>
      </c>
      <c r="R17" s="275">
        <f>P17-Q17</f>
        <v>-7</v>
      </c>
      <c r="S17" s="276">
        <f>SUMIF($D$8:$D$55,$O17,$K$8:$K$55)+SUMIF($F$8:$F$55,$O17,$L$8:$L$55)</f>
        <v>0</v>
      </c>
      <c r="T17" s="321" t="s">
        <v>55</v>
      </c>
      <c r="U17" s="40"/>
      <c r="V17" s="40" t="str">
        <f>O17</f>
        <v>Chili</v>
      </c>
      <c r="W17" s="40" t="s">
        <v>54</v>
      </c>
      <c r="Y17" s="109">
        <f t="shared" si="8"/>
        <v>10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10</v>
      </c>
      <c r="AG17" s="108">
        <f t="shared" si="0"/>
        <v>1</v>
      </c>
      <c r="AH17" s="108">
        <f t="shared" si="1"/>
        <v>1</v>
      </c>
      <c r="AI17" s="108">
        <f t="shared" si="10"/>
        <v>10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252">
        <v>11</v>
      </c>
      <c r="C18" s="253">
        <v>41805</v>
      </c>
      <c r="D18" s="254" t="s">
        <v>29</v>
      </c>
      <c r="E18" s="255" t="s">
        <v>9</v>
      </c>
      <c r="F18" s="256" t="s">
        <v>30</v>
      </c>
      <c r="G18" s="313">
        <v>2</v>
      </c>
      <c r="H18" s="255" t="s">
        <v>9</v>
      </c>
      <c r="I18" s="318">
        <v>0</v>
      </c>
      <c r="J18" s="257">
        <f t="shared" si="5"/>
        <v>1</v>
      </c>
      <c r="K18" s="239">
        <f t="shared" si="6"/>
        <v>3</v>
      </c>
      <c r="L18" s="239">
        <f t="shared" si="7"/>
        <v>0</v>
      </c>
      <c r="M18" s="228"/>
      <c r="N18" s="228"/>
      <c r="O18" s="277" t="s">
        <v>16</v>
      </c>
      <c r="P18" s="278">
        <f>SUMIF($D$8:$D$55,$O18,$G$8:$G$55)+SUMIF($F$8:$F$55,$O18,$I$8:$I$55)</f>
        <v>4</v>
      </c>
      <c r="Q18" s="278">
        <f>SUMIF($D$8:$D$55,$O18,$I$8:$I$55)+SUMIF($F$8:$F$55,$O18,$G$8:$G$55)</f>
        <v>4</v>
      </c>
      <c r="R18" s="278">
        <f>P18-Q18</f>
        <v>0</v>
      </c>
      <c r="S18" s="279">
        <f>SUMIF($D$8:$D$55,$O18,$K$8:$K$55)+SUMIF($F$8:$F$55,$O18,$L$8:$L$55)</f>
        <v>3</v>
      </c>
      <c r="T18" s="322" t="s">
        <v>54</v>
      </c>
      <c r="U18" s="40"/>
      <c r="V18" s="40" t="str">
        <f>O18</f>
        <v>Australië</v>
      </c>
      <c r="W18" s="40" t="s">
        <v>55</v>
      </c>
      <c r="Y18" s="109">
        <f t="shared" si="8"/>
        <v>6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6</v>
      </c>
      <c r="AG18" s="108">
        <f t="shared" si="0"/>
        <v>1</v>
      </c>
      <c r="AH18" s="108">
        <f t="shared" si="1"/>
        <v>0</v>
      </c>
      <c r="AI18" s="108">
        <f t="shared" si="10"/>
        <v>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0</v>
      </c>
      <c r="AN18" s="118" t="s">
        <v>16</v>
      </c>
      <c r="AO18" s="115">
        <f>IF(Uitslag!T18="",0,IF(T18=Uitslag!T18,10,0))</f>
        <v>0</v>
      </c>
    </row>
    <row r="19" spans="2:41" ht="15.75" thickBot="1">
      <c r="B19" s="240">
        <v>12</v>
      </c>
      <c r="C19" s="241">
        <v>41806</v>
      </c>
      <c r="D19" s="242" t="s">
        <v>31</v>
      </c>
      <c r="E19" s="243" t="s">
        <v>9</v>
      </c>
      <c r="F19" s="244" t="s">
        <v>32</v>
      </c>
      <c r="G19" s="311">
        <v>2</v>
      </c>
      <c r="H19" s="243" t="s">
        <v>9</v>
      </c>
      <c r="I19" s="316">
        <v>1</v>
      </c>
      <c r="J19" s="245">
        <f t="shared" si="5"/>
        <v>1</v>
      </c>
      <c r="K19" s="239">
        <f t="shared" si="6"/>
        <v>3</v>
      </c>
      <c r="L19" s="239">
        <f t="shared" si="7"/>
        <v>0</v>
      </c>
      <c r="M19" s="228"/>
      <c r="N19" s="228"/>
      <c r="O19" s="268"/>
      <c r="P19" s="269"/>
      <c r="Q19" s="269"/>
      <c r="R19" s="269"/>
      <c r="S19" s="269"/>
      <c r="T19" s="269"/>
      <c r="U19" s="40"/>
      <c r="V19" s="40"/>
      <c r="W19" s="40"/>
      <c r="Y19" s="109">
        <f t="shared" si="8"/>
        <v>5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5</v>
      </c>
      <c r="AG19" s="108">
        <f t="shared" si="0"/>
        <v>0</v>
      </c>
      <c r="AH19" s="108">
        <f t="shared" si="1"/>
        <v>0</v>
      </c>
      <c r="AI19" s="108">
        <f t="shared" si="10"/>
        <v>0</v>
      </c>
      <c r="AJ19" s="108">
        <f t="shared" si="2"/>
        <v>5</v>
      </c>
      <c r="AK19" s="108">
        <f t="shared" si="3"/>
        <v>0</v>
      </c>
      <c r="AL19" s="108">
        <f t="shared" si="4"/>
        <v>0</v>
      </c>
      <c r="AN19" s="40"/>
      <c r="AO19" s="41"/>
    </row>
    <row r="20" spans="2:41" ht="15.75" thickBot="1">
      <c r="B20" s="246">
        <v>13</v>
      </c>
      <c r="C20" s="247">
        <v>41806</v>
      </c>
      <c r="D20" s="248" t="s">
        <v>33</v>
      </c>
      <c r="E20" s="249" t="s">
        <v>9</v>
      </c>
      <c r="F20" s="258" t="s">
        <v>34</v>
      </c>
      <c r="G20" s="312">
        <v>0</v>
      </c>
      <c r="H20" s="249" t="s">
        <v>9</v>
      </c>
      <c r="I20" s="317">
        <v>3</v>
      </c>
      <c r="J20" s="251">
        <f t="shared" si="5"/>
        <v>2</v>
      </c>
      <c r="K20" s="239">
        <f t="shared" si="6"/>
        <v>0</v>
      </c>
      <c r="L20" s="239">
        <f t="shared" si="7"/>
        <v>3</v>
      </c>
      <c r="M20" s="228"/>
      <c r="N20" s="228"/>
      <c r="O20" s="298" t="s">
        <v>56</v>
      </c>
      <c r="P20" s="299" t="s">
        <v>42</v>
      </c>
      <c r="Q20" s="299" t="s">
        <v>43</v>
      </c>
      <c r="R20" s="300" t="s">
        <v>44</v>
      </c>
      <c r="S20" s="301" t="s">
        <v>45</v>
      </c>
      <c r="T20" s="302" t="s">
        <v>46</v>
      </c>
      <c r="U20" s="40"/>
      <c r="V20" s="40"/>
      <c r="W20" s="40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0"/>
        <v>1</v>
      </c>
      <c r="AH20" s="108">
        <f t="shared" si="1"/>
        <v>0</v>
      </c>
      <c r="AI20" s="108">
        <f t="shared" si="10"/>
        <v>0</v>
      </c>
      <c r="AJ20" s="108">
        <f t="shared" si="2"/>
        <v>0</v>
      </c>
      <c r="AK20" s="108">
        <f t="shared" si="3"/>
        <v>0</v>
      </c>
      <c r="AL20" s="108">
        <f t="shared" si="4"/>
        <v>0</v>
      </c>
      <c r="AN20" s="42" t="s">
        <v>56</v>
      </c>
      <c r="AO20" s="43" t="s">
        <v>46</v>
      </c>
    </row>
    <row r="21" spans="2:41" ht="15.75" thickBot="1">
      <c r="B21" s="252">
        <v>14</v>
      </c>
      <c r="C21" s="253">
        <v>41806</v>
      </c>
      <c r="D21" s="254" t="s">
        <v>35</v>
      </c>
      <c r="E21" s="255" t="s">
        <v>9</v>
      </c>
      <c r="F21" s="256" t="s">
        <v>36</v>
      </c>
      <c r="G21" s="313">
        <v>0</v>
      </c>
      <c r="H21" s="255" t="s">
        <v>9</v>
      </c>
      <c r="I21" s="318">
        <v>2</v>
      </c>
      <c r="J21" s="257">
        <f t="shared" si="5"/>
        <v>2</v>
      </c>
      <c r="K21" s="239">
        <f t="shared" si="6"/>
        <v>0</v>
      </c>
      <c r="L21" s="239">
        <f t="shared" si="7"/>
        <v>3</v>
      </c>
      <c r="M21" s="228"/>
      <c r="N21" s="228"/>
      <c r="O21" s="270" t="s">
        <v>17</v>
      </c>
      <c r="P21" s="271">
        <f>SUMIF($D$8:$D$55,$O21,$G$8:$G$55)+SUMIF($F$8:$F$55,$O21,$I$8:$I$55)</f>
        <v>9</v>
      </c>
      <c r="Q21" s="271">
        <f>SUMIF($D$8:$D$55,$O21,$I$8:$I$55)+SUMIF($F$8:$F$55,$O21,$G$8:$G$55)</f>
        <v>3</v>
      </c>
      <c r="R21" s="272">
        <f>P21-Q21</f>
        <v>6</v>
      </c>
      <c r="S21" s="273">
        <f>SUMIF($D$8:$D$55,$O21,$K$8:$K$55)+SUMIF($F$8:$F$55,$O21,$L$8:$L$55)</f>
        <v>9</v>
      </c>
      <c r="T21" s="320" t="s">
        <v>57</v>
      </c>
      <c r="U21" s="40"/>
      <c r="V21" s="40" t="str">
        <f>O21</f>
        <v>Colombia</v>
      </c>
      <c r="W21" s="40" t="s">
        <v>57</v>
      </c>
      <c r="Y21" s="109">
        <f t="shared" si="8"/>
        <v>6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6</v>
      </c>
      <c r="AG21" s="108">
        <f t="shared" si="0"/>
        <v>0</v>
      </c>
      <c r="AH21" s="108">
        <f t="shared" si="1"/>
        <v>1</v>
      </c>
      <c r="AI21" s="108">
        <f t="shared" si="10"/>
        <v>0</v>
      </c>
      <c r="AJ21" s="108">
        <f t="shared" si="2"/>
        <v>0</v>
      </c>
      <c r="AK21" s="108">
        <f t="shared" si="3"/>
        <v>5</v>
      </c>
      <c r="AL21" s="108">
        <f t="shared" si="4"/>
        <v>0</v>
      </c>
      <c r="AM21" s="120">
        <f>AO21</f>
        <v>10</v>
      </c>
      <c r="AN21" s="116" t="s">
        <v>17</v>
      </c>
      <c r="AO21" s="115">
        <f>IF(Uitslag!T21="",0,IF(T21=Uitslag!T21,10,0))</f>
        <v>10</v>
      </c>
    </row>
    <row r="22" spans="2:41" ht="15.75" thickBot="1">
      <c r="B22" s="240">
        <v>15</v>
      </c>
      <c r="C22" s="241">
        <v>41807</v>
      </c>
      <c r="D22" s="242" t="s">
        <v>37</v>
      </c>
      <c r="E22" s="243" t="s">
        <v>9</v>
      </c>
      <c r="F22" s="244" t="s">
        <v>38</v>
      </c>
      <c r="G22" s="311">
        <v>3</v>
      </c>
      <c r="H22" s="243" t="s">
        <v>9</v>
      </c>
      <c r="I22" s="316">
        <v>0</v>
      </c>
      <c r="J22" s="245">
        <f t="shared" si="5"/>
        <v>1</v>
      </c>
      <c r="K22" s="239">
        <f t="shared" si="6"/>
        <v>3</v>
      </c>
      <c r="L22" s="239">
        <f t="shared" si="7"/>
        <v>0</v>
      </c>
      <c r="M22" s="228"/>
      <c r="N22" s="228"/>
      <c r="O22" s="274" t="s">
        <v>18</v>
      </c>
      <c r="P22" s="275">
        <f>SUMIF($D$8:$D$55,$O22,$G$8:$G$55)+SUMIF($F$8:$F$55,$O22,$I$8:$I$55)</f>
        <v>4</v>
      </c>
      <c r="Q22" s="275">
        <f>SUMIF($D$8:$D$55,$O22,$I$8:$I$55)+SUMIF($F$8:$F$55,$O22,$G$8:$G$55)</f>
        <v>2</v>
      </c>
      <c r="R22" s="275">
        <f>P22-Q22</f>
        <v>2</v>
      </c>
      <c r="S22" s="276">
        <f>SUMIF($D$8:$D$55,$O22,$K$8:$K$55)+SUMIF($F$8:$F$55,$O22,$L$8:$L$55)</f>
        <v>6</v>
      </c>
      <c r="T22" s="321" t="s">
        <v>58</v>
      </c>
      <c r="U22" s="40"/>
      <c r="V22" s="40" t="str">
        <f>O22</f>
        <v>Griekenland</v>
      </c>
      <c r="W22" s="40" t="s">
        <v>58</v>
      </c>
      <c r="Y22" s="109">
        <f t="shared" si="8"/>
        <v>5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5</v>
      </c>
      <c r="AG22" s="108">
        <f t="shared" si="0"/>
        <v>0</v>
      </c>
      <c r="AH22" s="108">
        <f t="shared" si="1"/>
        <v>0</v>
      </c>
      <c r="AI22" s="108">
        <f t="shared" si="10"/>
        <v>0</v>
      </c>
      <c r="AJ22" s="108">
        <f t="shared" si="2"/>
        <v>5</v>
      </c>
      <c r="AK22" s="108">
        <f t="shared" si="3"/>
        <v>0</v>
      </c>
      <c r="AL22" s="108">
        <f t="shared" si="4"/>
        <v>0</v>
      </c>
      <c r="AM22" s="120">
        <f>AO22</f>
        <v>10</v>
      </c>
      <c r="AN22" s="117" t="s">
        <v>18</v>
      </c>
      <c r="AO22" s="115">
        <f>IF(Uitslag!T22="",0,IF(T22=Uitslag!T22,10,0))</f>
        <v>10</v>
      </c>
    </row>
    <row r="23" spans="2:41" ht="15.75" thickBot="1">
      <c r="B23" s="246">
        <v>16</v>
      </c>
      <c r="C23" s="247">
        <v>41807</v>
      </c>
      <c r="D23" s="248" t="s">
        <v>8</v>
      </c>
      <c r="E23" s="249" t="s">
        <v>9</v>
      </c>
      <c r="F23" s="258" t="s">
        <v>11</v>
      </c>
      <c r="G23" s="312">
        <v>2</v>
      </c>
      <c r="H23" s="249" t="s">
        <v>9</v>
      </c>
      <c r="I23" s="317">
        <v>0</v>
      </c>
      <c r="J23" s="251">
        <f t="shared" si="5"/>
        <v>1</v>
      </c>
      <c r="K23" s="239">
        <f t="shared" si="6"/>
        <v>3</v>
      </c>
      <c r="L23" s="239">
        <f t="shared" si="7"/>
        <v>0</v>
      </c>
      <c r="M23" s="228"/>
      <c r="N23" s="228"/>
      <c r="O23" s="274" t="s">
        <v>23</v>
      </c>
      <c r="P23" s="275">
        <f>SUMIF($D$8:$D$55,$O23,$G$8:$G$55)+SUMIF($F$8:$F$55,$O23,$I$8:$I$55)</f>
        <v>3</v>
      </c>
      <c r="Q23" s="275">
        <f>SUMIF($D$8:$D$55,$O23,$I$8:$I$55)+SUMIF($F$8:$F$55,$O23,$G$8:$G$55)</f>
        <v>6</v>
      </c>
      <c r="R23" s="275">
        <f>P23-Q23</f>
        <v>-3</v>
      </c>
      <c r="S23" s="276">
        <f>SUMIF($D$8:$D$55,$O23,$K$8:$K$55)+SUMIF($F$8:$F$55,$O23,$L$8:$L$55)</f>
        <v>3</v>
      </c>
      <c r="T23" s="321" t="s">
        <v>59</v>
      </c>
      <c r="U23" s="40"/>
      <c r="V23" s="40" t="str">
        <f>O23</f>
        <v>Ivoorkust</v>
      </c>
      <c r="W23" s="40" t="s">
        <v>59</v>
      </c>
      <c r="Y23" s="109">
        <f t="shared" si="8"/>
        <v>1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1</v>
      </c>
      <c r="AG23" s="108">
        <f t="shared" si="0"/>
        <v>0</v>
      </c>
      <c r="AH23" s="108">
        <f t="shared" si="1"/>
        <v>1</v>
      </c>
      <c r="AI23" s="108">
        <f t="shared" si="10"/>
        <v>0</v>
      </c>
      <c r="AJ23" s="108">
        <f t="shared" si="2"/>
        <v>0</v>
      </c>
      <c r="AK23" s="108">
        <f t="shared" si="3"/>
        <v>0</v>
      </c>
      <c r="AL23" s="108">
        <f t="shared" si="4"/>
        <v>0</v>
      </c>
      <c r="AM23" s="120">
        <f>AO23</f>
        <v>10</v>
      </c>
      <c r="AN23" s="117" t="s">
        <v>23</v>
      </c>
      <c r="AO23" s="115">
        <f>IF(Uitslag!T23="",0,IF(T23=Uitslag!T23,10,0))</f>
        <v>10</v>
      </c>
    </row>
    <row r="24" spans="2:41" ht="15.75" thickBot="1">
      <c r="B24" s="252">
        <v>17</v>
      </c>
      <c r="C24" s="253">
        <v>41807</v>
      </c>
      <c r="D24" s="254" t="s">
        <v>39</v>
      </c>
      <c r="E24" s="255" t="s">
        <v>9</v>
      </c>
      <c r="F24" s="256" t="s">
        <v>40</v>
      </c>
      <c r="G24" s="313">
        <v>1</v>
      </c>
      <c r="H24" s="255" t="s">
        <v>9</v>
      </c>
      <c r="I24" s="318">
        <v>3</v>
      </c>
      <c r="J24" s="257">
        <f t="shared" si="5"/>
        <v>2</v>
      </c>
      <c r="K24" s="239">
        <f t="shared" si="6"/>
        <v>0</v>
      </c>
      <c r="L24" s="239">
        <f t="shared" si="7"/>
        <v>3</v>
      </c>
      <c r="M24" s="228"/>
      <c r="N24" s="228"/>
      <c r="O24" s="277" t="s">
        <v>24</v>
      </c>
      <c r="P24" s="278">
        <f>SUMIF($D$8:$D$55,$O24,$G$8:$G$55)+SUMIF($F$8:$F$55,$O24,$I$8:$I$55)</f>
        <v>2</v>
      </c>
      <c r="Q24" s="278">
        <f>SUMIF($D$8:$D$55,$O24,$I$8:$I$55)+SUMIF($F$8:$F$55,$O24,$G$8:$G$55)</f>
        <v>7</v>
      </c>
      <c r="R24" s="278">
        <f>P24-Q24</f>
        <v>-5</v>
      </c>
      <c r="S24" s="279">
        <f>SUMIF($D$8:$D$55,$O24,$K$8:$K$55)+SUMIF($F$8:$F$55,$O24,$L$8:$L$55)</f>
        <v>0</v>
      </c>
      <c r="T24" s="322" t="s">
        <v>60</v>
      </c>
      <c r="U24" s="40"/>
      <c r="V24" s="40" t="str">
        <f>O24</f>
        <v>Japan</v>
      </c>
      <c r="W24" s="40" t="s">
        <v>60</v>
      </c>
      <c r="Y24" s="109">
        <f t="shared" si="8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</v>
      </c>
      <c r="AG24" s="108">
        <f t="shared" si="0"/>
        <v>1</v>
      </c>
      <c r="AH24" s="108">
        <f t="shared" si="1"/>
        <v>0</v>
      </c>
      <c r="AI24" s="108">
        <f t="shared" si="10"/>
        <v>0</v>
      </c>
      <c r="AJ24" s="108">
        <f t="shared" si="2"/>
        <v>0</v>
      </c>
      <c r="AK24" s="108">
        <f t="shared" si="3"/>
        <v>0</v>
      </c>
      <c r="AL24" s="108">
        <f t="shared" si="4"/>
        <v>0</v>
      </c>
      <c r="AM24" s="120">
        <f>AO24</f>
        <v>10</v>
      </c>
      <c r="AN24" s="118" t="s">
        <v>24</v>
      </c>
      <c r="AO24" s="115">
        <f>IF(Uitslag!T24="",0,IF(T24=Uitslag!T24,10,0))</f>
        <v>10</v>
      </c>
    </row>
    <row r="25" spans="2:41" ht="15.75" thickBot="1">
      <c r="B25" s="240">
        <v>18</v>
      </c>
      <c r="C25" s="241">
        <v>41808</v>
      </c>
      <c r="D25" s="242" t="s">
        <v>16</v>
      </c>
      <c r="E25" s="243" t="s">
        <v>9</v>
      </c>
      <c r="F25" s="259" t="s">
        <v>14</v>
      </c>
      <c r="G25" s="311">
        <v>0</v>
      </c>
      <c r="H25" s="243" t="s">
        <v>9</v>
      </c>
      <c r="I25" s="316">
        <v>2</v>
      </c>
      <c r="J25" s="245">
        <f t="shared" si="5"/>
        <v>2</v>
      </c>
      <c r="K25" s="239">
        <f t="shared" si="6"/>
        <v>0</v>
      </c>
      <c r="L25" s="239">
        <f t="shared" si="7"/>
        <v>3</v>
      </c>
      <c r="M25" s="228"/>
      <c r="N25" s="228"/>
      <c r="O25" s="268"/>
      <c r="P25" s="269"/>
      <c r="Q25" s="269"/>
      <c r="R25" s="269"/>
      <c r="S25" s="269"/>
      <c r="T25" s="269"/>
      <c r="U25" s="40"/>
      <c r="V25" s="40"/>
      <c r="W25" s="40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0"/>
        <v>0</v>
      </c>
      <c r="AH25" s="108">
        <f t="shared" si="1"/>
        <v>0</v>
      </c>
      <c r="AI25" s="108">
        <f t="shared" si="10"/>
        <v>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40"/>
      <c r="AO25" s="41"/>
    </row>
    <row r="26" spans="2:41" ht="15.75" thickBot="1">
      <c r="B26" s="246">
        <v>19</v>
      </c>
      <c r="C26" s="247">
        <v>41808</v>
      </c>
      <c r="D26" s="248" t="s">
        <v>13</v>
      </c>
      <c r="E26" s="249" t="s">
        <v>9</v>
      </c>
      <c r="F26" s="258" t="s">
        <v>15</v>
      </c>
      <c r="G26" s="312">
        <v>2</v>
      </c>
      <c r="H26" s="249" t="s">
        <v>9</v>
      </c>
      <c r="I26" s="317">
        <v>1</v>
      </c>
      <c r="J26" s="251">
        <f t="shared" si="5"/>
        <v>1</v>
      </c>
      <c r="K26" s="239">
        <f t="shared" si="6"/>
        <v>3</v>
      </c>
      <c r="L26" s="239">
        <f t="shared" si="7"/>
        <v>0</v>
      </c>
      <c r="M26" s="228"/>
      <c r="N26" s="228"/>
      <c r="O26" s="298" t="s">
        <v>61</v>
      </c>
      <c r="P26" s="299" t="s">
        <v>42</v>
      </c>
      <c r="Q26" s="299" t="s">
        <v>43</v>
      </c>
      <c r="R26" s="300" t="s">
        <v>44</v>
      </c>
      <c r="S26" s="301" t="s">
        <v>45</v>
      </c>
      <c r="T26" s="302" t="s">
        <v>46</v>
      </c>
      <c r="U26" s="40"/>
      <c r="V26" s="40"/>
      <c r="W26" s="40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0"/>
        <v>0</v>
      </c>
      <c r="AH26" s="108">
        <f t="shared" si="1"/>
        <v>0</v>
      </c>
      <c r="AI26" s="108">
        <f t="shared" si="10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252">
        <v>20</v>
      </c>
      <c r="C27" s="253">
        <v>41808</v>
      </c>
      <c r="D27" s="254" t="s">
        <v>12</v>
      </c>
      <c r="E27" s="255" t="s">
        <v>9</v>
      </c>
      <c r="F27" s="256" t="s">
        <v>10</v>
      </c>
      <c r="G27" s="313">
        <v>1</v>
      </c>
      <c r="H27" s="255" t="s">
        <v>9</v>
      </c>
      <c r="I27" s="318">
        <v>3</v>
      </c>
      <c r="J27" s="257">
        <f t="shared" si="5"/>
        <v>2</v>
      </c>
      <c r="K27" s="239">
        <f t="shared" si="6"/>
        <v>0</v>
      </c>
      <c r="L27" s="239">
        <f t="shared" si="7"/>
        <v>3</v>
      </c>
      <c r="M27" s="228"/>
      <c r="N27" s="228"/>
      <c r="O27" s="270" t="s">
        <v>19</v>
      </c>
      <c r="P27" s="271">
        <f>SUMIF($D$8:$D$55,$O27,$G$8:$G$55)+SUMIF($F$8:$F$55,$O27,$I$8:$I$55)</f>
        <v>6</v>
      </c>
      <c r="Q27" s="271">
        <f>SUMIF($D$8:$D$55,$O27,$I$8:$I$55)+SUMIF($F$8:$F$55,$O27,$G$8:$G$55)</f>
        <v>4</v>
      </c>
      <c r="R27" s="272">
        <f>P27-Q27</f>
        <v>2</v>
      </c>
      <c r="S27" s="273">
        <f>SUMIF($D$8:$D$55,$O27,$K$8:$K$55)+SUMIF($F$8:$F$55,$O27,$L$8:$L$55)</f>
        <v>6</v>
      </c>
      <c r="T27" s="320" t="s">
        <v>63</v>
      </c>
      <c r="U27" s="40"/>
      <c r="V27" s="40" t="str">
        <f>O27</f>
        <v>Uruguay</v>
      </c>
      <c r="W27" s="40" t="s">
        <v>62</v>
      </c>
      <c r="Y27" s="109">
        <f t="shared" si="8"/>
        <v>5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5</v>
      </c>
      <c r="AG27" s="108">
        <f t="shared" si="0"/>
        <v>0</v>
      </c>
      <c r="AH27" s="108">
        <f t="shared" si="1"/>
        <v>0</v>
      </c>
      <c r="AI27" s="108">
        <f t="shared" si="10"/>
        <v>0</v>
      </c>
      <c r="AJ27" s="108">
        <f t="shared" si="2"/>
        <v>0</v>
      </c>
      <c r="AK27" s="108">
        <f t="shared" si="3"/>
        <v>5</v>
      </c>
      <c r="AL27" s="108">
        <f t="shared" si="4"/>
        <v>0</v>
      </c>
      <c r="AM27" s="120">
        <f>AO27</f>
        <v>10</v>
      </c>
      <c r="AN27" s="116" t="s">
        <v>19</v>
      </c>
      <c r="AO27" s="115">
        <f>IF(Uitslag!T27="",0,IF(T27=Uitslag!T27,10,0))</f>
        <v>10</v>
      </c>
    </row>
    <row r="28" spans="2:41" ht="15.75" thickBot="1">
      <c r="B28" s="240">
        <v>21</v>
      </c>
      <c r="C28" s="241">
        <v>41809</v>
      </c>
      <c r="D28" s="242" t="s">
        <v>17</v>
      </c>
      <c r="E28" s="243" t="s">
        <v>9</v>
      </c>
      <c r="F28" s="244" t="s">
        <v>23</v>
      </c>
      <c r="G28" s="311">
        <v>4</v>
      </c>
      <c r="H28" s="243" t="s">
        <v>9</v>
      </c>
      <c r="I28" s="316">
        <v>1</v>
      </c>
      <c r="J28" s="245">
        <f t="shared" si="5"/>
        <v>1</v>
      </c>
      <c r="K28" s="239">
        <f t="shared" si="6"/>
        <v>3</v>
      </c>
      <c r="L28" s="239">
        <f t="shared" si="7"/>
        <v>0</v>
      </c>
      <c r="M28" s="228"/>
      <c r="N28" s="228"/>
      <c r="O28" s="274" t="s">
        <v>20</v>
      </c>
      <c r="P28" s="275">
        <f>SUMIF($D$8:$D$55,$O28,$G$8:$G$55)+SUMIF($F$8:$F$55,$O28,$I$8:$I$55)</f>
        <v>2</v>
      </c>
      <c r="Q28" s="275">
        <f>SUMIF($D$8:$D$55,$O28,$I$8:$I$55)+SUMIF($F$8:$F$55,$O28,$G$8:$G$55)</f>
        <v>8</v>
      </c>
      <c r="R28" s="275">
        <f>P28-Q28</f>
        <v>-6</v>
      </c>
      <c r="S28" s="276">
        <f>SUMIF($D$8:$D$55,$O28,$K$8:$K$55)+SUMIF($F$8:$F$55,$O28,$L$8:$L$55)</f>
        <v>0</v>
      </c>
      <c r="T28" s="321" t="s">
        <v>65</v>
      </c>
      <c r="U28" s="40"/>
      <c r="V28" s="40" t="str">
        <f>O28</f>
        <v>Costa Rica</v>
      </c>
      <c r="W28" s="40" t="s">
        <v>63</v>
      </c>
      <c r="Y28" s="109">
        <f t="shared" si="8"/>
        <v>6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6</v>
      </c>
      <c r="AG28" s="108">
        <f t="shared" si="0"/>
        <v>0</v>
      </c>
      <c r="AH28" s="108">
        <f t="shared" si="1"/>
        <v>1</v>
      </c>
      <c r="AI28" s="108">
        <f t="shared" si="10"/>
        <v>0</v>
      </c>
      <c r="AJ28" s="108">
        <f t="shared" si="2"/>
        <v>5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246">
        <v>22</v>
      </c>
      <c r="C29" s="247">
        <v>41809</v>
      </c>
      <c r="D29" s="248" t="s">
        <v>19</v>
      </c>
      <c r="E29" s="249" t="s">
        <v>9</v>
      </c>
      <c r="F29" s="258" t="s">
        <v>21</v>
      </c>
      <c r="G29" s="312">
        <v>1</v>
      </c>
      <c r="H29" s="249" t="s">
        <v>9</v>
      </c>
      <c r="I29" s="317">
        <v>2</v>
      </c>
      <c r="J29" s="251">
        <f t="shared" si="5"/>
        <v>2</v>
      </c>
      <c r="K29" s="239">
        <f t="shared" si="6"/>
        <v>0</v>
      </c>
      <c r="L29" s="239">
        <f t="shared" si="7"/>
        <v>3</v>
      </c>
      <c r="M29" s="228"/>
      <c r="N29" s="228"/>
      <c r="O29" s="274" t="s">
        <v>21</v>
      </c>
      <c r="P29" s="275">
        <f>SUMIF($D$8:$D$55,$O29,$G$8:$G$55)+SUMIF($F$8:$F$55,$O29,$I$8:$I$55)</f>
        <v>7</v>
      </c>
      <c r="Q29" s="275">
        <f>SUMIF($D$8:$D$55,$O29,$I$8:$I$55)+SUMIF($F$8:$F$55,$O29,$G$8:$G$55)</f>
        <v>3</v>
      </c>
      <c r="R29" s="275">
        <f>P29-Q29</f>
        <v>4</v>
      </c>
      <c r="S29" s="276">
        <f>SUMIF($D$8:$D$55,$O29,$K$8:$K$55)+SUMIF($F$8:$F$55,$O29,$L$8:$L$55)</f>
        <v>9</v>
      </c>
      <c r="T29" s="321" t="s">
        <v>62</v>
      </c>
      <c r="U29" s="40"/>
      <c r="V29" s="40" t="str">
        <f>O29</f>
        <v>Engeland</v>
      </c>
      <c r="W29" s="40" t="s">
        <v>64</v>
      </c>
      <c r="Y29" s="109">
        <f t="shared" si="8"/>
        <v>0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0</v>
      </c>
      <c r="AG29" s="108">
        <f t="shared" si="0"/>
        <v>0</v>
      </c>
      <c r="AH29" s="108">
        <f t="shared" si="1"/>
        <v>0</v>
      </c>
      <c r="AI29" s="108">
        <f t="shared" si="10"/>
        <v>0</v>
      </c>
      <c r="AJ29" s="108">
        <f t="shared" si="2"/>
        <v>0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252">
        <v>23</v>
      </c>
      <c r="C30" s="253">
        <v>41809</v>
      </c>
      <c r="D30" s="254" t="s">
        <v>24</v>
      </c>
      <c r="E30" s="255" t="s">
        <v>9</v>
      </c>
      <c r="F30" s="256" t="s">
        <v>18</v>
      </c>
      <c r="G30" s="313">
        <v>0</v>
      </c>
      <c r="H30" s="255" t="s">
        <v>9</v>
      </c>
      <c r="I30" s="318">
        <v>2</v>
      </c>
      <c r="J30" s="257">
        <f t="shared" si="5"/>
        <v>2</v>
      </c>
      <c r="K30" s="239">
        <f t="shared" si="6"/>
        <v>0</v>
      </c>
      <c r="L30" s="239">
        <f t="shared" si="7"/>
        <v>3</v>
      </c>
      <c r="M30" s="228"/>
      <c r="N30" s="228"/>
      <c r="O30" s="277" t="s">
        <v>22</v>
      </c>
      <c r="P30" s="278">
        <f>SUMIF($D$8:$D$55,$O30,$G$8:$G$55)+SUMIF($F$8:$F$55,$O30,$I$8:$I$55)</f>
        <v>4</v>
      </c>
      <c r="Q30" s="278">
        <f>SUMIF($D$8:$D$55,$O30,$I$8:$I$55)+SUMIF($F$8:$F$55,$O30,$G$8:$G$55)</f>
        <v>4</v>
      </c>
      <c r="R30" s="278">
        <f>P30-Q30</f>
        <v>0</v>
      </c>
      <c r="S30" s="279">
        <f>SUMIF($D$8:$D$55,$O30,$K$8:$K$55)+SUMIF($F$8:$F$55,$O30,$L$8:$L$55)</f>
        <v>3</v>
      </c>
      <c r="T30" s="322" t="s">
        <v>64</v>
      </c>
      <c r="U30" s="40"/>
      <c r="V30" s="40" t="str">
        <f>O30</f>
        <v>Italië</v>
      </c>
      <c r="W30" s="40" t="s">
        <v>65</v>
      </c>
      <c r="Y30" s="109">
        <f t="shared" si="8"/>
        <v>1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1</v>
      </c>
      <c r="AG30" s="108">
        <f t="shared" si="0"/>
        <v>1</v>
      </c>
      <c r="AH30" s="108">
        <f t="shared" si="1"/>
        <v>0</v>
      </c>
      <c r="AI30" s="108">
        <f t="shared" si="10"/>
        <v>0</v>
      </c>
      <c r="AJ30" s="108">
        <f t="shared" si="2"/>
        <v>0</v>
      </c>
      <c r="AK30" s="108">
        <f t="shared" si="3"/>
        <v>0</v>
      </c>
      <c r="AL30" s="108">
        <f t="shared" si="4"/>
        <v>0</v>
      </c>
      <c r="AM30" s="120">
        <f>AO30</f>
        <v>10</v>
      </c>
      <c r="AN30" s="118" t="s">
        <v>22</v>
      </c>
      <c r="AO30" s="115">
        <f>IF(Uitslag!T30="",0,IF(T30=Uitslag!T30,10,0))</f>
        <v>10</v>
      </c>
    </row>
    <row r="31" spans="2:41" ht="15.75" thickBot="1">
      <c r="B31" s="240">
        <v>24</v>
      </c>
      <c r="C31" s="241">
        <v>41810</v>
      </c>
      <c r="D31" s="242" t="s">
        <v>22</v>
      </c>
      <c r="E31" s="243" t="s">
        <v>9</v>
      </c>
      <c r="F31" s="244" t="s">
        <v>20</v>
      </c>
      <c r="G31" s="311">
        <v>2</v>
      </c>
      <c r="H31" s="243" t="s">
        <v>9</v>
      </c>
      <c r="I31" s="316">
        <v>0</v>
      </c>
      <c r="J31" s="245">
        <f t="shared" si="5"/>
        <v>1</v>
      </c>
      <c r="K31" s="239">
        <f t="shared" si="6"/>
        <v>3</v>
      </c>
      <c r="L31" s="239">
        <f t="shared" si="7"/>
        <v>0</v>
      </c>
      <c r="M31" s="228"/>
      <c r="N31" s="228"/>
      <c r="O31" s="268"/>
      <c r="P31" s="269"/>
      <c r="Q31" s="269"/>
      <c r="R31" s="269"/>
      <c r="S31" s="269"/>
      <c r="T31" s="269"/>
      <c r="U31" s="40"/>
      <c r="V31" s="40"/>
      <c r="W31" s="40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0"/>
        <v>0</v>
      </c>
      <c r="AH31" s="108">
        <f t="shared" si="1"/>
        <v>0</v>
      </c>
      <c r="AI31" s="108">
        <f t="shared" si="10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40"/>
      <c r="AO31" s="41"/>
    </row>
    <row r="32" spans="2:41" ht="15.75" thickBot="1">
      <c r="B32" s="246">
        <v>25</v>
      </c>
      <c r="C32" s="247">
        <v>41810</v>
      </c>
      <c r="D32" s="248" t="s">
        <v>25</v>
      </c>
      <c r="E32" s="249" t="s">
        <v>9</v>
      </c>
      <c r="F32" s="258" t="s">
        <v>27</v>
      </c>
      <c r="G32" s="312">
        <v>1</v>
      </c>
      <c r="H32" s="249" t="s">
        <v>9</v>
      </c>
      <c r="I32" s="317">
        <v>3</v>
      </c>
      <c r="J32" s="251">
        <f t="shared" si="5"/>
        <v>2</v>
      </c>
      <c r="K32" s="239">
        <f t="shared" si="6"/>
        <v>0</v>
      </c>
      <c r="L32" s="239">
        <f t="shared" si="7"/>
        <v>3</v>
      </c>
      <c r="M32" s="228"/>
      <c r="N32" s="228"/>
      <c r="O32" s="298" t="s">
        <v>66</v>
      </c>
      <c r="P32" s="299" t="s">
        <v>42</v>
      </c>
      <c r="Q32" s="299" t="s">
        <v>43</v>
      </c>
      <c r="R32" s="300" t="s">
        <v>44</v>
      </c>
      <c r="S32" s="301" t="s">
        <v>45</v>
      </c>
      <c r="T32" s="302" t="s">
        <v>46</v>
      </c>
      <c r="U32" s="40"/>
      <c r="V32" s="40"/>
      <c r="W32" s="40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0"/>
        <v>0</v>
      </c>
      <c r="AH32" s="108">
        <f t="shared" si="1"/>
        <v>0</v>
      </c>
      <c r="AI32" s="108">
        <f t="shared" si="10"/>
        <v>0</v>
      </c>
      <c r="AJ32" s="108">
        <f t="shared" si="2"/>
        <v>0</v>
      </c>
      <c r="AK32" s="108">
        <f t="shared" si="3"/>
        <v>5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252">
        <v>26</v>
      </c>
      <c r="C33" s="253">
        <v>41810</v>
      </c>
      <c r="D33" s="254" t="s">
        <v>28</v>
      </c>
      <c r="E33" s="255" t="s">
        <v>9</v>
      </c>
      <c r="F33" s="256" t="s">
        <v>26</v>
      </c>
      <c r="G33" s="313">
        <v>1</v>
      </c>
      <c r="H33" s="255" t="s">
        <v>9</v>
      </c>
      <c r="I33" s="318">
        <v>1</v>
      </c>
      <c r="J33" s="257">
        <f t="shared" si="5"/>
        <v>3</v>
      </c>
      <c r="K33" s="239">
        <f t="shared" si="6"/>
        <v>1</v>
      </c>
      <c r="L33" s="239">
        <f t="shared" si="7"/>
        <v>1</v>
      </c>
      <c r="M33" s="228"/>
      <c r="N33" s="228"/>
      <c r="O33" s="270" t="s">
        <v>25</v>
      </c>
      <c r="P33" s="271">
        <f>SUMIF($D$8:$D$55,$O33,$G$8:$G$55)+SUMIF($F$8:$F$55,$O33,$I$8:$I$55)</f>
        <v>5</v>
      </c>
      <c r="Q33" s="271">
        <f>SUMIF($D$8:$D$55,$O33,$I$8:$I$55)+SUMIF($F$8:$F$55,$O33,$G$8:$G$55)</f>
        <v>6</v>
      </c>
      <c r="R33" s="272">
        <f>P33-Q33</f>
        <v>-1</v>
      </c>
      <c r="S33" s="273">
        <f>SUMIF($D$8:$D$55,$O33,$K$8:$K$55)+SUMIF($F$8:$F$55,$O33,$L$8:$L$55)</f>
        <v>3</v>
      </c>
      <c r="T33" s="320" t="s">
        <v>69</v>
      </c>
      <c r="U33" s="40"/>
      <c r="V33" s="40" t="str">
        <f>O33</f>
        <v>Zwitserland</v>
      </c>
      <c r="W33" s="40" t="s">
        <v>67</v>
      </c>
      <c r="Y33" s="109">
        <f t="shared" si="8"/>
        <v>1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1</v>
      </c>
      <c r="AG33" s="108">
        <f t="shared" si="0"/>
        <v>1</v>
      </c>
      <c r="AH33" s="108">
        <f t="shared" si="1"/>
        <v>0</v>
      </c>
      <c r="AI33" s="108">
        <f t="shared" si="10"/>
        <v>0</v>
      </c>
      <c r="AJ33" s="108">
        <f t="shared" si="2"/>
        <v>0</v>
      </c>
      <c r="AK33" s="108">
        <f t="shared" si="3"/>
        <v>0</v>
      </c>
      <c r="AL33" s="108">
        <f t="shared" si="4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240">
        <v>27</v>
      </c>
      <c r="C34" s="241">
        <v>41811</v>
      </c>
      <c r="D34" s="242" t="s">
        <v>29</v>
      </c>
      <c r="E34" s="243" t="s">
        <v>9</v>
      </c>
      <c r="F34" s="244" t="s">
        <v>33</v>
      </c>
      <c r="G34" s="311">
        <v>3</v>
      </c>
      <c r="H34" s="243" t="s">
        <v>9</v>
      </c>
      <c r="I34" s="316">
        <v>0</v>
      </c>
      <c r="J34" s="245">
        <f t="shared" si="5"/>
        <v>1</v>
      </c>
      <c r="K34" s="239">
        <f t="shared" si="6"/>
        <v>3</v>
      </c>
      <c r="L34" s="239">
        <f t="shared" si="7"/>
        <v>0</v>
      </c>
      <c r="M34" s="228"/>
      <c r="N34" s="228"/>
      <c r="O34" s="274" t="s">
        <v>26</v>
      </c>
      <c r="P34" s="275">
        <f>SUMIF($D$8:$D$55,$O34,$G$8:$G$55)+SUMIF($F$8:$F$55,$O34,$I$8:$I$55)</f>
        <v>5</v>
      </c>
      <c r="Q34" s="275">
        <f>SUMIF($D$8:$D$55,$O34,$I$8:$I$55)+SUMIF($F$8:$F$55,$O34,$G$8:$G$55)</f>
        <v>7</v>
      </c>
      <c r="R34" s="275">
        <f>P34-Q34</f>
        <v>-2</v>
      </c>
      <c r="S34" s="276">
        <f>SUMIF($D$8:$D$55,$O34,$K$8:$K$55)+SUMIF($F$8:$F$55,$O34,$L$8:$L$55)</f>
        <v>4</v>
      </c>
      <c r="T34" s="321" t="s">
        <v>68</v>
      </c>
      <c r="U34" s="40"/>
      <c r="V34" s="40" t="str">
        <f>O34</f>
        <v>Ecuador</v>
      </c>
      <c r="W34" s="40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0"/>
        <v>0</v>
      </c>
      <c r="AH34" s="108">
        <f t="shared" si="1"/>
        <v>1</v>
      </c>
      <c r="AI34" s="108">
        <f t="shared" si="10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246">
        <v>28</v>
      </c>
      <c r="C35" s="247">
        <v>41811</v>
      </c>
      <c r="D35" s="248" t="s">
        <v>31</v>
      </c>
      <c r="E35" s="249" t="s">
        <v>9</v>
      </c>
      <c r="F35" s="258" t="s">
        <v>35</v>
      </c>
      <c r="G35" s="312">
        <v>2</v>
      </c>
      <c r="H35" s="249" t="s">
        <v>9</v>
      </c>
      <c r="I35" s="317">
        <v>0</v>
      </c>
      <c r="J35" s="251">
        <f t="shared" si="5"/>
        <v>1</v>
      </c>
      <c r="K35" s="239">
        <f t="shared" si="6"/>
        <v>3</v>
      </c>
      <c r="L35" s="239">
        <f t="shared" si="7"/>
        <v>0</v>
      </c>
      <c r="M35" s="228"/>
      <c r="N35" s="228"/>
      <c r="O35" s="274" t="s">
        <v>27</v>
      </c>
      <c r="P35" s="275">
        <f>SUMIF($D$8:$D$55,$O35,$G$8:$G$55)+SUMIF($F$8:$F$55,$O35,$I$8:$I$55)</f>
        <v>10</v>
      </c>
      <c r="Q35" s="275">
        <f>SUMIF($D$8:$D$55,$O35,$I$8:$I$55)+SUMIF($F$8:$F$55,$O35,$G$8:$G$55)</f>
        <v>2</v>
      </c>
      <c r="R35" s="275">
        <f>P35-Q35</f>
        <v>8</v>
      </c>
      <c r="S35" s="276">
        <f>SUMIF($D$8:$D$55,$O35,$K$8:$K$55)+SUMIF($F$8:$F$55,$O35,$L$8:$L$55)</f>
        <v>9</v>
      </c>
      <c r="T35" s="321" t="s">
        <v>67</v>
      </c>
      <c r="U35" s="40"/>
      <c r="V35" s="40" t="str">
        <f>O35</f>
        <v>Frankrijk</v>
      </c>
      <c r="W35" s="40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0"/>
        <v>1</v>
      </c>
      <c r="AH35" s="108">
        <f t="shared" si="1"/>
        <v>0</v>
      </c>
      <c r="AI35" s="108">
        <f t="shared" si="10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252">
        <v>29</v>
      </c>
      <c r="C36" s="253">
        <v>41811</v>
      </c>
      <c r="D36" s="254" t="s">
        <v>34</v>
      </c>
      <c r="E36" s="255" t="s">
        <v>9</v>
      </c>
      <c r="F36" s="256" t="s">
        <v>30</v>
      </c>
      <c r="G36" s="313">
        <v>2</v>
      </c>
      <c r="H36" s="255" t="s">
        <v>9</v>
      </c>
      <c r="I36" s="318">
        <v>0</v>
      </c>
      <c r="J36" s="257">
        <f t="shared" si="5"/>
        <v>1</v>
      </c>
      <c r="K36" s="239">
        <f t="shared" si="6"/>
        <v>3</v>
      </c>
      <c r="L36" s="239">
        <f t="shared" si="7"/>
        <v>0</v>
      </c>
      <c r="M36" s="228"/>
      <c r="N36" s="228"/>
      <c r="O36" s="277" t="s">
        <v>28</v>
      </c>
      <c r="P36" s="278">
        <f>SUMIF($D$8:$D$55,$O36,$G$8:$G$55)+SUMIF($F$8:$F$55,$O36,$I$8:$I$55)</f>
        <v>1</v>
      </c>
      <c r="Q36" s="278">
        <f>SUMIF($D$8:$D$55,$O36,$I$8:$I$55)+SUMIF($F$8:$F$55,$O36,$G$8:$G$55)</f>
        <v>6</v>
      </c>
      <c r="R36" s="278">
        <f>P36-Q36</f>
        <v>-5</v>
      </c>
      <c r="S36" s="279">
        <f>SUMIF($D$8:$D$55,$O36,$K$8:$K$55)+SUMIF($F$8:$F$55,$O36,$L$8:$L$55)</f>
        <v>1</v>
      </c>
      <c r="T36" s="322" t="s">
        <v>70</v>
      </c>
      <c r="U36" s="40"/>
      <c r="V36" s="40" t="str">
        <f>O36</f>
        <v>Honduras</v>
      </c>
      <c r="W36" s="40" t="s">
        <v>70</v>
      </c>
      <c r="Y36" s="109">
        <f t="shared" si="8"/>
        <v>6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6</v>
      </c>
      <c r="AG36" s="108">
        <f t="shared" si="0"/>
        <v>0</v>
      </c>
      <c r="AH36" s="108">
        <f t="shared" si="1"/>
        <v>1</v>
      </c>
      <c r="AI36" s="108">
        <f t="shared" si="10"/>
        <v>0</v>
      </c>
      <c r="AJ36" s="108">
        <f t="shared" si="2"/>
        <v>5</v>
      </c>
      <c r="AK36" s="108">
        <f t="shared" si="3"/>
        <v>0</v>
      </c>
      <c r="AL36" s="108">
        <f t="shared" si="4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240">
        <v>30</v>
      </c>
      <c r="C37" s="241">
        <v>41812</v>
      </c>
      <c r="D37" s="242" t="s">
        <v>37</v>
      </c>
      <c r="E37" s="243" t="s">
        <v>9</v>
      </c>
      <c r="F37" s="244" t="s">
        <v>39</v>
      </c>
      <c r="G37" s="311">
        <v>3</v>
      </c>
      <c r="H37" s="243" t="s">
        <v>9</v>
      </c>
      <c r="I37" s="316">
        <v>1</v>
      </c>
      <c r="J37" s="245">
        <f t="shared" si="5"/>
        <v>1</v>
      </c>
      <c r="K37" s="239">
        <f t="shared" si="6"/>
        <v>3</v>
      </c>
      <c r="L37" s="239">
        <f t="shared" si="7"/>
        <v>0</v>
      </c>
      <c r="M37" s="228"/>
      <c r="N37" s="228"/>
      <c r="O37" s="268"/>
      <c r="P37" s="269"/>
      <c r="Q37" s="269"/>
      <c r="R37" s="269"/>
      <c r="S37" s="269"/>
      <c r="T37" s="269"/>
      <c r="U37" s="40"/>
      <c r="V37" s="40"/>
      <c r="W37" s="40"/>
      <c r="Y37" s="109">
        <f t="shared" si="8"/>
        <v>5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5</v>
      </c>
      <c r="AG37" s="108">
        <f t="shared" si="0"/>
        <v>0</v>
      </c>
      <c r="AH37" s="108">
        <f t="shared" si="1"/>
        <v>0</v>
      </c>
      <c r="AI37" s="108">
        <f t="shared" si="10"/>
        <v>0</v>
      </c>
      <c r="AJ37" s="108">
        <f t="shared" si="2"/>
        <v>5</v>
      </c>
      <c r="AK37" s="108">
        <f t="shared" si="3"/>
        <v>0</v>
      </c>
      <c r="AL37" s="108">
        <f t="shared" si="4"/>
        <v>0</v>
      </c>
      <c r="AN37" s="40"/>
      <c r="AO37" s="41"/>
    </row>
    <row r="38" spans="2:41" ht="15.75" thickBot="1">
      <c r="B38" s="246">
        <v>31</v>
      </c>
      <c r="C38" s="247">
        <v>41812</v>
      </c>
      <c r="D38" s="248" t="s">
        <v>40</v>
      </c>
      <c r="E38" s="249" t="s">
        <v>9</v>
      </c>
      <c r="F38" s="258" t="s">
        <v>38</v>
      </c>
      <c r="G38" s="312">
        <v>1</v>
      </c>
      <c r="H38" s="249" t="s">
        <v>9</v>
      </c>
      <c r="I38" s="317">
        <v>1</v>
      </c>
      <c r="J38" s="251">
        <f t="shared" si="5"/>
        <v>3</v>
      </c>
      <c r="K38" s="239">
        <f t="shared" si="6"/>
        <v>1</v>
      </c>
      <c r="L38" s="239">
        <f t="shared" si="7"/>
        <v>1</v>
      </c>
      <c r="M38" s="228"/>
      <c r="N38" s="228"/>
      <c r="O38" s="298" t="s">
        <v>71</v>
      </c>
      <c r="P38" s="299" t="s">
        <v>42</v>
      </c>
      <c r="Q38" s="299" t="s">
        <v>43</v>
      </c>
      <c r="R38" s="300" t="s">
        <v>44</v>
      </c>
      <c r="S38" s="301" t="s">
        <v>45</v>
      </c>
      <c r="T38" s="302" t="s">
        <v>46</v>
      </c>
      <c r="U38" s="40"/>
      <c r="V38" s="40"/>
      <c r="W38" s="40"/>
      <c r="Y38" s="109">
        <f t="shared" si="8"/>
        <v>0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0</v>
      </c>
      <c r="AG38" s="108">
        <f t="shared" si="0"/>
        <v>0</v>
      </c>
      <c r="AH38" s="108">
        <f t="shared" si="1"/>
        <v>0</v>
      </c>
      <c r="AI38" s="108">
        <f t="shared" si="10"/>
        <v>0</v>
      </c>
      <c r="AJ38" s="108">
        <f t="shared" si="2"/>
        <v>0</v>
      </c>
      <c r="AK38" s="108">
        <f t="shared" si="3"/>
        <v>0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252">
        <v>32</v>
      </c>
      <c r="C39" s="253">
        <v>41812</v>
      </c>
      <c r="D39" s="254" t="s">
        <v>36</v>
      </c>
      <c r="E39" s="255" t="s">
        <v>9</v>
      </c>
      <c r="F39" s="256" t="s">
        <v>32</v>
      </c>
      <c r="G39" s="313">
        <v>0</v>
      </c>
      <c r="H39" s="255" t="s">
        <v>9</v>
      </c>
      <c r="I39" s="318">
        <v>3</v>
      </c>
      <c r="J39" s="257">
        <f t="shared" si="5"/>
        <v>2</v>
      </c>
      <c r="K39" s="239">
        <f t="shared" si="6"/>
        <v>0</v>
      </c>
      <c r="L39" s="239">
        <f t="shared" si="7"/>
        <v>3</v>
      </c>
      <c r="M39" s="228"/>
      <c r="N39" s="228"/>
      <c r="O39" s="270" t="s">
        <v>29</v>
      </c>
      <c r="P39" s="271">
        <f>SUMIF($D$8:$D$55,$O39,$G$8:$G$55)+SUMIF($F$8:$F$55,$O39,$I$8:$I$55)</f>
        <v>7</v>
      </c>
      <c r="Q39" s="271">
        <f>SUMIF($D$8:$D$55,$O39,$I$8:$I$55)+SUMIF($F$8:$F$55,$O39,$G$8:$G$55)</f>
        <v>0</v>
      </c>
      <c r="R39" s="272">
        <f>P39-Q39</f>
        <v>7</v>
      </c>
      <c r="S39" s="273">
        <f>SUMIF($D$8:$D$55,$O39,$K$8:$K$55)+SUMIF($F$8:$F$55,$O39,$L$8:$L$55)</f>
        <v>9</v>
      </c>
      <c r="T39" s="320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0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0</v>
      </c>
      <c r="AG39" s="108">
        <f t="shared" si="0"/>
        <v>0</v>
      </c>
      <c r="AH39" s="108">
        <f t="shared" si="1"/>
        <v>0</v>
      </c>
      <c r="AI39" s="108">
        <f t="shared" si="10"/>
        <v>0</v>
      </c>
      <c r="AJ39" s="108">
        <f t="shared" si="2"/>
        <v>0</v>
      </c>
      <c r="AK39" s="108">
        <f t="shared" si="3"/>
        <v>0</v>
      </c>
      <c r="AL39" s="108">
        <f t="shared" si="4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240">
        <v>33</v>
      </c>
      <c r="C40" s="241">
        <v>41813</v>
      </c>
      <c r="D40" s="242" t="s">
        <v>16</v>
      </c>
      <c r="E40" s="243" t="s">
        <v>9</v>
      </c>
      <c r="F40" s="244" t="s">
        <v>13</v>
      </c>
      <c r="G40" s="311">
        <v>1</v>
      </c>
      <c r="H40" s="243" t="s">
        <v>9</v>
      </c>
      <c r="I40" s="316">
        <v>2</v>
      </c>
      <c r="J40" s="245">
        <f t="shared" si="5"/>
        <v>2</v>
      </c>
      <c r="K40" s="239">
        <f t="shared" si="6"/>
        <v>0</v>
      </c>
      <c r="L40" s="239">
        <f t="shared" si="7"/>
        <v>3</v>
      </c>
      <c r="M40" s="228"/>
      <c r="N40" s="228"/>
      <c r="O40" s="274" t="s">
        <v>30</v>
      </c>
      <c r="P40" s="275">
        <f>SUMIF($D$8:$D$55,$O40,$G$8:$G$55)+SUMIF($F$8:$F$55,$O40,$I$8:$I$55)</f>
        <v>1</v>
      </c>
      <c r="Q40" s="275">
        <f>SUMIF($D$8:$D$55,$O40,$I$8:$I$55)+SUMIF($F$8:$F$55,$O40,$G$8:$G$55)</f>
        <v>5</v>
      </c>
      <c r="R40" s="275">
        <f>P40-Q40</f>
        <v>-4</v>
      </c>
      <c r="S40" s="276">
        <f>SUMIF($D$8:$D$55,$O40,$K$8:$K$55)+SUMIF($F$8:$F$55,$O40,$L$8:$L$55)</f>
        <v>1</v>
      </c>
      <c r="T40" s="321" t="s">
        <v>74</v>
      </c>
      <c r="U40" s="40"/>
      <c r="V40" s="40" t="str">
        <f>O40</f>
        <v>Bosnië H.</v>
      </c>
      <c r="W40" s="40" t="s">
        <v>73</v>
      </c>
      <c r="Y40" s="109">
        <f t="shared" si="8"/>
        <v>5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5</v>
      </c>
      <c r="AG40" s="108">
        <f t="shared" si="0"/>
        <v>0</v>
      </c>
      <c r="AH40" s="108">
        <f t="shared" si="1"/>
        <v>0</v>
      </c>
      <c r="AI40" s="108">
        <f t="shared" si="10"/>
        <v>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246">
        <v>34</v>
      </c>
      <c r="C41" s="247">
        <v>41813</v>
      </c>
      <c r="D41" s="260" t="s">
        <v>14</v>
      </c>
      <c r="E41" s="249" t="s">
        <v>9</v>
      </c>
      <c r="F41" s="258" t="s">
        <v>15</v>
      </c>
      <c r="G41" s="312">
        <v>3</v>
      </c>
      <c r="H41" s="249" t="s">
        <v>9</v>
      </c>
      <c r="I41" s="317">
        <v>0</v>
      </c>
      <c r="J41" s="251">
        <f t="shared" si="5"/>
        <v>1</v>
      </c>
      <c r="K41" s="239">
        <f t="shared" si="6"/>
        <v>3</v>
      </c>
      <c r="L41" s="239">
        <f t="shared" si="7"/>
        <v>0</v>
      </c>
      <c r="M41" s="228"/>
      <c r="N41" s="228"/>
      <c r="O41" s="274" t="s">
        <v>33</v>
      </c>
      <c r="P41" s="275">
        <f>SUMIF($D$8:$D$55,$O41,$G$8:$G$55)+SUMIF($F$8:$F$55,$O41,$I$8:$I$55)</f>
        <v>1</v>
      </c>
      <c r="Q41" s="275">
        <f>SUMIF($D$8:$D$55,$O41,$I$8:$I$55)+SUMIF($F$8:$F$55,$O41,$G$8:$G$55)</f>
        <v>7</v>
      </c>
      <c r="R41" s="275">
        <f>P41-Q41</f>
        <v>-6</v>
      </c>
      <c r="S41" s="276">
        <f>SUMIF($D$8:$D$55,$O41,$K$8:$K$55)+SUMIF($F$8:$F$55,$O41,$L$8:$L$55)</f>
        <v>1</v>
      </c>
      <c r="T41" s="321" t="s">
        <v>75</v>
      </c>
      <c r="U41" s="40"/>
      <c r="V41" s="40" t="str">
        <f>O41</f>
        <v>Iran</v>
      </c>
      <c r="W41" s="40" t="s">
        <v>74</v>
      </c>
      <c r="Y41" s="109">
        <f t="shared" si="8"/>
        <v>6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6</v>
      </c>
      <c r="AG41" s="108">
        <f t="shared" si="0"/>
        <v>0</v>
      </c>
      <c r="AH41" s="108">
        <f t="shared" si="1"/>
        <v>1</v>
      </c>
      <c r="AI41" s="108">
        <f t="shared" si="10"/>
        <v>0</v>
      </c>
      <c r="AJ41" s="108">
        <f t="shared" si="2"/>
        <v>5</v>
      </c>
      <c r="AK41" s="108">
        <f t="shared" si="3"/>
        <v>0</v>
      </c>
      <c r="AL41" s="108">
        <f t="shared" si="4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246">
        <v>35</v>
      </c>
      <c r="C42" s="247">
        <v>41813</v>
      </c>
      <c r="D42" s="248" t="s">
        <v>12</v>
      </c>
      <c r="E42" s="249" t="s">
        <v>9</v>
      </c>
      <c r="F42" s="258" t="s">
        <v>8</v>
      </c>
      <c r="G42" s="312">
        <v>1</v>
      </c>
      <c r="H42" s="249" t="s">
        <v>9</v>
      </c>
      <c r="I42" s="317">
        <v>4</v>
      </c>
      <c r="J42" s="251">
        <f t="shared" si="5"/>
        <v>2</v>
      </c>
      <c r="K42" s="239">
        <f t="shared" si="6"/>
        <v>0</v>
      </c>
      <c r="L42" s="239">
        <f t="shared" si="7"/>
        <v>3</v>
      </c>
      <c r="M42" s="228"/>
      <c r="N42" s="228"/>
      <c r="O42" s="277" t="s">
        <v>34</v>
      </c>
      <c r="P42" s="278">
        <f>SUMIF($D$8:$D$55,$O42,$G$8:$G$55)+SUMIF($F$8:$F$55,$O42,$I$8:$I$55)</f>
        <v>5</v>
      </c>
      <c r="Q42" s="278">
        <f>SUMIF($D$8:$D$55,$O42,$I$8:$I$55)+SUMIF($F$8:$F$55,$O42,$G$8:$G$55)</f>
        <v>2</v>
      </c>
      <c r="R42" s="278">
        <f>P42-Q42</f>
        <v>3</v>
      </c>
      <c r="S42" s="279">
        <f>SUMIF($D$8:$D$55,$O42,$K$8:$K$55)+SUMIF($F$8:$F$55,$O42,$L$8:$L$55)</f>
        <v>6</v>
      </c>
      <c r="T42" s="322" t="s">
        <v>73</v>
      </c>
      <c r="U42" s="40"/>
      <c r="V42" s="40" t="str">
        <f>O42</f>
        <v>Nigeria</v>
      </c>
      <c r="W42" s="40" t="s">
        <v>75</v>
      </c>
      <c r="Y42" s="109">
        <f t="shared" si="8"/>
        <v>10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10</v>
      </c>
      <c r="AG42" s="108">
        <f t="shared" si="0"/>
        <v>1</v>
      </c>
      <c r="AH42" s="108">
        <f t="shared" si="1"/>
        <v>1</v>
      </c>
      <c r="AI42" s="108">
        <f t="shared" si="10"/>
        <v>10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252">
        <v>36</v>
      </c>
      <c r="C43" s="253">
        <v>41813</v>
      </c>
      <c r="D43" s="254" t="s">
        <v>10</v>
      </c>
      <c r="E43" s="255" t="s">
        <v>9</v>
      </c>
      <c r="F43" s="256" t="s">
        <v>11</v>
      </c>
      <c r="G43" s="313">
        <v>2</v>
      </c>
      <c r="H43" s="255" t="s">
        <v>9</v>
      </c>
      <c r="I43" s="318">
        <v>1</v>
      </c>
      <c r="J43" s="257">
        <f t="shared" si="5"/>
        <v>1</v>
      </c>
      <c r="K43" s="239">
        <f t="shared" si="6"/>
        <v>3</v>
      </c>
      <c r="L43" s="239">
        <f t="shared" si="7"/>
        <v>0</v>
      </c>
      <c r="M43" s="228"/>
      <c r="N43" s="228"/>
      <c r="O43" s="268"/>
      <c r="P43" s="269"/>
      <c r="Q43" s="269"/>
      <c r="R43" s="269"/>
      <c r="S43" s="269"/>
      <c r="T43" s="269"/>
      <c r="U43" s="40"/>
      <c r="V43" s="40"/>
      <c r="W43" s="40"/>
      <c r="Y43" s="109">
        <f t="shared" si="8"/>
        <v>0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0</v>
      </c>
      <c r="AG43" s="108">
        <f t="shared" si="0"/>
        <v>0</v>
      </c>
      <c r="AH43" s="108">
        <f t="shared" si="1"/>
        <v>0</v>
      </c>
      <c r="AI43" s="108">
        <f t="shared" si="10"/>
        <v>0</v>
      </c>
      <c r="AJ43" s="108">
        <f t="shared" si="2"/>
        <v>0</v>
      </c>
      <c r="AK43" s="108">
        <f t="shared" si="3"/>
        <v>0</v>
      </c>
      <c r="AL43" s="108">
        <f t="shared" si="4"/>
        <v>0</v>
      </c>
      <c r="AN43" s="40"/>
      <c r="AO43" s="41"/>
    </row>
    <row r="44" spans="2:41" ht="15.75" thickBot="1">
      <c r="B44" s="240">
        <v>37</v>
      </c>
      <c r="C44" s="241">
        <v>41814</v>
      </c>
      <c r="D44" s="242" t="s">
        <v>22</v>
      </c>
      <c r="E44" s="243" t="s">
        <v>9</v>
      </c>
      <c r="F44" s="244" t="s">
        <v>19</v>
      </c>
      <c r="G44" s="311">
        <v>1</v>
      </c>
      <c r="H44" s="243" t="s">
        <v>9</v>
      </c>
      <c r="I44" s="316">
        <v>2</v>
      </c>
      <c r="J44" s="245">
        <f t="shared" si="5"/>
        <v>2</v>
      </c>
      <c r="K44" s="239">
        <f t="shared" si="6"/>
        <v>0</v>
      </c>
      <c r="L44" s="239">
        <f t="shared" si="7"/>
        <v>3</v>
      </c>
      <c r="M44" s="228"/>
      <c r="N44" s="228"/>
      <c r="O44" s="298" t="s">
        <v>76</v>
      </c>
      <c r="P44" s="299" t="s">
        <v>42</v>
      </c>
      <c r="Q44" s="299" t="s">
        <v>43</v>
      </c>
      <c r="R44" s="300" t="s">
        <v>44</v>
      </c>
      <c r="S44" s="301" t="s">
        <v>45</v>
      </c>
      <c r="T44" s="302" t="s">
        <v>46</v>
      </c>
      <c r="U44" s="40"/>
      <c r="V44" s="40"/>
      <c r="W44" s="40"/>
      <c r="Y44" s="109">
        <f t="shared" si="8"/>
        <v>5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5</v>
      </c>
      <c r="AG44" s="108">
        <f t="shared" si="0"/>
        <v>0</v>
      </c>
      <c r="AH44" s="108">
        <f t="shared" si="1"/>
        <v>0</v>
      </c>
      <c r="AI44" s="108">
        <f t="shared" si="10"/>
        <v>0</v>
      </c>
      <c r="AJ44" s="108">
        <f t="shared" si="2"/>
        <v>0</v>
      </c>
      <c r="AK44" s="108">
        <f t="shared" si="3"/>
        <v>5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246">
        <v>38</v>
      </c>
      <c r="C45" s="247">
        <v>41814</v>
      </c>
      <c r="D45" s="248" t="s">
        <v>20</v>
      </c>
      <c r="E45" s="249" t="s">
        <v>9</v>
      </c>
      <c r="F45" s="258" t="s">
        <v>21</v>
      </c>
      <c r="G45" s="312">
        <v>1</v>
      </c>
      <c r="H45" s="249" t="s">
        <v>9</v>
      </c>
      <c r="I45" s="317">
        <v>3</v>
      </c>
      <c r="J45" s="251">
        <f t="shared" si="5"/>
        <v>2</v>
      </c>
      <c r="K45" s="239">
        <f t="shared" si="6"/>
        <v>0</v>
      </c>
      <c r="L45" s="239">
        <f t="shared" si="7"/>
        <v>3</v>
      </c>
      <c r="M45" s="228"/>
      <c r="N45" s="228"/>
      <c r="O45" s="270" t="s">
        <v>31</v>
      </c>
      <c r="P45" s="271">
        <f>SUMIF($D$8:$D$55,$O45,$G$8:$G$55)+SUMIF($F$8:$F$55,$O45,$I$8:$I$55)</f>
        <v>7</v>
      </c>
      <c r="Q45" s="271">
        <f>SUMIF($D$8:$D$55,$O45,$I$8:$I$55)+SUMIF($F$8:$F$55,$O45,$G$8:$G$55)</f>
        <v>2</v>
      </c>
      <c r="R45" s="272">
        <f>P45-Q45</f>
        <v>5</v>
      </c>
      <c r="S45" s="273">
        <f>SUMIF($D$8:$D$55,$O45,$K$8:$K$55)+SUMIF($F$8:$F$55,$O45,$L$8:$L$55)</f>
        <v>9</v>
      </c>
      <c r="T45" s="320" t="s">
        <v>77</v>
      </c>
      <c r="U45" s="40"/>
      <c r="V45" s="40" t="str">
        <f>O45</f>
        <v>Duitsland</v>
      </c>
      <c r="W45" s="40" t="s">
        <v>77</v>
      </c>
      <c r="Y45" s="109">
        <f t="shared" si="8"/>
        <v>0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0</v>
      </c>
      <c r="AG45" s="108">
        <f t="shared" si="0"/>
        <v>0</v>
      </c>
      <c r="AH45" s="108">
        <f t="shared" si="1"/>
        <v>0</v>
      </c>
      <c r="AI45" s="108">
        <f t="shared" si="10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246">
        <v>39</v>
      </c>
      <c r="C46" s="247">
        <v>41814</v>
      </c>
      <c r="D46" s="248" t="s">
        <v>24</v>
      </c>
      <c r="E46" s="249" t="s">
        <v>9</v>
      </c>
      <c r="F46" s="258" t="s">
        <v>17</v>
      </c>
      <c r="G46" s="312">
        <v>2</v>
      </c>
      <c r="H46" s="249" t="s">
        <v>9</v>
      </c>
      <c r="I46" s="317">
        <v>3</v>
      </c>
      <c r="J46" s="251">
        <f t="shared" si="5"/>
        <v>2</v>
      </c>
      <c r="K46" s="239">
        <f t="shared" si="6"/>
        <v>0</v>
      </c>
      <c r="L46" s="239">
        <f t="shared" si="7"/>
        <v>3</v>
      </c>
      <c r="M46" s="228"/>
      <c r="N46" s="228"/>
      <c r="O46" s="274" t="s">
        <v>32</v>
      </c>
      <c r="P46" s="275">
        <f>SUMIF($D$8:$D$55,$O46,$G$8:$G$55)+SUMIF($F$8:$F$55,$O46,$I$8:$I$55)</f>
        <v>6</v>
      </c>
      <c r="Q46" s="275">
        <f>SUMIF($D$8:$D$55,$O46,$I$8:$I$55)+SUMIF($F$8:$F$55,$O46,$G$8:$G$55)</f>
        <v>2</v>
      </c>
      <c r="R46" s="275">
        <f>P46-Q46</f>
        <v>4</v>
      </c>
      <c r="S46" s="276">
        <f>SUMIF($D$8:$D$55,$O46,$K$8:$K$55)+SUMIF($F$8:$F$55,$O46,$L$8:$L$55)</f>
        <v>6</v>
      </c>
      <c r="T46" s="321" t="s">
        <v>78</v>
      </c>
      <c r="U46" s="40"/>
      <c r="V46" s="40" t="str">
        <f>O46</f>
        <v>Portugal</v>
      </c>
      <c r="W46" s="40" t="s">
        <v>78</v>
      </c>
      <c r="Y46" s="109">
        <f t="shared" si="8"/>
        <v>5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5</v>
      </c>
      <c r="AG46" s="108">
        <f t="shared" si="0"/>
        <v>0</v>
      </c>
      <c r="AH46" s="108">
        <f t="shared" si="1"/>
        <v>0</v>
      </c>
      <c r="AI46" s="108">
        <f t="shared" si="10"/>
        <v>0</v>
      </c>
      <c r="AJ46" s="108">
        <f t="shared" si="2"/>
        <v>0</v>
      </c>
      <c r="AK46" s="108">
        <f t="shared" si="3"/>
        <v>5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252">
        <v>40</v>
      </c>
      <c r="C47" s="253">
        <v>41814</v>
      </c>
      <c r="D47" s="254" t="s">
        <v>18</v>
      </c>
      <c r="E47" s="255" t="s">
        <v>9</v>
      </c>
      <c r="F47" s="256" t="s">
        <v>23</v>
      </c>
      <c r="G47" s="313">
        <v>2</v>
      </c>
      <c r="H47" s="255" t="s">
        <v>9</v>
      </c>
      <c r="I47" s="318">
        <v>0</v>
      </c>
      <c r="J47" s="257">
        <f t="shared" si="5"/>
        <v>1</v>
      </c>
      <c r="K47" s="239">
        <f t="shared" si="6"/>
        <v>3</v>
      </c>
      <c r="L47" s="239">
        <f t="shared" si="7"/>
        <v>0</v>
      </c>
      <c r="M47" s="228"/>
      <c r="N47" s="228"/>
      <c r="O47" s="274" t="s">
        <v>35</v>
      </c>
      <c r="P47" s="275">
        <f>SUMIF($D$8:$D$55,$O47,$G$8:$G$55)+SUMIF($F$8:$F$55,$O47,$I$8:$I$55)</f>
        <v>0</v>
      </c>
      <c r="Q47" s="275">
        <f>SUMIF($D$8:$D$55,$O47,$I$8:$I$55)+SUMIF($F$8:$F$55,$O47,$G$8:$G$55)</f>
        <v>6</v>
      </c>
      <c r="R47" s="275">
        <f>P47-Q47</f>
        <v>-6</v>
      </c>
      <c r="S47" s="276">
        <f>SUMIF($D$8:$D$55,$O47,$K$8:$K$55)+SUMIF($F$8:$F$55,$O47,$L$8:$L$55)</f>
        <v>0</v>
      </c>
      <c r="T47" s="321" t="s">
        <v>80</v>
      </c>
      <c r="U47" s="40"/>
      <c r="V47" s="40" t="str">
        <f>O47</f>
        <v>Ghana</v>
      </c>
      <c r="W47" s="40" t="s">
        <v>79</v>
      </c>
      <c r="Y47" s="109">
        <f t="shared" si="8"/>
        <v>6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6</v>
      </c>
      <c r="AG47" s="108">
        <f t="shared" si="0"/>
        <v>1</v>
      </c>
      <c r="AH47" s="108">
        <f t="shared" si="1"/>
        <v>0</v>
      </c>
      <c r="AI47" s="108">
        <f t="shared" si="10"/>
        <v>0</v>
      </c>
      <c r="AJ47" s="108">
        <f t="shared" si="2"/>
        <v>5</v>
      </c>
      <c r="AK47" s="108">
        <f t="shared" si="3"/>
        <v>0</v>
      </c>
      <c r="AL47" s="108">
        <f t="shared" si="4"/>
        <v>0</v>
      </c>
      <c r="AM47" s="120">
        <f>AO47</f>
        <v>10</v>
      </c>
      <c r="AN47" s="117" t="s">
        <v>35</v>
      </c>
      <c r="AO47" s="115">
        <f>IF(Uitslag!T47="",0,IF(T47=Uitslag!T47,10,0))</f>
        <v>10</v>
      </c>
    </row>
    <row r="48" spans="2:41" ht="15.75" thickBot="1">
      <c r="B48" s="240">
        <v>41</v>
      </c>
      <c r="C48" s="241">
        <v>41815</v>
      </c>
      <c r="D48" s="242" t="s">
        <v>34</v>
      </c>
      <c r="E48" s="243" t="s">
        <v>9</v>
      </c>
      <c r="F48" s="244" t="s">
        <v>29</v>
      </c>
      <c r="G48" s="311">
        <v>0</v>
      </c>
      <c r="H48" s="243" t="s">
        <v>9</v>
      </c>
      <c r="I48" s="316">
        <v>2</v>
      </c>
      <c r="J48" s="245">
        <f t="shared" si="5"/>
        <v>2</v>
      </c>
      <c r="K48" s="239">
        <f t="shared" si="6"/>
        <v>0</v>
      </c>
      <c r="L48" s="239">
        <f t="shared" si="7"/>
        <v>3</v>
      </c>
      <c r="M48" s="228"/>
      <c r="N48" s="228"/>
      <c r="O48" s="277" t="s">
        <v>36</v>
      </c>
      <c r="P48" s="278">
        <f>SUMIF($D$8:$D$55,$O48,$G$8:$G$55)+SUMIF($F$8:$F$55,$O48,$I$8:$I$55)</f>
        <v>3</v>
      </c>
      <c r="Q48" s="278">
        <f>SUMIF($D$8:$D$55,$O48,$I$8:$I$55)+SUMIF($F$8:$F$55,$O48,$G$8:$G$55)</f>
        <v>6</v>
      </c>
      <c r="R48" s="278">
        <f>P48-Q48</f>
        <v>-3</v>
      </c>
      <c r="S48" s="279">
        <f>SUMIF($D$8:$D$55,$O48,$K$8:$K$55)+SUMIF($F$8:$F$55,$O48,$L$8:$L$55)</f>
        <v>3</v>
      </c>
      <c r="T48" s="322" t="s">
        <v>79</v>
      </c>
      <c r="U48" s="40"/>
      <c r="V48" s="40" t="str">
        <f>O48</f>
        <v>Verenigde Staten</v>
      </c>
      <c r="W48" s="40" t="s">
        <v>80</v>
      </c>
      <c r="Y48" s="109">
        <f t="shared" si="8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5</v>
      </c>
      <c r="AG48" s="108">
        <f t="shared" si="0"/>
        <v>0</v>
      </c>
      <c r="AH48" s="108">
        <f t="shared" si="1"/>
        <v>0</v>
      </c>
      <c r="AI48" s="108">
        <f t="shared" si="10"/>
        <v>0</v>
      </c>
      <c r="AJ48" s="108">
        <f t="shared" si="2"/>
        <v>0</v>
      </c>
      <c r="AK48" s="108">
        <f t="shared" si="3"/>
        <v>5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246">
        <v>42</v>
      </c>
      <c r="C49" s="247">
        <v>41815</v>
      </c>
      <c r="D49" s="248" t="s">
        <v>30</v>
      </c>
      <c r="E49" s="249" t="s">
        <v>9</v>
      </c>
      <c r="F49" s="258" t="s">
        <v>33</v>
      </c>
      <c r="G49" s="312">
        <v>1</v>
      </c>
      <c r="H49" s="249" t="s">
        <v>9</v>
      </c>
      <c r="I49" s="317">
        <v>1</v>
      </c>
      <c r="J49" s="251">
        <f t="shared" si="5"/>
        <v>3</v>
      </c>
      <c r="K49" s="239">
        <f t="shared" si="6"/>
        <v>1</v>
      </c>
      <c r="L49" s="239">
        <f t="shared" si="7"/>
        <v>1</v>
      </c>
      <c r="M49" s="228"/>
      <c r="N49" s="228"/>
      <c r="O49" s="268"/>
      <c r="P49" s="269"/>
      <c r="Q49" s="269"/>
      <c r="R49" s="269"/>
      <c r="S49" s="269"/>
      <c r="T49" s="269"/>
      <c r="U49" s="40"/>
      <c r="V49" s="40"/>
      <c r="W49" s="40"/>
      <c r="Y49" s="109">
        <f t="shared" si="8"/>
        <v>1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1</v>
      </c>
      <c r="AG49" s="108">
        <f t="shared" si="0"/>
        <v>0</v>
      </c>
      <c r="AH49" s="108">
        <f t="shared" si="1"/>
        <v>1</v>
      </c>
      <c r="AI49" s="108">
        <f t="shared" si="10"/>
        <v>0</v>
      </c>
      <c r="AJ49" s="108">
        <f t="shared" si="2"/>
        <v>0</v>
      </c>
      <c r="AK49" s="108">
        <f t="shared" si="3"/>
        <v>0</v>
      </c>
      <c r="AL49" s="108">
        <f t="shared" si="4"/>
        <v>0</v>
      </c>
      <c r="AN49" s="40"/>
      <c r="AO49" s="41"/>
    </row>
    <row r="50" spans="2:54" ht="15.75" thickBot="1">
      <c r="B50" s="246">
        <v>43</v>
      </c>
      <c r="C50" s="247">
        <v>41815</v>
      </c>
      <c r="D50" s="248" t="s">
        <v>28</v>
      </c>
      <c r="E50" s="249" t="s">
        <v>9</v>
      </c>
      <c r="F50" s="258" t="s">
        <v>25</v>
      </c>
      <c r="G50" s="312">
        <v>0</v>
      </c>
      <c r="H50" s="249" t="s">
        <v>9</v>
      </c>
      <c r="I50" s="317">
        <v>2</v>
      </c>
      <c r="J50" s="251">
        <f t="shared" si="5"/>
        <v>2</v>
      </c>
      <c r="K50" s="239">
        <f t="shared" si="6"/>
        <v>0</v>
      </c>
      <c r="L50" s="239">
        <f t="shared" si="7"/>
        <v>3</v>
      </c>
      <c r="M50" s="228"/>
      <c r="N50" s="228"/>
      <c r="O50" s="298" t="s">
        <v>81</v>
      </c>
      <c r="P50" s="299" t="s">
        <v>42</v>
      </c>
      <c r="Q50" s="299" t="s">
        <v>43</v>
      </c>
      <c r="R50" s="300" t="s">
        <v>44</v>
      </c>
      <c r="S50" s="301" t="s">
        <v>45</v>
      </c>
      <c r="T50" s="302" t="s">
        <v>46</v>
      </c>
      <c r="U50" s="40"/>
      <c r="V50" s="40"/>
      <c r="W50" s="40"/>
      <c r="Y50" s="109">
        <f t="shared" si="8"/>
        <v>6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6</v>
      </c>
      <c r="AG50" s="108">
        <f t="shared" si="0"/>
        <v>1</v>
      </c>
      <c r="AH50" s="108">
        <f t="shared" si="1"/>
        <v>0</v>
      </c>
      <c r="AI50" s="108">
        <f t="shared" si="10"/>
        <v>0</v>
      </c>
      <c r="AJ50" s="108">
        <f t="shared" si="2"/>
        <v>0</v>
      </c>
      <c r="AK50" s="108">
        <f t="shared" si="3"/>
        <v>5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252">
        <v>44</v>
      </c>
      <c r="C51" s="253">
        <v>41815</v>
      </c>
      <c r="D51" s="254" t="s">
        <v>26</v>
      </c>
      <c r="E51" s="255" t="s">
        <v>9</v>
      </c>
      <c r="F51" s="256" t="s">
        <v>27</v>
      </c>
      <c r="G51" s="313">
        <v>1</v>
      </c>
      <c r="H51" s="255" t="s">
        <v>9</v>
      </c>
      <c r="I51" s="318">
        <v>4</v>
      </c>
      <c r="J51" s="257">
        <f t="shared" si="5"/>
        <v>2</v>
      </c>
      <c r="K51" s="239">
        <f t="shared" si="6"/>
        <v>0</v>
      </c>
      <c r="L51" s="239">
        <f>IF(I51="","",IF($G51&lt;$I51,3,IF($G51=$I51,1,0)))</f>
        <v>3</v>
      </c>
      <c r="M51" s="228"/>
      <c r="N51" s="228"/>
      <c r="O51" s="270" t="s">
        <v>37</v>
      </c>
      <c r="P51" s="271">
        <f>SUMIF($D$8:$D$55,$O51,$G$8:$G$55)+SUMIF($F$8:$F$55,$O51,$I$8:$I$55)</f>
        <v>9</v>
      </c>
      <c r="Q51" s="271">
        <f>SUMIF($D$8:$D$55,$O51,$I$8:$I$55)+SUMIF($F$8:$F$55,$O51,$G$8:$G$55)</f>
        <v>2</v>
      </c>
      <c r="R51" s="272">
        <f>P51-Q51</f>
        <v>7</v>
      </c>
      <c r="S51" s="273">
        <f>SUMIF($D$8:$D$55,$O51,$K$8:$K$55)+SUMIF($F$8:$F$55,$O51,$L$8:$L$55)</f>
        <v>9</v>
      </c>
      <c r="T51" s="320" t="s">
        <v>82</v>
      </c>
      <c r="U51" s="40"/>
      <c r="V51" s="40" t="str">
        <f>O51</f>
        <v>België</v>
      </c>
      <c r="W51" s="40" t="s">
        <v>82</v>
      </c>
      <c r="Y51" s="109">
        <f t="shared" si="8"/>
        <v>0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0</v>
      </c>
      <c r="AG51" s="108">
        <f t="shared" si="0"/>
        <v>0</v>
      </c>
      <c r="AH51" s="108">
        <f t="shared" si="1"/>
        <v>0</v>
      </c>
      <c r="AI51" s="108">
        <f t="shared" si="10"/>
        <v>0</v>
      </c>
      <c r="AJ51" s="108">
        <f t="shared" si="2"/>
        <v>0</v>
      </c>
      <c r="AK51" s="108">
        <f t="shared" si="3"/>
        <v>0</v>
      </c>
      <c r="AL51" s="108">
        <f t="shared" si="4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246">
        <v>45</v>
      </c>
      <c r="C52" s="247">
        <v>41816</v>
      </c>
      <c r="D52" s="248" t="s">
        <v>36</v>
      </c>
      <c r="E52" s="249" t="s">
        <v>9</v>
      </c>
      <c r="F52" s="258" t="s">
        <v>31</v>
      </c>
      <c r="G52" s="312">
        <v>1</v>
      </c>
      <c r="H52" s="249" t="s">
        <v>9</v>
      </c>
      <c r="I52" s="317">
        <v>3</v>
      </c>
      <c r="J52" s="245">
        <f t="shared" si="5"/>
        <v>2</v>
      </c>
      <c r="K52" s="239">
        <f t="shared" si="6"/>
        <v>0</v>
      </c>
      <c r="L52" s="239">
        <f t="shared" si="7"/>
        <v>3</v>
      </c>
      <c r="M52" s="228"/>
      <c r="N52" s="228"/>
      <c r="O52" s="274" t="s">
        <v>38</v>
      </c>
      <c r="P52" s="275">
        <f>SUMIF($D$8:$D$55,$O52,$G$8:$G$55)+SUMIF($F$8:$F$55,$O52,$I$8:$I$55)</f>
        <v>3</v>
      </c>
      <c r="Q52" s="275">
        <f>SUMIF($D$8:$D$55,$O52,$I$8:$I$55)+SUMIF($F$8:$F$55,$O52,$G$8:$G$55)</f>
        <v>6</v>
      </c>
      <c r="R52" s="275">
        <f>P52-Q52</f>
        <v>-3</v>
      </c>
      <c r="S52" s="276">
        <f>SUMIF($D$8:$D$55,$O52,$K$8:$K$55)+SUMIF($F$8:$F$55,$O52,$L$8:$L$55)</f>
        <v>2</v>
      </c>
      <c r="T52" s="321" t="s">
        <v>84</v>
      </c>
      <c r="U52" s="40"/>
      <c r="V52" s="40" t="str">
        <f>O52</f>
        <v>Algerije</v>
      </c>
      <c r="W52" s="40" t="s">
        <v>83</v>
      </c>
      <c r="Y52" s="109">
        <f t="shared" si="8"/>
        <v>5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5</v>
      </c>
      <c r="AG52" s="108">
        <f t="shared" si="0"/>
        <v>0</v>
      </c>
      <c r="AH52" s="108">
        <f t="shared" si="1"/>
        <v>0</v>
      </c>
      <c r="AI52" s="108">
        <f t="shared" si="10"/>
        <v>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246">
        <v>46</v>
      </c>
      <c r="C53" s="247">
        <v>41816</v>
      </c>
      <c r="D53" s="248" t="s">
        <v>32</v>
      </c>
      <c r="E53" s="249" t="s">
        <v>9</v>
      </c>
      <c r="F53" s="258" t="s">
        <v>35</v>
      </c>
      <c r="G53" s="312">
        <v>2</v>
      </c>
      <c r="H53" s="249" t="s">
        <v>9</v>
      </c>
      <c r="I53" s="317">
        <v>0</v>
      </c>
      <c r="J53" s="251">
        <f t="shared" si="5"/>
        <v>1</v>
      </c>
      <c r="K53" s="239">
        <f t="shared" si="6"/>
        <v>3</v>
      </c>
      <c r="L53" s="239">
        <f t="shared" si="7"/>
        <v>0</v>
      </c>
      <c r="M53" s="228"/>
      <c r="N53" s="228"/>
      <c r="O53" s="274" t="s">
        <v>39</v>
      </c>
      <c r="P53" s="275">
        <f>SUMIF($D$8:$D$55,$O53,$G$8:$G$55)+SUMIF($F$8:$F$55,$O53,$I$8:$I$55)</f>
        <v>4</v>
      </c>
      <c r="Q53" s="275">
        <f>SUMIF($D$8:$D$55,$O53,$I$8:$I$55)+SUMIF($F$8:$F$55,$O53,$G$8:$G$55)</f>
        <v>8</v>
      </c>
      <c r="R53" s="275">
        <f>P53-Q53</f>
        <v>-4</v>
      </c>
      <c r="S53" s="276">
        <f>SUMIF($D$8:$D$55,$O53,$K$8:$K$55)+SUMIF($F$8:$F$55,$O53,$L$8:$L$55)</f>
        <v>1</v>
      </c>
      <c r="T53" s="321" t="s">
        <v>85</v>
      </c>
      <c r="U53" s="40"/>
      <c r="V53" s="40" t="str">
        <f>O53</f>
        <v>Rusland</v>
      </c>
      <c r="W53" s="40" t="s">
        <v>84</v>
      </c>
      <c r="Y53" s="109">
        <f t="shared" si="8"/>
        <v>6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6</v>
      </c>
      <c r="AG53" s="108">
        <f t="shared" si="0"/>
        <v>1</v>
      </c>
      <c r="AH53" s="108">
        <f t="shared" si="1"/>
        <v>0</v>
      </c>
      <c r="AI53" s="108">
        <f t="shared" si="10"/>
        <v>0</v>
      </c>
      <c r="AJ53" s="108">
        <f t="shared" si="2"/>
        <v>5</v>
      </c>
      <c r="AK53" s="108">
        <f t="shared" si="3"/>
        <v>0</v>
      </c>
      <c r="AL53" s="108">
        <f t="shared" si="4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246">
        <v>47</v>
      </c>
      <c r="C54" s="247">
        <v>41816</v>
      </c>
      <c r="D54" s="248" t="s">
        <v>40</v>
      </c>
      <c r="E54" s="249" t="s">
        <v>9</v>
      </c>
      <c r="F54" s="258" t="s">
        <v>37</v>
      </c>
      <c r="G54" s="312">
        <v>1</v>
      </c>
      <c r="H54" s="249" t="s">
        <v>9</v>
      </c>
      <c r="I54" s="317">
        <v>3</v>
      </c>
      <c r="J54" s="251">
        <f t="shared" si="5"/>
        <v>2</v>
      </c>
      <c r="K54" s="239">
        <f t="shared" si="6"/>
        <v>0</v>
      </c>
      <c r="L54" s="239">
        <f t="shared" si="7"/>
        <v>3</v>
      </c>
      <c r="M54" s="228"/>
      <c r="N54" s="228"/>
      <c r="O54" s="277" t="s">
        <v>40</v>
      </c>
      <c r="P54" s="278">
        <f>SUMIF($D$8:$D$55,$O54,$G$8:$G$55)+SUMIF($F$8:$F$55,$O54,$I$8:$I$55)</f>
        <v>5</v>
      </c>
      <c r="Q54" s="278">
        <f>SUMIF($D$8:$D$55,$O54,$I$8:$I$55)+SUMIF($F$8:$F$55,$O54,$G$8:$G$55)</f>
        <v>5</v>
      </c>
      <c r="R54" s="278">
        <f>P54-Q54</f>
        <v>0</v>
      </c>
      <c r="S54" s="279">
        <f>SUMIF($D$8:$D$55,$O54,$K$8:$K$55)+SUMIF($F$8:$F$55,$O54,$L$8:$L$55)</f>
        <v>4</v>
      </c>
      <c r="T54" s="322" t="s">
        <v>83</v>
      </c>
      <c r="U54" s="40"/>
      <c r="V54" s="40" t="str">
        <f>O54</f>
        <v>Zuid Korea</v>
      </c>
      <c r="W54" s="40" t="s">
        <v>85</v>
      </c>
      <c r="Y54" s="109">
        <f t="shared" si="8"/>
        <v>5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5</v>
      </c>
      <c r="AG54" s="108">
        <f t="shared" si="0"/>
        <v>0</v>
      </c>
      <c r="AH54" s="108">
        <f t="shared" si="1"/>
        <v>0</v>
      </c>
      <c r="AI54" s="108">
        <f t="shared" si="10"/>
        <v>0</v>
      </c>
      <c r="AJ54" s="108">
        <f t="shared" si="2"/>
        <v>0</v>
      </c>
      <c r="AK54" s="108">
        <f t="shared" si="3"/>
        <v>5</v>
      </c>
      <c r="AL54" s="108">
        <f t="shared" si="4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261">
        <v>48</v>
      </c>
      <c r="C55" s="262">
        <v>41816</v>
      </c>
      <c r="D55" s="263" t="s">
        <v>38</v>
      </c>
      <c r="E55" s="264" t="s">
        <v>9</v>
      </c>
      <c r="F55" s="265" t="s">
        <v>39</v>
      </c>
      <c r="G55" s="314">
        <v>2</v>
      </c>
      <c r="H55" s="264" t="s">
        <v>9</v>
      </c>
      <c r="I55" s="319">
        <v>2</v>
      </c>
      <c r="J55" s="266">
        <f t="shared" si="5"/>
        <v>3</v>
      </c>
      <c r="K55" s="239">
        <f t="shared" si="6"/>
        <v>1</v>
      </c>
      <c r="L55" s="239">
        <f t="shared" si="7"/>
        <v>1</v>
      </c>
      <c r="M55" s="228"/>
      <c r="N55" s="228"/>
      <c r="O55" s="268"/>
      <c r="P55" s="269"/>
      <c r="Q55" s="269"/>
      <c r="R55" s="269"/>
      <c r="S55" s="269"/>
      <c r="T55" s="269"/>
      <c r="U55" s="40"/>
      <c r="V55" s="40"/>
      <c r="W55" s="40"/>
      <c r="Y55" s="109">
        <f t="shared" si="8"/>
        <v>5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5</v>
      </c>
      <c r="AG55" s="108">
        <f t="shared" si="0"/>
        <v>0</v>
      </c>
      <c r="AH55" s="108">
        <f t="shared" si="1"/>
        <v>0</v>
      </c>
      <c r="AI55" s="108">
        <f t="shared" si="10"/>
        <v>0</v>
      </c>
      <c r="AJ55" s="108">
        <f t="shared" si="2"/>
        <v>0</v>
      </c>
      <c r="AK55" s="108">
        <f t="shared" si="3"/>
        <v>0</v>
      </c>
      <c r="AL55" s="108">
        <f t="shared" si="4"/>
        <v>5</v>
      </c>
    </row>
    <row r="56" spans="2:54" ht="15.75" thickBot="1">
      <c r="B56" s="229"/>
      <c r="C56" s="267"/>
      <c r="D56" s="268"/>
      <c r="E56" s="229"/>
      <c r="F56" s="268"/>
      <c r="G56" s="229"/>
      <c r="H56" s="229"/>
      <c r="I56" s="229"/>
      <c r="J56" s="229"/>
      <c r="K56" s="229"/>
      <c r="L56" s="229"/>
      <c r="M56" s="229"/>
      <c r="N56" s="228"/>
      <c r="O56" s="228"/>
      <c r="P56" s="228"/>
      <c r="Q56" s="228"/>
      <c r="R56" s="228"/>
      <c r="S56" s="228"/>
      <c r="T56" s="228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348"/>
      <c r="K57" s="229"/>
      <c r="L57" s="229"/>
      <c r="M57" s="229"/>
      <c r="N57" s="228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304" t="s">
        <v>1</v>
      </c>
      <c r="C58" s="305" t="s">
        <v>2</v>
      </c>
      <c r="D58" s="340" t="s">
        <v>3</v>
      </c>
      <c r="E58" s="307"/>
      <c r="F58" s="346" t="s">
        <v>4</v>
      </c>
      <c r="G58" s="867" t="s">
        <v>5</v>
      </c>
      <c r="H58" s="868"/>
      <c r="I58" s="869"/>
      <c r="J58" s="309" t="s">
        <v>6</v>
      </c>
      <c r="K58" s="229"/>
      <c r="L58" s="229"/>
      <c r="M58" s="229"/>
      <c r="N58" s="228"/>
      <c r="O58" s="334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240">
        <v>49</v>
      </c>
      <c r="C59" s="342">
        <v>41818</v>
      </c>
      <c r="D59" s="336" t="str">
        <f>IF(ISERROR(Z59),K59,Z59)</f>
        <v>Brazilië</v>
      </c>
      <c r="E59" s="243" t="s">
        <v>9</v>
      </c>
      <c r="F59" s="282" t="str">
        <f>IF(ISERROR(AA59),L59,AA59)</f>
        <v>Spanje</v>
      </c>
      <c r="G59" s="311">
        <v>2</v>
      </c>
      <c r="H59" s="243" t="s">
        <v>9</v>
      </c>
      <c r="I59" s="323">
        <v>1</v>
      </c>
      <c r="J59" s="324">
        <v>1</v>
      </c>
      <c r="K59" s="283" t="s">
        <v>48</v>
      </c>
      <c r="L59" s="283" t="s">
        <v>53</v>
      </c>
      <c r="M59" s="283">
        <v>1</v>
      </c>
      <c r="N59" s="228"/>
      <c r="O59" s="334">
        <v>2</v>
      </c>
      <c r="P59" s="877" t="s">
        <v>211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3">AF59</f>
        <v>1</v>
      </c>
      <c r="Z59" t="str">
        <f t="shared" ref="Z59:AA65" si="14">IF(K59=""," ",VLOOKUP(K59,$T$9:$V$54,3,FALSE))</f>
        <v>Brazilië</v>
      </c>
      <c r="AA59" t="str">
        <f t="shared" si="14"/>
        <v>Spanje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1</v>
      </c>
      <c r="AG59" s="108">
        <f t="shared" ref="AG59:AG66" si="16">IF(AC59="",0,(IF(G59=AC59,1,0)))</f>
        <v>0</v>
      </c>
      <c r="AH59" s="108">
        <f t="shared" ref="AH59:AH66" si="17">IF(AD59="",0,(IF(I59=AD59,1,0)))</f>
        <v>1</v>
      </c>
      <c r="AI59" s="108">
        <f t="shared" ref="AI59:AI66" si="18">IF(AND(AG59=1,AH59=1),10,0)</f>
        <v>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252">
        <v>50</v>
      </c>
      <c r="C60" s="343">
        <v>41818</v>
      </c>
      <c r="D60" s="337" t="str">
        <f t="shared" ref="D60:D66" si="23">IF(ISERROR(Z60),K60,Z60)</f>
        <v>Colombia</v>
      </c>
      <c r="E60" s="255" t="s">
        <v>9</v>
      </c>
      <c r="F60" s="285" t="str">
        <f t="shared" ref="F60:F66" si="24">IF(ISERROR(AA60),L60,AA60)</f>
        <v>Uruguay</v>
      </c>
      <c r="G60" s="313">
        <v>0</v>
      </c>
      <c r="H60" s="255" t="s">
        <v>9</v>
      </c>
      <c r="I60" s="325">
        <v>2</v>
      </c>
      <c r="J60" s="326">
        <v>2</v>
      </c>
      <c r="K60" s="283" t="s">
        <v>57</v>
      </c>
      <c r="L60" s="283" t="s">
        <v>63</v>
      </c>
      <c r="M60" s="283">
        <v>2</v>
      </c>
      <c r="N60" s="228"/>
      <c r="O60" s="334">
        <v>3</v>
      </c>
      <c r="P60" s="877" t="s">
        <v>220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3"/>
        <v>0</v>
      </c>
      <c r="Z60" t="str">
        <f t="shared" si="14"/>
        <v>Colombia</v>
      </c>
      <c r="AA60" t="str">
        <f t="shared" si="14"/>
        <v>Uruguay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0</v>
      </c>
      <c r="AG60" s="108">
        <f t="shared" si="16"/>
        <v>0</v>
      </c>
      <c r="AH60" s="108">
        <f t="shared" si="17"/>
        <v>0</v>
      </c>
      <c r="AI60" s="108">
        <f t="shared" si="18"/>
        <v>0</v>
      </c>
      <c r="AJ60" s="108">
        <f t="shared" si="19"/>
        <v>0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2"/>
        <v>3</v>
      </c>
    </row>
    <row r="61" spans="2:54">
      <c r="B61" s="240">
        <v>51</v>
      </c>
      <c r="C61" s="342">
        <v>41819</v>
      </c>
      <c r="D61" s="341" t="str">
        <f t="shared" si="23"/>
        <v>Nederland</v>
      </c>
      <c r="E61" s="243" t="s">
        <v>9</v>
      </c>
      <c r="F61" s="282" t="str">
        <f t="shared" si="24"/>
        <v>Kroatië</v>
      </c>
      <c r="G61" s="311">
        <v>3</v>
      </c>
      <c r="H61" s="243" t="s">
        <v>9</v>
      </c>
      <c r="I61" s="323">
        <v>0</v>
      </c>
      <c r="J61" s="324">
        <v>1</v>
      </c>
      <c r="K61" s="283" t="s">
        <v>52</v>
      </c>
      <c r="L61" s="283" t="s">
        <v>49</v>
      </c>
      <c r="M61" s="283"/>
      <c r="N61" s="228"/>
      <c r="O61" s="334">
        <v>4</v>
      </c>
      <c r="P61" s="877" t="s">
        <v>212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3"/>
        <v>5</v>
      </c>
      <c r="Z61" t="str">
        <f t="shared" si="14"/>
        <v>Nederland</v>
      </c>
      <c r="AA61" t="str">
        <f t="shared" si="14"/>
        <v>Kroatië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5</v>
      </c>
      <c r="AG61" s="108">
        <f t="shared" si="16"/>
        <v>0</v>
      </c>
      <c r="AH61" s="108">
        <f t="shared" si="17"/>
        <v>0</v>
      </c>
      <c r="AI61" s="108">
        <f t="shared" si="18"/>
        <v>0</v>
      </c>
      <c r="AJ61" s="108">
        <f t="shared" si="19"/>
        <v>5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3</v>
      </c>
      <c r="BB61" s="139">
        <f t="shared" si="22"/>
        <v>3</v>
      </c>
    </row>
    <row r="62" spans="2:54">
      <c r="B62" s="252">
        <v>52</v>
      </c>
      <c r="C62" s="343">
        <v>41819</v>
      </c>
      <c r="D62" s="341" t="str">
        <f t="shared" si="23"/>
        <v>Engeland</v>
      </c>
      <c r="E62" s="255" t="s">
        <v>9</v>
      </c>
      <c r="F62" s="285" t="str">
        <f t="shared" si="24"/>
        <v>Griekenland</v>
      </c>
      <c r="G62" s="313">
        <v>3</v>
      </c>
      <c r="H62" s="255" t="s">
        <v>9</v>
      </c>
      <c r="I62" s="325">
        <v>1</v>
      </c>
      <c r="J62" s="326">
        <v>1</v>
      </c>
      <c r="K62" s="283" t="s">
        <v>62</v>
      </c>
      <c r="L62" s="283" t="s">
        <v>58</v>
      </c>
      <c r="M62" s="283"/>
      <c r="N62" s="228"/>
      <c r="O62" s="334">
        <v>5</v>
      </c>
      <c r="P62" s="877" t="s">
        <v>225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3"/>
        <v>1</v>
      </c>
      <c r="Z62" t="str">
        <f t="shared" si="14"/>
        <v>Engeland</v>
      </c>
      <c r="AA62" t="str">
        <f t="shared" si="14"/>
        <v>Griekenland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1</v>
      </c>
      <c r="AG62" s="108">
        <f t="shared" si="16"/>
        <v>0</v>
      </c>
      <c r="AH62" s="108">
        <f t="shared" si="17"/>
        <v>1</v>
      </c>
      <c r="AI62" s="108">
        <f t="shared" si="18"/>
        <v>0</v>
      </c>
      <c r="AJ62" s="108">
        <f t="shared" si="19"/>
        <v>0</v>
      </c>
      <c r="AK62" s="108">
        <f t="shared" si="20"/>
        <v>0</v>
      </c>
      <c r="AL62" s="108">
        <f t="shared" si="21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2"/>
        <v>3</v>
      </c>
    </row>
    <row r="63" spans="2:54">
      <c r="B63" s="240">
        <v>53</v>
      </c>
      <c r="C63" s="342">
        <v>41820</v>
      </c>
      <c r="D63" s="336" t="str">
        <f t="shared" si="23"/>
        <v>Frankrijk</v>
      </c>
      <c r="E63" s="243" t="s">
        <v>9</v>
      </c>
      <c r="F63" s="282" t="str">
        <f t="shared" si="24"/>
        <v>Nigeria</v>
      </c>
      <c r="G63" s="311">
        <v>2</v>
      </c>
      <c r="H63" s="243" t="s">
        <v>9</v>
      </c>
      <c r="I63" s="323">
        <v>0</v>
      </c>
      <c r="J63" s="324">
        <v>1</v>
      </c>
      <c r="K63" s="283" t="s">
        <v>67</v>
      </c>
      <c r="L63" s="283" t="s">
        <v>73</v>
      </c>
      <c r="M63" s="283"/>
      <c r="N63" s="228"/>
      <c r="O63" s="334">
        <v>6</v>
      </c>
      <c r="P63" s="877" t="s">
        <v>214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3"/>
        <v>10</v>
      </c>
      <c r="Z63" t="str">
        <f t="shared" si="14"/>
        <v>Frankrijk</v>
      </c>
      <c r="AA63" t="str">
        <f t="shared" si="14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10</v>
      </c>
      <c r="AG63" s="108">
        <f t="shared" si="16"/>
        <v>1</v>
      </c>
      <c r="AH63" s="108">
        <f t="shared" si="17"/>
        <v>1</v>
      </c>
      <c r="AI63" s="108">
        <f t="shared" si="18"/>
        <v>10</v>
      </c>
      <c r="AJ63" s="108">
        <f t="shared" si="19"/>
        <v>5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3</v>
      </c>
      <c r="BB63" s="139">
        <f t="shared" si="22"/>
        <v>3</v>
      </c>
    </row>
    <row r="64" spans="2:54">
      <c r="B64" s="252">
        <v>54</v>
      </c>
      <c r="C64" s="343">
        <v>41820</v>
      </c>
      <c r="D64" s="337" t="str">
        <f t="shared" si="23"/>
        <v>Duitsland</v>
      </c>
      <c r="E64" s="255" t="s">
        <v>9</v>
      </c>
      <c r="F64" s="285" t="str">
        <f t="shared" si="24"/>
        <v>Zuid Korea</v>
      </c>
      <c r="G64" s="313">
        <v>4</v>
      </c>
      <c r="H64" s="255" t="s">
        <v>9</v>
      </c>
      <c r="I64" s="325">
        <v>1</v>
      </c>
      <c r="J64" s="326">
        <v>1</v>
      </c>
      <c r="K64" s="283" t="s">
        <v>77</v>
      </c>
      <c r="L64" s="283" t="s">
        <v>83</v>
      </c>
      <c r="M64" s="283"/>
      <c r="N64" s="228"/>
      <c r="O64" s="334">
        <v>7</v>
      </c>
      <c r="P64" s="877" t="s">
        <v>229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3"/>
        <v>0</v>
      </c>
      <c r="Z64" t="str">
        <f t="shared" si="14"/>
        <v>Duitsland</v>
      </c>
      <c r="AA64" t="str">
        <f t="shared" si="14"/>
        <v>Zuid Korea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0</v>
      </c>
      <c r="AG64" s="108">
        <f t="shared" si="16"/>
        <v>0</v>
      </c>
      <c r="AH64" s="108">
        <f t="shared" si="17"/>
        <v>0</v>
      </c>
      <c r="AI64" s="108">
        <f t="shared" si="18"/>
        <v>0</v>
      </c>
      <c r="AJ64" s="108">
        <f t="shared" si="19"/>
        <v>0</v>
      </c>
      <c r="AK64" s="108">
        <f t="shared" si="20"/>
        <v>0</v>
      </c>
      <c r="AL64" s="108">
        <f t="shared" si="21"/>
        <v>0</v>
      </c>
      <c r="AZ64" s="138" t="str">
        <f>Uitslag!P64</f>
        <v>Wesley Sneijder (m)</v>
      </c>
      <c r="BA64" s="140">
        <f t="shared" si="12"/>
        <v>0</v>
      </c>
      <c r="BB64" s="139">
        <f t="shared" si="22"/>
        <v>0</v>
      </c>
    </row>
    <row r="65" spans="2:54">
      <c r="B65" s="246">
        <v>55</v>
      </c>
      <c r="C65" s="344">
        <v>41821</v>
      </c>
      <c r="D65" s="336" t="str">
        <f t="shared" si="23"/>
        <v>Argentinië</v>
      </c>
      <c r="E65" s="249" t="s">
        <v>9</v>
      </c>
      <c r="F65" s="286" t="str">
        <f t="shared" si="24"/>
        <v>Ecuador</v>
      </c>
      <c r="G65" s="312">
        <v>3</v>
      </c>
      <c r="H65" s="249" t="s">
        <v>9</v>
      </c>
      <c r="I65" s="327">
        <v>1</v>
      </c>
      <c r="J65" s="328">
        <v>1</v>
      </c>
      <c r="K65" s="283" t="s">
        <v>72</v>
      </c>
      <c r="L65" s="283" t="s">
        <v>68</v>
      </c>
      <c r="M65" s="283"/>
      <c r="N65" s="228"/>
      <c r="O65" s="334">
        <v>8</v>
      </c>
      <c r="P65" s="877" t="s">
        <v>213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3"/>
        <v>0</v>
      </c>
      <c r="Z65" t="str">
        <f t="shared" si="14"/>
        <v>Argentinië</v>
      </c>
      <c r="AA65" t="str">
        <f t="shared" si="14"/>
        <v>Ecuador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0</v>
      </c>
      <c r="AG65" s="108">
        <f t="shared" si="16"/>
        <v>0</v>
      </c>
      <c r="AH65" s="108">
        <f t="shared" si="17"/>
        <v>0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2"/>
        <v>3</v>
      </c>
    </row>
    <row r="66" spans="2:54" ht="15.75" thickBot="1">
      <c r="B66" s="261">
        <v>56</v>
      </c>
      <c r="C66" s="339">
        <v>41821</v>
      </c>
      <c r="D66" s="338" t="str">
        <f t="shared" si="23"/>
        <v>België</v>
      </c>
      <c r="E66" s="264" t="s">
        <v>9</v>
      </c>
      <c r="F66" s="288" t="str">
        <f t="shared" si="24"/>
        <v>Portugal</v>
      </c>
      <c r="G66" s="314">
        <v>0</v>
      </c>
      <c r="H66" s="264" t="s">
        <v>9</v>
      </c>
      <c r="I66" s="329">
        <v>2</v>
      </c>
      <c r="J66" s="330">
        <v>2</v>
      </c>
      <c r="K66" s="283" t="s">
        <v>82</v>
      </c>
      <c r="L66" s="283" t="s">
        <v>78</v>
      </c>
      <c r="M66" s="283"/>
      <c r="N66" s="228"/>
      <c r="O66" s="334">
        <v>9</v>
      </c>
      <c r="P66" s="877" t="s">
        <v>230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3"/>
        <v>1</v>
      </c>
      <c r="Z66" t="str">
        <f>IF(K66=""," ",VLOOKUP(K66,$T$9:$V$54,3,FALSE))</f>
        <v>België</v>
      </c>
      <c r="AA66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1</v>
      </c>
      <c r="AG66" s="108">
        <f t="shared" si="16"/>
        <v>1</v>
      </c>
      <c r="AH66" s="108">
        <f t="shared" si="17"/>
        <v>0</v>
      </c>
      <c r="AI66" s="108">
        <f t="shared" si="18"/>
        <v>0</v>
      </c>
      <c r="AJ66" s="108">
        <f t="shared" si="19"/>
        <v>0</v>
      </c>
      <c r="AK66" s="108">
        <f t="shared" si="20"/>
        <v>0</v>
      </c>
      <c r="AL66" s="108">
        <f t="shared" si="21"/>
        <v>0</v>
      </c>
      <c r="AZ66" s="138" t="str">
        <f>Uitslag!P66</f>
        <v>Jonathan de Guzman (m)</v>
      </c>
      <c r="BA66" s="140">
        <f t="shared" si="12"/>
        <v>0</v>
      </c>
      <c r="BB66" s="139">
        <f t="shared" si="22"/>
        <v>0</v>
      </c>
    </row>
    <row r="67" spans="2:54" ht="15.75" thickBot="1">
      <c r="B67" s="229"/>
      <c r="C67" s="267"/>
      <c r="D67" s="268"/>
      <c r="E67" s="229"/>
      <c r="F67" s="268"/>
      <c r="G67" s="229"/>
      <c r="H67" s="229"/>
      <c r="I67" s="229"/>
      <c r="J67" s="229"/>
      <c r="K67" s="229"/>
      <c r="L67" s="229"/>
      <c r="M67" s="229"/>
      <c r="N67" s="228"/>
      <c r="O67" s="334">
        <v>10</v>
      </c>
      <c r="P67" s="877" t="s">
        <v>215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2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348"/>
      <c r="K68" s="229"/>
      <c r="L68" s="229"/>
      <c r="M68" s="229"/>
      <c r="N68" s="228"/>
      <c r="O68" s="334">
        <v>11</v>
      </c>
      <c r="P68" s="877" t="s">
        <v>216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2"/>
        <v>3</v>
      </c>
    </row>
    <row r="69" spans="2:54">
      <c r="B69" s="304" t="s">
        <v>1</v>
      </c>
      <c r="C69" s="305" t="s">
        <v>2</v>
      </c>
      <c r="D69" s="345" t="s">
        <v>3</v>
      </c>
      <c r="E69" s="307"/>
      <c r="F69" s="346" t="s">
        <v>4</v>
      </c>
      <c r="G69" s="867" t="s">
        <v>5</v>
      </c>
      <c r="H69" s="868"/>
      <c r="I69" s="869"/>
      <c r="J69" s="309" t="s">
        <v>6</v>
      </c>
      <c r="K69" s="229"/>
      <c r="L69" s="229"/>
      <c r="M69" s="229"/>
      <c r="N69" s="228"/>
      <c r="O69" s="228"/>
      <c r="P69" s="228"/>
      <c r="Q69" s="228"/>
      <c r="R69" s="228"/>
      <c r="S69" s="228"/>
      <c r="T69" s="228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27</v>
      </c>
      <c r="BB69" s="139" t="str">
        <f>IF(AND(BA69&lt;&gt;"",BA69=33),15,"nvt")</f>
        <v>nvt</v>
      </c>
    </row>
    <row r="70" spans="2:54">
      <c r="B70" s="240">
        <v>57</v>
      </c>
      <c r="C70" s="241">
        <v>41824</v>
      </c>
      <c r="D70" s="281" t="str">
        <f>IF(J63="","Winnaar 53",IF(J63=1,D63,F63))</f>
        <v>Frankrijk</v>
      </c>
      <c r="E70" s="243" t="s">
        <v>9</v>
      </c>
      <c r="F70" s="282" t="str">
        <f>IF(J64="","Winnaar 54",IF(J64=1,D64,F64))</f>
        <v>Duitsland</v>
      </c>
      <c r="G70" s="311">
        <v>1</v>
      </c>
      <c r="H70" s="243" t="s">
        <v>9</v>
      </c>
      <c r="I70" s="323">
        <v>2</v>
      </c>
      <c r="J70" s="324">
        <v>2</v>
      </c>
      <c r="K70" s="229"/>
      <c r="L70" s="229"/>
      <c r="M70" s="229"/>
      <c r="N70" s="228"/>
      <c r="O70" s="228"/>
      <c r="P70" s="228"/>
      <c r="Q70" s="228"/>
      <c r="R70" s="228"/>
      <c r="S70" s="228"/>
      <c r="T70" s="228"/>
      <c r="V70" t="s">
        <v>133</v>
      </c>
      <c r="W70" t="s">
        <v>126</v>
      </c>
      <c r="X70" t="str">
        <f t="shared" si="11"/>
        <v>Karim Rekik (v)</v>
      </c>
      <c r="Y70" s="109">
        <f>AF70</f>
        <v>5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5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252">
        <v>58</v>
      </c>
      <c r="C71" s="253">
        <v>41824</v>
      </c>
      <c r="D71" s="284" t="str">
        <f>IF(J59="","Winnaar 49",IF(J59=1,D59,F59))</f>
        <v>Brazilië</v>
      </c>
      <c r="E71" s="255" t="s">
        <v>9</v>
      </c>
      <c r="F71" s="285" t="str">
        <f>IF(J60="","Winnaar 50",IF(J60=1,D60,F60))</f>
        <v>Uruguay</v>
      </c>
      <c r="G71" s="313">
        <v>3</v>
      </c>
      <c r="H71" s="255" t="s">
        <v>9</v>
      </c>
      <c r="I71" s="325">
        <v>1</v>
      </c>
      <c r="J71" s="326">
        <v>1</v>
      </c>
      <c r="K71" s="229"/>
      <c r="L71" s="229"/>
      <c r="M71" s="229"/>
      <c r="N71" s="228"/>
      <c r="O71" s="228"/>
      <c r="P71" s="228"/>
      <c r="Q71" s="228"/>
      <c r="R71" s="228"/>
      <c r="S71" s="228"/>
      <c r="T71" s="228"/>
      <c r="V71" t="s">
        <v>133</v>
      </c>
      <c r="W71" t="s">
        <v>194</v>
      </c>
      <c r="X71" t="str">
        <f t="shared" si="11"/>
        <v>Ron Vlaar (v)</v>
      </c>
      <c r="Y71" s="109">
        <f>AF71</f>
        <v>6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6</v>
      </c>
      <c r="AG71" s="108">
        <f>IF(AC71="",0,(IF(G71=AC71,1,0)))</f>
        <v>0</v>
      </c>
      <c r="AH71" s="108">
        <f>IF(AD71="",0,(IF(I71=AD71,1,0)))</f>
        <v>1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240">
        <v>59</v>
      </c>
      <c r="C72" s="241">
        <v>41825</v>
      </c>
      <c r="D72" s="281" t="str">
        <f>IF(J65="","Winnaar 55",IF(J65=1,D65,F65))</f>
        <v>Argentinië</v>
      </c>
      <c r="E72" s="243" t="s">
        <v>9</v>
      </c>
      <c r="F72" s="282" t="str">
        <f>IF(J66="","Winnaar 56",IF(J66=1,D66,F66))</f>
        <v>Portugal</v>
      </c>
      <c r="G72" s="311">
        <v>2</v>
      </c>
      <c r="H72" s="243" t="s">
        <v>9</v>
      </c>
      <c r="I72" s="323">
        <v>1</v>
      </c>
      <c r="J72" s="324">
        <v>1</v>
      </c>
      <c r="K72" s="229"/>
      <c r="L72" s="229"/>
      <c r="M72" s="229"/>
      <c r="N72" s="228"/>
      <c r="O72" s="228"/>
      <c r="P72" s="228"/>
      <c r="Q72" s="228"/>
      <c r="R72" s="228"/>
      <c r="S72" s="228"/>
      <c r="T72" s="228"/>
      <c r="V72" t="s">
        <v>133</v>
      </c>
      <c r="W72" t="s">
        <v>195</v>
      </c>
      <c r="X72" t="str">
        <f t="shared" si="11"/>
        <v>John Heitinga (v)</v>
      </c>
      <c r="Y72" s="109">
        <f>AF72</f>
        <v>5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5</v>
      </c>
      <c r="AG72" s="108">
        <f>IF(AC72="",0,(IF(G72=AC72,1,0)))</f>
        <v>0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5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261">
        <v>60</v>
      </c>
      <c r="C73" s="262">
        <v>41825</v>
      </c>
      <c r="D73" s="287" t="str">
        <f>IF(J61="","Winnaar 51",IF(J61=1,D61,F61))</f>
        <v>Nederland</v>
      </c>
      <c r="E73" s="264" t="s">
        <v>9</v>
      </c>
      <c r="F73" s="288" t="str">
        <f>IF(J62="","Winnaar 52",IF(J62=1,D62,F62))</f>
        <v>Engeland</v>
      </c>
      <c r="G73" s="314">
        <v>2</v>
      </c>
      <c r="H73" s="264" t="s">
        <v>9</v>
      </c>
      <c r="I73" s="329">
        <v>1</v>
      </c>
      <c r="J73" s="330">
        <v>1</v>
      </c>
      <c r="K73" s="229"/>
      <c r="L73" s="229"/>
      <c r="M73" s="229"/>
      <c r="N73" s="228"/>
      <c r="O73" s="228"/>
      <c r="P73" s="228"/>
      <c r="Q73" s="228"/>
      <c r="R73" s="228"/>
      <c r="S73" s="228"/>
      <c r="T73" s="228"/>
      <c r="V73" t="s">
        <v>133</v>
      </c>
      <c r="W73" t="s">
        <v>196</v>
      </c>
      <c r="X73" t="str">
        <f t="shared" si="11"/>
        <v>Urby Emanuelson (v)</v>
      </c>
      <c r="Y73" s="109">
        <f>AF73</f>
        <v>0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0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229"/>
      <c r="C74" s="267"/>
      <c r="D74" s="268"/>
      <c r="E74" s="229"/>
      <c r="F74" s="268"/>
      <c r="G74" s="229"/>
      <c r="H74" s="229"/>
      <c r="I74" s="229"/>
      <c r="J74" s="229"/>
      <c r="K74" s="229"/>
      <c r="L74" s="229"/>
      <c r="M74" s="229"/>
      <c r="N74" s="228"/>
      <c r="O74" s="228"/>
      <c r="P74" s="228"/>
      <c r="Q74" s="228"/>
      <c r="R74" s="228"/>
      <c r="S74" s="228"/>
      <c r="T74" s="228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348"/>
      <c r="K75" s="229"/>
      <c r="L75" s="229"/>
      <c r="M75" s="229"/>
      <c r="N75" s="228"/>
      <c r="O75" s="228"/>
      <c r="P75" s="228"/>
      <c r="Q75" s="228"/>
      <c r="R75" s="228"/>
      <c r="S75" s="228"/>
      <c r="T75" s="228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304" t="s">
        <v>1</v>
      </c>
      <c r="C76" s="305" t="s">
        <v>2</v>
      </c>
      <c r="D76" s="345" t="s">
        <v>3</v>
      </c>
      <c r="E76" s="307"/>
      <c r="F76" s="346" t="s">
        <v>4</v>
      </c>
      <c r="G76" s="867" t="s">
        <v>5</v>
      </c>
      <c r="H76" s="868"/>
      <c r="I76" s="869"/>
      <c r="J76" s="309" t="s">
        <v>6</v>
      </c>
      <c r="K76" s="229"/>
      <c r="L76" s="229"/>
      <c r="M76" s="229"/>
      <c r="N76" s="228"/>
      <c r="O76" s="228"/>
      <c r="P76" s="228"/>
      <c r="Q76" s="228"/>
      <c r="R76" s="228"/>
      <c r="S76" s="228"/>
      <c r="T76" s="228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240">
        <v>61</v>
      </c>
      <c r="C77" s="241">
        <v>41828</v>
      </c>
      <c r="D77" s="281" t="str">
        <f>IF(J70="","Winnaar 57",IF(J70=1,D70,F70))</f>
        <v>Duitsland</v>
      </c>
      <c r="E77" s="243" t="s">
        <v>9</v>
      </c>
      <c r="F77" s="282" t="str">
        <f>IF(J71="","Winnaar 58",IF(J71=1,D71,F71))</f>
        <v>Brazilië</v>
      </c>
      <c r="G77" s="311">
        <v>1</v>
      </c>
      <c r="H77" s="243" t="s">
        <v>9</v>
      </c>
      <c r="I77" s="323">
        <v>3</v>
      </c>
      <c r="J77" s="324">
        <v>2</v>
      </c>
      <c r="K77" s="229"/>
      <c r="L77" s="229"/>
      <c r="M77" s="229"/>
      <c r="N77" s="228"/>
      <c r="O77" s="228"/>
      <c r="P77" s="228"/>
      <c r="Q77" s="228"/>
      <c r="R77" s="228"/>
      <c r="S77" s="228"/>
      <c r="T77" s="228"/>
      <c r="V77" t="s">
        <v>134</v>
      </c>
      <c r="W77" t="s">
        <v>203</v>
      </c>
      <c r="X77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261">
        <v>62</v>
      </c>
      <c r="C78" s="262">
        <v>41829</v>
      </c>
      <c r="D78" s="287" t="str">
        <f>IF(J72="","Winnaar 59",IF(J72=1,D72,F72))</f>
        <v>Argentinië</v>
      </c>
      <c r="E78" s="264" t="s">
        <v>9</v>
      </c>
      <c r="F78" s="288" t="str">
        <f>IF(J73="","Winnaar 60",IF(J73=1,D73,F73))</f>
        <v>Nederland</v>
      </c>
      <c r="G78" s="314">
        <v>1</v>
      </c>
      <c r="H78" s="264" t="s">
        <v>9</v>
      </c>
      <c r="I78" s="329">
        <v>2</v>
      </c>
      <c r="J78" s="330">
        <v>2</v>
      </c>
      <c r="K78" s="229"/>
      <c r="L78" s="229"/>
      <c r="M78" s="229"/>
      <c r="N78" s="228"/>
      <c r="O78" s="228"/>
      <c r="P78" s="228"/>
      <c r="Q78" s="228"/>
      <c r="R78" s="228"/>
      <c r="S78" s="228"/>
      <c r="T78" s="228"/>
      <c r="V78" t="s">
        <v>134</v>
      </c>
      <c r="W78" t="s">
        <v>199</v>
      </c>
      <c r="X78" t="str">
        <f t="shared" si="11"/>
        <v>Leroy Fer (m)</v>
      </c>
      <c r="Y78" s="109">
        <f>AF78</f>
        <v>0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0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229"/>
      <c r="C79" s="267"/>
      <c r="D79" s="268"/>
      <c r="E79" s="229"/>
      <c r="F79" s="268"/>
      <c r="G79" s="229"/>
      <c r="H79" s="229"/>
      <c r="I79" s="229"/>
      <c r="J79" s="229"/>
      <c r="K79" s="229"/>
      <c r="L79" s="229"/>
      <c r="M79" s="229"/>
      <c r="N79" s="228"/>
      <c r="O79" s="228"/>
      <c r="P79" s="228"/>
      <c r="Q79" s="228"/>
      <c r="R79" s="228"/>
      <c r="S79" s="228"/>
      <c r="T79" s="228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348"/>
      <c r="K80" s="229"/>
      <c r="L80" s="229"/>
      <c r="M80" s="229"/>
      <c r="N80" s="228"/>
      <c r="O80" s="228"/>
      <c r="P80" s="228"/>
      <c r="Q80" s="228"/>
      <c r="R80" s="228"/>
      <c r="S80" s="228"/>
      <c r="T80" s="228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304" t="s">
        <v>1</v>
      </c>
      <c r="C81" s="305" t="s">
        <v>2</v>
      </c>
      <c r="D81" s="345" t="s">
        <v>3</v>
      </c>
      <c r="E81" s="307"/>
      <c r="F81" s="346" t="s">
        <v>4</v>
      </c>
      <c r="G81" s="867" t="s">
        <v>5</v>
      </c>
      <c r="H81" s="868"/>
      <c r="I81" s="869"/>
      <c r="J81" s="309" t="s">
        <v>6</v>
      </c>
      <c r="K81" s="229"/>
      <c r="L81" s="229"/>
      <c r="M81" s="229"/>
      <c r="N81" s="228"/>
      <c r="O81" s="228"/>
      <c r="P81" s="228"/>
      <c r="Q81" s="228"/>
      <c r="R81" s="228"/>
      <c r="S81" s="228"/>
      <c r="T81" s="228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230">
        <v>63</v>
      </c>
      <c r="C82" s="289">
        <v>41832</v>
      </c>
      <c r="D82" s="290" t="str">
        <f>IF(J77="","Verliezer 61",IF(J77=1,F77,D77))</f>
        <v>Duitsland</v>
      </c>
      <c r="E82" s="231" t="s">
        <v>9</v>
      </c>
      <c r="F82" s="291" t="str">
        <f>IF(J78="","Verliezer 62",IF(J78=1,F78,D78))</f>
        <v>Argentinië</v>
      </c>
      <c r="G82" s="331">
        <v>2</v>
      </c>
      <c r="H82" s="231" t="s">
        <v>9</v>
      </c>
      <c r="I82" s="332">
        <v>0</v>
      </c>
      <c r="J82" s="333">
        <v>1</v>
      </c>
      <c r="K82" s="229"/>
      <c r="L82" s="229"/>
      <c r="M82" s="229"/>
      <c r="N82" s="228"/>
      <c r="O82" s="228"/>
      <c r="P82" s="228"/>
      <c r="Q82" s="228"/>
      <c r="R82" s="228"/>
      <c r="S82" s="228"/>
      <c r="T82" s="228"/>
      <c r="V82" t="s">
        <v>134</v>
      </c>
      <c r="W82" t="s">
        <v>125</v>
      </c>
      <c r="X8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229"/>
      <c r="C83" s="267"/>
      <c r="D83" s="268"/>
      <c r="E83" s="229"/>
      <c r="F83" s="268"/>
      <c r="G83" s="229"/>
      <c r="H83" s="229"/>
      <c r="I83" s="229"/>
      <c r="J83" s="229"/>
      <c r="K83" s="229"/>
      <c r="L83" s="229"/>
      <c r="M83" s="229"/>
      <c r="N83" s="228"/>
      <c r="O83" s="228"/>
      <c r="P83" s="228"/>
      <c r="Q83" s="228"/>
      <c r="R83" s="228"/>
      <c r="S83" s="228"/>
      <c r="T83" s="228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348"/>
      <c r="K84" s="229"/>
      <c r="L84" s="229"/>
      <c r="M84" s="229"/>
      <c r="N84" s="228"/>
      <c r="O84" s="228"/>
      <c r="P84" s="228"/>
      <c r="Q84" s="228"/>
      <c r="R84" s="228"/>
      <c r="S84" s="228"/>
      <c r="T84" s="228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304" t="s">
        <v>1</v>
      </c>
      <c r="C85" s="305" t="s">
        <v>2</v>
      </c>
      <c r="D85" s="345" t="s">
        <v>3</v>
      </c>
      <c r="E85" s="307"/>
      <c r="F85" s="346" t="s">
        <v>4</v>
      </c>
      <c r="G85" s="867" t="s">
        <v>5</v>
      </c>
      <c r="H85" s="868"/>
      <c r="I85" s="869"/>
      <c r="J85" s="309" t="s">
        <v>6</v>
      </c>
      <c r="K85" s="229"/>
      <c r="L85" s="229"/>
      <c r="M85" s="229"/>
      <c r="N85" s="228"/>
      <c r="O85" s="228"/>
      <c r="P85" s="228"/>
      <c r="Q85" s="228"/>
      <c r="R85" s="228"/>
      <c r="S85" s="228"/>
      <c r="T85" s="228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230">
        <v>64</v>
      </c>
      <c r="C86" s="289">
        <v>41833</v>
      </c>
      <c r="D86" s="290" t="str">
        <f>IF(J77="","Winnaar 61",IF(J77=1,D77,F77))</f>
        <v>Brazilië</v>
      </c>
      <c r="E86" s="231" t="s">
        <v>9</v>
      </c>
      <c r="F86" s="291" t="str">
        <f>IF(J78="","Winnaar 62",IF(J78=1,D78,F78))</f>
        <v>Nederland</v>
      </c>
      <c r="G86" s="331">
        <v>2</v>
      </c>
      <c r="H86" s="231" t="s">
        <v>9</v>
      </c>
      <c r="I86" s="332">
        <v>1</v>
      </c>
      <c r="J86" s="333">
        <v>1</v>
      </c>
      <c r="K86" s="229"/>
      <c r="L86" s="229"/>
      <c r="M86" s="229"/>
      <c r="N86" s="228"/>
      <c r="O86" s="228"/>
      <c r="P86" s="228"/>
      <c r="Q86" s="228"/>
      <c r="R86" s="228"/>
      <c r="S86" s="228"/>
      <c r="T86" s="228"/>
      <c r="V86" t="s">
        <v>134</v>
      </c>
      <c r="W86" t="s">
        <v>139</v>
      </c>
      <c r="X86" t="str">
        <f t="shared" si="11"/>
        <v>Nigel de Jong (m)</v>
      </c>
      <c r="Y86" s="109">
        <f>AF86</f>
        <v>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0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Brazilië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5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5</v>
      </c>
      <c r="AV89">
        <f>IF(AR89=0,0,IF(E89=AR89,50,0))</f>
        <v>0</v>
      </c>
      <c r="AW89">
        <f>IF(E89=0,0,IF(OR(E89=AR90),15,0))</f>
        <v>0</v>
      </c>
      <c r="AX89">
        <f>IF(E89=0,0,IF(OR(E89=AR91,E89=AR92),5,0))</f>
        <v>5</v>
      </c>
    </row>
    <row r="90" spans="2:50">
      <c r="C90" s="870">
        <v>2</v>
      </c>
      <c r="D90" s="871"/>
      <c r="E90" s="872" t="str">
        <f>IF(J86=2,D86,IF(J86=1,F86,"Wie wordt 2de?"))</f>
        <v>Nederland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5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5</v>
      </c>
      <c r="AV90">
        <f>IF(AR90=0,0,IF(AR90=E90,25,0))</f>
        <v>0</v>
      </c>
      <c r="AW90">
        <f>IF(E90=0,0,IF(OR(E90=AR89,),15,0))</f>
        <v>0</v>
      </c>
      <c r="AX90">
        <f>IF(E90=0,0,IF(OR(E90=AR91,E90=AR92),5,0))</f>
        <v>5</v>
      </c>
    </row>
    <row r="91" spans="2:50">
      <c r="C91" s="870">
        <v>3</v>
      </c>
      <c r="D91" s="871"/>
      <c r="E91" s="872" t="str">
        <f>IF(J82=1,D82,IF(J82=2,F82,"Wie wordt 3de?"))</f>
        <v>Duitsland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5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5</v>
      </c>
      <c r="AV91">
        <f>IF(AR91=0,0,IF(AR91=E91,15,0))</f>
        <v>0</v>
      </c>
      <c r="AW91">
        <f>IF(E91=0,0,IF(OR(E91=AR92),10,0))</f>
        <v>0</v>
      </c>
      <c r="AX91">
        <f>IF(E91=0,0,IF(OR(E91=AR89,E91=AR90),5,0))</f>
        <v>5</v>
      </c>
    </row>
    <row r="92" spans="2:50">
      <c r="C92" s="870">
        <v>4</v>
      </c>
      <c r="D92" s="871"/>
      <c r="E92" s="872" t="str">
        <f>IF(J82=2,D82,IF(J82=1,F82,"Wie wordt 4de?"))</f>
        <v>Argentinië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5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5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5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20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conditionalFormatting sqref="AO9:AO12 AO15:AO18 AO21:AO24 AO27:AO30 AO33:AO36 AO39:AO42 AO45:AO48 AO51:AO54">
    <cfRule type="cellIs" dxfId="167" priority="3" operator="equal">
      <formula>10</formula>
    </cfRule>
  </conditionalFormatting>
  <conditionalFormatting sqref="P58:T58">
    <cfRule type="duplicateValues" dxfId="166" priority="2"/>
  </conditionalFormatting>
  <conditionalFormatting sqref="P58:T68">
    <cfRule type="duplicateValues" dxfId="165" priority="1"/>
  </conditionalFormatting>
  <dataValidations count="10">
    <dataValidation type="list" allowBlank="1" showInputMessage="1" showErrorMessage="1" sqref="T51:T54">
      <formula1>$W$51:$W$54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P58:P68">
      <formula1>$X$58:$X$98</formula1>
    </dataValidation>
  </dataValidation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B1:BB98"/>
  <sheetViews>
    <sheetView topLeftCell="A43" zoomScale="70" zoomScaleNormal="70" workbookViewId="0">
      <selection activeCell="P58" sqref="P58:T68"/>
    </sheetView>
  </sheetViews>
  <sheetFormatPr defaultRowHeight="15" outlineLevelCol="2"/>
  <cols>
    <col min="1" max="1" width="3.42578125" customWidth="1"/>
    <col min="2" max="2" width="3.5703125" bestFit="1" customWidth="1"/>
    <col min="3" max="3" width="11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266</v>
      </c>
      <c r="E3" s="145"/>
      <c r="F3" s="145"/>
      <c r="N3" t="str">
        <f>D3</f>
        <v>Thomas H.</v>
      </c>
      <c r="O3" s="144">
        <f>SUM(P3:S3)</f>
        <v>421</v>
      </c>
      <c r="P3" s="109">
        <f>SUM(Y8:Y86)</f>
        <v>229</v>
      </c>
      <c r="Q3" s="109">
        <f>SUM(AM4:AM55)</f>
        <v>140</v>
      </c>
      <c r="R3" s="109">
        <f>SUM(AP89:AP92)</f>
        <v>25</v>
      </c>
      <c r="S3" s="109">
        <f>SUM(BB58:BB69)</f>
        <v>27</v>
      </c>
      <c r="T3" s="109">
        <f>COUNTIF(AF8:AF86,10)</f>
        <v>8</v>
      </c>
      <c r="U3" s="109" t="str">
        <f>E89</f>
        <v>België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M6" s="352"/>
      <c r="N6" s="352"/>
      <c r="O6" s="392"/>
      <c r="P6" s="393"/>
      <c r="Q6" s="393"/>
      <c r="R6" s="393"/>
      <c r="S6" s="393"/>
      <c r="T6" s="393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18" t="s">
        <v>3</v>
      </c>
      <c r="E7" s="419"/>
      <c r="F7" s="420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M7" s="352"/>
      <c r="N7" s="352"/>
      <c r="O7" s="353"/>
      <c r="P7" s="393"/>
      <c r="Q7" s="393"/>
      <c r="R7" s="393"/>
      <c r="S7" s="393"/>
      <c r="T7" s="393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2</v>
      </c>
      <c r="H8" s="360" t="s">
        <v>9</v>
      </c>
      <c r="I8" s="439">
        <v>0</v>
      </c>
      <c r="J8" s="362">
        <f>IF(I8="","",IF(G8&gt;I8,1,IF(G8&lt;I8,2,3)))</f>
        <v>1</v>
      </c>
      <c r="K8" s="363">
        <f>IF(I8="","",IF($G8&gt;$I8,3,IF($G8=$I8,1,0)))</f>
        <v>3</v>
      </c>
      <c r="L8" s="363">
        <f>IF(I8="","",IF($G8&lt;$I8,3,IF($G8=$I8,1,0)))</f>
        <v>0</v>
      </c>
      <c r="M8" s="352"/>
      <c r="N8" s="352"/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40"/>
      <c r="V8" s="40"/>
      <c r="W8" s="40"/>
      <c r="Y8" s="109">
        <f>AF8</f>
        <v>5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5</v>
      </c>
      <c r="AG8" s="108">
        <f t="shared" ref="AG8:AG55" si="0">IF(AC8="",0,(IF(G8=AC8,1,0)))</f>
        <v>0</v>
      </c>
      <c r="AH8" s="108">
        <f t="shared" ref="AH8:AH55" si="1">IF(AD8="",0,(IF(I8=AD8,1,0)))</f>
        <v>0</v>
      </c>
      <c r="AI8" s="108">
        <f>IF(AND(AG8=1,AH8=1),10,0)</f>
        <v>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1</v>
      </c>
      <c r="H9" s="367" t="s">
        <v>9</v>
      </c>
      <c r="I9" s="440">
        <v>2</v>
      </c>
      <c r="J9" s="369">
        <f t="shared" ref="J9:J55" si="5">IF(I9="","",IF(G9&gt;I9,1,IF(G9&lt;I9,2,3)))</f>
        <v>2</v>
      </c>
      <c r="K9" s="363">
        <f t="shared" ref="K9:K55" si="6">IF(I9="","",IF($G9&gt;$I9,3,IF($G9=$I9,1,0)))</f>
        <v>0</v>
      </c>
      <c r="L9" s="363">
        <f t="shared" ref="L9:L55" si="7">IF(I9="","",IF($G9&lt;$I9,3,IF($G9=$I9,1,0)))</f>
        <v>3</v>
      </c>
      <c r="M9" s="352"/>
      <c r="N9" s="352"/>
      <c r="O9" s="394" t="s">
        <v>8</v>
      </c>
      <c r="P9" s="395">
        <f>SUMIF($D$8:$D$55,$O9,$G$8:$G$55)+SUMIF($F$8:$F$55,$O9,$I$8:$I$55)</f>
        <v>8</v>
      </c>
      <c r="Q9" s="395">
        <f>SUMIF($D$8:$D$55,$O9,$I$8:$I$55)+SUMIF($F$8:$F$55,$O9,$G$8:$G$55)</f>
        <v>0</v>
      </c>
      <c r="R9" s="396">
        <f>P9-Q9</f>
        <v>8</v>
      </c>
      <c r="S9" s="397">
        <f>SUMIF($D$8:$D$55,$O9,$K$8:$K$55)+SUMIF($F$8:$F$55,$O9,$L$8:$L$55)</f>
        <v>9</v>
      </c>
      <c r="T9" s="444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1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1</v>
      </c>
      <c r="AG9" s="108">
        <f t="shared" si="0"/>
        <v>1</v>
      </c>
      <c r="AH9" s="108">
        <f t="shared" si="1"/>
        <v>0</v>
      </c>
      <c r="AI9" s="108">
        <f t="shared" ref="AI9:AI55" si="10">IF(AND(AG9=1,AH9=1),10,0)</f>
        <v>0</v>
      </c>
      <c r="AJ9" s="108">
        <f t="shared" si="2"/>
        <v>0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1</v>
      </c>
      <c r="H10" s="373" t="s">
        <v>9</v>
      </c>
      <c r="I10" s="441">
        <v>1</v>
      </c>
      <c r="J10" s="375">
        <f t="shared" si="5"/>
        <v>3</v>
      </c>
      <c r="K10" s="363">
        <f t="shared" si="6"/>
        <v>1</v>
      </c>
      <c r="L10" s="363">
        <f t="shared" si="7"/>
        <v>1</v>
      </c>
      <c r="M10" s="352"/>
      <c r="N10" s="352"/>
      <c r="O10" s="398" t="s">
        <v>10</v>
      </c>
      <c r="P10" s="399">
        <f>SUMIF($D$8:$D$55,$O10,$G$8:$G$55)+SUMIF($F$8:$F$55,$O10,$I$8:$I$55)</f>
        <v>3</v>
      </c>
      <c r="Q10" s="399">
        <f>SUMIF($D$8:$D$55,$O10,$I$8:$I$55)+SUMIF($F$8:$F$55,$O10,$G$8:$G$55)</f>
        <v>3</v>
      </c>
      <c r="R10" s="399">
        <f>P10-Q10</f>
        <v>0</v>
      </c>
      <c r="S10" s="400">
        <f>SUMIF($D$8:$D$55,$O10,$K$8:$K$55)+SUMIF($F$8:$F$55,$O10,$L$8:$L$55)</f>
        <v>4</v>
      </c>
      <c r="T10" s="445" t="s">
        <v>49</v>
      </c>
      <c r="U10" s="40"/>
      <c r="V10" s="40" t="str">
        <f>O10</f>
        <v>Kroatië</v>
      </c>
      <c r="W10" s="40" t="s">
        <v>49</v>
      </c>
      <c r="Y10" s="109">
        <f t="shared" si="8"/>
        <v>1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1</v>
      </c>
      <c r="AG10" s="108">
        <f t="shared" si="0"/>
        <v>1</v>
      </c>
      <c r="AH10" s="108">
        <f t="shared" si="1"/>
        <v>0</v>
      </c>
      <c r="AI10" s="108">
        <f t="shared" si="10"/>
        <v>0</v>
      </c>
      <c r="AJ10" s="108">
        <f t="shared" si="2"/>
        <v>0</v>
      </c>
      <c r="AK10" s="108">
        <f t="shared" si="3"/>
        <v>0</v>
      </c>
      <c r="AL10" s="108">
        <f t="shared" si="4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2</v>
      </c>
      <c r="H11" s="379" t="s">
        <v>9</v>
      </c>
      <c r="I11" s="442">
        <v>1</v>
      </c>
      <c r="J11" s="381">
        <f t="shared" si="5"/>
        <v>1</v>
      </c>
      <c r="K11" s="363">
        <f t="shared" si="6"/>
        <v>3</v>
      </c>
      <c r="L11" s="363">
        <f t="shared" si="7"/>
        <v>0</v>
      </c>
      <c r="M11" s="352"/>
      <c r="N11" s="352"/>
      <c r="O11" s="398" t="s">
        <v>11</v>
      </c>
      <c r="P11" s="399">
        <f>SUMIF($D$8:$D$55,$O11,$G$8:$G$55)+SUMIF($F$8:$F$55,$O11,$I$8:$I$55)</f>
        <v>1</v>
      </c>
      <c r="Q11" s="399">
        <f>SUMIF($D$8:$D$55,$O11,$I$8:$I$55)+SUMIF($F$8:$F$55,$O11,$G$8:$G$55)</f>
        <v>7</v>
      </c>
      <c r="R11" s="399">
        <f>P11-Q11</f>
        <v>-6</v>
      </c>
      <c r="S11" s="400">
        <f>SUMIF($D$8:$D$55,$O11,$K$8:$K$55)+SUMIF($F$8:$F$55,$O11,$L$8:$L$55)</f>
        <v>0</v>
      </c>
      <c r="T11" s="445" t="s">
        <v>47</v>
      </c>
      <c r="U11" s="40"/>
      <c r="V11" s="40" t="str">
        <f>O11</f>
        <v>Mexico</v>
      </c>
      <c r="W11" s="40" t="s">
        <v>47</v>
      </c>
      <c r="Y11" s="109">
        <f t="shared" si="8"/>
        <v>6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6</v>
      </c>
      <c r="AG11" s="108">
        <f t="shared" si="0"/>
        <v>0</v>
      </c>
      <c r="AH11" s="108">
        <f t="shared" si="1"/>
        <v>1</v>
      </c>
      <c r="AI11" s="108">
        <f t="shared" si="10"/>
        <v>0</v>
      </c>
      <c r="AJ11" s="108">
        <f t="shared" si="2"/>
        <v>5</v>
      </c>
      <c r="AK11" s="108">
        <f t="shared" si="3"/>
        <v>0</v>
      </c>
      <c r="AL11" s="108">
        <f t="shared" si="4"/>
        <v>0</v>
      </c>
      <c r="AM11" s="120">
        <f>AO11</f>
        <v>0</v>
      </c>
      <c r="AN11" s="117" t="s">
        <v>11</v>
      </c>
      <c r="AO11" s="115">
        <f>IF(Uitslag!T11="",0,IF(T11=Uitslag!T11,10,0))</f>
        <v>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2</v>
      </c>
      <c r="H12" s="367" t="s">
        <v>9</v>
      </c>
      <c r="I12" s="440">
        <v>0</v>
      </c>
      <c r="J12" s="369">
        <f t="shared" si="5"/>
        <v>1</v>
      </c>
      <c r="K12" s="363">
        <f t="shared" si="6"/>
        <v>3</v>
      </c>
      <c r="L12" s="363">
        <f t="shared" si="7"/>
        <v>0</v>
      </c>
      <c r="M12" s="352"/>
      <c r="N12" s="352"/>
      <c r="O12" s="401" t="s">
        <v>12</v>
      </c>
      <c r="P12" s="402">
        <f>SUMIF($D$8:$D$55,$O12,$G$8:$G$55)+SUMIF($F$8:$F$55,$O12,$I$8:$I$55)</f>
        <v>3</v>
      </c>
      <c r="Q12" s="402">
        <f>SUMIF($D$8:$D$55,$O12,$I$8:$I$55)+SUMIF($F$8:$F$55,$O12,$G$8:$G$55)</f>
        <v>5</v>
      </c>
      <c r="R12" s="402">
        <f>P12-Q12</f>
        <v>-2</v>
      </c>
      <c r="S12" s="403">
        <f>SUMIF($D$8:$D$55,$O12,$K$8:$K$55)+SUMIF($F$8:$F$55,$O12,$L$8:$L$55)</f>
        <v>4</v>
      </c>
      <c r="T12" s="446" t="s">
        <v>50</v>
      </c>
      <c r="U12" s="40"/>
      <c r="V12" s="40" t="str">
        <f>O12</f>
        <v>Kameroen</v>
      </c>
      <c r="W12" s="40" t="s">
        <v>50</v>
      </c>
      <c r="Y12" s="109">
        <f t="shared" si="8"/>
        <v>6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6</v>
      </c>
      <c r="AG12" s="108">
        <f t="shared" si="0"/>
        <v>0</v>
      </c>
      <c r="AH12" s="108">
        <f t="shared" si="1"/>
        <v>1</v>
      </c>
      <c r="AI12" s="108">
        <f t="shared" si="10"/>
        <v>0</v>
      </c>
      <c r="AJ12" s="108">
        <f t="shared" si="2"/>
        <v>5</v>
      </c>
      <c r="AK12" s="108">
        <f t="shared" si="3"/>
        <v>0</v>
      </c>
      <c r="AL12" s="108">
        <f t="shared" si="4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3</v>
      </c>
      <c r="H13" s="373" t="s">
        <v>9</v>
      </c>
      <c r="I13" s="441">
        <v>0</v>
      </c>
      <c r="J13" s="375">
        <f t="shared" si="5"/>
        <v>1</v>
      </c>
      <c r="K13" s="363">
        <f t="shared" si="6"/>
        <v>3</v>
      </c>
      <c r="L13" s="363">
        <f t="shared" si="7"/>
        <v>0</v>
      </c>
      <c r="M13" s="352"/>
      <c r="N13" s="352"/>
      <c r="O13" s="392"/>
      <c r="P13" s="393"/>
      <c r="Q13" s="393"/>
      <c r="R13" s="393"/>
      <c r="S13" s="393"/>
      <c r="T13" s="393"/>
      <c r="U13" s="40"/>
      <c r="V13" s="40"/>
      <c r="W13" s="40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0"/>
        <v>0</v>
      </c>
      <c r="AH13" s="108">
        <f t="shared" si="1"/>
        <v>0</v>
      </c>
      <c r="AI13" s="108">
        <f t="shared" si="10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40"/>
      <c r="AO13" s="41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1</v>
      </c>
      <c r="H14" s="373" t="s">
        <v>9</v>
      </c>
      <c r="I14" s="441">
        <v>2</v>
      </c>
      <c r="J14" s="375">
        <f t="shared" si="5"/>
        <v>2</v>
      </c>
      <c r="K14" s="363">
        <f t="shared" si="6"/>
        <v>0</v>
      </c>
      <c r="L14" s="363">
        <f t="shared" si="7"/>
        <v>3</v>
      </c>
      <c r="M14" s="352"/>
      <c r="N14" s="352"/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40"/>
      <c r="V14" s="40"/>
      <c r="W14" s="40"/>
      <c r="Y14" s="109">
        <f t="shared" si="8"/>
        <v>10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10</v>
      </c>
      <c r="AG14" s="108">
        <f t="shared" si="0"/>
        <v>1</v>
      </c>
      <c r="AH14" s="108">
        <f t="shared" si="1"/>
        <v>1</v>
      </c>
      <c r="AI14" s="108">
        <f t="shared" si="10"/>
        <v>10</v>
      </c>
      <c r="AJ14" s="108">
        <f t="shared" si="2"/>
        <v>0</v>
      </c>
      <c r="AK14" s="108">
        <f t="shared" si="3"/>
        <v>5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2</v>
      </c>
      <c r="H15" s="379" t="s">
        <v>9</v>
      </c>
      <c r="I15" s="442">
        <v>1</v>
      </c>
      <c r="J15" s="381">
        <f t="shared" si="5"/>
        <v>1</v>
      </c>
      <c r="K15" s="363">
        <f t="shared" si="6"/>
        <v>3</v>
      </c>
      <c r="L15" s="363">
        <f t="shared" si="7"/>
        <v>0</v>
      </c>
      <c r="M15" s="352"/>
      <c r="N15" s="352"/>
      <c r="O15" s="394" t="s">
        <v>13</v>
      </c>
      <c r="P15" s="395">
        <f>SUMIF($D$8:$D$55,$O15,$G$8:$G$55)+SUMIF($F$8:$F$55,$O15,$I$8:$I$55)</f>
        <v>6</v>
      </c>
      <c r="Q15" s="395">
        <f>SUMIF($D$8:$D$55,$O15,$I$8:$I$55)+SUMIF($F$8:$F$55,$O15,$G$8:$G$55)</f>
        <v>1</v>
      </c>
      <c r="R15" s="396">
        <f>P15-Q15</f>
        <v>5</v>
      </c>
      <c r="S15" s="397">
        <f>SUMIF($D$8:$D$55,$O15,$K$8:$K$55)+SUMIF($F$8:$F$55,$O15,$L$8:$L$55)</f>
        <v>7</v>
      </c>
      <c r="T15" s="444" t="s">
        <v>52</v>
      </c>
      <c r="U15" s="40"/>
      <c r="V15" s="40" t="str">
        <f>O15</f>
        <v>Spanje</v>
      </c>
      <c r="W15" s="40" t="s">
        <v>52</v>
      </c>
      <c r="Y15" s="109">
        <f t="shared" si="8"/>
        <v>10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10</v>
      </c>
      <c r="AG15" s="108">
        <f t="shared" si="0"/>
        <v>1</v>
      </c>
      <c r="AH15" s="108">
        <f t="shared" si="1"/>
        <v>1</v>
      </c>
      <c r="AI15" s="108">
        <f t="shared" si="10"/>
        <v>10</v>
      </c>
      <c r="AJ15" s="108">
        <f t="shared" si="2"/>
        <v>5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2</v>
      </c>
      <c r="H16" s="367" t="s">
        <v>9</v>
      </c>
      <c r="I16" s="440">
        <v>1</v>
      </c>
      <c r="J16" s="369">
        <f t="shared" si="5"/>
        <v>1</v>
      </c>
      <c r="K16" s="363">
        <f t="shared" si="6"/>
        <v>3</v>
      </c>
      <c r="L16" s="363">
        <f t="shared" si="7"/>
        <v>0</v>
      </c>
      <c r="M16" s="352"/>
      <c r="N16" s="352"/>
      <c r="O16" s="404" t="s">
        <v>14</v>
      </c>
      <c r="P16" s="399">
        <f>SUMIF($D$8:$D$55,$O16,$G$8:$G$55)+SUMIF($F$8:$F$55,$O16,$I$8:$I$55)</f>
        <v>4</v>
      </c>
      <c r="Q16" s="399">
        <f>SUMIF($D$8:$D$55,$O16,$I$8:$I$55)+SUMIF($F$8:$F$55,$O16,$G$8:$G$55)</f>
        <v>2</v>
      </c>
      <c r="R16" s="399">
        <f>P16-Q16</f>
        <v>2</v>
      </c>
      <c r="S16" s="400">
        <f>SUMIF($D$8:$D$55,$O16,$K$8:$K$55)+SUMIF($F$8:$F$55,$O16,$L$8:$L$55)</f>
        <v>7</v>
      </c>
      <c r="T16" s="445" t="s">
        <v>53</v>
      </c>
      <c r="U16" s="40"/>
      <c r="V16" s="40" t="str">
        <f>O16</f>
        <v>Nederland</v>
      </c>
      <c r="W16" s="40" t="s">
        <v>53</v>
      </c>
      <c r="Y16" s="109">
        <f t="shared" si="8"/>
        <v>10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10</v>
      </c>
      <c r="AG16" s="108">
        <f t="shared" si="0"/>
        <v>1</v>
      </c>
      <c r="AH16" s="108">
        <f t="shared" si="1"/>
        <v>1</v>
      </c>
      <c r="AI16" s="108">
        <f t="shared" si="10"/>
        <v>10</v>
      </c>
      <c r="AJ16" s="108">
        <f t="shared" si="2"/>
        <v>5</v>
      </c>
      <c r="AK16" s="108">
        <f t="shared" si="3"/>
        <v>0</v>
      </c>
      <c r="AL16" s="108">
        <f t="shared" si="4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3</v>
      </c>
      <c r="H17" s="373" t="s">
        <v>9</v>
      </c>
      <c r="I17" s="441">
        <v>0</v>
      </c>
      <c r="J17" s="375">
        <f t="shared" si="5"/>
        <v>1</v>
      </c>
      <c r="K17" s="363">
        <f t="shared" si="6"/>
        <v>3</v>
      </c>
      <c r="L17" s="363">
        <f t="shared" si="7"/>
        <v>0</v>
      </c>
      <c r="M17" s="352"/>
      <c r="N17" s="352"/>
      <c r="O17" s="398" t="s">
        <v>15</v>
      </c>
      <c r="P17" s="399">
        <f>SUMIF($D$8:$D$55,$O17,$G$8:$G$55)+SUMIF($F$8:$F$55,$O17,$I$8:$I$55)</f>
        <v>2</v>
      </c>
      <c r="Q17" s="399">
        <f>SUMIF($D$8:$D$55,$O17,$I$8:$I$55)+SUMIF($F$8:$F$55,$O17,$G$8:$G$55)</f>
        <v>4</v>
      </c>
      <c r="R17" s="399">
        <f>P17-Q17</f>
        <v>-2</v>
      </c>
      <c r="S17" s="400">
        <f>SUMIF($D$8:$D$55,$O17,$K$8:$K$55)+SUMIF($F$8:$F$55,$O17,$L$8:$L$55)</f>
        <v>3</v>
      </c>
      <c r="T17" s="445" t="s">
        <v>54</v>
      </c>
      <c r="U17" s="40"/>
      <c r="V17" s="40" t="str">
        <f>O17</f>
        <v>Chili</v>
      </c>
      <c r="W17" s="40" t="s">
        <v>54</v>
      </c>
      <c r="Y17" s="109">
        <f t="shared" si="8"/>
        <v>10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10</v>
      </c>
      <c r="AG17" s="108">
        <f t="shared" si="0"/>
        <v>1</v>
      </c>
      <c r="AH17" s="108">
        <f t="shared" si="1"/>
        <v>1</v>
      </c>
      <c r="AI17" s="108">
        <f t="shared" si="10"/>
        <v>10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3</v>
      </c>
      <c r="H18" s="379" t="s">
        <v>9</v>
      </c>
      <c r="I18" s="442">
        <v>1</v>
      </c>
      <c r="J18" s="381">
        <f t="shared" si="5"/>
        <v>1</v>
      </c>
      <c r="K18" s="363">
        <f t="shared" si="6"/>
        <v>3</v>
      </c>
      <c r="L18" s="363">
        <f t="shared" si="7"/>
        <v>0</v>
      </c>
      <c r="M18" s="352"/>
      <c r="N18" s="352"/>
      <c r="O18" s="401" t="s">
        <v>16</v>
      </c>
      <c r="P18" s="402">
        <f>SUMIF($D$8:$D$55,$O18,$G$8:$G$55)+SUMIF($F$8:$F$55,$O18,$I$8:$I$55)</f>
        <v>2</v>
      </c>
      <c r="Q18" s="402">
        <f>SUMIF($D$8:$D$55,$O18,$I$8:$I$55)+SUMIF($F$8:$F$55,$O18,$G$8:$G$55)</f>
        <v>7</v>
      </c>
      <c r="R18" s="402">
        <f>P18-Q18</f>
        <v>-5</v>
      </c>
      <c r="S18" s="403">
        <f>SUMIF($D$8:$D$55,$O18,$K$8:$K$55)+SUMIF($F$8:$F$55,$O18,$L$8:$L$55)</f>
        <v>0</v>
      </c>
      <c r="T18" s="446" t="s">
        <v>55</v>
      </c>
      <c r="U18" s="40"/>
      <c r="V18" s="40" t="str">
        <f>O18</f>
        <v>Australië</v>
      </c>
      <c r="W18" s="40" t="s">
        <v>55</v>
      </c>
      <c r="Y18" s="109">
        <f t="shared" si="8"/>
        <v>6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6</v>
      </c>
      <c r="AG18" s="108">
        <f t="shared" si="0"/>
        <v>0</v>
      </c>
      <c r="AH18" s="108">
        <f t="shared" si="1"/>
        <v>1</v>
      </c>
      <c r="AI18" s="108">
        <f t="shared" si="10"/>
        <v>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3</v>
      </c>
      <c r="H19" s="367" t="s">
        <v>9</v>
      </c>
      <c r="I19" s="440">
        <v>1</v>
      </c>
      <c r="J19" s="369">
        <f t="shared" si="5"/>
        <v>1</v>
      </c>
      <c r="K19" s="363">
        <f t="shared" si="6"/>
        <v>3</v>
      </c>
      <c r="L19" s="363">
        <f t="shared" si="7"/>
        <v>0</v>
      </c>
      <c r="M19" s="352"/>
      <c r="N19" s="352"/>
      <c r="O19" s="392"/>
      <c r="P19" s="393"/>
      <c r="Q19" s="393"/>
      <c r="R19" s="393"/>
      <c r="S19" s="393"/>
      <c r="T19" s="393"/>
      <c r="U19" s="40"/>
      <c r="V19" s="40"/>
      <c r="W19" s="40"/>
      <c r="Y19" s="109">
        <f t="shared" si="8"/>
        <v>5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5</v>
      </c>
      <c r="AG19" s="108">
        <f t="shared" si="0"/>
        <v>0</v>
      </c>
      <c r="AH19" s="108">
        <f t="shared" si="1"/>
        <v>0</v>
      </c>
      <c r="AI19" s="108">
        <f t="shared" si="10"/>
        <v>0</v>
      </c>
      <c r="AJ19" s="108">
        <f t="shared" si="2"/>
        <v>5</v>
      </c>
      <c r="AK19" s="108">
        <f t="shared" si="3"/>
        <v>0</v>
      </c>
      <c r="AL19" s="108">
        <f t="shared" si="4"/>
        <v>0</v>
      </c>
      <c r="AN19" s="40"/>
      <c r="AO19" s="41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0</v>
      </c>
      <c r="H20" s="373" t="s">
        <v>9</v>
      </c>
      <c r="I20" s="441">
        <v>2</v>
      </c>
      <c r="J20" s="375">
        <f t="shared" si="5"/>
        <v>2</v>
      </c>
      <c r="K20" s="363">
        <f t="shared" si="6"/>
        <v>0</v>
      </c>
      <c r="L20" s="363">
        <f t="shared" si="7"/>
        <v>3</v>
      </c>
      <c r="M20" s="352"/>
      <c r="N20" s="352"/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40"/>
      <c r="V20" s="40"/>
      <c r="W20" s="40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0"/>
        <v>1</v>
      </c>
      <c r="AH20" s="108">
        <f t="shared" si="1"/>
        <v>0</v>
      </c>
      <c r="AI20" s="108">
        <f t="shared" si="10"/>
        <v>0</v>
      </c>
      <c r="AJ20" s="108">
        <f t="shared" si="2"/>
        <v>0</v>
      </c>
      <c r="AK20" s="108">
        <f t="shared" si="3"/>
        <v>0</v>
      </c>
      <c r="AL20" s="108">
        <f t="shared" si="4"/>
        <v>0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1</v>
      </c>
      <c r="H21" s="379" t="s">
        <v>9</v>
      </c>
      <c r="I21" s="442">
        <v>0</v>
      </c>
      <c r="J21" s="381">
        <f t="shared" si="5"/>
        <v>1</v>
      </c>
      <c r="K21" s="363">
        <f t="shared" si="6"/>
        <v>3</v>
      </c>
      <c r="L21" s="363">
        <f t="shared" si="7"/>
        <v>0</v>
      </c>
      <c r="M21" s="352"/>
      <c r="N21" s="352"/>
      <c r="O21" s="394" t="s">
        <v>17</v>
      </c>
      <c r="P21" s="395">
        <f>SUMIF($D$8:$D$55,$O21,$G$8:$G$55)+SUMIF($F$8:$F$55,$O21,$I$8:$I$55)</f>
        <v>2</v>
      </c>
      <c r="Q21" s="395">
        <f>SUMIF($D$8:$D$55,$O21,$I$8:$I$55)+SUMIF($F$8:$F$55,$O21,$G$8:$G$55)</f>
        <v>3</v>
      </c>
      <c r="R21" s="396">
        <f>P21-Q21</f>
        <v>-1</v>
      </c>
      <c r="S21" s="397">
        <f>SUMIF($D$8:$D$55,$O21,$K$8:$K$55)+SUMIF($F$8:$F$55,$O21,$L$8:$L$55)</f>
        <v>3</v>
      </c>
      <c r="T21" s="444" t="s">
        <v>59</v>
      </c>
      <c r="U21" s="40"/>
      <c r="V21" s="40" t="str">
        <f>O21</f>
        <v>Colombia</v>
      </c>
      <c r="W21" s="40" t="s">
        <v>57</v>
      </c>
      <c r="Y21" s="109">
        <f t="shared" si="8"/>
        <v>1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1</v>
      </c>
      <c r="AG21" s="108">
        <f t="shared" si="0"/>
        <v>1</v>
      </c>
      <c r="AH21" s="108">
        <f t="shared" si="1"/>
        <v>0</v>
      </c>
      <c r="AI21" s="108">
        <f t="shared" si="10"/>
        <v>0</v>
      </c>
      <c r="AJ21" s="108">
        <f t="shared" si="2"/>
        <v>0</v>
      </c>
      <c r="AK21" s="108">
        <f t="shared" si="3"/>
        <v>0</v>
      </c>
      <c r="AL21" s="108">
        <f t="shared" si="4"/>
        <v>0</v>
      </c>
      <c r="AM21" s="120">
        <f>AO21</f>
        <v>0</v>
      </c>
      <c r="AN21" s="116" t="s">
        <v>17</v>
      </c>
      <c r="AO21" s="115">
        <f>IF(Uitslag!T21="",0,IF(T21=Uitslag!T21,10,0))</f>
        <v>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2</v>
      </c>
      <c r="H22" s="367" t="s">
        <v>9</v>
      </c>
      <c r="I22" s="440">
        <v>0</v>
      </c>
      <c r="J22" s="369">
        <f t="shared" si="5"/>
        <v>1</v>
      </c>
      <c r="K22" s="363">
        <f t="shared" si="6"/>
        <v>3</v>
      </c>
      <c r="L22" s="363">
        <f t="shared" si="7"/>
        <v>0</v>
      </c>
      <c r="M22" s="352"/>
      <c r="N22" s="352"/>
      <c r="O22" s="398" t="s">
        <v>18</v>
      </c>
      <c r="P22" s="399">
        <f>SUMIF($D$8:$D$55,$O22,$G$8:$G$55)+SUMIF($F$8:$F$55,$O22,$I$8:$I$55)</f>
        <v>1</v>
      </c>
      <c r="Q22" s="399">
        <f>SUMIF($D$8:$D$55,$O22,$I$8:$I$55)+SUMIF($F$8:$F$55,$O22,$G$8:$G$55)</f>
        <v>7</v>
      </c>
      <c r="R22" s="399">
        <f>P22-Q22</f>
        <v>-6</v>
      </c>
      <c r="S22" s="400">
        <f>SUMIF($D$8:$D$55,$O22,$K$8:$K$55)+SUMIF($F$8:$F$55,$O22,$L$8:$L$55)</f>
        <v>0</v>
      </c>
      <c r="T22" s="445" t="s">
        <v>60</v>
      </c>
      <c r="U22" s="40"/>
      <c r="V22" s="40" t="str">
        <f>O22</f>
        <v>Griekenland</v>
      </c>
      <c r="W22" s="40" t="s">
        <v>58</v>
      </c>
      <c r="Y22" s="109">
        <f t="shared" si="8"/>
        <v>6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6</v>
      </c>
      <c r="AG22" s="108">
        <f t="shared" si="0"/>
        <v>1</v>
      </c>
      <c r="AH22" s="108">
        <f t="shared" si="1"/>
        <v>0</v>
      </c>
      <c r="AI22" s="108">
        <f t="shared" si="10"/>
        <v>0</v>
      </c>
      <c r="AJ22" s="108">
        <f t="shared" si="2"/>
        <v>5</v>
      </c>
      <c r="AK22" s="108">
        <f t="shared" si="3"/>
        <v>0</v>
      </c>
      <c r="AL22" s="108">
        <f t="shared" si="4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3</v>
      </c>
      <c r="H23" s="373" t="s">
        <v>9</v>
      </c>
      <c r="I23" s="441">
        <v>0</v>
      </c>
      <c r="J23" s="375">
        <f t="shared" si="5"/>
        <v>1</v>
      </c>
      <c r="K23" s="363">
        <f t="shared" si="6"/>
        <v>3</v>
      </c>
      <c r="L23" s="363">
        <f t="shared" si="7"/>
        <v>0</v>
      </c>
      <c r="M23" s="352"/>
      <c r="N23" s="352"/>
      <c r="O23" s="398" t="s">
        <v>23</v>
      </c>
      <c r="P23" s="399">
        <f>SUMIF($D$8:$D$55,$O23,$G$8:$G$55)+SUMIF($F$8:$F$55,$O23,$I$8:$I$55)</f>
        <v>7</v>
      </c>
      <c r="Q23" s="399">
        <f>SUMIF($D$8:$D$55,$O23,$I$8:$I$55)+SUMIF($F$8:$F$55,$O23,$G$8:$G$55)</f>
        <v>2</v>
      </c>
      <c r="R23" s="399">
        <f>P23-Q23</f>
        <v>5</v>
      </c>
      <c r="S23" s="400">
        <f>SUMIF($D$8:$D$55,$O23,$K$8:$K$55)+SUMIF($F$8:$F$55,$O23,$L$8:$L$55)</f>
        <v>9</v>
      </c>
      <c r="T23" s="445" t="s">
        <v>57</v>
      </c>
      <c r="U23" s="40"/>
      <c r="V23" s="40" t="str">
        <f>O23</f>
        <v>Ivoorkust</v>
      </c>
      <c r="W23" s="40" t="s">
        <v>59</v>
      </c>
      <c r="Y23" s="109">
        <f t="shared" si="8"/>
        <v>1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1</v>
      </c>
      <c r="AG23" s="108">
        <f t="shared" si="0"/>
        <v>0</v>
      </c>
      <c r="AH23" s="108">
        <f t="shared" si="1"/>
        <v>1</v>
      </c>
      <c r="AI23" s="108">
        <f t="shared" si="10"/>
        <v>0</v>
      </c>
      <c r="AJ23" s="108">
        <f t="shared" si="2"/>
        <v>0</v>
      </c>
      <c r="AK23" s="108">
        <f t="shared" si="3"/>
        <v>0</v>
      </c>
      <c r="AL23" s="108">
        <f t="shared" si="4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2</v>
      </c>
      <c r="H24" s="379" t="s">
        <v>9</v>
      </c>
      <c r="I24" s="442">
        <v>0</v>
      </c>
      <c r="J24" s="381">
        <f t="shared" si="5"/>
        <v>1</v>
      </c>
      <c r="K24" s="363">
        <f t="shared" si="6"/>
        <v>3</v>
      </c>
      <c r="L24" s="363">
        <f t="shared" si="7"/>
        <v>0</v>
      </c>
      <c r="M24" s="352"/>
      <c r="N24" s="352"/>
      <c r="O24" s="401" t="s">
        <v>24</v>
      </c>
      <c r="P24" s="402">
        <f>SUMIF($D$8:$D$55,$O24,$G$8:$G$55)+SUMIF($F$8:$F$55,$O24,$I$8:$I$55)</f>
        <v>4</v>
      </c>
      <c r="Q24" s="402">
        <f>SUMIF($D$8:$D$55,$O24,$I$8:$I$55)+SUMIF($F$8:$F$55,$O24,$G$8:$G$55)</f>
        <v>2</v>
      </c>
      <c r="R24" s="402">
        <f>P24-Q24</f>
        <v>2</v>
      </c>
      <c r="S24" s="403">
        <f>SUMIF($D$8:$D$55,$O24,$K$8:$K$55)+SUMIF($F$8:$F$55,$O24,$L$8:$L$55)</f>
        <v>6</v>
      </c>
      <c r="T24" s="446" t="s">
        <v>58</v>
      </c>
      <c r="U24" s="40"/>
      <c r="V24" s="40" t="str">
        <f>O24</f>
        <v>Japan</v>
      </c>
      <c r="W24" s="40" t="s">
        <v>60</v>
      </c>
      <c r="Y24" s="109">
        <f t="shared" si="8"/>
        <v>0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0</v>
      </c>
      <c r="AG24" s="108">
        <f t="shared" si="0"/>
        <v>0</v>
      </c>
      <c r="AH24" s="108">
        <f t="shared" si="1"/>
        <v>0</v>
      </c>
      <c r="AI24" s="108">
        <f t="shared" si="10"/>
        <v>0</v>
      </c>
      <c r="AJ24" s="108">
        <f t="shared" si="2"/>
        <v>0</v>
      </c>
      <c r="AK24" s="108">
        <f t="shared" si="3"/>
        <v>0</v>
      </c>
      <c r="AL24" s="108">
        <f t="shared" si="4"/>
        <v>0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1</v>
      </c>
      <c r="H25" s="367" t="s">
        <v>9</v>
      </c>
      <c r="I25" s="440">
        <v>2</v>
      </c>
      <c r="J25" s="369">
        <f t="shared" si="5"/>
        <v>2</v>
      </c>
      <c r="K25" s="363">
        <f t="shared" si="6"/>
        <v>0</v>
      </c>
      <c r="L25" s="363">
        <f t="shared" si="7"/>
        <v>3</v>
      </c>
      <c r="M25" s="352"/>
      <c r="N25" s="352"/>
      <c r="O25" s="392"/>
      <c r="P25" s="393"/>
      <c r="Q25" s="393"/>
      <c r="R25" s="393"/>
      <c r="S25" s="393"/>
      <c r="T25" s="393"/>
      <c r="U25" s="40"/>
      <c r="V25" s="40"/>
      <c r="W25" s="40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0"/>
        <v>0</v>
      </c>
      <c r="AH25" s="108">
        <f t="shared" si="1"/>
        <v>0</v>
      </c>
      <c r="AI25" s="108">
        <f t="shared" si="10"/>
        <v>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40"/>
      <c r="AO25" s="41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2</v>
      </c>
      <c r="H26" s="373" t="s">
        <v>9</v>
      </c>
      <c r="I26" s="441">
        <v>0</v>
      </c>
      <c r="J26" s="375">
        <f t="shared" si="5"/>
        <v>1</v>
      </c>
      <c r="K26" s="363">
        <f t="shared" si="6"/>
        <v>3</v>
      </c>
      <c r="L26" s="363">
        <f t="shared" si="7"/>
        <v>0</v>
      </c>
      <c r="M26" s="352"/>
      <c r="N26" s="352"/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40"/>
      <c r="V26" s="40"/>
      <c r="W26" s="40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0"/>
        <v>0</v>
      </c>
      <c r="AH26" s="108">
        <f t="shared" si="1"/>
        <v>0</v>
      </c>
      <c r="AI26" s="108">
        <f t="shared" si="10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1</v>
      </c>
      <c r="H27" s="379" t="s">
        <v>9</v>
      </c>
      <c r="I27" s="442">
        <v>1</v>
      </c>
      <c r="J27" s="381">
        <f t="shared" si="5"/>
        <v>3</v>
      </c>
      <c r="K27" s="363">
        <f t="shared" si="6"/>
        <v>1</v>
      </c>
      <c r="L27" s="363">
        <f t="shared" si="7"/>
        <v>1</v>
      </c>
      <c r="M27" s="352"/>
      <c r="N27" s="352"/>
      <c r="O27" s="394" t="s">
        <v>19</v>
      </c>
      <c r="P27" s="395">
        <f>SUMIF($D$8:$D$55,$O27,$G$8:$G$55)+SUMIF($F$8:$F$55,$O27,$I$8:$I$55)</f>
        <v>4</v>
      </c>
      <c r="Q27" s="395">
        <f>SUMIF($D$8:$D$55,$O27,$I$8:$I$55)+SUMIF($F$8:$F$55,$O27,$G$8:$G$55)</f>
        <v>1</v>
      </c>
      <c r="R27" s="396">
        <f>P27-Q27</f>
        <v>3</v>
      </c>
      <c r="S27" s="397">
        <f>SUMIF($D$8:$D$55,$O27,$K$8:$K$55)+SUMIF($F$8:$F$55,$O27,$L$8:$L$55)</f>
        <v>6</v>
      </c>
      <c r="T27" s="444" t="s">
        <v>63</v>
      </c>
      <c r="U27" s="40"/>
      <c r="V27" s="40" t="str">
        <f>O27</f>
        <v>Uruguay</v>
      </c>
      <c r="W27" s="40" t="s">
        <v>62</v>
      </c>
      <c r="Y27" s="109">
        <f t="shared" si="8"/>
        <v>0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0</v>
      </c>
      <c r="AG27" s="108">
        <f t="shared" si="0"/>
        <v>0</v>
      </c>
      <c r="AH27" s="108">
        <f t="shared" si="1"/>
        <v>0</v>
      </c>
      <c r="AI27" s="108">
        <f t="shared" si="10"/>
        <v>0</v>
      </c>
      <c r="AJ27" s="108">
        <f t="shared" si="2"/>
        <v>0</v>
      </c>
      <c r="AK27" s="108">
        <f t="shared" si="3"/>
        <v>0</v>
      </c>
      <c r="AL27" s="108">
        <f t="shared" si="4"/>
        <v>0</v>
      </c>
      <c r="AM27" s="120">
        <f>AO27</f>
        <v>10</v>
      </c>
      <c r="AN27" s="116" t="s">
        <v>19</v>
      </c>
      <c r="AO27" s="115">
        <f>IF(Uitslag!T27="",0,IF(T27=Uitslag!T27,10,0))</f>
        <v>10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0</v>
      </c>
      <c r="H28" s="367" t="s">
        <v>9</v>
      </c>
      <c r="I28" s="440">
        <v>2</v>
      </c>
      <c r="J28" s="369">
        <f t="shared" si="5"/>
        <v>2</v>
      </c>
      <c r="K28" s="363">
        <f t="shared" si="6"/>
        <v>0</v>
      </c>
      <c r="L28" s="363">
        <f t="shared" si="7"/>
        <v>3</v>
      </c>
      <c r="M28" s="352"/>
      <c r="N28" s="352"/>
      <c r="O28" s="398" t="s">
        <v>20</v>
      </c>
      <c r="P28" s="399">
        <f>SUMIF($D$8:$D$55,$O28,$G$8:$G$55)+SUMIF($F$8:$F$55,$O28,$I$8:$I$55)</f>
        <v>0</v>
      </c>
      <c r="Q28" s="399">
        <f>SUMIF($D$8:$D$55,$O28,$I$8:$I$55)+SUMIF($F$8:$F$55,$O28,$G$8:$G$55)</f>
        <v>7</v>
      </c>
      <c r="R28" s="399">
        <f>P28-Q28</f>
        <v>-7</v>
      </c>
      <c r="S28" s="400">
        <f>SUMIF($D$8:$D$55,$O28,$K$8:$K$55)+SUMIF($F$8:$F$55,$O28,$L$8:$L$55)</f>
        <v>0</v>
      </c>
      <c r="T28" s="445" t="s">
        <v>65</v>
      </c>
      <c r="U28" s="40"/>
      <c r="V28" s="40" t="str">
        <f>O28</f>
        <v>Costa Rica</v>
      </c>
      <c r="W28" s="40" t="s">
        <v>63</v>
      </c>
      <c r="Y28" s="109">
        <f t="shared" si="8"/>
        <v>0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0</v>
      </c>
      <c r="AG28" s="108">
        <f t="shared" si="0"/>
        <v>0</v>
      </c>
      <c r="AH28" s="108">
        <f t="shared" si="1"/>
        <v>0</v>
      </c>
      <c r="AI28" s="108">
        <f t="shared" si="10"/>
        <v>0</v>
      </c>
      <c r="AJ28" s="108">
        <f t="shared" si="2"/>
        <v>0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1</v>
      </c>
      <c r="H29" s="373" t="s">
        <v>9</v>
      </c>
      <c r="I29" s="441">
        <v>0</v>
      </c>
      <c r="J29" s="375">
        <f t="shared" si="5"/>
        <v>1</v>
      </c>
      <c r="K29" s="363">
        <f t="shared" si="6"/>
        <v>3</v>
      </c>
      <c r="L29" s="363">
        <f t="shared" si="7"/>
        <v>0</v>
      </c>
      <c r="M29" s="352"/>
      <c r="N29" s="352"/>
      <c r="O29" s="398" t="s">
        <v>21</v>
      </c>
      <c r="P29" s="399">
        <f>SUMIF($D$8:$D$55,$O29,$G$8:$G$55)+SUMIF($F$8:$F$55,$O29,$I$8:$I$55)</f>
        <v>3</v>
      </c>
      <c r="Q29" s="399">
        <f>SUMIF($D$8:$D$55,$O29,$I$8:$I$55)+SUMIF($F$8:$F$55,$O29,$G$8:$G$55)</f>
        <v>3</v>
      </c>
      <c r="R29" s="399">
        <f>P29-Q29</f>
        <v>0</v>
      </c>
      <c r="S29" s="400">
        <f>SUMIF($D$8:$D$55,$O29,$K$8:$K$55)+SUMIF($F$8:$F$55,$O29,$L$8:$L$55)</f>
        <v>3</v>
      </c>
      <c r="T29" s="445" t="s">
        <v>64</v>
      </c>
      <c r="U29" s="40"/>
      <c r="V29" s="40" t="str">
        <f>O29</f>
        <v>Engeland</v>
      </c>
      <c r="W29" s="40" t="s">
        <v>64</v>
      </c>
      <c r="Y29" s="109">
        <f t="shared" si="8"/>
        <v>5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5</v>
      </c>
      <c r="AG29" s="108">
        <f t="shared" si="0"/>
        <v>0</v>
      </c>
      <c r="AH29" s="108">
        <f t="shared" si="1"/>
        <v>0</v>
      </c>
      <c r="AI29" s="108">
        <f t="shared" si="10"/>
        <v>0</v>
      </c>
      <c r="AJ29" s="108">
        <f t="shared" si="2"/>
        <v>5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2</v>
      </c>
      <c r="H30" s="379" t="s">
        <v>9</v>
      </c>
      <c r="I30" s="442">
        <v>0</v>
      </c>
      <c r="J30" s="381">
        <f t="shared" si="5"/>
        <v>1</v>
      </c>
      <c r="K30" s="363">
        <f t="shared" si="6"/>
        <v>3</v>
      </c>
      <c r="L30" s="363">
        <f t="shared" si="7"/>
        <v>0</v>
      </c>
      <c r="M30" s="352"/>
      <c r="N30" s="352"/>
      <c r="O30" s="401" t="s">
        <v>22</v>
      </c>
      <c r="P30" s="402">
        <f>SUMIF($D$8:$D$55,$O30,$G$8:$G$55)+SUMIF($F$8:$F$55,$O30,$I$8:$I$55)</f>
        <v>5</v>
      </c>
      <c r="Q30" s="402">
        <f>SUMIF($D$8:$D$55,$O30,$I$8:$I$55)+SUMIF($F$8:$F$55,$O30,$G$8:$G$55)</f>
        <v>1</v>
      </c>
      <c r="R30" s="402">
        <f>P30-Q30</f>
        <v>4</v>
      </c>
      <c r="S30" s="403">
        <f>SUMIF($D$8:$D$55,$O30,$K$8:$K$55)+SUMIF($F$8:$F$55,$O30,$L$8:$L$55)</f>
        <v>9</v>
      </c>
      <c r="T30" s="446" t="s">
        <v>62</v>
      </c>
      <c r="U30" s="40"/>
      <c r="V30" s="40" t="str">
        <f>O30</f>
        <v>Italië</v>
      </c>
      <c r="W30" s="40" t="s">
        <v>65</v>
      </c>
      <c r="Y30" s="109">
        <f t="shared" si="8"/>
        <v>1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1</v>
      </c>
      <c r="AG30" s="108">
        <f t="shared" si="0"/>
        <v>0</v>
      </c>
      <c r="AH30" s="108">
        <f t="shared" si="1"/>
        <v>1</v>
      </c>
      <c r="AI30" s="108">
        <f t="shared" si="10"/>
        <v>0</v>
      </c>
      <c r="AJ30" s="108">
        <f t="shared" si="2"/>
        <v>0</v>
      </c>
      <c r="AK30" s="108">
        <f t="shared" si="3"/>
        <v>0</v>
      </c>
      <c r="AL30" s="108">
        <f t="shared" si="4"/>
        <v>0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2</v>
      </c>
      <c r="H31" s="367" t="s">
        <v>9</v>
      </c>
      <c r="I31" s="440">
        <v>0</v>
      </c>
      <c r="J31" s="369">
        <f t="shared" si="5"/>
        <v>1</v>
      </c>
      <c r="K31" s="363">
        <f t="shared" si="6"/>
        <v>3</v>
      </c>
      <c r="L31" s="363">
        <f t="shared" si="7"/>
        <v>0</v>
      </c>
      <c r="M31" s="352"/>
      <c r="N31" s="352"/>
      <c r="O31" s="392"/>
      <c r="P31" s="393"/>
      <c r="Q31" s="393"/>
      <c r="R31" s="393"/>
      <c r="S31" s="393"/>
      <c r="T31" s="393"/>
      <c r="U31" s="40"/>
      <c r="V31" s="40"/>
      <c r="W31" s="40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0"/>
        <v>0</v>
      </c>
      <c r="AH31" s="108">
        <f t="shared" si="1"/>
        <v>0</v>
      </c>
      <c r="AI31" s="108">
        <f t="shared" si="10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40"/>
      <c r="AO31" s="41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0</v>
      </c>
      <c r="H32" s="373" t="s">
        <v>9</v>
      </c>
      <c r="I32" s="441">
        <v>2</v>
      </c>
      <c r="J32" s="375">
        <f t="shared" si="5"/>
        <v>2</v>
      </c>
      <c r="K32" s="363">
        <f t="shared" si="6"/>
        <v>0</v>
      </c>
      <c r="L32" s="363">
        <f t="shared" si="7"/>
        <v>3</v>
      </c>
      <c r="M32" s="352"/>
      <c r="N32" s="352"/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40"/>
      <c r="V32" s="40"/>
      <c r="W32" s="40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0"/>
        <v>0</v>
      </c>
      <c r="AH32" s="108">
        <f t="shared" si="1"/>
        <v>0</v>
      </c>
      <c r="AI32" s="108">
        <f t="shared" si="10"/>
        <v>0</v>
      </c>
      <c r="AJ32" s="108">
        <f t="shared" si="2"/>
        <v>0</v>
      </c>
      <c r="AK32" s="108">
        <f t="shared" si="3"/>
        <v>5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0</v>
      </c>
      <c r="H33" s="379" t="s">
        <v>9</v>
      </c>
      <c r="I33" s="442">
        <v>2</v>
      </c>
      <c r="J33" s="381">
        <f t="shared" si="5"/>
        <v>2</v>
      </c>
      <c r="K33" s="363">
        <f t="shared" si="6"/>
        <v>0</v>
      </c>
      <c r="L33" s="363">
        <f t="shared" si="7"/>
        <v>3</v>
      </c>
      <c r="M33" s="352"/>
      <c r="N33" s="352"/>
      <c r="O33" s="394" t="s">
        <v>25</v>
      </c>
      <c r="P33" s="395">
        <f>SUMIF($D$8:$D$55,$O33,$G$8:$G$55)+SUMIF($F$8:$F$55,$O33,$I$8:$I$55)</f>
        <v>4</v>
      </c>
      <c r="Q33" s="395">
        <f>SUMIF($D$8:$D$55,$O33,$I$8:$I$55)+SUMIF($F$8:$F$55,$O33,$G$8:$G$55)</f>
        <v>3</v>
      </c>
      <c r="R33" s="396">
        <f>P33-Q33</f>
        <v>1</v>
      </c>
      <c r="S33" s="397">
        <f>SUMIF($D$8:$D$55,$O33,$K$8:$K$55)+SUMIF($F$8:$F$55,$O33,$L$8:$L$55)</f>
        <v>6</v>
      </c>
      <c r="T33" s="444" t="s">
        <v>68</v>
      </c>
      <c r="U33" s="40"/>
      <c r="V33" s="40" t="str">
        <f>O33</f>
        <v>Zwitserland</v>
      </c>
      <c r="W33" s="40" t="s">
        <v>67</v>
      </c>
      <c r="Y33" s="109">
        <f t="shared" si="8"/>
        <v>6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6</v>
      </c>
      <c r="AG33" s="108">
        <f t="shared" si="0"/>
        <v>0</v>
      </c>
      <c r="AH33" s="108">
        <f t="shared" si="1"/>
        <v>1</v>
      </c>
      <c r="AI33" s="108">
        <f t="shared" si="10"/>
        <v>0</v>
      </c>
      <c r="AJ33" s="108">
        <f t="shared" si="2"/>
        <v>0</v>
      </c>
      <c r="AK33" s="108">
        <f t="shared" si="3"/>
        <v>5</v>
      </c>
      <c r="AL33" s="108">
        <f t="shared" si="4"/>
        <v>0</v>
      </c>
      <c r="AM33" s="120">
        <f>AO33</f>
        <v>10</v>
      </c>
      <c r="AN33" s="116" t="s">
        <v>25</v>
      </c>
      <c r="AO33" s="115">
        <f>IF(Uitslag!T33="",0,IF(T33=Uitslag!T33,10,0))</f>
        <v>10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3</v>
      </c>
      <c r="H34" s="367" t="s">
        <v>9</v>
      </c>
      <c r="I34" s="440">
        <v>0</v>
      </c>
      <c r="J34" s="369">
        <f t="shared" si="5"/>
        <v>1</v>
      </c>
      <c r="K34" s="363">
        <f t="shared" si="6"/>
        <v>3</v>
      </c>
      <c r="L34" s="363">
        <f t="shared" si="7"/>
        <v>0</v>
      </c>
      <c r="M34" s="352"/>
      <c r="N34" s="352"/>
      <c r="O34" s="398" t="s">
        <v>26</v>
      </c>
      <c r="P34" s="399">
        <f>SUMIF($D$8:$D$55,$O34,$G$8:$G$55)+SUMIF($F$8:$F$55,$O34,$I$8:$I$55)</f>
        <v>3</v>
      </c>
      <c r="Q34" s="399">
        <f>SUMIF($D$8:$D$55,$O34,$I$8:$I$55)+SUMIF($F$8:$F$55,$O34,$G$8:$G$55)</f>
        <v>4</v>
      </c>
      <c r="R34" s="399">
        <f>P34-Q34</f>
        <v>-1</v>
      </c>
      <c r="S34" s="400">
        <f>SUMIF($D$8:$D$55,$O34,$K$8:$K$55)+SUMIF($F$8:$F$55,$O34,$L$8:$L$55)</f>
        <v>3</v>
      </c>
      <c r="T34" s="445" t="s">
        <v>69</v>
      </c>
      <c r="U34" s="40"/>
      <c r="V34" s="40" t="str">
        <f>O34</f>
        <v>Ecuador</v>
      </c>
      <c r="W34" s="40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0"/>
        <v>0</v>
      </c>
      <c r="AH34" s="108">
        <f t="shared" si="1"/>
        <v>1</v>
      </c>
      <c r="AI34" s="108">
        <f t="shared" si="10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10</v>
      </c>
      <c r="AN34" s="117" t="s">
        <v>26</v>
      </c>
      <c r="AO34" s="115">
        <f>IF(Uitslag!T34="",0,IF(T34=Uitslag!T34,10,0))</f>
        <v>10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0</v>
      </c>
      <c r="H35" s="373" t="s">
        <v>9</v>
      </c>
      <c r="I35" s="441">
        <v>2</v>
      </c>
      <c r="J35" s="375">
        <f t="shared" si="5"/>
        <v>2</v>
      </c>
      <c r="K35" s="363">
        <f t="shared" si="6"/>
        <v>0</v>
      </c>
      <c r="L35" s="363">
        <f t="shared" si="7"/>
        <v>3</v>
      </c>
      <c r="M35" s="352"/>
      <c r="N35" s="352"/>
      <c r="O35" s="398" t="s">
        <v>27</v>
      </c>
      <c r="P35" s="399">
        <f>SUMIF($D$8:$D$55,$O35,$G$8:$G$55)+SUMIF($F$8:$F$55,$O35,$I$8:$I$55)</f>
        <v>7</v>
      </c>
      <c r="Q35" s="399">
        <f>SUMIF($D$8:$D$55,$O35,$I$8:$I$55)+SUMIF($F$8:$F$55,$O35,$G$8:$G$55)</f>
        <v>0</v>
      </c>
      <c r="R35" s="399">
        <f>P35-Q35</f>
        <v>7</v>
      </c>
      <c r="S35" s="400">
        <f>SUMIF($D$8:$D$55,$O35,$K$8:$K$55)+SUMIF($F$8:$F$55,$O35,$L$8:$L$55)</f>
        <v>9</v>
      </c>
      <c r="T35" s="445" t="s">
        <v>67</v>
      </c>
      <c r="U35" s="40"/>
      <c r="V35" s="40" t="str">
        <f>O35</f>
        <v>Frankrijk</v>
      </c>
      <c r="W35" s="40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0"/>
        <v>0</v>
      </c>
      <c r="AH35" s="108">
        <f t="shared" si="1"/>
        <v>1</v>
      </c>
      <c r="AI35" s="108">
        <f t="shared" si="10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2</v>
      </c>
      <c r="H36" s="379" t="s">
        <v>9</v>
      </c>
      <c r="I36" s="442">
        <v>1</v>
      </c>
      <c r="J36" s="381">
        <f t="shared" si="5"/>
        <v>1</v>
      </c>
      <c r="K36" s="363">
        <f t="shared" si="6"/>
        <v>3</v>
      </c>
      <c r="L36" s="363">
        <f t="shared" si="7"/>
        <v>0</v>
      </c>
      <c r="M36" s="352"/>
      <c r="N36" s="352"/>
      <c r="O36" s="401" t="s">
        <v>28</v>
      </c>
      <c r="P36" s="402">
        <f>SUMIF($D$8:$D$55,$O36,$G$8:$G$55)+SUMIF($F$8:$F$55,$O36,$I$8:$I$55)</f>
        <v>0</v>
      </c>
      <c r="Q36" s="402">
        <f>SUMIF($D$8:$D$55,$O36,$I$8:$I$55)+SUMIF($F$8:$F$55,$O36,$G$8:$G$55)</f>
        <v>7</v>
      </c>
      <c r="R36" s="402">
        <f>P36-Q36</f>
        <v>-7</v>
      </c>
      <c r="S36" s="403">
        <f>SUMIF($D$8:$D$55,$O36,$K$8:$K$55)+SUMIF($F$8:$F$55,$O36,$L$8:$L$55)</f>
        <v>0</v>
      </c>
      <c r="T36" s="446" t="s">
        <v>70</v>
      </c>
      <c r="U36" s="40"/>
      <c r="V36" s="40" t="str">
        <f>O36</f>
        <v>Honduras</v>
      </c>
      <c r="W36" s="40" t="s">
        <v>70</v>
      </c>
      <c r="Y36" s="109">
        <f t="shared" si="8"/>
        <v>5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5</v>
      </c>
      <c r="AG36" s="108">
        <f t="shared" si="0"/>
        <v>0</v>
      </c>
      <c r="AH36" s="108">
        <f t="shared" si="1"/>
        <v>0</v>
      </c>
      <c r="AI36" s="108">
        <f t="shared" si="10"/>
        <v>0</v>
      </c>
      <c r="AJ36" s="108">
        <f t="shared" si="2"/>
        <v>5</v>
      </c>
      <c r="AK36" s="108">
        <f t="shared" si="3"/>
        <v>0</v>
      </c>
      <c r="AL36" s="108">
        <f t="shared" si="4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2</v>
      </c>
      <c r="H37" s="367" t="s">
        <v>9</v>
      </c>
      <c r="I37" s="440">
        <v>1</v>
      </c>
      <c r="J37" s="369">
        <f t="shared" si="5"/>
        <v>1</v>
      </c>
      <c r="K37" s="363">
        <f t="shared" si="6"/>
        <v>3</v>
      </c>
      <c r="L37" s="363">
        <f t="shared" si="7"/>
        <v>0</v>
      </c>
      <c r="M37" s="352"/>
      <c r="N37" s="352"/>
      <c r="O37" s="392"/>
      <c r="P37" s="393"/>
      <c r="Q37" s="393"/>
      <c r="R37" s="393"/>
      <c r="S37" s="393"/>
      <c r="T37" s="393"/>
      <c r="U37" s="40"/>
      <c r="V37" s="40"/>
      <c r="W37" s="40"/>
      <c r="Y37" s="109">
        <f t="shared" si="8"/>
        <v>5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5</v>
      </c>
      <c r="AG37" s="108">
        <f t="shared" si="0"/>
        <v>0</v>
      </c>
      <c r="AH37" s="108">
        <f t="shared" si="1"/>
        <v>0</v>
      </c>
      <c r="AI37" s="108">
        <f t="shared" si="10"/>
        <v>0</v>
      </c>
      <c r="AJ37" s="108">
        <f t="shared" si="2"/>
        <v>5</v>
      </c>
      <c r="AK37" s="108">
        <f t="shared" si="3"/>
        <v>0</v>
      </c>
      <c r="AL37" s="108">
        <f t="shared" si="4"/>
        <v>0</v>
      </c>
      <c r="AN37" s="40"/>
      <c r="AO37" s="41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1</v>
      </c>
      <c r="H38" s="373" t="s">
        <v>9</v>
      </c>
      <c r="I38" s="441">
        <v>0</v>
      </c>
      <c r="J38" s="375">
        <f t="shared" si="5"/>
        <v>1</v>
      </c>
      <c r="K38" s="363">
        <f t="shared" si="6"/>
        <v>3</v>
      </c>
      <c r="L38" s="363">
        <f t="shared" si="7"/>
        <v>0</v>
      </c>
      <c r="M38" s="352"/>
      <c r="N38" s="352"/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40"/>
      <c r="V38" s="40"/>
      <c r="W38" s="40"/>
      <c r="Y38" s="109">
        <f t="shared" si="8"/>
        <v>0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0</v>
      </c>
      <c r="AG38" s="108">
        <f t="shared" si="0"/>
        <v>0</v>
      </c>
      <c r="AH38" s="108">
        <f t="shared" si="1"/>
        <v>0</v>
      </c>
      <c r="AI38" s="108">
        <f t="shared" si="10"/>
        <v>0</v>
      </c>
      <c r="AJ38" s="108">
        <f t="shared" si="2"/>
        <v>0</v>
      </c>
      <c r="AK38" s="108">
        <f t="shared" si="3"/>
        <v>0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1</v>
      </c>
      <c r="H39" s="379" t="s">
        <v>9</v>
      </c>
      <c r="I39" s="442">
        <v>2</v>
      </c>
      <c r="J39" s="381">
        <f t="shared" si="5"/>
        <v>2</v>
      </c>
      <c r="K39" s="363">
        <f t="shared" si="6"/>
        <v>0</v>
      </c>
      <c r="L39" s="363">
        <f t="shared" si="7"/>
        <v>3</v>
      </c>
      <c r="M39" s="352"/>
      <c r="N39" s="352"/>
      <c r="O39" s="394" t="s">
        <v>29</v>
      </c>
      <c r="P39" s="395">
        <f>SUMIF($D$8:$D$55,$O39,$G$8:$G$55)+SUMIF($F$8:$F$55,$O39,$I$8:$I$55)</f>
        <v>8</v>
      </c>
      <c r="Q39" s="395">
        <f>SUMIF($D$8:$D$55,$O39,$I$8:$I$55)+SUMIF($F$8:$F$55,$O39,$G$8:$G$55)</f>
        <v>1</v>
      </c>
      <c r="R39" s="396">
        <f>P39-Q39</f>
        <v>7</v>
      </c>
      <c r="S39" s="397">
        <f>SUMIF($D$8:$D$55,$O39,$K$8:$K$55)+SUMIF($F$8:$F$55,$O39,$L$8:$L$55)</f>
        <v>9</v>
      </c>
      <c r="T39" s="444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1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1</v>
      </c>
      <c r="AG39" s="108">
        <f t="shared" si="0"/>
        <v>0</v>
      </c>
      <c r="AH39" s="108">
        <f t="shared" si="1"/>
        <v>1</v>
      </c>
      <c r="AI39" s="108">
        <f t="shared" si="10"/>
        <v>0</v>
      </c>
      <c r="AJ39" s="108">
        <f t="shared" si="2"/>
        <v>0</v>
      </c>
      <c r="AK39" s="108">
        <f t="shared" si="3"/>
        <v>0</v>
      </c>
      <c r="AL39" s="108">
        <f t="shared" si="4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0</v>
      </c>
      <c r="H40" s="367" t="s">
        <v>9</v>
      </c>
      <c r="I40" s="440">
        <v>3</v>
      </c>
      <c r="J40" s="369">
        <f t="shared" si="5"/>
        <v>2</v>
      </c>
      <c r="K40" s="363">
        <f t="shared" si="6"/>
        <v>0</v>
      </c>
      <c r="L40" s="363">
        <f t="shared" si="7"/>
        <v>3</v>
      </c>
      <c r="M40" s="352"/>
      <c r="N40" s="352"/>
      <c r="O40" s="398" t="s">
        <v>30</v>
      </c>
      <c r="P40" s="399">
        <f>SUMIF($D$8:$D$55,$O40,$G$8:$G$55)+SUMIF($F$8:$F$55,$O40,$I$8:$I$55)</f>
        <v>4</v>
      </c>
      <c r="Q40" s="399">
        <f>SUMIF($D$8:$D$55,$O40,$I$8:$I$55)+SUMIF($F$8:$F$55,$O40,$G$8:$G$55)</f>
        <v>6</v>
      </c>
      <c r="R40" s="399">
        <f>P40-Q40</f>
        <v>-2</v>
      </c>
      <c r="S40" s="400">
        <f>SUMIF($D$8:$D$55,$O40,$K$8:$K$55)+SUMIF($F$8:$F$55,$O40,$L$8:$L$55)</f>
        <v>3</v>
      </c>
      <c r="T40" s="445" t="s">
        <v>74</v>
      </c>
      <c r="U40" s="40"/>
      <c r="V40" s="40" t="str">
        <f>O40</f>
        <v>Bosnië H.</v>
      </c>
      <c r="W40" s="40" t="s">
        <v>73</v>
      </c>
      <c r="Y40" s="109">
        <f t="shared" si="8"/>
        <v>10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10</v>
      </c>
      <c r="AG40" s="108">
        <f t="shared" si="0"/>
        <v>1</v>
      </c>
      <c r="AH40" s="108">
        <f t="shared" si="1"/>
        <v>1</v>
      </c>
      <c r="AI40" s="108">
        <f t="shared" si="10"/>
        <v>10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1</v>
      </c>
      <c r="H41" s="373" t="s">
        <v>9</v>
      </c>
      <c r="I41" s="441">
        <v>0</v>
      </c>
      <c r="J41" s="375">
        <f t="shared" si="5"/>
        <v>1</v>
      </c>
      <c r="K41" s="363">
        <f t="shared" si="6"/>
        <v>3</v>
      </c>
      <c r="L41" s="363">
        <f t="shared" si="7"/>
        <v>0</v>
      </c>
      <c r="M41" s="352"/>
      <c r="N41" s="352"/>
      <c r="O41" s="398" t="s">
        <v>33</v>
      </c>
      <c r="P41" s="399">
        <f>SUMIF($D$8:$D$55,$O41,$G$8:$G$55)+SUMIF($F$8:$F$55,$O41,$I$8:$I$55)</f>
        <v>1</v>
      </c>
      <c r="Q41" s="399">
        <f>SUMIF($D$8:$D$55,$O41,$I$8:$I$55)+SUMIF($F$8:$F$55,$O41,$G$8:$G$55)</f>
        <v>7</v>
      </c>
      <c r="R41" s="399">
        <f>P41-Q41</f>
        <v>-6</v>
      </c>
      <c r="S41" s="400">
        <f>SUMIF($D$8:$D$55,$O41,$K$8:$K$55)+SUMIF($F$8:$F$55,$O41,$L$8:$L$55)</f>
        <v>0</v>
      </c>
      <c r="T41" s="445" t="s">
        <v>75</v>
      </c>
      <c r="U41" s="40"/>
      <c r="V41" s="40" t="str">
        <f>O41</f>
        <v>Iran</v>
      </c>
      <c r="W41" s="40" t="s">
        <v>74</v>
      </c>
      <c r="Y41" s="109">
        <f t="shared" si="8"/>
        <v>6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6</v>
      </c>
      <c r="AG41" s="108">
        <f t="shared" si="0"/>
        <v>0</v>
      </c>
      <c r="AH41" s="108">
        <f t="shared" si="1"/>
        <v>1</v>
      </c>
      <c r="AI41" s="108">
        <f t="shared" si="10"/>
        <v>0</v>
      </c>
      <c r="AJ41" s="108">
        <f t="shared" si="2"/>
        <v>5</v>
      </c>
      <c r="AK41" s="108">
        <f t="shared" si="3"/>
        <v>0</v>
      </c>
      <c r="AL41" s="108">
        <f t="shared" si="4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0</v>
      </c>
      <c r="H42" s="373" t="s">
        <v>9</v>
      </c>
      <c r="I42" s="441">
        <v>3</v>
      </c>
      <c r="J42" s="375">
        <f t="shared" si="5"/>
        <v>2</v>
      </c>
      <c r="K42" s="363">
        <f t="shared" si="6"/>
        <v>0</v>
      </c>
      <c r="L42" s="363">
        <f t="shared" si="7"/>
        <v>3</v>
      </c>
      <c r="M42" s="352"/>
      <c r="N42" s="352"/>
      <c r="O42" s="401" t="s">
        <v>34</v>
      </c>
      <c r="P42" s="402">
        <f>SUMIF($D$8:$D$55,$O42,$G$8:$G$55)+SUMIF($F$8:$F$55,$O42,$I$8:$I$55)</f>
        <v>4</v>
      </c>
      <c r="Q42" s="402">
        <f>SUMIF($D$8:$D$55,$O42,$I$8:$I$55)+SUMIF($F$8:$F$55,$O42,$G$8:$G$55)</f>
        <v>3</v>
      </c>
      <c r="R42" s="402">
        <f>P42-Q42</f>
        <v>1</v>
      </c>
      <c r="S42" s="403">
        <f>SUMIF($D$8:$D$55,$O42,$K$8:$K$55)+SUMIF($F$8:$F$55,$O42,$L$8:$L$55)</f>
        <v>6</v>
      </c>
      <c r="T42" s="446" t="s">
        <v>73</v>
      </c>
      <c r="U42" s="40"/>
      <c r="V42" s="40" t="str">
        <f>O42</f>
        <v>Nigeria</v>
      </c>
      <c r="W42" s="40" t="s">
        <v>75</v>
      </c>
      <c r="Y42" s="109">
        <f t="shared" si="8"/>
        <v>5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5</v>
      </c>
      <c r="AG42" s="108">
        <f t="shared" si="0"/>
        <v>0</v>
      </c>
      <c r="AH42" s="108">
        <f t="shared" si="1"/>
        <v>0</v>
      </c>
      <c r="AI42" s="108">
        <f t="shared" si="10"/>
        <v>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2</v>
      </c>
      <c r="H43" s="379" t="s">
        <v>9</v>
      </c>
      <c r="I43" s="442">
        <v>0</v>
      </c>
      <c r="J43" s="381">
        <f t="shared" si="5"/>
        <v>1</v>
      </c>
      <c r="K43" s="363">
        <f t="shared" si="6"/>
        <v>3</v>
      </c>
      <c r="L43" s="363">
        <f t="shared" si="7"/>
        <v>0</v>
      </c>
      <c r="M43" s="352"/>
      <c r="N43" s="352"/>
      <c r="O43" s="392"/>
      <c r="P43" s="393"/>
      <c r="Q43" s="393"/>
      <c r="R43" s="393"/>
      <c r="S43" s="393"/>
      <c r="T43" s="393"/>
      <c r="U43" s="40"/>
      <c r="V43" s="40"/>
      <c r="W43" s="40"/>
      <c r="Y43" s="109">
        <f t="shared" si="8"/>
        <v>0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0</v>
      </c>
      <c r="AG43" s="108">
        <f t="shared" si="0"/>
        <v>0</v>
      </c>
      <c r="AH43" s="108">
        <f t="shared" si="1"/>
        <v>0</v>
      </c>
      <c r="AI43" s="108">
        <f t="shared" si="10"/>
        <v>0</v>
      </c>
      <c r="AJ43" s="108">
        <f t="shared" si="2"/>
        <v>0</v>
      </c>
      <c r="AK43" s="108">
        <f t="shared" si="3"/>
        <v>0</v>
      </c>
      <c r="AL43" s="108">
        <f t="shared" si="4"/>
        <v>0</v>
      </c>
      <c r="AN43" s="40"/>
      <c r="AO43" s="41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1</v>
      </c>
      <c r="H44" s="367" t="s">
        <v>9</v>
      </c>
      <c r="I44" s="440">
        <v>0</v>
      </c>
      <c r="J44" s="369">
        <f t="shared" si="5"/>
        <v>1</v>
      </c>
      <c r="K44" s="363">
        <f t="shared" si="6"/>
        <v>3</v>
      </c>
      <c r="L44" s="363">
        <f t="shared" si="7"/>
        <v>0</v>
      </c>
      <c r="M44" s="352"/>
      <c r="N44" s="352"/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40"/>
      <c r="V44" s="40"/>
      <c r="W44" s="40"/>
      <c r="Y44" s="109">
        <f t="shared" si="8"/>
        <v>0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0</v>
      </c>
      <c r="AG44" s="108">
        <f t="shared" si="0"/>
        <v>0</v>
      </c>
      <c r="AH44" s="108">
        <f t="shared" si="1"/>
        <v>0</v>
      </c>
      <c r="AI44" s="108">
        <f t="shared" si="10"/>
        <v>0</v>
      </c>
      <c r="AJ44" s="108">
        <f t="shared" si="2"/>
        <v>0</v>
      </c>
      <c r="AK44" s="108">
        <f t="shared" si="3"/>
        <v>0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0</v>
      </c>
      <c r="H45" s="373" t="s">
        <v>9</v>
      </c>
      <c r="I45" s="441">
        <v>2</v>
      </c>
      <c r="J45" s="375">
        <f t="shared" si="5"/>
        <v>2</v>
      </c>
      <c r="K45" s="363">
        <f t="shared" si="6"/>
        <v>0</v>
      </c>
      <c r="L45" s="363">
        <f t="shared" si="7"/>
        <v>3</v>
      </c>
      <c r="M45" s="352"/>
      <c r="N45" s="352"/>
      <c r="O45" s="394" t="s">
        <v>31</v>
      </c>
      <c r="P45" s="395">
        <f>SUMIF($D$8:$D$55,$O45,$G$8:$G$55)+SUMIF($F$8:$F$55,$O45,$I$8:$I$55)</f>
        <v>5</v>
      </c>
      <c r="Q45" s="395">
        <f>SUMIF($D$8:$D$55,$O45,$I$8:$I$55)+SUMIF($F$8:$F$55,$O45,$G$8:$G$55)</f>
        <v>3</v>
      </c>
      <c r="R45" s="396">
        <f>P45-Q45</f>
        <v>2</v>
      </c>
      <c r="S45" s="397">
        <f>SUMIF($D$8:$D$55,$O45,$K$8:$K$55)+SUMIF($F$8:$F$55,$O45,$L$8:$L$55)</f>
        <v>6</v>
      </c>
      <c r="T45" s="444" t="s">
        <v>77</v>
      </c>
      <c r="U45" s="40"/>
      <c r="V45" s="40" t="str">
        <f>O45</f>
        <v>Duitsland</v>
      </c>
      <c r="W45" s="40" t="s">
        <v>77</v>
      </c>
      <c r="Y45" s="109">
        <f t="shared" si="8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1</v>
      </c>
      <c r="AG45" s="108">
        <f t="shared" si="0"/>
        <v>1</v>
      </c>
      <c r="AH45" s="108">
        <f t="shared" si="1"/>
        <v>0</v>
      </c>
      <c r="AI45" s="108">
        <f t="shared" si="10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1</v>
      </c>
      <c r="H46" s="373" t="s">
        <v>9</v>
      </c>
      <c r="I46" s="441">
        <v>0</v>
      </c>
      <c r="J46" s="375">
        <f t="shared" si="5"/>
        <v>1</v>
      </c>
      <c r="K46" s="363">
        <f t="shared" si="6"/>
        <v>3</v>
      </c>
      <c r="L46" s="363">
        <f t="shared" si="7"/>
        <v>0</v>
      </c>
      <c r="M46" s="352"/>
      <c r="N46" s="352"/>
      <c r="O46" s="398" t="s">
        <v>32</v>
      </c>
      <c r="P46" s="399">
        <f>SUMIF($D$8:$D$55,$O46,$G$8:$G$55)+SUMIF($F$8:$F$55,$O46,$I$8:$I$55)</f>
        <v>5</v>
      </c>
      <c r="Q46" s="399">
        <f>SUMIF($D$8:$D$55,$O46,$I$8:$I$55)+SUMIF($F$8:$F$55,$O46,$G$8:$G$55)</f>
        <v>5</v>
      </c>
      <c r="R46" s="399">
        <f>P46-Q46</f>
        <v>0</v>
      </c>
      <c r="S46" s="400">
        <f>SUMIF($D$8:$D$55,$O46,$K$8:$K$55)+SUMIF($F$8:$F$55,$O46,$L$8:$L$55)</f>
        <v>6</v>
      </c>
      <c r="T46" s="445" t="s">
        <v>78</v>
      </c>
      <c r="U46" s="40"/>
      <c r="V46" s="40" t="str">
        <f>O46</f>
        <v>Portugal</v>
      </c>
      <c r="W46" s="40" t="s">
        <v>78</v>
      </c>
      <c r="Y46" s="109">
        <f t="shared" si="8"/>
        <v>1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1</v>
      </c>
      <c r="AG46" s="108">
        <f t="shared" si="0"/>
        <v>1</v>
      </c>
      <c r="AH46" s="108">
        <f t="shared" si="1"/>
        <v>0</v>
      </c>
      <c r="AI46" s="108">
        <f t="shared" si="10"/>
        <v>0</v>
      </c>
      <c r="AJ46" s="108">
        <f t="shared" si="2"/>
        <v>0</v>
      </c>
      <c r="AK46" s="108">
        <f t="shared" si="3"/>
        <v>0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1</v>
      </c>
      <c r="H47" s="379" t="s">
        <v>9</v>
      </c>
      <c r="I47" s="442">
        <v>3</v>
      </c>
      <c r="J47" s="381">
        <f t="shared" si="5"/>
        <v>2</v>
      </c>
      <c r="K47" s="363">
        <f t="shared" si="6"/>
        <v>0</v>
      </c>
      <c r="L47" s="363">
        <f t="shared" si="7"/>
        <v>3</v>
      </c>
      <c r="M47" s="352"/>
      <c r="N47" s="352"/>
      <c r="O47" s="398" t="s">
        <v>35</v>
      </c>
      <c r="P47" s="399">
        <f>SUMIF($D$8:$D$55,$O47,$G$8:$G$55)+SUMIF($F$8:$F$55,$O47,$I$8:$I$55)</f>
        <v>4</v>
      </c>
      <c r="Q47" s="399">
        <f>SUMIF($D$8:$D$55,$O47,$I$8:$I$55)+SUMIF($F$8:$F$55,$O47,$G$8:$G$55)</f>
        <v>2</v>
      </c>
      <c r="R47" s="399">
        <f>P47-Q47</f>
        <v>2</v>
      </c>
      <c r="S47" s="400">
        <f>SUMIF($D$8:$D$55,$O47,$K$8:$K$55)+SUMIF($F$8:$F$55,$O47,$L$8:$L$55)</f>
        <v>6</v>
      </c>
      <c r="T47" s="445" t="s">
        <v>79</v>
      </c>
      <c r="U47" s="40"/>
      <c r="V47" s="40" t="str">
        <f>O47</f>
        <v>Ghana</v>
      </c>
      <c r="W47" s="40" t="s">
        <v>79</v>
      </c>
      <c r="Y47" s="109">
        <f t="shared" si="8"/>
        <v>0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0</v>
      </c>
      <c r="AG47" s="108">
        <f t="shared" si="0"/>
        <v>0</v>
      </c>
      <c r="AH47" s="108">
        <f t="shared" si="1"/>
        <v>0</v>
      </c>
      <c r="AI47" s="108">
        <f t="shared" si="10"/>
        <v>0</v>
      </c>
      <c r="AJ47" s="108">
        <f t="shared" si="2"/>
        <v>0</v>
      </c>
      <c r="AK47" s="108">
        <f t="shared" si="3"/>
        <v>0</v>
      </c>
      <c r="AL47" s="108">
        <f t="shared" si="4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0</v>
      </c>
      <c r="H48" s="367" t="s">
        <v>9</v>
      </c>
      <c r="I48" s="440">
        <v>2</v>
      </c>
      <c r="J48" s="369">
        <f t="shared" si="5"/>
        <v>2</v>
      </c>
      <c r="K48" s="363">
        <f t="shared" si="6"/>
        <v>0</v>
      </c>
      <c r="L48" s="363">
        <f t="shared" si="7"/>
        <v>3</v>
      </c>
      <c r="M48" s="352"/>
      <c r="N48" s="352"/>
      <c r="O48" s="401" t="s">
        <v>36</v>
      </c>
      <c r="P48" s="402">
        <f>SUMIF($D$8:$D$55,$O48,$G$8:$G$55)+SUMIF($F$8:$F$55,$O48,$I$8:$I$55)</f>
        <v>1</v>
      </c>
      <c r="Q48" s="402">
        <f>SUMIF($D$8:$D$55,$O48,$I$8:$I$55)+SUMIF($F$8:$F$55,$O48,$G$8:$G$55)</f>
        <v>5</v>
      </c>
      <c r="R48" s="402">
        <f>P48-Q48</f>
        <v>-4</v>
      </c>
      <c r="S48" s="403">
        <f>SUMIF($D$8:$D$55,$O48,$K$8:$K$55)+SUMIF($F$8:$F$55,$O48,$L$8:$L$55)</f>
        <v>0</v>
      </c>
      <c r="T48" s="446" t="s">
        <v>80</v>
      </c>
      <c r="U48" s="40"/>
      <c r="V48" s="40" t="str">
        <f>O48</f>
        <v>Verenigde Staten</v>
      </c>
      <c r="W48" s="40" t="s">
        <v>80</v>
      </c>
      <c r="Y48" s="109">
        <f t="shared" si="8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5</v>
      </c>
      <c r="AG48" s="108">
        <f t="shared" si="0"/>
        <v>0</v>
      </c>
      <c r="AH48" s="108">
        <f t="shared" si="1"/>
        <v>0</v>
      </c>
      <c r="AI48" s="108">
        <f t="shared" si="10"/>
        <v>0</v>
      </c>
      <c r="AJ48" s="108">
        <f t="shared" si="2"/>
        <v>0</v>
      </c>
      <c r="AK48" s="108">
        <f t="shared" si="3"/>
        <v>5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2</v>
      </c>
      <c r="H49" s="373" t="s">
        <v>9</v>
      </c>
      <c r="I49" s="441">
        <v>1</v>
      </c>
      <c r="J49" s="375">
        <f t="shared" si="5"/>
        <v>1</v>
      </c>
      <c r="K49" s="363">
        <f t="shared" si="6"/>
        <v>3</v>
      </c>
      <c r="L49" s="363">
        <f t="shared" si="7"/>
        <v>0</v>
      </c>
      <c r="M49" s="352"/>
      <c r="N49" s="352"/>
      <c r="O49" s="392"/>
      <c r="P49" s="393"/>
      <c r="Q49" s="393"/>
      <c r="R49" s="393"/>
      <c r="S49" s="393"/>
      <c r="T49" s="393"/>
      <c r="U49" s="40"/>
      <c r="V49" s="40"/>
      <c r="W49" s="40"/>
      <c r="Y49" s="109">
        <f t="shared" si="8"/>
        <v>6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6</v>
      </c>
      <c r="AG49" s="108">
        <f t="shared" si="0"/>
        <v>0</v>
      </c>
      <c r="AH49" s="108">
        <f t="shared" si="1"/>
        <v>1</v>
      </c>
      <c r="AI49" s="108">
        <f t="shared" si="10"/>
        <v>0</v>
      </c>
      <c r="AJ49" s="108">
        <f t="shared" si="2"/>
        <v>5</v>
      </c>
      <c r="AK49" s="108">
        <f t="shared" si="3"/>
        <v>0</v>
      </c>
      <c r="AL49" s="108">
        <f t="shared" si="4"/>
        <v>0</v>
      </c>
      <c r="AN49" s="40"/>
      <c r="AO49" s="41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0</v>
      </c>
      <c r="H50" s="373" t="s">
        <v>9</v>
      </c>
      <c r="I50" s="441">
        <v>2</v>
      </c>
      <c r="J50" s="375">
        <f t="shared" si="5"/>
        <v>2</v>
      </c>
      <c r="K50" s="363">
        <f t="shared" si="6"/>
        <v>0</v>
      </c>
      <c r="L50" s="363">
        <f t="shared" si="7"/>
        <v>3</v>
      </c>
      <c r="M50" s="352"/>
      <c r="N50" s="352"/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40"/>
      <c r="V50" s="40"/>
      <c r="W50" s="40"/>
      <c r="Y50" s="109">
        <f t="shared" si="8"/>
        <v>6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6</v>
      </c>
      <c r="AG50" s="108">
        <f t="shared" si="0"/>
        <v>1</v>
      </c>
      <c r="AH50" s="108">
        <f t="shared" si="1"/>
        <v>0</v>
      </c>
      <c r="AI50" s="108">
        <f t="shared" si="10"/>
        <v>0</v>
      </c>
      <c r="AJ50" s="108">
        <f t="shared" si="2"/>
        <v>0</v>
      </c>
      <c r="AK50" s="108">
        <f t="shared" si="3"/>
        <v>5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0</v>
      </c>
      <c r="H51" s="379" t="s">
        <v>9</v>
      </c>
      <c r="I51" s="442">
        <v>2</v>
      </c>
      <c r="J51" s="381">
        <f t="shared" si="5"/>
        <v>2</v>
      </c>
      <c r="K51" s="363">
        <f t="shared" si="6"/>
        <v>0</v>
      </c>
      <c r="L51" s="363">
        <f>IF(I51="","",IF($G51&lt;$I51,3,IF($G51=$I51,1,0)))</f>
        <v>3</v>
      </c>
      <c r="M51" s="352"/>
      <c r="N51" s="352"/>
      <c r="O51" s="394" t="s">
        <v>37</v>
      </c>
      <c r="P51" s="395">
        <f>SUMIF($D$8:$D$55,$O51,$G$8:$G$55)+SUMIF($F$8:$F$55,$O51,$I$8:$I$55)</f>
        <v>7</v>
      </c>
      <c r="Q51" s="395">
        <f>SUMIF($D$8:$D$55,$O51,$I$8:$I$55)+SUMIF($F$8:$F$55,$O51,$G$8:$G$55)</f>
        <v>2</v>
      </c>
      <c r="R51" s="396">
        <f>P51-Q51</f>
        <v>5</v>
      </c>
      <c r="S51" s="397">
        <f>SUMIF($D$8:$D$55,$O51,$K$8:$K$55)+SUMIF($F$8:$F$55,$O51,$L$8:$L$55)</f>
        <v>9</v>
      </c>
      <c r="T51" s="444" t="s">
        <v>82</v>
      </c>
      <c r="U51" s="40"/>
      <c r="V51" s="40" t="str">
        <f>O51</f>
        <v>België</v>
      </c>
      <c r="W51" s="40" t="s">
        <v>82</v>
      </c>
      <c r="Y51" s="109">
        <f t="shared" si="8"/>
        <v>1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1</v>
      </c>
      <c r="AG51" s="108">
        <f t="shared" si="0"/>
        <v>1</v>
      </c>
      <c r="AH51" s="108">
        <f t="shared" si="1"/>
        <v>0</v>
      </c>
      <c r="AI51" s="108">
        <f t="shared" si="10"/>
        <v>0</v>
      </c>
      <c r="AJ51" s="108">
        <f t="shared" si="2"/>
        <v>0</v>
      </c>
      <c r="AK51" s="108">
        <f t="shared" si="3"/>
        <v>0</v>
      </c>
      <c r="AL51" s="108">
        <f t="shared" si="4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0</v>
      </c>
      <c r="H52" s="373" t="s">
        <v>9</v>
      </c>
      <c r="I52" s="441">
        <v>2</v>
      </c>
      <c r="J52" s="369">
        <f t="shared" si="5"/>
        <v>2</v>
      </c>
      <c r="K52" s="363">
        <f t="shared" si="6"/>
        <v>0</v>
      </c>
      <c r="L52" s="363">
        <f t="shared" si="7"/>
        <v>3</v>
      </c>
      <c r="M52" s="352"/>
      <c r="N52" s="352"/>
      <c r="O52" s="398" t="s">
        <v>38</v>
      </c>
      <c r="P52" s="399">
        <f>SUMIF($D$8:$D$55,$O52,$G$8:$G$55)+SUMIF($F$8:$F$55,$O52,$I$8:$I$55)</f>
        <v>1</v>
      </c>
      <c r="Q52" s="399">
        <f>SUMIF($D$8:$D$55,$O52,$I$8:$I$55)+SUMIF($F$8:$F$55,$O52,$G$8:$G$55)</f>
        <v>5</v>
      </c>
      <c r="R52" s="399">
        <f>P52-Q52</f>
        <v>-4</v>
      </c>
      <c r="S52" s="400">
        <f>SUMIF($D$8:$D$55,$O52,$K$8:$K$55)+SUMIF($F$8:$F$55,$O52,$L$8:$L$55)</f>
        <v>0</v>
      </c>
      <c r="T52" s="445" t="s">
        <v>85</v>
      </c>
      <c r="U52" s="40"/>
      <c r="V52" s="40" t="str">
        <f>O52</f>
        <v>Algerije</v>
      </c>
      <c r="W52" s="40" t="s">
        <v>83</v>
      </c>
      <c r="Y52" s="109">
        <f t="shared" si="8"/>
        <v>6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6</v>
      </c>
      <c r="AG52" s="108">
        <f t="shared" si="0"/>
        <v>1</v>
      </c>
      <c r="AH52" s="108">
        <f t="shared" si="1"/>
        <v>0</v>
      </c>
      <c r="AI52" s="108">
        <f t="shared" si="10"/>
        <v>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2</v>
      </c>
      <c r="H53" s="373" t="s">
        <v>9</v>
      </c>
      <c r="I53" s="441">
        <v>1</v>
      </c>
      <c r="J53" s="375">
        <f t="shared" si="5"/>
        <v>1</v>
      </c>
      <c r="K53" s="363">
        <f t="shared" si="6"/>
        <v>3</v>
      </c>
      <c r="L53" s="363">
        <f t="shared" si="7"/>
        <v>0</v>
      </c>
      <c r="M53" s="352"/>
      <c r="N53" s="352"/>
      <c r="O53" s="398" t="s">
        <v>39</v>
      </c>
      <c r="P53" s="399">
        <f>SUMIF($D$8:$D$55,$O53,$G$8:$G$55)+SUMIF($F$8:$F$55,$O53,$I$8:$I$55)</f>
        <v>5</v>
      </c>
      <c r="Q53" s="399">
        <f>SUMIF($D$8:$D$55,$O53,$I$8:$I$55)+SUMIF($F$8:$F$55,$O53,$G$8:$G$55)</f>
        <v>3</v>
      </c>
      <c r="R53" s="399">
        <f>P53-Q53</f>
        <v>2</v>
      </c>
      <c r="S53" s="400">
        <f>SUMIF($D$8:$D$55,$O53,$K$8:$K$55)+SUMIF($F$8:$F$55,$O53,$L$8:$L$55)</f>
        <v>6</v>
      </c>
      <c r="T53" s="445" t="s">
        <v>83</v>
      </c>
      <c r="U53" s="40"/>
      <c r="V53" s="40" t="str">
        <f>O53</f>
        <v>Rusland</v>
      </c>
      <c r="W53" s="40" t="s">
        <v>84</v>
      </c>
      <c r="Y53" s="109">
        <f t="shared" si="8"/>
        <v>10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10</v>
      </c>
      <c r="AG53" s="108">
        <f t="shared" si="0"/>
        <v>1</v>
      </c>
      <c r="AH53" s="108">
        <f t="shared" si="1"/>
        <v>1</v>
      </c>
      <c r="AI53" s="108">
        <f t="shared" si="10"/>
        <v>10</v>
      </c>
      <c r="AJ53" s="108">
        <f t="shared" si="2"/>
        <v>5</v>
      </c>
      <c r="AK53" s="108">
        <f t="shared" si="3"/>
        <v>0</v>
      </c>
      <c r="AL53" s="108">
        <f t="shared" si="4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1</v>
      </c>
      <c r="H54" s="373" t="s">
        <v>9</v>
      </c>
      <c r="I54" s="441">
        <v>3</v>
      </c>
      <c r="J54" s="375">
        <f t="shared" si="5"/>
        <v>2</v>
      </c>
      <c r="K54" s="363">
        <f t="shared" si="6"/>
        <v>0</v>
      </c>
      <c r="L54" s="363">
        <f t="shared" si="7"/>
        <v>3</v>
      </c>
      <c r="M54" s="352"/>
      <c r="N54" s="352"/>
      <c r="O54" s="401" t="s">
        <v>40</v>
      </c>
      <c r="P54" s="402">
        <f>SUMIF($D$8:$D$55,$O54,$G$8:$G$55)+SUMIF($F$8:$F$55,$O54,$I$8:$I$55)</f>
        <v>2</v>
      </c>
      <c r="Q54" s="402">
        <f>SUMIF($D$8:$D$55,$O54,$I$8:$I$55)+SUMIF($F$8:$F$55,$O54,$G$8:$G$55)</f>
        <v>5</v>
      </c>
      <c r="R54" s="402">
        <f>P54-Q54</f>
        <v>-3</v>
      </c>
      <c r="S54" s="403">
        <f>SUMIF($D$8:$D$55,$O54,$K$8:$K$55)+SUMIF($F$8:$F$55,$O54,$L$8:$L$55)</f>
        <v>3</v>
      </c>
      <c r="T54" s="446" t="s">
        <v>84</v>
      </c>
      <c r="U54" s="40"/>
      <c r="V54" s="40" t="str">
        <f>O54</f>
        <v>Zuid Korea</v>
      </c>
      <c r="W54" s="40" t="s">
        <v>85</v>
      </c>
      <c r="Y54" s="109">
        <f t="shared" si="8"/>
        <v>5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5</v>
      </c>
      <c r="AG54" s="108">
        <f t="shared" si="0"/>
        <v>0</v>
      </c>
      <c r="AH54" s="108">
        <f t="shared" si="1"/>
        <v>0</v>
      </c>
      <c r="AI54" s="108">
        <f t="shared" si="10"/>
        <v>0</v>
      </c>
      <c r="AJ54" s="108">
        <f t="shared" si="2"/>
        <v>0</v>
      </c>
      <c r="AK54" s="108">
        <f t="shared" si="3"/>
        <v>5</v>
      </c>
      <c r="AL54" s="108">
        <f t="shared" si="4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1</v>
      </c>
      <c r="H55" s="388" t="s">
        <v>9</v>
      </c>
      <c r="I55" s="443">
        <v>2</v>
      </c>
      <c r="J55" s="390">
        <f t="shared" si="5"/>
        <v>2</v>
      </c>
      <c r="K55" s="363">
        <f t="shared" si="6"/>
        <v>0</v>
      </c>
      <c r="L55" s="363">
        <f t="shared" si="7"/>
        <v>3</v>
      </c>
      <c r="M55" s="352"/>
      <c r="N55" s="352"/>
      <c r="O55" s="392"/>
      <c r="P55" s="393"/>
      <c r="Q55" s="393"/>
      <c r="R55" s="393"/>
      <c r="S55" s="393"/>
      <c r="T55" s="393"/>
      <c r="U55" s="40"/>
      <c r="V55" s="40"/>
      <c r="W55" s="40"/>
      <c r="Y55" s="109">
        <f t="shared" si="8"/>
        <v>1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</v>
      </c>
      <c r="AG55" s="108">
        <f t="shared" si="0"/>
        <v>1</v>
      </c>
      <c r="AH55" s="108">
        <f t="shared" si="1"/>
        <v>0</v>
      </c>
      <c r="AI55" s="108">
        <f t="shared" si="10"/>
        <v>0</v>
      </c>
      <c r="AJ55" s="108">
        <f t="shared" si="2"/>
        <v>0</v>
      </c>
      <c r="AK55" s="108">
        <f t="shared" si="3"/>
        <v>0</v>
      </c>
      <c r="AL55" s="108">
        <f t="shared" si="4"/>
        <v>0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N56" s="352"/>
      <c r="O56" s="352"/>
      <c r="P56" s="352"/>
      <c r="Q56" s="352"/>
      <c r="R56" s="352"/>
      <c r="S56" s="352"/>
      <c r="T56" s="352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27"/>
      <c r="K57" s="353"/>
      <c r="L57" s="353"/>
      <c r="M57" s="353"/>
      <c r="N57" s="352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32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N58" s="352"/>
      <c r="O58" s="458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>IF(ISERROR(Z59),K59,Z59)</f>
        <v>Brazilië</v>
      </c>
      <c r="E59" s="367" t="s">
        <v>9</v>
      </c>
      <c r="F59" s="406" t="str">
        <f>IF(ISERROR(AA59),L59,AA59)</f>
        <v>Nederland</v>
      </c>
      <c r="G59" s="435">
        <v>1</v>
      </c>
      <c r="H59" s="367" t="s">
        <v>9</v>
      </c>
      <c r="I59" s="447">
        <v>1</v>
      </c>
      <c r="J59" s="448">
        <v>1</v>
      </c>
      <c r="K59" s="407" t="s">
        <v>48</v>
      </c>
      <c r="L59" s="407" t="s">
        <v>53</v>
      </c>
      <c r="M59" s="407">
        <v>1</v>
      </c>
      <c r="N59" s="352"/>
      <c r="O59" s="458">
        <v>2</v>
      </c>
      <c r="P59" s="877" t="s">
        <v>212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3">AF59</f>
        <v>10</v>
      </c>
      <c r="Z59" t="str">
        <f t="shared" ref="Z59:AA65" si="14">IF(K59=""," ",VLOOKUP(K59,$T$9:$V$54,3,FALSE))</f>
        <v>Brazilië</v>
      </c>
      <c r="AA59" t="str">
        <f t="shared" si="14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10</v>
      </c>
      <c r="AG59" s="108">
        <f t="shared" ref="AG59:AG66" si="16">IF(AC59="",0,(IF(G59=AC59,1,0)))</f>
        <v>1</v>
      </c>
      <c r="AH59" s="108">
        <f t="shared" ref="AH59:AH66" si="17">IF(AD59="",0,(IF(I59=AD59,1,0)))</f>
        <v>1</v>
      </c>
      <c r="AI59" s="108">
        <f t="shared" ref="AI59:AI66" si="18">IF(AND(AG59=1,AH59=1),10,0)</f>
        <v>10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5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376">
        <v>50</v>
      </c>
      <c r="C60" s="466">
        <v>41818</v>
      </c>
      <c r="D60" s="460" t="str">
        <f t="shared" ref="D60:D66" si="23">IF(ISERROR(Z60),K60,Z60)</f>
        <v>Ivoorkust</v>
      </c>
      <c r="E60" s="379" t="s">
        <v>9</v>
      </c>
      <c r="F60" s="409" t="str">
        <f t="shared" ref="F60:F66" si="24">IF(ISERROR(AA60),L60,AA60)</f>
        <v>Uruguay</v>
      </c>
      <c r="G60" s="437">
        <v>1</v>
      </c>
      <c r="H60" s="379" t="s">
        <v>9</v>
      </c>
      <c r="I60" s="449">
        <v>2</v>
      </c>
      <c r="J60" s="450">
        <v>2</v>
      </c>
      <c r="K60" s="407" t="s">
        <v>57</v>
      </c>
      <c r="L60" s="407" t="s">
        <v>63</v>
      </c>
      <c r="M60" s="407">
        <v>2</v>
      </c>
      <c r="N60" s="352"/>
      <c r="O60" s="458">
        <v>3</v>
      </c>
      <c r="P60" s="877" t="s">
        <v>225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3"/>
        <v>0</v>
      </c>
      <c r="Z60" t="str">
        <f t="shared" si="14"/>
        <v>Ivoorkust</v>
      </c>
      <c r="AA60" t="str">
        <f t="shared" si="14"/>
        <v>Uruguay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0</v>
      </c>
      <c r="AG60" s="108">
        <f t="shared" si="16"/>
        <v>0</v>
      </c>
      <c r="AH60" s="108">
        <f t="shared" si="17"/>
        <v>0</v>
      </c>
      <c r="AI60" s="108">
        <f t="shared" si="18"/>
        <v>0</v>
      </c>
      <c r="AJ60" s="108">
        <f t="shared" si="19"/>
        <v>0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2"/>
        <v>3</v>
      </c>
    </row>
    <row r="61" spans="2:54">
      <c r="B61" s="364">
        <v>51</v>
      </c>
      <c r="C61" s="465">
        <v>41819</v>
      </c>
      <c r="D61" s="464" t="str">
        <f t="shared" si="23"/>
        <v>Spanje</v>
      </c>
      <c r="E61" s="367" t="s">
        <v>9</v>
      </c>
      <c r="F61" s="406" t="str">
        <f t="shared" si="24"/>
        <v>Kroatië</v>
      </c>
      <c r="G61" s="435">
        <v>2</v>
      </c>
      <c r="H61" s="367" t="s">
        <v>9</v>
      </c>
      <c r="I61" s="447">
        <v>0</v>
      </c>
      <c r="J61" s="448">
        <v>1</v>
      </c>
      <c r="K61" s="407" t="s">
        <v>52</v>
      </c>
      <c r="L61" s="407" t="s">
        <v>49</v>
      </c>
      <c r="M61" s="407"/>
      <c r="N61" s="352"/>
      <c r="O61" s="458">
        <v>4</v>
      </c>
      <c r="P61" s="877" t="s">
        <v>209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3"/>
        <v>6</v>
      </c>
      <c r="Z61" t="str">
        <f t="shared" si="14"/>
        <v>Spanje</v>
      </c>
      <c r="AA61" t="str">
        <f t="shared" si="14"/>
        <v>Kroatië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6</v>
      </c>
      <c r="AG61" s="108">
        <f t="shared" si="16"/>
        <v>1</v>
      </c>
      <c r="AH61" s="108">
        <f t="shared" si="17"/>
        <v>0</v>
      </c>
      <c r="AI61" s="108">
        <f t="shared" si="18"/>
        <v>0</v>
      </c>
      <c r="AJ61" s="108">
        <f t="shared" si="19"/>
        <v>5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3</v>
      </c>
      <c r="BB61" s="139">
        <f t="shared" si="22"/>
        <v>3</v>
      </c>
    </row>
    <row r="62" spans="2:54">
      <c r="B62" s="376">
        <v>52</v>
      </c>
      <c r="C62" s="466">
        <v>41819</v>
      </c>
      <c r="D62" s="464" t="str">
        <f t="shared" si="23"/>
        <v>Italië</v>
      </c>
      <c r="E62" s="379" t="s">
        <v>9</v>
      </c>
      <c r="F62" s="409" t="str">
        <f t="shared" si="24"/>
        <v>Japan</v>
      </c>
      <c r="G62" s="437">
        <v>2</v>
      </c>
      <c r="H62" s="379" t="s">
        <v>9</v>
      </c>
      <c r="I62" s="449">
        <v>0</v>
      </c>
      <c r="J62" s="450">
        <v>1</v>
      </c>
      <c r="K62" s="407" t="s">
        <v>62</v>
      </c>
      <c r="L62" s="407" t="s">
        <v>58</v>
      </c>
      <c r="M62" s="407"/>
      <c r="N62" s="352"/>
      <c r="O62" s="458">
        <v>5</v>
      </c>
      <c r="P62" s="877" t="s">
        <v>220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3"/>
        <v>0</v>
      </c>
      <c r="Z62" t="str">
        <f t="shared" si="14"/>
        <v>Italië</v>
      </c>
      <c r="AA62" t="str">
        <f t="shared" si="14"/>
        <v>Japan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0</v>
      </c>
      <c r="AG62" s="108">
        <f t="shared" si="16"/>
        <v>0</v>
      </c>
      <c r="AH62" s="108">
        <f t="shared" si="17"/>
        <v>0</v>
      </c>
      <c r="AI62" s="108">
        <f t="shared" si="18"/>
        <v>0</v>
      </c>
      <c r="AJ62" s="108">
        <f t="shared" si="19"/>
        <v>0</v>
      </c>
      <c r="AK62" s="108">
        <f t="shared" si="20"/>
        <v>0</v>
      </c>
      <c r="AL62" s="108">
        <f t="shared" si="21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2"/>
        <v>3</v>
      </c>
    </row>
    <row r="63" spans="2:54">
      <c r="B63" s="364">
        <v>53</v>
      </c>
      <c r="C63" s="465">
        <v>41820</v>
      </c>
      <c r="D63" s="459" t="str">
        <f t="shared" si="23"/>
        <v>Frankrijk</v>
      </c>
      <c r="E63" s="367" t="s">
        <v>9</v>
      </c>
      <c r="F63" s="406" t="str">
        <f t="shared" si="24"/>
        <v>Nigeria</v>
      </c>
      <c r="G63" s="435">
        <v>3</v>
      </c>
      <c r="H63" s="367" t="s">
        <v>9</v>
      </c>
      <c r="I63" s="447">
        <v>1</v>
      </c>
      <c r="J63" s="448">
        <v>1</v>
      </c>
      <c r="K63" s="407" t="s">
        <v>67</v>
      </c>
      <c r="L63" s="407" t="s">
        <v>73</v>
      </c>
      <c r="M63" s="407"/>
      <c r="N63" s="352"/>
      <c r="O63" s="458">
        <v>6</v>
      </c>
      <c r="P63" s="877" t="s">
        <v>234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3"/>
        <v>5</v>
      </c>
      <c r="Z63" t="str">
        <f t="shared" si="14"/>
        <v>Frankrijk</v>
      </c>
      <c r="AA63" t="str">
        <f t="shared" si="14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5</v>
      </c>
      <c r="AG63" s="108">
        <f t="shared" si="16"/>
        <v>0</v>
      </c>
      <c r="AH63" s="108">
        <f t="shared" si="17"/>
        <v>0</v>
      </c>
      <c r="AI63" s="108">
        <f t="shared" si="18"/>
        <v>0</v>
      </c>
      <c r="AJ63" s="108">
        <f t="shared" si="19"/>
        <v>5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0</v>
      </c>
      <c r="BB63" s="139">
        <f t="shared" si="22"/>
        <v>0</v>
      </c>
    </row>
    <row r="64" spans="2:54">
      <c r="B64" s="376">
        <v>54</v>
      </c>
      <c r="C64" s="466">
        <v>41820</v>
      </c>
      <c r="D64" s="460" t="str">
        <f t="shared" si="23"/>
        <v>Duitsland</v>
      </c>
      <c r="E64" s="379" t="s">
        <v>9</v>
      </c>
      <c r="F64" s="409" t="str">
        <f t="shared" si="24"/>
        <v>Rusland</v>
      </c>
      <c r="G64" s="437">
        <v>2</v>
      </c>
      <c r="H64" s="379" t="s">
        <v>9</v>
      </c>
      <c r="I64" s="449">
        <v>0</v>
      </c>
      <c r="J64" s="450">
        <v>1</v>
      </c>
      <c r="K64" s="407" t="s">
        <v>77</v>
      </c>
      <c r="L64" s="407" t="s">
        <v>83</v>
      </c>
      <c r="M64" s="407"/>
      <c r="N64" s="352"/>
      <c r="O64" s="458">
        <v>7</v>
      </c>
      <c r="P64" s="877" t="s">
        <v>213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3"/>
        <v>1</v>
      </c>
      <c r="Z64" t="str">
        <f t="shared" si="14"/>
        <v>Duitsland</v>
      </c>
      <c r="AA64" t="str">
        <f t="shared" si="14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1</v>
      </c>
      <c r="AG64" s="108">
        <f t="shared" si="16"/>
        <v>0</v>
      </c>
      <c r="AH64" s="108">
        <f t="shared" si="17"/>
        <v>1</v>
      </c>
      <c r="AI64" s="108">
        <f t="shared" si="18"/>
        <v>0</v>
      </c>
      <c r="AJ64" s="108">
        <f t="shared" si="19"/>
        <v>0</v>
      </c>
      <c r="AK64" s="108">
        <f t="shared" si="20"/>
        <v>0</v>
      </c>
      <c r="AL64" s="108">
        <f t="shared" si="21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2"/>
        <v>3</v>
      </c>
    </row>
    <row r="65" spans="2:54">
      <c r="B65" s="370">
        <v>55</v>
      </c>
      <c r="C65" s="467">
        <v>41821</v>
      </c>
      <c r="D65" s="459" t="str">
        <f t="shared" si="23"/>
        <v>Argentinië</v>
      </c>
      <c r="E65" s="373" t="s">
        <v>9</v>
      </c>
      <c r="F65" s="410" t="str">
        <f t="shared" si="24"/>
        <v>Zwitserland</v>
      </c>
      <c r="G65" s="436">
        <v>3</v>
      </c>
      <c r="H65" s="373" t="s">
        <v>9</v>
      </c>
      <c r="I65" s="451">
        <v>0</v>
      </c>
      <c r="J65" s="452">
        <v>1</v>
      </c>
      <c r="K65" s="407" t="s">
        <v>72</v>
      </c>
      <c r="L65" s="407" t="s">
        <v>68</v>
      </c>
      <c r="M65" s="407"/>
      <c r="N65" s="352"/>
      <c r="O65" s="458">
        <v>8</v>
      </c>
      <c r="P65" s="877" t="s">
        <v>221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3"/>
        <v>1</v>
      </c>
      <c r="Z65" t="str">
        <f t="shared" si="14"/>
        <v>Argentinië</v>
      </c>
      <c r="AA65" t="str">
        <f t="shared" si="14"/>
        <v>Zwitserland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1</v>
      </c>
      <c r="AG65" s="108">
        <f t="shared" si="16"/>
        <v>0</v>
      </c>
      <c r="AH65" s="108">
        <f t="shared" si="17"/>
        <v>1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0</v>
      </c>
      <c r="AZ65" s="138" t="str">
        <f>Uitslag!P65</f>
        <v>Nigel de Jong (m)</v>
      </c>
      <c r="BA65" s="140">
        <f t="shared" si="12"/>
        <v>0</v>
      </c>
      <c r="BB65" s="139">
        <f t="shared" si="22"/>
        <v>0</v>
      </c>
    </row>
    <row r="66" spans="2:54" ht="15.75" thickBot="1">
      <c r="B66" s="385">
        <v>56</v>
      </c>
      <c r="C66" s="462">
        <v>41821</v>
      </c>
      <c r="D66" s="461" t="str">
        <f t="shared" si="23"/>
        <v>België</v>
      </c>
      <c r="E66" s="388" t="s">
        <v>9</v>
      </c>
      <c r="F66" s="412" t="str">
        <f t="shared" si="24"/>
        <v>Portugal</v>
      </c>
      <c r="G66" s="438">
        <v>2</v>
      </c>
      <c r="H66" s="388" t="s">
        <v>9</v>
      </c>
      <c r="I66" s="453">
        <v>1</v>
      </c>
      <c r="J66" s="454">
        <v>1</v>
      </c>
      <c r="K66" s="407" t="s">
        <v>82</v>
      </c>
      <c r="L66" s="407" t="s">
        <v>78</v>
      </c>
      <c r="M66" s="407"/>
      <c r="N66" s="352"/>
      <c r="O66" s="458">
        <v>9</v>
      </c>
      <c r="P66" s="877" t="s">
        <v>214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3"/>
        <v>0</v>
      </c>
      <c r="Z66" t="str">
        <f>IF(K66=""," ",VLOOKUP(K66,$T$9:$V$54,3,FALSE))</f>
        <v>België</v>
      </c>
      <c r="AA66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0</v>
      </c>
      <c r="AG66" s="108">
        <f t="shared" si="16"/>
        <v>0</v>
      </c>
      <c r="AH66" s="108">
        <f t="shared" si="17"/>
        <v>0</v>
      </c>
      <c r="AI66" s="108">
        <f t="shared" si="18"/>
        <v>0</v>
      </c>
      <c r="AJ66" s="108">
        <f t="shared" si="19"/>
        <v>0</v>
      </c>
      <c r="AK66" s="108">
        <f t="shared" si="20"/>
        <v>0</v>
      </c>
      <c r="AL66" s="108">
        <f t="shared" si="21"/>
        <v>0</v>
      </c>
      <c r="AZ66" s="138" t="str">
        <f>Uitslag!P66</f>
        <v>Jonathan de Guzman (m)</v>
      </c>
      <c r="BA66" s="140">
        <f t="shared" si="12"/>
        <v>3</v>
      </c>
      <c r="BB66" s="139">
        <f t="shared" si="22"/>
        <v>3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N67" s="352"/>
      <c r="O67" s="458">
        <v>10</v>
      </c>
      <c r="P67" s="877" t="s">
        <v>216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2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27"/>
      <c r="K68" s="353"/>
      <c r="L68" s="353"/>
      <c r="M68" s="353"/>
      <c r="N68" s="352"/>
      <c r="O68" s="458">
        <v>11</v>
      </c>
      <c r="P68" s="877" t="s">
        <v>215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2"/>
        <v>3</v>
      </c>
    </row>
    <row r="69" spans="2:54">
      <c r="B69" s="428" t="s">
        <v>1</v>
      </c>
      <c r="C69" s="429" t="s">
        <v>2</v>
      </c>
      <c r="D69" s="430" t="s">
        <v>3</v>
      </c>
      <c r="E69" s="431"/>
      <c r="F69" s="432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N69" s="352"/>
      <c r="O69" s="352"/>
      <c r="P69" s="352"/>
      <c r="Q69" s="352"/>
      <c r="R69" s="352"/>
      <c r="S69" s="352"/>
      <c r="T69" s="352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27</v>
      </c>
      <c r="BB69" s="139" t="str">
        <f>IF(AND(BA69&lt;&gt;"",BA69=33),15,"nvt")</f>
        <v>nvt</v>
      </c>
    </row>
    <row r="70" spans="2:54">
      <c r="B70" s="364">
        <v>57</v>
      </c>
      <c r="C70" s="365">
        <v>41824</v>
      </c>
      <c r="D70" s="405" t="str">
        <f>IF(J63="","Winnaar 53",IF(J63=1,D63,F63))</f>
        <v>Frankrijk</v>
      </c>
      <c r="E70" s="367" t="s">
        <v>9</v>
      </c>
      <c r="F70" s="406" t="str">
        <f>IF(J64="","Winnaar 54",IF(J64=1,D64,F64))</f>
        <v>Duitsland</v>
      </c>
      <c r="G70" s="435">
        <v>1</v>
      </c>
      <c r="H70" s="367" t="s">
        <v>9</v>
      </c>
      <c r="I70" s="447">
        <v>3</v>
      </c>
      <c r="J70" s="448">
        <v>2</v>
      </c>
      <c r="K70" s="353"/>
      <c r="L70" s="353"/>
      <c r="M70" s="353"/>
      <c r="N70" s="352"/>
      <c r="O70" s="352"/>
      <c r="P70" s="352"/>
      <c r="Q70" s="352"/>
      <c r="R70" s="352"/>
      <c r="S70" s="352"/>
      <c r="T70" s="352"/>
      <c r="V70" t="s">
        <v>133</v>
      </c>
      <c r="W70" t="s">
        <v>126</v>
      </c>
      <c r="X70" t="str">
        <f t="shared" si="11"/>
        <v>Karim Rekik (v)</v>
      </c>
      <c r="Y70" s="109">
        <f>AF70</f>
        <v>5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5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Brazilië</v>
      </c>
      <c r="E71" s="379" t="s">
        <v>9</v>
      </c>
      <c r="F71" s="409" t="str">
        <f>IF(J60="","Winnaar 50",IF(J60=1,D60,F60))</f>
        <v>Uruguay</v>
      </c>
      <c r="G71" s="437">
        <v>2</v>
      </c>
      <c r="H71" s="379" t="s">
        <v>9</v>
      </c>
      <c r="I71" s="449">
        <v>1</v>
      </c>
      <c r="J71" s="450">
        <v>1</v>
      </c>
      <c r="K71" s="353"/>
      <c r="L71" s="353"/>
      <c r="M71" s="353"/>
      <c r="N71" s="352"/>
      <c r="O71" s="352"/>
      <c r="P71" s="352"/>
      <c r="Q71" s="352"/>
      <c r="R71" s="352"/>
      <c r="S71" s="352"/>
      <c r="T71" s="352"/>
      <c r="V71" t="s">
        <v>133</v>
      </c>
      <c r="W71" t="s">
        <v>194</v>
      </c>
      <c r="X71" t="str">
        <f t="shared" si="11"/>
        <v>Ron Vlaar (v)</v>
      </c>
      <c r="Y71" s="109">
        <f>AF71</f>
        <v>10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10</v>
      </c>
      <c r="AG71" s="108">
        <f>IF(AC71="",0,(IF(G71=AC71,1,0)))</f>
        <v>1</v>
      </c>
      <c r="AH71" s="108">
        <f>IF(AD71="",0,(IF(I71=AD71,1,0)))</f>
        <v>1</v>
      </c>
      <c r="AI71" s="108">
        <f>IF(AND(AG71=1,AH71=1),10,0)</f>
        <v>10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Argentinië</v>
      </c>
      <c r="E72" s="367" t="s">
        <v>9</v>
      </c>
      <c r="F72" s="406" t="str">
        <f>IF(J66="","Winnaar 56",IF(J66=1,D66,F66))</f>
        <v>België</v>
      </c>
      <c r="G72" s="435">
        <v>1</v>
      </c>
      <c r="H72" s="367" t="s">
        <v>9</v>
      </c>
      <c r="I72" s="447">
        <v>2</v>
      </c>
      <c r="J72" s="448">
        <v>2</v>
      </c>
      <c r="K72" s="353"/>
      <c r="L72" s="353"/>
      <c r="M72" s="353"/>
      <c r="N72" s="352"/>
      <c r="O72" s="352"/>
      <c r="P72" s="352"/>
      <c r="Q72" s="352"/>
      <c r="R72" s="352"/>
      <c r="S72" s="352"/>
      <c r="T72" s="352"/>
      <c r="V72" t="s">
        <v>133</v>
      </c>
      <c r="W72" t="s">
        <v>195</v>
      </c>
      <c r="X72" t="str">
        <f t="shared" si="11"/>
        <v>John Heitinga (v)</v>
      </c>
      <c r="Y72" s="109">
        <f>AF72</f>
        <v>1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1</v>
      </c>
      <c r="AG72" s="108">
        <f>IF(AC72="",0,(IF(G72=AC72,1,0)))</f>
        <v>1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0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Spanje</v>
      </c>
      <c r="E73" s="388" t="s">
        <v>9</v>
      </c>
      <c r="F73" s="412" t="str">
        <f>IF(J62="","Winnaar 52",IF(J62=1,D62,F62))</f>
        <v>Italië</v>
      </c>
      <c r="G73" s="438">
        <v>0</v>
      </c>
      <c r="H73" s="388" t="s">
        <v>9</v>
      </c>
      <c r="I73" s="453">
        <v>1</v>
      </c>
      <c r="J73" s="454">
        <v>2</v>
      </c>
      <c r="K73" s="353"/>
      <c r="L73" s="353"/>
      <c r="M73" s="353"/>
      <c r="N73" s="352"/>
      <c r="O73" s="352"/>
      <c r="P73" s="352"/>
      <c r="Q73" s="352"/>
      <c r="R73" s="352"/>
      <c r="S73" s="352"/>
      <c r="T73" s="352"/>
      <c r="V73" t="s">
        <v>133</v>
      </c>
      <c r="W73" t="s">
        <v>196</v>
      </c>
      <c r="X73" t="str">
        <f t="shared" si="11"/>
        <v>Urby Emanuelson (v)</v>
      </c>
      <c r="Y73" s="109">
        <f>AF73</f>
        <v>1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1</v>
      </c>
      <c r="AG73" s="108">
        <f>IF(AC73="",0,(IF(G73=AC73,1,0)))</f>
        <v>1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N74" s="352"/>
      <c r="O74" s="352"/>
      <c r="P74" s="352"/>
      <c r="Q74" s="352"/>
      <c r="R74" s="352"/>
      <c r="S74" s="352"/>
      <c r="T74" s="352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27"/>
      <c r="K75" s="353"/>
      <c r="L75" s="353"/>
      <c r="M75" s="353"/>
      <c r="N75" s="352"/>
      <c r="O75" s="352"/>
      <c r="P75" s="352"/>
      <c r="Q75" s="352"/>
      <c r="R75" s="352"/>
      <c r="S75" s="352"/>
      <c r="T75" s="352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30" t="s">
        <v>3</v>
      </c>
      <c r="E76" s="431"/>
      <c r="F76" s="432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N76" s="352"/>
      <c r="O76" s="352"/>
      <c r="P76" s="352"/>
      <c r="Q76" s="352"/>
      <c r="R76" s="352"/>
      <c r="S76" s="352"/>
      <c r="T76" s="352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Duitsland</v>
      </c>
      <c r="E77" s="367" t="s">
        <v>9</v>
      </c>
      <c r="F77" s="406" t="str">
        <f>IF(J71="","Winnaar 58",IF(J71=1,D71,F71))</f>
        <v>Brazilië</v>
      </c>
      <c r="G77" s="435">
        <v>2</v>
      </c>
      <c r="H77" s="367" t="s">
        <v>9</v>
      </c>
      <c r="I77" s="447">
        <v>1</v>
      </c>
      <c r="J77" s="448">
        <v>1</v>
      </c>
      <c r="K77" s="353"/>
      <c r="L77" s="353"/>
      <c r="M77" s="353"/>
      <c r="N77" s="352"/>
      <c r="O77" s="352"/>
      <c r="P77" s="352"/>
      <c r="Q77" s="352"/>
      <c r="R77" s="352"/>
      <c r="S77" s="352"/>
      <c r="T77" s="352"/>
      <c r="V77" t="s">
        <v>134</v>
      </c>
      <c r="W77" t="s">
        <v>203</v>
      </c>
      <c r="X77" t="str">
        <f t="shared" si="11"/>
        <v>Marco van Ginkel (m)</v>
      </c>
      <c r="Y77" s="109">
        <f>AF77</f>
        <v>6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6</v>
      </c>
      <c r="AG77" s="108">
        <f>IF(AC77="",0,(IF(G77=AC77,1,0)))</f>
        <v>0</v>
      </c>
      <c r="AH77" s="108">
        <f>IF(AD77="",0,(IF(I77=AD77,1,0)))</f>
        <v>1</v>
      </c>
      <c r="AI77" s="108">
        <f>IF(AND(AG77=1,AH77=1),10,0)</f>
        <v>0</v>
      </c>
      <c r="AJ77" s="108">
        <f>IF(AND(G77&gt;I77,AC77&gt;AD77),5,0)</f>
        <v>5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België</v>
      </c>
      <c r="E78" s="388" t="s">
        <v>9</v>
      </c>
      <c r="F78" s="412" t="str">
        <f>IF(J73="","Winnaar 60",IF(J73=1,D73,F73))</f>
        <v>Italië</v>
      </c>
      <c r="G78" s="438">
        <v>1</v>
      </c>
      <c r="H78" s="388" t="s">
        <v>9</v>
      </c>
      <c r="I78" s="453">
        <v>0</v>
      </c>
      <c r="J78" s="454">
        <v>1</v>
      </c>
      <c r="K78" s="353"/>
      <c r="L78" s="353"/>
      <c r="M78" s="353"/>
      <c r="N78" s="352"/>
      <c r="O78" s="352"/>
      <c r="P78" s="352"/>
      <c r="Q78" s="352"/>
      <c r="R78" s="352"/>
      <c r="S78" s="352"/>
      <c r="T78" s="352"/>
      <c r="V78" t="s">
        <v>134</v>
      </c>
      <c r="W78" t="s">
        <v>199</v>
      </c>
      <c r="X78" t="str">
        <f t="shared" si="11"/>
        <v>Leroy Fer (m)</v>
      </c>
      <c r="Y78" s="109">
        <f>AF78</f>
        <v>1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1</v>
      </c>
      <c r="AG78" s="108">
        <f>IF(AC78="",0,(IF(G78=AC78,1,0)))</f>
        <v>0</v>
      </c>
      <c r="AH78" s="108">
        <f>IF(AD78="",0,(IF(I78=AD78,1,0)))</f>
        <v>1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N79" s="352"/>
      <c r="O79" s="352"/>
      <c r="P79" s="352"/>
      <c r="Q79" s="352"/>
      <c r="R79" s="352"/>
      <c r="S79" s="352"/>
      <c r="T79" s="352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27"/>
      <c r="K80" s="353"/>
      <c r="L80" s="353"/>
      <c r="M80" s="353"/>
      <c r="N80" s="352"/>
      <c r="O80" s="352"/>
      <c r="P80" s="352"/>
      <c r="Q80" s="352"/>
      <c r="R80" s="352"/>
      <c r="S80" s="352"/>
      <c r="T80" s="352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30" t="s">
        <v>3</v>
      </c>
      <c r="E81" s="431"/>
      <c r="F81" s="432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N81" s="352"/>
      <c r="O81" s="352"/>
      <c r="P81" s="352"/>
      <c r="Q81" s="352"/>
      <c r="R81" s="352"/>
      <c r="S81" s="352"/>
      <c r="T81" s="352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Brazilië</v>
      </c>
      <c r="E82" s="355" t="s">
        <v>9</v>
      </c>
      <c r="F82" s="415" t="str">
        <f>IF(J78="","Verliezer 62",IF(J78=1,F78,D78))</f>
        <v>Italië</v>
      </c>
      <c r="G82" s="455">
        <v>3</v>
      </c>
      <c r="H82" s="355" t="s">
        <v>9</v>
      </c>
      <c r="I82" s="456">
        <v>1</v>
      </c>
      <c r="J82" s="457">
        <v>1</v>
      </c>
      <c r="K82" s="353"/>
      <c r="L82" s="353"/>
      <c r="M82" s="353"/>
      <c r="N82" s="352"/>
      <c r="O82" s="352"/>
      <c r="P82" s="352"/>
      <c r="Q82" s="352"/>
      <c r="R82" s="352"/>
      <c r="S82" s="352"/>
      <c r="T82" s="352"/>
      <c r="V82" t="s">
        <v>134</v>
      </c>
      <c r="W82" t="s">
        <v>125</v>
      </c>
      <c r="X8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N83" s="352"/>
      <c r="O83" s="352"/>
      <c r="P83" s="352"/>
      <c r="Q83" s="352"/>
      <c r="R83" s="352"/>
      <c r="S83" s="352"/>
      <c r="T83" s="352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27"/>
      <c r="K84" s="353"/>
      <c r="L84" s="353"/>
      <c r="M84" s="353"/>
      <c r="N84" s="352"/>
      <c r="O84" s="352"/>
      <c r="P84" s="352"/>
      <c r="Q84" s="352"/>
      <c r="R84" s="352"/>
      <c r="S84" s="352"/>
      <c r="T84" s="352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30" t="s">
        <v>3</v>
      </c>
      <c r="E85" s="431"/>
      <c r="F85" s="432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N85" s="352"/>
      <c r="O85" s="352"/>
      <c r="P85" s="352"/>
      <c r="Q85" s="352"/>
      <c r="R85" s="352"/>
      <c r="S85" s="352"/>
      <c r="T85" s="352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Duitsland</v>
      </c>
      <c r="E86" s="355" t="s">
        <v>9</v>
      </c>
      <c r="F86" s="415" t="str">
        <f>IF(J78="","Winnaar 62",IF(J78=1,D78,F78))</f>
        <v>België</v>
      </c>
      <c r="G86" s="455">
        <v>1</v>
      </c>
      <c r="H86" s="355" t="s">
        <v>9</v>
      </c>
      <c r="I86" s="456">
        <v>2</v>
      </c>
      <c r="J86" s="457">
        <v>2</v>
      </c>
      <c r="K86" s="353"/>
      <c r="L86" s="353"/>
      <c r="M86" s="353"/>
      <c r="N86" s="352"/>
      <c r="O86" s="352"/>
      <c r="P86" s="352"/>
      <c r="Q86" s="352"/>
      <c r="R86" s="352"/>
      <c r="S86" s="352"/>
      <c r="T86" s="352"/>
      <c r="V86" t="s">
        <v>134</v>
      </c>
      <c r="W86" t="s">
        <v>139</v>
      </c>
      <c r="X86" t="str">
        <f t="shared" si="11"/>
        <v>Nigel de Jong (m)</v>
      </c>
      <c r="Y86" s="109">
        <f>AF86</f>
        <v>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0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België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0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0</v>
      </c>
      <c r="AV89">
        <f>IF(AR89=0,0,IF(E89=AR89,50,0))</f>
        <v>0</v>
      </c>
      <c r="AW89">
        <f>IF(E89=0,0,IF(OR(E89=AR90),15,0))</f>
        <v>0</v>
      </c>
      <c r="AX89">
        <f>IF(E89=0,0,IF(OR(E89=AR91,E89=AR92),5,0))</f>
        <v>0</v>
      </c>
    </row>
    <row r="90" spans="2:50">
      <c r="C90" s="870">
        <v>2</v>
      </c>
      <c r="D90" s="871"/>
      <c r="E90" s="872" t="str">
        <f>IF(J86=2,D86,IF(J86=1,F86,"Wie wordt 2de?"))</f>
        <v>Duitsland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15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15</v>
      </c>
      <c r="AV90">
        <f>IF(AR90=0,0,IF(AR90=E90,25,0))</f>
        <v>0</v>
      </c>
      <c r="AW90">
        <f>IF(E90=0,0,IF(OR(E90=AR89,),15,0))</f>
        <v>15</v>
      </c>
      <c r="AX90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Brazilië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10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10</v>
      </c>
      <c r="AV91">
        <f>IF(AR91=0,0,IF(AR91=E91,15,0))</f>
        <v>0</v>
      </c>
      <c r="AW91">
        <f>IF(E91=0,0,IF(OR(E91=AR92),10,0))</f>
        <v>10</v>
      </c>
      <c r="AX91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Italië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0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0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25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conditionalFormatting sqref="AO9:AO12 AO15:AO18 AO21:AO24 AO27:AO30 AO33:AO36 AO39:AO42 AO45:AO48 AO51:AO54">
    <cfRule type="cellIs" dxfId="164" priority="3" operator="equal">
      <formula>10</formula>
    </cfRule>
  </conditionalFormatting>
  <conditionalFormatting sqref="P58:T58">
    <cfRule type="duplicateValues" dxfId="163" priority="2"/>
  </conditionalFormatting>
  <conditionalFormatting sqref="P58:T68">
    <cfRule type="duplicateValues" dxfId="162" priority="1"/>
  </conditionalFormatting>
  <dataValidations count="10">
    <dataValidation type="list" allowBlank="1" showInputMessage="1" showErrorMessage="1" sqref="P58:P68">
      <formula1>$X$58:$X$98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51:T54">
      <formula1>$W$51:$W$54</formula1>
    </dataValidation>
  </dataValidation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B1:BB98"/>
  <sheetViews>
    <sheetView topLeftCell="A37" zoomScale="70" zoomScaleNormal="70" workbookViewId="0">
      <selection activeCell="P58" sqref="P58:T68"/>
    </sheetView>
  </sheetViews>
  <sheetFormatPr defaultRowHeight="15" outlineLevelCol="2"/>
  <cols>
    <col min="1" max="1" width="3.42578125" customWidth="1"/>
    <col min="2" max="2" width="3.5703125" bestFit="1" customWidth="1"/>
    <col min="3" max="3" width="11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270</v>
      </c>
      <c r="E3" s="145"/>
      <c r="F3" s="145"/>
      <c r="N3" t="str">
        <f>D3</f>
        <v>René B.</v>
      </c>
      <c r="O3" s="144">
        <f>SUM(P3:S3)</f>
        <v>357</v>
      </c>
      <c r="P3" s="109">
        <f>SUM(Y8:Y86)</f>
        <v>177</v>
      </c>
      <c r="Q3" s="109">
        <f>SUM(AM4:AM55)</f>
        <v>140</v>
      </c>
      <c r="R3" s="109">
        <f>SUM(AP89:AP92)</f>
        <v>10</v>
      </c>
      <c r="S3" s="109">
        <f>SUM(BB58:BB69)</f>
        <v>30</v>
      </c>
      <c r="T3" s="109">
        <f>COUNTIF(AF8:AF86,10)</f>
        <v>2</v>
      </c>
      <c r="U3" s="109" t="str">
        <f>E89</f>
        <v>Brazilië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M6" s="352"/>
      <c r="N6" s="352"/>
      <c r="O6" s="392"/>
      <c r="P6" s="393"/>
      <c r="Q6" s="393"/>
      <c r="R6" s="393"/>
      <c r="S6" s="393"/>
      <c r="T6" s="393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18" t="s">
        <v>3</v>
      </c>
      <c r="E7" s="419"/>
      <c r="F7" s="420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M7" s="352"/>
      <c r="N7" s="352"/>
      <c r="O7" s="353"/>
      <c r="P7" s="393"/>
      <c r="Q7" s="393"/>
      <c r="R7" s="393"/>
      <c r="S7" s="393"/>
      <c r="T7" s="393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3</v>
      </c>
      <c r="H8" s="360" t="s">
        <v>9</v>
      </c>
      <c r="I8" s="439">
        <v>1</v>
      </c>
      <c r="J8" s="362">
        <f>IF(I8="","",IF(G8&gt;I8,1,IF(G8&lt;I8,2,3)))</f>
        <v>1</v>
      </c>
      <c r="K8" s="363">
        <f>IF(I8="","",IF($G8&gt;$I8,3,IF($G8=$I8,1,0)))</f>
        <v>3</v>
      </c>
      <c r="L8" s="363">
        <f>IF(I8="","",IF($G8&lt;$I8,3,IF($G8=$I8,1,0)))</f>
        <v>0</v>
      </c>
      <c r="M8" s="352"/>
      <c r="N8" s="352"/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40"/>
      <c r="V8" s="40"/>
      <c r="W8" s="40"/>
      <c r="Y8" s="109">
        <f>AF8</f>
        <v>10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10</v>
      </c>
      <c r="AG8" s="108">
        <f t="shared" ref="AG8:AG55" si="0">IF(AC8="",0,(IF(G8=AC8,1,0)))</f>
        <v>1</v>
      </c>
      <c r="AH8" s="108">
        <f t="shared" ref="AH8:AH55" si="1">IF(AD8="",0,(IF(I8=AD8,1,0)))</f>
        <v>1</v>
      </c>
      <c r="AI8" s="108">
        <f>IF(AND(AG8=1,AH8=1),10,0)</f>
        <v>10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1</v>
      </c>
      <c r="H9" s="367" t="s">
        <v>9</v>
      </c>
      <c r="I9" s="440">
        <v>1</v>
      </c>
      <c r="J9" s="369">
        <f t="shared" ref="J9:J55" si="5">IF(I9="","",IF(G9&gt;I9,1,IF(G9&lt;I9,2,3)))</f>
        <v>3</v>
      </c>
      <c r="K9" s="363">
        <f t="shared" ref="K9:K55" si="6">IF(I9="","",IF($G9&gt;$I9,3,IF($G9=$I9,1,0)))</f>
        <v>1</v>
      </c>
      <c r="L9" s="363">
        <f t="shared" ref="L9:L55" si="7">IF(I9="","",IF($G9&lt;$I9,3,IF($G9=$I9,1,0)))</f>
        <v>1</v>
      </c>
      <c r="M9" s="352"/>
      <c r="N9" s="352"/>
      <c r="O9" s="394" t="s">
        <v>8</v>
      </c>
      <c r="P9" s="395">
        <f>SUMIF($D$8:$D$55,$O9,$G$8:$G$55)+SUMIF($F$8:$F$55,$O9,$I$8:$I$55)</f>
        <v>7</v>
      </c>
      <c r="Q9" s="395">
        <f>SUMIF($D$8:$D$55,$O9,$I$8:$I$55)+SUMIF($F$8:$F$55,$O9,$G$8:$G$55)</f>
        <v>1</v>
      </c>
      <c r="R9" s="396">
        <f>P9-Q9</f>
        <v>6</v>
      </c>
      <c r="S9" s="397">
        <f>SUMIF($D$8:$D$55,$O9,$K$8:$K$55)+SUMIF($F$8:$F$55,$O9,$L$8:$L$55)</f>
        <v>9</v>
      </c>
      <c r="T9" s="444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1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1</v>
      </c>
      <c r="AG9" s="108">
        <f t="shared" si="0"/>
        <v>1</v>
      </c>
      <c r="AH9" s="108">
        <f t="shared" si="1"/>
        <v>0</v>
      </c>
      <c r="AI9" s="108">
        <f t="shared" ref="AI9:AI55" si="10">IF(AND(AG9=1,AH9=1),10,0)</f>
        <v>0</v>
      </c>
      <c r="AJ9" s="108">
        <f t="shared" si="2"/>
        <v>0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2</v>
      </c>
      <c r="H10" s="373" t="s">
        <v>9</v>
      </c>
      <c r="I10" s="441">
        <v>1</v>
      </c>
      <c r="J10" s="375">
        <f t="shared" si="5"/>
        <v>1</v>
      </c>
      <c r="K10" s="363">
        <f t="shared" si="6"/>
        <v>3</v>
      </c>
      <c r="L10" s="363">
        <f t="shared" si="7"/>
        <v>0</v>
      </c>
      <c r="M10" s="352"/>
      <c r="N10" s="352"/>
      <c r="O10" s="398" t="s">
        <v>10</v>
      </c>
      <c r="P10" s="399">
        <f>SUMIF($D$8:$D$55,$O10,$G$8:$G$55)+SUMIF($F$8:$F$55,$O10,$I$8:$I$55)</f>
        <v>5</v>
      </c>
      <c r="Q10" s="399">
        <f>SUMIF($D$8:$D$55,$O10,$I$8:$I$55)+SUMIF($F$8:$F$55,$O10,$G$8:$G$55)</f>
        <v>5</v>
      </c>
      <c r="R10" s="399">
        <f>P10-Q10</f>
        <v>0</v>
      </c>
      <c r="S10" s="400">
        <f>SUMIF($D$8:$D$55,$O10,$K$8:$K$55)+SUMIF($F$8:$F$55,$O10,$L$8:$L$55)</f>
        <v>6</v>
      </c>
      <c r="T10" s="445" t="s">
        <v>49</v>
      </c>
      <c r="U10" s="40"/>
      <c r="V10" s="40" t="str">
        <f>O10</f>
        <v>Kroatië</v>
      </c>
      <c r="W10" s="40" t="s">
        <v>49</v>
      </c>
      <c r="Y10" s="109">
        <f t="shared" si="8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0</v>
      </c>
      <c r="AG10" s="108">
        <f t="shared" si="0"/>
        <v>0</v>
      </c>
      <c r="AH10" s="108">
        <f t="shared" si="1"/>
        <v>0</v>
      </c>
      <c r="AI10" s="108">
        <f t="shared" si="10"/>
        <v>0</v>
      </c>
      <c r="AJ10" s="108">
        <f t="shared" si="2"/>
        <v>0</v>
      </c>
      <c r="AK10" s="108">
        <f t="shared" si="3"/>
        <v>0</v>
      </c>
      <c r="AL10" s="108">
        <f t="shared" si="4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2</v>
      </c>
      <c r="H11" s="379" t="s">
        <v>9</v>
      </c>
      <c r="I11" s="442">
        <v>2</v>
      </c>
      <c r="J11" s="381">
        <f t="shared" si="5"/>
        <v>3</v>
      </c>
      <c r="K11" s="363">
        <f t="shared" si="6"/>
        <v>1</v>
      </c>
      <c r="L11" s="363">
        <f t="shared" si="7"/>
        <v>1</v>
      </c>
      <c r="M11" s="352"/>
      <c r="N11" s="352"/>
      <c r="O11" s="398" t="s">
        <v>11</v>
      </c>
      <c r="P11" s="399">
        <f>SUMIF($D$8:$D$55,$O11,$G$8:$G$55)+SUMIF($F$8:$F$55,$O11,$I$8:$I$55)</f>
        <v>2</v>
      </c>
      <c r="Q11" s="399">
        <f>SUMIF($D$8:$D$55,$O11,$I$8:$I$55)+SUMIF($F$8:$F$55,$O11,$G$8:$G$55)</f>
        <v>5</v>
      </c>
      <c r="R11" s="399">
        <f>P11-Q11</f>
        <v>-3</v>
      </c>
      <c r="S11" s="400">
        <f>SUMIF($D$8:$D$55,$O11,$K$8:$K$55)+SUMIF($F$8:$F$55,$O11,$L$8:$L$55)</f>
        <v>1</v>
      </c>
      <c r="T11" s="445" t="s">
        <v>47</v>
      </c>
      <c r="U11" s="40"/>
      <c r="V11" s="40" t="str">
        <f>O11</f>
        <v>Mexico</v>
      </c>
      <c r="W11" s="40" t="s">
        <v>47</v>
      </c>
      <c r="Y11" s="109">
        <f t="shared" si="8"/>
        <v>0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0</v>
      </c>
      <c r="AG11" s="108">
        <f t="shared" si="0"/>
        <v>0</v>
      </c>
      <c r="AH11" s="108">
        <f t="shared" si="1"/>
        <v>0</v>
      </c>
      <c r="AI11" s="108">
        <f t="shared" si="10"/>
        <v>0</v>
      </c>
      <c r="AJ11" s="108">
        <f t="shared" si="2"/>
        <v>0</v>
      </c>
      <c r="AK11" s="108">
        <f t="shared" si="3"/>
        <v>0</v>
      </c>
      <c r="AL11" s="108">
        <f t="shared" si="4"/>
        <v>0</v>
      </c>
      <c r="AM11" s="120">
        <f>AO11</f>
        <v>0</v>
      </c>
      <c r="AN11" s="117" t="s">
        <v>11</v>
      </c>
      <c r="AO11" s="115">
        <f>IF(Uitslag!T11="",0,IF(T11=Uitslag!T11,10,0))</f>
        <v>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1</v>
      </c>
      <c r="H12" s="367" t="s">
        <v>9</v>
      </c>
      <c r="I12" s="440">
        <v>2</v>
      </c>
      <c r="J12" s="369">
        <f t="shared" si="5"/>
        <v>2</v>
      </c>
      <c r="K12" s="363">
        <f t="shared" si="6"/>
        <v>0</v>
      </c>
      <c r="L12" s="363">
        <f t="shared" si="7"/>
        <v>3</v>
      </c>
      <c r="M12" s="352"/>
      <c r="N12" s="352"/>
      <c r="O12" s="401" t="s">
        <v>12</v>
      </c>
      <c r="P12" s="402">
        <f>SUMIF($D$8:$D$55,$O12,$G$8:$G$55)+SUMIF($F$8:$F$55,$O12,$I$8:$I$55)</f>
        <v>2</v>
      </c>
      <c r="Q12" s="402">
        <f>SUMIF($D$8:$D$55,$O12,$I$8:$I$55)+SUMIF($F$8:$F$55,$O12,$G$8:$G$55)</f>
        <v>5</v>
      </c>
      <c r="R12" s="402">
        <f>P12-Q12</f>
        <v>-3</v>
      </c>
      <c r="S12" s="403">
        <f>SUMIF($D$8:$D$55,$O12,$K$8:$K$55)+SUMIF($F$8:$F$55,$O12,$L$8:$L$55)</f>
        <v>1</v>
      </c>
      <c r="T12" s="446" t="s">
        <v>50</v>
      </c>
      <c r="U12" s="40"/>
      <c r="V12" s="40" t="str">
        <f>O12</f>
        <v>Kameroen</v>
      </c>
      <c r="W12" s="40" t="s">
        <v>50</v>
      </c>
      <c r="Y12" s="109">
        <f t="shared" si="8"/>
        <v>0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0</v>
      </c>
      <c r="AG12" s="108">
        <f t="shared" si="0"/>
        <v>0</v>
      </c>
      <c r="AH12" s="108">
        <f t="shared" si="1"/>
        <v>0</v>
      </c>
      <c r="AI12" s="108">
        <f t="shared" si="10"/>
        <v>0</v>
      </c>
      <c r="AJ12" s="108">
        <f t="shared" si="2"/>
        <v>0</v>
      </c>
      <c r="AK12" s="108">
        <f t="shared" si="3"/>
        <v>0</v>
      </c>
      <c r="AL12" s="108">
        <f t="shared" si="4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2</v>
      </c>
      <c r="H13" s="373" t="s">
        <v>9</v>
      </c>
      <c r="I13" s="441">
        <v>0</v>
      </c>
      <c r="J13" s="375">
        <f t="shared" si="5"/>
        <v>1</v>
      </c>
      <c r="K13" s="363">
        <f t="shared" si="6"/>
        <v>3</v>
      </c>
      <c r="L13" s="363">
        <f t="shared" si="7"/>
        <v>0</v>
      </c>
      <c r="M13" s="352"/>
      <c r="N13" s="352"/>
      <c r="O13" s="392"/>
      <c r="P13" s="393"/>
      <c r="Q13" s="393"/>
      <c r="R13" s="393"/>
      <c r="S13" s="393"/>
      <c r="T13" s="393"/>
      <c r="U13" s="40"/>
      <c r="V13" s="40"/>
      <c r="W13" s="40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0"/>
        <v>0</v>
      </c>
      <c r="AH13" s="108">
        <f t="shared" si="1"/>
        <v>0</v>
      </c>
      <c r="AI13" s="108">
        <f t="shared" si="10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40"/>
      <c r="AO13" s="41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1</v>
      </c>
      <c r="H14" s="373" t="s">
        <v>9</v>
      </c>
      <c r="I14" s="441">
        <v>1</v>
      </c>
      <c r="J14" s="375">
        <f t="shared" si="5"/>
        <v>3</v>
      </c>
      <c r="K14" s="363">
        <f t="shared" si="6"/>
        <v>1</v>
      </c>
      <c r="L14" s="363">
        <f t="shared" si="7"/>
        <v>1</v>
      </c>
      <c r="M14" s="352"/>
      <c r="N14" s="352"/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40"/>
      <c r="V14" s="40"/>
      <c r="W14" s="40"/>
      <c r="Y14" s="109">
        <f t="shared" si="8"/>
        <v>1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</v>
      </c>
      <c r="AG14" s="108">
        <f t="shared" si="0"/>
        <v>1</v>
      </c>
      <c r="AH14" s="108">
        <f t="shared" si="1"/>
        <v>0</v>
      </c>
      <c r="AI14" s="108">
        <f t="shared" si="10"/>
        <v>0</v>
      </c>
      <c r="AJ14" s="108">
        <f t="shared" si="2"/>
        <v>0</v>
      </c>
      <c r="AK14" s="108">
        <f t="shared" si="3"/>
        <v>0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3</v>
      </c>
      <c r="H15" s="379" t="s">
        <v>9</v>
      </c>
      <c r="I15" s="442">
        <v>1</v>
      </c>
      <c r="J15" s="381">
        <f t="shared" si="5"/>
        <v>1</v>
      </c>
      <c r="K15" s="363">
        <f t="shared" si="6"/>
        <v>3</v>
      </c>
      <c r="L15" s="363">
        <f t="shared" si="7"/>
        <v>0</v>
      </c>
      <c r="M15" s="352"/>
      <c r="N15" s="352"/>
      <c r="O15" s="394" t="s">
        <v>13</v>
      </c>
      <c r="P15" s="395">
        <f>SUMIF($D$8:$D$55,$O15,$G$8:$G$55)+SUMIF($F$8:$F$55,$O15,$I$8:$I$55)</f>
        <v>6</v>
      </c>
      <c r="Q15" s="395">
        <f>SUMIF($D$8:$D$55,$O15,$I$8:$I$55)+SUMIF($F$8:$F$55,$O15,$G$8:$G$55)</f>
        <v>2</v>
      </c>
      <c r="R15" s="396">
        <f>P15-Q15</f>
        <v>4</v>
      </c>
      <c r="S15" s="397">
        <f>SUMIF($D$8:$D$55,$O15,$K$8:$K$55)+SUMIF($F$8:$F$55,$O15,$L$8:$L$55)</f>
        <v>9</v>
      </c>
      <c r="T15" s="444" t="s">
        <v>52</v>
      </c>
      <c r="U15" s="40"/>
      <c r="V15" s="40" t="str">
        <f>O15</f>
        <v>Spanje</v>
      </c>
      <c r="W15" s="40" t="s">
        <v>52</v>
      </c>
      <c r="Y15" s="109">
        <f t="shared" si="8"/>
        <v>6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6</v>
      </c>
      <c r="AG15" s="108">
        <f t="shared" si="0"/>
        <v>0</v>
      </c>
      <c r="AH15" s="108">
        <f t="shared" si="1"/>
        <v>1</v>
      </c>
      <c r="AI15" s="108">
        <f t="shared" si="10"/>
        <v>0</v>
      </c>
      <c r="AJ15" s="108">
        <f t="shared" si="2"/>
        <v>5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1</v>
      </c>
      <c r="H16" s="367" t="s">
        <v>9</v>
      </c>
      <c r="I16" s="440">
        <v>1</v>
      </c>
      <c r="J16" s="369">
        <f t="shared" si="5"/>
        <v>3</v>
      </c>
      <c r="K16" s="363">
        <f t="shared" si="6"/>
        <v>1</v>
      </c>
      <c r="L16" s="363">
        <f t="shared" si="7"/>
        <v>1</v>
      </c>
      <c r="M16" s="352"/>
      <c r="N16" s="352"/>
      <c r="O16" s="404" t="s">
        <v>14</v>
      </c>
      <c r="P16" s="399">
        <f>SUMIF($D$8:$D$55,$O16,$G$8:$G$55)+SUMIF($F$8:$F$55,$O16,$I$8:$I$55)</f>
        <v>6</v>
      </c>
      <c r="Q16" s="399">
        <f>SUMIF($D$8:$D$55,$O16,$I$8:$I$55)+SUMIF($F$8:$F$55,$O16,$G$8:$G$55)</f>
        <v>3</v>
      </c>
      <c r="R16" s="399">
        <f>P16-Q16</f>
        <v>3</v>
      </c>
      <c r="S16" s="400">
        <f>SUMIF($D$8:$D$55,$O16,$K$8:$K$55)+SUMIF($F$8:$F$55,$O16,$L$8:$L$55)</f>
        <v>6</v>
      </c>
      <c r="T16" s="445" t="s">
        <v>53</v>
      </c>
      <c r="U16" s="40"/>
      <c r="V16" s="40" t="str">
        <f>O16</f>
        <v>Nederland</v>
      </c>
      <c r="W16" s="40" t="s">
        <v>53</v>
      </c>
      <c r="Y16" s="109">
        <f t="shared" si="8"/>
        <v>1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1</v>
      </c>
      <c r="AG16" s="108">
        <f t="shared" si="0"/>
        <v>0</v>
      </c>
      <c r="AH16" s="108">
        <f t="shared" si="1"/>
        <v>1</v>
      </c>
      <c r="AI16" s="108">
        <f t="shared" si="10"/>
        <v>0</v>
      </c>
      <c r="AJ16" s="108">
        <f t="shared" si="2"/>
        <v>0</v>
      </c>
      <c r="AK16" s="108">
        <f t="shared" si="3"/>
        <v>0</v>
      </c>
      <c r="AL16" s="108">
        <f t="shared" si="4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3</v>
      </c>
      <c r="H17" s="373" t="s">
        <v>9</v>
      </c>
      <c r="I17" s="441">
        <v>1</v>
      </c>
      <c r="J17" s="375">
        <f t="shared" si="5"/>
        <v>1</v>
      </c>
      <c r="K17" s="363">
        <f t="shared" si="6"/>
        <v>3</v>
      </c>
      <c r="L17" s="363">
        <f t="shared" si="7"/>
        <v>0</v>
      </c>
      <c r="M17" s="352"/>
      <c r="N17" s="352"/>
      <c r="O17" s="398" t="s">
        <v>15</v>
      </c>
      <c r="P17" s="399">
        <f>SUMIF($D$8:$D$55,$O17,$G$8:$G$55)+SUMIF($F$8:$F$55,$O17,$I$8:$I$55)</f>
        <v>3</v>
      </c>
      <c r="Q17" s="399">
        <f>SUMIF($D$8:$D$55,$O17,$I$8:$I$55)+SUMIF($F$8:$F$55,$O17,$G$8:$G$55)</f>
        <v>7</v>
      </c>
      <c r="R17" s="399">
        <f>P17-Q17</f>
        <v>-4</v>
      </c>
      <c r="S17" s="400">
        <f>SUMIF($D$8:$D$55,$O17,$K$8:$K$55)+SUMIF($F$8:$F$55,$O17,$L$8:$L$55)</f>
        <v>1</v>
      </c>
      <c r="T17" s="445" t="s">
        <v>54</v>
      </c>
      <c r="U17" s="40"/>
      <c r="V17" s="40" t="str">
        <f>O17</f>
        <v>Chili</v>
      </c>
      <c r="W17" s="40" t="s">
        <v>54</v>
      </c>
      <c r="Y17" s="109">
        <f t="shared" si="8"/>
        <v>6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6</v>
      </c>
      <c r="AG17" s="108">
        <f t="shared" si="0"/>
        <v>1</v>
      </c>
      <c r="AH17" s="108">
        <f t="shared" si="1"/>
        <v>0</v>
      </c>
      <c r="AI17" s="108">
        <f t="shared" si="10"/>
        <v>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3</v>
      </c>
      <c r="H18" s="379" t="s">
        <v>9</v>
      </c>
      <c r="I18" s="442">
        <v>0</v>
      </c>
      <c r="J18" s="381">
        <f t="shared" si="5"/>
        <v>1</v>
      </c>
      <c r="K18" s="363">
        <f t="shared" si="6"/>
        <v>3</v>
      </c>
      <c r="L18" s="363">
        <f t="shared" si="7"/>
        <v>0</v>
      </c>
      <c r="M18" s="352"/>
      <c r="N18" s="352"/>
      <c r="O18" s="401" t="s">
        <v>16</v>
      </c>
      <c r="P18" s="402">
        <f>SUMIF($D$8:$D$55,$O18,$G$8:$G$55)+SUMIF($F$8:$F$55,$O18,$I$8:$I$55)</f>
        <v>3</v>
      </c>
      <c r="Q18" s="402">
        <f>SUMIF($D$8:$D$55,$O18,$I$8:$I$55)+SUMIF($F$8:$F$55,$O18,$G$8:$G$55)</f>
        <v>6</v>
      </c>
      <c r="R18" s="402">
        <f>P18-Q18</f>
        <v>-3</v>
      </c>
      <c r="S18" s="403">
        <f>SUMIF($D$8:$D$55,$O18,$K$8:$K$55)+SUMIF($F$8:$F$55,$O18,$L$8:$L$55)</f>
        <v>1</v>
      </c>
      <c r="T18" s="446" t="s">
        <v>55</v>
      </c>
      <c r="U18" s="40"/>
      <c r="V18" s="40" t="str">
        <f>O18</f>
        <v>Australië</v>
      </c>
      <c r="W18" s="40" t="s">
        <v>55</v>
      </c>
      <c r="Y18" s="109">
        <f t="shared" si="8"/>
        <v>5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5</v>
      </c>
      <c r="AG18" s="108">
        <f t="shared" si="0"/>
        <v>0</v>
      </c>
      <c r="AH18" s="108">
        <f t="shared" si="1"/>
        <v>0</v>
      </c>
      <c r="AI18" s="108">
        <f t="shared" si="10"/>
        <v>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1</v>
      </c>
      <c r="H19" s="367" t="s">
        <v>9</v>
      </c>
      <c r="I19" s="440">
        <v>1</v>
      </c>
      <c r="J19" s="369">
        <f t="shared" si="5"/>
        <v>3</v>
      </c>
      <c r="K19" s="363">
        <f t="shared" si="6"/>
        <v>1</v>
      </c>
      <c r="L19" s="363">
        <f t="shared" si="7"/>
        <v>1</v>
      </c>
      <c r="M19" s="352"/>
      <c r="N19" s="352"/>
      <c r="O19" s="392"/>
      <c r="P19" s="393"/>
      <c r="Q19" s="393"/>
      <c r="R19" s="393"/>
      <c r="S19" s="393"/>
      <c r="T19" s="393"/>
      <c r="U19" s="40"/>
      <c r="V19" s="40"/>
      <c r="W19" s="40"/>
      <c r="Y19" s="109">
        <f t="shared" si="8"/>
        <v>0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0</v>
      </c>
      <c r="AG19" s="108">
        <f t="shared" si="0"/>
        <v>0</v>
      </c>
      <c r="AH19" s="108">
        <f t="shared" si="1"/>
        <v>0</v>
      </c>
      <c r="AI19" s="108">
        <f t="shared" si="10"/>
        <v>0</v>
      </c>
      <c r="AJ19" s="108">
        <f t="shared" si="2"/>
        <v>0</v>
      </c>
      <c r="AK19" s="108">
        <f t="shared" si="3"/>
        <v>0</v>
      </c>
      <c r="AL19" s="108">
        <f t="shared" si="4"/>
        <v>0</v>
      </c>
      <c r="AN19" s="40"/>
      <c r="AO19" s="41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0</v>
      </c>
      <c r="H20" s="373" t="s">
        <v>9</v>
      </c>
      <c r="I20" s="441">
        <v>1</v>
      </c>
      <c r="J20" s="375">
        <f t="shared" si="5"/>
        <v>2</v>
      </c>
      <c r="K20" s="363">
        <f t="shared" si="6"/>
        <v>0</v>
      </c>
      <c r="L20" s="363">
        <f t="shared" si="7"/>
        <v>3</v>
      </c>
      <c r="M20" s="352"/>
      <c r="N20" s="352"/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40"/>
      <c r="V20" s="40"/>
      <c r="W20" s="40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0"/>
        <v>1</v>
      </c>
      <c r="AH20" s="108">
        <f t="shared" si="1"/>
        <v>0</v>
      </c>
      <c r="AI20" s="108">
        <f t="shared" si="10"/>
        <v>0</v>
      </c>
      <c r="AJ20" s="108">
        <f t="shared" si="2"/>
        <v>0</v>
      </c>
      <c r="AK20" s="108">
        <f t="shared" si="3"/>
        <v>0</v>
      </c>
      <c r="AL20" s="108">
        <f t="shared" si="4"/>
        <v>0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2</v>
      </c>
      <c r="H21" s="379" t="s">
        <v>9</v>
      </c>
      <c r="I21" s="442">
        <v>0</v>
      </c>
      <c r="J21" s="381">
        <f t="shared" si="5"/>
        <v>1</v>
      </c>
      <c r="K21" s="363">
        <f t="shared" si="6"/>
        <v>3</v>
      </c>
      <c r="L21" s="363">
        <f t="shared" si="7"/>
        <v>0</v>
      </c>
      <c r="M21" s="352"/>
      <c r="N21" s="352"/>
      <c r="O21" s="394" t="s">
        <v>17</v>
      </c>
      <c r="P21" s="395">
        <f>SUMIF($D$8:$D$55,$O21,$G$8:$G$55)+SUMIF($F$8:$F$55,$O21,$I$8:$I$55)</f>
        <v>3</v>
      </c>
      <c r="Q21" s="395">
        <f>SUMIF($D$8:$D$55,$O21,$I$8:$I$55)+SUMIF($F$8:$F$55,$O21,$G$8:$G$55)</f>
        <v>5</v>
      </c>
      <c r="R21" s="396">
        <f>P21-Q21</f>
        <v>-2</v>
      </c>
      <c r="S21" s="397">
        <f>SUMIF($D$8:$D$55,$O21,$K$8:$K$55)+SUMIF($F$8:$F$55,$O21,$L$8:$L$55)</f>
        <v>1</v>
      </c>
      <c r="T21" s="444" t="s">
        <v>59</v>
      </c>
      <c r="U21" s="40"/>
      <c r="V21" s="40" t="str">
        <f>O21</f>
        <v>Colombia</v>
      </c>
      <c r="W21" s="40" t="s">
        <v>57</v>
      </c>
      <c r="Y21" s="109">
        <f t="shared" si="8"/>
        <v>0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0</v>
      </c>
      <c r="AG21" s="108">
        <f t="shared" si="0"/>
        <v>0</v>
      </c>
      <c r="AH21" s="108">
        <f t="shared" si="1"/>
        <v>0</v>
      </c>
      <c r="AI21" s="108">
        <f t="shared" si="10"/>
        <v>0</v>
      </c>
      <c r="AJ21" s="108">
        <f t="shared" si="2"/>
        <v>0</v>
      </c>
      <c r="AK21" s="108">
        <f t="shared" si="3"/>
        <v>0</v>
      </c>
      <c r="AL21" s="108">
        <f t="shared" si="4"/>
        <v>0</v>
      </c>
      <c r="AM21" s="120">
        <f>AO21</f>
        <v>0</v>
      </c>
      <c r="AN21" s="116" t="s">
        <v>17</v>
      </c>
      <c r="AO21" s="115">
        <f>IF(Uitslag!T21="",0,IF(T21=Uitslag!T21,10,0))</f>
        <v>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3</v>
      </c>
      <c r="H22" s="367" t="s">
        <v>9</v>
      </c>
      <c r="I22" s="440">
        <v>0</v>
      </c>
      <c r="J22" s="369">
        <f t="shared" si="5"/>
        <v>1</v>
      </c>
      <c r="K22" s="363">
        <f t="shared" si="6"/>
        <v>3</v>
      </c>
      <c r="L22" s="363">
        <f t="shared" si="7"/>
        <v>0</v>
      </c>
      <c r="M22" s="352"/>
      <c r="N22" s="352"/>
      <c r="O22" s="398" t="s">
        <v>18</v>
      </c>
      <c r="P22" s="399">
        <f>SUMIF($D$8:$D$55,$O22,$G$8:$G$55)+SUMIF($F$8:$F$55,$O22,$I$8:$I$55)</f>
        <v>5</v>
      </c>
      <c r="Q22" s="399">
        <f>SUMIF($D$8:$D$55,$O22,$I$8:$I$55)+SUMIF($F$8:$F$55,$O22,$G$8:$G$55)</f>
        <v>3</v>
      </c>
      <c r="R22" s="399">
        <f>P22-Q22</f>
        <v>2</v>
      </c>
      <c r="S22" s="400">
        <f>SUMIF($D$8:$D$55,$O22,$K$8:$K$55)+SUMIF($F$8:$F$55,$O22,$L$8:$L$55)</f>
        <v>6</v>
      </c>
      <c r="T22" s="445" t="s">
        <v>58</v>
      </c>
      <c r="U22" s="40"/>
      <c r="V22" s="40" t="str">
        <f>O22</f>
        <v>Griekenland</v>
      </c>
      <c r="W22" s="40" t="s">
        <v>58</v>
      </c>
      <c r="Y22" s="109">
        <f t="shared" si="8"/>
        <v>5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5</v>
      </c>
      <c r="AG22" s="108">
        <f t="shared" si="0"/>
        <v>0</v>
      </c>
      <c r="AH22" s="108">
        <f t="shared" si="1"/>
        <v>0</v>
      </c>
      <c r="AI22" s="108">
        <f t="shared" si="10"/>
        <v>0</v>
      </c>
      <c r="AJ22" s="108">
        <f t="shared" si="2"/>
        <v>5</v>
      </c>
      <c r="AK22" s="108">
        <f t="shared" si="3"/>
        <v>0</v>
      </c>
      <c r="AL22" s="108">
        <f t="shared" si="4"/>
        <v>0</v>
      </c>
      <c r="AM22" s="120">
        <f>AO22</f>
        <v>10</v>
      </c>
      <c r="AN22" s="117" t="s">
        <v>18</v>
      </c>
      <c r="AO22" s="115">
        <f>IF(Uitslag!T22="",0,IF(T22=Uitslag!T22,10,0))</f>
        <v>10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2</v>
      </c>
      <c r="H23" s="373" t="s">
        <v>9</v>
      </c>
      <c r="I23" s="441">
        <v>0</v>
      </c>
      <c r="J23" s="375">
        <f t="shared" si="5"/>
        <v>1</v>
      </c>
      <c r="K23" s="363">
        <f t="shared" si="6"/>
        <v>3</v>
      </c>
      <c r="L23" s="363">
        <f t="shared" si="7"/>
        <v>0</v>
      </c>
      <c r="M23" s="352"/>
      <c r="N23" s="352"/>
      <c r="O23" s="398" t="s">
        <v>23</v>
      </c>
      <c r="P23" s="399">
        <f>SUMIF($D$8:$D$55,$O23,$G$8:$G$55)+SUMIF($F$8:$F$55,$O23,$I$8:$I$55)</f>
        <v>6</v>
      </c>
      <c r="Q23" s="399">
        <f>SUMIF($D$8:$D$55,$O23,$I$8:$I$55)+SUMIF($F$8:$F$55,$O23,$G$8:$G$55)</f>
        <v>2</v>
      </c>
      <c r="R23" s="399">
        <f>P23-Q23</f>
        <v>4</v>
      </c>
      <c r="S23" s="400">
        <f>SUMIF($D$8:$D$55,$O23,$K$8:$K$55)+SUMIF($F$8:$F$55,$O23,$L$8:$L$55)</f>
        <v>9</v>
      </c>
      <c r="T23" s="445" t="s">
        <v>57</v>
      </c>
      <c r="U23" s="40"/>
      <c r="V23" s="40" t="str">
        <f>O23</f>
        <v>Ivoorkust</v>
      </c>
      <c r="W23" s="40" t="s">
        <v>59</v>
      </c>
      <c r="Y23" s="109">
        <f t="shared" si="8"/>
        <v>1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1</v>
      </c>
      <c r="AG23" s="108">
        <f t="shared" si="0"/>
        <v>0</v>
      </c>
      <c r="AH23" s="108">
        <f t="shared" si="1"/>
        <v>1</v>
      </c>
      <c r="AI23" s="108">
        <f t="shared" si="10"/>
        <v>0</v>
      </c>
      <c r="AJ23" s="108">
        <f t="shared" si="2"/>
        <v>0</v>
      </c>
      <c r="AK23" s="108">
        <f t="shared" si="3"/>
        <v>0</v>
      </c>
      <c r="AL23" s="108">
        <f t="shared" si="4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0</v>
      </c>
      <c r="H24" s="379" t="s">
        <v>9</v>
      </c>
      <c r="I24" s="442">
        <v>1</v>
      </c>
      <c r="J24" s="381">
        <f t="shared" si="5"/>
        <v>2</v>
      </c>
      <c r="K24" s="363">
        <f t="shared" si="6"/>
        <v>0</v>
      </c>
      <c r="L24" s="363">
        <f t="shared" si="7"/>
        <v>3</v>
      </c>
      <c r="M24" s="352"/>
      <c r="N24" s="352"/>
      <c r="O24" s="401" t="s">
        <v>24</v>
      </c>
      <c r="P24" s="402">
        <f>SUMIF($D$8:$D$55,$O24,$G$8:$G$55)+SUMIF($F$8:$F$55,$O24,$I$8:$I$55)</f>
        <v>3</v>
      </c>
      <c r="Q24" s="402">
        <f>SUMIF($D$8:$D$55,$O24,$I$8:$I$55)+SUMIF($F$8:$F$55,$O24,$G$8:$G$55)</f>
        <v>7</v>
      </c>
      <c r="R24" s="402">
        <f>P24-Q24</f>
        <v>-4</v>
      </c>
      <c r="S24" s="403">
        <f>SUMIF($D$8:$D$55,$O24,$K$8:$K$55)+SUMIF($F$8:$F$55,$O24,$L$8:$L$55)</f>
        <v>1</v>
      </c>
      <c r="T24" s="446" t="s">
        <v>60</v>
      </c>
      <c r="U24" s="40"/>
      <c r="V24" s="40" t="str">
        <f>O24</f>
        <v>Japan</v>
      </c>
      <c r="W24" s="40" t="s">
        <v>60</v>
      </c>
      <c r="Y24" s="109">
        <f t="shared" si="8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</v>
      </c>
      <c r="AG24" s="108">
        <f t="shared" si="0"/>
        <v>0</v>
      </c>
      <c r="AH24" s="108">
        <f t="shared" si="1"/>
        <v>1</v>
      </c>
      <c r="AI24" s="108">
        <f t="shared" si="10"/>
        <v>0</v>
      </c>
      <c r="AJ24" s="108">
        <f t="shared" si="2"/>
        <v>0</v>
      </c>
      <c r="AK24" s="108">
        <f t="shared" si="3"/>
        <v>0</v>
      </c>
      <c r="AL24" s="108">
        <f t="shared" si="4"/>
        <v>0</v>
      </c>
      <c r="AM24" s="120">
        <f>AO24</f>
        <v>10</v>
      </c>
      <c r="AN24" s="118" t="s">
        <v>24</v>
      </c>
      <c r="AO24" s="115">
        <f>IF(Uitslag!T24="",0,IF(T24=Uitslag!T24,10,0))</f>
        <v>10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0</v>
      </c>
      <c r="H25" s="367" t="s">
        <v>9</v>
      </c>
      <c r="I25" s="440">
        <v>2</v>
      </c>
      <c r="J25" s="369">
        <f t="shared" si="5"/>
        <v>2</v>
      </c>
      <c r="K25" s="363">
        <f t="shared" si="6"/>
        <v>0</v>
      </c>
      <c r="L25" s="363">
        <f t="shared" si="7"/>
        <v>3</v>
      </c>
      <c r="M25" s="352"/>
      <c r="N25" s="352"/>
      <c r="O25" s="392"/>
      <c r="P25" s="393"/>
      <c r="Q25" s="393"/>
      <c r="R25" s="393"/>
      <c r="S25" s="393"/>
      <c r="T25" s="393"/>
      <c r="U25" s="40"/>
      <c r="V25" s="40"/>
      <c r="W25" s="40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0"/>
        <v>0</v>
      </c>
      <c r="AH25" s="108">
        <f t="shared" si="1"/>
        <v>0</v>
      </c>
      <c r="AI25" s="108">
        <f t="shared" si="10"/>
        <v>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40"/>
      <c r="AO25" s="41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2</v>
      </c>
      <c r="H26" s="373" t="s">
        <v>9</v>
      </c>
      <c r="I26" s="441">
        <v>0</v>
      </c>
      <c r="J26" s="375">
        <f t="shared" si="5"/>
        <v>1</v>
      </c>
      <c r="K26" s="363">
        <f t="shared" si="6"/>
        <v>3</v>
      </c>
      <c r="L26" s="363">
        <f t="shared" si="7"/>
        <v>0</v>
      </c>
      <c r="M26" s="352"/>
      <c r="N26" s="352"/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40"/>
      <c r="V26" s="40"/>
      <c r="W26" s="40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0"/>
        <v>0</v>
      </c>
      <c r="AH26" s="108">
        <f t="shared" si="1"/>
        <v>0</v>
      </c>
      <c r="AI26" s="108">
        <f t="shared" si="10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1</v>
      </c>
      <c r="H27" s="379" t="s">
        <v>9</v>
      </c>
      <c r="I27" s="442">
        <v>2</v>
      </c>
      <c r="J27" s="381">
        <f t="shared" si="5"/>
        <v>2</v>
      </c>
      <c r="K27" s="363">
        <f t="shared" si="6"/>
        <v>0</v>
      </c>
      <c r="L27" s="363">
        <f t="shared" si="7"/>
        <v>3</v>
      </c>
      <c r="M27" s="352"/>
      <c r="N27" s="352"/>
      <c r="O27" s="394" t="s">
        <v>19</v>
      </c>
      <c r="P27" s="395">
        <f>SUMIF($D$8:$D$55,$O27,$G$8:$G$55)+SUMIF($F$8:$F$55,$O27,$I$8:$I$55)</f>
        <v>4</v>
      </c>
      <c r="Q27" s="395">
        <f>SUMIF($D$8:$D$55,$O27,$I$8:$I$55)+SUMIF($F$8:$F$55,$O27,$G$8:$G$55)</f>
        <v>3</v>
      </c>
      <c r="R27" s="396">
        <f>P27-Q27</f>
        <v>1</v>
      </c>
      <c r="S27" s="397">
        <f>SUMIF($D$8:$D$55,$O27,$K$8:$K$55)+SUMIF($F$8:$F$55,$O27,$L$8:$L$55)</f>
        <v>4</v>
      </c>
      <c r="T27" s="444" t="s">
        <v>64</v>
      </c>
      <c r="U27" s="40"/>
      <c r="V27" s="40" t="str">
        <f>O27</f>
        <v>Uruguay</v>
      </c>
      <c r="W27" s="40" t="s">
        <v>62</v>
      </c>
      <c r="Y27" s="109">
        <f t="shared" si="8"/>
        <v>5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5</v>
      </c>
      <c r="AG27" s="108">
        <f t="shared" si="0"/>
        <v>0</v>
      </c>
      <c r="AH27" s="108">
        <f t="shared" si="1"/>
        <v>0</v>
      </c>
      <c r="AI27" s="108">
        <f t="shared" si="10"/>
        <v>0</v>
      </c>
      <c r="AJ27" s="108">
        <f t="shared" si="2"/>
        <v>0</v>
      </c>
      <c r="AK27" s="108">
        <f t="shared" si="3"/>
        <v>5</v>
      </c>
      <c r="AL27" s="108">
        <f t="shared" si="4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0</v>
      </c>
      <c r="H28" s="367" t="s">
        <v>9</v>
      </c>
      <c r="I28" s="440">
        <v>1</v>
      </c>
      <c r="J28" s="369">
        <f t="shared" si="5"/>
        <v>2</v>
      </c>
      <c r="K28" s="363">
        <f t="shared" si="6"/>
        <v>0</v>
      </c>
      <c r="L28" s="363">
        <f t="shared" si="7"/>
        <v>3</v>
      </c>
      <c r="M28" s="352"/>
      <c r="N28" s="352"/>
      <c r="O28" s="398" t="s">
        <v>20</v>
      </c>
      <c r="P28" s="399">
        <f>SUMIF($D$8:$D$55,$O28,$G$8:$G$55)+SUMIF($F$8:$F$55,$O28,$I$8:$I$55)</f>
        <v>2</v>
      </c>
      <c r="Q28" s="399">
        <f>SUMIF($D$8:$D$55,$O28,$I$8:$I$55)+SUMIF($F$8:$F$55,$O28,$G$8:$G$55)</f>
        <v>7</v>
      </c>
      <c r="R28" s="399">
        <f>P28-Q28</f>
        <v>-5</v>
      </c>
      <c r="S28" s="400">
        <f>SUMIF($D$8:$D$55,$O28,$K$8:$K$55)+SUMIF($F$8:$F$55,$O28,$L$8:$L$55)</f>
        <v>0</v>
      </c>
      <c r="T28" s="445" t="s">
        <v>65</v>
      </c>
      <c r="U28" s="40"/>
      <c r="V28" s="40" t="str">
        <f>O28</f>
        <v>Costa Rica</v>
      </c>
      <c r="W28" s="40" t="s">
        <v>63</v>
      </c>
      <c r="Y28" s="109">
        <f t="shared" si="8"/>
        <v>1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1</v>
      </c>
      <c r="AG28" s="108">
        <f t="shared" si="0"/>
        <v>0</v>
      </c>
      <c r="AH28" s="108">
        <f t="shared" si="1"/>
        <v>1</v>
      </c>
      <c r="AI28" s="108">
        <f t="shared" si="10"/>
        <v>0</v>
      </c>
      <c r="AJ28" s="108">
        <f t="shared" si="2"/>
        <v>0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1</v>
      </c>
      <c r="H29" s="373" t="s">
        <v>9</v>
      </c>
      <c r="I29" s="441">
        <v>2</v>
      </c>
      <c r="J29" s="375">
        <f t="shared" si="5"/>
        <v>2</v>
      </c>
      <c r="K29" s="363">
        <f t="shared" si="6"/>
        <v>0</v>
      </c>
      <c r="L29" s="363">
        <f t="shared" si="7"/>
        <v>3</v>
      </c>
      <c r="M29" s="352"/>
      <c r="N29" s="352"/>
      <c r="O29" s="398" t="s">
        <v>21</v>
      </c>
      <c r="P29" s="399">
        <f>SUMIF($D$8:$D$55,$O29,$G$8:$G$55)+SUMIF($F$8:$F$55,$O29,$I$8:$I$55)</f>
        <v>5</v>
      </c>
      <c r="Q29" s="399">
        <f>SUMIF($D$8:$D$55,$O29,$I$8:$I$55)+SUMIF($F$8:$F$55,$O29,$G$8:$G$55)</f>
        <v>3</v>
      </c>
      <c r="R29" s="399">
        <f>P29-Q29</f>
        <v>2</v>
      </c>
      <c r="S29" s="400">
        <f>SUMIF($D$8:$D$55,$O29,$K$8:$K$55)+SUMIF($F$8:$F$55,$O29,$L$8:$L$55)</f>
        <v>7</v>
      </c>
      <c r="T29" s="445" t="s">
        <v>62</v>
      </c>
      <c r="U29" s="40"/>
      <c r="V29" s="40" t="str">
        <f>O29</f>
        <v>Engeland</v>
      </c>
      <c r="W29" s="40" t="s">
        <v>64</v>
      </c>
      <c r="Y29" s="109">
        <f t="shared" si="8"/>
        <v>0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0</v>
      </c>
      <c r="AG29" s="108">
        <f t="shared" si="0"/>
        <v>0</v>
      </c>
      <c r="AH29" s="108">
        <f t="shared" si="1"/>
        <v>0</v>
      </c>
      <c r="AI29" s="108">
        <f t="shared" si="10"/>
        <v>0</v>
      </c>
      <c r="AJ29" s="108">
        <f t="shared" si="2"/>
        <v>0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0</v>
      </c>
      <c r="H30" s="379" t="s">
        <v>9</v>
      </c>
      <c r="I30" s="442">
        <v>2</v>
      </c>
      <c r="J30" s="381">
        <f t="shared" si="5"/>
        <v>2</v>
      </c>
      <c r="K30" s="363">
        <f t="shared" si="6"/>
        <v>0</v>
      </c>
      <c r="L30" s="363">
        <f t="shared" si="7"/>
        <v>3</v>
      </c>
      <c r="M30" s="352"/>
      <c r="N30" s="352"/>
      <c r="O30" s="401" t="s">
        <v>22</v>
      </c>
      <c r="P30" s="402">
        <f>SUMIF($D$8:$D$55,$O30,$G$8:$G$55)+SUMIF($F$8:$F$55,$O30,$I$8:$I$55)</f>
        <v>5</v>
      </c>
      <c r="Q30" s="402">
        <f>SUMIF($D$8:$D$55,$O30,$I$8:$I$55)+SUMIF($F$8:$F$55,$O30,$G$8:$G$55)</f>
        <v>3</v>
      </c>
      <c r="R30" s="402">
        <f>P30-Q30</f>
        <v>2</v>
      </c>
      <c r="S30" s="403">
        <f>SUMIF($D$8:$D$55,$O30,$K$8:$K$55)+SUMIF($F$8:$F$55,$O30,$L$8:$L$55)</f>
        <v>5</v>
      </c>
      <c r="T30" s="446" t="s">
        <v>63</v>
      </c>
      <c r="U30" s="40"/>
      <c r="V30" s="40" t="str">
        <f>O30</f>
        <v>Italië</v>
      </c>
      <c r="W30" s="40" t="s">
        <v>65</v>
      </c>
      <c r="Y30" s="109">
        <f t="shared" si="8"/>
        <v>1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1</v>
      </c>
      <c r="AG30" s="108">
        <f t="shared" si="0"/>
        <v>1</v>
      </c>
      <c r="AH30" s="108">
        <f t="shared" si="1"/>
        <v>0</v>
      </c>
      <c r="AI30" s="108">
        <f t="shared" si="10"/>
        <v>0</v>
      </c>
      <c r="AJ30" s="108">
        <f t="shared" si="2"/>
        <v>0</v>
      </c>
      <c r="AK30" s="108">
        <f t="shared" si="3"/>
        <v>0</v>
      </c>
      <c r="AL30" s="108">
        <f t="shared" si="4"/>
        <v>0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3</v>
      </c>
      <c r="H31" s="367" t="s">
        <v>9</v>
      </c>
      <c r="I31" s="440">
        <v>1</v>
      </c>
      <c r="J31" s="369">
        <f t="shared" si="5"/>
        <v>1</v>
      </c>
      <c r="K31" s="363">
        <f t="shared" si="6"/>
        <v>3</v>
      </c>
      <c r="L31" s="363">
        <f t="shared" si="7"/>
        <v>0</v>
      </c>
      <c r="M31" s="352"/>
      <c r="N31" s="352"/>
      <c r="O31" s="392"/>
      <c r="P31" s="393"/>
      <c r="Q31" s="393"/>
      <c r="R31" s="393"/>
      <c r="S31" s="393"/>
      <c r="T31" s="393"/>
      <c r="U31" s="40"/>
      <c r="V31" s="40"/>
      <c r="W31" s="40"/>
      <c r="Y31" s="109">
        <f t="shared" si="8"/>
        <v>1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1</v>
      </c>
      <c r="AG31" s="108">
        <f t="shared" si="0"/>
        <v>0</v>
      </c>
      <c r="AH31" s="108">
        <f t="shared" si="1"/>
        <v>1</v>
      </c>
      <c r="AI31" s="108">
        <f t="shared" si="10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40"/>
      <c r="AO31" s="41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0</v>
      </c>
      <c r="H32" s="373" t="s">
        <v>9</v>
      </c>
      <c r="I32" s="441">
        <v>2</v>
      </c>
      <c r="J32" s="375">
        <f t="shared" si="5"/>
        <v>2</v>
      </c>
      <c r="K32" s="363">
        <f t="shared" si="6"/>
        <v>0</v>
      </c>
      <c r="L32" s="363">
        <f t="shared" si="7"/>
        <v>3</v>
      </c>
      <c r="M32" s="352"/>
      <c r="N32" s="352"/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40"/>
      <c r="V32" s="40"/>
      <c r="W32" s="40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0"/>
        <v>0</v>
      </c>
      <c r="AH32" s="108">
        <f t="shared" si="1"/>
        <v>0</v>
      </c>
      <c r="AI32" s="108">
        <f t="shared" si="10"/>
        <v>0</v>
      </c>
      <c r="AJ32" s="108">
        <f t="shared" si="2"/>
        <v>0</v>
      </c>
      <c r="AK32" s="108">
        <f t="shared" si="3"/>
        <v>5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0</v>
      </c>
      <c r="H33" s="379" t="s">
        <v>9</v>
      </c>
      <c r="I33" s="442">
        <v>2</v>
      </c>
      <c r="J33" s="381">
        <f t="shared" si="5"/>
        <v>2</v>
      </c>
      <c r="K33" s="363">
        <f t="shared" si="6"/>
        <v>0</v>
      </c>
      <c r="L33" s="363">
        <f t="shared" si="7"/>
        <v>3</v>
      </c>
      <c r="M33" s="352"/>
      <c r="N33" s="352"/>
      <c r="O33" s="394" t="s">
        <v>25</v>
      </c>
      <c r="P33" s="395">
        <f>SUMIF($D$8:$D$55,$O33,$G$8:$G$55)+SUMIF($F$8:$F$55,$O33,$I$8:$I$55)</f>
        <v>2</v>
      </c>
      <c r="Q33" s="395">
        <f>SUMIF($D$8:$D$55,$O33,$I$8:$I$55)+SUMIF($F$8:$F$55,$O33,$G$8:$G$55)</f>
        <v>3</v>
      </c>
      <c r="R33" s="396">
        <f>P33-Q33</f>
        <v>-1</v>
      </c>
      <c r="S33" s="397">
        <f>SUMIF($D$8:$D$55,$O33,$K$8:$K$55)+SUMIF($F$8:$F$55,$O33,$L$8:$L$55)</f>
        <v>4</v>
      </c>
      <c r="T33" s="444" t="s">
        <v>69</v>
      </c>
      <c r="U33" s="40"/>
      <c r="V33" s="40" t="str">
        <f>O33</f>
        <v>Zwitserland</v>
      </c>
      <c r="W33" s="40" t="s">
        <v>67</v>
      </c>
      <c r="Y33" s="109">
        <f t="shared" si="8"/>
        <v>6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6</v>
      </c>
      <c r="AG33" s="108">
        <f t="shared" si="0"/>
        <v>0</v>
      </c>
      <c r="AH33" s="108">
        <f t="shared" si="1"/>
        <v>1</v>
      </c>
      <c r="AI33" s="108">
        <f t="shared" si="10"/>
        <v>0</v>
      </c>
      <c r="AJ33" s="108">
        <f t="shared" si="2"/>
        <v>0</v>
      </c>
      <c r="AK33" s="108">
        <f t="shared" si="3"/>
        <v>5</v>
      </c>
      <c r="AL33" s="108">
        <f t="shared" si="4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3</v>
      </c>
      <c r="H34" s="367" t="s">
        <v>9</v>
      </c>
      <c r="I34" s="440">
        <v>1</v>
      </c>
      <c r="J34" s="369">
        <f t="shared" si="5"/>
        <v>1</v>
      </c>
      <c r="K34" s="363">
        <f t="shared" si="6"/>
        <v>3</v>
      </c>
      <c r="L34" s="363">
        <f t="shared" si="7"/>
        <v>0</v>
      </c>
      <c r="M34" s="352"/>
      <c r="N34" s="352"/>
      <c r="O34" s="398" t="s">
        <v>26</v>
      </c>
      <c r="P34" s="399">
        <f>SUMIF($D$8:$D$55,$O34,$G$8:$G$55)+SUMIF($F$8:$F$55,$O34,$I$8:$I$55)</f>
        <v>3</v>
      </c>
      <c r="Q34" s="399">
        <f>SUMIF($D$8:$D$55,$O34,$I$8:$I$55)+SUMIF($F$8:$F$55,$O34,$G$8:$G$55)</f>
        <v>3</v>
      </c>
      <c r="R34" s="399">
        <f>P34-Q34</f>
        <v>0</v>
      </c>
      <c r="S34" s="400">
        <f>SUMIF($D$8:$D$55,$O34,$K$8:$K$55)+SUMIF($F$8:$F$55,$O34,$L$8:$L$55)</f>
        <v>4</v>
      </c>
      <c r="T34" s="445" t="s">
        <v>68</v>
      </c>
      <c r="U34" s="40"/>
      <c r="V34" s="40" t="str">
        <f>O34</f>
        <v>Ecuador</v>
      </c>
      <c r="W34" s="40" t="s">
        <v>68</v>
      </c>
      <c r="Y34" s="109">
        <f t="shared" si="8"/>
        <v>5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5</v>
      </c>
      <c r="AG34" s="108">
        <f t="shared" si="0"/>
        <v>0</v>
      </c>
      <c r="AH34" s="108">
        <f t="shared" si="1"/>
        <v>0</v>
      </c>
      <c r="AI34" s="108">
        <f t="shared" si="10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2</v>
      </c>
      <c r="H35" s="373" t="s">
        <v>9</v>
      </c>
      <c r="I35" s="441">
        <v>0</v>
      </c>
      <c r="J35" s="375">
        <f t="shared" si="5"/>
        <v>1</v>
      </c>
      <c r="K35" s="363">
        <f t="shared" si="6"/>
        <v>3</v>
      </c>
      <c r="L35" s="363">
        <f t="shared" si="7"/>
        <v>0</v>
      </c>
      <c r="M35" s="352"/>
      <c r="N35" s="352"/>
      <c r="O35" s="398" t="s">
        <v>27</v>
      </c>
      <c r="P35" s="399">
        <f>SUMIF($D$8:$D$55,$O35,$G$8:$G$55)+SUMIF($F$8:$F$55,$O35,$I$8:$I$55)</f>
        <v>7</v>
      </c>
      <c r="Q35" s="399">
        <f>SUMIF($D$8:$D$55,$O35,$I$8:$I$55)+SUMIF($F$8:$F$55,$O35,$G$8:$G$55)</f>
        <v>1</v>
      </c>
      <c r="R35" s="399">
        <f>P35-Q35</f>
        <v>6</v>
      </c>
      <c r="S35" s="400">
        <f>SUMIF($D$8:$D$55,$O35,$K$8:$K$55)+SUMIF($F$8:$F$55,$O35,$L$8:$L$55)</f>
        <v>9</v>
      </c>
      <c r="T35" s="445" t="s">
        <v>67</v>
      </c>
      <c r="U35" s="40"/>
      <c r="V35" s="40" t="str">
        <f>O35</f>
        <v>Frankrijk</v>
      </c>
      <c r="W35" s="40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0"/>
        <v>1</v>
      </c>
      <c r="AH35" s="108">
        <f t="shared" si="1"/>
        <v>0</v>
      </c>
      <c r="AI35" s="108">
        <f t="shared" si="10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2</v>
      </c>
      <c r="H36" s="379" t="s">
        <v>9</v>
      </c>
      <c r="I36" s="442">
        <v>1</v>
      </c>
      <c r="J36" s="381">
        <f t="shared" si="5"/>
        <v>1</v>
      </c>
      <c r="K36" s="363">
        <f t="shared" si="6"/>
        <v>3</v>
      </c>
      <c r="L36" s="363">
        <f t="shared" si="7"/>
        <v>0</v>
      </c>
      <c r="M36" s="352"/>
      <c r="N36" s="352"/>
      <c r="O36" s="401" t="s">
        <v>28</v>
      </c>
      <c r="P36" s="402">
        <f>SUMIF($D$8:$D$55,$O36,$G$8:$G$55)+SUMIF($F$8:$F$55,$O36,$I$8:$I$55)</f>
        <v>1</v>
      </c>
      <c r="Q36" s="402">
        <f>SUMIF($D$8:$D$55,$O36,$I$8:$I$55)+SUMIF($F$8:$F$55,$O36,$G$8:$G$55)</f>
        <v>6</v>
      </c>
      <c r="R36" s="402">
        <f>P36-Q36</f>
        <v>-5</v>
      </c>
      <c r="S36" s="403">
        <f>SUMIF($D$8:$D$55,$O36,$K$8:$K$55)+SUMIF($F$8:$F$55,$O36,$L$8:$L$55)</f>
        <v>0</v>
      </c>
      <c r="T36" s="446" t="s">
        <v>70</v>
      </c>
      <c r="U36" s="40"/>
      <c r="V36" s="40" t="str">
        <f>O36</f>
        <v>Honduras</v>
      </c>
      <c r="W36" s="40" t="s">
        <v>70</v>
      </c>
      <c r="Y36" s="109">
        <f t="shared" si="8"/>
        <v>5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5</v>
      </c>
      <c r="AG36" s="108">
        <f t="shared" si="0"/>
        <v>0</v>
      </c>
      <c r="AH36" s="108">
        <f t="shared" si="1"/>
        <v>0</v>
      </c>
      <c r="AI36" s="108">
        <f t="shared" si="10"/>
        <v>0</v>
      </c>
      <c r="AJ36" s="108">
        <f t="shared" si="2"/>
        <v>5</v>
      </c>
      <c r="AK36" s="108">
        <f t="shared" si="3"/>
        <v>0</v>
      </c>
      <c r="AL36" s="108">
        <f t="shared" si="4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2</v>
      </c>
      <c r="H37" s="367" t="s">
        <v>9</v>
      </c>
      <c r="I37" s="440">
        <v>1</v>
      </c>
      <c r="J37" s="369">
        <f t="shared" si="5"/>
        <v>1</v>
      </c>
      <c r="K37" s="363">
        <f t="shared" si="6"/>
        <v>3</v>
      </c>
      <c r="L37" s="363">
        <f t="shared" si="7"/>
        <v>0</v>
      </c>
      <c r="M37" s="352"/>
      <c r="N37" s="352"/>
      <c r="O37" s="392"/>
      <c r="P37" s="393"/>
      <c r="Q37" s="393"/>
      <c r="R37" s="393"/>
      <c r="S37" s="393"/>
      <c r="T37" s="393"/>
      <c r="U37" s="40"/>
      <c r="V37" s="40"/>
      <c r="W37" s="40"/>
      <c r="Y37" s="109">
        <f t="shared" si="8"/>
        <v>5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5</v>
      </c>
      <c r="AG37" s="108">
        <f t="shared" si="0"/>
        <v>0</v>
      </c>
      <c r="AH37" s="108">
        <f t="shared" si="1"/>
        <v>0</v>
      </c>
      <c r="AI37" s="108">
        <f t="shared" si="10"/>
        <v>0</v>
      </c>
      <c r="AJ37" s="108">
        <f t="shared" si="2"/>
        <v>5</v>
      </c>
      <c r="AK37" s="108">
        <f t="shared" si="3"/>
        <v>0</v>
      </c>
      <c r="AL37" s="108">
        <f t="shared" si="4"/>
        <v>0</v>
      </c>
      <c r="AN37" s="40"/>
      <c r="AO37" s="41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2</v>
      </c>
      <c r="H38" s="373" t="s">
        <v>9</v>
      </c>
      <c r="I38" s="441">
        <v>2</v>
      </c>
      <c r="J38" s="375">
        <f t="shared" si="5"/>
        <v>3</v>
      </c>
      <c r="K38" s="363">
        <f t="shared" si="6"/>
        <v>1</v>
      </c>
      <c r="L38" s="363">
        <f t="shared" si="7"/>
        <v>1</v>
      </c>
      <c r="M38" s="352"/>
      <c r="N38" s="352"/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40"/>
      <c r="V38" s="40"/>
      <c r="W38" s="40"/>
      <c r="Y38" s="109">
        <f t="shared" si="8"/>
        <v>1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1</v>
      </c>
      <c r="AG38" s="108">
        <f t="shared" si="0"/>
        <v>1</v>
      </c>
      <c r="AH38" s="108">
        <f t="shared" si="1"/>
        <v>0</v>
      </c>
      <c r="AI38" s="108">
        <f t="shared" si="10"/>
        <v>0</v>
      </c>
      <c r="AJ38" s="108">
        <f t="shared" si="2"/>
        <v>0</v>
      </c>
      <c r="AK38" s="108">
        <f t="shared" si="3"/>
        <v>0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0</v>
      </c>
      <c r="H39" s="379" t="s">
        <v>9</v>
      </c>
      <c r="I39" s="442">
        <v>2</v>
      </c>
      <c r="J39" s="381">
        <f t="shared" si="5"/>
        <v>2</v>
      </c>
      <c r="K39" s="363">
        <f t="shared" si="6"/>
        <v>0</v>
      </c>
      <c r="L39" s="363">
        <f t="shared" si="7"/>
        <v>3</v>
      </c>
      <c r="M39" s="352"/>
      <c r="N39" s="352"/>
      <c r="O39" s="394" t="s">
        <v>29</v>
      </c>
      <c r="P39" s="395">
        <f>SUMIF($D$8:$D$55,$O39,$G$8:$G$55)+SUMIF($F$8:$F$55,$O39,$I$8:$I$55)</f>
        <v>9</v>
      </c>
      <c r="Q39" s="395">
        <f>SUMIF($D$8:$D$55,$O39,$I$8:$I$55)+SUMIF($F$8:$F$55,$O39,$G$8:$G$55)</f>
        <v>1</v>
      </c>
      <c r="R39" s="396">
        <f>P39-Q39</f>
        <v>8</v>
      </c>
      <c r="S39" s="397">
        <f>SUMIF($D$8:$D$55,$O39,$K$8:$K$55)+SUMIF($F$8:$F$55,$O39,$L$8:$L$55)</f>
        <v>9</v>
      </c>
      <c r="T39" s="444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1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1</v>
      </c>
      <c r="AG39" s="108">
        <f t="shared" si="0"/>
        <v>0</v>
      </c>
      <c r="AH39" s="108">
        <f t="shared" si="1"/>
        <v>1</v>
      </c>
      <c r="AI39" s="108">
        <f t="shared" si="10"/>
        <v>0</v>
      </c>
      <c r="AJ39" s="108">
        <f t="shared" si="2"/>
        <v>0</v>
      </c>
      <c r="AK39" s="108">
        <f t="shared" si="3"/>
        <v>0</v>
      </c>
      <c r="AL39" s="108">
        <f t="shared" si="4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1</v>
      </c>
      <c r="H40" s="367" t="s">
        <v>9</v>
      </c>
      <c r="I40" s="440">
        <v>2</v>
      </c>
      <c r="J40" s="369">
        <f t="shared" si="5"/>
        <v>2</v>
      </c>
      <c r="K40" s="363">
        <f t="shared" si="6"/>
        <v>0</v>
      </c>
      <c r="L40" s="363">
        <f t="shared" si="7"/>
        <v>3</v>
      </c>
      <c r="M40" s="352"/>
      <c r="N40" s="352"/>
      <c r="O40" s="398" t="s">
        <v>30</v>
      </c>
      <c r="P40" s="399">
        <f>SUMIF($D$8:$D$55,$O40,$G$8:$G$55)+SUMIF($F$8:$F$55,$O40,$I$8:$I$55)</f>
        <v>3</v>
      </c>
      <c r="Q40" s="399">
        <f>SUMIF($D$8:$D$55,$O40,$I$8:$I$55)+SUMIF($F$8:$F$55,$O40,$G$8:$G$55)</f>
        <v>5</v>
      </c>
      <c r="R40" s="399">
        <f>P40-Q40</f>
        <v>-2</v>
      </c>
      <c r="S40" s="400">
        <f>SUMIF($D$8:$D$55,$O40,$K$8:$K$55)+SUMIF($F$8:$F$55,$O40,$L$8:$L$55)</f>
        <v>3</v>
      </c>
      <c r="T40" s="445" t="s">
        <v>74</v>
      </c>
      <c r="U40" s="40"/>
      <c r="V40" s="40" t="str">
        <f>O40</f>
        <v>Bosnië H.</v>
      </c>
      <c r="W40" s="40" t="s">
        <v>73</v>
      </c>
      <c r="Y40" s="109">
        <f t="shared" si="8"/>
        <v>5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5</v>
      </c>
      <c r="AG40" s="108">
        <f t="shared" si="0"/>
        <v>0</v>
      </c>
      <c r="AH40" s="108">
        <f t="shared" si="1"/>
        <v>0</v>
      </c>
      <c r="AI40" s="108">
        <f t="shared" si="10"/>
        <v>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3</v>
      </c>
      <c r="H41" s="373" t="s">
        <v>9</v>
      </c>
      <c r="I41" s="441">
        <v>1</v>
      </c>
      <c r="J41" s="375">
        <f t="shared" si="5"/>
        <v>1</v>
      </c>
      <c r="K41" s="363">
        <f t="shared" si="6"/>
        <v>3</v>
      </c>
      <c r="L41" s="363">
        <f t="shared" si="7"/>
        <v>0</v>
      </c>
      <c r="M41" s="352"/>
      <c r="N41" s="352"/>
      <c r="O41" s="398" t="s">
        <v>33</v>
      </c>
      <c r="P41" s="399">
        <f>SUMIF($D$8:$D$55,$O41,$G$8:$G$55)+SUMIF($F$8:$F$55,$O41,$I$8:$I$55)</f>
        <v>1</v>
      </c>
      <c r="Q41" s="399">
        <f>SUMIF($D$8:$D$55,$O41,$I$8:$I$55)+SUMIF($F$8:$F$55,$O41,$G$8:$G$55)</f>
        <v>6</v>
      </c>
      <c r="R41" s="399">
        <f>P41-Q41</f>
        <v>-5</v>
      </c>
      <c r="S41" s="400">
        <f>SUMIF($D$8:$D$55,$O41,$K$8:$K$55)+SUMIF($F$8:$F$55,$O41,$L$8:$L$55)</f>
        <v>0</v>
      </c>
      <c r="T41" s="445" t="s">
        <v>75</v>
      </c>
      <c r="U41" s="40"/>
      <c r="V41" s="40" t="str">
        <f>O41</f>
        <v>Iran</v>
      </c>
      <c r="W41" s="40" t="s">
        <v>74</v>
      </c>
      <c r="Y41" s="109">
        <f t="shared" si="8"/>
        <v>5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5</v>
      </c>
      <c r="AG41" s="108">
        <f t="shared" si="0"/>
        <v>0</v>
      </c>
      <c r="AH41" s="108">
        <f t="shared" si="1"/>
        <v>0</v>
      </c>
      <c r="AI41" s="108">
        <f t="shared" si="10"/>
        <v>0</v>
      </c>
      <c r="AJ41" s="108">
        <f t="shared" si="2"/>
        <v>5</v>
      </c>
      <c r="AK41" s="108">
        <f t="shared" si="3"/>
        <v>0</v>
      </c>
      <c r="AL41" s="108">
        <f t="shared" si="4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0</v>
      </c>
      <c r="H42" s="373" t="s">
        <v>9</v>
      </c>
      <c r="I42" s="441">
        <v>2</v>
      </c>
      <c r="J42" s="375">
        <f t="shared" si="5"/>
        <v>2</v>
      </c>
      <c r="K42" s="363">
        <f t="shared" si="6"/>
        <v>0</v>
      </c>
      <c r="L42" s="363">
        <f t="shared" si="7"/>
        <v>3</v>
      </c>
      <c r="M42" s="352"/>
      <c r="N42" s="352"/>
      <c r="O42" s="401" t="s">
        <v>34</v>
      </c>
      <c r="P42" s="402">
        <f>SUMIF($D$8:$D$55,$O42,$G$8:$G$55)+SUMIF($F$8:$F$55,$O42,$I$8:$I$55)</f>
        <v>3</v>
      </c>
      <c r="Q42" s="402">
        <f>SUMIF($D$8:$D$55,$O42,$I$8:$I$55)+SUMIF($F$8:$F$55,$O42,$G$8:$G$55)</f>
        <v>4</v>
      </c>
      <c r="R42" s="402">
        <f>P42-Q42</f>
        <v>-1</v>
      </c>
      <c r="S42" s="403">
        <f>SUMIF($D$8:$D$55,$O42,$K$8:$K$55)+SUMIF($F$8:$F$55,$O42,$L$8:$L$55)</f>
        <v>6</v>
      </c>
      <c r="T42" s="446" t="s">
        <v>73</v>
      </c>
      <c r="U42" s="40"/>
      <c r="V42" s="40" t="str">
        <f>O42</f>
        <v>Nigeria</v>
      </c>
      <c r="W42" s="40" t="s">
        <v>75</v>
      </c>
      <c r="Y42" s="109">
        <f t="shared" si="8"/>
        <v>5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5</v>
      </c>
      <c r="AG42" s="108">
        <f t="shared" si="0"/>
        <v>0</v>
      </c>
      <c r="AH42" s="108">
        <f t="shared" si="1"/>
        <v>0</v>
      </c>
      <c r="AI42" s="108">
        <f t="shared" si="10"/>
        <v>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2</v>
      </c>
      <c r="H43" s="379" t="s">
        <v>9</v>
      </c>
      <c r="I43" s="442">
        <v>1</v>
      </c>
      <c r="J43" s="381">
        <f t="shared" si="5"/>
        <v>1</v>
      </c>
      <c r="K43" s="363">
        <f t="shared" si="6"/>
        <v>3</v>
      </c>
      <c r="L43" s="363">
        <f t="shared" si="7"/>
        <v>0</v>
      </c>
      <c r="M43" s="352"/>
      <c r="N43" s="352"/>
      <c r="O43" s="392"/>
      <c r="P43" s="393"/>
      <c r="Q43" s="393"/>
      <c r="R43" s="393"/>
      <c r="S43" s="393"/>
      <c r="T43" s="393"/>
      <c r="U43" s="40"/>
      <c r="V43" s="40"/>
      <c r="W43" s="40"/>
      <c r="Y43" s="109">
        <f t="shared" si="8"/>
        <v>0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0</v>
      </c>
      <c r="AG43" s="108">
        <f t="shared" si="0"/>
        <v>0</v>
      </c>
      <c r="AH43" s="108">
        <f t="shared" si="1"/>
        <v>0</v>
      </c>
      <c r="AI43" s="108">
        <f t="shared" si="10"/>
        <v>0</v>
      </c>
      <c r="AJ43" s="108">
        <f t="shared" si="2"/>
        <v>0</v>
      </c>
      <c r="AK43" s="108">
        <f t="shared" si="3"/>
        <v>0</v>
      </c>
      <c r="AL43" s="108">
        <f t="shared" si="4"/>
        <v>0</v>
      </c>
      <c r="AN43" s="40"/>
      <c r="AO43" s="41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1</v>
      </c>
      <c r="H44" s="367" t="s">
        <v>9</v>
      </c>
      <c r="I44" s="440">
        <v>1</v>
      </c>
      <c r="J44" s="369">
        <f t="shared" si="5"/>
        <v>3</v>
      </c>
      <c r="K44" s="363">
        <f t="shared" si="6"/>
        <v>1</v>
      </c>
      <c r="L44" s="363">
        <f t="shared" si="7"/>
        <v>1</v>
      </c>
      <c r="M44" s="352"/>
      <c r="N44" s="352"/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40"/>
      <c r="V44" s="40"/>
      <c r="W44" s="40"/>
      <c r="Y44" s="109">
        <f t="shared" si="8"/>
        <v>1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1</v>
      </c>
      <c r="AG44" s="108">
        <f t="shared" si="0"/>
        <v>0</v>
      </c>
      <c r="AH44" s="108">
        <f t="shared" si="1"/>
        <v>1</v>
      </c>
      <c r="AI44" s="108">
        <f t="shared" si="10"/>
        <v>0</v>
      </c>
      <c r="AJ44" s="108">
        <f t="shared" si="2"/>
        <v>0</v>
      </c>
      <c r="AK44" s="108">
        <f t="shared" si="3"/>
        <v>0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1</v>
      </c>
      <c r="H45" s="373" t="s">
        <v>9</v>
      </c>
      <c r="I45" s="441">
        <v>2</v>
      </c>
      <c r="J45" s="375">
        <f t="shared" si="5"/>
        <v>2</v>
      </c>
      <c r="K45" s="363">
        <f t="shared" si="6"/>
        <v>0</v>
      </c>
      <c r="L45" s="363">
        <f t="shared" si="7"/>
        <v>3</v>
      </c>
      <c r="M45" s="352"/>
      <c r="N45" s="352"/>
      <c r="O45" s="394" t="s">
        <v>31</v>
      </c>
      <c r="P45" s="395">
        <f>SUMIF($D$8:$D$55,$O45,$G$8:$G$55)+SUMIF($F$8:$F$55,$O45,$I$8:$I$55)</f>
        <v>6</v>
      </c>
      <c r="Q45" s="395">
        <f>SUMIF($D$8:$D$55,$O45,$I$8:$I$55)+SUMIF($F$8:$F$55,$O45,$G$8:$G$55)</f>
        <v>2</v>
      </c>
      <c r="R45" s="396">
        <f>P45-Q45</f>
        <v>4</v>
      </c>
      <c r="S45" s="397">
        <f>SUMIF($D$8:$D$55,$O45,$K$8:$K$55)+SUMIF($F$8:$F$55,$O45,$L$8:$L$55)</f>
        <v>7</v>
      </c>
      <c r="T45" s="444" t="s">
        <v>77</v>
      </c>
      <c r="U45" s="40"/>
      <c r="V45" s="40" t="str">
        <f>O45</f>
        <v>Duitsland</v>
      </c>
      <c r="W45" s="40" t="s">
        <v>77</v>
      </c>
      <c r="Y45" s="109">
        <f t="shared" si="8"/>
        <v>0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0</v>
      </c>
      <c r="AG45" s="108">
        <f t="shared" si="0"/>
        <v>0</v>
      </c>
      <c r="AH45" s="108">
        <f t="shared" si="1"/>
        <v>0</v>
      </c>
      <c r="AI45" s="108">
        <f t="shared" si="10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2</v>
      </c>
      <c r="H46" s="373" t="s">
        <v>9</v>
      </c>
      <c r="I46" s="441">
        <v>2</v>
      </c>
      <c r="J46" s="375">
        <f t="shared" si="5"/>
        <v>3</v>
      </c>
      <c r="K46" s="363">
        <f t="shared" si="6"/>
        <v>1</v>
      </c>
      <c r="L46" s="363">
        <f t="shared" si="7"/>
        <v>1</v>
      </c>
      <c r="M46" s="352"/>
      <c r="N46" s="352"/>
      <c r="O46" s="398" t="s">
        <v>32</v>
      </c>
      <c r="P46" s="399">
        <f>SUMIF($D$8:$D$55,$O46,$G$8:$G$55)+SUMIF($F$8:$F$55,$O46,$I$8:$I$55)</f>
        <v>5</v>
      </c>
      <c r="Q46" s="399">
        <f>SUMIF($D$8:$D$55,$O46,$I$8:$I$55)+SUMIF($F$8:$F$55,$O46,$G$8:$G$55)</f>
        <v>2</v>
      </c>
      <c r="R46" s="399">
        <f>P46-Q46</f>
        <v>3</v>
      </c>
      <c r="S46" s="400">
        <f>SUMIF($D$8:$D$55,$O46,$K$8:$K$55)+SUMIF($F$8:$F$55,$O46,$L$8:$L$55)</f>
        <v>7</v>
      </c>
      <c r="T46" s="445" t="s">
        <v>78</v>
      </c>
      <c r="U46" s="40"/>
      <c r="V46" s="40" t="str">
        <f>O46</f>
        <v>Portugal</v>
      </c>
      <c r="W46" s="40" t="s">
        <v>78</v>
      </c>
      <c r="Y46" s="109">
        <f t="shared" si="8"/>
        <v>0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0</v>
      </c>
      <c r="AG46" s="108">
        <f t="shared" si="0"/>
        <v>0</v>
      </c>
      <c r="AH46" s="108">
        <f t="shared" si="1"/>
        <v>0</v>
      </c>
      <c r="AI46" s="108">
        <f t="shared" si="10"/>
        <v>0</v>
      </c>
      <c r="AJ46" s="108">
        <f t="shared" si="2"/>
        <v>0</v>
      </c>
      <c r="AK46" s="108">
        <f t="shared" si="3"/>
        <v>0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1</v>
      </c>
      <c r="H47" s="379" t="s">
        <v>9</v>
      </c>
      <c r="I47" s="442">
        <v>2</v>
      </c>
      <c r="J47" s="381">
        <f t="shared" si="5"/>
        <v>2</v>
      </c>
      <c r="K47" s="363">
        <f t="shared" si="6"/>
        <v>0</v>
      </c>
      <c r="L47" s="363">
        <f t="shared" si="7"/>
        <v>3</v>
      </c>
      <c r="M47" s="352"/>
      <c r="N47" s="352"/>
      <c r="O47" s="398" t="s">
        <v>35</v>
      </c>
      <c r="P47" s="399">
        <f>SUMIF($D$8:$D$55,$O47,$G$8:$G$55)+SUMIF($F$8:$F$55,$O47,$I$8:$I$55)</f>
        <v>3</v>
      </c>
      <c r="Q47" s="399">
        <f>SUMIF($D$8:$D$55,$O47,$I$8:$I$55)+SUMIF($F$8:$F$55,$O47,$G$8:$G$55)</f>
        <v>4</v>
      </c>
      <c r="R47" s="399">
        <f>P47-Q47</f>
        <v>-1</v>
      </c>
      <c r="S47" s="400">
        <f>SUMIF($D$8:$D$55,$O47,$K$8:$K$55)+SUMIF($F$8:$F$55,$O47,$L$8:$L$55)</f>
        <v>3</v>
      </c>
      <c r="T47" s="445" t="s">
        <v>79</v>
      </c>
      <c r="U47" s="40"/>
      <c r="V47" s="40" t="str">
        <f>O47</f>
        <v>Ghana</v>
      </c>
      <c r="W47" s="40" t="s">
        <v>79</v>
      </c>
      <c r="Y47" s="109">
        <f t="shared" si="8"/>
        <v>0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0</v>
      </c>
      <c r="AG47" s="108">
        <f t="shared" si="0"/>
        <v>0</v>
      </c>
      <c r="AH47" s="108">
        <f t="shared" si="1"/>
        <v>0</v>
      </c>
      <c r="AI47" s="108">
        <f t="shared" si="10"/>
        <v>0</v>
      </c>
      <c r="AJ47" s="108">
        <f t="shared" si="2"/>
        <v>0</v>
      </c>
      <c r="AK47" s="108">
        <f t="shared" si="3"/>
        <v>0</v>
      </c>
      <c r="AL47" s="108">
        <f t="shared" si="4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0</v>
      </c>
      <c r="H48" s="367" t="s">
        <v>9</v>
      </c>
      <c r="I48" s="440">
        <v>3</v>
      </c>
      <c r="J48" s="369">
        <f t="shared" si="5"/>
        <v>2</v>
      </c>
      <c r="K48" s="363">
        <f t="shared" si="6"/>
        <v>0</v>
      </c>
      <c r="L48" s="363">
        <f t="shared" si="7"/>
        <v>3</v>
      </c>
      <c r="M48" s="352"/>
      <c r="N48" s="352"/>
      <c r="O48" s="401" t="s">
        <v>36</v>
      </c>
      <c r="P48" s="402">
        <f>SUMIF($D$8:$D$55,$O48,$G$8:$G$55)+SUMIF($F$8:$F$55,$O48,$I$8:$I$55)</f>
        <v>1</v>
      </c>
      <c r="Q48" s="402">
        <f>SUMIF($D$8:$D$55,$O48,$I$8:$I$55)+SUMIF($F$8:$F$55,$O48,$G$8:$G$55)</f>
        <v>7</v>
      </c>
      <c r="R48" s="402">
        <f>P48-Q48</f>
        <v>-6</v>
      </c>
      <c r="S48" s="403">
        <f>SUMIF($D$8:$D$55,$O48,$K$8:$K$55)+SUMIF($F$8:$F$55,$O48,$L$8:$L$55)</f>
        <v>0</v>
      </c>
      <c r="T48" s="446" t="s">
        <v>80</v>
      </c>
      <c r="U48" s="40"/>
      <c r="V48" s="40" t="str">
        <f>O48</f>
        <v>Verenigde Staten</v>
      </c>
      <c r="W48" s="40" t="s">
        <v>80</v>
      </c>
      <c r="Y48" s="109">
        <f t="shared" si="8"/>
        <v>6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6</v>
      </c>
      <c r="AG48" s="108">
        <f t="shared" si="0"/>
        <v>0</v>
      </c>
      <c r="AH48" s="108">
        <f t="shared" si="1"/>
        <v>1</v>
      </c>
      <c r="AI48" s="108">
        <f t="shared" si="10"/>
        <v>0</v>
      </c>
      <c r="AJ48" s="108">
        <f t="shared" si="2"/>
        <v>0</v>
      </c>
      <c r="AK48" s="108">
        <f t="shared" si="3"/>
        <v>5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2</v>
      </c>
      <c r="H49" s="373" t="s">
        <v>9</v>
      </c>
      <c r="I49" s="441">
        <v>0</v>
      </c>
      <c r="J49" s="375">
        <f t="shared" si="5"/>
        <v>1</v>
      </c>
      <c r="K49" s="363">
        <f t="shared" si="6"/>
        <v>3</v>
      </c>
      <c r="L49" s="363">
        <f t="shared" si="7"/>
        <v>0</v>
      </c>
      <c r="M49" s="352"/>
      <c r="N49" s="352"/>
      <c r="O49" s="392"/>
      <c r="P49" s="393"/>
      <c r="Q49" s="393"/>
      <c r="R49" s="393"/>
      <c r="S49" s="393"/>
      <c r="T49" s="393"/>
      <c r="U49" s="40"/>
      <c r="V49" s="40"/>
      <c r="W49" s="40"/>
      <c r="Y49" s="109">
        <f t="shared" si="8"/>
        <v>5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5</v>
      </c>
      <c r="AG49" s="108">
        <f t="shared" si="0"/>
        <v>0</v>
      </c>
      <c r="AH49" s="108">
        <f t="shared" si="1"/>
        <v>0</v>
      </c>
      <c r="AI49" s="108">
        <f t="shared" si="10"/>
        <v>0</v>
      </c>
      <c r="AJ49" s="108">
        <f t="shared" si="2"/>
        <v>5</v>
      </c>
      <c r="AK49" s="108">
        <f t="shared" si="3"/>
        <v>0</v>
      </c>
      <c r="AL49" s="108">
        <f t="shared" si="4"/>
        <v>0</v>
      </c>
      <c r="AN49" s="40"/>
      <c r="AO49" s="41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0</v>
      </c>
      <c r="H50" s="373" t="s">
        <v>9</v>
      </c>
      <c r="I50" s="441">
        <v>1</v>
      </c>
      <c r="J50" s="375">
        <f t="shared" si="5"/>
        <v>2</v>
      </c>
      <c r="K50" s="363">
        <f t="shared" si="6"/>
        <v>0</v>
      </c>
      <c r="L50" s="363">
        <f t="shared" si="7"/>
        <v>3</v>
      </c>
      <c r="M50" s="352"/>
      <c r="N50" s="352"/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40"/>
      <c r="V50" s="40"/>
      <c r="W50" s="40"/>
      <c r="Y50" s="109">
        <f t="shared" si="8"/>
        <v>6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6</v>
      </c>
      <c r="AG50" s="108">
        <f t="shared" si="0"/>
        <v>1</v>
      </c>
      <c r="AH50" s="108">
        <f t="shared" si="1"/>
        <v>0</v>
      </c>
      <c r="AI50" s="108">
        <f t="shared" si="10"/>
        <v>0</v>
      </c>
      <c r="AJ50" s="108">
        <f t="shared" si="2"/>
        <v>0</v>
      </c>
      <c r="AK50" s="108">
        <f t="shared" si="3"/>
        <v>5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0</v>
      </c>
      <c r="H51" s="379" t="s">
        <v>9</v>
      </c>
      <c r="I51" s="442">
        <v>2</v>
      </c>
      <c r="J51" s="381">
        <f t="shared" si="5"/>
        <v>2</v>
      </c>
      <c r="K51" s="363">
        <f t="shared" si="6"/>
        <v>0</v>
      </c>
      <c r="L51" s="363">
        <f>IF(I51="","",IF($G51&lt;$I51,3,IF($G51=$I51,1,0)))</f>
        <v>3</v>
      </c>
      <c r="M51" s="352"/>
      <c r="N51" s="352"/>
      <c r="O51" s="394" t="s">
        <v>37</v>
      </c>
      <c r="P51" s="395">
        <f>SUMIF($D$8:$D$55,$O51,$G$8:$G$55)+SUMIF($F$8:$F$55,$O51,$I$8:$I$55)</f>
        <v>8</v>
      </c>
      <c r="Q51" s="395">
        <f>SUMIF($D$8:$D$55,$O51,$I$8:$I$55)+SUMIF($F$8:$F$55,$O51,$G$8:$G$55)</f>
        <v>1</v>
      </c>
      <c r="R51" s="396">
        <f>P51-Q51</f>
        <v>7</v>
      </c>
      <c r="S51" s="397">
        <f>SUMIF($D$8:$D$55,$O51,$K$8:$K$55)+SUMIF($F$8:$F$55,$O51,$L$8:$L$55)</f>
        <v>9</v>
      </c>
      <c r="T51" s="444" t="s">
        <v>82</v>
      </c>
      <c r="U51" s="40"/>
      <c r="V51" s="40" t="str">
        <f>O51</f>
        <v>België</v>
      </c>
      <c r="W51" s="40" t="s">
        <v>82</v>
      </c>
      <c r="Y51" s="109">
        <f t="shared" si="8"/>
        <v>1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1</v>
      </c>
      <c r="AG51" s="108">
        <f t="shared" si="0"/>
        <v>1</v>
      </c>
      <c r="AH51" s="108">
        <f t="shared" si="1"/>
        <v>0</v>
      </c>
      <c r="AI51" s="108">
        <f t="shared" si="10"/>
        <v>0</v>
      </c>
      <c r="AJ51" s="108">
        <f t="shared" si="2"/>
        <v>0</v>
      </c>
      <c r="AK51" s="108">
        <f t="shared" si="3"/>
        <v>0</v>
      </c>
      <c r="AL51" s="108">
        <f t="shared" si="4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1</v>
      </c>
      <c r="H52" s="373" t="s">
        <v>9</v>
      </c>
      <c r="I52" s="441">
        <v>3</v>
      </c>
      <c r="J52" s="369">
        <f t="shared" si="5"/>
        <v>2</v>
      </c>
      <c r="K52" s="363">
        <f t="shared" si="6"/>
        <v>0</v>
      </c>
      <c r="L52" s="363">
        <f t="shared" si="7"/>
        <v>3</v>
      </c>
      <c r="M52" s="352"/>
      <c r="N52" s="352"/>
      <c r="O52" s="398" t="s">
        <v>38</v>
      </c>
      <c r="P52" s="399">
        <f>SUMIF($D$8:$D$55,$O52,$G$8:$G$55)+SUMIF($F$8:$F$55,$O52,$I$8:$I$55)</f>
        <v>3</v>
      </c>
      <c r="Q52" s="399">
        <f>SUMIF($D$8:$D$55,$O52,$I$8:$I$55)+SUMIF($F$8:$F$55,$O52,$G$8:$G$55)</f>
        <v>7</v>
      </c>
      <c r="R52" s="399">
        <f>P52-Q52</f>
        <v>-4</v>
      </c>
      <c r="S52" s="400">
        <f>SUMIF($D$8:$D$55,$O52,$K$8:$K$55)+SUMIF($F$8:$F$55,$O52,$L$8:$L$55)</f>
        <v>1</v>
      </c>
      <c r="T52" s="445" t="s">
        <v>85</v>
      </c>
      <c r="U52" s="40"/>
      <c r="V52" s="40" t="str">
        <f>O52</f>
        <v>Algerije</v>
      </c>
      <c r="W52" s="40" t="s">
        <v>83</v>
      </c>
      <c r="Y52" s="109">
        <f t="shared" si="8"/>
        <v>5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5</v>
      </c>
      <c r="AG52" s="108">
        <f t="shared" si="0"/>
        <v>0</v>
      </c>
      <c r="AH52" s="108">
        <f t="shared" si="1"/>
        <v>0</v>
      </c>
      <c r="AI52" s="108">
        <f t="shared" si="10"/>
        <v>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2</v>
      </c>
      <c r="H53" s="373" t="s">
        <v>9</v>
      </c>
      <c r="I53" s="441">
        <v>1</v>
      </c>
      <c r="J53" s="375">
        <f t="shared" si="5"/>
        <v>1</v>
      </c>
      <c r="K53" s="363">
        <f t="shared" si="6"/>
        <v>3</v>
      </c>
      <c r="L53" s="363">
        <f t="shared" si="7"/>
        <v>0</v>
      </c>
      <c r="M53" s="352"/>
      <c r="N53" s="352"/>
      <c r="O53" s="398" t="s">
        <v>39</v>
      </c>
      <c r="P53" s="399">
        <f>SUMIF($D$8:$D$55,$O53,$G$8:$G$55)+SUMIF($F$8:$F$55,$O53,$I$8:$I$55)</f>
        <v>3</v>
      </c>
      <c r="Q53" s="399">
        <f>SUMIF($D$8:$D$55,$O53,$I$8:$I$55)+SUMIF($F$8:$F$55,$O53,$G$8:$G$55)</f>
        <v>4</v>
      </c>
      <c r="R53" s="399">
        <f>P53-Q53</f>
        <v>-1</v>
      </c>
      <c r="S53" s="400">
        <f>SUMIF($D$8:$D$55,$O53,$K$8:$K$55)+SUMIF($F$8:$F$55,$O53,$L$8:$L$55)</f>
        <v>3</v>
      </c>
      <c r="T53" s="445" t="s">
        <v>84</v>
      </c>
      <c r="U53" s="40"/>
      <c r="V53" s="40" t="str">
        <f>O53</f>
        <v>Rusland</v>
      </c>
      <c r="W53" s="40" t="s">
        <v>84</v>
      </c>
      <c r="Y53" s="109">
        <f t="shared" si="8"/>
        <v>10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10</v>
      </c>
      <c r="AG53" s="108">
        <f t="shared" si="0"/>
        <v>1</v>
      </c>
      <c r="AH53" s="108">
        <f t="shared" si="1"/>
        <v>1</v>
      </c>
      <c r="AI53" s="108">
        <f t="shared" si="10"/>
        <v>10</v>
      </c>
      <c r="AJ53" s="108">
        <f t="shared" si="2"/>
        <v>5</v>
      </c>
      <c r="AK53" s="108">
        <f t="shared" si="3"/>
        <v>0</v>
      </c>
      <c r="AL53" s="108">
        <f t="shared" si="4"/>
        <v>0</v>
      </c>
      <c r="AM53" s="120">
        <f>AO53</f>
        <v>10</v>
      </c>
      <c r="AN53" s="117" t="s">
        <v>39</v>
      </c>
      <c r="AO53" s="115">
        <f>IF(Uitslag!T53="",0,IF(T53=Uitslag!T53,10,0))</f>
        <v>10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0</v>
      </c>
      <c r="H54" s="373" t="s">
        <v>9</v>
      </c>
      <c r="I54" s="441">
        <v>3</v>
      </c>
      <c r="J54" s="375">
        <f t="shared" si="5"/>
        <v>2</v>
      </c>
      <c r="K54" s="363">
        <f t="shared" si="6"/>
        <v>0</v>
      </c>
      <c r="L54" s="363">
        <f t="shared" si="7"/>
        <v>3</v>
      </c>
      <c r="M54" s="352"/>
      <c r="N54" s="352"/>
      <c r="O54" s="401" t="s">
        <v>40</v>
      </c>
      <c r="P54" s="402">
        <f>SUMIF($D$8:$D$55,$O54,$G$8:$G$55)+SUMIF($F$8:$F$55,$O54,$I$8:$I$55)</f>
        <v>3</v>
      </c>
      <c r="Q54" s="402">
        <f>SUMIF($D$8:$D$55,$O54,$I$8:$I$55)+SUMIF($F$8:$F$55,$O54,$G$8:$G$55)</f>
        <v>5</v>
      </c>
      <c r="R54" s="402">
        <f>P54-Q54</f>
        <v>-2</v>
      </c>
      <c r="S54" s="403">
        <f>SUMIF($D$8:$D$55,$O54,$K$8:$K$55)+SUMIF($F$8:$F$55,$O54,$L$8:$L$55)</f>
        <v>4</v>
      </c>
      <c r="T54" s="446" t="s">
        <v>83</v>
      </c>
      <c r="U54" s="40"/>
      <c r="V54" s="40" t="str">
        <f>O54</f>
        <v>Zuid Korea</v>
      </c>
      <c r="W54" s="40" t="s">
        <v>85</v>
      </c>
      <c r="Y54" s="109">
        <f t="shared" si="8"/>
        <v>6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6</v>
      </c>
      <c r="AG54" s="108">
        <f t="shared" si="0"/>
        <v>1</v>
      </c>
      <c r="AH54" s="108">
        <f t="shared" si="1"/>
        <v>0</v>
      </c>
      <c r="AI54" s="108">
        <f t="shared" si="10"/>
        <v>0</v>
      </c>
      <c r="AJ54" s="108">
        <f t="shared" si="2"/>
        <v>0</v>
      </c>
      <c r="AK54" s="108">
        <f t="shared" si="3"/>
        <v>5</v>
      </c>
      <c r="AL54" s="108">
        <f t="shared" si="4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1</v>
      </c>
      <c r="H55" s="388" t="s">
        <v>9</v>
      </c>
      <c r="I55" s="443">
        <v>2</v>
      </c>
      <c r="J55" s="390">
        <f t="shared" si="5"/>
        <v>2</v>
      </c>
      <c r="K55" s="363">
        <f t="shared" si="6"/>
        <v>0</v>
      </c>
      <c r="L55" s="363">
        <f t="shared" si="7"/>
        <v>3</v>
      </c>
      <c r="M55" s="352"/>
      <c r="N55" s="352"/>
      <c r="O55" s="392"/>
      <c r="P55" s="393"/>
      <c r="Q55" s="393"/>
      <c r="R55" s="393"/>
      <c r="S55" s="393"/>
      <c r="T55" s="393"/>
      <c r="U55" s="40"/>
      <c r="V55" s="40"/>
      <c r="W55" s="40"/>
      <c r="Y55" s="109">
        <f t="shared" si="8"/>
        <v>1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</v>
      </c>
      <c r="AG55" s="108">
        <f t="shared" si="0"/>
        <v>1</v>
      </c>
      <c r="AH55" s="108">
        <f t="shared" si="1"/>
        <v>0</v>
      </c>
      <c r="AI55" s="108">
        <f t="shared" si="10"/>
        <v>0</v>
      </c>
      <c r="AJ55" s="108">
        <f t="shared" si="2"/>
        <v>0</v>
      </c>
      <c r="AK55" s="108">
        <f t="shared" si="3"/>
        <v>0</v>
      </c>
      <c r="AL55" s="108">
        <f t="shared" si="4"/>
        <v>0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N56" s="352"/>
      <c r="O56" s="352"/>
      <c r="P56" s="352"/>
      <c r="Q56" s="352"/>
      <c r="R56" s="352"/>
      <c r="S56" s="352"/>
      <c r="T56" s="352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27"/>
      <c r="K57" s="353"/>
      <c r="L57" s="353"/>
      <c r="M57" s="353"/>
      <c r="N57" s="352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32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N58" s="352"/>
      <c r="O58" s="458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>IF(ISERROR(Z59),K59,Z59)</f>
        <v>Brazilië</v>
      </c>
      <c r="E59" s="367" t="s">
        <v>9</v>
      </c>
      <c r="F59" s="406" t="str">
        <f>IF(ISERROR(AA59),L59,AA59)</f>
        <v>Nederland</v>
      </c>
      <c r="G59" s="435">
        <v>2</v>
      </c>
      <c r="H59" s="367" t="s">
        <v>9</v>
      </c>
      <c r="I59" s="447">
        <v>1</v>
      </c>
      <c r="J59" s="448">
        <v>1</v>
      </c>
      <c r="K59" s="407" t="s">
        <v>48</v>
      </c>
      <c r="L59" s="407" t="s">
        <v>53</v>
      </c>
      <c r="M59" s="407">
        <v>1</v>
      </c>
      <c r="N59" s="352"/>
      <c r="O59" s="458">
        <v>2</v>
      </c>
      <c r="P59" s="877" t="s">
        <v>220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3">AF59</f>
        <v>1</v>
      </c>
      <c r="Z59" t="str">
        <f t="shared" ref="Z59:AA65" si="14">IF(K59=""," ",VLOOKUP(K59,$T$9:$V$54,3,FALSE))</f>
        <v>Brazilië</v>
      </c>
      <c r="AA59" t="str">
        <f t="shared" si="14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1</v>
      </c>
      <c r="AG59" s="108">
        <f t="shared" ref="AG59:AG66" si="16">IF(AC59="",0,(IF(G59=AC59,1,0)))</f>
        <v>0</v>
      </c>
      <c r="AH59" s="108">
        <f t="shared" ref="AH59:AH66" si="17">IF(AD59="",0,(IF(I59=AD59,1,0)))</f>
        <v>1</v>
      </c>
      <c r="AI59" s="108">
        <f t="shared" ref="AI59:AI66" si="18">IF(AND(AG59=1,AH59=1),10,0)</f>
        <v>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376">
        <v>50</v>
      </c>
      <c r="C60" s="466">
        <v>41818</v>
      </c>
      <c r="D60" s="460" t="str">
        <f t="shared" ref="D60:D66" si="23">IF(ISERROR(Z60),K60,Z60)</f>
        <v>Ivoorkust</v>
      </c>
      <c r="E60" s="379" t="s">
        <v>9</v>
      </c>
      <c r="F60" s="409" t="str">
        <f t="shared" ref="F60:F66" si="24">IF(ISERROR(AA60),L60,AA60)</f>
        <v>Italië</v>
      </c>
      <c r="G60" s="437">
        <v>0</v>
      </c>
      <c r="H60" s="379" t="s">
        <v>9</v>
      </c>
      <c r="I60" s="449">
        <v>1</v>
      </c>
      <c r="J60" s="450">
        <v>2</v>
      </c>
      <c r="K60" s="407" t="s">
        <v>57</v>
      </c>
      <c r="L60" s="407" t="s">
        <v>63</v>
      </c>
      <c r="M60" s="407">
        <v>2</v>
      </c>
      <c r="N60" s="352"/>
      <c r="O60" s="458">
        <v>3</v>
      </c>
      <c r="P60" s="877" t="s">
        <v>225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3"/>
        <v>0</v>
      </c>
      <c r="Z60" t="str">
        <f t="shared" si="14"/>
        <v>Ivoorkust</v>
      </c>
      <c r="AA60" t="str">
        <f t="shared" si="14"/>
        <v>Italië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0</v>
      </c>
      <c r="AG60" s="108">
        <f t="shared" si="16"/>
        <v>0</v>
      </c>
      <c r="AH60" s="108">
        <f t="shared" si="17"/>
        <v>0</v>
      </c>
      <c r="AI60" s="108">
        <f t="shared" si="18"/>
        <v>0</v>
      </c>
      <c r="AJ60" s="108">
        <f t="shared" si="19"/>
        <v>0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2"/>
        <v>3</v>
      </c>
    </row>
    <row r="61" spans="2:54">
      <c r="B61" s="364">
        <v>51</v>
      </c>
      <c r="C61" s="465">
        <v>41819</v>
      </c>
      <c r="D61" s="464" t="str">
        <f t="shared" si="23"/>
        <v>Spanje</v>
      </c>
      <c r="E61" s="367" t="s">
        <v>9</v>
      </c>
      <c r="F61" s="406" t="str">
        <f t="shared" si="24"/>
        <v>Kroatië</v>
      </c>
      <c r="G61" s="435">
        <v>3</v>
      </c>
      <c r="H61" s="367" t="s">
        <v>9</v>
      </c>
      <c r="I61" s="447">
        <v>1</v>
      </c>
      <c r="J61" s="448">
        <v>1</v>
      </c>
      <c r="K61" s="407" t="s">
        <v>52</v>
      </c>
      <c r="L61" s="407" t="s">
        <v>49</v>
      </c>
      <c r="M61" s="407"/>
      <c r="N61" s="352"/>
      <c r="O61" s="458">
        <v>4</v>
      </c>
      <c r="P61" s="877" t="s">
        <v>209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3"/>
        <v>6</v>
      </c>
      <c r="Z61" t="str">
        <f t="shared" si="14"/>
        <v>Spanje</v>
      </c>
      <c r="AA61" t="str">
        <f t="shared" si="14"/>
        <v>Kroatië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6</v>
      </c>
      <c r="AG61" s="108">
        <f t="shared" si="16"/>
        <v>0</v>
      </c>
      <c r="AH61" s="108">
        <f t="shared" si="17"/>
        <v>1</v>
      </c>
      <c r="AI61" s="108">
        <f t="shared" si="18"/>
        <v>0</v>
      </c>
      <c r="AJ61" s="108">
        <f t="shared" si="19"/>
        <v>5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3</v>
      </c>
      <c r="BB61" s="139">
        <f t="shared" si="22"/>
        <v>3</v>
      </c>
    </row>
    <row r="62" spans="2:54">
      <c r="B62" s="376">
        <v>52</v>
      </c>
      <c r="C62" s="466">
        <v>41819</v>
      </c>
      <c r="D62" s="464" t="str">
        <f t="shared" si="23"/>
        <v>Engeland</v>
      </c>
      <c r="E62" s="379" t="s">
        <v>9</v>
      </c>
      <c r="F62" s="409" t="str">
        <f t="shared" si="24"/>
        <v>Griekenland</v>
      </c>
      <c r="G62" s="437">
        <v>2</v>
      </c>
      <c r="H62" s="379" t="s">
        <v>9</v>
      </c>
      <c r="I62" s="449">
        <v>1</v>
      </c>
      <c r="J62" s="450">
        <v>1</v>
      </c>
      <c r="K62" s="407" t="s">
        <v>62</v>
      </c>
      <c r="L62" s="407" t="s">
        <v>58</v>
      </c>
      <c r="M62" s="407"/>
      <c r="N62" s="352"/>
      <c r="O62" s="458">
        <v>5</v>
      </c>
      <c r="P62" s="877" t="s">
        <v>211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3"/>
        <v>1</v>
      </c>
      <c r="Z62" t="str">
        <f t="shared" si="14"/>
        <v>Engeland</v>
      </c>
      <c r="AA62" t="str">
        <f t="shared" si="14"/>
        <v>Griekenland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1</v>
      </c>
      <c r="AG62" s="108">
        <f t="shared" si="16"/>
        <v>0</v>
      </c>
      <c r="AH62" s="108">
        <f t="shared" si="17"/>
        <v>1</v>
      </c>
      <c r="AI62" s="108">
        <f t="shared" si="18"/>
        <v>0</v>
      </c>
      <c r="AJ62" s="108">
        <f t="shared" si="19"/>
        <v>0</v>
      </c>
      <c r="AK62" s="108">
        <f t="shared" si="20"/>
        <v>0</v>
      </c>
      <c r="AL62" s="108">
        <f t="shared" si="21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2"/>
        <v>3</v>
      </c>
    </row>
    <row r="63" spans="2:54">
      <c r="B63" s="364">
        <v>53</v>
      </c>
      <c r="C63" s="465">
        <v>41820</v>
      </c>
      <c r="D63" s="459" t="str">
        <f t="shared" si="23"/>
        <v>Frankrijk</v>
      </c>
      <c r="E63" s="367" t="s">
        <v>9</v>
      </c>
      <c r="F63" s="406" t="str">
        <f t="shared" si="24"/>
        <v>Nigeria</v>
      </c>
      <c r="G63" s="435">
        <v>3</v>
      </c>
      <c r="H63" s="367" t="s">
        <v>9</v>
      </c>
      <c r="I63" s="447">
        <v>0</v>
      </c>
      <c r="J63" s="448">
        <v>1</v>
      </c>
      <c r="K63" s="407" t="s">
        <v>67</v>
      </c>
      <c r="L63" s="407" t="s">
        <v>73</v>
      </c>
      <c r="M63" s="407"/>
      <c r="N63" s="352"/>
      <c r="O63" s="458">
        <v>6</v>
      </c>
      <c r="P63" s="877" t="s">
        <v>212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3"/>
        <v>6</v>
      </c>
      <c r="Z63" t="str">
        <f t="shared" si="14"/>
        <v>Frankrijk</v>
      </c>
      <c r="AA63" t="str">
        <f t="shared" si="14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6</v>
      </c>
      <c r="AG63" s="108">
        <f t="shared" si="16"/>
        <v>0</v>
      </c>
      <c r="AH63" s="108">
        <f t="shared" si="17"/>
        <v>1</v>
      </c>
      <c r="AI63" s="108">
        <f t="shared" si="18"/>
        <v>0</v>
      </c>
      <c r="AJ63" s="108">
        <f t="shared" si="19"/>
        <v>5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3</v>
      </c>
      <c r="BB63" s="139">
        <f t="shared" si="22"/>
        <v>3</v>
      </c>
    </row>
    <row r="64" spans="2:54">
      <c r="B64" s="376">
        <v>54</v>
      </c>
      <c r="C64" s="466">
        <v>41820</v>
      </c>
      <c r="D64" s="460" t="str">
        <f t="shared" si="23"/>
        <v>Duitsland</v>
      </c>
      <c r="E64" s="379" t="s">
        <v>9</v>
      </c>
      <c r="F64" s="409" t="str">
        <f t="shared" si="24"/>
        <v>Zuid Korea</v>
      </c>
      <c r="G64" s="437">
        <v>2</v>
      </c>
      <c r="H64" s="379" t="s">
        <v>9</v>
      </c>
      <c r="I64" s="449">
        <v>0</v>
      </c>
      <c r="J64" s="450">
        <v>1</v>
      </c>
      <c r="K64" s="407" t="s">
        <v>77</v>
      </c>
      <c r="L64" s="407" t="s">
        <v>83</v>
      </c>
      <c r="M64" s="407"/>
      <c r="N64" s="352"/>
      <c r="O64" s="458">
        <v>7</v>
      </c>
      <c r="P64" s="877" t="s">
        <v>213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3"/>
        <v>1</v>
      </c>
      <c r="Z64" t="str">
        <f t="shared" si="14"/>
        <v>Duitsland</v>
      </c>
      <c r="AA64" t="str">
        <f t="shared" si="14"/>
        <v>Zuid Korea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1</v>
      </c>
      <c r="AG64" s="108">
        <f t="shared" si="16"/>
        <v>0</v>
      </c>
      <c r="AH64" s="108">
        <f t="shared" si="17"/>
        <v>1</v>
      </c>
      <c r="AI64" s="108">
        <f t="shared" si="18"/>
        <v>0</v>
      </c>
      <c r="AJ64" s="108">
        <f t="shared" si="19"/>
        <v>0</v>
      </c>
      <c r="AK64" s="108">
        <f t="shared" si="20"/>
        <v>0</v>
      </c>
      <c r="AL64" s="108">
        <f t="shared" si="21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2"/>
        <v>3</v>
      </c>
    </row>
    <row r="65" spans="2:54">
      <c r="B65" s="370">
        <v>55</v>
      </c>
      <c r="C65" s="467">
        <v>41821</v>
      </c>
      <c r="D65" s="459" t="str">
        <f t="shared" si="23"/>
        <v>Argentinië</v>
      </c>
      <c r="E65" s="373" t="s">
        <v>9</v>
      </c>
      <c r="F65" s="410" t="str">
        <f t="shared" si="24"/>
        <v>Ecuador</v>
      </c>
      <c r="G65" s="436">
        <v>2</v>
      </c>
      <c r="H65" s="373" t="s">
        <v>9</v>
      </c>
      <c r="I65" s="451">
        <v>1</v>
      </c>
      <c r="J65" s="452">
        <v>1</v>
      </c>
      <c r="K65" s="407" t="s">
        <v>72</v>
      </c>
      <c r="L65" s="407" t="s">
        <v>68</v>
      </c>
      <c r="M65" s="407"/>
      <c r="N65" s="352"/>
      <c r="O65" s="458">
        <v>8</v>
      </c>
      <c r="P65" s="877" t="s">
        <v>214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3"/>
        <v>0</v>
      </c>
      <c r="Z65" t="str">
        <f t="shared" si="14"/>
        <v>Argentinië</v>
      </c>
      <c r="AA65" t="str">
        <f t="shared" si="14"/>
        <v>Ecuador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0</v>
      </c>
      <c r="AG65" s="108">
        <f t="shared" si="16"/>
        <v>0</v>
      </c>
      <c r="AH65" s="108">
        <f t="shared" si="17"/>
        <v>0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2"/>
        <v>3</v>
      </c>
    </row>
    <row r="66" spans="2:54" ht="15.75" thickBot="1">
      <c r="B66" s="385">
        <v>56</v>
      </c>
      <c r="C66" s="462">
        <v>41821</v>
      </c>
      <c r="D66" s="461" t="str">
        <f t="shared" si="23"/>
        <v>België</v>
      </c>
      <c r="E66" s="388" t="s">
        <v>9</v>
      </c>
      <c r="F66" s="412" t="str">
        <f t="shared" si="24"/>
        <v>Portugal</v>
      </c>
      <c r="G66" s="438">
        <v>2</v>
      </c>
      <c r="H66" s="388" t="s">
        <v>9</v>
      </c>
      <c r="I66" s="453">
        <v>2</v>
      </c>
      <c r="J66" s="454">
        <v>2</v>
      </c>
      <c r="K66" s="407" t="s">
        <v>82</v>
      </c>
      <c r="L66" s="407" t="s">
        <v>78</v>
      </c>
      <c r="M66" s="407"/>
      <c r="N66" s="352"/>
      <c r="O66" s="458">
        <v>9</v>
      </c>
      <c r="P66" s="877" t="s">
        <v>221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3"/>
        <v>5</v>
      </c>
      <c r="Z66" t="str">
        <f>IF(K66=""," ",VLOOKUP(K66,$T$9:$V$54,3,FALSE))</f>
        <v>België</v>
      </c>
      <c r="AA66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5</v>
      </c>
      <c r="AG66" s="108">
        <f t="shared" si="16"/>
        <v>0</v>
      </c>
      <c r="AH66" s="108">
        <f t="shared" si="17"/>
        <v>0</v>
      </c>
      <c r="AI66" s="108">
        <f t="shared" si="18"/>
        <v>0</v>
      </c>
      <c r="AJ66" s="108">
        <f t="shared" si="19"/>
        <v>0</v>
      </c>
      <c r="AK66" s="108">
        <f t="shared" si="20"/>
        <v>0</v>
      </c>
      <c r="AL66" s="108">
        <f t="shared" si="21"/>
        <v>5</v>
      </c>
      <c r="AZ66" s="138" t="str">
        <f>Uitslag!P66</f>
        <v>Jonathan de Guzman (m)</v>
      </c>
      <c r="BA66" s="140">
        <f t="shared" si="12"/>
        <v>0</v>
      </c>
      <c r="BB66" s="139">
        <f t="shared" si="22"/>
        <v>0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N67" s="352"/>
      <c r="O67" s="458">
        <v>10</v>
      </c>
      <c r="P67" s="877" t="s">
        <v>215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2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27"/>
      <c r="K68" s="353"/>
      <c r="L68" s="353"/>
      <c r="M68" s="353"/>
      <c r="N68" s="352"/>
      <c r="O68" s="458">
        <v>11</v>
      </c>
      <c r="P68" s="877" t="s">
        <v>216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2"/>
        <v>3</v>
      </c>
    </row>
    <row r="69" spans="2:54">
      <c r="B69" s="428" t="s">
        <v>1</v>
      </c>
      <c r="C69" s="429" t="s">
        <v>2</v>
      </c>
      <c r="D69" s="430" t="s">
        <v>3</v>
      </c>
      <c r="E69" s="431"/>
      <c r="F69" s="432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N69" s="352"/>
      <c r="O69" s="352"/>
      <c r="P69" s="352"/>
      <c r="Q69" s="352"/>
      <c r="R69" s="352"/>
      <c r="S69" s="352"/>
      <c r="T69" s="352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30</v>
      </c>
      <c r="BB69" s="139" t="str">
        <f>IF(AND(BA69&lt;&gt;"",BA69=33),15,"nvt")</f>
        <v>nvt</v>
      </c>
    </row>
    <row r="70" spans="2:54">
      <c r="B70" s="364">
        <v>57</v>
      </c>
      <c r="C70" s="365">
        <v>41824</v>
      </c>
      <c r="D70" s="405" t="str">
        <f>IF(J63="","Winnaar 53",IF(J63=1,D63,F63))</f>
        <v>Frankrijk</v>
      </c>
      <c r="E70" s="367" t="s">
        <v>9</v>
      </c>
      <c r="F70" s="406" t="str">
        <f>IF(J64="","Winnaar 54",IF(J64=1,D64,F64))</f>
        <v>Duitsland</v>
      </c>
      <c r="G70" s="435">
        <v>1</v>
      </c>
      <c r="H70" s="367" t="s">
        <v>9</v>
      </c>
      <c r="I70" s="447">
        <v>2</v>
      </c>
      <c r="J70" s="448">
        <v>2</v>
      </c>
      <c r="K70" s="353"/>
      <c r="L70" s="353"/>
      <c r="M70" s="353"/>
      <c r="N70" s="352"/>
      <c r="O70" s="352"/>
      <c r="P70" s="352"/>
      <c r="Q70" s="352"/>
      <c r="R70" s="352"/>
      <c r="S70" s="352"/>
      <c r="T70" s="352"/>
      <c r="V70" t="s">
        <v>133</v>
      </c>
      <c r="W70" t="s">
        <v>126</v>
      </c>
      <c r="X70" t="str">
        <f t="shared" si="11"/>
        <v>Karim Rekik (v)</v>
      </c>
      <c r="Y70" s="109">
        <f>AF70</f>
        <v>5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5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Brazilië</v>
      </c>
      <c r="E71" s="379" t="s">
        <v>9</v>
      </c>
      <c r="F71" s="409" t="str">
        <f>IF(J60="","Winnaar 50",IF(J60=1,D60,F60))</f>
        <v>Italië</v>
      </c>
      <c r="G71" s="437">
        <v>3</v>
      </c>
      <c r="H71" s="379" t="s">
        <v>9</v>
      </c>
      <c r="I71" s="449">
        <v>1</v>
      </c>
      <c r="J71" s="450">
        <v>1</v>
      </c>
      <c r="K71" s="353"/>
      <c r="L71" s="353"/>
      <c r="M71" s="353"/>
      <c r="N71" s="352"/>
      <c r="O71" s="352"/>
      <c r="P71" s="352"/>
      <c r="Q71" s="352"/>
      <c r="R71" s="352"/>
      <c r="S71" s="352"/>
      <c r="T71" s="352"/>
      <c r="V71" t="s">
        <v>133</v>
      </c>
      <c r="W71" t="s">
        <v>194</v>
      </c>
      <c r="X71" t="str">
        <f t="shared" si="11"/>
        <v>Ron Vlaar (v)</v>
      </c>
      <c r="Y71" s="109">
        <f>AF71</f>
        <v>6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6</v>
      </c>
      <c r="AG71" s="108">
        <f>IF(AC71="",0,(IF(G71=AC71,1,0)))</f>
        <v>0</v>
      </c>
      <c r="AH71" s="108">
        <f>IF(AD71="",0,(IF(I71=AD71,1,0)))</f>
        <v>1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Argentinië</v>
      </c>
      <c r="E72" s="367" t="s">
        <v>9</v>
      </c>
      <c r="F72" s="406" t="str">
        <f>IF(J66="","Winnaar 56",IF(J66=1,D66,F66))</f>
        <v>Portugal</v>
      </c>
      <c r="G72" s="435">
        <v>2</v>
      </c>
      <c r="H72" s="367" t="s">
        <v>9</v>
      </c>
      <c r="I72" s="447">
        <v>3</v>
      </c>
      <c r="J72" s="448">
        <v>2</v>
      </c>
      <c r="K72" s="353"/>
      <c r="L72" s="353"/>
      <c r="M72" s="353"/>
      <c r="N72" s="352"/>
      <c r="O72" s="352"/>
      <c r="P72" s="352"/>
      <c r="Q72" s="352"/>
      <c r="R72" s="352"/>
      <c r="S72" s="352"/>
      <c r="T72" s="352"/>
      <c r="V72" t="s">
        <v>133</v>
      </c>
      <c r="W72" t="s">
        <v>195</v>
      </c>
      <c r="X72" t="str">
        <f t="shared" si="11"/>
        <v>John Heitinga (v)</v>
      </c>
      <c r="Y72" s="109">
        <f>AF72</f>
        <v>0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0</v>
      </c>
      <c r="AG72" s="108">
        <f>IF(AC72="",0,(IF(G72=AC72,1,0)))</f>
        <v>0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0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Spanje</v>
      </c>
      <c r="E73" s="388" t="s">
        <v>9</v>
      </c>
      <c r="F73" s="412" t="str">
        <f>IF(J62="","Winnaar 52",IF(J62=1,D62,F62))</f>
        <v>Engeland</v>
      </c>
      <c r="G73" s="438">
        <v>2</v>
      </c>
      <c r="H73" s="388" t="s">
        <v>9</v>
      </c>
      <c r="I73" s="453">
        <v>2</v>
      </c>
      <c r="J73" s="454">
        <v>1</v>
      </c>
      <c r="K73" s="353"/>
      <c r="L73" s="353"/>
      <c r="M73" s="353"/>
      <c r="N73" s="352"/>
      <c r="O73" s="352"/>
      <c r="P73" s="352"/>
      <c r="Q73" s="352"/>
      <c r="R73" s="352"/>
      <c r="S73" s="352"/>
      <c r="T73" s="352"/>
      <c r="V73" t="s">
        <v>133</v>
      </c>
      <c r="W73" t="s">
        <v>196</v>
      </c>
      <c r="X73" t="str">
        <f t="shared" si="11"/>
        <v>Urby Emanuelson (v)</v>
      </c>
      <c r="Y73" s="109">
        <f>AF73</f>
        <v>5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5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5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N74" s="352"/>
      <c r="O74" s="352"/>
      <c r="P74" s="352"/>
      <c r="Q74" s="352"/>
      <c r="R74" s="352"/>
      <c r="S74" s="352"/>
      <c r="T74" s="352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27"/>
      <c r="K75" s="353"/>
      <c r="L75" s="353"/>
      <c r="M75" s="353"/>
      <c r="N75" s="352"/>
      <c r="O75" s="352"/>
      <c r="P75" s="352"/>
      <c r="Q75" s="352"/>
      <c r="R75" s="352"/>
      <c r="S75" s="352"/>
      <c r="T75" s="352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30" t="s">
        <v>3</v>
      </c>
      <c r="E76" s="431"/>
      <c r="F76" s="432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N76" s="352"/>
      <c r="O76" s="352"/>
      <c r="P76" s="352"/>
      <c r="Q76" s="352"/>
      <c r="R76" s="352"/>
      <c r="S76" s="352"/>
      <c r="T76" s="352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Duitsland</v>
      </c>
      <c r="E77" s="367" t="s">
        <v>9</v>
      </c>
      <c r="F77" s="406" t="str">
        <f>IF(J71="","Winnaar 58",IF(J71=1,D71,F71))</f>
        <v>Brazilië</v>
      </c>
      <c r="G77" s="435">
        <v>1</v>
      </c>
      <c r="H77" s="367" t="s">
        <v>9</v>
      </c>
      <c r="I77" s="447">
        <v>2</v>
      </c>
      <c r="J77" s="448">
        <v>2</v>
      </c>
      <c r="K77" s="353"/>
      <c r="L77" s="353"/>
      <c r="M77" s="353"/>
      <c r="N77" s="352"/>
      <c r="O77" s="352"/>
      <c r="P77" s="352"/>
      <c r="Q77" s="352"/>
      <c r="R77" s="352"/>
      <c r="S77" s="352"/>
      <c r="T77" s="352"/>
      <c r="V77" t="s">
        <v>134</v>
      </c>
      <c r="W77" t="s">
        <v>203</v>
      </c>
      <c r="X77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Portugal</v>
      </c>
      <c r="E78" s="388" t="s">
        <v>9</v>
      </c>
      <c r="F78" s="412" t="str">
        <f>IF(J73="","Winnaar 60",IF(J73=1,D73,F73))</f>
        <v>Spanje</v>
      </c>
      <c r="G78" s="438">
        <v>2</v>
      </c>
      <c r="H78" s="388" t="s">
        <v>9</v>
      </c>
      <c r="I78" s="453">
        <v>2</v>
      </c>
      <c r="J78" s="454">
        <v>2</v>
      </c>
      <c r="K78" s="353"/>
      <c r="L78" s="353"/>
      <c r="M78" s="353"/>
      <c r="N78" s="352"/>
      <c r="O78" s="352"/>
      <c r="P78" s="352"/>
      <c r="Q78" s="352"/>
      <c r="R78" s="352"/>
      <c r="S78" s="352"/>
      <c r="T78" s="352"/>
      <c r="V78" t="s">
        <v>134</v>
      </c>
      <c r="W78" t="s">
        <v>199</v>
      </c>
      <c r="X78" t="str">
        <f t="shared" si="11"/>
        <v>Leroy Fer (m)</v>
      </c>
      <c r="Y78" s="109">
        <f>AF78</f>
        <v>5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5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5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N79" s="352"/>
      <c r="O79" s="352"/>
      <c r="P79" s="352"/>
      <c r="Q79" s="352"/>
      <c r="R79" s="352"/>
      <c r="S79" s="352"/>
      <c r="T79" s="352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27"/>
      <c r="K80" s="353"/>
      <c r="L80" s="353"/>
      <c r="M80" s="353"/>
      <c r="N80" s="352"/>
      <c r="O80" s="352"/>
      <c r="P80" s="352"/>
      <c r="Q80" s="352"/>
      <c r="R80" s="352"/>
      <c r="S80" s="352"/>
      <c r="T80" s="352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30" t="s">
        <v>3</v>
      </c>
      <c r="E81" s="431"/>
      <c r="F81" s="432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N81" s="352"/>
      <c r="O81" s="352"/>
      <c r="P81" s="352"/>
      <c r="Q81" s="352"/>
      <c r="R81" s="352"/>
      <c r="S81" s="352"/>
      <c r="T81" s="352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Duitsland</v>
      </c>
      <c r="E82" s="355" t="s">
        <v>9</v>
      </c>
      <c r="F82" s="415" t="str">
        <f>IF(J78="","Verliezer 62",IF(J78=1,F78,D78))</f>
        <v>Portugal</v>
      </c>
      <c r="G82" s="455">
        <v>2</v>
      </c>
      <c r="H82" s="355" t="s">
        <v>9</v>
      </c>
      <c r="I82" s="456">
        <v>1</v>
      </c>
      <c r="J82" s="457">
        <v>1</v>
      </c>
      <c r="K82" s="353"/>
      <c r="L82" s="353"/>
      <c r="M82" s="353"/>
      <c r="N82" s="352"/>
      <c r="O82" s="352"/>
      <c r="P82" s="352"/>
      <c r="Q82" s="352"/>
      <c r="R82" s="352"/>
      <c r="S82" s="352"/>
      <c r="T82" s="352"/>
      <c r="V82" t="s">
        <v>134</v>
      </c>
      <c r="W82" t="s">
        <v>125</v>
      </c>
      <c r="X8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N83" s="352"/>
      <c r="O83" s="352"/>
      <c r="P83" s="352"/>
      <c r="Q83" s="352"/>
      <c r="R83" s="352"/>
      <c r="S83" s="352"/>
      <c r="T83" s="352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27"/>
      <c r="K84" s="353"/>
      <c r="L84" s="353"/>
      <c r="M84" s="353"/>
      <c r="N84" s="352"/>
      <c r="O84" s="352"/>
      <c r="P84" s="352"/>
      <c r="Q84" s="352"/>
      <c r="R84" s="352"/>
      <c r="S84" s="352"/>
      <c r="T84" s="352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30" t="s">
        <v>3</v>
      </c>
      <c r="E85" s="431"/>
      <c r="F85" s="432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N85" s="352"/>
      <c r="O85" s="352"/>
      <c r="P85" s="352"/>
      <c r="Q85" s="352"/>
      <c r="R85" s="352"/>
      <c r="S85" s="352"/>
      <c r="T85" s="352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Brazilië</v>
      </c>
      <c r="E86" s="355" t="s">
        <v>9</v>
      </c>
      <c r="F86" s="415" t="str">
        <f>IF(J78="","Winnaar 62",IF(J78=1,D78,F78))</f>
        <v>Spanje</v>
      </c>
      <c r="G86" s="455">
        <v>3</v>
      </c>
      <c r="H86" s="355" t="s">
        <v>9</v>
      </c>
      <c r="I86" s="456">
        <v>2</v>
      </c>
      <c r="J86" s="457">
        <v>1</v>
      </c>
      <c r="K86" s="353"/>
      <c r="L86" s="353"/>
      <c r="M86" s="353"/>
      <c r="N86" s="352"/>
      <c r="O86" s="352"/>
      <c r="P86" s="352"/>
      <c r="Q86" s="352"/>
      <c r="R86" s="352"/>
      <c r="S86" s="352"/>
      <c r="T86" s="352"/>
      <c r="V86" t="s">
        <v>134</v>
      </c>
      <c r="W86" t="s">
        <v>139</v>
      </c>
      <c r="X86" t="str">
        <f t="shared" si="11"/>
        <v>Nigel de Jong (m)</v>
      </c>
      <c r="Y86" s="109">
        <f>AF86</f>
        <v>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0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Brazilië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5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5</v>
      </c>
      <c r="AV89">
        <f>IF(AR89=0,0,IF(E89=AR89,50,0))</f>
        <v>0</v>
      </c>
      <c r="AW89">
        <f>IF(E89=0,0,IF(OR(E89=AR90),15,0))</f>
        <v>0</v>
      </c>
      <c r="AX89">
        <f>IF(E89=0,0,IF(OR(E89=AR91,E89=AR92),5,0))</f>
        <v>5</v>
      </c>
    </row>
    <row r="90" spans="2:50">
      <c r="C90" s="870">
        <v>2</v>
      </c>
      <c r="D90" s="871"/>
      <c r="E90" s="872" t="str">
        <f>IF(J86=2,D86,IF(J86=1,F86,"Wie wordt 2de?"))</f>
        <v>Spanje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0</v>
      </c>
      <c r="AV90">
        <f>IF(AR90=0,0,IF(AR90=E90,25,0))</f>
        <v>0</v>
      </c>
      <c r="AW90">
        <f>IF(E90=0,0,IF(OR(E90=AR89,),15,0))</f>
        <v>0</v>
      </c>
      <c r="AX90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Duitsland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5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5</v>
      </c>
      <c r="AV91">
        <f>IF(AR91=0,0,IF(AR91=E91,15,0))</f>
        <v>0</v>
      </c>
      <c r="AW91">
        <f>IF(E91=0,0,IF(OR(E91=AR92),10,0))</f>
        <v>0</v>
      </c>
      <c r="AX91">
        <f>IF(E91=0,0,IF(OR(E91=AR89,E91=AR90),5,0))</f>
        <v>5</v>
      </c>
    </row>
    <row r="92" spans="2:50">
      <c r="C92" s="870">
        <v>4</v>
      </c>
      <c r="D92" s="871"/>
      <c r="E92" s="872" t="str">
        <f>IF(J82=2,D82,IF(J82=1,F82,"Wie wordt 4de?"))</f>
        <v>Portugal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0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0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10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conditionalFormatting sqref="AO9:AO12 AO15:AO18 AO21:AO24 AO27:AO30 AO33:AO36 AO39:AO42 AO45:AO48 AO51:AO54">
    <cfRule type="cellIs" dxfId="161" priority="3" operator="equal">
      <formula>10</formula>
    </cfRule>
  </conditionalFormatting>
  <conditionalFormatting sqref="P58:T58">
    <cfRule type="duplicateValues" dxfId="160" priority="2"/>
  </conditionalFormatting>
  <conditionalFormatting sqref="P58:T68">
    <cfRule type="duplicateValues" dxfId="159" priority="1"/>
  </conditionalFormatting>
  <dataValidations count="10">
    <dataValidation type="list" allowBlank="1" showInputMessage="1" showErrorMessage="1" sqref="P58:P68">
      <formula1>$X$58:$X$98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51:T54">
      <formula1>$W$51:$W$54</formula1>
    </dataValidation>
  </dataValidation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B1:BB98"/>
  <sheetViews>
    <sheetView topLeftCell="A40" zoomScale="70" zoomScaleNormal="70" workbookViewId="0">
      <selection activeCell="P58" sqref="P58:T68"/>
    </sheetView>
  </sheetViews>
  <sheetFormatPr defaultRowHeight="15" outlineLevelCol="2"/>
  <cols>
    <col min="1" max="1" width="3.42578125" customWidth="1"/>
    <col min="2" max="2" width="3.5703125" bestFit="1" customWidth="1"/>
    <col min="3" max="3" width="11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267</v>
      </c>
      <c r="E3" s="145"/>
      <c r="F3" s="145"/>
      <c r="N3" t="str">
        <f>D3</f>
        <v>Frank F.</v>
      </c>
      <c r="O3" s="144">
        <f>SUM(P3:S3)</f>
        <v>431</v>
      </c>
      <c r="P3" s="109">
        <f>SUM(Y8:Y86)</f>
        <v>226</v>
      </c>
      <c r="Q3" s="109">
        <f>SUM(AM4:AM55)</f>
        <v>160</v>
      </c>
      <c r="R3" s="109">
        <f>SUM(AP89:AP92)</f>
        <v>15</v>
      </c>
      <c r="S3" s="109">
        <f>SUM(BB58:BB69)</f>
        <v>30</v>
      </c>
      <c r="T3" s="109">
        <f>COUNTIF(AF8:AF86,10)</f>
        <v>7</v>
      </c>
      <c r="U3" s="109" t="str">
        <f>E89</f>
        <v>Brazilië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M6" s="352"/>
      <c r="N6" s="352"/>
      <c r="O6" s="392"/>
      <c r="P6" s="393"/>
      <c r="Q6" s="393"/>
      <c r="R6" s="393"/>
      <c r="S6" s="393"/>
      <c r="T6" s="393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18" t="s">
        <v>3</v>
      </c>
      <c r="E7" s="419"/>
      <c r="F7" s="420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M7" s="352"/>
      <c r="N7" s="352"/>
      <c r="O7" s="353"/>
      <c r="P7" s="393"/>
      <c r="Q7" s="393"/>
      <c r="R7" s="393"/>
      <c r="S7" s="393"/>
      <c r="T7" s="393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2</v>
      </c>
      <c r="H8" s="360" t="s">
        <v>9</v>
      </c>
      <c r="I8" s="439">
        <v>0</v>
      </c>
      <c r="J8" s="362">
        <f>IF(I8="","",IF(G8&gt;I8,1,IF(G8&lt;I8,2,3)))</f>
        <v>1</v>
      </c>
      <c r="K8" s="363">
        <f>IF(I8="","",IF($G8&gt;$I8,3,IF($G8=$I8,1,0)))</f>
        <v>3</v>
      </c>
      <c r="L8" s="363">
        <f>IF(I8="","",IF($G8&lt;$I8,3,IF($G8=$I8,1,0)))</f>
        <v>0</v>
      </c>
      <c r="M8" s="352"/>
      <c r="N8" s="352"/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40"/>
      <c r="V8" s="40"/>
      <c r="W8" s="40"/>
      <c r="Y8" s="109">
        <f>AF8</f>
        <v>5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5</v>
      </c>
      <c r="AG8" s="108">
        <f t="shared" ref="AG8:AG55" si="0">IF(AC8="",0,(IF(G8=AC8,1,0)))</f>
        <v>0</v>
      </c>
      <c r="AH8" s="108">
        <f t="shared" ref="AH8:AH55" si="1">IF(AD8="",0,(IF(I8=AD8,1,0)))</f>
        <v>0</v>
      </c>
      <c r="AI8" s="108">
        <f>IF(AND(AG8=1,AH8=1),10,0)</f>
        <v>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1</v>
      </c>
      <c r="H9" s="367" t="s">
        <v>9</v>
      </c>
      <c r="I9" s="440">
        <v>1</v>
      </c>
      <c r="J9" s="369">
        <f t="shared" ref="J9:J55" si="5">IF(I9="","",IF(G9&gt;I9,1,IF(G9&lt;I9,2,3)))</f>
        <v>3</v>
      </c>
      <c r="K9" s="363">
        <f t="shared" ref="K9:K55" si="6">IF(I9="","",IF($G9&gt;$I9,3,IF($G9=$I9,1,0)))</f>
        <v>1</v>
      </c>
      <c r="L9" s="363">
        <f t="shared" ref="L9:L55" si="7">IF(I9="","",IF($G9&lt;$I9,3,IF($G9=$I9,1,0)))</f>
        <v>1</v>
      </c>
      <c r="M9" s="352"/>
      <c r="N9" s="352"/>
      <c r="O9" s="394" t="s">
        <v>8</v>
      </c>
      <c r="P9" s="395">
        <f>SUMIF($D$8:$D$55,$O9,$G$8:$G$55)+SUMIF($F$8:$F$55,$O9,$I$8:$I$55)</f>
        <v>5</v>
      </c>
      <c r="Q9" s="395">
        <f>SUMIF($D$8:$D$55,$O9,$I$8:$I$55)+SUMIF($F$8:$F$55,$O9,$G$8:$G$55)</f>
        <v>1</v>
      </c>
      <c r="R9" s="396">
        <f>P9-Q9</f>
        <v>4</v>
      </c>
      <c r="S9" s="397">
        <f>SUMIF($D$8:$D$55,$O9,$K$8:$K$55)+SUMIF($F$8:$F$55,$O9,$L$8:$L$55)</f>
        <v>9</v>
      </c>
      <c r="T9" s="444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1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1</v>
      </c>
      <c r="AG9" s="108">
        <f t="shared" si="0"/>
        <v>1</v>
      </c>
      <c r="AH9" s="108">
        <f t="shared" si="1"/>
        <v>0</v>
      </c>
      <c r="AI9" s="108">
        <f t="shared" ref="AI9:AI55" si="10">IF(AND(AG9=1,AH9=1),10,0)</f>
        <v>0</v>
      </c>
      <c r="AJ9" s="108">
        <f t="shared" si="2"/>
        <v>0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2</v>
      </c>
      <c r="H10" s="373" t="s">
        <v>9</v>
      </c>
      <c r="I10" s="441">
        <v>0</v>
      </c>
      <c r="J10" s="375">
        <f t="shared" si="5"/>
        <v>1</v>
      </c>
      <c r="K10" s="363">
        <f t="shared" si="6"/>
        <v>3</v>
      </c>
      <c r="L10" s="363">
        <f t="shared" si="7"/>
        <v>0</v>
      </c>
      <c r="M10" s="352"/>
      <c r="N10" s="352"/>
      <c r="O10" s="398" t="s">
        <v>10</v>
      </c>
      <c r="P10" s="399">
        <f>SUMIF($D$8:$D$55,$O10,$G$8:$G$55)+SUMIF($F$8:$F$55,$O10,$I$8:$I$55)</f>
        <v>3</v>
      </c>
      <c r="Q10" s="399">
        <f>SUMIF($D$8:$D$55,$O10,$I$8:$I$55)+SUMIF($F$8:$F$55,$O10,$G$8:$G$55)</f>
        <v>4</v>
      </c>
      <c r="R10" s="399">
        <f>P10-Q10</f>
        <v>-1</v>
      </c>
      <c r="S10" s="400">
        <f>SUMIF($D$8:$D$55,$O10,$K$8:$K$55)+SUMIF($F$8:$F$55,$O10,$L$8:$L$55)</f>
        <v>4</v>
      </c>
      <c r="T10" s="445" t="s">
        <v>49</v>
      </c>
      <c r="U10" s="40"/>
      <c r="V10" s="40" t="str">
        <f>O10</f>
        <v>Kroatië</v>
      </c>
      <c r="W10" s="40" t="s">
        <v>49</v>
      </c>
      <c r="Y10" s="109">
        <f t="shared" si="8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0</v>
      </c>
      <c r="AG10" s="108">
        <f t="shared" si="0"/>
        <v>0</v>
      </c>
      <c r="AH10" s="108">
        <f t="shared" si="1"/>
        <v>0</v>
      </c>
      <c r="AI10" s="108">
        <f t="shared" si="10"/>
        <v>0</v>
      </c>
      <c r="AJ10" s="108">
        <f t="shared" si="2"/>
        <v>0</v>
      </c>
      <c r="AK10" s="108">
        <f t="shared" si="3"/>
        <v>0</v>
      </c>
      <c r="AL10" s="108">
        <f t="shared" si="4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3</v>
      </c>
      <c r="H11" s="379" t="s">
        <v>9</v>
      </c>
      <c r="I11" s="442">
        <v>0</v>
      </c>
      <c r="J11" s="381">
        <f t="shared" si="5"/>
        <v>1</v>
      </c>
      <c r="K11" s="363">
        <f t="shared" si="6"/>
        <v>3</v>
      </c>
      <c r="L11" s="363">
        <f t="shared" si="7"/>
        <v>0</v>
      </c>
      <c r="M11" s="352"/>
      <c r="N11" s="352"/>
      <c r="O11" s="398" t="s">
        <v>11</v>
      </c>
      <c r="P11" s="399">
        <f>SUMIF($D$8:$D$55,$O11,$G$8:$G$55)+SUMIF($F$8:$F$55,$O11,$I$8:$I$55)</f>
        <v>2</v>
      </c>
      <c r="Q11" s="399">
        <f>SUMIF($D$8:$D$55,$O11,$I$8:$I$55)+SUMIF($F$8:$F$55,$O11,$G$8:$G$55)</f>
        <v>3</v>
      </c>
      <c r="R11" s="399">
        <f>P11-Q11</f>
        <v>-1</v>
      </c>
      <c r="S11" s="400">
        <f>SUMIF($D$8:$D$55,$O11,$K$8:$K$55)+SUMIF($F$8:$F$55,$O11,$L$8:$L$55)</f>
        <v>2</v>
      </c>
      <c r="T11" s="445" t="s">
        <v>47</v>
      </c>
      <c r="U11" s="40"/>
      <c r="V11" s="40" t="str">
        <f>O11</f>
        <v>Mexico</v>
      </c>
      <c r="W11" s="40" t="s">
        <v>47</v>
      </c>
      <c r="Y11" s="109">
        <f t="shared" si="8"/>
        <v>6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6</v>
      </c>
      <c r="AG11" s="108">
        <f t="shared" si="0"/>
        <v>1</v>
      </c>
      <c r="AH11" s="108">
        <f t="shared" si="1"/>
        <v>0</v>
      </c>
      <c r="AI11" s="108">
        <f t="shared" si="10"/>
        <v>0</v>
      </c>
      <c r="AJ11" s="108">
        <f t="shared" si="2"/>
        <v>5</v>
      </c>
      <c r="AK11" s="108">
        <f t="shared" si="3"/>
        <v>0</v>
      </c>
      <c r="AL11" s="108">
        <f t="shared" si="4"/>
        <v>0</v>
      </c>
      <c r="AM11" s="120">
        <f>AO11</f>
        <v>0</v>
      </c>
      <c r="AN11" s="117" t="s">
        <v>11</v>
      </c>
      <c r="AO11" s="115">
        <f>IF(Uitslag!T11="",0,IF(T11=Uitslag!T11,10,0))</f>
        <v>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3</v>
      </c>
      <c r="H12" s="367" t="s">
        <v>9</v>
      </c>
      <c r="I12" s="440">
        <v>1</v>
      </c>
      <c r="J12" s="369">
        <f t="shared" si="5"/>
        <v>1</v>
      </c>
      <c r="K12" s="363">
        <f t="shared" si="6"/>
        <v>3</v>
      </c>
      <c r="L12" s="363">
        <f t="shared" si="7"/>
        <v>0</v>
      </c>
      <c r="M12" s="352"/>
      <c r="N12" s="352"/>
      <c r="O12" s="401" t="s">
        <v>12</v>
      </c>
      <c r="P12" s="402">
        <f>SUMIF($D$8:$D$55,$O12,$G$8:$G$55)+SUMIF($F$8:$F$55,$O12,$I$8:$I$55)</f>
        <v>3</v>
      </c>
      <c r="Q12" s="402">
        <f>SUMIF($D$8:$D$55,$O12,$I$8:$I$55)+SUMIF($F$8:$F$55,$O12,$G$8:$G$55)</f>
        <v>5</v>
      </c>
      <c r="R12" s="402">
        <f>P12-Q12</f>
        <v>-2</v>
      </c>
      <c r="S12" s="403">
        <f>SUMIF($D$8:$D$55,$O12,$K$8:$K$55)+SUMIF($F$8:$F$55,$O12,$L$8:$L$55)</f>
        <v>1</v>
      </c>
      <c r="T12" s="446" t="s">
        <v>50</v>
      </c>
      <c r="U12" s="40"/>
      <c r="V12" s="40" t="str">
        <f>O12</f>
        <v>Kameroen</v>
      </c>
      <c r="W12" s="40" t="s">
        <v>50</v>
      </c>
      <c r="Y12" s="109">
        <f t="shared" si="8"/>
        <v>6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6</v>
      </c>
      <c r="AG12" s="108">
        <f t="shared" si="0"/>
        <v>1</v>
      </c>
      <c r="AH12" s="108">
        <f t="shared" si="1"/>
        <v>0</v>
      </c>
      <c r="AI12" s="108">
        <f t="shared" si="10"/>
        <v>0</v>
      </c>
      <c r="AJ12" s="108">
        <f t="shared" si="2"/>
        <v>5</v>
      </c>
      <c r="AK12" s="108">
        <f t="shared" si="3"/>
        <v>0</v>
      </c>
      <c r="AL12" s="108">
        <f t="shared" si="4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1</v>
      </c>
      <c r="H13" s="373" t="s">
        <v>9</v>
      </c>
      <c r="I13" s="441">
        <v>0</v>
      </c>
      <c r="J13" s="375">
        <f t="shared" si="5"/>
        <v>1</v>
      </c>
      <c r="K13" s="363">
        <f t="shared" si="6"/>
        <v>3</v>
      </c>
      <c r="L13" s="363">
        <f t="shared" si="7"/>
        <v>0</v>
      </c>
      <c r="M13" s="352"/>
      <c r="N13" s="352"/>
      <c r="O13" s="392"/>
      <c r="P13" s="393"/>
      <c r="Q13" s="393"/>
      <c r="R13" s="393"/>
      <c r="S13" s="393"/>
      <c r="T13" s="393"/>
      <c r="U13" s="40"/>
      <c r="V13" s="40"/>
      <c r="W13" s="40"/>
      <c r="Y13" s="109">
        <f t="shared" si="8"/>
        <v>1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1</v>
      </c>
      <c r="AG13" s="108">
        <f t="shared" si="0"/>
        <v>1</v>
      </c>
      <c r="AH13" s="108">
        <f t="shared" si="1"/>
        <v>0</v>
      </c>
      <c r="AI13" s="108">
        <f t="shared" si="10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40"/>
      <c r="AO13" s="41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2</v>
      </c>
      <c r="H14" s="373" t="s">
        <v>9</v>
      </c>
      <c r="I14" s="441">
        <v>1</v>
      </c>
      <c r="J14" s="375">
        <f t="shared" si="5"/>
        <v>1</v>
      </c>
      <c r="K14" s="363">
        <f t="shared" si="6"/>
        <v>3</v>
      </c>
      <c r="L14" s="363">
        <f t="shared" si="7"/>
        <v>0</v>
      </c>
      <c r="M14" s="352"/>
      <c r="N14" s="352"/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40"/>
      <c r="V14" s="40"/>
      <c r="W14" s="40"/>
      <c r="Y14" s="109">
        <f t="shared" si="8"/>
        <v>0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0</v>
      </c>
      <c r="AG14" s="108">
        <f t="shared" si="0"/>
        <v>0</v>
      </c>
      <c r="AH14" s="108">
        <f t="shared" si="1"/>
        <v>0</v>
      </c>
      <c r="AI14" s="108">
        <f t="shared" si="10"/>
        <v>0</v>
      </c>
      <c r="AJ14" s="108">
        <f t="shared" si="2"/>
        <v>0</v>
      </c>
      <c r="AK14" s="108">
        <f t="shared" si="3"/>
        <v>0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0</v>
      </c>
      <c r="H15" s="379" t="s">
        <v>9</v>
      </c>
      <c r="I15" s="442">
        <v>0</v>
      </c>
      <c r="J15" s="381">
        <f t="shared" si="5"/>
        <v>3</v>
      </c>
      <c r="K15" s="363">
        <f t="shared" si="6"/>
        <v>1</v>
      </c>
      <c r="L15" s="363">
        <f t="shared" si="7"/>
        <v>1</v>
      </c>
      <c r="M15" s="352"/>
      <c r="N15" s="352"/>
      <c r="O15" s="394" t="s">
        <v>13</v>
      </c>
      <c r="P15" s="395">
        <f>SUMIF($D$8:$D$55,$O15,$G$8:$G$55)+SUMIF($F$8:$F$55,$O15,$I$8:$I$55)</f>
        <v>5</v>
      </c>
      <c r="Q15" s="395">
        <f>SUMIF($D$8:$D$55,$O15,$I$8:$I$55)+SUMIF($F$8:$F$55,$O15,$G$8:$G$55)</f>
        <v>1</v>
      </c>
      <c r="R15" s="396">
        <f>P15-Q15</f>
        <v>4</v>
      </c>
      <c r="S15" s="397">
        <f>SUMIF($D$8:$D$55,$O15,$K$8:$K$55)+SUMIF($F$8:$F$55,$O15,$L$8:$L$55)</f>
        <v>7</v>
      </c>
      <c r="T15" s="444" t="s">
        <v>52</v>
      </c>
      <c r="U15" s="40"/>
      <c r="V15" s="40" t="str">
        <f>O15</f>
        <v>Spanje</v>
      </c>
      <c r="W15" s="40" t="s">
        <v>52</v>
      </c>
      <c r="Y15" s="109">
        <f t="shared" si="8"/>
        <v>0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0</v>
      </c>
      <c r="AG15" s="108">
        <f t="shared" si="0"/>
        <v>0</v>
      </c>
      <c r="AH15" s="108">
        <f t="shared" si="1"/>
        <v>0</v>
      </c>
      <c r="AI15" s="108">
        <f t="shared" si="10"/>
        <v>0</v>
      </c>
      <c r="AJ15" s="108">
        <f t="shared" si="2"/>
        <v>0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2</v>
      </c>
      <c r="H16" s="367" t="s">
        <v>9</v>
      </c>
      <c r="I16" s="440">
        <v>1</v>
      </c>
      <c r="J16" s="369">
        <f t="shared" si="5"/>
        <v>1</v>
      </c>
      <c r="K16" s="363">
        <f t="shared" si="6"/>
        <v>3</v>
      </c>
      <c r="L16" s="363">
        <f t="shared" si="7"/>
        <v>0</v>
      </c>
      <c r="M16" s="352"/>
      <c r="N16" s="352"/>
      <c r="O16" s="404" t="s">
        <v>14</v>
      </c>
      <c r="P16" s="399">
        <f>SUMIF($D$8:$D$55,$O16,$G$8:$G$55)+SUMIF($F$8:$F$55,$O16,$I$8:$I$55)</f>
        <v>3</v>
      </c>
      <c r="Q16" s="399">
        <f>SUMIF($D$8:$D$55,$O16,$I$8:$I$55)+SUMIF($F$8:$F$55,$O16,$G$8:$G$55)</f>
        <v>3</v>
      </c>
      <c r="R16" s="399">
        <f>P16-Q16</f>
        <v>0</v>
      </c>
      <c r="S16" s="400">
        <f>SUMIF($D$8:$D$55,$O16,$K$8:$K$55)+SUMIF($F$8:$F$55,$O16,$L$8:$L$55)</f>
        <v>6</v>
      </c>
      <c r="T16" s="445" t="s">
        <v>53</v>
      </c>
      <c r="U16" s="40"/>
      <c r="V16" s="40" t="str">
        <f>O16</f>
        <v>Nederland</v>
      </c>
      <c r="W16" s="40" t="s">
        <v>53</v>
      </c>
      <c r="Y16" s="109">
        <f t="shared" si="8"/>
        <v>10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10</v>
      </c>
      <c r="AG16" s="108">
        <f t="shared" si="0"/>
        <v>1</v>
      </c>
      <c r="AH16" s="108">
        <f t="shared" si="1"/>
        <v>1</v>
      </c>
      <c r="AI16" s="108">
        <f t="shared" si="10"/>
        <v>10</v>
      </c>
      <c r="AJ16" s="108">
        <f t="shared" si="2"/>
        <v>5</v>
      </c>
      <c r="AK16" s="108">
        <f t="shared" si="3"/>
        <v>0</v>
      </c>
      <c r="AL16" s="108">
        <f t="shared" si="4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2</v>
      </c>
      <c r="H17" s="373" t="s">
        <v>9</v>
      </c>
      <c r="I17" s="441">
        <v>0</v>
      </c>
      <c r="J17" s="375">
        <f t="shared" si="5"/>
        <v>1</v>
      </c>
      <c r="K17" s="363">
        <f t="shared" si="6"/>
        <v>3</v>
      </c>
      <c r="L17" s="363">
        <f t="shared" si="7"/>
        <v>0</v>
      </c>
      <c r="M17" s="352"/>
      <c r="N17" s="352"/>
      <c r="O17" s="398" t="s">
        <v>15</v>
      </c>
      <c r="P17" s="399">
        <f>SUMIF($D$8:$D$55,$O17,$G$8:$G$55)+SUMIF($F$8:$F$55,$O17,$I$8:$I$55)</f>
        <v>5</v>
      </c>
      <c r="Q17" s="399">
        <f>SUMIF($D$8:$D$55,$O17,$I$8:$I$55)+SUMIF($F$8:$F$55,$O17,$G$8:$G$55)</f>
        <v>3</v>
      </c>
      <c r="R17" s="399">
        <f>P17-Q17</f>
        <v>2</v>
      </c>
      <c r="S17" s="400">
        <f>SUMIF($D$8:$D$55,$O17,$K$8:$K$55)+SUMIF($F$8:$F$55,$O17,$L$8:$L$55)</f>
        <v>4</v>
      </c>
      <c r="T17" s="445" t="s">
        <v>54</v>
      </c>
      <c r="U17" s="40"/>
      <c r="V17" s="40" t="str">
        <f>O17</f>
        <v>Chili</v>
      </c>
      <c r="W17" s="40" t="s">
        <v>54</v>
      </c>
      <c r="Y17" s="109">
        <f t="shared" si="8"/>
        <v>6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6</v>
      </c>
      <c r="AG17" s="108">
        <f t="shared" si="0"/>
        <v>0</v>
      </c>
      <c r="AH17" s="108">
        <f t="shared" si="1"/>
        <v>1</v>
      </c>
      <c r="AI17" s="108">
        <f t="shared" si="10"/>
        <v>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2</v>
      </c>
      <c r="H18" s="379" t="s">
        <v>9</v>
      </c>
      <c r="I18" s="442">
        <v>0</v>
      </c>
      <c r="J18" s="381">
        <f t="shared" si="5"/>
        <v>1</v>
      </c>
      <c r="K18" s="363">
        <f t="shared" si="6"/>
        <v>3</v>
      </c>
      <c r="L18" s="363">
        <f t="shared" si="7"/>
        <v>0</v>
      </c>
      <c r="M18" s="352"/>
      <c r="N18" s="352"/>
      <c r="O18" s="401" t="s">
        <v>16</v>
      </c>
      <c r="P18" s="402">
        <f>SUMIF($D$8:$D$55,$O18,$G$8:$G$55)+SUMIF($F$8:$F$55,$O18,$I$8:$I$55)</f>
        <v>0</v>
      </c>
      <c r="Q18" s="402">
        <f>SUMIF($D$8:$D$55,$O18,$I$8:$I$55)+SUMIF($F$8:$F$55,$O18,$G$8:$G$55)</f>
        <v>6</v>
      </c>
      <c r="R18" s="402">
        <f>P18-Q18</f>
        <v>-6</v>
      </c>
      <c r="S18" s="403">
        <f>SUMIF($D$8:$D$55,$O18,$K$8:$K$55)+SUMIF($F$8:$F$55,$O18,$L$8:$L$55)</f>
        <v>0</v>
      </c>
      <c r="T18" s="446" t="s">
        <v>55</v>
      </c>
      <c r="U18" s="40"/>
      <c r="V18" s="40" t="str">
        <f>O18</f>
        <v>Australië</v>
      </c>
      <c r="W18" s="40" t="s">
        <v>55</v>
      </c>
      <c r="Y18" s="109">
        <f t="shared" si="8"/>
        <v>6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6</v>
      </c>
      <c r="AG18" s="108">
        <f t="shared" si="0"/>
        <v>1</v>
      </c>
      <c r="AH18" s="108">
        <f t="shared" si="1"/>
        <v>0</v>
      </c>
      <c r="AI18" s="108">
        <f t="shared" si="10"/>
        <v>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1</v>
      </c>
      <c r="H19" s="367" t="s">
        <v>9</v>
      </c>
      <c r="I19" s="440">
        <v>0</v>
      </c>
      <c r="J19" s="369">
        <f t="shared" si="5"/>
        <v>1</v>
      </c>
      <c r="K19" s="363">
        <f t="shared" si="6"/>
        <v>3</v>
      </c>
      <c r="L19" s="363">
        <f t="shared" si="7"/>
        <v>0</v>
      </c>
      <c r="M19" s="352"/>
      <c r="N19" s="352"/>
      <c r="O19" s="392"/>
      <c r="P19" s="393"/>
      <c r="Q19" s="393"/>
      <c r="R19" s="393"/>
      <c r="S19" s="393"/>
      <c r="T19" s="393"/>
      <c r="U19" s="40"/>
      <c r="V19" s="40"/>
      <c r="W19" s="40"/>
      <c r="Y19" s="109">
        <f t="shared" si="8"/>
        <v>6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6</v>
      </c>
      <c r="AG19" s="108">
        <f t="shared" si="0"/>
        <v>0</v>
      </c>
      <c r="AH19" s="108">
        <f t="shared" si="1"/>
        <v>1</v>
      </c>
      <c r="AI19" s="108">
        <f t="shared" si="10"/>
        <v>0</v>
      </c>
      <c r="AJ19" s="108">
        <f t="shared" si="2"/>
        <v>5</v>
      </c>
      <c r="AK19" s="108">
        <f t="shared" si="3"/>
        <v>0</v>
      </c>
      <c r="AL19" s="108">
        <f t="shared" si="4"/>
        <v>0</v>
      </c>
      <c r="AN19" s="40"/>
      <c r="AO19" s="41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1</v>
      </c>
      <c r="H20" s="373" t="s">
        <v>9</v>
      </c>
      <c r="I20" s="441">
        <v>2</v>
      </c>
      <c r="J20" s="375">
        <f t="shared" si="5"/>
        <v>2</v>
      </c>
      <c r="K20" s="363">
        <f t="shared" si="6"/>
        <v>0</v>
      </c>
      <c r="L20" s="363">
        <f t="shared" si="7"/>
        <v>3</v>
      </c>
      <c r="M20" s="352"/>
      <c r="N20" s="352"/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40"/>
      <c r="V20" s="40"/>
      <c r="W20" s="40"/>
      <c r="Y20" s="109">
        <f t="shared" si="8"/>
        <v>0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0</v>
      </c>
      <c r="AG20" s="108">
        <f t="shared" si="0"/>
        <v>0</v>
      </c>
      <c r="AH20" s="108">
        <f t="shared" si="1"/>
        <v>0</v>
      </c>
      <c r="AI20" s="108">
        <f t="shared" si="10"/>
        <v>0</v>
      </c>
      <c r="AJ20" s="108">
        <f t="shared" si="2"/>
        <v>0</v>
      </c>
      <c r="AK20" s="108">
        <f t="shared" si="3"/>
        <v>0</v>
      </c>
      <c r="AL20" s="108">
        <f t="shared" si="4"/>
        <v>0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1</v>
      </c>
      <c r="H21" s="379" t="s">
        <v>9</v>
      </c>
      <c r="I21" s="442">
        <v>2</v>
      </c>
      <c r="J21" s="381">
        <f t="shared" si="5"/>
        <v>2</v>
      </c>
      <c r="K21" s="363">
        <f t="shared" si="6"/>
        <v>0</v>
      </c>
      <c r="L21" s="363">
        <f t="shared" si="7"/>
        <v>3</v>
      </c>
      <c r="M21" s="352"/>
      <c r="N21" s="352"/>
      <c r="O21" s="394" t="s">
        <v>17</v>
      </c>
      <c r="P21" s="395">
        <f>SUMIF($D$8:$D$55,$O21,$G$8:$G$55)+SUMIF($F$8:$F$55,$O21,$I$8:$I$55)</f>
        <v>4</v>
      </c>
      <c r="Q21" s="395">
        <f>SUMIF($D$8:$D$55,$O21,$I$8:$I$55)+SUMIF($F$8:$F$55,$O21,$G$8:$G$55)</f>
        <v>2</v>
      </c>
      <c r="R21" s="396">
        <f>P21-Q21</f>
        <v>2</v>
      </c>
      <c r="S21" s="397">
        <f>SUMIF($D$8:$D$55,$O21,$K$8:$K$55)+SUMIF($F$8:$F$55,$O21,$L$8:$L$55)</f>
        <v>6</v>
      </c>
      <c r="T21" s="444" t="s">
        <v>58</v>
      </c>
      <c r="U21" s="40"/>
      <c r="V21" s="40" t="str">
        <f>O21</f>
        <v>Colombia</v>
      </c>
      <c r="W21" s="40" t="s">
        <v>57</v>
      </c>
      <c r="Y21" s="109">
        <f t="shared" si="8"/>
        <v>10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10</v>
      </c>
      <c r="AG21" s="108">
        <f t="shared" si="0"/>
        <v>1</v>
      </c>
      <c r="AH21" s="108">
        <f t="shared" si="1"/>
        <v>1</v>
      </c>
      <c r="AI21" s="108">
        <f t="shared" si="10"/>
        <v>10</v>
      </c>
      <c r="AJ21" s="108">
        <f t="shared" si="2"/>
        <v>0</v>
      </c>
      <c r="AK21" s="108">
        <f t="shared" si="3"/>
        <v>5</v>
      </c>
      <c r="AL21" s="108">
        <f t="shared" si="4"/>
        <v>0</v>
      </c>
      <c r="AM21" s="120">
        <f>AO21</f>
        <v>0</v>
      </c>
      <c r="AN21" s="116" t="s">
        <v>17</v>
      </c>
      <c r="AO21" s="115">
        <f>IF(Uitslag!T21="",0,IF(T21=Uitslag!T21,10,0))</f>
        <v>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2</v>
      </c>
      <c r="H22" s="367" t="s">
        <v>9</v>
      </c>
      <c r="I22" s="440">
        <v>0</v>
      </c>
      <c r="J22" s="369">
        <f t="shared" si="5"/>
        <v>1</v>
      </c>
      <c r="K22" s="363">
        <f t="shared" si="6"/>
        <v>3</v>
      </c>
      <c r="L22" s="363">
        <f t="shared" si="7"/>
        <v>0</v>
      </c>
      <c r="M22" s="352"/>
      <c r="N22" s="352"/>
      <c r="O22" s="398" t="s">
        <v>18</v>
      </c>
      <c r="P22" s="399">
        <f>SUMIF($D$8:$D$55,$O22,$G$8:$G$55)+SUMIF($F$8:$F$55,$O22,$I$8:$I$55)</f>
        <v>2</v>
      </c>
      <c r="Q22" s="399">
        <f>SUMIF($D$8:$D$55,$O22,$I$8:$I$55)+SUMIF($F$8:$F$55,$O22,$G$8:$G$55)</f>
        <v>5</v>
      </c>
      <c r="R22" s="399">
        <f>P22-Q22</f>
        <v>-3</v>
      </c>
      <c r="S22" s="400">
        <f>SUMIF($D$8:$D$55,$O22,$K$8:$K$55)+SUMIF($F$8:$F$55,$O22,$L$8:$L$55)</f>
        <v>1</v>
      </c>
      <c r="T22" s="445" t="s">
        <v>60</v>
      </c>
      <c r="U22" s="40"/>
      <c r="V22" s="40" t="str">
        <f>O22</f>
        <v>Griekenland</v>
      </c>
      <c r="W22" s="40" t="s">
        <v>58</v>
      </c>
      <c r="Y22" s="109">
        <f t="shared" si="8"/>
        <v>6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6</v>
      </c>
      <c r="AG22" s="108">
        <f t="shared" si="0"/>
        <v>1</v>
      </c>
      <c r="AH22" s="108">
        <f t="shared" si="1"/>
        <v>0</v>
      </c>
      <c r="AI22" s="108">
        <f t="shared" si="10"/>
        <v>0</v>
      </c>
      <c r="AJ22" s="108">
        <f t="shared" si="2"/>
        <v>5</v>
      </c>
      <c r="AK22" s="108">
        <f t="shared" si="3"/>
        <v>0</v>
      </c>
      <c r="AL22" s="108">
        <f t="shared" si="4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1</v>
      </c>
      <c r="H23" s="373" t="s">
        <v>9</v>
      </c>
      <c r="I23" s="441">
        <v>0</v>
      </c>
      <c r="J23" s="375">
        <f t="shared" si="5"/>
        <v>1</v>
      </c>
      <c r="K23" s="363">
        <f t="shared" si="6"/>
        <v>3</v>
      </c>
      <c r="L23" s="363">
        <f t="shared" si="7"/>
        <v>0</v>
      </c>
      <c r="M23" s="352"/>
      <c r="N23" s="352"/>
      <c r="O23" s="398" t="s">
        <v>23</v>
      </c>
      <c r="P23" s="399">
        <f>SUMIF($D$8:$D$55,$O23,$G$8:$G$55)+SUMIF($F$8:$F$55,$O23,$I$8:$I$55)</f>
        <v>1</v>
      </c>
      <c r="Q23" s="399">
        <f>SUMIF($D$8:$D$55,$O23,$I$8:$I$55)+SUMIF($F$8:$F$55,$O23,$G$8:$G$55)</f>
        <v>2</v>
      </c>
      <c r="R23" s="399">
        <f>P23-Q23</f>
        <v>-1</v>
      </c>
      <c r="S23" s="400">
        <f>SUMIF($D$8:$D$55,$O23,$K$8:$K$55)+SUMIF($F$8:$F$55,$O23,$L$8:$L$55)</f>
        <v>2</v>
      </c>
      <c r="T23" s="445" t="s">
        <v>59</v>
      </c>
      <c r="U23" s="40"/>
      <c r="V23" s="40" t="str">
        <f>O23</f>
        <v>Ivoorkust</v>
      </c>
      <c r="W23" s="40" t="s">
        <v>59</v>
      </c>
      <c r="Y23" s="109">
        <f t="shared" si="8"/>
        <v>1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1</v>
      </c>
      <c r="AG23" s="108">
        <f t="shared" si="0"/>
        <v>0</v>
      </c>
      <c r="AH23" s="108">
        <f t="shared" si="1"/>
        <v>1</v>
      </c>
      <c r="AI23" s="108">
        <f t="shared" si="10"/>
        <v>0</v>
      </c>
      <c r="AJ23" s="108">
        <f t="shared" si="2"/>
        <v>0</v>
      </c>
      <c r="AK23" s="108">
        <f t="shared" si="3"/>
        <v>0</v>
      </c>
      <c r="AL23" s="108">
        <f t="shared" si="4"/>
        <v>0</v>
      </c>
      <c r="AM23" s="120">
        <f>AO23</f>
        <v>10</v>
      </c>
      <c r="AN23" s="117" t="s">
        <v>23</v>
      </c>
      <c r="AO23" s="115">
        <f>IF(Uitslag!T23="",0,IF(T23=Uitslag!T23,10,0))</f>
        <v>10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1</v>
      </c>
      <c r="H24" s="379" t="s">
        <v>9</v>
      </c>
      <c r="I24" s="442">
        <v>0</v>
      </c>
      <c r="J24" s="381">
        <f t="shared" si="5"/>
        <v>1</v>
      </c>
      <c r="K24" s="363">
        <f t="shared" si="6"/>
        <v>3</v>
      </c>
      <c r="L24" s="363">
        <f t="shared" si="7"/>
        <v>0</v>
      </c>
      <c r="M24" s="352"/>
      <c r="N24" s="352"/>
      <c r="O24" s="401" t="s">
        <v>24</v>
      </c>
      <c r="P24" s="402">
        <f>SUMIF($D$8:$D$55,$O24,$G$8:$G$55)+SUMIF($F$8:$F$55,$O24,$I$8:$I$55)</f>
        <v>2</v>
      </c>
      <c r="Q24" s="402">
        <f>SUMIF($D$8:$D$55,$O24,$I$8:$I$55)+SUMIF($F$8:$F$55,$O24,$G$8:$G$55)</f>
        <v>0</v>
      </c>
      <c r="R24" s="402">
        <f>P24-Q24</f>
        <v>2</v>
      </c>
      <c r="S24" s="403">
        <f>SUMIF($D$8:$D$55,$O24,$K$8:$K$55)+SUMIF($F$8:$F$55,$O24,$L$8:$L$55)</f>
        <v>7</v>
      </c>
      <c r="T24" s="446" t="s">
        <v>57</v>
      </c>
      <c r="U24" s="40"/>
      <c r="V24" s="40" t="str">
        <f>O24</f>
        <v>Japan</v>
      </c>
      <c r="W24" s="40" t="s">
        <v>60</v>
      </c>
      <c r="Y24" s="109">
        <f t="shared" si="8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</v>
      </c>
      <c r="AG24" s="108">
        <f t="shared" si="0"/>
        <v>1</v>
      </c>
      <c r="AH24" s="108">
        <f t="shared" si="1"/>
        <v>0</v>
      </c>
      <c r="AI24" s="108">
        <f t="shared" si="10"/>
        <v>0</v>
      </c>
      <c r="AJ24" s="108">
        <f t="shared" si="2"/>
        <v>0</v>
      </c>
      <c r="AK24" s="108">
        <f t="shared" si="3"/>
        <v>0</v>
      </c>
      <c r="AL24" s="108">
        <f t="shared" si="4"/>
        <v>0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0</v>
      </c>
      <c r="H25" s="367" t="s">
        <v>9</v>
      </c>
      <c r="I25" s="440">
        <v>1</v>
      </c>
      <c r="J25" s="369">
        <f t="shared" si="5"/>
        <v>2</v>
      </c>
      <c r="K25" s="363">
        <f t="shared" si="6"/>
        <v>0</v>
      </c>
      <c r="L25" s="363">
        <f t="shared" si="7"/>
        <v>3</v>
      </c>
      <c r="M25" s="352"/>
      <c r="N25" s="352"/>
      <c r="O25" s="392"/>
      <c r="P25" s="393"/>
      <c r="Q25" s="393"/>
      <c r="R25" s="393"/>
      <c r="S25" s="393"/>
      <c r="T25" s="393"/>
      <c r="U25" s="40"/>
      <c r="V25" s="40"/>
      <c r="W25" s="40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0"/>
        <v>0</v>
      </c>
      <c r="AH25" s="108">
        <f t="shared" si="1"/>
        <v>0</v>
      </c>
      <c r="AI25" s="108">
        <f t="shared" si="10"/>
        <v>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40"/>
      <c r="AO25" s="41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1</v>
      </c>
      <c r="H26" s="373" t="s">
        <v>9</v>
      </c>
      <c r="I26" s="441">
        <v>1</v>
      </c>
      <c r="J26" s="375">
        <f t="shared" si="5"/>
        <v>3</v>
      </c>
      <c r="K26" s="363">
        <f t="shared" si="6"/>
        <v>1</v>
      </c>
      <c r="L26" s="363">
        <f t="shared" si="7"/>
        <v>1</v>
      </c>
      <c r="M26" s="352"/>
      <c r="N26" s="352"/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40"/>
      <c r="V26" s="40"/>
      <c r="W26" s="40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0"/>
        <v>0</v>
      </c>
      <c r="AH26" s="108">
        <f t="shared" si="1"/>
        <v>0</v>
      </c>
      <c r="AI26" s="108">
        <f t="shared" si="10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1</v>
      </c>
      <c r="H27" s="379" t="s">
        <v>9</v>
      </c>
      <c r="I27" s="442">
        <v>2</v>
      </c>
      <c r="J27" s="381">
        <f t="shared" si="5"/>
        <v>2</v>
      </c>
      <c r="K27" s="363">
        <f t="shared" si="6"/>
        <v>0</v>
      </c>
      <c r="L27" s="363">
        <f t="shared" si="7"/>
        <v>3</v>
      </c>
      <c r="M27" s="352"/>
      <c r="N27" s="352"/>
      <c r="O27" s="394" t="s">
        <v>19</v>
      </c>
      <c r="P27" s="395">
        <f>SUMIF($D$8:$D$55,$O27,$G$8:$G$55)+SUMIF($F$8:$F$55,$O27,$I$8:$I$55)</f>
        <v>2</v>
      </c>
      <c r="Q27" s="395">
        <f>SUMIF($D$8:$D$55,$O27,$I$8:$I$55)+SUMIF($F$8:$F$55,$O27,$G$8:$G$55)</f>
        <v>1</v>
      </c>
      <c r="R27" s="396">
        <f>P27-Q27</f>
        <v>1</v>
      </c>
      <c r="S27" s="397">
        <f>SUMIF($D$8:$D$55,$O27,$K$8:$K$55)+SUMIF($F$8:$F$55,$O27,$L$8:$L$55)</f>
        <v>6</v>
      </c>
      <c r="T27" s="444" t="s">
        <v>63</v>
      </c>
      <c r="U27" s="40"/>
      <c r="V27" s="40" t="str">
        <f>O27</f>
        <v>Uruguay</v>
      </c>
      <c r="W27" s="40" t="s">
        <v>62</v>
      </c>
      <c r="Y27" s="109">
        <f t="shared" si="8"/>
        <v>5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5</v>
      </c>
      <c r="AG27" s="108">
        <f t="shared" si="0"/>
        <v>0</v>
      </c>
      <c r="AH27" s="108">
        <f t="shared" si="1"/>
        <v>0</v>
      </c>
      <c r="AI27" s="108">
        <f t="shared" si="10"/>
        <v>0</v>
      </c>
      <c r="AJ27" s="108">
        <f t="shared" si="2"/>
        <v>0</v>
      </c>
      <c r="AK27" s="108">
        <f t="shared" si="3"/>
        <v>5</v>
      </c>
      <c r="AL27" s="108">
        <f t="shared" si="4"/>
        <v>0</v>
      </c>
      <c r="AM27" s="120">
        <f>AO27</f>
        <v>10</v>
      </c>
      <c r="AN27" s="116" t="s">
        <v>19</v>
      </c>
      <c r="AO27" s="115">
        <f>IF(Uitslag!T27="",0,IF(T27=Uitslag!T27,10,0))</f>
        <v>10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1</v>
      </c>
      <c r="H28" s="367" t="s">
        <v>9</v>
      </c>
      <c r="I28" s="440">
        <v>0</v>
      </c>
      <c r="J28" s="369">
        <f t="shared" si="5"/>
        <v>1</v>
      </c>
      <c r="K28" s="363">
        <f t="shared" si="6"/>
        <v>3</v>
      </c>
      <c r="L28" s="363">
        <f t="shared" si="7"/>
        <v>0</v>
      </c>
      <c r="M28" s="352"/>
      <c r="N28" s="352"/>
      <c r="O28" s="398" t="s">
        <v>20</v>
      </c>
      <c r="P28" s="399">
        <f>SUMIF($D$8:$D$55,$O28,$G$8:$G$55)+SUMIF($F$8:$F$55,$O28,$I$8:$I$55)</f>
        <v>0</v>
      </c>
      <c r="Q28" s="399">
        <f>SUMIF($D$8:$D$55,$O28,$I$8:$I$55)+SUMIF($F$8:$F$55,$O28,$G$8:$G$55)</f>
        <v>3</v>
      </c>
      <c r="R28" s="399">
        <f>P28-Q28</f>
        <v>-3</v>
      </c>
      <c r="S28" s="400">
        <f>SUMIF($D$8:$D$55,$O28,$K$8:$K$55)+SUMIF($F$8:$F$55,$O28,$L$8:$L$55)</f>
        <v>1</v>
      </c>
      <c r="T28" s="445" t="s">
        <v>65</v>
      </c>
      <c r="U28" s="40"/>
      <c r="V28" s="40" t="str">
        <f>O28</f>
        <v>Costa Rica</v>
      </c>
      <c r="W28" s="40" t="s">
        <v>63</v>
      </c>
      <c r="Y28" s="109">
        <f t="shared" si="8"/>
        <v>5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5</v>
      </c>
      <c r="AG28" s="108">
        <f t="shared" si="0"/>
        <v>0</v>
      </c>
      <c r="AH28" s="108">
        <f t="shared" si="1"/>
        <v>0</v>
      </c>
      <c r="AI28" s="108">
        <f t="shared" si="10"/>
        <v>0</v>
      </c>
      <c r="AJ28" s="108">
        <f t="shared" si="2"/>
        <v>5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1</v>
      </c>
      <c r="H29" s="373" t="s">
        <v>9</v>
      </c>
      <c r="I29" s="441">
        <v>0</v>
      </c>
      <c r="J29" s="375">
        <f t="shared" si="5"/>
        <v>1</v>
      </c>
      <c r="K29" s="363">
        <f t="shared" si="6"/>
        <v>3</v>
      </c>
      <c r="L29" s="363">
        <f t="shared" si="7"/>
        <v>0</v>
      </c>
      <c r="M29" s="352"/>
      <c r="N29" s="352"/>
      <c r="O29" s="398" t="s">
        <v>21</v>
      </c>
      <c r="P29" s="399">
        <f>SUMIF($D$8:$D$55,$O29,$G$8:$G$55)+SUMIF($F$8:$F$55,$O29,$I$8:$I$55)</f>
        <v>2</v>
      </c>
      <c r="Q29" s="399">
        <f>SUMIF($D$8:$D$55,$O29,$I$8:$I$55)+SUMIF($F$8:$F$55,$O29,$G$8:$G$55)</f>
        <v>2</v>
      </c>
      <c r="R29" s="399">
        <f>P29-Q29</f>
        <v>0</v>
      </c>
      <c r="S29" s="400">
        <f>SUMIF($D$8:$D$55,$O29,$K$8:$K$55)+SUMIF($F$8:$F$55,$O29,$L$8:$L$55)</f>
        <v>4</v>
      </c>
      <c r="T29" s="445" t="s">
        <v>64</v>
      </c>
      <c r="U29" s="40"/>
      <c r="V29" s="40" t="str">
        <f>O29</f>
        <v>Engeland</v>
      </c>
      <c r="W29" s="40" t="s">
        <v>64</v>
      </c>
      <c r="Y29" s="109">
        <f t="shared" si="8"/>
        <v>5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5</v>
      </c>
      <c r="AG29" s="108">
        <f t="shared" si="0"/>
        <v>0</v>
      </c>
      <c r="AH29" s="108">
        <f t="shared" si="1"/>
        <v>0</v>
      </c>
      <c r="AI29" s="108">
        <f t="shared" si="10"/>
        <v>0</v>
      </c>
      <c r="AJ29" s="108">
        <f t="shared" si="2"/>
        <v>5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1</v>
      </c>
      <c r="H30" s="379" t="s">
        <v>9</v>
      </c>
      <c r="I30" s="442">
        <v>0</v>
      </c>
      <c r="J30" s="381">
        <f t="shared" si="5"/>
        <v>1</v>
      </c>
      <c r="K30" s="363">
        <f t="shared" si="6"/>
        <v>3</v>
      </c>
      <c r="L30" s="363">
        <f t="shared" si="7"/>
        <v>0</v>
      </c>
      <c r="M30" s="352"/>
      <c r="N30" s="352"/>
      <c r="O30" s="401" t="s">
        <v>22</v>
      </c>
      <c r="P30" s="402">
        <f>SUMIF($D$8:$D$55,$O30,$G$8:$G$55)+SUMIF($F$8:$F$55,$O30,$I$8:$I$55)</f>
        <v>4</v>
      </c>
      <c r="Q30" s="402">
        <f>SUMIF($D$8:$D$55,$O30,$I$8:$I$55)+SUMIF($F$8:$F$55,$O30,$G$8:$G$55)</f>
        <v>2</v>
      </c>
      <c r="R30" s="402">
        <f>P30-Q30</f>
        <v>2</v>
      </c>
      <c r="S30" s="403">
        <f>SUMIF($D$8:$D$55,$O30,$K$8:$K$55)+SUMIF($F$8:$F$55,$O30,$L$8:$L$55)</f>
        <v>6</v>
      </c>
      <c r="T30" s="446" t="s">
        <v>62</v>
      </c>
      <c r="U30" s="40"/>
      <c r="V30" s="40" t="str">
        <f>O30</f>
        <v>Italië</v>
      </c>
      <c r="W30" s="40" t="s">
        <v>65</v>
      </c>
      <c r="Y30" s="109">
        <f t="shared" si="8"/>
        <v>1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1</v>
      </c>
      <c r="AG30" s="108">
        <f t="shared" si="0"/>
        <v>0</v>
      </c>
      <c r="AH30" s="108">
        <f t="shared" si="1"/>
        <v>1</v>
      </c>
      <c r="AI30" s="108">
        <f t="shared" si="10"/>
        <v>0</v>
      </c>
      <c r="AJ30" s="108">
        <f t="shared" si="2"/>
        <v>0</v>
      </c>
      <c r="AK30" s="108">
        <f t="shared" si="3"/>
        <v>0</v>
      </c>
      <c r="AL30" s="108">
        <f t="shared" si="4"/>
        <v>0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2</v>
      </c>
      <c r="H31" s="367" t="s">
        <v>9</v>
      </c>
      <c r="I31" s="440">
        <v>0</v>
      </c>
      <c r="J31" s="369">
        <f t="shared" si="5"/>
        <v>1</v>
      </c>
      <c r="K31" s="363">
        <f t="shared" si="6"/>
        <v>3</v>
      </c>
      <c r="L31" s="363">
        <f t="shared" si="7"/>
        <v>0</v>
      </c>
      <c r="M31" s="352"/>
      <c r="N31" s="352"/>
      <c r="O31" s="392"/>
      <c r="P31" s="393"/>
      <c r="Q31" s="393"/>
      <c r="R31" s="393"/>
      <c r="S31" s="393"/>
      <c r="T31" s="393"/>
      <c r="U31" s="40"/>
      <c r="V31" s="40"/>
      <c r="W31" s="40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0"/>
        <v>0</v>
      </c>
      <c r="AH31" s="108">
        <f t="shared" si="1"/>
        <v>0</v>
      </c>
      <c r="AI31" s="108">
        <f t="shared" si="10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40"/>
      <c r="AO31" s="41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1</v>
      </c>
      <c r="H32" s="373" t="s">
        <v>9</v>
      </c>
      <c r="I32" s="441">
        <v>2</v>
      </c>
      <c r="J32" s="375">
        <f t="shared" si="5"/>
        <v>2</v>
      </c>
      <c r="K32" s="363">
        <f t="shared" si="6"/>
        <v>0</v>
      </c>
      <c r="L32" s="363">
        <f t="shared" si="7"/>
        <v>3</v>
      </c>
      <c r="M32" s="352"/>
      <c r="N32" s="352"/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40"/>
      <c r="V32" s="40"/>
      <c r="W32" s="40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0"/>
        <v>0</v>
      </c>
      <c r="AH32" s="108">
        <f t="shared" si="1"/>
        <v>0</v>
      </c>
      <c r="AI32" s="108">
        <f t="shared" si="10"/>
        <v>0</v>
      </c>
      <c r="AJ32" s="108">
        <f t="shared" si="2"/>
        <v>0</v>
      </c>
      <c r="AK32" s="108">
        <f t="shared" si="3"/>
        <v>5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1</v>
      </c>
      <c r="H33" s="379" t="s">
        <v>9</v>
      </c>
      <c r="I33" s="442">
        <v>2</v>
      </c>
      <c r="J33" s="381">
        <f t="shared" si="5"/>
        <v>2</v>
      </c>
      <c r="K33" s="363">
        <f t="shared" si="6"/>
        <v>0</v>
      </c>
      <c r="L33" s="363">
        <f t="shared" si="7"/>
        <v>3</v>
      </c>
      <c r="M33" s="352"/>
      <c r="N33" s="352"/>
      <c r="O33" s="394" t="s">
        <v>25</v>
      </c>
      <c r="P33" s="395">
        <f>SUMIF($D$8:$D$55,$O33,$G$8:$G$55)+SUMIF($F$8:$F$55,$O33,$I$8:$I$55)</f>
        <v>5</v>
      </c>
      <c r="Q33" s="395">
        <f>SUMIF($D$8:$D$55,$O33,$I$8:$I$55)+SUMIF($F$8:$F$55,$O33,$G$8:$G$55)</f>
        <v>4</v>
      </c>
      <c r="R33" s="396">
        <f>P33-Q33</f>
        <v>1</v>
      </c>
      <c r="S33" s="397">
        <f>SUMIF($D$8:$D$55,$O33,$K$8:$K$55)+SUMIF($F$8:$F$55,$O33,$L$8:$L$55)</f>
        <v>6</v>
      </c>
      <c r="T33" s="444" t="s">
        <v>68</v>
      </c>
      <c r="U33" s="40"/>
      <c r="V33" s="40" t="str">
        <f>O33</f>
        <v>Zwitserland</v>
      </c>
      <c r="W33" s="40" t="s">
        <v>67</v>
      </c>
      <c r="Y33" s="109">
        <f t="shared" si="8"/>
        <v>10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10</v>
      </c>
      <c r="AG33" s="108">
        <f t="shared" si="0"/>
        <v>1</v>
      </c>
      <c r="AH33" s="108">
        <f t="shared" si="1"/>
        <v>1</v>
      </c>
      <c r="AI33" s="108">
        <f t="shared" si="10"/>
        <v>10</v>
      </c>
      <c r="AJ33" s="108">
        <f t="shared" si="2"/>
        <v>0</v>
      </c>
      <c r="AK33" s="108">
        <f t="shared" si="3"/>
        <v>5</v>
      </c>
      <c r="AL33" s="108">
        <f t="shared" si="4"/>
        <v>0</v>
      </c>
      <c r="AM33" s="120">
        <f>AO33</f>
        <v>10</v>
      </c>
      <c r="AN33" s="116" t="s">
        <v>25</v>
      </c>
      <c r="AO33" s="115">
        <f>IF(Uitslag!T33="",0,IF(T33=Uitslag!T33,10,0))</f>
        <v>10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3</v>
      </c>
      <c r="H34" s="367" t="s">
        <v>9</v>
      </c>
      <c r="I34" s="440">
        <v>0</v>
      </c>
      <c r="J34" s="369">
        <f t="shared" si="5"/>
        <v>1</v>
      </c>
      <c r="K34" s="363">
        <f t="shared" si="6"/>
        <v>3</v>
      </c>
      <c r="L34" s="363">
        <f t="shared" si="7"/>
        <v>0</v>
      </c>
      <c r="M34" s="352"/>
      <c r="N34" s="352"/>
      <c r="O34" s="398" t="s">
        <v>26</v>
      </c>
      <c r="P34" s="399">
        <f>SUMIF($D$8:$D$55,$O34,$G$8:$G$55)+SUMIF($F$8:$F$55,$O34,$I$8:$I$55)</f>
        <v>3</v>
      </c>
      <c r="Q34" s="399">
        <f>SUMIF($D$8:$D$55,$O34,$I$8:$I$55)+SUMIF($F$8:$F$55,$O34,$G$8:$G$55)</f>
        <v>4</v>
      </c>
      <c r="R34" s="399">
        <f>P34-Q34</f>
        <v>-1</v>
      </c>
      <c r="S34" s="400">
        <f>SUMIF($D$8:$D$55,$O34,$K$8:$K$55)+SUMIF($F$8:$F$55,$O34,$L$8:$L$55)</f>
        <v>3</v>
      </c>
      <c r="T34" s="445" t="s">
        <v>69</v>
      </c>
      <c r="U34" s="40"/>
      <c r="V34" s="40" t="str">
        <f>O34</f>
        <v>Ecuador</v>
      </c>
      <c r="W34" s="40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0"/>
        <v>0</v>
      </c>
      <c r="AH34" s="108">
        <f t="shared" si="1"/>
        <v>1</v>
      </c>
      <c r="AI34" s="108">
        <f t="shared" si="10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10</v>
      </c>
      <c r="AN34" s="117" t="s">
        <v>26</v>
      </c>
      <c r="AO34" s="115">
        <f>IF(Uitslag!T34="",0,IF(T34=Uitslag!T34,10,0))</f>
        <v>10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2</v>
      </c>
      <c r="H35" s="373" t="s">
        <v>9</v>
      </c>
      <c r="I35" s="441">
        <v>0</v>
      </c>
      <c r="J35" s="375">
        <f t="shared" si="5"/>
        <v>1</v>
      </c>
      <c r="K35" s="363">
        <f t="shared" si="6"/>
        <v>3</v>
      </c>
      <c r="L35" s="363">
        <f t="shared" si="7"/>
        <v>0</v>
      </c>
      <c r="M35" s="352"/>
      <c r="N35" s="352"/>
      <c r="O35" s="398" t="s">
        <v>27</v>
      </c>
      <c r="P35" s="399">
        <f>SUMIF($D$8:$D$55,$O35,$G$8:$G$55)+SUMIF($F$8:$F$55,$O35,$I$8:$I$55)</f>
        <v>5</v>
      </c>
      <c r="Q35" s="399">
        <f>SUMIF($D$8:$D$55,$O35,$I$8:$I$55)+SUMIF($F$8:$F$55,$O35,$G$8:$G$55)</f>
        <v>1</v>
      </c>
      <c r="R35" s="399">
        <f>P35-Q35</f>
        <v>4</v>
      </c>
      <c r="S35" s="400">
        <f>SUMIF($D$8:$D$55,$O35,$K$8:$K$55)+SUMIF($F$8:$F$55,$O35,$L$8:$L$55)</f>
        <v>9</v>
      </c>
      <c r="T35" s="445" t="s">
        <v>67</v>
      </c>
      <c r="U35" s="40"/>
      <c r="V35" s="40" t="str">
        <f>O35</f>
        <v>Frankrijk</v>
      </c>
      <c r="W35" s="40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0"/>
        <v>1</v>
      </c>
      <c r="AH35" s="108">
        <f t="shared" si="1"/>
        <v>0</v>
      </c>
      <c r="AI35" s="108">
        <f t="shared" si="10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1</v>
      </c>
      <c r="H36" s="379" t="s">
        <v>9</v>
      </c>
      <c r="I36" s="442">
        <v>1</v>
      </c>
      <c r="J36" s="381">
        <f t="shared" si="5"/>
        <v>3</v>
      </c>
      <c r="K36" s="363">
        <f t="shared" si="6"/>
        <v>1</v>
      </c>
      <c r="L36" s="363">
        <f t="shared" si="7"/>
        <v>1</v>
      </c>
      <c r="M36" s="352"/>
      <c r="N36" s="352"/>
      <c r="O36" s="401" t="s">
        <v>28</v>
      </c>
      <c r="P36" s="402">
        <f>SUMIF($D$8:$D$55,$O36,$G$8:$G$55)+SUMIF($F$8:$F$55,$O36,$I$8:$I$55)</f>
        <v>2</v>
      </c>
      <c r="Q36" s="402">
        <f>SUMIF($D$8:$D$55,$O36,$I$8:$I$55)+SUMIF($F$8:$F$55,$O36,$G$8:$G$55)</f>
        <v>6</v>
      </c>
      <c r="R36" s="402">
        <f>P36-Q36</f>
        <v>-4</v>
      </c>
      <c r="S36" s="403">
        <f>SUMIF($D$8:$D$55,$O36,$K$8:$K$55)+SUMIF($F$8:$F$55,$O36,$L$8:$L$55)</f>
        <v>0</v>
      </c>
      <c r="T36" s="446" t="s">
        <v>70</v>
      </c>
      <c r="U36" s="40"/>
      <c r="V36" s="40" t="str">
        <f>O36</f>
        <v>Honduras</v>
      </c>
      <c r="W36" s="40" t="s">
        <v>70</v>
      </c>
      <c r="Y36" s="109">
        <f t="shared" si="8"/>
        <v>1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1</v>
      </c>
      <c r="AG36" s="108">
        <f t="shared" si="0"/>
        <v>1</v>
      </c>
      <c r="AH36" s="108">
        <f t="shared" si="1"/>
        <v>0</v>
      </c>
      <c r="AI36" s="108">
        <f t="shared" si="10"/>
        <v>0</v>
      </c>
      <c r="AJ36" s="108">
        <f t="shared" si="2"/>
        <v>0</v>
      </c>
      <c r="AK36" s="108">
        <f t="shared" si="3"/>
        <v>0</v>
      </c>
      <c r="AL36" s="108">
        <f t="shared" si="4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2</v>
      </c>
      <c r="H37" s="367" t="s">
        <v>9</v>
      </c>
      <c r="I37" s="440">
        <v>1</v>
      </c>
      <c r="J37" s="369">
        <f t="shared" si="5"/>
        <v>1</v>
      </c>
      <c r="K37" s="363">
        <f t="shared" si="6"/>
        <v>3</v>
      </c>
      <c r="L37" s="363">
        <f t="shared" si="7"/>
        <v>0</v>
      </c>
      <c r="M37" s="352"/>
      <c r="N37" s="352"/>
      <c r="O37" s="392"/>
      <c r="P37" s="393"/>
      <c r="Q37" s="393"/>
      <c r="R37" s="393"/>
      <c r="S37" s="393"/>
      <c r="T37" s="393"/>
      <c r="U37" s="40"/>
      <c r="V37" s="40"/>
      <c r="W37" s="40"/>
      <c r="Y37" s="109">
        <f t="shared" si="8"/>
        <v>5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5</v>
      </c>
      <c r="AG37" s="108">
        <f t="shared" si="0"/>
        <v>0</v>
      </c>
      <c r="AH37" s="108">
        <f t="shared" si="1"/>
        <v>0</v>
      </c>
      <c r="AI37" s="108">
        <f t="shared" si="10"/>
        <v>0</v>
      </c>
      <c r="AJ37" s="108">
        <f t="shared" si="2"/>
        <v>5</v>
      </c>
      <c r="AK37" s="108">
        <f t="shared" si="3"/>
        <v>0</v>
      </c>
      <c r="AL37" s="108">
        <f t="shared" si="4"/>
        <v>0</v>
      </c>
      <c r="AN37" s="40"/>
      <c r="AO37" s="41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2</v>
      </c>
      <c r="H38" s="373" t="s">
        <v>9</v>
      </c>
      <c r="I38" s="441">
        <v>0</v>
      </c>
      <c r="J38" s="375">
        <f t="shared" si="5"/>
        <v>1</v>
      </c>
      <c r="K38" s="363">
        <f t="shared" si="6"/>
        <v>3</v>
      </c>
      <c r="L38" s="363">
        <f t="shared" si="7"/>
        <v>0</v>
      </c>
      <c r="M38" s="352"/>
      <c r="N38" s="352"/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40"/>
      <c r="V38" s="40"/>
      <c r="W38" s="40"/>
      <c r="Y38" s="109">
        <f t="shared" si="8"/>
        <v>1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1</v>
      </c>
      <c r="AG38" s="108">
        <f t="shared" si="0"/>
        <v>1</v>
      </c>
      <c r="AH38" s="108">
        <f t="shared" si="1"/>
        <v>0</v>
      </c>
      <c r="AI38" s="108">
        <f t="shared" si="10"/>
        <v>0</v>
      </c>
      <c r="AJ38" s="108">
        <f t="shared" si="2"/>
        <v>0</v>
      </c>
      <c r="AK38" s="108">
        <f t="shared" si="3"/>
        <v>0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1</v>
      </c>
      <c r="H39" s="379" t="s">
        <v>9</v>
      </c>
      <c r="I39" s="442">
        <v>2</v>
      </c>
      <c r="J39" s="381">
        <f t="shared" si="5"/>
        <v>2</v>
      </c>
      <c r="K39" s="363">
        <f t="shared" si="6"/>
        <v>0</v>
      </c>
      <c r="L39" s="363">
        <f t="shared" si="7"/>
        <v>3</v>
      </c>
      <c r="M39" s="352"/>
      <c r="N39" s="352"/>
      <c r="O39" s="394" t="s">
        <v>29</v>
      </c>
      <c r="P39" s="395">
        <f>SUMIF($D$8:$D$55,$O39,$G$8:$G$55)+SUMIF($F$8:$F$55,$O39,$I$8:$I$55)</f>
        <v>7</v>
      </c>
      <c r="Q39" s="395">
        <f>SUMIF($D$8:$D$55,$O39,$I$8:$I$55)+SUMIF($F$8:$F$55,$O39,$G$8:$G$55)</f>
        <v>1</v>
      </c>
      <c r="R39" s="396">
        <f>P39-Q39</f>
        <v>6</v>
      </c>
      <c r="S39" s="397">
        <f>SUMIF($D$8:$D$55,$O39,$K$8:$K$55)+SUMIF($F$8:$F$55,$O39,$L$8:$L$55)</f>
        <v>9</v>
      </c>
      <c r="T39" s="444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1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1</v>
      </c>
      <c r="AG39" s="108">
        <f t="shared" si="0"/>
        <v>0</v>
      </c>
      <c r="AH39" s="108">
        <f t="shared" si="1"/>
        <v>1</v>
      </c>
      <c r="AI39" s="108">
        <f t="shared" si="10"/>
        <v>0</v>
      </c>
      <c r="AJ39" s="108">
        <f t="shared" si="2"/>
        <v>0</v>
      </c>
      <c r="AK39" s="108">
        <f t="shared" si="3"/>
        <v>0</v>
      </c>
      <c r="AL39" s="108">
        <f t="shared" si="4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0</v>
      </c>
      <c r="H40" s="367" t="s">
        <v>9</v>
      </c>
      <c r="I40" s="440">
        <v>2</v>
      </c>
      <c r="J40" s="369">
        <f t="shared" si="5"/>
        <v>2</v>
      </c>
      <c r="K40" s="363">
        <f t="shared" si="6"/>
        <v>0</v>
      </c>
      <c r="L40" s="363">
        <f t="shared" si="7"/>
        <v>3</v>
      </c>
      <c r="M40" s="352"/>
      <c r="N40" s="352"/>
      <c r="O40" s="398" t="s">
        <v>30</v>
      </c>
      <c r="P40" s="399">
        <f>SUMIF($D$8:$D$55,$O40,$G$8:$G$55)+SUMIF($F$8:$F$55,$O40,$I$8:$I$55)</f>
        <v>1</v>
      </c>
      <c r="Q40" s="399">
        <f>SUMIF($D$8:$D$55,$O40,$I$8:$I$55)+SUMIF($F$8:$F$55,$O40,$G$8:$G$55)</f>
        <v>3</v>
      </c>
      <c r="R40" s="399">
        <f>P40-Q40</f>
        <v>-2</v>
      </c>
      <c r="S40" s="400">
        <f>SUMIF($D$8:$D$55,$O40,$K$8:$K$55)+SUMIF($F$8:$F$55,$O40,$L$8:$L$55)</f>
        <v>2</v>
      </c>
      <c r="T40" s="445" t="s">
        <v>74</v>
      </c>
      <c r="U40" s="40"/>
      <c r="V40" s="40" t="str">
        <f>O40</f>
        <v>Bosnië H.</v>
      </c>
      <c r="W40" s="40" t="s">
        <v>73</v>
      </c>
      <c r="Y40" s="109">
        <f t="shared" si="8"/>
        <v>6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6</v>
      </c>
      <c r="AG40" s="108">
        <f t="shared" si="0"/>
        <v>1</v>
      </c>
      <c r="AH40" s="108">
        <f t="shared" si="1"/>
        <v>0</v>
      </c>
      <c r="AI40" s="108">
        <f t="shared" si="10"/>
        <v>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2</v>
      </c>
      <c r="H41" s="373" t="s">
        <v>9</v>
      </c>
      <c r="I41" s="441">
        <v>1</v>
      </c>
      <c r="J41" s="375">
        <f t="shared" si="5"/>
        <v>1</v>
      </c>
      <c r="K41" s="363">
        <f t="shared" si="6"/>
        <v>3</v>
      </c>
      <c r="L41" s="363">
        <f t="shared" si="7"/>
        <v>0</v>
      </c>
      <c r="M41" s="352"/>
      <c r="N41" s="352"/>
      <c r="O41" s="398" t="s">
        <v>33</v>
      </c>
      <c r="P41" s="399">
        <f>SUMIF($D$8:$D$55,$O41,$G$8:$G$55)+SUMIF($F$8:$F$55,$O41,$I$8:$I$55)</f>
        <v>1</v>
      </c>
      <c r="Q41" s="399">
        <f>SUMIF($D$8:$D$55,$O41,$I$8:$I$55)+SUMIF($F$8:$F$55,$O41,$G$8:$G$55)</f>
        <v>5</v>
      </c>
      <c r="R41" s="399">
        <f>P41-Q41</f>
        <v>-4</v>
      </c>
      <c r="S41" s="400">
        <f>SUMIF($D$8:$D$55,$O41,$K$8:$K$55)+SUMIF($F$8:$F$55,$O41,$L$8:$L$55)</f>
        <v>1</v>
      </c>
      <c r="T41" s="445" t="s">
        <v>75</v>
      </c>
      <c r="U41" s="40"/>
      <c r="V41" s="40" t="str">
        <f>O41</f>
        <v>Iran</v>
      </c>
      <c r="W41" s="40" t="s">
        <v>74</v>
      </c>
      <c r="Y41" s="109">
        <f t="shared" si="8"/>
        <v>6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6</v>
      </c>
      <c r="AG41" s="108">
        <f t="shared" si="0"/>
        <v>1</v>
      </c>
      <c r="AH41" s="108">
        <f t="shared" si="1"/>
        <v>0</v>
      </c>
      <c r="AI41" s="108">
        <f t="shared" si="10"/>
        <v>0</v>
      </c>
      <c r="AJ41" s="108">
        <f t="shared" si="2"/>
        <v>5</v>
      </c>
      <c r="AK41" s="108">
        <f t="shared" si="3"/>
        <v>0</v>
      </c>
      <c r="AL41" s="108">
        <f t="shared" si="4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1</v>
      </c>
      <c r="H42" s="373" t="s">
        <v>9</v>
      </c>
      <c r="I42" s="441">
        <v>2</v>
      </c>
      <c r="J42" s="375">
        <f t="shared" si="5"/>
        <v>2</v>
      </c>
      <c r="K42" s="363">
        <f t="shared" si="6"/>
        <v>0</v>
      </c>
      <c r="L42" s="363">
        <f t="shared" si="7"/>
        <v>3</v>
      </c>
      <c r="M42" s="352"/>
      <c r="N42" s="352"/>
      <c r="O42" s="401" t="s">
        <v>34</v>
      </c>
      <c r="P42" s="402">
        <f>SUMIF($D$8:$D$55,$O42,$G$8:$G$55)+SUMIF($F$8:$F$55,$O42,$I$8:$I$55)</f>
        <v>4</v>
      </c>
      <c r="Q42" s="402">
        <f>SUMIF($D$8:$D$55,$O42,$I$8:$I$55)+SUMIF($F$8:$F$55,$O42,$G$8:$G$55)</f>
        <v>4</v>
      </c>
      <c r="R42" s="402">
        <f>P42-Q42</f>
        <v>0</v>
      </c>
      <c r="S42" s="403">
        <f>SUMIF($D$8:$D$55,$O42,$K$8:$K$55)+SUMIF($F$8:$F$55,$O42,$L$8:$L$55)</f>
        <v>4</v>
      </c>
      <c r="T42" s="446" t="s">
        <v>73</v>
      </c>
      <c r="U42" s="40"/>
      <c r="V42" s="40" t="str">
        <f>O42</f>
        <v>Nigeria</v>
      </c>
      <c r="W42" s="40" t="s">
        <v>75</v>
      </c>
      <c r="Y42" s="109">
        <f t="shared" si="8"/>
        <v>6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6</v>
      </c>
      <c r="AG42" s="108">
        <f t="shared" si="0"/>
        <v>1</v>
      </c>
      <c r="AH42" s="108">
        <f t="shared" si="1"/>
        <v>0</v>
      </c>
      <c r="AI42" s="108">
        <f t="shared" si="10"/>
        <v>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1</v>
      </c>
      <c r="H43" s="379" t="s">
        <v>9</v>
      </c>
      <c r="I43" s="442">
        <v>1</v>
      </c>
      <c r="J43" s="381">
        <f t="shared" si="5"/>
        <v>3</v>
      </c>
      <c r="K43" s="363">
        <f t="shared" si="6"/>
        <v>1</v>
      </c>
      <c r="L43" s="363">
        <f t="shared" si="7"/>
        <v>1</v>
      </c>
      <c r="M43" s="352"/>
      <c r="N43" s="352"/>
      <c r="O43" s="392"/>
      <c r="P43" s="393"/>
      <c r="Q43" s="393"/>
      <c r="R43" s="393"/>
      <c r="S43" s="393"/>
      <c r="T43" s="393"/>
      <c r="U43" s="40"/>
      <c r="V43" s="40"/>
      <c r="W43" s="40"/>
      <c r="Y43" s="109">
        <f t="shared" si="8"/>
        <v>1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1</v>
      </c>
      <c r="AG43" s="108">
        <f t="shared" si="0"/>
        <v>1</v>
      </c>
      <c r="AH43" s="108">
        <f t="shared" si="1"/>
        <v>0</v>
      </c>
      <c r="AI43" s="108">
        <f t="shared" si="10"/>
        <v>0</v>
      </c>
      <c r="AJ43" s="108">
        <f t="shared" si="2"/>
        <v>0</v>
      </c>
      <c r="AK43" s="108">
        <f t="shared" si="3"/>
        <v>0</v>
      </c>
      <c r="AL43" s="108">
        <f t="shared" si="4"/>
        <v>0</v>
      </c>
      <c r="AN43" s="40"/>
      <c r="AO43" s="41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1</v>
      </c>
      <c r="H44" s="367" t="s">
        <v>9</v>
      </c>
      <c r="I44" s="440">
        <v>0</v>
      </c>
      <c r="J44" s="369">
        <f t="shared" si="5"/>
        <v>1</v>
      </c>
      <c r="K44" s="363">
        <f t="shared" si="6"/>
        <v>3</v>
      </c>
      <c r="L44" s="363">
        <f t="shared" si="7"/>
        <v>0</v>
      </c>
      <c r="M44" s="352"/>
      <c r="N44" s="352"/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40"/>
      <c r="V44" s="40"/>
      <c r="W44" s="40"/>
      <c r="Y44" s="109">
        <f t="shared" si="8"/>
        <v>0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0</v>
      </c>
      <c r="AG44" s="108">
        <f t="shared" si="0"/>
        <v>0</v>
      </c>
      <c r="AH44" s="108">
        <f t="shared" si="1"/>
        <v>0</v>
      </c>
      <c r="AI44" s="108">
        <f t="shared" si="10"/>
        <v>0</v>
      </c>
      <c r="AJ44" s="108">
        <f t="shared" si="2"/>
        <v>0</v>
      </c>
      <c r="AK44" s="108">
        <f t="shared" si="3"/>
        <v>0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0</v>
      </c>
      <c r="H45" s="373" t="s">
        <v>9</v>
      </c>
      <c r="I45" s="441">
        <v>0</v>
      </c>
      <c r="J45" s="375">
        <f t="shared" si="5"/>
        <v>3</v>
      </c>
      <c r="K45" s="363">
        <f t="shared" si="6"/>
        <v>1</v>
      </c>
      <c r="L45" s="363">
        <f t="shared" si="7"/>
        <v>1</v>
      </c>
      <c r="M45" s="352"/>
      <c r="N45" s="352"/>
      <c r="O45" s="394" t="s">
        <v>31</v>
      </c>
      <c r="P45" s="395">
        <f>SUMIF($D$8:$D$55,$O45,$G$8:$G$55)+SUMIF($F$8:$F$55,$O45,$I$8:$I$55)</f>
        <v>5</v>
      </c>
      <c r="Q45" s="395">
        <f>SUMIF($D$8:$D$55,$O45,$I$8:$I$55)+SUMIF($F$8:$F$55,$O45,$G$8:$G$55)</f>
        <v>0</v>
      </c>
      <c r="R45" s="396">
        <f>P45-Q45</f>
        <v>5</v>
      </c>
      <c r="S45" s="397">
        <f>SUMIF($D$8:$D$55,$O45,$K$8:$K$55)+SUMIF($F$8:$F$55,$O45,$L$8:$L$55)</f>
        <v>9</v>
      </c>
      <c r="T45" s="444" t="s">
        <v>77</v>
      </c>
      <c r="U45" s="40"/>
      <c r="V45" s="40" t="str">
        <f>O45</f>
        <v>Duitsland</v>
      </c>
      <c r="W45" s="40" t="s">
        <v>77</v>
      </c>
      <c r="Y45" s="109">
        <f t="shared" si="8"/>
        <v>10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10</v>
      </c>
      <c r="AG45" s="108">
        <f t="shared" si="0"/>
        <v>1</v>
      </c>
      <c r="AH45" s="108">
        <f t="shared" si="1"/>
        <v>1</v>
      </c>
      <c r="AI45" s="108">
        <f t="shared" si="10"/>
        <v>10</v>
      </c>
      <c r="AJ45" s="108">
        <f t="shared" si="2"/>
        <v>0</v>
      </c>
      <c r="AK45" s="108">
        <f t="shared" si="3"/>
        <v>0</v>
      </c>
      <c r="AL45" s="108">
        <f t="shared" si="4"/>
        <v>5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1</v>
      </c>
      <c r="H46" s="373" t="s">
        <v>9</v>
      </c>
      <c r="I46" s="441">
        <v>0</v>
      </c>
      <c r="J46" s="375">
        <f t="shared" si="5"/>
        <v>1</v>
      </c>
      <c r="K46" s="363">
        <f t="shared" si="6"/>
        <v>3</v>
      </c>
      <c r="L46" s="363">
        <f t="shared" si="7"/>
        <v>0</v>
      </c>
      <c r="M46" s="352"/>
      <c r="N46" s="352"/>
      <c r="O46" s="398" t="s">
        <v>32</v>
      </c>
      <c r="P46" s="399">
        <f>SUMIF($D$8:$D$55,$O46,$G$8:$G$55)+SUMIF($F$8:$F$55,$O46,$I$8:$I$55)</f>
        <v>3</v>
      </c>
      <c r="Q46" s="399">
        <f>SUMIF($D$8:$D$55,$O46,$I$8:$I$55)+SUMIF($F$8:$F$55,$O46,$G$8:$G$55)</f>
        <v>2</v>
      </c>
      <c r="R46" s="399">
        <f>P46-Q46</f>
        <v>1</v>
      </c>
      <c r="S46" s="400">
        <f>SUMIF($D$8:$D$55,$O46,$K$8:$K$55)+SUMIF($F$8:$F$55,$O46,$L$8:$L$55)</f>
        <v>6</v>
      </c>
      <c r="T46" s="445" t="s">
        <v>78</v>
      </c>
      <c r="U46" s="40"/>
      <c r="V46" s="40" t="str">
        <f>O46</f>
        <v>Portugal</v>
      </c>
      <c r="W46" s="40" t="s">
        <v>78</v>
      </c>
      <c r="Y46" s="109">
        <f t="shared" si="8"/>
        <v>1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1</v>
      </c>
      <c r="AG46" s="108">
        <f t="shared" si="0"/>
        <v>1</v>
      </c>
      <c r="AH46" s="108">
        <f t="shared" si="1"/>
        <v>0</v>
      </c>
      <c r="AI46" s="108">
        <f t="shared" si="10"/>
        <v>0</v>
      </c>
      <c r="AJ46" s="108">
        <f t="shared" si="2"/>
        <v>0</v>
      </c>
      <c r="AK46" s="108">
        <f t="shared" si="3"/>
        <v>0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1</v>
      </c>
      <c r="H47" s="379" t="s">
        <v>9</v>
      </c>
      <c r="I47" s="442">
        <v>1</v>
      </c>
      <c r="J47" s="381">
        <f t="shared" si="5"/>
        <v>3</v>
      </c>
      <c r="K47" s="363">
        <f t="shared" si="6"/>
        <v>1</v>
      </c>
      <c r="L47" s="363">
        <f t="shared" si="7"/>
        <v>1</v>
      </c>
      <c r="M47" s="352"/>
      <c r="N47" s="352"/>
      <c r="O47" s="398" t="s">
        <v>35</v>
      </c>
      <c r="P47" s="399">
        <f>SUMIF($D$8:$D$55,$O47,$G$8:$G$55)+SUMIF($F$8:$F$55,$O47,$I$8:$I$55)</f>
        <v>1</v>
      </c>
      <c r="Q47" s="399">
        <f>SUMIF($D$8:$D$55,$O47,$I$8:$I$55)+SUMIF($F$8:$F$55,$O47,$G$8:$G$55)</f>
        <v>5</v>
      </c>
      <c r="R47" s="399">
        <f>P47-Q47</f>
        <v>-4</v>
      </c>
      <c r="S47" s="400">
        <f>SUMIF($D$8:$D$55,$O47,$K$8:$K$55)+SUMIF($F$8:$F$55,$O47,$L$8:$L$55)</f>
        <v>0</v>
      </c>
      <c r="T47" s="445" t="s">
        <v>80</v>
      </c>
      <c r="U47" s="40"/>
      <c r="V47" s="40" t="str">
        <f>O47</f>
        <v>Ghana</v>
      </c>
      <c r="W47" s="40" t="s">
        <v>79</v>
      </c>
      <c r="Y47" s="109">
        <f t="shared" si="8"/>
        <v>1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1</v>
      </c>
      <c r="AG47" s="108">
        <f t="shared" si="0"/>
        <v>0</v>
      </c>
      <c r="AH47" s="108">
        <f t="shared" si="1"/>
        <v>1</v>
      </c>
      <c r="AI47" s="108">
        <f t="shared" si="10"/>
        <v>0</v>
      </c>
      <c r="AJ47" s="108">
        <f t="shared" si="2"/>
        <v>0</v>
      </c>
      <c r="AK47" s="108">
        <f t="shared" si="3"/>
        <v>0</v>
      </c>
      <c r="AL47" s="108">
        <f t="shared" si="4"/>
        <v>0</v>
      </c>
      <c r="AM47" s="120">
        <f>AO47</f>
        <v>10</v>
      </c>
      <c r="AN47" s="117" t="s">
        <v>35</v>
      </c>
      <c r="AO47" s="115">
        <f>IF(Uitslag!T47="",0,IF(T47=Uitslag!T47,10,0))</f>
        <v>10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1</v>
      </c>
      <c r="H48" s="367" t="s">
        <v>9</v>
      </c>
      <c r="I48" s="440">
        <v>2</v>
      </c>
      <c r="J48" s="369">
        <f t="shared" si="5"/>
        <v>2</v>
      </c>
      <c r="K48" s="363">
        <f t="shared" si="6"/>
        <v>0</v>
      </c>
      <c r="L48" s="363">
        <f t="shared" si="7"/>
        <v>3</v>
      </c>
      <c r="M48" s="352"/>
      <c r="N48" s="352"/>
      <c r="O48" s="401" t="s">
        <v>36</v>
      </c>
      <c r="P48" s="402">
        <f>SUMIF($D$8:$D$55,$O48,$G$8:$G$55)+SUMIF($F$8:$F$55,$O48,$I$8:$I$55)</f>
        <v>3</v>
      </c>
      <c r="Q48" s="402">
        <f>SUMIF($D$8:$D$55,$O48,$I$8:$I$55)+SUMIF($F$8:$F$55,$O48,$G$8:$G$55)</f>
        <v>5</v>
      </c>
      <c r="R48" s="402">
        <f>P48-Q48</f>
        <v>-2</v>
      </c>
      <c r="S48" s="403">
        <f>SUMIF($D$8:$D$55,$O48,$K$8:$K$55)+SUMIF($F$8:$F$55,$O48,$L$8:$L$55)</f>
        <v>3</v>
      </c>
      <c r="T48" s="446" t="s">
        <v>79</v>
      </c>
      <c r="U48" s="40"/>
      <c r="V48" s="40" t="str">
        <f>O48</f>
        <v>Verenigde Staten</v>
      </c>
      <c r="W48" s="40" t="s">
        <v>80</v>
      </c>
      <c r="Y48" s="109">
        <f t="shared" si="8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5</v>
      </c>
      <c r="AG48" s="108">
        <f t="shared" si="0"/>
        <v>0</v>
      </c>
      <c r="AH48" s="108">
        <f t="shared" si="1"/>
        <v>0</v>
      </c>
      <c r="AI48" s="108">
        <f t="shared" si="10"/>
        <v>0</v>
      </c>
      <c r="AJ48" s="108">
        <f t="shared" si="2"/>
        <v>0</v>
      </c>
      <c r="AK48" s="108">
        <f t="shared" si="3"/>
        <v>5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0</v>
      </c>
      <c r="H49" s="373" t="s">
        <v>9</v>
      </c>
      <c r="I49" s="441">
        <v>0</v>
      </c>
      <c r="J49" s="375">
        <f t="shared" si="5"/>
        <v>3</v>
      </c>
      <c r="K49" s="363">
        <f t="shared" si="6"/>
        <v>1</v>
      </c>
      <c r="L49" s="363">
        <f t="shared" si="7"/>
        <v>1</v>
      </c>
      <c r="M49" s="352"/>
      <c r="N49" s="352"/>
      <c r="O49" s="392"/>
      <c r="P49" s="393"/>
      <c r="Q49" s="393"/>
      <c r="R49" s="393"/>
      <c r="S49" s="393"/>
      <c r="T49" s="393"/>
      <c r="U49" s="40"/>
      <c r="V49" s="40"/>
      <c r="W49" s="40"/>
      <c r="Y49" s="109">
        <f t="shared" si="8"/>
        <v>0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0</v>
      </c>
      <c r="AG49" s="108">
        <f t="shared" si="0"/>
        <v>0</v>
      </c>
      <c r="AH49" s="108">
        <f t="shared" si="1"/>
        <v>0</v>
      </c>
      <c r="AI49" s="108">
        <f t="shared" si="10"/>
        <v>0</v>
      </c>
      <c r="AJ49" s="108">
        <f t="shared" si="2"/>
        <v>0</v>
      </c>
      <c r="AK49" s="108">
        <f t="shared" si="3"/>
        <v>0</v>
      </c>
      <c r="AL49" s="108">
        <f t="shared" si="4"/>
        <v>0</v>
      </c>
      <c r="AN49" s="40"/>
      <c r="AO49" s="41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1</v>
      </c>
      <c r="H50" s="373" t="s">
        <v>9</v>
      </c>
      <c r="I50" s="441">
        <v>2</v>
      </c>
      <c r="J50" s="375">
        <f t="shared" si="5"/>
        <v>2</v>
      </c>
      <c r="K50" s="363">
        <f t="shared" si="6"/>
        <v>0</v>
      </c>
      <c r="L50" s="363">
        <f t="shared" si="7"/>
        <v>3</v>
      </c>
      <c r="M50" s="352"/>
      <c r="N50" s="352"/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40"/>
      <c r="V50" s="40"/>
      <c r="W50" s="40"/>
      <c r="Y50" s="109">
        <f t="shared" si="8"/>
        <v>5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5</v>
      </c>
      <c r="AG50" s="108">
        <f t="shared" si="0"/>
        <v>0</v>
      </c>
      <c r="AH50" s="108">
        <f t="shared" si="1"/>
        <v>0</v>
      </c>
      <c r="AI50" s="108">
        <f t="shared" si="10"/>
        <v>0</v>
      </c>
      <c r="AJ50" s="108">
        <f t="shared" si="2"/>
        <v>0</v>
      </c>
      <c r="AK50" s="108">
        <f t="shared" si="3"/>
        <v>5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0</v>
      </c>
      <c r="H51" s="379" t="s">
        <v>9</v>
      </c>
      <c r="I51" s="442">
        <v>1</v>
      </c>
      <c r="J51" s="381">
        <f t="shared" si="5"/>
        <v>2</v>
      </c>
      <c r="K51" s="363">
        <f t="shared" si="6"/>
        <v>0</v>
      </c>
      <c r="L51" s="363">
        <f>IF(I51="","",IF($G51&lt;$I51,3,IF($G51=$I51,1,0)))</f>
        <v>3</v>
      </c>
      <c r="M51" s="352"/>
      <c r="N51" s="352"/>
      <c r="O51" s="394" t="s">
        <v>37</v>
      </c>
      <c r="P51" s="395">
        <f>SUMIF($D$8:$D$55,$O51,$G$8:$G$55)+SUMIF($F$8:$F$55,$O51,$I$8:$I$55)</f>
        <v>5</v>
      </c>
      <c r="Q51" s="395">
        <f>SUMIF($D$8:$D$55,$O51,$I$8:$I$55)+SUMIF($F$8:$F$55,$O51,$G$8:$G$55)</f>
        <v>1</v>
      </c>
      <c r="R51" s="396">
        <f>P51-Q51</f>
        <v>4</v>
      </c>
      <c r="S51" s="397">
        <f>SUMIF($D$8:$D$55,$O51,$K$8:$K$55)+SUMIF($F$8:$F$55,$O51,$L$8:$L$55)</f>
        <v>9</v>
      </c>
      <c r="T51" s="444" t="s">
        <v>82</v>
      </c>
      <c r="U51" s="40"/>
      <c r="V51" s="40" t="str">
        <f>O51</f>
        <v>België</v>
      </c>
      <c r="W51" s="40" t="s">
        <v>82</v>
      </c>
      <c r="Y51" s="109">
        <f t="shared" si="8"/>
        <v>1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1</v>
      </c>
      <c r="AG51" s="108">
        <f t="shared" si="0"/>
        <v>1</v>
      </c>
      <c r="AH51" s="108">
        <f t="shared" si="1"/>
        <v>0</v>
      </c>
      <c r="AI51" s="108">
        <f t="shared" si="10"/>
        <v>0</v>
      </c>
      <c r="AJ51" s="108">
        <f t="shared" si="2"/>
        <v>0</v>
      </c>
      <c r="AK51" s="108">
        <f t="shared" si="3"/>
        <v>0</v>
      </c>
      <c r="AL51" s="108">
        <f t="shared" si="4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0</v>
      </c>
      <c r="H52" s="373" t="s">
        <v>9</v>
      </c>
      <c r="I52" s="441">
        <v>2</v>
      </c>
      <c r="J52" s="369">
        <f t="shared" si="5"/>
        <v>2</v>
      </c>
      <c r="K52" s="363">
        <f t="shared" si="6"/>
        <v>0</v>
      </c>
      <c r="L52" s="363">
        <f t="shared" si="7"/>
        <v>3</v>
      </c>
      <c r="M52" s="352"/>
      <c r="N52" s="352"/>
      <c r="O52" s="398" t="s">
        <v>38</v>
      </c>
      <c r="P52" s="399">
        <f>SUMIF($D$8:$D$55,$O52,$G$8:$G$55)+SUMIF($F$8:$F$55,$O52,$I$8:$I$55)</f>
        <v>0</v>
      </c>
      <c r="Q52" s="399">
        <f>SUMIF($D$8:$D$55,$O52,$I$8:$I$55)+SUMIF($F$8:$F$55,$O52,$G$8:$G$55)</f>
        <v>5</v>
      </c>
      <c r="R52" s="399">
        <f>P52-Q52</f>
        <v>-5</v>
      </c>
      <c r="S52" s="400">
        <f>SUMIF($D$8:$D$55,$O52,$K$8:$K$55)+SUMIF($F$8:$F$55,$O52,$L$8:$L$55)</f>
        <v>0</v>
      </c>
      <c r="T52" s="445" t="s">
        <v>85</v>
      </c>
      <c r="U52" s="40"/>
      <c r="V52" s="40" t="str">
        <f>O52</f>
        <v>Algerije</v>
      </c>
      <c r="W52" s="40" t="s">
        <v>83</v>
      </c>
      <c r="Y52" s="109">
        <f t="shared" si="8"/>
        <v>6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6</v>
      </c>
      <c r="AG52" s="108">
        <f t="shared" si="0"/>
        <v>1</v>
      </c>
      <c r="AH52" s="108">
        <f t="shared" si="1"/>
        <v>0</v>
      </c>
      <c r="AI52" s="108">
        <f t="shared" si="10"/>
        <v>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1</v>
      </c>
      <c r="H53" s="373" t="s">
        <v>9</v>
      </c>
      <c r="I53" s="441">
        <v>0</v>
      </c>
      <c r="J53" s="375">
        <f t="shared" si="5"/>
        <v>1</v>
      </c>
      <c r="K53" s="363">
        <f t="shared" si="6"/>
        <v>3</v>
      </c>
      <c r="L53" s="363">
        <f t="shared" si="7"/>
        <v>0</v>
      </c>
      <c r="M53" s="352"/>
      <c r="N53" s="352"/>
      <c r="O53" s="398" t="s">
        <v>39</v>
      </c>
      <c r="P53" s="399">
        <f>SUMIF($D$8:$D$55,$O53,$G$8:$G$55)+SUMIF($F$8:$F$55,$O53,$I$8:$I$55)</f>
        <v>3</v>
      </c>
      <c r="Q53" s="399">
        <f>SUMIF($D$8:$D$55,$O53,$I$8:$I$55)+SUMIF($F$8:$F$55,$O53,$G$8:$G$55)</f>
        <v>2</v>
      </c>
      <c r="R53" s="399">
        <f>P53-Q53</f>
        <v>1</v>
      </c>
      <c r="S53" s="400">
        <f>SUMIF($D$8:$D$55,$O53,$K$8:$K$55)+SUMIF($F$8:$F$55,$O53,$L$8:$L$55)</f>
        <v>6</v>
      </c>
      <c r="T53" s="445" t="s">
        <v>83</v>
      </c>
      <c r="U53" s="40"/>
      <c r="V53" s="40" t="str">
        <f>O53</f>
        <v>Rusland</v>
      </c>
      <c r="W53" s="40" t="s">
        <v>84</v>
      </c>
      <c r="Y53" s="109">
        <f t="shared" si="8"/>
        <v>5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5</v>
      </c>
      <c r="AG53" s="108">
        <f t="shared" si="0"/>
        <v>0</v>
      </c>
      <c r="AH53" s="108">
        <f t="shared" si="1"/>
        <v>0</v>
      </c>
      <c r="AI53" s="108">
        <f t="shared" si="10"/>
        <v>0</v>
      </c>
      <c r="AJ53" s="108">
        <f t="shared" si="2"/>
        <v>5</v>
      </c>
      <c r="AK53" s="108">
        <f t="shared" si="3"/>
        <v>0</v>
      </c>
      <c r="AL53" s="108">
        <f t="shared" si="4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0</v>
      </c>
      <c r="H54" s="373" t="s">
        <v>9</v>
      </c>
      <c r="I54" s="441">
        <v>1</v>
      </c>
      <c r="J54" s="375">
        <f t="shared" si="5"/>
        <v>2</v>
      </c>
      <c r="K54" s="363">
        <f t="shared" si="6"/>
        <v>0</v>
      </c>
      <c r="L54" s="363">
        <f t="shared" si="7"/>
        <v>3</v>
      </c>
      <c r="M54" s="352"/>
      <c r="N54" s="352"/>
      <c r="O54" s="401" t="s">
        <v>40</v>
      </c>
      <c r="P54" s="402">
        <f>SUMIF($D$8:$D$55,$O54,$G$8:$G$55)+SUMIF($F$8:$F$55,$O54,$I$8:$I$55)</f>
        <v>2</v>
      </c>
      <c r="Q54" s="402">
        <f>SUMIF($D$8:$D$55,$O54,$I$8:$I$55)+SUMIF($F$8:$F$55,$O54,$G$8:$G$55)</f>
        <v>2</v>
      </c>
      <c r="R54" s="402">
        <f>P54-Q54</f>
        <v>0</v>
      </c>
      <c r="S54" s="403">
        <f>SUMIF($D$8:$D$55,$O54,$K$8:$K$55)+SUMIF($F$8:$F$55,$O54,$L$8:$L$55)</f>
        <v>3</v>
      </c>
      <c r="T54" s="446" t="s">
        <v>84</v>
      </c>
      <c r="U54" s="40"/>
      <c r="V54" s="40" t="str">
        <f>O54</f>
        <v>Zuid Korea</v>
      </c>
      <c r="W54" s="40" t="s">
        <v>85</v>
      </c>
      <c r="Y54" s="109">
        <f t="shared" si="8"/>
        <v>10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10</v>
      </c>
      <c r="AG54" s="108">
        <f t="shared" si="0"/>
        <v>1</v>
      </c>
      <c r="AH54" s="108">
        <f t="shared" si="1"/>
        <v>1</v>
      </c>
      <c r="AI54" s="108">
        <f t="shared" si="10"/>
        <v>10</v>
      </c>
      <c r="AJ54" s="108">
        <f t="shared" si="2"/>
        <v>0</v>
      </c>
      <c r="AK54" s="108">
        <f t="shared" si="3"/>
        <v>5</v>
      </c>
      <c r="AL54" s="108">
        <f t="shared" si="4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0</v>
      </c>
      <c r="H55" s="388" t="s">
        <v>9</v>
      </c>
      <c r="I55" s="443">
        <v>1</v>
      </c>
      <c r="J55" s="390">
        <f t="shared" si="5"/>
        <v>2</v>
      </c>
      <c r="K55" s="363">
        <f t="shared" si="6"/>
        <v>0</v>
      </c>
      <c r="L55" s="363">
        <f t="shared" si="7"/>
        <v>3</v>
      </c>
      <c r="M55" s="352"/>
      <c r="N55" s="352"/>
      <c r="O55" s="392"/>
      <c r="P55" s="393"/>
      <c r="Q55" s="393"/>
      <c r="R55" s="393"/>
      <c r="S55" s="393"/>
      <c r="T55" s="393"/>
      <c r="U55" s="40"/>
      <c r="V55" s="40"/>
      <c r="W55" s="40"/>
      <c r="Y55" s="109">
        <f t="shared" si="8"/>
        <v>1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</v>
      </c>
      <c r="AG55" s="108">
        <f t="shared" si="0"/>
        <v>0</v>
      </c>
      <c r="AH55" s="108">
        <f t="shared" si="1"/>
        <v>1</v>
      </c>
      <c r="AI55" s="108">
        <f t="shared" si="10"/>
        <v>0</v>
      </c>
      <c r="AJ55" s="108">
        <f t="shared" si="2"/>
        <v>0</v>
      </c>
      <c r="AK55" s="108">
        <f t="shared" si="3"/>
        <v>0</v>
      </c>
      <c r="AL55" s="108">
        <f t="shared" si="4"/>
        <v>0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N56" s="352"/>
      <c r="O56" s="352"/>
      <c r="P56" s="352"/>
      <c r="Q56" s="352"/>
      <c r="R56" s="352"/>
      <c r="S56" s="352"/>
      <c r="T56" s="352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27"/>
      <c r="K57" s="353"/>
      <c r="L57" s="353"/>
      <c r="M57" s="353"/>
      <c r="N57" s="352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32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N58" s="352"/>
      <c r="O58" s="458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>IF(ISERROR(Z59),K59,Z59)</f>
        <v>Brazilië</v>
      </c>
      <c r="E59" s="367" t="s">
        <v>9</v>
      </c>
      <c r="F59" s="406" t="str">
        <f>IF(ISERROR(AA59),L59,AA59)</f>
        <v>Nederland</v>
      </c>
      <c r="G59" s="435">
        <v>3</v>
      </c>
      <c r="H59" s="367" t="s">
        <v>9</v>
      </c>
      <c r="I59" s="447">
        <v>0</v>
      </c>
      <c r="J59" s="448">
        <v>1</v>
      </c>
      <c r="K59" s="407" t="s">
        <v>48</v>
      </c>
      <c r="L59" s="407" t="s">
        <v>53</v>
      </c>
      <c r="M59" s="407">
        <v>1</v>
      </c>
      <c r="N59" s="352"/>
      <c r="O59" s="458">
        <v>2</v>
      </c>
      <c r="P59" s="877" t="s">
        <v>220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3">AF59</f>
        <v>0</v>
      </c>
      <c r="Z59" t="str">
        <f t="shared" ref="Z59:AA65" si="14">IF(K59=""," ",VLOOKUP(K59,$T$9:$V$54,3,FALSE))</f>
        <v>Brazilië</v>
      </c>
      <c r="AA59" t="str">
        <f t="shared" si="14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0</v>
      </c>
      <c r="AG59" s="108">
        <f t="shared" ref="AG59:AG66" si="16">IF(AC59="",0,(IF(G59=AC59,1,0)))</f>
        <v>0</v>
      </c>
      <c r="AH59" s="108">
        <f t="shared" ref="AH59:AH66" si="17">IF(AD59="",0,(IF(I59=AD59,1,0)))</f>
        <v>0</v>
      </c>
      <c r="AI59" s="108">
        <f t="shared" ref="AI59:AI66" si="18">IF(AND(AG59=1,AH59=1),10,0)</f>
        <v>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376">
        <v>50</v>
      </c>
      <c r="C60" s="466">
        <v>41818</v>
      </c>
      <c r="D60" s="460" t="str">
        <f t="shared" ref="D60:D66" si="23">IF(ISERROR(Z60),K60,Z60)</f>
        <v>Japan</v>
      </c>
      <c r="E60" s="379" t="s">
        <v>9</v>
      </c>
      <c r="F60" s="409" t="str">
        <f t="shared" ref="F60:F66" si="24">IF(ISERROR(AA60),L60,AA60)</f>
        <v>Uruguay</v>
      </c>
      <c r="G60" s="437">
        <v>0</v>
      </c>
      <c r="H60" s="379" t="s">
        <v>9</v>
      </c>
      <c r="I60" s="449">
        <v>1</v>
      </c>
      <c r="J60" s="450">
        <v>2</v>
      </c>
      <c r="K60" s="407" t="s">
        <v>57</v>
      </c>
      <c r="L60" s="407" t="s">
        <v>63</v>
      </c>
      <c r="M60" s="407">
        <v>2</v>
      </c>
      <c r="N60" s="352"/>
      <c r="O60" s="458">
        <v>3</v>
      </c>
      <c r="P60" s="877" t="s">
        <v>209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3"/>
        <v>0</v>
      </c>
      <c r="Z60" t="str">
        <f t="shared" si="14"/>
        <v>Japan</v>
      </c>
      <c r="AA60" t="str">
        <f t="shared" si="14"/>
        <v>Uruguay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0</v>
      </c>
      <c r="AG60" s="108">
        <f t="shared" si="16"/>
        <v>0</v>
      </c>
      <c r="AH60" s="108">
        <f t="shared" si="17"/>
        <v>0</v>
      </c>
      <c r="AI60" s="108">
        <f t="shared" si="18"/>
        <v>0</v>
      </c>
      <c r="AJ60" s="108">
        <f t="shared" si="19"/>
        <v>0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2"/>
        <v>3</v>
      </c>
    </row>
    <row r="61" spans="2:54">
      <c r="B61" s="364">
        <v>51</v>
      </c>
      <c r="C61" s="465">
        <v>41819</v>
      </c>
      <c r="D61" s="464" t="str">
        <f t="shared" si="23"/>
        <v>Spanje</v>
      </c>
      <c r="E61" s="367" t="s">
        <v>9</v>
      </c>
      <c r="F61" s="406" t="str">
        <f t="shared" si="24"/>
        <v>Kroatië</v>
      </c>
      <c r="G61" s="435">
        <v>2</v>
      </c>
      <c r="H61" s="367" t="s">
        <v>9</v>
      </c>
      <c r="I61" s="447">
        <v>0</v>
      </c>
      <c r="J61" s="448">
        <v>1</v>
      </c>
      <c r="K61" s="407" t="s">
        <v>52</v>
      </c>
      <c r="L61" s="407" t="s">
        <v>49</v>
      </c>
      <c r="M61" s="407"/>
      <c r="N61" s="352"/>
      <c r="O61" s="458">
        <v>4</v>
      </c>
      <c r="P61" s="877" t="s">
        <v>225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3"/>
        <v>6</v>
      </c>
      <c r="Z61" t="str">
        <f t="shared" si="14"/>
        <v>Spanje</v>
      </c>
      <c r="AA61" t="str">
        <f t="shared" si="14"/>
        <v>Kroatië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6</v>
      </c>
      <c r="AG61" s="108">
        <f t="shared" si="16"/>
        <v>1</v>
      </c>
      <c r="AH61" s="108">
        <f t="shared" si="17"/>
        <v>0</v>
      </c>
      <c r="AI61" s="108">
        <f t="shared" si="18"/>
        <v>0</v>
      </c>
      <c r="AJ61" s="108">
        <f t="shared" si="19"/>
        <v>5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3</v>
      </c>
      <c r="BB61" s="139">
        <f t="shared" si="22"/>
        <v>3</v>
      </c>
    </row>
    <row r="62" spans="2:54">
      <c r="B62" s="376">
        <v>52</v>
      </c>
      <c r="C62" s="466">
        <v>41819</v>
      </c>
      <c r="D62" s="464" t="str">
        <f t="shared" si="23"/>
        <v>Italië</v>
      </c>
      <c r="E62" s="379" t="s">
        <v>9</v>
      </c>
      <c r="F62" s="409" t="str">
        <f t="shared" si="24"/>
        <v>Colombia</v>
      </c>
      <c r="G62" s="437">
        <v>1</v>
      </c>
      <c r="H62" s="379" t="s">
        <v>9</v>
      </c>
      <c r="I62" s="449">
        <v>2</v>
      </c>
      <c r="J62" s="450">
        <v>2</v>
      </c>
      <c r="K62" s="407" t="s">
        <v>62</v>
      </c>
      <c r="L62" s="407" t="s">
        <v>58</v>
      </c>
      <c r="M62" s="407"/>
      <c r="N62" s="352"/>
      <c r="O62" s="458">
        <v>5</v>
      </c>
      <c r="P62" s="877" t="s">
        <v>211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3"/>
        <v>1</v>
      </c>
      <c r="Z62" t="str">
        <f t="shared" si="14"/>
        <v>Italië</v>
      </c>
      <c r="AA62" t="str">
        <f t="shared" si="14"/>
        <v>Colombia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1</v>
      </c>
      <c r="AG62" s="108">
        <f t="shared" si="16"/>
        <v>1</v>
      </c>
      <c r="AH62" s="108">
        <f t="shared" si="17"/>
        <v>0</v>
      </c>
      <c r="AI62" s="108">
        <f t="shared" si="18"/>
        <v>0</v>
      </c>
      <c r="AJ62" s="108">
        <f t="shared" si="19"/>
        <v>0</v>
      </c>
      <c r="AK62" s="108">
        <f t="shared" si="20"/>
        <v>0</v>
      </c>
      <c r="AL62" s="108">
        <f t="shared" si="21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2"/>
        <v>3</v>
      </c>
    </row>
    <row r="63" spans="2:54">
      <c r="B63" s="364">
        <v>53</v>
      </c>
      <c r="C63" s="465">
        <v>41820</v>
      </c>
      <c r="D63" s="459" t="str">
        <f t="shared" si="23"/>
        <v>Frankrijk</v>
      </c>
      <c r="E63" s="367" t="s">
        <v>9</v>
      </c>
      <c r="F63" s="406" t="str">
        <f t="shared" si="24"/>
        <v>Nigeria</v>
      </c>
      <c r="G63" s="435">
        <v>2</v>
      </c>
      <c r="H63" s="367" t="s">
        <v>9</v>
      </c>
      <c r="I63" s="447">
        <v>0</v>
      </c>
      <c r="J63" s="448">
        <v>1</v>
      </c>
      <c r="K63" s="407" t="s">
        <v>67</v>
      </c>
      <c r="L63" s="407" t="s">
        <v>73</v>
      </c>
      <c r="M63" s="407"/>
      <c r="N63" s="352"/>
      <c r="O63" s="458">
        <v>6</v>
      </c>
      <c r="P63" s="877" t="s">
        <v>212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3"/>
        <v>10</v>
      </c>
      <c r="Z63" t="str">
        <f t="shared" si="14"/>
        <v>Frankrijk</v>
      </c>
      <c r="AA63" t="str">
        <f t="shared" si="14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10</v>
      </c>
      <c r="AG63" s="108">
        <f t="shared" si="16"/>
        <v>1</v>
      </c>
      <c r="AH63" s="108">
        <f t="shared" si="17"/>
        <v>1</v>
      </c>
      <c r="AI63" s="108">
        <f t="shared" si="18"/>
        <v>10</v>
      </c>
      <c r="AJ63" s="108">
        <f t="shared" si="19"/>
        <v>5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3</v>
      </c>
      <c r="BB63" s="139">
        <f t="shared" si="22"/>
        <v>3</v>
      </c>
    </row>
    <row r="64" spans="2:54">
      <c r="B64" s="376">
        <v>54</v>
      </c>
      <c r="C64" s="466">
        <v>41820</v>
      </c>
      <c r="D64" s="460" t="str">
        <f t="shared" si="23"/>
        <v>Duitsland</v>
      </c>
      <c r="E64" s="379" t="s">
        <v>9</v>
      </c>
      <c r="F64" s="409" t="str">
        <f t="shared" si="24"/>
        <v>Rusland</v>
      </c>
      <c r="G64" s="437">
        <v>1</v>
      </c>
      <c r="H64" s="379" t="s">
        <v>9</v>
      </c>
      <c r="I64" s="449">
        <v>0</v>
      </c>
      <c r="J64" s="450">
        <v>1</v>
      </c>
      <c r="K64" s="407" t="s">
        <v>77</v>
      </c>
      <c r="L64" s="407" t="s">
        <v>83</v>
      </c>
      <c r="M64" s="407"/>
      <c r="N64" s="352"/>
      <c r="O64" s="458">
        <v>7</v>
      </c>
      <c r="P64" s="877" t="s">
        <v>221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3"/>
        <v>1</v>
      </c>
      <c r="Z64" t="str">
        <f t="shared" si="14"/>
        <v>Duitsland</v>
      </c>
      <c r="AA64" t="str">
        <f t="shared" si="14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1</v>
      </c>
      <c r="AG64" s="108">
        <f t="shared" si="16"/>
        <v>0</v>
      </c>
      <c r="AH64" s="108">
        <f t="shared" si="17"/>
        <v>1</v>
      </c>
      <c r="AI64" s="108">
        <f t="shared" si="18"/>
        <v>0</v>
      </c>
      <c r="AJ64" s="108">
        <f t="shared" si="19"/>
        <v>0</v>
      </c>
      <c r="AK64" s="108">
        <f t="shared" si="20"/>
        <v>0</v>
      </c>
      <c r="AL64" s="108">
        <f t="shared" si="21"/>
        <v>0</v>
      </c>
      <c r="AZ64" s="138" t="str">
        <f>Uitslag!P64</f>
        <v>Wesley Sneijder (m)</v>
      </c>
      <c r="BA64" s="140">
        <f t="shared" si="12"/>
        <v>0</v>
      </c>
      <c r="BB64" s="139">
        <f t="shared" si="22"/>
        <v>0</v>
      </c>
    </row>
    <row r="65" spans="2:54">
      <c r="B65" s="370">
        <v>55</v>
      </c>
      <c r="C65" s="467">
        <v>41821</v>
      </c>
      <c r="D65" s="459" t="str">
        <f t="shared" si="23"/>
        <v>Argentinië</v>
      </c>
      <c r="E65" s="373" t="s">
        <v>9</v>
      </c>
      <c r="F65" s="410" t="str">
        <f t="shared" si="24"/>
        <v>Zwitserland</v>
      </c>
      <c r="G65" s="436">
        <v>3</v>
      </c>
      <c r="H65" s="373" t="s">
        <v>9</v>
      </c>
      <c r="I65" s="451">
        <v>1</v>
      </c>
      <c r="J65" s="452">
        <v>1</v>
      </c>
      <c r="K65" s="407" t="s">
        <v>72</v>
      </c>
      <c r="L65" s="407" t="s">
        <v>68</v>
      </c>
      <c r="M65" s="407"/>
      <c r="N65" s="352"/>
      <c r="O65" s="458">
        <v>8</v>
      </c>
      <c r="P65" s="877" t="s">
        <v>214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3"/>
        <v>0</v>
      </c>
      <c r="Z65" t="str">
        <f t="shared" si="14"/>
        <v>Argentinië</v>
      </c>
      <c r="AA65" t="str">
        <f t="shared" si="14"/>
        <v>Zwitserland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0</v>
      </c>
      <c r="AG65" s="108">
        <f t="shared" si="16"/>
        <v>0</v>
      </c>
      <c r="AH65" s="108">
        <f t="shared" si="17"/>
        <v>0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2"/>
        <v>3</v>
      </c>
    </row>
    <row r="66" spans="2:54" ht="15.75" thickBot="1">
      <c r="B66" s="385">
        <v>56</v>
      </c>
      <c r="C66" s="462">
        <v>41821</v>
      </c>
      <c r="D66" s="461" t="str">
        <f t="shared" si="23"/>
        <v>België</v>
      </c>
      <c r="E66" s="388" t="s">
        <v>9</v>
      </c>
      <c r="F66" s="412" t="str">
        <f t="shared" si="24"/>
        <v>Portugal</v>
      </c>
      <c r="G66" s="438">
        <v>2</v>
      </c>
      <c r="H66" s="388" t="s">
        <v>9</v>
      </c>
      <c r="I66" s="453">
        <v>1</v>
      </c>
      <c r="J66" s="454">
        <v>1</v>
      </c>
      <c r="K66" s="407" t="s">
        <v>82</v>
      </c>
      <c r="L66" s="407" t="s">
        <v>78</v>
      </c>
      <c r="M66" s="407"/>
      <c r="N66" s="352"/>
      <c r="O66" s="458">
        <v>9</v>
      </c>
      <c r="P66" s="877" t="s">
        <v>213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3"/>
        <v>0</v>
      </c>
      <c r="Z66" t="str">
        <f>IF(K66=""," ",VLOOKUP(K66,$T$9:$V$54,3,FALSE))</f>
        <v>België</v>
      </c>
      <c r="AA66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0</v>
      </c>
      <c r="AG66" s="108">
        <f t="shared" si="16"/>
        <v>0</v>
      </c>
      <c r="AH66" s="108">
        <f t="shared" si="17"/>
        <v>0</v>
      </c>
      <c r="AI66" s="108">
        <f t="shared" si="18"/>
        <v>0</v>
      </c>
      <c r="AJ66" s="108">
        <f t="shared" si="19"/>
        <v>0</v>
      </c>
      <c r="AK66" s="108">
        <f t="shared" si="20"/>
        <v>0</v>
      </c>
      <c r="AL66" s="108">
        <f t="shared" si="21"/>
        <v>0</v>
      </c>
      <c r="AZ66" s="138" t="str">
        <f>Uitslag!P66</f>
        <v>Jonathan de Guzman (m)</v>
      </c>
      <c r="BA66" s="140">
        <f t="shared" si="12"/>
        <v>3</v>
      </c>
      <c r="BB66" s="139">
        <f t="shared" si="22"/>
        <v>3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N67" s="352"/>
      <c r="O67" s="458">
        <v>10</v>
      </c>
      <c r="P67" s="877" t="s">
        <v>215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2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27"/>
      <c r="K68" s="353"/>
      <c r="L68" s="353"/>
      <c r="M68" s="353"/>
      <c r="N68" s="352"/>
      <c r="O68" s="458">
        <v>11</v>
      </c>
      <c r="P68" s="877" t="s">
        <v>216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2"/>
        <v>3</v>
      </c>
    </row>
    <row r="69" spans="2:54">
      <c r="B69" s="428" t="s">
        <v>1</v>
      </c>
      <c r="C69" s="429" t="s">
        <v>2</v>
      </c>
      <c r="D69" s="430" t="s">
        <v>3</v>
      </c>
      <c r="E69" s="431"/>
      <c r="F69" s="432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N69" s="352"/>
      <c r="O69" s="352"/>
      <c r="P69" s="352"/>
      <c r="Q69" s="352"/>
      <c r="R69" s="352"/>
      <c r="S69" s="352"/>
      <c r="T69" s="352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30</v>
      </c>
      <c r="BB69" s="139" t="str">
        <f>IF(AND(BA69&lt;&gt;"",BA69=33),15,"nvt")</f>
        <v>nvt</v>
      </c>
    </row>
    <row r="70" spans="2:54">
      <c r="B70" s="364">
        <v>57</v>
      </c>
      <c r="C70" s="365">
        <v>41824</v>
      </c>
      <c r="D70" s="405" t="str">
        <f>IF(J63="","Winnaar 53",IF(J63=1,D63,F63))</f>
        <v>Frankrijk</v>
      </c>
      <c r="E70" s="367" t="s">
        <v>9</v>
      </c>
      <c r="F70" s="406" t="str">
        <f>IF(J64="","Winnaar 54",IF(J64=1,D64,F64))</f>
        <v>Duitsland</v>
      </c>
      <c r="G70" s="435">
        <v>1</v>
      </c>
      <c r="H70" s="367" t="s">
        <v>9</v>
      </c>
      <c r="I70" s="447">
        <v>2</v>
      </c>
      <c r="J70" s="448">
        <v>2</v>
      </c>
      <c r="K70" s="353"/>
      <c r="L70" s="353"/>
      <c r="M70" s="353"/>
      <c r="N70" s="352"/>
      <c r="O70" s="352"/>
      <c r="P70" s="352"/>
      <c r="Q70" s="352"/>
      <c r="R70" s="352"/>
      <c r="S70" s="352"/>
      <c r="T70" s="352"/>
      <c r="V70" t="s">
        <v>133</v>
      </c>
      <c r="W70" t="s">
        <v>126</v>
      </c>
      <c r="X70" t="str">
        <f t="shared" si="11"/>
        <v>Karim Rekik (v)</v>
      </c>
      <c r="Y70" s="109">
        <f>AF70</f>
        <v>5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5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Brazilië</v>
      </c>
      <c r="E71" s="379" t="s">
        <v>9</v>
      </c>
      <c r="F71" s="409" t="str">
        <f>IF(J60="","Winnaar 50",IF(J60=1,D60,F60))</f>
        <v>Uruguay</v>
      </c>
      <c r="G71" s="437">
        <v>2</v>
      </c>
      <c r="H71" s="379" t="s">
        <v>9</v>
      </c>
      <c r="I71" s="449">
        <v>0</v>
      </c>
      <c r="J71" s="450">
        <v>1</v>
      </c>
      <c r="K71" s="353"/>
      <c r="L71" s="353"/>
      <c r="M71" s="353"/>
      <c r="N71" s="352"/>
      <c r="O71" s="352"/>
      <c r="P71" s="352"/>
      <c r="Q71" s="352"/>
      <c r="R71" s="352"/>
      <c r="S71" s="352"/>
      <c r="T71" s="352"/>
      <c r="V71" t="s">
        <v>133</v>
      </c>
      <c r="W71" t="s">
        <v>194</v>
      </c>
      <c r="X71" t="str">
        <f t="shared" si="11"/>
        <v>Ron Vlaar (v)</v>
      </c>
      <c r="Y71" s="109">
        <f>AF71</f>
        <v>6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6</v>
      </c>
      <c r="AG71" s="108">
        <f>IF(AC71="",0,(IF(G71=AC71,1,0)))</f>
        <v>1</v>
      </c>
      <c r="AH71" s="108">
        <f>IF(AD71="",0,(IF(I71=AD71,1,0)))</f>
        <v>0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Argentinië</v>
      </c>
      <c r="E72" s="367" t="s">
        <v>9</v>
      </c>
      <c r="F72" s="406" t="str">
        <f>IF(J66="","Winnaar 56",IF(J66=1,D66,F66))</f>
        <v>België</v>
      </c>
      <c r="G72" s="435">
        <v>1</v>
      </c>
      <c r="H72" s="367" t="s">
        <v>9</v>
      </c>
      <c r="I72" s="447">
        <v>0</v>
      </c>
      <c r="J72" s="448">
        <v>1</v>
      </c>
      <c r="K72" s="353"/>
      <c r="L72" s="353"/>
      <c r="M72" s="353"/>
      <c r="N72" s="352"/>
      <c r="O72" s="352"/>
      <c r="P72" s="352"/>
      <c r="Q72" s="352"/>
      <c r="R72" s="352"/>
      <c r="S72" s="352"/>
      <c r="T72" s="352"/>
      <c r="V72" t="s">
        <v>133</v>
      </c>
      <c r="W72" t="s">
        <v>195</v>
      </c>
      <c r="X72" t="str">
        <f t="shared" si="11"/>
        <v>John Heitinga (v)</v>
      </c>
      <c r="Y72" s="109">
        <f>AF72</f>
        <v>10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10</v>
      </c>
      <c r="AG72" s="108">
        <f>IF(AC72="",0,(IF(G72=AC72,1,0)))</f>
        <v>1</v>
      </c>
      <c r="AH72" s="108">
        <f>IF(AD72="",0,(IF(I72=AD72,1,0)))</f>
        <v>1</v>
      </c>
      <c r="AI72" s="108">
        <f>IF(AND(AG72=1,AH72=1),10,0)</f>
        <v>10</v>
      </c>
      <c r="AJ72" s="108">
        <f>IF(AND(G72&gt;I72,AC72&gt;AD72),5,0)</f>
        <v>5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Spanje</v>
      </c>
      <c r="E73" s="388" t="s">
        <v>9</v>
      </c>
      <c r="F73" s="412" t="str">
        <f>IF(J62="","Winnaar 52",IF(J62=1,D62,F62))</f>
        <v>Colombia</v>
      </c>
      <c r="G73" s="438">
        <v>1</v>
      </c>
      <c r="H73" s="388" t="s">
        <v>9</v>
      </c>
      <c r="I73" s="453">
        <v>0</v>
      </c>
      <c r="J73" s="454">
        <v>1</v>
      </c>
      <c r="K73" s="353"/>
      <c r="L73" s="353"/>
      <c r="M73" s="353"/>
      <c r="N73" s="352"/>
      <c r="O73" s="352"/>
      <c r="P73" s="352"/>
      <c r="Q73" s="352"/>
      <c r="R73" s="352"/>
      <c r="S73" s="352"/>
      <c r="T73" s="352"/>
      <c r="V73" t="s">
        <v>133</v>
      </c>
      <c r="W73" t="s">
        <v>196</v>
      </c>
      <c r="X73" t="str">
        <f t="shared" si="11"/>
        <v>Urby Emanuelson (v)</v>
      </c>
      <c r="Y73" s="109">
        <f>AF73</f>
        <v>1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1</v>
      </c>
      <c r="AG73" s="108">
        <f>IF(AC73="",0,(IF(G73=AC73,1,0)))</f>
        <v>0</v>
      </c>
      <c r="AH73" s="108">
        <f>IF(AD73="",0,(IF(I73=AD73,1,0)))</f>
        <v>1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N74" s="352"/>
      <c r="O74" s="352"/>
      <c r="P74" s="352"/>
      <c r="Q74" s="352"/>
      <c r="R74" s="352"/>
      <c r="S74" s="352"/>
      <c r="T74" s="352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27"/>
      <c r="K75" s="353"/>
      <c r="L75" s="353"/>
      <c r="M75" s="353"/>
      <c r="N75" s="352"/>
      <c r="O75" s="352"/>
      <c r="P75" s="352"/>
      <c r="Q75" s="352"/>
      <c r="R75" s="352"/>
      <c r="S75" s="352"/>
      <c r="T75" s="352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30" t="s">
        <v>3</v>
      </c>
      <c r="E76" s="431"/>
      <c r="F76" s="432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N76" s="352"/>
      <c r="O76" s="352"/>
      <c r="P76" s="352"/>
      <c r="Q76" s="352"/>
      <c r="R76" s="352"/>
      <c r="S76" s="352"/>
      <c r="T76" s="352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Duitsland</v>
      </c>
      <c r="E77" s="367" t="s">
        <v>9</v>
      </c>
      <c r="F77" s="406" t="str">
        <f>IF(J71="","Winnaar 58",IF(J71=1,D71,F71))</f>
        <v>Brazilië</v>
      </c>
      <c r="G77" s="435">
        <v>1</v>
      </c>
      <c r="H77" s="367" t="s">
        <v>9</v>
      </c>
      <c r="I77" s="447">
        <v>2</v>
      </c>
      <c r="J77" s="448">
        <v>2</v>
      </c>
      <c r="K77" s="353"/>
      <c r="L77" s="353"/>
      <c r="M77" s="353"/>
      <c r="N77" s="352"/>
      <c r="O77" s="352"/>
      <c r="P77" s="352"/>
      <c r="Q77" s="352"/>
      <c r="R77" s="352"/>
      <c r="S77" s="352"/>
      <c r="T77" s="352"/>
      <c r="V77" t="s">
        <v>134</v>
      </c>
      <c r="W77" t="s">
        <v>203</v>
      </c>
      <c r="X77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Argentinië</v>
      </c>
      <c r="E78" s="388" t="s">
        <v>9</v>
      </c>
      <c r="F78" s="412" t="str">
        <f>IF(J73="","Winnaar 60",IF(J73=1,D73,F73))</f>
        <v>Spanje</v>
      </c>
      <c r="G78" s="438">
        <v>1</v>
      </c>
      <c r="H78" s="388" t="s">
        <v>9</v>
      </c>
      <c r="I78" s="453">
        <v>2</v>
      </c>
      <c r="J78" s="454">
        <v>2</v>
      </c>
      <c r="K78" s="353"/>
      <c r="L78" s="353"/>
      <c r="M78" s="353"/>
      <c r="N78" s="352"/>
      <c r="O78" s="352"/>
      <c r="P78" s="352"/>
      <c r="Q78" s="352"/>
      <c r="R78" s="352"/>
      <c r="S78" s="352"/>
      <c r="T78" s="352"/>
      <c r="V78" t="s">
        <v>134</v>
      </c>
      <c r="W78" t="s">
        <v>199</v>
      </c>
      <c r="X78" t="str">
        <f t="shared" si="11"/>
        <v>Leroy Fer (m)</v>
      </c>
      <c r="Y78" s="109">
        <f>AF78</f>
        <v>0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0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N79" s="352"/>
      <c r="O79" s="352"/>
      <c r="P79" s="352"/>
      <c r="Q79" s="352"/>
      <c r="R79" s="352"/>
      <c r="S79" s="352"/>
      <c r="T79" s="352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27"/>
      <c r="K80" s="353"/>
      <c r="L80" s="353"/>
      <c r="M80" s="353"/>
      <c r="N80" s="352"/>
      <c r="O80" s="352"/>
      <c r="P80" s="352"/>
      <c r="Q80" s="352"/>
      <c r="R80" s="352"/>
      <c r="S80" s="352"/>
      <c r="T80" s="352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30" t="s">
        <v>3</v>
      </c>
      <c r="E81" s="431"/>
      <c r="F81" s="432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N81" s="352"/>
      <c r="O81" s="352"/>
      <c r="P81" s="352"/>
      <c r="Q81" s="352"/>
      <c r="R81" s="352"/>
      <c r="S81" s="352"/>
      <c r="T81" s="352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Duitsland</v>
      </c>
      <c r="E82" s="355" t="s">
        <v>9</v>
      </c>
      <c r="F82" s="415" t="str">
        <f>IF(J78="","Verliezer 62",IF(J78=1,F78,D78))</f>
        <v>Argentinië</v>
      </c>
      <c r="G82" s="455">
        <v>1</v>
      </c>
      <c r="H82" s="355" t="s">
        <v>9</v>
      </c>
      <c r="I82" s="456">
        <v>2</v>
      </c>
      <c r="J82" s="457">
        <v>2</v>
      </c>
      <c r="K82" s="353"/>
      <c r="L82" s="353"/>
      <c r="M82" s="353"/>
      <c r="N82" s="352"/>
      <c r="O82" s="352"/>
      <c r="P82" s="352"/>
      <c r="Q82" s="352"/>
      <c r="R82" s="352"/>
      <c r="S82" s="352"/>
      <c r="T82" s="352"/>
      <c r="V82" t="s">
        <v>134</v>
      </c>
      <c r="W82" t="s">
        <v>125</v>
      </c>
      <c r="X82" t="str">
        <f t="shared" si="11"/>
        <v>Georginio Wijnaldum (m)</v>
      </c>
      <c r="Y82" s="109">
        <f>AF82</f>
        <v>5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5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5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N83" s="352"/>
      <c r="O83" s="352"/>
      <c r="P83" s="352"/>
      <c r="Q83" s="352"/>
      <c r="R83" s="352"/>
      <c r="S83" s="352"/>
      <c r="T83" s="352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27"/>
      <c r="K84" s="353"/>
      <c r="L84" s="353"/>
      <c r="M84" s="353"/>
      <c r="N84" s="352"/>
      <c r="O84" s="352"/>
      <c r="P84" s="352"/>
      <c r="Q84" s="352"/>
      <c r="R84" s="352"/>
      <c r="S84" s="352"/>
      <c r="T84" s="352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30" t="s">
        <v>3</v>
      </c>
      <c r="E85" s="431"/>
      <c r="F85" s="432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N85" s="352"/>
      <c r="O85" s="352"/>
      <c r="P85" s="352"/>
      <c r="Q85" s="352"/>
      <c r="R85" s="352"/>
      <c r="S85" s="352"/>
      <c r="T85" s="352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Brazilië</v>
      </c>
      <c r="E86" s="355" t="s">
        <v>9</v>
      </c>
      <c r="F86" s="415" t="str">
        <f>IF(J78="","Winnaar 62",IF(J78=1,D78,F78))</f>
        <v>Spanje</v>
      </c>
      <c r="G86" s="455">
        <v>2</v>
      </c>
      <c r="H86" s="355" t="s">
        <v>9</v>
      </c>
      <c r="I86" s="456">
        <v>0</v>
      </c>
      <c r="J86" s="457">
        <v>1</v>
      </c>
      <c r="K86" s="353"/>
      <c r="L86" s="353"/>
      <c r="M86" s="353"/>
      <c r="N86" s="352"/>
      <c r="O86" s="352"/>
      <c r="P86" s="352"/>
      <c r="Q86" s="352"/>
      <c r="R86" s="352"/>
      <c r="S86" s="352"/>
      <c r="T86" s="352"/>
      <c r="V86" t="s">
        <v>134</v>
      </c>
      <c r="W86" t="s">
        <v>139</v>
      </c>
      <c r="X86" t="str">
        <f t="shared" si="11"/>
        <v>Nigel de Jong (m)</v>
      </c>
      <c r="Y86" s="109">
        <f>AF86</f>
        <v>1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1</v>
      </c>
      <c r="AG86" s="108">
        <f>IF(AC86="",0,(IF(G86=AC86,1,0)))</f>
        <v>0</v>
      </c>
      <c r="AH86" s="108">
        <f>IF(AD86="",0,(IF(I86=AD86,1,0)))</f>
        <v>1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Brazilië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5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5</v>
      </c>
      <c r="AV89">
        <f>IF(AR89=0,0,IF(E89=AR89,50,0))</f>
        <v>0</v>
      </c>
      <c r="AW89">
        <f>IF(E89=0,0,IF(OR(E89=AR90),15,0))</f>
        <v>0</v>
      </c>
      <c r="AX89">
        <f>IF(E89=0,0,IF(OR(E89=AR91,E89=AR92),5,0))</f>
        <v>5</v>
      </c>
    </row>
    <row r="90" spans="2:50">
      <c r="C90" s="870">
        <v>2</v>
      </c>
      <c r="D90" s="871"/>
      <c r="E90" s="872" t="str">
        <f>IF(J86=2,D86,IF(J86=1,F86,"Wie wordt 2de?"))</f>
        <v>Spanje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0</v>
      </c>
      <c r="AV90">
        <f>IF(AR90=0,0,IF(AR90=E90,25,0))</f>
        <v>0</v>
      </c>
      <c r="AW90">
        <f>IF(E90=0,0,IF(OR(E90=AR89,),15,0))</f>
        <v>0</v>
      </c>
      <c r="AX90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Argentinië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5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5</v>
      </c>
      <c r="AV91">
        <f>IF(AR91=0,0,IF(AR91=E91,15,0))</f>
        <v>0</v>
      </c>
      <c r="AW91">
        <f>IF(E91=0,0,IF(OR(E91=AR92),10,0))</f>
        <v>0</v>
      </c>
      <c r="AX91">
        <f>IF(E91=0,0,IF(OR(E91=AR89,E91=AR90),5,0))</f>
        <v>5</v>
      </c>
    </row>
    <row r="92" spans="2:50">
      <c r="C92" s="870">
        <v>4</v>
      </c>
      <c r="D92" s="871"/>
      <c r="E92" s="872" t="str">
        <f>IF(J82=2,D82,IF(J82=1,F82,"Wie wordt 4de?"))</f>
        <v>Duitsland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5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5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5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15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conditionalFormatting sqref="AO9:AO12 AO15:AO18 AO21:AO24 AO27:AO30 AO33:AO36 AO39:AO42 AO45:AO48 AO51:AO54">
    <cfRule type="cellIs" dxfId="158" priority="3" operator="equal">
      <formula>10</formula>
    </cfRule>
  </conditionalFormatting>
  <conditionalFormatting sqref="P58:T58">
    <cfRule type="duplicateValues" dxfId="157" priority="2"/>
  </conditionalFormatting>
  <conditionalFormatting sqref="P58:T68">
    <cfRule type="duplicateValues" dxfId="156" priority="1"/>
  </conditionalFormatting>
  <dataValidations count="10">
    <dataValidation type="list" allowBlank="1" showInputMessage="1" showErrorMessage="1" sqref="P58:P68">
      <formula1>[1]deelnameformulier!$X$58:$X$98</formula1>
    </dataValidation>
    <dataValidation type="list" allowBlank="1" showInputMessage="1" showErrorMessage="1" sqref="T51:T54">
      <formula1>[1]deelnameformulier!$W$51:$W$54</formula1>
    </dataValidation>
    <dataValidation type="list" allowBlank="1" showInputMessage="1" showErrorMessage="1" sqref="T45:T48">
      <formula1>[1]deelnameformulier!$W$45:$W$49</formula1>
    </dataValidation>
    <dataValidation type="list" allowBlank="1" showInputMessage="1" showErrorMessage="1" sqref="T39:T42">
      <formula1>[1]deelnameformulier!$W$39:$W$42</formula1>
    </dataValidation>
    <dataValidation type="list" allowBlank="1" showInputMessage="1" showErrorMessage="1" sqref="T33:T36">
      <formula1>[1]deelnameformulier!$W$33:$W$36</formula1>
    </dataValidation>
    <dataValidation type="list" allowBlank="1" showInputMessage="1" showErrorMessage="1" sqref="T27:T30">
      <formula1>[1]deelnameformulier!$W$27:$W$30</formula1>
    </dataValidation>
    <dataValidation type="list" allowBlank="1" showInputMessage="1" showErrorMessage="1" sqref="T21:T24">
      <formula1>[1]deelnameformulier!$W$21:$W$24</formula1>
    </dataValidation>
    <dataValidation type="list" allowBlank="1" showInputMessage="1" showErrorMessage="1" sqref="T15:T18">
      <formula1>[1]deelnameformulier!$W$15:$W$18</formula1>
    </dataValidation>
    <dataValidation type="list" allowBlank="1" showInputMessage="1" showErrorMessage="1" sqref="T9:T12">
      <formula1>[1]deelnameformulier!$W$9:$W$12</formula1>
    </dataValidation>
    <dataValidation type="list" allowBlank="1" showInputMessage="1" showErrorMessage="1" sqref="J86 J59:J66 J70:J73 J77:J78 J82">
      <formula1>[1]deelnameformulier!$M$59:$M$60</formula1>
    </dataValidation>
  </dataValidation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B1:BB98"/>
  <sheetViews>
    <sheetView zoomScale="70" zoomScaleNormal="70" workbookViewId="0">
      <selection activeCell="Y30" sqref="Y8:Y30"/>
    </sheetView>
  </sheetViews>
  <sheetFormatPr defaultRowHeight="15" outlineLevelCol="2"/>
  <cols>
    <col min="1" max="1" width="3.42578125" customWidth="1"/>
    <col min="2" max="2" width="3.5703125" bestFit="1" customWidth="1"/>
    <col min="3" max="3" width="11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269</v>
      </c>
      <c r="E3" s="145"/>
      <c r="F3" s="145"/>
      <c r="N3" t="str">
        <f>D3</f>
        <v>Marcel S.</v>
      </c>
      <c r="O3" s="144">
        <f>SUM(P3:S3)</f>
        <v>491</v>
      </c>
      <c r="P3" s="109">
        <f>SUM(Y8:Y86)</f>
        <v>223</v>
      </c>
      <c r="Q3" s="109">
        <f>SUM(AM4:AM55)</f>
        <v>170</v>
      </c>
      <c r="R3" s="109">
        <f>SUM(AP89:AP92)</f>
        <v>50</v>
      </c>
      <c r="S3" s="109">
        <f>SUM(BB58:BB69)</f>
        <v>48</v>
      </c>
      <c r="T3" s="109">
        <f>COUNTIF(AF8:AF86,10)</f>
        <v>8</v>
      </c>
      <c r="U3" s="109" t="str">
        <f>E89</f>
        <v>Brazilië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M6" s="352"/>
      <c r="N6" s="352"/>
      <c r="O6" s="392"/>
      <c r="P6" s="393"/>
      <c r="Q6" s="393"/>
      <c r="R6" s="393"/>
      <c r="S6" s="393"/>
      <c r="T6" s="393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18" t="s">
        <v>3</v>
      </c>
      <c r="E7" s="419"/>
      <c r="F7" s="420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M7" s="352"/>
      <c r="N7" s="352"/>
      <c r="O7" s="353"/>
      <c r="P7" s="393"/>
      <c r="Q7" s="393"/>
      <c r="R7" s="393"/>
      <c r="S7" s="393"/>
      <c r="T7" s="393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2</v>
      </c>
      <c r="H8" s="360" t="s">
        <v>9</v>
      </c>
      <c r="I8" s="439">
        <v>0</v>
      </c>
      <c r="J8" s="362">
        <f>IF(I8="","",IF(G8&gt;I8,1,IF(G8&lt;I8,2,3)))</f>
        <v>1</v>
      </c>
      <c r="K8" s="363">
        <f>IF(I8="","",IF($G8&gt;$I8,3,IF($G8=$I8,1,0)))</f>
        <v>3</v>
      </c>
      <c r="L8" s="363">
        <f>IF(I8="","",IF($G8&lt;$I8,3,IF($G8=$I8,1,0)))</f>
        <v>0</v>
      </c>
      <c r="M8" s="352"/>
      <c r="N8" s="352"/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40"/>
      <c r="V8" s="40"/>
      <c r="W8" s="40"/>
      <c r="Y8" s="109">
        <f>AF8</f>
        <v>5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5</v>
      </c>
      <c r="AG8" s="108">
        <f t="shared" ref="AG8:AG55" si="0">IF(AC8="",0,(IF(G8=AC8,1,0)))</f>
        <v>0</v>
      </c>
      <c r="AH8" s="108">
        <f t="shared" ref="AH8:AH55" si="1">IF(AD8="",0,(IF(I8=AD8,1,0)))</f>
        <v>0</v>
      </c>
      <c r="AI8" s="108">
        <f>IF(AND(AG8=1,AH8=1),10,0)</f>
        <v>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1</v>
      </c>
      <c r="H9" s="367" t="s">
        <v>9</v>
      </c>
      <c r="I9" s="440">
        <v>0</v>
      </c>
      <c r="J9" s="369">
        <f t="shared" ref="J9:J55" si="5">IF(I9="","",IF(G9&gt;I9,1,IF(G9&lt;I9,2,3)))</f>
        <v>1</v>
      </c>
      <c r="K9" s="363">
        <f t="shared" ref="K9:K55" si="6">IF(I9="","",IF($G9&gt;$I9,3,IF($G9=$I9,1,0)))</f>
        <v>3</v>
      </c>
      <c r="L9" s="363">
        <f t="shared" ref="L9:L55" si="7">IF(I9="","",IF($G9&lt;$I9,3,IF($G9=$I9,1,0)))</f>
        <v>0</v>
      </c>
      <c r="M9" s="352"/>
      <c r="N9" s="352"/>
      <c r="O9" s="394" t="s">
        <v>8</v>
      </c>
      <c r="P9" s="395">
        <f>SUMIF($D$8:$D$55,$O9,$G$8:$G$55)+SUMIF($F$8:$F$55,$O9,$I$8:$I$55)</f>
        <v>5</v>
      </c>
      <c r="Q9" s="395">
        <f>SUMIF($D$8:$D$55,$O9,$I$8:$I$55)+SUMIF($F$8:$F$55,$O9,$G$8:$G$55)</f>
        <v>0</v>
      </c>
      <c r="R9" s="396">
        <f>P9-Q9</f>
        <v>5</v>
      </c>
      <c r="S9" s="397">
        <f>SUMIF($D$8:$D$55,$O9,$K$8:$K$55)+SUMIF($F$8:$F$55,$O9,$L$8:$L$55)</f>
        <v>9</v>
      </c>
      <c r="T9" s="444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10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10</v>
      </c>
      <c r="AG9" s="108">
        <f t="shared" si="0"/>
        <v>1</v>
      </c>
      <c r="AH9" s="108">
        <f t="shared" si="1"/>
        <v>1</v>
      </c>
      <c r="AI9" s="108">
        <f t="shared" ref="AI9:AI55" si="10">IF(AND(AG9=1,AH9=1),10,0)</f>
        <v>10</v>
      </c>
      <c r="AJ9" s="108">
        <f t="shared" si="2"/>
        <v>5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0</v>
      </c>
      <c r="H10" s="373" t="s">
        <v>9</v>
      </c>
      <c r="I10" s="441">
        <v>1</v>
      </c>
      <c r="J10" s="375">
        <f t="shared" si="5"/>
        <v>2</v>
      </c>
      <c r="K10" s="363">
        <f t="shared" si="6"/>
        <v>0</v>
      </c>
      <c r="L10" s="363">
        <f t="shared" si="7"/>
        <v>3</v>
      </c>
      <c r="M10" s="352"/>
      <c r="N10" s="352"/>
      <c r="O10" s="398" t="s">
        <v>10</v>
      </c>
      <c r="P10" s="399">
        <f>SUMIF($D$8:$D$55,$O10,$G$8:$G$55)+SUMIF($F$8:$F$55,$O10,$I$8:$I$55)</f>
        <v>2</v>
      </c>
      <c r="Q10" s="399">
        <f>SUMIF($D$8:$D$55,$O10,$I$8:$I$55)+SUMIF($F$8:$F$55,$O10,$G$8:$G$55)</f>
        <v>3</v>
      </c>
      <c r="R10" s="399">
        <f>P10-Q10</f>
        <v>-1</v>
      </c>
      <c r="S10" s="400">
        <f>SUMIF($D$8:$D$55,$O10,$K$8:$K$55)+SUMIF($F$8:$F$55,$O10,$L$8:$L$55)</f>
        <v>4</v>
      </c>
      <c r="T10" s="445" t="s">
        <v>47</v>
      </c>
      <c r="U10" s="40"/>
      <c r="V10" s="40" t="str">
        <f>O10</f>
        <v>Kroatië</v>
      </c>
      <c r="W10" s="40" t="s">
        <v>49</v>
      </c>
      <c r="Y10" s="109">
        <f t="shared" si="8"/>
        <v>5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5</v>
      </c>
      <c r="AG10" s="108">
        <f t="shared" si="0"/>
        <v>0</v>
      </c>
      <c r="AH10" s="108">
        <f t="shared" si="1"/>
        <v>0</v>
      </c>
      <c r="AI10" s="108">
        <f t="shared" si="10"/>
        <v>0</v>
      </c>
      <c r="AJ10" s="108">
        <f t="shared" si="2"/>
        <v>0</v>
      </c>
      <c r="AK10" s="108">
        <f t="shared" si="3"/>
        <v>5</v>
      </c>
      <c r="AL10" s="108">
        <f t="shared" si="4"/>
        <v>0</v>
      </c>
      <c r="AM10" s="120">
        <f>AO10</f>
        <v>10</v>
      </c>
      <c r="AN10" s="117" t="s">
        <v>10</v>
      </c>
      <c r="AO10" s="115">
        <f>IF(Uitslag!T10="",0,IF(T10=Uitslag!T10,10,0))</f>
        <v>10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2</v>
      </c>
      <c r="H11" s="379" t="s">
        <v>9</v>
      </c>
      <c r="I11" s="442">
        <v>0</v>
      </c>
      <c r="J11" s="381">
        <f t="shared" si="5"/>
        <v>1</v>
      </c>
      <c r="K11" s="363">
        <f t="shared" si="6"/>
        <v>3</v>
      </c>
      <c r="L11" s="363">
        <f t="shared" si="7"/>
        <v>0</v>
      </c>
      <c r="M11" s="352"/>
      <c r="N11" s="352"/>
      <c r="O11" s="398" t="s">
        <v>11</v>
      </c>
      <c r="P11" s="399">
        <f>SUMIF($D$8:$D$55,$O11,$G$8:$G$55)+SUMIF($F$8:$F$55,$O11,$I$8:$I$55)</f>
        <v>2</v>
      </c>
      <c r="Q11" s="399">
        <f>SUMIF($D$8:$D$55,$O11,$I$8:$I$55)+SUMIF($F$8:$F$55,$O11,$G$8:$G$55)</f>
        <v>2</v>
      </c>
      <c r="R11" s="399">
        <f>P11-Q11</f>
        <v>0</v>
      </c>
      <c r="S11" s="400">
        <f>SUMIF($D$8:$D$55,$O11,$K$8:$K$55)+SUMIF($F$8:$F$55,$O11,$L$8:$L$55)</f>
        <v>4</v>
      </c>
      <c r="T11" s="445" t="s">
        <v>49</v>
      </c>
      <c r="U11" s="40"/>
      <c r="V11" s="40" t="str">
        <f>O11</f>
        <v>Mexico</v>
      </c>
      <c r="W11" s="40" t="s">
        <v>47</v>
      </c>
      <c r="Y11" s="109">
        <f t="shared" si="8"/>
        <v>5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5</v>
      </c>
      <c r="AG11" s="108">
        <f t="shared" si="0"/>
        <v>0</v>
      </c>
      <c r="AH11" s="108">
        <f t="shared" si="1"/>
        <v>0</v>
      </c>
      <c r="AI11" s="108">
        <f t="shared" si="10"/>
        <v>0</v>
      </c>
      <c r="AJ11" s="108">
        <f t="shared" si="2"/>
        <v>5</v>
      </c>
      <c r="AK11" s="108">
        <f t="shared" si="3"/>
        <v>0</v>
      </c>
      <c r="AL11" s="108">
        <f t="shared" si="4"/>
        <v>0</v>
      </c>
      <c r="AM11" s="120">
        <f>AO11</f>
        <v>10</v>
      </c>
      <c r="AN11" s="117" t="s">
        <v>11</v>
      </c>
      <c r="AO11" s="115">
        <f>IF(Uitslag!T11="",0,IF(T11=Uitslag!T11,10,0))</f>
        <v>10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1</v>
      </c>
      <c r="H12" s="367" t="s">
        <v>9</v>
      </c>
      <c r="I12" s="440">
        <v>1</v>
      </c>
      <c r="J12" s="369">
        <f t="shared" si="5"/>
        <v>3</v>
      </c>
      <c r="K12" s="363">
        <f t="shared" si="6"/>
        <v>1</v>
      </c>
      <c r="L12" s="363">
        <f t="shared" si="7"/>
        <v>1</v>
      </c>
      <c r="M12" s="352"/>
      <c r="N12" s="352"/>
      <c r="O12" s="401" t="s">
        <v>12</v>
      </c>
      <c r="P12" s="402">
        <f>SUMIF($D$8:$D$55,$O12,$G$8:$G$55)+SUMIF($F$8:$F$55,$O12,$I$8:$I$55)</f>
        <v>0</v>
      </c>
      <c r="Q12" s="402">
        <f>SUMIF($D$8:$D$55,$O12,$I$8:$I$55)+SUMIF($F$8:$F$55,$O12,$G$8:$G$55)</f>
        <v>4</v>
      </c>
      <c r="R12" s="402">
        <f>P12-Q12</f>
        <v>-4</v>
      </c>
      <c r="S12" s="403">
        <f>SUMIF($D$8:$D$55,$O12,$K$8:$K$55)+SUMIF($F$8:$F$55,$O12,$L$8:$L$55)</f>
        <v>0</v>
      </c>
      <c r="T12" s="446" t="s">
        <v>50</v>
      </c>
      <c r="U12" s="40"/>
      <c r="V12" s="40" t="str">
        <f>O12</f>
        <v>Kameroen</v>
      </c>
      <c r="W12" s="40" t="s">
        <v>50</v>
      </c>
      <c r="Y12" s="109">
        <f t="shared" si="8"/>
        <v>0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0</v>
      </c>
      <c r="AG12" s="108">
        <f t="shared" si="0"/>
        <v>0</v>
      </c>
      <c r="AH12" s="108">
        <f t="shared" si="1"/>
        <v>0</v>
      </c>
      <c r="AI12" s="108">
        <f t="shared" si="10"/>
        <v>0</v>
      </c>
      <c r="AJ12" s="108">
        <f t="shared" si="2"/>
        <v>0</v>
      </c>
      <c r="AK12" s="108">
        <f t="shared" si="3"/>
        <v>0</v>
      </c>
      <c r="AL12" s="108">
        <f t="shared" si="4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3</v>
      </c>
      <c r="H13" s="373" t="s">
        <v>9</v>
      </c>
      <c r="I13" s="441">
        <v>0</v>
      </c>
      <c r="J13" s="375">
        <f t="shared" si="5"/>
        <v>1</v>
      </c>
      <c r="K13" s="363">
        <f t="shared" si="6"/>
        <v>3</v>
      </c>
      <c r="L13" s="363">
        <f t="shared" si="7"/>
        <v>0</v>
      </c>
      <c r="M13" s="352"/>
      <c r="N13" s="352"/>
      <c r="O13" s="392"/>
      <c r="P13" s="393"/>
      <c r="Q13" s="393"/>
      <c r="R13" s="393"/>
      <c r="S13" s="393"/>
      <c r="T13" s="393"/>
      <c r="U13" s="40"/>
      <c r="V13" s="40"/>
      <c r="W13" s="40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0"/>
        <v>0</v>
      </c>
      <c r="AH13" s="108">
        <f t="shared" si="1"/>
        <v>0</v>
      </c>
      <c r="AI13" s="108">
        <f t="shared" si="10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40"/>
      <c r="AO13" s="41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1</v>
      </c>
      <c r="H14" s="373" t="s">
        <v>9</v>
      </c>
      <c r="I14" s="441">
        <v>1</v>
      </c>
      <c r="J14" s="375">
        <f t="shared" si="5"/>
        <v>3</v>
      </c>
      <c r="K14" s="363">
        <f t="shared" si="6"/>
        <v>1</v>
      </c>
      <c r="L14" s="363">
        <f t="shared" si="7"/>
        <v>1</v>
      </c>
      <c r="M14" s="352"/>
      <c r="N14" s="352"/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40"/>
      <c r="V14" s="40"/>
      <c r="W14" s="40"/>
      <c r="Y14" s="109">
        <f t="shared" si="8"/>
        <v>1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</v>
      </c>
      <c r="AG14" s="108">
        <f t="shared" si="0"/>
        <v>1</v>
      </c>
      <c r="AH14" s="108">
        <f t="shared" si="1"/>
        <v>0</v>
      </c>
      <c r="AI14" s="108">
        <f t="shared" si="10"/>
        <v>0</v>
      </c>
      <c r="AJ14" s="108">
        <f t="shared" si="2"/>
        <v>0</v>
      </c>
      <c r="AK14" s="108">
        <f t="shared" si="3"/>
        <v>0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2</v>
      </c>
      <c r="H15" s="379" t="s">
        <v>9</v>
      </c>
      <c r="I15" s="442">
        <v>1</v>
      </c>
      <c r="J15" s="381">
        <f t="shared" si="5"/>
        <v>1</v>
      </c>
      <c r="K15" s="363">
        <f t="shared" si="6"/>
        <v>3</v>
      </c>
      <c r="L15" s="363">
        <f t="shared" si="7"/>
        <v>0</v>
      </c>
      <c r="M15" s="352"/>
      <c r="N15" s="352"/>
      <c r="O15" s="394" t="s">
        <v>13</v>
      </c>
      <c r="P15" s="395">
        <f>SUMIF($D$8:$D$55,$O15,$G$8:$G$55)+SUMIF($F$8:$F$55,$O15,$I$8:$I$55)</f>
        <v>2</v>
      </c>
      <c r="Q15" s="395">
        <f>SUMIF($D$8:$D$55,$O15,$I$8:$I$55)+SUMIF($F$8:$F$55,$O15,$G$8:$G$55)</f>
        <v>2</v>
      </c>
      <c r="R15" s="396">
        <f>P15-Q15</f>
        <v>0</v>
      </c>
      <c r="S15" s="397">
        <f>SUMIF($D$8:$D$55,$O15,$K$8:$K$55)+SUMIF($F$8:$F$55,$O15,$L$8:$L$55)</f>
        <v>4</v>
      </c>
      <c r="T15" s="444" t="s">
        <v>54</v>
      </c>
      <c r="U15" s="40"/>
      <c r="V15" s="40" t="str">
        <f>O15</f>
        <v>Spanje</v>
      </c>
      <c r="W15" s="40" t="s">
        <v>52</v>
      </c>
      <c r="Y15" s="109">
        <f t="shared" si="8"/>
        <v>10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10</v>
      </c>
      <c r="AG15" s="108">
        <f t="shared" si="0"/>
        <v>1</v>
      </c>
      <c r="AH15" s="108">
        <f t="shared" si="1"/>
        <v>1</v>
      </c>
      <c r="AI15" s="108">
        <f t="shared" si="10"/>
        <v>10</v>
      </c>
      <c r="AJ15" s="108">
        <f t="shared" si="2"/>
        <v>5</v>
      </c>
      <c r="AK15" s="108">
        <f t="shared" si="3"/>
        <v>0</v>
      </c>
      <c r="AL15" s="108">
        <f t="shared" si="4"/>
        <v>0</v>
      </c>
      <c r="AM15" s="120">
        <f>AO15</f>
        <v>10</v>
      </c>
      <c r="AN15" s="116" t="s">
        <v>13</v>
      </c>
      <c r="AO15" s="115">
        <f>IF(Uitslag!T15="",0,IF(T15=Uitslag!T15,10,0))</f>
        <v>10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1</v>
      </c>
      <c r="H16" s="367" t="s">
        <v>9</v>
      </c>
      <c r="I16" s="440">
        <v>2</v>
      </c>
      <c r="J16" s="369">
        <f t="shared" si="5"/>
        <v>2</v>
      </c>
      <c r="K16" s="363">
        <f t="shared" si="6"/>
        <v>0</v>
      </c>
      <c r="L16" s="363">
        <f t="shared" si="7"/>
        <v>3</v>
      </c>
      <c r="M16" s="352"/>
      <c r="N16" s="352"/>
      <c r="O16" s="404" t="s">
        <v>14</v>
      </c>
      <c r="P16" s="399">
        <f>SUMIF($D$8:$D$55,$O16,$G$8:$G$55)+SUMIF($F$8:$F$55,$O16,$I$8:$I$55)</f>
        <v>4</v>
      </c>
      <c r="Q16" s="399">
        <f>SUMIF($D$8:$D$55,$O16,$I$8:$I$55)+SUMIF($F$8:$F$55,$O16,$G$8:$G$55)</f>
        <v>1</v>
      </c>
      <c r="R16" s="399">
        <f>P16-Q16</f>
        <v>3</v>
      </c>
      <c r="S16" s="400">
        <f>SUMIF($D$8:$D$55,$O16,$K$8:$K$55)+SUMIF($F$8:$F$55,$O16,$L$8:$L$55)</f>
        <v>7</v>
      </c>
      <c r="T16" s="445" t="s">
        <v>52</v>
      </c>
      <c r="U16" s="40"/>
      <c r="V16" s="40" t="str">
        <f>O16</f>
        <v>Nederland</v>
      </c>
      <c r="W16" s="40" t="s">
        <v>53</v>
      </c>
      <c r="Y16" s="109">
        <f t="shared" si="8"/>
        <v>0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0</v>
      </c>
      <c r="AG16" s="108">
        <f t="shared" si="0"/>
        <v>0</v>
      </c>
      <c r="AH16" s="108">
        <f t="shared" si="1"/>
        <v>0</v>
      </c>
      <c r="AI16" s="108">
        <f t="shared" si="10"/>
        <v>0</v>
      </c>
      <c r="AJ16" s="108">
        <f t="shared" si="2"/>
        <v>0</v>
      </c>
      <c r="AK16" s="108">
        <f t="shared" si="3"/>
        <v>0</v>
      </c>
      <c r="AL16" s="108">
        <f t="shared" si="4"/>
        <v>0</v>
      </c>
      <c r="AM16" s="120">
        <f>AO16</f>
        <v>10</v>
      </c>
      <c r="AN16" s="119" t="s">
        <v>14</v>
      </c>
      <c r="AO16" s="115">
        <f>IF(Uitslag!T16="",0,IF(T16=Uitslag!T16,10,0))</f>
        <v>10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3</v>
      </c>
      <c r="H17" s="373" t="s">
        <v>9</v>
      </c>
      <c r="I17" s="441">
        <v>0</v>
      </c>
      <c r="J17" s="375">
        <f t="shared" si="5"/>
        <v>1</v>
      </c>
      <c r="K17" s="363">
        <f t="shared" si="6"/>
        <v>3</v>
      </c>
      <c r="L17" s="363">
        <f t="shared" si="7"/>
        <v>0</v>
      </c>
      <c r="M17" s="352"/>
      <c r="N17" s="352"/>
      <c r="O17" s="398" t="s">
        <v>15</v>
      </c>
      <c r="P17" s="399">
        <f>SUMIF($D$8:$D$55,$O17,$G$8:$G$55)+SUMIF($F$8:$F$55,$O17,$I$8:$I$55)</f>
        <v>4</v>
      </c>
      <c r="Q17" s="399">
        <f>SUMIF($D$8:$D$55,$O17,$I$8:$I$55)+SUMIF($F$8:$F$55,$O17,$G$8:$G$55)</f>
        <v>2</v>
      </c>
      <c r="R17" s="399">
        <f>P17-Q17</f>
        <v>2</v>
      </c>
      <c r="S17" s="400">
        <f>SUMIF($D$8:$D$55,$O17,$K$8:$K$55)+SUMIF($F$8:$F$55,$O17,$L$8:$L$55)</f>
        <v>5</v>
      </c>
      <c r="T17" s="445" t="s">
        <v>53</v>
      </c>
      <c r="U17" s="40"/>
      <c r="V17" s="40" t="str">
        <f>O17</f>
        <v>Chili</v>
      </c>
      <c r="W17" s="40" t="s">
        <v>54</v>
      </c>
      <c r="Y17" s="109">
        <f t="shared" si="8"/>
        <v>10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10</v>
      </c>
      <c r="AG17" s="108">
        <f t="shared" si="0"/>
        <v>1</v>
      </c>
      <c r="AH17" s="108">
        <f t="shared" si="1"/>
        <v>1</v>
      </c>
      <c r="AI17" s="108">
        <f t="shared" si="10"/>
        <v>10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10</v>
      </c>
      <c r="AN17" s="117" t="s">
        <v>15</v>
      </c>
      <c r="AO17" s="115">
        <f>IF(Uitslag!T17="",0,IF(T17=Uitslag!T17,10,0))</f>
        <v>10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2</v>
      </c>
      <c r="H18" s="379" t="s">
        <v>9</v>
      </c>
      <c r="I18" s="442">
        <v>0</v>
      </c>
      <c r="J18" s="381">
        <f t="shared" si="5"/>
        <v>1</v>
      </c>
      <c r="K18" s="363">
        <f t="shared" si="6"/>
        <v>3</v>
      </c>
      <c r="L18" s="363">
        <f t="shared" si="7"/>
        <v>0</v>
      </c>
      <c r="M18" s="352"/>
      <c r="N18" s="352"/>
      <c r="O18" s="401" t="s">
        <v>16</v>
      </c>
      <c r="P18" s="402">
        <f>SUMIF($D$8:$D$55,$O18,$G$8:$G$55)+SUMIF($F$8:$F$55,$O18,$I$8:$I$55)</f>
        <v>0</v>
      </c>
      <c r="Q18" s="402">
        <f>SUMIF($D$8:$D$55,$O18,$I$8:$I$55)+SUMIF($F$8:$F$55,$O18,$G$8:$G$55)</f>
        <v>5</v>
      </c>
      <c r="R18" s="402">
        <f>P18-Q18</f>
        <v>-5</v>
      </c>
      <c r="S18" s="403">
        <f>SUMIF($D$8:$D$55,$O18,$K$8:$K$55)+SUMIF($F$8:$F$55,$O18,$L$8:$L$55)</f>
        <v>0</v>
      </c>
      <c r="T18" s="446" t="s">
        <v>55</v>
      </c>
      <c r="U18" s="40"/>
      <c r="V18" s="40" t="str">
        <f>O18</f>
        <v>Australië</v>
      </c>
      <c r="W18" s="40" t="s">
        <v>55</v>
      </c>
      <c r="Y18" s="109">
        <f t="shared" si="8"/>
        <v>6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6</v>
      </c>
      <c r="AG18" s="108">
        <f t="shared" si="0"/>
        <v>1</v>
      </c>
      <c r="AH18" s="108">
        <f t="shared" si="1"/>
        <v>0</v>
      </c>
      <c r="AI18" s="108">
        <f t="shared" si="10"/>
        <v>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2</v>
      </c>
      <c r="H19" s="367" t="s">
        <v>9</v>
      </c>
      <c r="I19" s="440">
        <v>1</v>
      </c>
      <c r="J19" s="369">
        <f t="shared" si="5"/>
        <v>1</v>
      </c>
      <c r="K19" s="363">
        <f t="shared" si="6"/>
        <v>3</v>
      </c>
      <c r="L19" s="363">
        <f t="shared" si="7"/>
        <v>0</v>
      </c>
      <c r="M19" s="352"/>
      <c r="N19" s="352"/>
      <c r="O19" s="392"/>
      <c r="P19" s="393"/>
      <c r="Q19" s="393"/>
      <c r="R19" s="393"/>
      <c r="S19" s="393"/>
      <c r="T19" s="393"/>
      <c r="U19" s="40"/>
      <c r="V19" s="40"/>
      <c r="W19" s="40"/>
      <c r="Y19" s="109">
        <f t="shared" si="8"/>
        <v>5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5</v>
      </c>
      <c r="AG19" s="108">
        <f t="shared" si="0"/>
        <v>0</v>
      </c>
      <c r="AH19" s="108">
        <f t="shared" si="1"/>
        <v>0</v>
      </c>
      <c r="AI19" s="108">
        <f t="shared" si="10"/>
        <v>0</v>
      </c>
      <c r="AJ19" s="108">
        <f t="shared" si="2"/>
        <v>5</v>
      </c>
      <c r="AK19" s="108">
        <f t="shared" si="3"/>
        <v>0</v>
      </c>
      <c r="AL19" s="108">
        <f t="shared" si="4"/>
        <v>0</v>
      </c>
      <c r="AN19" s="40"/>
      <c r="AO19" s="41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0</v>
      </c>
      <c r="H20" s="373" t="s">
        <v>9</v>
      </c>
      <c r="I20" s="441">
        <v>1</v>
      </c>
      <c r="J20" s="375">
        <f t="shared" si="5"/>
        <v>2</v>
      </c>
      <c r="K20" s="363">
        <f t="shared" si="6"/>
        <v>0</v>
      </c>
      <c r="L20" s="363">
        <f t="shared" si="7"/>
        <v>3</v>
      </c>
      <c r="M20" s="352"/>
      <c r="N20" s="352"/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40"/>
      <c r="V20" s="40"/>
      <c r="W20" s="40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0"/>
        <v>1</v>
      </c>
      <c r="AH20" s="108">
        <f t="shared" si="1"/>
        <v>0</v>
      </c>
      <c r="AI20" s="108">
        <f t="shared" si="10"/>
        <v>0</v>
      </c>
      <c r="AJ20" s="108">
        <f t="shared" si="2"/>
        <v>0</v>
      </c>
      <c r="AK20" s="108">
        <f t="shared" si="3"/>
        <v>0</v>
      </c>
      <c r="AL20" s="108">
        <f t="shared" si="4"/>
        <v>0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2</v>
      </c>
      <c r="H21" s="379" t="s">
        <v>9</v>
      </c>
      <c r="I21" s="442">
        <v>1</v>
      </c>
      <c r="J21" s="381">
        <f t="shared" si="5"/>
        <v>1</v>
      </c>
      <c r="K21" s="363">
        <f t="shared" si="6"/>
        <v>3</v>
      </c>
      <c r="L21" s="363">
        <f t="shared" si="7"/>
        <v>0</v>
      </c>
      <c r="M21" s="352"/>
      <c r="N21" s="352"/>
      <c r="O21" s="394" t="s">
        <v>17</v>
      </c>
      <c r="P21" s="395">
        <f>SUMIF($D$8:$D$55,$O21,$G$8:$G$55)+SUMIF($F$8:$F$55,$O21,$I$8:$I$55)</f>
        <v>3</v>
      </c>
      <c r="Q21" s="395">
        <f>SUMIF($D$8:$D$55,$O21,$I$8:$I$55)+SUMIF($F$8:$F$55,$O21,$G$8:$G$55)</f>
        <v>1</v>
      </c>
      <c r="R21" s="396">
        <f>P21-Q21</f>
        <v>2</v>
      </c>
      <c r="S21" s="397">
        <f>SUMIF($D$8:$D$55,$O21,$K$8:$K$55)+SUMIF($F$8:$F$55,$O21,$L$8:$L$55)</f>
        <v>7</v>
      </c>
      <c r="T21" s="444" t="s">
        <v>57</v>
      </c>
      <c r="U21" s="40"/>
      <c r="V21" s="40" t="str">
        <f>O21</f>
        <v>Colombia</v>
      </c>
      <c r="W21" s="40" t="s">
        <v>57</v>
      </c>
      <c r="Y21" s="109">
        <f t="shared" si="8"/>
        <v>0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0</v>
      </c>
      <c r="AG21" s="108">
        <f t="shared" si="0"/>
        <v>0</v>
      </c>
      <c r="AH21" s="108">
        <f t="shared" si="1"/>
        <v>0</v>
      </c>
      <c r="AI21" s="108">
        <f t="shared" si="10"/>
        <v>0</v>
      </c>
      <c r="AJ21" s="108">
        <f t="shared" si="2"/>
        <v>0</v>
      </c>
      <c r="AK21" s="108">
        <f t="shared" si="3"/>
        <v>0</v>
      </c>
      <c r="AL21" s="108">
        <f t="shared" si="4"/>
        <v>0</v>
      </c>
      <c r="AM21" s="120">
        <f>AO21</f>
        <v>10</v>
      </c>
      <c r="AN21" s="116" t="s">
        <v>17</v>
      </c>
      <c r="AO21" s="115">
        <f>IF(Uitslag!T21="",0,IF(T21=Uitslag!T21,10,0))</f>
        <v>10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2</v>
      </c>
      <c r="H22" s="367" t="s">
        <v>9</v>
      </c>
      <c r="I22" s="440">
        <v>0</v>
      </c>
      <c r="J22" s="369">
        <f t="shared" si="5"/>
        <v>1</v>
      </c>
      <c r="K22" s="363">
        <f t="shared" si="6"/>
        <v>3</v>
      </c>
      <c r="L22" s="363">
        <f t="shared" si="7"/>
        <v>0</v>
      </c>
      <c r="M22" s="352"/>
      <c r="N22" s="352"/>
      <c r="O22" s="398" t="s">
        <v>18</v>
      </c>
      <c r="P22" s="399">
        <f>SUMIF($D$8:$D$55,$O22,$G$8:$G$55)+SUMIF($F$8:$F$55,$O22,$I$8:$I$55)</f>
        <v>3</v>
      </c>
      <c r="Q22" s="399">
        <f>SUMIF($D$8:$D$55,$O22,$I$8:$I$55)+SUMIF($F$8:$F$55,$O22,$G$8:$G$55)</f>
        <v>4</v>
      </c>
      <c r="R22" s="399">
        <f>P22-Q22</f>
        <v>-1</v>
      </c>
      <c r="S22" s="400">
        <f>SUMIF($D$8:$D$55,$O22,$K$8:$K$55)+SUMIF($F$8:$F$55,$O22,$L$8:$L$55)</f>
        <v>2</v>
      </c>
      <c r="T22" s="445" t="s">
        <v>59</v>
      </c>
      <c r="U22" s="40"/>
      <c r="V22" s="40" t="str">
        <f>O22</f>
        <v>Griekenland</v>
      </c>
      <c r="W22" s="40" t="s">
        <v>58</v>
      </c>
      <c r="Y22" s="109">
        <f t="shared" si="8"/>
        <v>6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6</v>
      </c>
      <c r="AG22" s="108">
        <f t="shared" si="0"/>
        <v>1</v>
      </c>
      <c r="AH22" s="108">
        <f t="shared" si="1"/>
        <v>0</v>
      </c>
      <c r="AI22" s="108">
        <f t="shared" si="10"/>
        <v>0</v>
      </c>
      <c r="AJ22" s="108">
        <f t="shared" si="2"/>
        <v>5</v>
      </c>
      <c r="AK22" s="108">
        <f t="shared" si="3"/>
        <v>0</v>
      </c>
      <c r="AL22" s="108">
        <f t="shared" si="4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1</v>
      </c>
      <c r="H23" s="373" t="s">
        <v>9</v>
      </c>
      <c r="I23" s="441">
        <v>0</v>
      </c>
      <c r="J23" s="375">
        <f t="shared" si="5"/>
        <v>1</v>
      </c>
      <c r="K23" s="363">
        <f t="shared" si="6"/>
        <v>3</v>
      </c>
      <c r="L23" s="363">
        <f t="shared" si="7"/>
        <v>0</v>
      </c>
      <c r="M23" s="352"/>
      <c r="N23" s="352"/>
      <c r="O23" s="398" t="s">
        <v>23</v>
      </c>
      <c r="P23" s="399">
        <f>SUMIF($D$8:$D$55,$O23,$G$8:$G$55)+SUMIF($F$8:$F$55,$O23,$I$8:$I$55)</f>
        <v>4</v>
      </c>
      <c r="Q23" s="399">
        <f>SUMIF($D$8:$D$55,$O23,$I$8:$I$55)+SUMIF($F$8:$F$55,$O23,$G$8:$G$55)</f>
        <v>3</v>
      </c>
      <c r="R23" s="399">
        <f>P23-Q23</f>
        <v>1</v>
      </c>
      <c r="S23" s="400">
        <f>SUMIF($D$8:$D$55,$O23,$K$8:$K$55)+SUMIF($F$8:$F$55,$O23,$L$8:$L$55)</f>
        <v>6</v>
      </c>
      <c r="T23" s="445" t="s">
        <v>58</v>
      </c>
      <c r="U23" s="40"/>
      <c r="V23" s="40" t="str">
        <f>O23</f>
        <v>Ivoorkust</v>
      </c>
      <c r="W23" s="40" t="s">
        <v>59</v>
      </c>
      <c r="Y23" s="109">
        <f t="shared" si="8"/>
        <v>1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1</v>
      </c>
      <c r="AG23" s="108">
        <f t="shared" si="0"/>
        <v>0</v>
      </c>
      <c r="AH23" s="108">
        <f t="shared" si="1"/>
        <v>1</v>
      </c>
      <c r="AI23" s="108">
        <f t="shared" si="10"/>
        <v>0</v>
      </c>
      <c r="AJ23" s="108">
        <f t="shared" si="2"/>
        <v>0</v>
      </c>
      <c r="AK23" s="108">
        <f t="shared" si="3"/>
        <v>0</v>
      </c>
      <c r="AL23" s="108">
        <f t="shared" si="4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1</v>
      </c>
      <c r="H24" s="379" t="s">
        <v>9</v>
      </c>
      <c r="I24" s="442">
        <v>0</v>
      </c>
      <c r="J24" s="381">
        <f t="shared" si="5"/>
        <v>1</v>
      </c>
      <c r="K24" s="363">
        <f t="shared" si="6"/>
        <v>3</v>
      </c>
      <c r="L24" s="363">
        <f t="shared" si="7"/>
        <v>0</v>
      </c>
      <c r="M24" s="352"/>
      <c r="N24" s="352"/>
      <c r="O24" s="401" t="s">
        <v>24</v>
      </c>
      <c r="P24" s="402">
        <f>SUMIF($D$8:$D$55,$O24,$G$8:$G$55)+SUMIF($F$8:$F$55,$O24,$I$8:$I$55)</f>
        <v>2</v>
      </c>
      <c r="Q24" s="402">
        <f>SUMIF($D$8:$D$55,$O24,$I$8:$I$55)+SUMIF($F$8:$F$55,$O24,$G$8:$G$55)</f>
        <v>4</v>
      </c>
      <c r="R24" s="402">
        <f>P24-Q24</f>
        <v>-2</v>
      </c>
      <c r="S24" s="403">
        <f>SUMIF($D$8:$D$55,$O24,$K$8:$K$55)+SUMIF($F$8:$F$55,$O24,$L$8:$L$55)</f>
        <v>1</v>
      </c>
      <c r="T24" s="446" t="s">
        <v>60</v>
      </c>
      <c r="U24" s="40"/>
      <c r="V24" s="40" t="str">
        <f>O24</f>
        <v>Japan</v>
      </c>
      <c r="W24" s="40" t="s">
        <v>60</v>
      </c>
      <c r="Y24" s="109">
        <f t="shared" si="8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</v>
      </c>
      <c r="AG24" s="108">
        <f t="shared" si="0"/>
        <v>1</v>
      </c>
      <c r="AH24" s="108">
        <f t="shared" si="1"/>
        <v>0</v>
      </c>
      <c r="AI24" s="108">
        <f t="shared" si="10"/>
        <v>0</v>
      </c>
      <c r="AJ24" s="108">
        <f t="shared" si="2"/>
        <v>0</v>
      </c>
      <c r="AK24" s="108">
        <f t="shared" si="3"/>
        <v>0</v>
      </c>
      <c r="AL24" s="108">
        <f t="shared" si="4"/>
        <v>0</v>
      </c>
      <c r="AM24" s="120">
        <f>AO24</f>
        <v>10</v>
      </c>
      <c r="AN24" s="118" t="s">
        <v>24</v>
      </c>
      <c r="AO24" s="115">
        <f>IF(Uitslag!T24="",0,IF(T24=Uitslag!T24,10,0))</f>
        <v>10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0</v>
      </c>
      <c r="H25" s="367" t="s">
        <v>9</v>
      </c>
      <c r="I25" s="440">
        <v>2</v>
      </c>
      <c r="J25" s="369">
        <f t="shared" si="5"/>
        <v>2</v>
      </c>
      <c r="K25" s="363">
        <f t="shared" si="6"/>
        <v>0</v>
      </c>
      <c r="L25" s="363">
        <f t="shared" si="7"/>
        <v>3</v>
      </c>
      <c r="M25" s="352"/>
      <c r="N25" s="352"/>
      <c r="O25" s="392"/>
      <c r="P25" s="393"/>
      <c r="Q25" s="393"/>
      <c r="R25" s="393"/>
      <c r="S25" s="393"/>
      <c r="T25" s="393"/>
      <c r="U25" s="40"/>
      <c r="V25" s="40"/>
      <c r="W25" s="40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0"/>
        <v>0</v>
      </c>
      <c r="AH25" s="108">
        <f t="shared" si="1"/>
        <v>0</v>
      </c>
      <c r="AI25" s="108">
        <f t="shared" si="10"/>
        <v>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40"/>
      <c r="AO25" s="41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1</v>
      </c>
      <c r="H26" s="373" t="s">
        <v>9</v>
      </c>
      <c r="I26" s="441">
        <v>1</v>
      </c>
      <c r="J26" s="375">
        <f t="shared" si="5"/>
        <v>3</v>
      </c>
      <c r="K26" s="363">
        <f t="shared" si="6"/>
        <v>1</v>
      </c>
      <c r="L26" s="363">
        <f t="shared" si="7"/>
        <v>1</v>
      </c>
      <c r="M26" s="352"/>
      <c r="N26" s="352"/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40"/>
      <c r="V26" s="40"/>
      <c r="W26" s="40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0"/>
        <v>0</v>
      </c>
      <c r="AH26" s="108">
        <f t="shared" si="1"/>
        <v>0</v>
      </c>
      <c r="AI26" s="108">
        <f t="shared" si="10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0</v>
      </c>
      <c r="H27" s="379" t="s">
        <v>9</v>
      </c>
      <c r="I27" s="442">
        <v>1</v>
      </c>
      <c r="J27" s="381">
        <f t="shared" si="5"/>
        <v>2</v>
      </c>
      <c r="K27" s="363">
        <f t="shared" si="6"/>
        <v>0</v>
      </c>
      <c r="L27" s="363">
        <f t="shared" si="7"/>
        <v>3</v>
      </c>
      <c r="M27" s="352"/>
      <c r="N27" s="352"/>
      <c r="O27" s="394" t="s">
        <v>19</v>
      </c>
      <c r="P27" s="395">
        <f>SUMIF($D$8:$D$55,$O27,$G$8:$G$55)+SUMIF($F$8:$F$55,$O27,$I$8:$I$55)</f>
        <v>5</v>
      </c>
      <c r="Q27" s="395">
        <f>SUMIF($D$8:$D$55,$O27,$I$8:$I$55)+SUMIF($F$8:$F$55,$O27,$G$8:$G$55)</f>
        <v>2</v>
      </c>
      <c r="R27" s="396">
        <f>P27-Q27</f>
        <v>3</v>
      </c>
      <c r="S27" s="397">
        <f>SUMIF($D$8:$D$55,$O27,$K$8:$K$55)+SUMIF($F$8:$F$55,$O27,$L$8:$L$55)</f>
        <v>5</v>
      </c>
      <c r="T27" s="444" t="s">
        <v>62</v>
      </c>
      <c r="U27" s="40"/>
      <c r="V27" s="40" t="str">
        <f>O27</f>
        <v>Uruguay</v>
      </c>
      <c r="W27" s="40" t="s">
        <v>62</v>
      </c>
      <c r="Y27" s="109">
        <f t="shared" si="8"/>
        <v>6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6</v>
      </c>
      <c r="AG27" s="108">
        <f t="shared" si="0"/>
        <v>1</v>
      </c>
      <c r="AH27" s="108">
        <f t="shared" si="1"/>
        <v>0</v>
      </c>
      <c r="AI27" s="108">
        <f t="shared" si="10"/>
        <v>0</v>
      </c>
      <c r="AJ27" s="108">
        <f t="shared" si="2"/>
        <v>0</v>
      </c>
      <c r="AK27" s="108">
        <f t="shared" si="3"/>
        <v>5</v>
      </c>
      <c r="AL27" s="108">
        <f t="shared" si="4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1</v>
      </c>
      <c r="H28" s="367" t="s">
        <v>9</v>
      </c>
      <c r="I28" s="440">
        <v>0</v>
      </c>
      <c r="J28" s="369">
        <f t="shared" si="5"/>
        <v>1</v>
      </c>
      <c r="K28" s="363">
        <f t="shared" si="6"/>
        <v>3</v>
      </c>
      <c r="L28" s="363">
        <f t="shared" si="7"/>
        <v>0</v>
      </c>
      <c r="M28" s="352"/>
      <c r="N28" s="352"/>
      <c r="O28" s="398" t="s">
        <v>20</v>
      </c>
      <c r="P28" s="399">
        <f>SUMIF($D$8:$D$55,$O28,$G$8:$G$55)+SUMIF($F$8:$F$55,$O28,$I$8:$I$55)</f>
        <v>0</v>
      </c>
      <c r="Q28" s="399">
        <f>SUMIF($D$8:$D$55,$O28,$I$8:$I$55)+SUMIF($F$8:$F$55,$O28,$G$8:$G$55)</f>
        <v>6</v>
      </c>
      <c r="R28" s="399">
        <f>P28-Q28</f>
        <v>-6</v>
      </c>
      <c r="S28" s="400">
        <f>SUMIF($D$8:$D$55,$O28,$K$8:$K$55)+SUMIF($F$8:$F$55,$O28,$L$8:$L$55)</f>
        <v>0</v>
      </c>
      <c r="T28" s="445" t="s">
        <v>65</v>
      </c>
      <c r="U28" s="40"/>
      <c r="V28" s="40" t="str">
        <f>O28</f>
        <v>Costa Rica</v>
      </c>
      <c r="W28" s="40" t="s">
        <v>63</v>
      </c>
      <c r="Y28" s="109">
        <f t="shared" si="8"/>
        <v>5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5</v>
      </c>
      <c r="AG28" s="108">
        <f t="shared" si="0"/>
        <v>0</v>
      </c>
      <c r="AH28" s="108">
        <f t="shared" si="1"/>
        <v>0</v>
      </c>
      <c r="AI28" s="108">
        <f t="shared" si="10"/>
        <v>0</v>
      </c>
      <c r="AJ28" s="108">
        <f t="shared" si="2"/>
        <v>5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1</v>
      </c>
      <c r="H29" s="373" t="s">
        <v>9</v>
      </c>
      <c r="I29" s="441">
        <v>1</v>
      </c>
      <c r="J29" s="375">
        <f t="shared" si="5"/>
        <v>3</v>
      </c>
      <c r="K29" s="363">
        <f t="shared" si="6"/>
        <v>1</v>
      </c>
      <c r="L29" s="363">
        <f t="shared" si="7"/>
        <v>1</v>
      </c>
      <c r="M29" s="352"/>
      <c r="N29" s="352"/>
      <c r="O29" s="398" t="s">
        <v>21</v>
      </c>
      <c r="P29" s="399">
        <f>SUMIF($D$8:$D$55,$O29,$G$8:$G$55)+SUMIF($F$8:$F$55,$O29,$I$8:$I$55)</f>
        <v>4</v>
      </c>
      <c r="Q29" s="399">
        <f>SUMIF($D$8:$D$55,$O29,$I$8:$I$55)+SUMIF($F$8:$F$55,$O29,$G$8:$G$55)</f>
        <v>2</v>
      </c>
      <c r="R29" s="399">
        <f>P29-Q29</f>
        <v>2</v>
      </c>
      <c r="S29" s="400">
        <f>SUMIF($D$8:$D$55,$O29,$K$8:$K$55)+SUMIF($F$8:$F$55,$O29,$L$8:$L$55)</f>
        <v>5</v>
      </c>
      <c r="T29" s="445" t="s">
        <v>64</v>
      </c>
      <c r="U29" s="40"/>
      <c r="V29" s="40" t="str">
        <f>O29</f>
        <v>Engeland</v>
      </c>
      <c r="W29" s="40" t="s">
        <v>64</v>
      </c>
      <c r="Y29" s="109">
        <f t="shared" si="8"/>
        <v>1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1</v>
      </c>
      <c r="AG29" s="108">
        <f t="shared" si="0"/>
        <v>0</v>
      </c>
      <c r="AH29" s="108">
        <f t="shared" si="1"/>
        <v>1</v>
      </c>
      <c r="AI29" s="108">
        <f t="shared" si="10"/>
        <v>0</v>
      </c>
      <c r="AJ29" s="108">
        <f t="shared" si="2"/>
        <v>0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1</v>
      </c>
      <c r="H30" s="379" t="s">
        <v>9</v>
      </c>
      <c r="I30" s="442">
        <v>1</v>
      </c>
      <c r="J30" s="381">
        <f t="shared" si="5"/>
        <v>3</v>
      </c>
      <c r="K30" s="363">
        <f t="shared" si="6"/>
        <v>1</v>
      </c>
      <c r="L30" s="363">
        <f t="shared" si="7"/>
        <v>1</v>
      </c>
      <c r="M30" s="352"/>
      <c r="N30" s="352"/>
      <c r="O30" s="401" t="s">
        <v>22</v>
      </c>
      <c r="P30" s="402">
        <f>SUMIF($D$8:$D$55,$O30,$G$8:$G$55)+SUMIF($F$8:$F$55,$O30,$I$8:$I$55)</f>
        <v>3</v>
      </c>
      <c r="Q30" s="402">
        <f>SUMIF($D$8:$D$55,$O30,$I$8:$I$55)+SUMIF($F$8:$F$55,$O30,$G$8:$G$55)</f>
        <v>2</v>
      </c>
      <c r="R30" s="402">
        <f>P30-Q30</f>
        <v>1</v>
      </c>
      <c r="S30" s="403">
        <f>SUMIF($D$8:$D$55,$O30,$K$8:$K$55)+SUMIF($F$8:$F$55,$O30,$L$8:$L$55)</f>
        <v>5</v>
      </c>
      <c r="T30" s="446" t="s">
        <v>63</v>
      </c>
      <c r="U30" s="40"/>
      <c r="V30" s="40" t="str">
        <f>O30</f>
        <v>Italië</v>
      </c>
      <c r="W30" s="40" t="s">
        <v>65</v>
      </c>
      <c r="Y30" s="109">
        <f t="shared" si="8"/>
        <v>5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5</v>
      </c>
      <c r="AG30" s="108">
        <f t="shared" si="0"/>
        <v>0</v>
      </c>
      <c r="AH30" s="108">
        <f t="shared" si="1"/>
        <v>0</v>
      </c>
      <c r="AI30" s="108">
        <f t="shared" si="10"/>
        <v>0</v>
      </c>
      <c r="AJ30" s="108">
        <f t="shared" si="2"/>
        <v>0</v>
      </c>
      <c r="AK30" s="108">
        <f t="shared" si="3"/>
        <v>0</v>
      </c>
      <c r="AL30" s="108">
        <f t="shared" si="4"/>
        <v>5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1</v>
      </c>
      <c r="H31" s="367" t="s">
        <v>9</v>
      </c>
      <c r="I31" s="440">
        <v>0</v>
      </c>
      <c r="J31" s="369">
        <f t="shared" si="5"/>
        <v>1</v>
      </c>
      <c r="K31" s="363">
        <f t="shared" si="6"/>
        <v>3</v>
      </c>
      <c r="L31" s="363">
        <f t="shared" si="7"/>
        <v>0</v>
      </c>
      <c r="M31" s="352"/>
      <c r="N31" s="352"/>
      <c r="O31" s="392"/>
      <c r="P31" s="393"/>
      <c r="Q31" s="393"/>
      <c r="R31" s="393"/>
      <c r="S31" s="393"/>
      <c r="T31" s="393"/>
      <c r="U31" s="40"/>
      <c r="V31" s="40"/>
      <c r="W31" s="40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0"/>
        <v>0</v>
      </c>
      <c r="AH31" s="108">
        <f t="shared" si="1"/>
        <v>0</v>
      </c>
      <c r="AI31" s="108">
        <f t="shared" si="10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40"/>
      <c r="AO31" s="41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0</v>
      </c>
      <c r="H32" s="373" t="s">
        <v>9</v>
      </c>
      <c r="I32" s="441">
        <v>1</v>
      </c>
      <c r="J32" s="375">
        <f t="shared" si="5"/>
        <v>2</v>
      </c>
      <c r="K32" s="363">
        <f t="shared" si="6"/>
        <v>0</v>
      </c>
      <c r="L32" s="363">
        <f t="shared" si="7"/>
        <v>3</v>
      </c>
      <c r="M32" s="352"/>
      <c r="N32" s="352"/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40"/>
      <c r="V32" s="40"/>
      <c r="W32" s="40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0"/>
        <v>0</v>
      </c>
      <c r="AH32" s="108">
        <f t="shared" si="1"/>
        <v>0</v>
      </c>
      <c r="AI32" s="108">
        <f t="shared" si="10"/>
        <v>0</v>
      </c>
      <c r="AJ32" s="108">
        <f t="shared" si="2"/>
        <v>0</v>
      </c>
      <c r="AK32" s="108">
        <f t="shared" si="3"/>
        <v>5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1</v>
      </c>
      <c r="H33" s="379" t="s">
        <v>9</v>
      </c>
      <c r="I33" s="442">
        <v>1</v>
      </c>
      <c r="J33" s="381">
        <f t="shared" si="5"/>
        <v>3</v>
      </c>
      <c r="K33" s="363">
        <f t="shared" si="6"/>
        <v>1</v>
      </c>
      <c r="L33" s="363">
        <f t="shared" si="7"/>
        <v>1</v>
      </c>
      <c r="M33" s="352"/>
      <c r="N33" s="352"/>
      <c r="O33" s="394" t="s">
        <v>25</v>
      </c>
      <c r="P33" s="395">
        <f>SUMIF($D$8:$D$55,$O33,$G$8:$G$55)+SUMIF($F$8:$F$55,$O33,$I$8:$I$55)</f>
        <v>2</v>
      </c>
      <c r="Q33" s="395">
        <f>SUMIF($D$8:$D$55,$O33,$I$8:$I$55)+SUMIF($F$8:$F$55,$O33,$G$8:$G$55)</f>
        <v>4</v>
      </c>
      <c r="R33" s="396">
        <f>P33-Q33</f>
        <v>-2</v>
      </c>
      <c r="S33" s="397">
        <f>SUMIF($D$8:$D$55,$O33,$K$8:$K$55)+SUMIF($F$8:$F$55,$O33,$L$8:$L$55)</f>
        <v>1</v>
      </c>
      <c r="T33" s="444" t="s">
        <v>70</v>
      </c>
      <c r="U33" s="40"/>
      <c r="V33" s="40" t="str">
        <f>O33</f>
        <v>Zwitserland</v>
      </c>
      <c r="W33" s="40" t="s">
        <v>67</v>
      </c>
      <c r="Y33" s="109">
        <f t="shared" si="8"/>
        <v>1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1</v>
      </c>
      <c r="AG33" s="108">
        <f t="shared" si="0"/>
        <v>1</v>
      </c>
      <c r="AH33" s="108">
        <f t="shared" si="1"/>
        <v>0</v>
      </c>
      <c r="AI33" s="108">
        <f t="shared" si="10"/>
        <v>0</v>
      </c>
      <c r="AJ33" s="108">
        <f t="shared" si="2"/>
        <v>0</v>
      </c>
      <c r="AK33" s="108">
        <f t="shared" si="3"/>
        <v>0</v>
      </c>
      <c r="AL33" s="108">
        <f t="shared" si="4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3</v>
      </c>
      <c r="H34" s="367" t="s">
        <v>9</v>
      </c>
      <c r="I34" s="440">
        <v>0</v>
      </c>
      <c r="J34" s="369">
        <f t="shared" si="5"/>
        <v>1</v>
      </c>
      <c r="K34" s="363">
        <f t="shared" si="6"/>
        <v>3</v>
      </c>
      <c r="L34" s="363">
        <f t="shared" si="7"/>
        <v>0</v>
      </c>
      <c r="M34" s="352"/>
      <c r="N34" s="352"/>
      <c r="O34" s="398" t="s">
        <v>26</v>
      </c>
      <c r="P34" s="399">
        <f>SUMIF($D$8:$D$55,$O34,$G$8:$G$55)+SUMIF($F$8:$F$55,$O34,$I$8:$I$55)</f>
        <v>4</v>
      </c>
      <c r="Q34" s="399">
        <f>SUMIF($D$8:$D$55,$O34,$I$8:$I$55)+SUMIF($F$8:$F$55,$O34,$G$8:$G$55)</f>
        <v>3</v>
      </c>
      <c r="R34" s="399">
        <f>P34-Q34</f>
        <v>1</v>
      </c>
      <c r="S34" s="400">
        <f>SUMIF($D$8:$D$55,$O34,$K$8:$K$55)+SUMIF($F$8:$F$55,$O34,$L$8:$L$55)</f>
        <v>5</v>
      </c>
      <c r="T34" s="445" t="s">
        <v>68</v>
      </c>
      <c r="U34" s="40"/>
      <c r="V34" s="40" t="str">
        <f>O34</f>
        <v>Ecuador</v>
      </c>
      <c r="W34" s="40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0"/>
        <v>0</v>
      </c>
      <c r="AH34" s="108">
        <f t="shared" si="1"/>
        <v>1</v>
      </c>
      <c r="AI34" s="108">
        <f t="shared" si="10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2</v>
      </c>
      <c r="H35" s="373" t="s">
        <v>9</v>
      </c>
      <c r="I35" s="441">
        <v>0</v>
      </c>
      <c r="J35" s="375">
        <f t="shared" si="5"/>
        <v>1</v>
      </c>
      <c r="K35" s="363">
        <f t="shared" si="6"/>
        <v>3</v>
      </c>
      <c r="L35" s="363">
        <f t="shared" si="7"/>
        <v>0</v>
      </c>
      <c r="M35" s="352"/>
      <c r="N35" s="352"/>
      <c r="O35" s="398" t="s">
        <v>27</v>
      </c>
      <c r="P35" s="399">
        <f>SUMIF($D$8:$D$55,$O35,$G$8:$G$55)+SUMIF($F$8:$F$55,$O35,$I$8:$I$55)</f>
        <v>5</v>
      </c>
      <c r="Q35" s="399">
        <f>SUMIF($D$8:$D$55,$O35,$I$8:$I$55)+SUMIF($F$8:$F$55,$O35,$G$8:$G$55)</f>
        <v>1</v>
      </c>
      <c r="R35" s="399">
        <f>P35-Q35</f>
        <v>4</v>
      </c>
      <c r="S35" s="400">
        <f>SUMIF($D$8:$D$55,$O35,$K$8:$K$55)+SUMIF($F$8:$F$55,$O35,$L$8:$L$55)</f>
        <v>7</v>
      </c>
      <c r="T35" s="445" t="s">
        <v>67</v>
      </c>
      <c r="U35" s="40"/>
      <c r="V35" s="40" t="str">
        <f>O35</f>
        <v>Frankrijk</v>
      </c>
      <c r="W35" s="40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0"/>
        <v>1</v>
      </c>
      <c r="AH35" s="108">
        <f t="shared" si="1"/>
        <v>0</v>
      </c>
      <c r="AI35" s="108">
        <f t="shared" si="10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2</v>
      </c>
      <c r="H36" s="379" t="s">
        <v>9</v>
      </c>
      <c r="I36" s="442">
        <v>1</v>
      </c>
      <c r="J36" s="381">
        <f t="shared" si="5"/>
        <v>1</v>
      </c>
      <c r="K36" s="363">
        <f t="shared" si="6"/>
        <v>3</v>
      </c>
      <c r="L36" s="363">
        <f t="shared" si="7"/>
        <v>0</v>
      </c>
      <c r="M36" s="352"/>
      <c r="N36" s="352"/>
      <c r="O36" s="401" t="s">
        <v>28</v>
      </c>
      <c r="P36" s="402">
        <f>SUMIF($D$8:$D$55,$O36,$G$8:$G$55)+SUMIF($F$8:$F$55,$O36,$I$8:$I$55)</f>
        <v>2</v>
      </c>
      <c r="Q36" s="402">
        <f>SUMIF($D$8:$D$55,$O36,$I$8:$I$55)+SUMIF($F$8:$F$55,$O36,$G$8:$G$55)</f>
        <v>5</v>
      </c>
      <c r="R36" s="402">
        <f>P36-Q36</f>
        <v>-3</v>
      </c>
      <c r="S36" s="403">
        <f>SUMIF($D$8:$D$55,$O36,$K$8:$K$55)+SUMIF($F$8:$F$55,$O36,$L$8:$L$55)</f>
        <v>2</v>
      </c>
      <c r="T36" s="446" t="s">
        <v>69</v>
      </c>
      <c r="U36" s="40"/>
      <c r="V36" s="40" t="str">
        <f>O36</f>
        <v>Honduras</v>
      </c>
      <c r="W36" s="40" t="s">
        <v>70</v>
      </c>
      <c r="Y36" s="109">
        <f t="shared" si="8"/>
        <v>5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5</v>
      </c>
      <c r="AG36" s="108">
        <f t="shared" si="0"/>
        <v>0</v>
      </c>
      <c r="AH36" s="108">
        <f t="shared" si="1"/>
        <v>0</v>
      </c>
      <c r="AI36" s="108">
        <f t="shared" si="10"/>
        <v>0</v>
      </c>
      <c r="AJ36" s="108">
        <f t="shared" si="2"/>
        <v>5</v>
      </c>
      <c r="AK36" s="108">
        <f t="shared" si="3"/>
        <v>0</v>
      </c>
      <c r="AL36" s="108">
        <f t="shared" si="4"/>
        <v>0</v>
      </c>
      <c r="AM36" s="120">
        <f>AO36</f>
        <v>0</v>
      </c>
      <c r="AN36" s="118" t="s">
        <v>28</v>
      </c>
      <c r="AO36" s="115">
        <f>IF(Uitslag!T36="",0,IF(T36=Uitslag!T36,10,0))</f>
        <v>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1</v>
      </c>
      <c r="H37" s="367" t="s">
        <v>9</v>
      </c>
      <c r="I37" s="440">
        <v>1</v>
      </c>
      <c r="J37" s="369">
        <f t="shared" si="5"/>
        <v>3</v>
      </c>
      <c r="K37" s="363">
        <f t="shared" si="6"/>
        <v>1</v>
      </c>
      <c r="L37" s="363">
        <f t="shared" si="7"/>
        <v>1</v>
      </c>
      <c r="M37" s="352"/>
      <c r="N37" s="352"/>
      <c r="O37" s="392"/>
      <c r="P37" s="393"/>
      <c r="Q37" s="393"/>
      <c r="R37" s="393"/>
      <c r="S37" s="393"/>
      <c r="T37" s="393"/>
      <c r="U37" s="40"/>
      <c r="V37" s="40"/>
      <c r="W37" s="40"/>
      <c r="Y37" s="109">
        <f t="shared" si="8"/>
        <v>1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1</v>
      </c>
      <c r="AG37" s="108">
        <f t="shared" si="0"/>
        <v>1</v>
      </c>
      <c r="AH37" s="108">
        <f t="shared" si="1"/>
        <v>0</v>
      </c>
      <c r="AI37" s="108">
        <f t="shared" si="10"/>
        <v>0</v>
      </c>
      <c r="AJ37" s="108">
        <f t="shared" si="2"/>
        <v>0</v>
      </c>
      <c r="AK37" s="108">
        <f t="shared" si="3"/>
        <v>0</v>
      </c>
      <c r="AL37" s="108">
        <f t="shared" si="4"/>
        <v>0</v>
      </c>
      <c r="AN37" s="40"/>
      <c r="AO37" s="41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1</v>
      </c>
      <c r="H38" s="373" t="s">
        <v>9</v>
      </c>
      <c r="I38" s="441">
        <v>0</v>
      </c>
      <c r="J38" s="375">
        <f t="shared" si="5"/>
        <v>1</v>
      </c>
      <c r="K38" s="363">
        <f t="shared" si="6"/>
        <v>3</v>
      </c>
      <c r="L38" s="363">
        <f t="shared" si="7"/>
        <v>0</v>
      </c>
      <c r="M38" s="352"/>
      <c r="N38" s="352"/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40"/>
      <c r="V38" s="40"/>
      <c r="W38" s="40"/>
      <c r="Y38" s="109">
        <f t="shared" si="8"/>
        <v>0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0</v>
      </c>
      <c r="AG38" s="108">
        <f t="shared" si="0"/>
        <v>0</v>
      </c>
      <c r="AH38" s="108">
        <f t="shared" si="1"/>
        <v>0</v>
      </c>
      <c r="AI38" s="108">
        <f t="shared" si="10"/>
        <v>0</v>
      </c>
      <c r="AJ38" s="108">
        <f t="shared" si="2"/>
        <v>0</v>
      </c>
      <c r="AK38" s="108">
        <f t="shared" si="3"/>
        <v>0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0</v>
      </c>
      <c r="H39" s="379" t="s">
        <v>9</v>
      </c>
      <c r="I39" s="442">
        <v>1</v>
      </c>
      <c r="J39" s="381">
        <f t="shared" si="5"/>
        <v>2</v>
      </c>
      <c r="K39" s="363">
        <f t="shared" si="6"/>
        <v>0</v>
      </c>
      <c r="L39" s="363">
        <f t="shared" si="7"/>
        <v>3</v>
      </c>
      <c r="M39" s="352"/>
      <c r="N39" s="352"/>
      <c r="O39" s="394" t="s">
        <v>29</v>
      </c>
      <c r="P39" s="395">
        <f>SUMIF($D$8:$D$55,$O39,$G$8:$G$55)+SUMIF($F$8:$F$55,$O39,$I$8:$I$55)</f>
        <v>7</v>
      </c>
      <c r="Q39" s="395">
        <f>SUMIF($D$8:$D$55,$O39,$I$8:$I$55)+SUMIF($F$8:$F$55,$O39,$G$8:$G$55)</f>
        <v>1</v>
      </c>
      <c r="R39" s="396">
        <f>P39-Q39</f>
        <v>6</v>
      </c>
      <c r="S39" s="397">
        <f>SUMIF($D$8:$D$55,$O39,$K$8:$K$55)+SUMIF($F$8:$F$55,$O39,$L$8:$L$55)</f>
        <v>9</v>
      </c>
      <c r="T39" s="444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0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0</v>
      </c>
      <c r="AG39" s="108">
        <f t="shared" si="0"/>
        <v>0</v>
      </c>
      <c r="AH39" s="108">
        <f t="shared" si="1"/>
        <v>0</v>
      </c>
      <c r="AI39" s="108">
        <f t="shared" si="10"/>
        <v>0</v>
      </c>
      <c r="AJ39" s="108">
        <f t="shared" si="2"/>
        <v>0</v>
      </c>
      <c r="AK39" s="108">
        <f t="shared" si="3"/>
        <v>0</v>
      </c>
      <c r="AL39" s="108">
        <f t="shared" si="4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0</v>
      </c>
      <c r="H40" s="367" t="s">
        <v>9</v>
      </c>
      <c r="I40" s="440">
        <v>1</v>
      </c>
      <c r="J40" s="369">
        <f t="shared" si="5"/>
        <v>2</v>
      </c>
      <c r="K40" s="363">
        <f t="shared" si="6"/>
        <v>0</v>
      </c>
      <c r="L40" s="363">
        <f t="shared" si="7"/>
        <v>3</v>
      </c>
      <c r="M40" s="352"/>
      <c r="N40" s="352"/>
      <c r="O40" s="398" t="s">
        <v>30</v>
      </c>
      <c r="P40" s="399">
        <f>SUMIF($D$8:$D$55,$O40,$G$8:$G$55)+SUMIF($F$8:$F$55,$O40,$I$8:$I$55)</f>
        <v>3</v>
      </c>
      <c r="Q40" s="399">
        <f>SUMIF($D$8:$D$55,$O40,$I$8:$I$55)+SUMIF($F$8:$F$55,$O40,$G$8:$G$55)</f>
        <v>4</v>
      </c>
      <c r="R40" s="399">
        <f>P40-Q40</f>
        <v>-1</v>
      </c>
      <c r="S40" s="400">
        <f>SUMIF($D$8:$D$55,$O40,$K$8:$K$55)+SUMIF($F$8:$F$55,$O40,$L$8:$L$55)</f>
        <v>3</v>
      </c>
      <c r="T40" s="445" t="s">
        <v>74</v>
      </c>
      <c r="U40" s="40"/>
      <c r="V40" s="40" t="str">
        <f>O40</f>
        <v>Bosnië H.</v>
      </c>
      <c r="W40" s="40" t="s">
        <v>73</v>
      </c>
      <c r="Y40" s="109">
        <f t="shared" si="8"/>
        <v>6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6</v>
      </c>
      <c r="AG40" s="108">
        <f t="shared" si="0"/>
        <v>1</v>
      </c>
      <c r="AH40" s="108">
        <f t="shared" si="1"/>
        <v>0</v>
      </c>
      <c r="AI40" s="108">
        <f t="shared" si="10"/>
        <v>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1</v>
      </c>
      <c r="H41" s="373" t="s">
        <v>9</v>
      </c>
      <c r="I41" s="441">
        <v>1</v>
      </c>
      <c r="J41" s="375">
        <f t="shared" si="5"/>
        <v>3</v>
      </c>
      <c r="K41" s="363">
        <f t="shared" si="6"/>
        <v>1</v>
      </c>
      <c r="L41" s="363">
        <f t="shared" si="7"/>
        <v>1</v>
      </c>
      <c r="M41" s="352"/>
      <c r="N41" s="352"/>
      <c r="O41" s="398" t="s">
        <v>33</v>
      </c>
      <c r="P41" s="399">
        <f>SUMIF($D$8:$D$55,$O41,$G$8:$G$55)+SUMIF($F$8:$F$55,$O41,$I$8:$I$55)</f>
        <v>0</v>
      </c>
      <c r="Q41" s="399">
        <f>SUMIF($D$8:$D$55,$O41,$I$8:$I$55)+SUMIF($F$8:$F$55,$O41,$G$8:$G$55)</f>
        <v>6</v>
      </c>
      <c r="R41" s="399">
        <f>P41-Q41</f>
        <v>-6</v>
      </c>
      <c r="S41" s="400">
        <f>SUMIF($D$8:$D$55,$O41,$K$8:$K$55)+SUMIF($F$8:$F$55,$O41,$L$8:$L$55)</f>
        <v>0</v>
      </c>
      <c r="T41" s="445" t="s">
        <v>75</v>
      </c>
      <c r="U41" s="40"/>
      <c r="V41" s="40" t="str">
        <f>O41</f>
        <v>Iran</v>
      </c>
      <c r="W41" s="40" t="s">
        <v>74</v>
      </c>
      <c r="Y41" s="109">
        <f t="shared" si="8"/>
        <v>0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0</v>
      </c>
      <c r="AG41" s="108">
        <f t="shared" si="0"/>
        <v>0</v>
      </c>
      <c r="AH41" s="108">
        <f t="shared" si="1"/>
        <v>0</v>
      </c>
      <c r="AI41" s="108">
        <f t="shared" si="10"/>
        <v>0</v>
      </c>
      <c r="AJ41" s="108">
        <f t="shared" si="2"/>
        <v>0</v>
      </c>
      <c r="AK41" s="108">
        <f t="shared" si="3"/>
        <v>0</v>
      </c>
      <c r="AL41" s="108">
        <f t="shared" si="4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0</v>
      </c>
      <c r="H42" s="373" t="s">
        <v>9</v>
      </c>
      <c r="I42" s="441">
        <v>2</v>
      </c>
      <c r="J42" s="375">
        <f t="shared" si="5"/>
        <v>2</v>
      </c>
      <c r="K42" s="363">
        <f t="shared" si="6"/>
        <v>0</v>
      </c>
      <c r="L42" s="363">
        <f t="shared" si="7"/>
        <v>3</v>
      </c>
      <c r="M42" s="352"/>
      <c r="N42" s="352"/>
      <c r="O42" s="401" t="s">
        <v>34</v>
      </c>
      <c r="P42" s="402">
        <f>SUMIF($D$8:$D$55,$O42,$G$8:$G$55)+SUMIF($F$8:$F$55,$O42,$I$8:$I$55)</f>
        <v>4</v>
      </c>
      <c r="Q42" s="402">
        <f>SUMIF($D$8:$D$55,$O42,$I$8:$I$55)+SUMIF($F$8:$F$55,$O42,$G$8:$G$55)</f>
        <v>3</v>
      </c>
      <c r="R42" s="402">
        <f>P42-Q42</f>
        <v>1</v>
      </c>
      <c r="S42" s="403">
        <f>SUMIF($D$8:$D$55,$O42,$K$8:$K$55)+SUMIF($F$8:$F$55,$O42,$L$8:$L$55)</f>
        <v>6</v>
      </c>
      <c r="T42" s="446" t="s">
        <v>73</v>
      </c>
      <c r="U42" s="40"/>
      <c r="V42" s="40" t="str">
        <f>O42</f>
        <v>Nigeria</v>
      </c>
      <c r="W42" s="40" t="s">
        <v>75</v>
      </c>
      <c r="Y42" s="109">
        <f t="shared" si="8"/>
        <v>5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5</v>
      </c>
      <c r="AG42" s="108">
        <f t="shared" si="0"/>
        <v>0</v>
      </c>
      <c r="AH42" s="108">
        <f t="shared" si="1"/>
        <v>0</v>
      </c>
      <c r="AI42" s="108">
        <f t="shared" si="10"/>
        <v>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1</v>
      </c>
      <c r="H43" s="379" t="s">
        <v>9</v>
      </c>
      <c r="I43" s="442">
        <v>1</v>
      </c>
      <c r="J43" s="381">
        <f t="shared" si="5"/>
        <v>3</v>
      </c>
      <c r="K43" s="363">
        <f t="shared" si="6"/>
        <v>1</v>
      </c>
      <c r="L43" s="363">
        <f t="shared" si="7"/>
        <v>1</v>
      </c>
      <c r="M43" s="352"/>
      <c r="N43" s="352"/>
      <c r="O43" s="392"/>
      <c r="P43" s="393"/>
      <c r="Q43" s="393"/>
      <c r="R43" s="393"/>
      <c r="S43" s="393"/>
      <c r="T43" s="393"/>
      <c r="U43" s="40"/>
      <c r="V43" s="40"/>
      <c r="W43" s="40"/>
      <c r="Y43" s="109">
        <f t="shared" si="8"/>
        <v>1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1</v>
      </c>
      <c r="AG43" s="108">
        <f t="shared" si="0"/>
        <v>1</v>
      </c>
      <c r="AH43" s="108">
        <f t="shared" si="1"/>
        <v>0</v>
      </c>
      <c r="AI43" s="108">
        <f t="shared" si="10"/>
        <v>0</v>
      </c>
      <c r="AJ43" s="108">
        <f t="shared" si="2"/>
        <v>0</v>
      </c>
      <c r="AK43" s="108">
        <f t="shared" si="3"/>
        <v>0</v>
      </c>
      <c r="AL43" s="108">
        <f t="shared" si="4"/>
        <v>0</v>
      </c>
      <c r="AN43" s="40"/>
      <c r="AO43" s="41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1</v>
      </c>
      <c r="H44" s="367" t="s">
        <v>9</v>
      </c>
      <c r="I44" s="440">
        <v>1</v>
      </c>
      <c r="J44" s="369">
        <f t="shared" si="5"/>
        <v>3</v>
      </c>
      <c r="K44" s="363">
        <f t="shared" si="6"/>
        <v>1</v>
      </c>
      <c r="L44" s="363">
        <f t="shared" si="7"/>
        <v>1</v>
      </c>
      <c r="M44" s="352"/>
      <c r="N44" s="352"/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40"/>
      <c r="V44" s="40"/>
      <c r="W44" s="40"/>
      <c r="Y44" s="109">
        <f t="shared" si="8"/>
        <v>1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1</v>
      </c>
      <c r="AG44" s="108">
        <f t="shared" si="0"/>
        <v>0</v>
      </c>
      <c r="AH44" s="108">
        <f t="shared" si="1"/>
        <v>1</v>
      </c>
      <c r="AI44" s="108">
        <f t="shared" si="10"/>
        <v>0</v>
      </c>
      <c r="AJ44" s="108">
        <f t="shared" si="2"/>
        <v>0</v>
      </c>
      <c r="AK44" s="108">
        <f t="shared" si="3"/>
        <v>0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0</v>
      </c>
      <c r="H45" s="373" t="s">
        <v>9</v>
      </c>
      <c r="I45" s="441">
        <v>2</v>
      </c>
      <c r="J45" s="375">
        <f t="shared" si="5"/>
        <v>2</v>
      </c>
      <c r="K45" s="363">
        <f t="shared" si="6"/>
        <v>0</v>
      </c>
      <c r="L45" s="363">
        <f t="shared" si="7"/>
        <v>3</v>
      </c>
      <c r="M45" s="352"/>
      <c r="N45" s="352"/>
      <c r="O45" s="394" t="s">
        <v>31</v>
      </c>
      <c r="P45" s="395">
        <f>SUMIF($D$8:$D$55,$O45,$G$8:$G$55)+SUMIF($F$8:$F$55,$O45,$I$8:$I$55)</f>
        <v>6</v>
      </c>
      <c r="Q45" s="395">
        <f>SUMIF($D$8:$D$55,$O45,$I$8:$I$55)+SUMIF($F$8:$F$55,$O45,$G$8:$G$55)</f>
        <v>1</v>
      </c>
      <c r="R45" s="396">
        <f>P45-Q45</f>
        <v>5</v>
      </c>
      <c r="S45" s="397">
        <f>SUMIF($D$8:$D$55,$O45,$K$8:$K$55)+SUMIF($F$8:$F$55,$O45,$L$8:$L$55)</f>
        <v>9</v>
      </c>
      <c r="T45" s="444" t="s">
        <v>77</v>
      </c>
      <c r="U45" s="40"/>
      <c r="V45" s="40" t="str">
        <f>O45</f>
        <v>Duitsland</v>
      </c>
      <c r="W45" s="40" t="s">
        <v>77</v>
      </c>
      <c r="Y45" s="109">
        <f t="shared" si="8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1</v>
      </c>
      <c r="AG45" s="108">
        <f t="shared" si="0"/>
        <v>1</v>
      </c>
      <c r="AH45" s="108">
        <f t="shared" si="1"/>
        <v>0</v>
      </c>
      <c r="AI45" s="108">
        <f t="shared" si="10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0</v>
      </c>
      <c r="H46" s="373" t="s">
        <v>9</v>
      </c>
      <c r="I46" s="441">
        <v>1</v>
      </c>
      <c r="J46" s="375">
        <f t="shared" si="5"/>
        <v>2</v>
      </c>
      <c r="K46" s="363">
        <f t="shared" si="6"/>
        <v>0</v>
      </c>
      <c r="L46" s="363">
        <f t="shared" si="7"/>
        <v>3</v>
      </c>
      <c r="M46" s="352"/>
      <c r="N46" s="352"/>
      <c r="O46" s="398" t="s">
        <v>32</v>
      </c>
      <c r="P46" s="399">
        <f>SUMIF($D$8:$D$55,$O46,$G$8:$G$55)+SUMIF($F$8:$F$55,$O46,$I$8:$I$55)</f>
        <v>4</v>
      </c>
      <c r="Q46" s="399">
        <f>SUMIF($D$8:$D$55,$O46,$I$8:$I$55)+SUMIF($F$8:$F$55,$O46,$G$8:$G$55)</f>
        <v>3</v>
      </c>
      <c r="R46" s="399">
        <f>P46-Q46</f>
        <v>1</v>
      </c>
      <c r="S46" s="400">
        <f>SUMIF($D$8:$D$55,$O46,$K$8:$K$55)+SUMIF($F$8:$F$55,$O46,$L$8:$L$55)</f>
        <v>6</v>
      </c>
      <c r="T46" s="445" t="s">
        <v>78</v>
      </c>
      <c r="U46" s="40"/>
      <c r="V46" s="40" t="str">
        <f>O46</f>
        <v>Portugal</v>
      </c>
      <c r="W46" s="40" t="s">
        <v>78</v>
      </c>
      <c r="Y46" s="109">
        <f t="shared" si="8"/>
        <v>5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5</v>
      </c>
      <c r="AG46" s="108">
        <f t="shared" si="0"/>
        <v>0</v>
      </c>
      <c r="AH46" s="108">
        <f t="shared" si="1"/>
        <v>0</v>
      </c>
      <c r="AI46" s="108">
        <f t="shared" si="10"/>
        <v>0</v>
      </c>
      <c r="AJ46" s="108">
        <f t="shared" si="2"/>
        <v>0</v>
      </c>
      <c r="AK46" s="108">
        <f t="shared" si="3"/>
        <v>5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1</v>
      </c>
      <c r="H47" s="379" t="s">
        <v>9</v>
      </c>
      <c r="I47" s="442">
        <v>2</v>
      </c>
      <c r="J47" s="381">
        <f t="shared" si="5"/>
        <v>2</v>
      </c>
      <c r="K47" s="363">
        <f t="shared" si="6"/>
        <v>0</v>
      </c>
      <c r="L47" s="363">
        <f t="shared" si="7"/>
        <v>3</v>
      </c>
      <c r="M47" s="352"/>
      <c r="N47" s="352"/>
      <c r="O47" s="398" t="s">
        <v>35</v>
      </c>
      <c r="P47" s="399">
        <f>SUMIF($D$8:$D$55,$O47,$G$8:$G$55)+SUMIF($F$8:$F$55,$O47,$I$8:$I$55)</f>
        <v>3</v>
      </c>
      <c r="Q47" s="399">
        <f>SUMIF($D$8:$D$55,$O47,$I$8:$I$55)+SUMIF($F$8:$F$55,$O47,$G$8:$G$55)</f>
        <v>5</v>
      </c>
      <c r="R47" s="399">
        <f>P47-Q47</f>
        <v>-2</v>
      </c>
      <c r="S47" s="400">
        <f>SUMIF($D$8:$D$55,$O47,$K$8:$K$55)+SUMIF($F$8:$F$55,$O47,$L$8:$L$55)</f>
        <v>3</v>
      </c>
      <c r="T47" s="445" t="s">
        <v>79</v>
      </c>
      <c r="U47" s="40"/>
      <c r="V47" s="40" t="str">
        <f>O47</f>
        <v>Ghana</v>
      </c>
      <c r="W47" s="40" t="s">
        <v>79</v>
      </c>
      <c r="Y47" s="109">
        <f t="shared" si="8"/>
        <v>0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0</v>
      </c>
      <c r="AG47" s="108">
        <f t="shared" si="0"/>
        <v>0</v>
      </c>
      <c r="AH47" s="108">
        <f t="shared" si="1"/>
        <v>0</v>
      </c>
      <c r="AI47" s="108">
        <f t="shared" si="10"/>
        <v>0</v>
      </c>
      <c r="AJ47" s="108">
        <f t="shared" si="2"/>
        <v>0</v>
      </c>
      <c r="AK47" s="108">
        <f t="shared" si="3"/>
        <v>0</v>
      </c>
      <c r="AL47" s="108">
        <f t="shared" si="4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1</v>
      </c>
      <c r="H48" s="367" t="s">
        <v>9</v>
      </c>
      <c r="I48" s="440">
        <v>2</v>
      </c>
      <c r="J48" s="369">
        <f t="shared" si="5"/>
        <v>2</v>
      </c>
      <c r="K48" s="363">
        <f t="shared" si="6"/>
        <v>0</v>
      </c>
      <c r="L48" s="363">
        <f t="shared" si="7"/>
        <v>3</v>
      </c>
      <c r="M48" s="352"/>
      <c r="N48" s="352"/>
      <c r="O48" s="401" t="s">
        <v>36</v>
      </c>
      <c r="P48" s="402">
        <f>SUMIF($D$8:$D$55,$O48,$G$8:$G$55)+SUMIF($F$8:$F$55,$O48,$I$8:$I$55)</f>
        <v>1</v>
      </c>
      <c r="Q48" s="402">
        <f>SUMIF($D$8:$D$55,$O48,$I$8:$I$55)+SUMIF($F$8:$F$55,$O48,$G$8:$G$55)</f>
        <v>5</v>
      </c>
      <c r="R48" s="402">
        <f>P48-Q48</f>
        <v>-4</v>
      </c>
      <c r="S48" s="403">
        <f>SUMIF($D$8:$D$55,$O48,$K$8:$K$55)+SUMIF($F$8:$F$55,$O48,$L$8:$L$55)</f>
        <v>0</v>
      </c>
      <c r="T48" s="446" t="s">
        <v>80</v>
      </c>
      <c r="U48" s="40"/>
      <c r="V48" s="40" t="str">
        <f>O48</f>
        <v>Verenigde Staten</v>
      </c>
      <c r="W48" s="40" t="s">
        <v>80</v>
      </c>
      <c r="Y48" s="109">
        <f t="shared" si="8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5</v>
      </c>
      <c r="AG48" s="108">
        <f t="shared" si="0"/>
        <v>0</v>
      </c>
      <c r="AH48" s="108">
        <f t="shared" si="1"/>
        <v>0</v>
      </c>
      <c r="AI48" s="108">
        <f t="shared" si="10"/>
        <v>0</v>
      </c>
      <c r="AJ48" s="108">
        <f t="shared" si="2"/>
        <v>0</v>
      </c>
      <c r="AK48" s="108">
        <f t="shared" si="3"/>
        <v>5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2</v>
      </c>
      <c r="H49" s="373" t="s">
        <v>9</v>
      </c>
      <c r="I49" s="441">
        <v>0</v>
      </c>
      <c r="J49" s="375">
        <f t="shared" si="5"/>
        <v>1</v>
      </c>
      <c r="K49" s="363">
        <f t="shared" si="6"/>
        <v>3</v>
      </c>
      <c r="L49" s="363">
        <f t="shared" si="7"/>
        <v>0</v>
      </c>
      <c r="M49" s="352"/>
      <c r="N49" s="352"/>
      <c r="O49" s="392"/>
      <c r="P49" s="393"/>
      <c r="Q49" s="393"/>
      <c r="R49" s="393"/>
      <c r="S49" s="393"/>
      <c r="T49" s="393"/>
      <c r="U49" s="40"/>
      <c r="V49" s="40"/>
      <c r="W49" s="40"/>
      <c r="Y49" s="109">
        <f t="shared" si="8"/>
        <v>5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5</v>
      </c>
      <c r="AG49" s="108">
        <f t="shared" si="0"/>
        <v>0</v>
      </c>
      <c r="AH49" s="108">
        <f t="shared" si="1"/>
        <v>0</v>
      </c>
      <c r="AI49" s="108">
        <f t="shared" si="10"/>
        <v>0</v>
      </c>
      <c r="AJ49" s="108">
        <f t="shared" si="2"/>
        <v>5</v>
      </c>
      <c r="AK49" s="108">
        <f t="shared" si="3"/>
        <v>0</v>
      </c>
      <c r="AL49" s="108">
        <f t="shared" si="4"/>
        <v>0</v>
      </c>
      <c r="AN49" s="40"/>
      <c r="AO49" s="41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1</v>
      </c>
      <c r="H50" s="373" t="s">
        <v>9</v>
      </c>
      <c r="I50" s="441">
        <v>1</v>
      </c>
      <c r="J50" s="375">
        <f t="shared" si="5"/>
        <v>3</v>
      </c>
      <c r="K50" s="363">
        <f t="shared" si="6"/>
        <v>1</v>
      </c>
      <c r="L50" s="363">
        <f t="shared" si="7"/>
        <v>1</v>
      </c>
      <c r="M50" s="352"/>
      <c r="N50" s="352"/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40"/>
      <c r="V50" s="40"/>
      <c r="W50" s="40"/>
      <c r="Y50" s="109">
        <f t="shared" si="8"/>
        <v>0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0</v>
      </c>
      <c r="AG50" s="108">
        <f t="shared" si="0"/>
        <v>0</v>
      </c>
      <c r="AH50" s="108">
        <f t="shared" si="1"/>
        <v>0</v>
      </c>
      <c r="AI50" s="108">
        <f t="shared" si="10"/>
        <v>0</v>
      </c>
      <c r="AJ50" s="108">
        <f t="shared" si="2"/>
        <v>0</v>
      </c>
      <c r="AK50" s="108">
        <f t="shared" si="3"/>
        <v>0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1</v>
      </c>
      <c r="H51" s="379" t="s">
        <v>9</v>
      </c>
      <c r="I51" s="442">
        <v>1</v>
      </c>
      <c r="J51" s="381">
        <f t="shared" si="5"/>
        <v>3</v>
      </c>
      <c r="K51" s="363">
        <f t="shared" si="6"/>
        <v>1</v>
      </c>
      <c r="L51" s="363">
        <f>IF(I51="","",IF($G51&lt;$I51,3,IF($G51=$I51,1,0)))</f>
        <v>1</v>
      </c>
      <c r="M51" s="352"/>
      <c r="N51" s="352"/>
      <c r="O51" s="394" t="s">
        <v>37</v>
      </c>
      <c r="P51" s="395">
        <f>SUMIF($D$8:$D$55,$O51,$G$8:$G$55)+SUMIF($F$8:$F$55,$O51,$I$8:$I$55)</f>
        <v>5</v>
      </c>
      <c r="Q51" s="395">
        <f>SUMIF($D$8:$D$55,$O51,$I$8:$I$55)+SUMIF($F$8:$F$55,$O51,$G$8:$G$55)</f>
        <v>2</v>
      </c>
      <c r="R51" s="396">
        <f>P51-Q51</f>
        <v>3</v>
      </c>
      <c r="S51" s="397">
        <f>SUMIF($D$8:$D$55,$O51,$K$8:$K$55)+SUMIF($F$8:$F$55,$O51,$L$8:$L$55)</f>
        <v>7</v>
      </c>
      <c r="T51" s="444" t="s">
        <v>82</v>
      </c>
      <c r="U51" s="40"/>
      <c r="V51" s="40" t="str">
        <f>O51</f>
        <v>België</v>
      </c>
      <c r="W51" s="40" t="s">
        <v>82</v>
      </c>
      <c r="Y51" s="109">
        <f t="shared" si="8"/>
        <v>5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5</v>
      </c>
      <c r="AG51" s="108">
        <f t="shared" si="0"/>
        <v>0</v>
      </c>
      <c r="AH51" s="108">
        <f t="shared" si="1"/>
        <v>0</v>
      </c>
      <c r="AI51" s="108">
        <f t="shared" si="10"/>
        <v>0</v>
      </c>
      <c r="AJ51" s="108">
        <f t="shared" si="2"/>
        <v>0</v>
      </c>
      <c r="AK51" s="108">
        <f t="shared" si="3"/>
        <v>0</v>
      </c>
      <c r="AL51" s="108">
        <f t="shared" si="4"/>
        <v>5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0</v>
      </c>
      <c r="H52" s="373" t="s">
        <v>9</v>
      </c>
      <c r="I52" s="441">
        <v>2</v>
      </c>
      <c r="J52" s="369">
        <f t="shared" si="5"/>
        <v>2</v>
      </c>
      <c r="K52" s="363">
        <f t="shared" si="6"/>
        <v>0</v>
      </c>
      <c r="L52" s="363">
        <f t="shared" si="7"/>
        <v>3</v>
      </c>
      <c r="M52" s="352"/>
      <c r="N52" s="352"/>
      <c r="O52" s="398" t="s">
        <v>38</v>
      </c>
      <c r="P52" s="399">
        <f>SUMIF($D$8:$D$55,$O52,$G$8:$G$55)+SUMIF($F$8:$F$55,$O52,$I$8:$I$55)</f>
        <v>0</v>
      </c>
      <c r="Q52" s="399">
        <f>SUMIF($D$8:$D$55,$O52,$I$8:$I$55)+SUMIF($F$8:$F$55,$O52,$G$8:$G$55)</f>
        <v>5</v>
      </c>
      <c r="R52" s="399">
        <f>P52-Q52</f>
        <v>-5</v>
      </c>
      <c r="S52" s="400">
        <f>SUMIF($D$8:$D$55,$O52,$K$8:$K$55)+SUMIF($F$8:$F$55,$O52,$L$8:$L$55)</f>
        <v>0</v>
      </c>
      <c r="T52" s="445" t="s">
        <v>85</v>
      </c>
      <c r="U52" s="40"/>
      <c r="V52" s="40" t="str">
        <f>O52</f>
        <v>Algerije</v>
      </c>
      <c r="W52" s="40" t="s">
        <v>83</v>
      </c>
      <c r="Y52" s="109">
        <f t="shared" si="8"/>
        <v>6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6</v>
      </c>
      <c r="AG52" s="108">
        <f t="shared" si="0"/>
        <v>1</v>
      </c>
      <c r="AH52" s="108">
        <f t="shared" si="1"/>
        <v>0</v>
      </c>
      <c r="AI52" s="108">
        <f t="shared" si="10"/>
        <v>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2</v>
      </c>
      <c r="H53" s="373" t="s">
        <v>9</v>
      </c>
      <c r="I53" s="441">
        <v>1</v>
      </c>
      <c r="J53" s="375">
        <f t="shared" si="5"/>
        <v>1</v>
      </c>
      <c r="K53" s="363">
        <f t="shared" si="6"/>
        <v>3</v>
      </c>
      <c r="L53" s="363">
        <f t="shared" si="7"/>
        <v>0</v>
      </c>
      <c r="M53" s="352"/>
      <c r="N53" s="352"/>
      <c r="O53" s="398" t="s">
        <v>39</v>
      </c>
      <c r="P53" s="399">
        <f>SUMIF($D$8:$D$55,$O53,$G$8:$G$55)+SUMIF($F$8:$F$55,$O53,$I$8:$I$55)</f>
        <v>4</v>
      </c>
      <c r="Q53" s="399">
        <f>SUMIF($D$8:$D$55,$O53,$I$8:$I$55)+SUMIF($F$8:$F$55,$O53,$G$8:$G$55)</f>
        <v>1</v>
      </c>
      <c r="R53" s="399">
        <f>P53-Q53</f>
        <v>3</v>
      </c>
      <c r="S53" s="400">
        <f>SUMIF($D$8:$D$55,$O53,$K$8:$K$55)+SUMIF($F$8:$F$55,$O53,$L$8:$L$55)</f>
        <v>7</v>
      </c>
      <c r="T53" s="445" t="s">
        <v>83</v>
      </c>
      <c r="U53" s="40"/>
      <c r="V53" s="40" t="str">
        <f>O53</f>
        <v>Rusland</v>
      </c>
      <c r="W53" s="40" t="s">
        <v>84</v>
      </c>
      <c r="Y53" s="109">
        <f t="shared" si="8"/>
        <v>10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10</v>
      </c>
      <c r="AG53" s="108">
        <f t="shared" si="0"/>
        <v>1</v>
      </c>
      <c r="AH53" s="108">
        <f t="shared" si="1"/>
        <v>1</v>
      </c>
      <c r="AI53" s="108">
        <f t="shared" si="10"/>
        <v>10</v>
      </c>
      <c r="AJ53" s="108">
        <f t="shared" si="2"/>
        <v>5</v>
      </c>
      <c r="AK53" s="108">
        <f t="shared" si="3"/>
        <v>0</v>
      </c>
      <c r="AL53" s="108">
        <f t="shared" si="4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1</v>
      </c>
      <c r="H54" s="373" t="s">
        <v>9</v>
      </c>
      <c r="I54" s="441">
        <v>2</v>
      </c>
      <c r="J54" s="375">
        <f t="shared" si="5"/>
        <v>2</v>
      </c>
      <c r="K54" s="363">
        <f t="shared" si="6"/>
        <v>0</v>
      </c>
      <c r="L54" s="363">
        <f t="shared" si="7"/>
        <v>3</v>
      </c>
      <c r="M54" s="352"/>
      <c r="N54" s="352"/>
      <c r="O54" s="401" t="s">
        <v>40</v>
      </c>
      <c r="P54" s="402">
        <f>SUMIF($D$8:$D$55,$O54,$G$8:$G$55)+SUMIF($F$8:$F$55,$O54,$I$8:$I$55)</f>
        <v>2</v>
      </c>
      <c r="Q54" s="402">
        <f>SUMIF($D$8:$D$55,$O54,$I$8:$I$55)+SUMIF($F$8:$F$55,$O54,$G$8:$G$55)</f>
        <v>3</v>
      </c>
      <c r="R54" s="402">
        <f>P54-Q54</f>
        <v>-1</v>
      </c>
      <c r="S54" s="403">
        <f>SUMIF($D$8:$D$55,$O54,$K$8:$K$55)+SUMIF($F$8:$F$55,$O54,$L$8:$L$55)</f>
        <v>3</v>
      </c>
      <c r="T54" s="446" t="s">
        <v>84</v>
      </c>
      <c r="U54" s="40"/>
      <c r="V54" s="40" t="str">
        <f>O54</f>
        <v>Zuid Korea</v>
      </c>
      <c r="W54" s="40" t="s">
        <v>85</v>
      </c>
      <c r="Y54" s="109">
        <f t="shared" si="8"/>
        <v>5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5</v>
      </c>
      <c r="AG54" s="108">
        <f t="shared" si="0"/>
        <v>0</v>
      </c>
      <c r="AH54" s="108">
        <f t="shared" si="1"/>
        <v>0</v>
      </c>
      <c r="AI54" s="108">
        <f t="shared" si="10"/>
        <v>0</v>
      </c>
      <c r="AJ54" s="108">
        <f t="shared" si="2"/>
        <v>0</v>
      </c>
      <c r="AK54" s="108">
        <f t="shared" si="3"/>
        <v>5</v>
      </c>
      <c r="AL54" s="108">
        <f t="shared" si="4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0</v>
      </c>
      <c r="H55" s="388" t="s">
        <v>9</v>
      </c>
      <c r="I55" s="443">
        <v>2</v>
      </c>
      <c r="J55" s="390">
        <f t="shared" si="5"/>
        <v>2</v>
      </c>
      <c r="K55" s="363">
        <f t="shared" si="6"/>
        <v>0</v>
      </c>
      <c r="L55" s="363">
        <f t="shared" si="7"/>
        <v>3</v>
      </c>
      <c r="M55" s="352"/>
      <c r="N55" s="352"/>
      <c r="O55" s="392"/>
      <c r="P55" s="393"/>
      <c r="Q55" s="393"/>
      <c r="R55" s="393"/>
      <c r="S55" s="393"/>
      <c r="T55" s="393"/>
      <c r="U55" s="40"/>
      <c r="V55" s="40"/>
      <c r="W55" s="40"/>
      <c r="Y55" s="109">
        <f t="shared" si="8"/>
        <v>0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0</v>
      </c>
      <c r="AG55" s="108">
        <f t="shared" si="0"/>
        <v>0</v>
      </c>
      <c r="AH55" s="108">
        <f t="shared" si="1"/>
        <v>0</v>
      </c>
      <c r="AI55" s="108">
        <f t="shared" si="10"/>
        <v>0</v>
      </c>
      <c r="AJ55" s="108">
        <f t="shared" si="2"/>
        <v>0</v>
      </c>
      <c r="AK55" s="108">
        <f t="shared" si="3"/>
        <v>0</v>
      </c>
      <c r="AL55" s="108">
        <f t="shared" si="4"/>
        <v>0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N56" s="352"/>
      <c r="O56" s="352"/>
      <c r="P56" s="352"/>
      <c r="Q56" s="352"/>
      <c r="R56" s="352"/>
      <c r="S56" s="352"/>
      <c r="T56" s="352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27"/>
      <c r="K57" s="353"/>
      <c r="L57" s="353"/>
      <c r="M57" s="353"/>
      <c r="N57" s="352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32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N58" s="352"/>
      <c r="O58" s="458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>IF(ISERROR(Z59),K59,Z59)</f>
        <v>Brazilië</v>
      </c>
      <c r="E59" s="367" t="s">
        <v>9</v>
      </c>
      <c r="F59" s="406" t="str">
        <f>IF(ISERROR(AA59),L59,AA59)</f>
        <v>Chili</v>
      </c>
      <c r="G59" s="435">
        <v>2</v>
      </c>
      <c r="H59" s="367" t="s">
        <v>9</v>
      </c>
      <c r="I59" s="447">
        <v>1</v>
      </c>
      <c r="J59" s="448">
        <v>1</v>
      </c>
      <c r="K59" s="407" t="s">
        <v>48</v>
      </c>
      <c r="L59" s="407" t="s">
        <v>53</v>
      </c>
      <c r="M59" s="407">
        <v>1</v>
      </c>
      <c r="N59" s="352"/>
      <c r="O59" s="458">
        <v>2</v>
      </c>
      <c r="P59" s="877" t="s">
        <v>225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3">AF59</f>
        <v>1</v>
      </c>
      <c r="Z59" t="str">
        <f t="shared" ref="Z59:AA65" si="14">IF(K59=""," ",VLOOKUP(K59,$T$9:$V$54,3,FALSE))</f>
        <v>Brazilië</v>
      </c>
      <c r="AA59" t="str">
        <f t="shared" si="14"/>
        <v>Chili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1</v>
      </c>
      <c r="AG59" s="108">
        <f t="shared" ref="AG59:AG66" si="16">IF(AC59="",0,(IF(G59=AC59,1,0)))</f>
        <v>0</v>
      </c>
      <c r="AH59" s="108">
        <f t="shared" ref="AH59:AH66" si="17">IF(AD59="",0,(IF(I59=AD59,1,0)))</f>
        <v>1</v>
      </c>
      <c r="AI59" s="108">
        <f t="shared" ref="AI59:AI66" si="18">IF(AND(AG59=1,AH59=1),10,0)</f>
        <v>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376">
        <v>50</v>
      </c>
      <c r="C60" s="466">
        <v>41818</v>
      </c>
      <c r="D60" s="460" t="str">
        <f t="shared" ref="D60:D66" si="23">IF(ISERROR(Z60),K60,Z60)</f>
        <v>Colombia</v>
      </c>
      <c r="E60" s="379" t="s">
        <v>9</v>
      </c>
      <c r="F60" s="409" t="str">
        <f t="shared" ref="F60:F66" si="24">IF(ISERROR(AA60),L60,AA60)</f>
        <v>Italië</v>
      </c>
      <c r="G60" s="437">
        <v>1</v>
      </c>
      <c r="H60" s="379" t="s">
        <v>9</v>
      </c>
      <c r="I60" s="449">
        <v>0</v>
      </c>
      <c r="J60" s="450">
        <v>1</v>
      </c>
      <c r="K60" s="407" t="s">
        <v>57</v>
      </c>
      <c r="L60" s="407" t="s">
        <v>63</v>
      </c>
      <c r="M60" s="407">
        <v>2</v>
      </c>
      <c r="N60" s="352"/>
      <c r="O60" s="458">
        <v>3</v>
      </c>
      <c r="P60" s="877" t="s">
        <v>220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3"/>
        <v>6</v>
      </c>
      <c r="Z60" t="str">
        <f t="shared" si="14"/>
        <v>Colombia</v>
      </c>
      <c r="AA60" t="str">
        <f t="shared" si="14"/>
        <v>Italië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6</v>
      </c>
      <c r="AG60" s="108">
        <f t="shared" si="16"/>
        <v>0</v>
      </c>
      <c r="AH60" s="108">
        <f t="shared" si="17"/>
        <v>1</v>
      </c>
      <c r="AI60" s="108">
        <f t="shared" si="18"/>
        <v>0</v>
      </c>
      <c r="AJ60" s="108">
        <f t="shared" si="19"/>
        <v>5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2"/>
        <v>3</v>
      </c>
    </row>
    <row r="61" spans="2:54">
      <c r="B61" s="364">
        <v>51</v>
      </c>
      <c r="C61" s="465">
        <v>41819</v>
      </c>
      <c r="D61" s="464" t="str">
        <f t="shared" si="23"/>
        <v>Nederland</v>
      </c>
      <c r="E61" s="367" t="s">
        <v>9</v>
      </c>
      <c r="F61" s="406" t="str">
        <f t="shared" si="24"/>
        <v>Mexico</v>
      </c>
      <c r="G61" s="435">
        <v>2</v>
      </c>
      <c r="H61" s="367" t="s">
        <v>9</v>
      </c>
      <c r="I61" s="447">
        <v>1</v>
      </c>
      <c r="J61" s="448">
        <v>1</v>
      </c>
      <c r="K61" s="407" t="s">
        <v>52</v>
      </c>
      <c r="L61" s="407" t="s">
        <v>49</v>
      </c>
      <c r="M61" s="407"/>
      <c r="N61" s="352"/>
      <c r="O61" s="458">
        <v>4</v>
      </c>
      <c r="P61" s="877" t="s">
        <v>211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3"/>
        <v>10</v>
      </c>
      <c r="Z61" t="str">
        <f t="shared" si="14"/>
        <v>Nederland</v>
      </c>
      <c r="AA61" t="str">
        <f t="shared" si="14"/>
        <v>Mexico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10</v>
      </c>
      <c r="AG61" s="108">
        <f t="shared" si="16"/>
        <v>1</v>
      </c>
      <c r="AH61" s="108">
        <f t="shared" si="17"/>
        <v>1</v>
      </c>
      <c r="AI61" s="108">
        <f t="shared" si="18"/>
        <v>10</v>
      </c>
      <c r="AJ61" s="108">
        <f t="shared" si="19"/>
        <v>5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3</v>
      </c>
      <c r="BB61" s="139">
        <f t="shared" si="22"/>
        <v>3</v>
      </c>
    </row>
    <row r="62" spans="2:54">
      <c r="B62" s="376">
        <v>52</v>
      </c>
      <c r="C62" s="466">
        <v>41819</v>
      </c>
      <c r="D62" s="464" t="str">
        <f t="shared" si="23"/>
        <v>Uruguay</v>
      </c>
      <c r="E62" s="379" t="s">
        <v>9</v>
      </c>
      <c r="F62" s="409" t="str">
        <f t="shared" si="24"/>
        <v>Ivoorkust</v>
      </c>
      <c r="G62" s="437">
        <v>1</v>
      </c>
      <c r="H62" s="379" t="s">
        <v>9</v>
      </c>
      <c r="I62" s="449">
        <v>0</v>
      </c>
      <c r="J62" s="450">
        <v>1</v>
      </c>
      <c r="K62" s="407" t="s">
        <v>62</v>
      </c>
      <c r="L62" s="407" t="s">
        <v>58</v>
      </c>
      <c r="M62" s="407"/>
      <c r="N62" s="352"/>
      <c r="O62" s="458">
        <v>5</v>
      </c>
      <c r="P62" s="877" t="s">
        <v>209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3"/>
        <v>1</v>
      </c>
      <c r="Z62" t="str">
        <f t="shared" si="14"/>
        <v>Uruguay</v>
      </c>
      <c r="AA62" t="str">
        <f t="shared" si="14"/>
        <v>Ivoorkust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1</v>
      </c>
      <c r="AG62" s="108">
        <f t="shared" si="16"/>
        <v>1</v>
      </c>
      <c r="AH62" s="108">
        <f t="shared" si="17"/>
        <v>0</v>
      </c>
      <c r="AI62" s="108">
        <f t="shared" si="18"/>
        <v>0</v>
      </c>
      <c r="AJ62" s="108">
        <f t="shared" si="19"/>
        <v>0</v>
      </c>
      <c r="AK62" s="108">
        <f t="shared" si="20"/>
        <v>0</v>
      </c>
      <c r="AL62" s="108">
        <f t="shared" si="21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2"/>
        <v>3</v>
      </c>
    </row>
    <row r="63" spans="2:54">
      <c r="B63" s="364">
        <v>53</v>
      </c>
      <c r="C63" s="465">
        <v>41820</v>
      </c>
      <c r="D63" s="459" t="str">
        <f t="shared" si="23"/>
        <v>Frankrijk</v>
      </c>
      <c r="E63" s="367" t="s">
        <v>9</v>
      </c>
      <c r="F63" s="406" t="str">
        <f t="shared" si="24"/>
        <v>Nigeria</v>
      </c>
      <c r="G63" s="435">
        <v>1</v>
      </c>
      <c r="H63" s="367" t="s">
        <v>9</v>
      </c>
      <c r="I63" s="447">
        <v>0</v>
      </c>
      <c r="J63" s="448">
        <v>1</v>
      </c>
      <c r="K63" s="407" t="s">
        <v>67</v>
      </c>
      <c r="L63" s="407" t="s">
        <v>73</v>
      </c>
      <c r="M63" s="407"/>
      <c r="N63" s="352"/>
      <c r="O63" s="458">
        <v>6</v>
      </c>
      <c r="P63" s="877" t="s">
        <v>212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3"/>
        <v>6</v>
      </c>
      <c r="Z63" t="str">
        <f t="shared" si="14"/>
        <v>Frankrijk</v>
      </c>
      <c r="AA63" t="str">
        <f t="shared" si="14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6</v>
      </c>
      <c r="AG63" s="108">
        <f t="shared" si="16"/>
        <v>0</v>
      </c>
      <c r="AH63" s="108">
        <f t="shared" si="17"/>
        <v>1</v>
      </c>
      <c r="AI63" s="108">
        <f t="shared" si="18"/>
        <v>0</v>
      </c>
      <c r="AJ63" s="108">
        <f t="shared" si="19"/>
        <v>5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3</v>
      </c>
      <c r="BB63" s="139">
        <f t="shared" si="22"/>
        <v>3</v>
      </c>
    </row>
    <row r="64" spans="2:54">
      <c r="B64" s="376">
        <v>54</v>
      </c>
      <c r="C64" s="466">
        <v>41820</v>
      </c>
      <c r="D64" s="460" t="str">
        <f t="shared" si="23"/>
        <v>Duitsland</v>
      </c>
      <c r="E64" s="379" t="s">
        <v>9</v>
      </c>
      <c r="F64" s="409" t="str">
        <f t="shared" si="24"/>
        <v>Rusland</v>
      </c>
      <c r="G64" s="437">
        <v>2</v>
      </c>
      <c r="H64" s="379" t="s">
        <v>9</v>
      </c>
      <c r="I64" s="449">
        <v>0</v>
      </c>
      <c r="J64" s="450">
        <v>1</v>
      </c>
      <c r="K64" s="407" t="s">
        <v>77</v>
      </c>
      <c r="L64" s="407" t="s">
        <v>83</v>
      </c>
      <c r="M64" s="407"/>
      <c r="N64" s="352"/>
      <c r="O64" s="458">
        <v>7</v>
      </c>
      <c r="P64" s="877" t="s">
        <v>213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3"/>
        <v>1</v>
      </c>
      <c r="Z64" t="str">
        <f t="shared" si="14"/>
        <v>Duitsland</v>
      </c>
      <c r="AA64" t="str">
        <f t="shared" si="14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1</v>
      </c>
      <c r="AG64" s="108">
        <f t="shared" si="16"/>
        <v>0</v>
      </c>
      <c r="AH64" s="108">
        <f t="shared" si="17"/>
        <v>1</v>
      </c>
      <c r="AI64" s="108">
        <f t="shared" si="18"/>
        <v>0</v>
      </c>
      <c r="AJ64" s="108">
        <f t="shared" si="19"/>
        <v>0</v>
      </c>
      <c r="AK64" s="108">
        <f t="shared" si="20"/>
        <v>0</v>
      </c>
      <c r="AL64" s="108">
        <f t="shared" si="21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2"/>
        <v>3</v>
      </c>
    </row>
    <row r="65" spans="2:54">
      <c r="B65" s="370">
        <v>55</v>
      </c>
      <c r="C65" s="467">
        <v>41821</v>
      </c>
      <c r="D65" s="459" t="str">
        <f t="shared" si="23"/>
        <v>Argentinië</v>
      </c>
      <c r="E65" s="373" t="s">
        <v>9</v>
      </c>
      <c r="F65" s="410" t="str">
        <f t="shared" si="24"/>
        <v>Ecuador</v>
      </c>
      <c r="G65" s="436">
        <v>2</v>
      </c>
      <c r="H65" s="373" t="s">
        <v>9</v>
      </c>
      <c r="I65" s="451">
        <v>0</v>
      </c>
      <c r="J65" s="452">
        <v>1</v>
      </c>
      <c r="K65" s="407" t="s">
        <v>72</v>
      </c>
      <c r="L65" s="407" t="s">
        <v>68</v>
      </c>
      <c r="M65" s="407"/>
      <c r="N65" s="352"/>
      <c r="O65" s="458">
        <v>8</v>
      </c>
      <c r="P65" s="877" t="s">
        <v>226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3"/>
        <v>1</v>
      </c>
      <c r="Z65" t="str">
        <f t="shared" si="14"/>
        <v>Argentinië</v>
      </c>
      <c r="AA65" t="str">
        <f t="shared" si="14"/>
        <v>Ecuador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1</v>
      </c>
      <c r="AG65" s="108">
        <f t="shared" si="16"/>
        <v>0</v>
      </c>
      <c r="AH65" s="108">
        <f t="shared" si="17"/>
        <v>1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2"/>
        <v>3</v>
      </c>
    </row>
    <row r="66" spans="2:54" ht="15.75" thickBot="1">
      <c r="B66" s="385">
        <v>56</v>
      </c>
      <c r="C66" s="462">
        <v>41821</v>
      </c>
      <c r="D66" s="461" t="str">
        <f t="shared" si="23"/>
        <v>België</v>
      </c>
      <c r="E66" s="388" t="s">
        <v>9</v>
      </c>
      <c r="F66" s="412" t="str">
        <f t="shared" si="24"/>
        <v>Portugal</v>
      </c>
      <c r="G66" s="438">
        <v>2</v>
      </c>
      <c r="H66" s="388" t="s">
        <v>9</v>
      </c>
      <c r="I66" s="453">
        <v>1</v>
      </c>
      <c r="J66" s="454">
        <v>1</v>
      </c>
      <c r="K66" s="407" t="s">
        <v>82</v>
      </c>
      <c r="L66" s="407" t="s">
        <v>78</v>
      </c>
      <c r="M66" s="407"/>
      <c r="N66" s="352"/>
      <c r="O66" s="458">
        <v>9</v>
      </c>
      <c r="P66" s="877" t="s">
        <v>214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3"/>
        <v>0</v>
      </c>
      <c r="Z66" t="str">
        <f>IF(K66=""," ",VLOOKUP(K66,$T$9:$V$54,3,FALSE))</f>
        <v>België</v>
      </c>
      <c r="AA66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0</v>
      </c>
      <c r="AG66" s="108">
        <f t="shared" si="16"/>
        <v>0</v>
      </c>
      <c r="AH66" s="108">
        <f t="shared" si="17"/>
        <v>0</v>
      </c>
      <c r="AI66" s="108">
        <f t="shared" si="18"/>
        <v>0</v>
      </c>
      <c r="AJ66" s="108">
        <f t="shared" si="19"/>
        <v>0</v>
      </c>
      <c r="AK66" s="108">
        <f t="shared" si="20"/>
        <v>0</v>
      </c>
      <c r="AL66" s="108">
        <f t="shared" si="21"/>
        <v>0</v>
      </c>
      <c r="AZ66" s="138" t="str">
        <f>Uitslag!P66</f>
        <v>Jonathan de Guzman (m)</v>
      </c>
      <c r="BA66" s="140">
        <f t="shared" si="12"/>
        <v>3</v>
      </c>
      <c r="BB66" s="139">
        <f t="shared" si="22"/>
        <v>3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N67" s="352"/>
      <c r="O67" s="458">
        <v>10</v>
      </c>
      <c r="P67" s="877" t="s">
        <v>215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2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27"/>
      <c r="K68" s="353"/>
      <c r="L68" s="353"/>
      <c r="M68" s="353"/>
      <c r="N68" s="352"/>
      <c r="O68" s="458">
        <v>11</v>
      </c>
      <c r="P68" s="877" t="s">
        <v>216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2"/>
        <v>3</v>
      </c>
    </row>
    <row r="69" spans="2:54">
      <c r="B69" s="428" t="s">
        <v>1</v>
      </c>
      <c r="C69" s="429" t="s">
        <v>2</v>
      </c>
      <c r="D69" s="430" t="s">
        <v>3</v>
      </c>
      <c r="E69" s="431"/>
      <c r="F69" s="432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N69" s="352"/>
      <c r="O69" s="352"/>
      <c r="P69" s="352"/>
      <c r="Q69" s="352"/>
      <c r="R69" s="352"/>
      <c r="S69" s="352"/>
      <c r="T69" s="352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33</v>
      </c>
      <c r="BB69" s="139">
        <f>IF(AND(BA69&lt;&gt;"",BA69=33),15,"nvt")</f>
        <v>15</v>
      </c>
    </row>
    <row r="70" spans="2:54">
      <c r="B70" s="364">
        <v>57</v>
      </c>
      <c r="C70" s="365">
        <v>41824</v>
      </c>
      <c r="D70" s="405" t="str">
        <f>IF(J63="","Winnaar 53",IF(J63=1,D63,F63))</f>
        <v>Frankrijk</v>
      </c>
      <c r="E70" s="367" t="s">
        <v>9</v>
      </c>
      <c r="F70" s="406" t="str">
        <f>IF(J64="","Winnaar 54",IF(J64=1,D64,F64))</f>
        <v>Duitsland</v>
      </c>
      <c r="G70" s="435">
        <v>0</v>
      </c>
      <c r="H70" s="367" t="s">
        <v>9</v>
      </c>
      <c r="I70" s="447">
        <v>1</v>
      </c>
      <c r="J70" s="448">
        <v>2</v>
      </c>
      <c r="K70" s="353"/>
      <c r="L70" s="353"/>
      <c r="M70" s="353"/>
      <c r="N70" s="352"/>
      <c r="O70" s="352"/>
      <c r="P70" s="352"/>
      <c r="Q70" s="352"/>
      <c r="R70" s="352"/>
      <c r="S70" s="352"/>
      <c r="T70" s="352"/>
      <c r="V70" t="s">
        <v>133</v>
      </c>
      <c r="W70" t="s">
        <v>126</v>
      </c>
      <c r="X70" t="str">
        <f t="shared" si="11"/>
        <v>Karim Rekik (v)</v>
      </c>
      <c r="Y70" s="109">
        <f>AF70</f>
        <v>10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10</v>
      </c>
      <c r="AG70" s="108">
        <f>IF(AC70="",0,(IF(G70=AC70,1,0)))</f>
        <v>1</v>
      </c>
      <c r="AH70" s="108">
        <f>IF(AD70="",0,(IF(I70=AD70,1,0)))</f>
        <v>1</v>
      </c>
      <c r="AI70" s="108">
        <f>IF(AND(AG70=1,AH70=1),10,0)</f>
        <v>10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Brazilië</v>
      </c>
      <c r="E71" s="379" t="s">
        <v>9</v>
      </c>
      <c r="F71" s="409" t="str">
        <f>IF(J60="","Winnaar 50",IF(J60=1,D60,F60))</f>
        <v>Colombia</v>
      </c>
      <c r="G71" s="437">
        <v>2</v>
      </c>
      <c r="H71" s="379" t="s">
        <v>9</v>
      </c>
      <c r="I71" s="449">
        <v>1</v>
      </c>
      <c r="J71" s="450">
        <v>1</v>
      </c>
      <c r="K71" s="353"/>
      <c r="L71" s="353"/>
      <c r="M71" s="353"/>
      <c r="N71" s="352"/>
      <c r="O71" s="352"/>
      <c r="P71" s="352"/>
      <c r="Q71" s="352"/>
      <c r="R71" s="352"/>
      <c r="S71" s="352"/>
      <c r="T71" s="352"/>
      <c r="V71" t="s">
        <v>133</v>
      </c>
      <c r="W71" t="s">
        <v>194</v>
      </c>
      <c r="X71" t="str">
        <f t="shared" si="11"/>
        <v>Ron Vlaar (v)</v>
      </c>
      <c r="Y71" s="109">
        <f>AF71</f>
        <v>10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10</v>
      </c>
      <c r="AG71" s="108">
        <f>IF(AC71="",0,(IF(G71=AC71,1,0)))</f>
        <v>1</v>
      </c>
      <c r="AH71" s="108">
        <f>IF(AD71="",0,(IF(I71=AD71,1,0)))</f>
        <v>1</v>
      </c>
      <c r="AI71" s="108">
        <f>IF(AND(AG71=1,AH71=1),10,0)</f>
        <v>10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Argentinië</v>
      </c>
      <c r="E72" s="367" t="s">
        <v>9</v>
      </c>
      <c r="F72" s="406" t="str">
        <f>IF(J66="","Winnaar 56",IF(J66=1,D66,F66))</f>
        <v>België</v>
      </c>
      <c r="G72" s="435">
        <v>1</v>
      </c>
      <c r="H72" s="367" t="s">
        <v>9</v>
      </c>
      <c r="I72" s="447">
        <v>0</v>
      </c>
      <c r="J72" s="448">
        <v>1</v>
      </c>
      <c r="K72" s="353"/>
      <c r="L72" s="353"/>
      <c r="M72" s="353"/>
      <c r="N72" s="352"/>
      <c r="O72" s="352"/>
      <c r="P72" s="352"/>
      <c r="Q72" s="352"/>
      <c r="R72" s="352"/>
      <c r="S72" s="352"/>
      <c r="T72" s="352"/>
      <c r="V72" t="s">
        <v>133</v>
      </c>
      <c r="W72" t="s">
        <v>195</v>
      </c>
      <c r="X72" t="str">
        <f t="shared" si="11"/>
        <v>John Heitinga (v)</v>
      </c>
      <c r="Y72" s="109">
        <f>AF72</f>
        <v>10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10</v>
      </c>
      <c r="AG72" s="108">
        <f>IF(AC72="",0,(IF(G72=AC72,1,0)))</f>
        <v>1</v>
      </c>
      <c r="AH72" s="108">
        <f>IF(AD72="",0,(IF(I72=AD72,1,0)))</f>
        <v>1</v>
      </c>
      <c r="AI72" s="108">
        <f>IF(AND(AG72=1,AH72=1),10,0)</f>
        <v>10</v>
      </c>
      <c r="AJ72" s="108">
        <f>IF(AND(G72&gt;I72,AC72&gt;AD72),5,0)</f>
        <v>5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Nederland</v>
      </c>
      <c r="E73" s="388" t="s">
        <v>9</v>
      </c>
      <c r="F73" s="412" t="str">
        <f>IF(J62="","Winnaar 52",IF(J62=1,D62,F62))</f>
        <v>Uruguay</v>
      </c>
      <c r="G73" s="438">
        <v>2</v>
      </c>
      <c r="H73" s="388" t="s">
        <v>9</v>
      </c>
      <c r="I73" s="453">
        <v>1</v>
      </c>
      <c r="J73" s="454">
        <v>1</v>
      </c>
      <c r="K73" s="353"/>
      <c r="L73" s="353"/>
      <c r="M73" s="353"/>
      <c r="N73" s="352"/>
      <c r="O73" s="352"/>
      <c r="P73" s="352"/>
      <c r="Q73" s="352"/>
      <c r="R73" s="352"/>
      <c r="S73" s="352"/>
      <c r="T73" s="352"/>
      <c r="V73" t="s">
        <v>133</v>
      </c>
      <c r="W73" t="s">
        <v>196</v>
      </c>
      <c r="X73" t="str">
        <f t="shared" si="11"/>
        <v>Urby Emanuelson (v)</v>
      </c>
      <c r="Y73" s="109">
        <f>AF73</f>
        <v>0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0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N74" s="352"/>
      <c r="O74" s="352"/>
      <c r="P74" s="352"/>
      <c r="Q74" s="352"/>
      <c r="R74" s="352"/>
      <c r="S74" s="352"/>
      <c r="T74" s="352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27"/>
      <c r="K75" s="353"/>
      <c r="L75" s="353"/>
      <c r="M75" s="353"/>
      <c r="N75" s="352"/>
      <c r="O75" s="352"/>
      <c r="P75" s="352"/>
      <c r="Q75" s="352"/>
      <c r="R75" s="352"/>
      <c r="S75" s="352"/>
      <c r="T75" s="352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30" t="s">
        <v>3</v>
      </c>
      <c r="E76" s="431"/>
      <c r="F76" s="432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N76" s="352"/>
      <c r="O76" s="352"/>
      <c r="P76" s="352"/>
      <c r="Q76" s="352"/>
      <c r="R76" s="352"/>
      <c r="S76" s="352"/>
      <c r="T76" s="352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Duitsland</v>
      </c>
      <c r="E77" s="367" t="s">
        <v>9</v>
      </c>
      <c r="F77" s="406" t="str">
        <f>IF(J71="","Winnaar 58",IF(J71=1,D71,F71))</f>
        <v>Brazilië</v>
      </c>
      <c r="G77" s="435">
        <v>1</v>
      </c>
      <c r="H77" s="367" t="s">
        <v>9</v>
      </c>
      <c r="I77" s="447">
        <v>2</v>
      </c>
      <c r="J77" s="448">
        <v>2</v>
      </c>
      <c r="K77" s="353"/>
      <c r="L77" s="353"/>
      <c r="M77" s="353"/>
      <c r="N77" s="352"/>
      <c r="O77" s="352"/>
      <c r="P77" s="352"/>
      <c r="Q77" s="352"/>
      <c r="R77" s="352"/>
      <c r="S77" s="352"/>
      <c r="T77" s="352"/>
      <c r="V77" t="s">
        <v>134</v>
      </c>
      <c r="W77" t="s">
        <v>203</v>
      </c>
      <c r="X77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Argentinië</v>
      </c>
      <c r="E78" s="388" t="s">
        <v>9</v>
      </c>
      <c r="F78" s="412" t="str">
        <f>IF(J73="","Winnaar 60",IF(J73=1,D73,F73))</f>
        <v>Nederland</v>
      </c>
      <c r="G78" s="438">
        <v>2</v>
      </c>
      <c r="H78" s="388" t="s">
        <v>9</v>
      </c>
      <c r="I78" s="453">
        <v>1</v>
      </c>
      <c r="J78" s="454">
        <v>1</v>
      </c>
      <c r="K78" s="353"/>
      <c r="L78" s="353"/>
      <c r="M78" s="353"/>
      <c r="N78" s="352"/>
      <c r="O78" s="352"/>
      <c r="P78" s="352"/>
      <c r="Q78" s="352"/>
      <c r="R78" s="352"/>
      <c r="S78" s="352"/>
      <c r="T78" s="352"/>
      <c r="V78" t="s">
        <v>134</v>
      </c>
      <c r="W78" t="s">
        <v>199</v>
      </c>
      <c r="X78" t="str">
        <f t="shared" si="11"/>
        <v>Leroy Fer (m)</v>
      </c>
      <c r="Y78" s="109">
        <f>AF78</f>
        <v>0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0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N79" s="352"/>
      <c r="O79" s="352"/>
      <c r="P79" s="352"/>
      <c r="Q79" s="352"/>
      <c r="R79" s="352"/>
      <c r="S79" s="352"/>
      <c r="T79" s="352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27"/>
      <c r="K80" s="353"/>
      <c r="L80" s="353"/>
      <c r="M80" s="353"/>
      <c r="N80" s="352"/>
      <c r="O80" s="352"/>
      <c r="P80" s="352"/>
      <c r="Q80" s="352"/>
      <c r="R80" s="352"/>
      <c r="S80" s="352"/>
      <c r="T80" s="352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30" t="s">
        <v>3</v>
      </c>
      <c r="E81" s="431"/>
      <c r="F81" s="432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N81" s="352"/>
      <c r="O81" s="352"/>
      <c r="P81" s="352"/>
      <c r="Q81" s="352"/>
      <c r="R81" s="352"/>
      <c r="S81" s="352"/>
      <c r="T81" s="352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Duitsland</v>
      </c>
      <c r="E82" s="355" t="s">
        <v>9</v>
      </c>
      <c r="F82" s="415" t="str">
        <f>IF(J78="","Verliezer 62",IF(J78=1,F78,D78))</f>
        <v>Nederland</v>
      </c>
      <c r="G82" s="455">
        <v>1</v>
      </c>
      <c r="H82" s="355" t="s">
        <v>9</v>
      </c>
      <c r="I82" s="456">
        <v>2</v>
      </c>
      <c r="J82" s="457">
        <v>2</v>
      </c>
      <c r="K82" s="353"/>
      <c r="L82" s="353"/>
      <c r="M82" s="353"/>
      <c r="N82" s="352"/>
      <c r="O82" s="352"/>
      <c r="P82" s="352"/>
      <c r="Q82" s="352"/>
      <c r="R82" s="352"/>
      <c r="S82" s="352"/>
      <c r="T82" s="352"/>
      <c r="V82" t="s">
        <v>134</v>
      </c>
      <c r="W82" t="s">
        <v>125</v>
      </c>
      <c r="X82" t="str">
        <f t="shared" si="11"/>
        <v>Georginio Wijnaldum (m)</v>
      </c>
      <c r="Y82" s="109">
        <f>AF82</f>
        <v>5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5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5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N83" s="352"/>
      <c r="O83" s="352"/>
      <c r="P83" s="352"/>
      <c r="Q83" s="352"/>
      <c r="R83" s="352"/>
      <c r="S83" s="352"/>
      <c r="T83" s="352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27"/>
      <c r="K84" s="353"/>
      <c r="L84" s="353"/>
      <c r="M84" s="353"/>
      <c r="N84" s="352"/>
      <c r="O84" s="352"/>
      <c r="P84" s="352"/>
      <c r="Q84" s="352"/>
      <c r="R84" s="352"/>
      <c r="S84" s="352"/>
      <c r="T84" s="352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30" t="s">
        <v>3</v>
      </c>
      <c r="E85" s="431"/>
      <c r="F85" s="432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N85" s="352"/>
      <c r="O85" s="352"/>
      <c r="P85" s="352"/>
      <c r="Q85" s="352"/>
      <c r="R85" s="352"/>
      <c r="S85" s="352"/>
      <c r="T85" s="352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Brazilië</v>
      </c>
      <c r="E86" s="355" t="s">
        <v>9</v>
      </c>
      <c r="F86" s="415" t="str">
        <f>IF(J78="","Winnaar 62",IF(J78=1,D78,F78))</f>
        <v>Argentinië</v>
      </c>
      <c r="G86" s="455">
        <v>2</v>
      </c>
      <c r="H86" s="355" t="s">
        <v>9</v>
      </c>
      <c r="I86" s="456">
        <v>1</v>
      </c>
      <c r="J86" s="457">
        <v>1</v>
      </c>
      <c r="K86" s="353"/>
      <c r="L86" s="353"/>
      <c r="M86" s="353"/>
      <c r="N86" s="352"/>
      <c r="O86" s="352"/>
      <c r="P86" s="352"/>
      <c r="Q86" s="352"/>
      <c r="R86" s="352"/>
      <c r="S86" s="352"/>
      <c r="T86" s="352"/>
      <c r="V86" t="s">
        <v>134</v>
      </c>
      <c r="W86" t="s">
        <v>139</v>
      </c>
      <c r="X86" t="str">
        <f t="shared" si="11"/>
        <v>Nigel de Jong (m)</v>
      </c>
      <c r="Y86" s="109">
        <f>AF86</f>
        <v>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0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Brazilië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5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5</v>
      </c>
      <c r="AV89">
        <f>IF(AR89=0,0,IF(E89=AR89,50,0))</f>
        <v>0</v>
      </c>
      <c r="AW89">
        <f>IF(E89=0,0,IF(OR(E89=AR90),15,0))</f>
        <v>0</v>
      </c>
      <c r="AX89">
        <f>IF(E89=0,0,IF(OR(E89=AR91,E89=AR92),5,0))</f>
        <v>5</v>
      </c>
    </row>
    <row r="90" spans="2:50">
      <c r="C90" s="870">
        <v>2</v>
      </c>
      <c r="D90" s="871"/>
      <c r="E90" s="872" t="str">
        <f>IF(J86=2,D86,IF(J86=1,F86,"Wie wordt 2de?"))</f>
        <v>Argentinië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25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25</v>
      </c>
      <c r="AV90">
        <f>IF(AR90=0,0,IF(AR90=E90,25,0))</f>
        <v>25</v>
      </c>
      <c r="AW90">
        <f>IF(E90=0,0,IF(OR(E90=AR89,),15,0))</f>
        <v>0</v>
      </c>
      <c r="AX90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Nederland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15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15</v>
      </c>
      <c r="AV91">
        <f>IF(AR91=0,0,IF(AR91=E91,15,0))</f>
        <v>15</v>
      </c>
      <c r="AW91">
        <f>IF(E91=0,0,IF(OR(E91=AR92),10,0))</f>
        <v>0</v>
      </c>
      <c r="AX91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Duitsland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5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5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5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50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conditionalFormatting sqref="AO9:AO12 AO15:AO18 AO21:AO24 AO27:AO30 AO33:AO36 AO39:AO42 AO45:AO48 AO51:AO54">
    <cfRule type="cellIs" dxfId="155" priority="3" operator="equal">
      <formula>10</formula>
    </cfRule>
  </conditionalFormatting>
  <conditionalFormatting sqref="P58:T58">
    <cfRule type="duplicateValues" dxfId="154" priority="2"/>
  </conditionalFormatting>
  <conditionalFormatting sqref="P58:T68">
    <cfRule type="duplicateValues" dxfId="153" priority="1"/>
  </conditionalFormatting>
  <dataValidations count="10">
    <dataValidation type="list" allowBlank="1" showInputMessage="1" showErrorMessage="1" sqref="T51:T54">
      <formula1>$W$51:$W$54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P58:P68">
      <formula1>$X$58:$X$98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B5:AB98"/>
  <sheetViews>
    <sheetView tabSelected="1" topLeftCell="A79" workbookViewId="0">
      <selection activeCell="J87" sqref="J87"/>
    </sheetView>
  </sheetViews>
  <sheetFormatPr defaultRowHeight="15" outlineLevelCol="1"/>
  <cols>
    <col min="1" max="1" width="3.42578125" style="488" customWidth="1"/>
    <col min="2" max="2" width="3.5703125" style="488" bestFit="1" customWidth="1"/>
    <col min="3" max="3" width="9.140625" style="488"/>
    <col min="4" max="4" width="21.7109375" style="488" bestFit="1" customWidth="1"/>
    <col min="5" max="5" width="3.42578125" style="488" customWidth="1"/>
    <col min="6" max="6" width="14.7109375" style="488" bestFit="1" customWidth="1"/>
    <col min="7" max="7" width="9.140625" style="488"/>
    <col min="8" max="8" width="1.5703125" style="488" bestFit="1" customWidth="1"/>
    <col min="9" max="9" width="9.140625" style="488"/>
    <col min="10" max="10" width="4.42578125" style="488" bestFit="1" customWidth="1"/>
    <col min="11" max="13" width="0" style="488" hidden="1" customWidth="1"/>
    <col min="14" max="14" width="4.42578125" style="488" customWidth="1"/>
    <col min="15" max="15" width="14.7109375" style="488" bestFit="1" customWidth="1"/>
    <col min="16" max="16" width="4.85546875" style="488" bestFit="1" customWidth="1"/>
    <col min="17" max="17" width="5.85546875" style="488" bestFit="1" customWidth="1"/>
    <col min="18" max="18" width="5.28515625" style="488" bestFit="1" customWidth="1"/>
    <col min="19" max="19" width="6.5703125" style="488" bestFit="1" customWidth="1"/>
    <col min="20" max="20" width="5.85546875" style="488" bestFit="1" customWidth="1"/>
    <col min="21" max="21" width="9.140625" style="488"/>
    <col min="22" max="27" width="9.140625" style="488" hidden="1" customWidth="1" outlineLevel="1"/>
    <col min="28" max="28" width="9.140625" style="488" collapsed="1"/>
    <col min="29" max="16384" width="9.140625" style="488"/>
  </cols>
  <sheetData>
    <row r="5" spans="2:23" ht="15.75" thickBot="1"/>
    <row r="6" spans="2:23">
      <c r="B6" s="892" t="s">
        <v>0</v>
      </c>
      <c r="C6" s="893"/>
      <c r="D6" s="893"/>
      <c r="E6" s="893"/>
      <c r="F6" s="893"/>
      <c r="G6" s="893"/>
      <c r="H6" s="893"/>
      <c r="I6" s="893"/>
      <c r="J6" s="894"/>
      <c r="K6" s="489"/>
      <c r="L6" s="489"/>
      <c r="O6" s="490"/>
      <c r="P6" s="491"/>
      <c r="Q6" s="491"/>
      <c r="R6" s="491"/>
      <c r="S6" s="491"/>
      <c r="T6" s="491"/>
      <c r="U6" s="490"/>
      <c r="V6" s="490"/>
      <c r="W6" s="490"/>
    </row>
    <row r="7" spans="2:23" ht="15.75" thickBot="1">
      <c r="B7" s="492" t="s">
        <v>1</v>
      </c>
      <c r="C7" s="493" t="s">
        <v>2</v>
      </c>
      <c r="D7" s="494" t="s">
        <v>3</v>
      </c>
      <c r="E7" s="495"/>
      <c r="F7" s="496" t="s">
        <v>4</v>
      </c>
      <c r="G7" s="895" t="s">
        <v>5</v>
      </c>
      <c r="H7" s="896"/>
      <c r="I7" s="897"/>
      <c r="J7" s="497" t="s">
        <v>6</v>
      </c>
      <c r="K7" s="498" t="s">
        <v>7</v>
      </c>
      <c r="L7" s="498" t="s">
        <v>7</v>
      </c>
      <c r="O7" s="489"/>
      <c r="P7" s="491"/>
      <c r="Q7" s="491"/>
      <c r="R7" s="491"/>
      <c r="S7" s="491"/>
      <c r="T7" s="491"/>
      <c r="U7" s="489"/>
      <c r="V7" s="489"/>
      <c r="W7" s="489"/>
    </row>
    <row r="8" spans="2:23" ht="15.75" thickBot="1">
      <c r="B8" s="499">
        <v>1</v>
      </c>
      <c r="C8" s="500">
        <v>41802</v>
      </c>
      <c r="D8" s="501" t="s">
        <v>8</v>
      </c>
      <c r="E8" s="502" t="s">
        <v>9</v>
      </c>
      <c r="F8" s="503" t="s">
        <v>10</v>
      </c>
      <c r="G8" s="504">
        <v>3</v>
      </c>
      <c r="H8" s="502" t="s">
        <v>9</v>
      </c>
      <c r="I8" s="505">
        <v>1</v>
      </c>
      <c r="J8" s="506">
        <f>IF(I8="","",IF(G8&gt;I8,1,IF(G8&lt;I8,2,3)))</f>
        <v>1</v>
      </c>
      <c r="K8" s="507">
        <f>IF(I8="","",IF($G8&gt;$I8,3,IF($G8=$I8,1,0)))</f>
        <v>3</v>
      </c>
      <c r="L8" s="507">
        <f>IF(I8="","",IF($G8&lt;$I8,3,IF($G8=$I8,1,0)))</f>
        <v>0</v>
      </c>
      <c r="O8" s="508" t="s">
        <v>41</v>
      </c>
      <c r="P8" s="509" t="s">
        <v>42</v>
      </c>
      <c r="Q8" s="509" t="s">
        <v>43</v>
      </c>
      <c r="R8" s="510" t="s">
        <v>44</v>
      </c>
      <c r="S8" s="511" t="s">
        <v>45</v>
      </c>
      <c r="T8" s="512" t="s">
        <v>46</v>
      </c>
      <c r="U8" s="490"/>
      <c r="V8" s="490"/>
      <c r="W8" s="490"/>
    </row>
    <row r="9" spans="2:23">
      <c r="B9" s="513">
        <v>2</v>
      </c>
      <c r="C9" s="514">
        <v>41803</v>
      </c>
      <c r="D9" s="515" t="s">
        <v>11</v>
      </c>
      <c r="E9" s="516" t="s">
        <v>9</v>
      </c>
      <c r="F9" s="517" t="s">
        <v>12</v>
      </c>
      <c r="G9" s="518">
        <v>1</v>
      </c>
      <c r="H9" s="516" t="s">
        <v>9</v>
      </c>
      <c r="I9" s="519">
        <v>0</v>
      </c>
      <c r="J9" s="520">
        <f t="shared" ref="J9:J55" si="0">IF(I9="","",IF(G9&gt;I9,1,IF(G9&lt;I9,2,3)))</f>
        <v>1</v>
      </c>
      <c r="K9" s="507">
        <f t="shared" ref="K9:K55" si="1">IF(I9="","",IF($G9&gt;$I9,3,IF($G9=$I9,1,0)))</f>
        <v>3</v>
      </c>
      <c r="L9" s="507">
        <f t="shared" ref="L9:L55" si="2">IF(I9="","",IF($G9&lt;$I9,3,IF($G9=$I9,1,0)))</f>
        <v>0</v>
      </c>
      <c r="O9" s="521" t="s">
        <v>8</v>
      </c>
      <c r="P9" s="522">
        <f>SUMIF($D$8:$D$55,$O9,$G$8:$G$55)+SUMIF($F$8:$F$55,$O9,$I$8:$I$55)</f>
        <v>7</v>
      </c>
      <c r="Q9" s="522">
        <f>SUMIF($D$8:$D$55,$O9,$I$8:$I$55)+SUMIF($F$8:$F$55,$O9,$G$8:$G$55)</f>
        <v>2</v>
      </c>
      <c r="R9" s="523">
        <f>P9-Q9</f>
        <v>5</v>
      </c>
      <c r="S9" s="524">
        <f>SUMIF($D$8:$D$55,$O9,$K$8:$K$55)+SUMIF($F$8:$F$55,$O9,$L$8:$L$55)</f>
        <v>7</v>
      </c>
      <c r="T9" s="525" t="s">
        <v>48</v>
      </c>
      <c r="U9" s="490"/>
      <c r="V9" s="490" t="str">
        <f>O9</f>
        <v>Brazilië</v>
      </c>
      <c r="W9" s="490" t="s">
        <v>48</v>
      </c>
    </row>
    <row r="10" spans="2:23">
      <c r="B10" s="526">
        <v>3</v>
      </c>
      <c r="C10" s="527">
        <v>41803</v>
      </c>
      <c r="D10" s="528" t="s">
        <v>13</v>
      </c>
      <c r="E10" s="529" t="s">
        <v>9</v>
      </c>
      <c r="F10" s="530" t="s">
        <v>14</v>
      </c>
      <c r="G10" s="531">
        <v>1</v>
      </c>
      <c r="H10" s="529" t="s">
        <v>9</v>
      </c>
      <c r="I10" s="532">
        <v>5</v>
      </c>
      <c r="J10" s="533">
        <f t="shared" si="0"/>
        <v>2</v>
      </c>
      <c r="K10" s="507">
        <f t="shared" si="1"/>
        <v>0</v>
      </c>
      <c r="L10" s="507">
        <f t="shared" si="2"/>
        <v>3</v>
      </c>
      <c r="O10" s="534" t="s">
        <v>10</v>
      </c>
      <c r="P10" s="535">
        <f>SUMIF($D$8:$D$55,$O10,$G$8:$G$55)+SUMIF($F$8:$F$55,$O10,$I$8:$I$55)</f>
        <v>6</v>
      </c>
      <c r="Q10" s="535">
        <f>SUMIF($D$8:$D$55,$O10,$I$8:$I$55)+SUMIF($F$8:$F$55,$O10,$G$8:$G$55)</f>
        <v>6</v>
      </c>
      <c r="R10" s="535">
        <f>P10-Q10</f>
        <v>0</v>
      </c>
      <c r="S10" s="536">
        <f>SUMIF($D$8:$D$55,$O10,$K$8:$K$55)+SUMIF($F$8:$F$55,$O10,$L$8:$L$55)</f>
        <v>3</v>
      </c>
      <c r="T10" s="537" t="s">
        <v>47</v>
      </c>
      <c r="U10" s="490"/>
      <c r="V10" s="490" t="str">
        <f>O10</f>
        <v>Kroatië</v>
      </c>
      <c r="W10" s="490" t="s">
        <v>49</v>
      </c>
    </row>
    <row r="11" spans="2:23">
      <c r="B11" s="538">
        <v>4</v>
      </c>
      <c r="C11" s="539">
        <v>41803</v>
      </c>
      <c r="D11" s="540" t="s">
        <v>15</v>
      </c>
      <c r="E11" s="541" t="s">
        <v>9</v>
      </c>
      <c r="F11" s="542" t="s">
        <v>16</v>
      </c>
      <c r="G11" s="543">
        <v>3</v>
      </c>
      <c r="H11" s="541" t="s">
        <v>9</v>
      </c>
      <c r="I11" s="544">
        <v>1</v>
      </c>
      <c r="J11" s="545">
        <f t="shared" si="0"/>
        <v>1</v>
      </c>
      <c r="K11" s="507">
        <f t="shared" si="1"/>
        <v>3</v>
      </c>
      <c r="L11" s="507">
        <f t="shared" si="2"/>
        <v>0</v>
      </c>
      <c r="O11" s="534" t="s">
        <v>11</v>
      </c>
      <c r="P11" s="535">
        <f>SUMIF($D$8:$D$55,$O11,$G$8:$G$55)+SUMIF($F$8:$F$55,$O11,$I$8:$I$55)</f>
        <v>4</v>
      </c>
      <c r="Q11" s="535">
        <f>SUMIF($D$8:$D$55,$O11,$I$8:$I$55)+SUMIF($F$8:$F$55,$O11,$G$8:$G$55)</f>
        <v>1</v>
      </c>
      <c r="R11" s="535">
        <f>P11-Q11</f>
        <v>3</v>
      </c>
      <c r="S11" s="536">
        <f>SUMIF($D$8:$D$55,$O11,$K$8:$K$55)+SUMIF($F$8:$F$55,$O11,$L$8:$L$55)</f>
        <v>7</v>
      </c>
      <c r="T11" s="537" t="s">
        <v>49</v>
      </c>
      <c r="U11" s="490"/>
      <c r="V11" s="490" t="str">
        <f>O11</f>
        <v>Mexico</v>
      </c>
      <c r="W11" s="490" t="s">
        <v>47</v>
      </c>
    </row>
    <row r="12" spans="2:23" ht="15.75" thickBot="1">
      <c r="B12" s="513">
        <v>5</v>
      </c>
      <c r="C12" s="514">
        <v>41804</v>
      </c>
      <c r="D12" s="515" t="s">
        <v>17</v>
      </c>
      <c r="E12" s="516" t="s">
        <v>9</v>
      </c>
      <c r="F12" s="517" t="s">
        <v>18</v>
      </c>
      <c r="G12" s="518">
        <v>3</v>
      </c>
      <c r="H12" s="516" t="s">
        <v>9</v>
      </c>
      <c r="I12" s="519">
        <v>0</v>
      </c>
      <c r="J12" s="520">
        <f t="shared" si="0"/>
        <v>1</v>
      </c>
      <c r="K12" s="507">
        <f t="shared" si="1"/>
        <v>3</v>
      </c>
      <c r="L12" s="507">
        <f t="shared" si="2"/>
        <v>0</v>
      </c>
      <c r="O12" s="546" t="s">
        <v>12</v>
      </c>
      <c r="P12" s="547">
        <f>SUMIF($D$8:$D$55,$O12,$G$8:$G$55)+SUMIF($F$8:$F$55,$O12,$I$8:$I$55)</f>
        <v>1</v>
      </c>
      <c r="Q12" s="547">
        <f>SUMIF($D$8:$D$55,$O12,$I$8:$I$55)+SUMIF($F$8:$F$55,$O12,$G$8:$G$55)</f>
        <v>9</v>
      </c>
      <c r="R12" s="547">
        <f>P12-Q12</f>
        <v>-8</v>
      </c>
      <c r="S12" s="548">
        <f>SUMIF($D$8:$D$55,$O12,$K$8:$K$55)+SUMIF($F$8:$F$55,$O12,$L$8:$L$55)</f>
        <v>0</v>
      </c>
      <c r="T12" s="549" t="s">
        <v>50</v>
      </c>
      <c r="U12" s="490"/>
      <c r="V12" s="490" t="str">
        <f>O12</f>
        <v>Kameroen</v>
      </c>
      <c r="W12" s="490" t="s">
        <v>50</v>
      </c>
    </row>
    <row r="13" spans="2:23" ht="15.75" thickBot="1">
      <c r="B13" s="526">
        <v>6</v>
      </c>
      <c r="C13" s="527">
        <v>41804</v>
      </c>
      <c r="D13" s="528" t="s">
        <v>19</v>
      </c>
      <c r="E13" s="529" t="s">
        <v>9</v>
      </c>
      <c r="F13" s="550" t="s">
        <v>20</v>
      </c>
      <c r="G13" s="531">
        <v>1</v>
      </c>
      <c r="H13" s="529" t="s">
        <v>9</v>
      </c>
      <c r="I13" s="532">
        <v>3</v>
      </c>
      <c r="J13" s="533">
        <f t="shared" si="0"/>
        <v>2</v>
      </c>
      <c r="K13" s="507">
        <f t="shared" si="1"/>
        <v>0</v>
      </c>
      <c r="L13" s="507">
        <f t="shared" si="2"/>
        <v>3</v>
      </c>
      <c r="O13" s="490"/>
      <c r="P13" s="491"/>
      <c r="Q13" s="491"/>
      <c r="R13" s="491"/>
      <c r="S13" s="491"/>
      <c r="T13" s="491"/>
      <c r="U13" s="490"/>
      <c r="V13" s="490"/>
      <c r="W13" s="490"/>
    </row>
    <row r="14" spans="2:23" ht="15.75" thickBot="1">
      <c r="B14" s="526">
        <v>7</v>
      </c>
      <c r="C14" s="527">
        <v>41804</v>
      </c>
      <c r="D14" s="528" t="s">
        <v>21</v>
      </c>
      <c r="E14" s="529" t="s">
        <v>9</v>
      </c>
      <c r="F14" s="550" t="s">
        <v>22</v>
      </c>
      <c r="G14" s="531">
        <v>1</v>
      </c>
      <c r="H14" s="529" t="s">
        <v>9</v>
      </c>
      <c r="I14" s="532">
        <v>2</v>
      </c>
      <c r="J14" s="533">
        <f t="shared" si="0"/>
        <v>2</v>
      </c>
      <c r="K14" s="507">
        <f t="shared" si="1"/>
        <v>0</v>
      </c>
      <c r="L14" s="507">
        <f t="shared" si="2"/>
        <v>3</v>
      </c>
      <c r="O14" s="508" t="s">
        <v>51</v>
      </c>
      <c r="P14" s="509" t="s">
        <v>42</v>
      </c>
      <c r="Q14" s="509" t="s">
        <v>43</v>
      </c>
      <c r="R14" s="510" t="s">
        <v>44</v>
      </c>
      <c r="S14" s="511" t="s">
        <v>45</v>
      </c>
      <c r="T14" s="512" t="s">
        <v>46</v>
      </c>
      <c r="U14" s="490"/>
      <c r="V14" s="490"/>
      <c r="W14" s="490"/>
    </row>
    <row r="15" spans="2:23">
      <c r="B15" s="538">
        <v>8</v>
      </c>
      <c r="C15" s="539">
        <v>41804</v>
      </c>
      <c r="D15" s="540" t="s">
        <v>23</v>
      </c>
      <c r="E15" s="541" t="s">
        <v>9</v>
      </c>
      <c r="F15" s="542" t="s">
        <v>24</v>
      </c>
      <c r="G15" s="543">
        <v>2</v>
      </c>
      <c r="H15" s="541" t="s">
        <v>9</v>
      </c>
      <c r="I15" s="544">
        <v>1</v>
      </c>
      <c r="J15" s="545">
        <f t="shared" si="0"/>
        <v>1</v>
      </c>
      <c r="K15" s="507">
        <f t="shared" si="1"/>
        <v>3</v>
      </c>
      <c r="L15" s="507">
        <f t="shared" si="2"/>
        <v>0</v>
      </c>
      <c r="O15" s="521" t="s">
        <v>13</v>
      </c>
      <c r="P15" s="522">
        <f>SUMIF($D$8:$D$55,$O15,$G$8:$G$55)+SUMIF($F$8:$F$55,$O15,$I$8:$I$55)</f>
        <v>4</v>
      </c>
      <c r="Q15" s="522">
        <f>SUMIF($D$8:$D$55,$O15,$I$8:$I$55)+SUMIF($F$8:$F$55,$O15,$G$8:$G$55)</f>
        <v>7</v>
      </c>
      <c r="R15" s="523">
        <f>P15-Q15</f>
        <v>-3</v>
      </c>
      <c r="S15" s="524">
        <f>SUMIF($D$8:$D$55,$O15,$K$8:$K$55)+SUMIF($F$8:$F$55,$O15,$L$8:$L$55)</f>
        <v>3</v>
      </c>
      <c r="T15" s="525" t="s">
        <v>54</v>
      </c>
      <c r="U15" s="490"/>
      <c r="V15" s="490" t="str">
        <f>O15</f>
        <v>Spanje</v>
      </c>
      <c r="W15" s="490" t="s">
        <v>52</v>
      </c>
    </row>
    <row r="16" spans="2:23">
      <c r="B16" s="513">
        <v>9</v>
      </c>
      <c r="C16" s="514">
        <v>41805</v>
      </c>
      <c r="D16" s="515" t="s">
        <v>25</v>
      </c>
      <c r="E16" s="516" t="s">
        <v>9</v>
      </c>
      <c r="F16" s="517" t="s">
        <v>26</v>
      </c>
      <c r="G16" s="518">
        <v>2</v>
      </c>
      <c r="H16" s="516" t="s">
        <v>9</v>
      </c>
      <c r="I16" s="519">
        <v>1</v>
      </c>
      <c r="J16" s="520">
        <f t="shared" si="0"/>
        <v>1</v>
      </c>
      <c r="K16" s="507">
        <f t="shared" si="1"/>
        <v>3</v>
      </c>
      <c r="L16" s="507">
        <f t="shared" si="2"/>
        <v>0</v>
      </c>
      <c r="O16" s="551" t="s">
        <v>14</v>
      </c>
      <c r="P16" s="535">
        <f>SUMIF($D$8:$D$55,$O16,$G$8:$G$55)+SUMIF($F$8:$F$55,$O16,$I$8:$I$55)</f>
        <v>10</v>
      </c>
      <c r="Q16" s="535">
        <f>SUMIF($D$8:$D$55,$O16,$I$8:$I$55)+SUMIF($F$8:$F$55,$O16,$G$8:$G$55)</f>
        <v>3</v>
      </c>
      <c r="R16" s="535">
        <f>P16-Q16</f>
        <v>7</v>
      </c>
      <c r="S16" s="536">
        <f>SUMIF($D$8:$D$55,$O16,$K$8:$K$55)+SUMIF($F$8:$F$55,$O16,$L$8:$L$55)</f>
        <v>9</v>
      </c>
      <c r="T16" s="537" t="s">
        <v>52</v>
      </c>
      <c r="U16" s="490"/>
      <c r="V16" s="490" t="str">
        <f>O16</f>
        <v>Nederland</v>
      </c>
      <c r="W16" s="490" t="s">
        <v>53</v>
      </c>
    </row>
    <row r="17" spans="2:23">
      <c r="B17" s="526">
        <v>10</v>
      </c>
      <c r="C17" s="527">
        <v>41805</v>
      </c>
      <c r="D17" s="528" t="s">
        <v>27</v>
      </c>
      <c r="E17" s="529" t="s">
        <v>9</v>
      </c>
      <c r="F17" s="550" t="s">
        <v>28</v>
      </c>
      <c r="G17" s="531">
        <v>3</v>
      </c>
      <c r="H17" s="529" t="s">
        <v>9</v>
      </c>
      <c r="I17" s="532">
        <v>0</v>
      </c>
      <c r="J17" s="533">
        <f t="shared" si="0"/>
        <v>1</v>
      </c>
      <c r="K17" s="507">
        <f t="shared" si="1"/>
        <v>3</v>
      </c>
      <c r="L17" s="507">
        <f t="shared" si="2"/>
        <v>0</v>
      </c>
      <c r="O17" s="534" t="s">
        <v>15</v>
      </c>
      <c r="P17" s="535">
        <f>SUMIF($D$8:$D$55,$O17,$G$8:$G$55)+SUMIF($F$8:$F$55,$O17,$I$8:$I$55)</f>
        <v>5</v>
      </c>
      <c r="Q17" s="535">
        <f>SUMIF($D$8:$D$55,$O17,$I$8:$I$55)+SUMIF($F$8:$F$55,$O17,$G$8:$G$55)</f>
        <v>3</v>
      </c>
      <c r="R17" s="535">
        <f>P17-Q17</f>
        <v>2</v>
      </c>
      <c r="S17" s="536">
        <f>SUMIF($D$8:$D$55,$O17,$K$8:$K$55)+SUMIF($F$8:$F$55,$O17,$L$8:$L$55)</f>
        <v>6</v>
      </c>
      <c r="T17" s="537" t="s">
        <v>53</v>
      </c>
      <c r="U17" s="490"/>
      <c r="V17" s="490" t="str">
        <f>O17</f>
        <v>Chili</v>
      </c>
      <c r="W17" s="490" t="s">
        <v>54</v>
      </c>
    </row>
    <row r="18" spans="2:23" ht="15.75" thickBot="1">
      <c r="B18" s="538">
        <v>11</v>
      </c>
      <c r="C18" s="539">
        <v>41805</v>
      </c>
      <c r="D18" s="540" t="s">
        <v>29</v>
      </c>
      <c r="E18" s="541" t="s">
        <v>9</v>
      </c>
      <c r="F18" s="542" t="s">
        <v>30</v>
      </c>
      <c r="G18" s="543">
        <v>2</v>
      </c>
      <c r="H18" s="541" t="s">
        <v>9</v>
      </c>
      <c r="I18" s="544">
        <v>1</v>
      </c>
      <c r="J18" s="545">
        <f t="shared" si="0"/>
        <v>1</v>
      </c>
      <c r="K18" s="507">
        <f t="shared" si="1"/>
        <v>3</v>
      </c>
      <c r="L18" s="507">
        <f t="shared" si="2"/>
        <v>0</v>
      </c>
      <c r="O18" s="546" t="s">
        <v>16</v>
      </c>
      <c r="P18" s="547">
        <f>SUMIF($D$8:$D$55,$O18,$G$8:$G$55)+SUMIF($F$8:$F$55,$O18,$I$8:$I$55)</f>
        <v>3</v>
      </c>
      <c r="Q18" s="547">
        <f>SUMIF($D$8:$D$55,$O18,$I$8:$I$55)+SUMIF($F$8:$F$55,$O18,$G$8:$G$55)</f>
        <v>9</v>
      </c>
      <c r="R18" s="547">
        <f>P18-Q18</f>
        <v>-6</v>
      </c>
      <c r="S18" s="548">
        <f>SUMIF($D$8:$D$55,$O18,$K$8:$K$55)+SUMIF($F$8:$F$55,$O18,$L$8:$L$55)</f>
        <v>0</v>
      </c>
      <c r="T18" s="549" t="s">
        <v>55</v>
      </c>
      <c r="U18" s="490"/>
      <c r="V18" s="490" t="str">
        <f>O18</f>
        <v>Australië</v>
      </c>
      <c r="W18" s="490" t="s">
        <v>55</v>
      </c>
    </row>
    <row r="19" spans="2:23" ht="15.75" thickBot="1">
      <c r="B19" s="513">
        <v>12</v>
      </c>
      <c r="C19" s="514">
        <v>41806</v>
      </c>
      <c r="D19" s="515" t="s">
        <v>31</v>
      </c>
      <c r="E19" s="516" t="s">
        <v>9</v>
      </c>
      <c r="F19" s="517" t="s">
        <v>32</v>
      </c>
      <c r="G19" s="518">
        <v>4</v>
      </c>
      <c r="H19" s="516" t="s">
        <v>9</v>
      </c>
      <c r="I19" s="519">
        <v>0</v>
      </c>
      <c r="J19" s="520">
        <f t="shared" si="0"/>
        <v>1</v>
      </c>
      <c r="K19" s="507">
        <f t="shared" si="1"/>
        <v>3</v>
      </c>
      <c r="L19" s="507">
        <f t="shared" si="2"/>
        <v>0</v>
      </c>
      <c r="O19" s="490"/>
      <c r="P19" s="491"/>
      <c r="Q19" s="491"/>
      <c r="R19" s="491"/>
      <c r="S19" s="491"/>
      <c r="T19" s="491"/>
      <c r="U19" s="490"/>
      <c r="V19" s="490"/>
      <c r="W19" s="490"/>
    </row>
    <row r="20" spans="2:23" ht="15.75" thickBot="1">
      <c r="B20" s="526">
        <v>13</v>
      </c>
      <c r="C20" s="527">
        <v>41806</v>
      </c>
      <c r="D20" s="528" t="s">
        <v>33</v>
      </c>
      <c r="E20" s="529" t="s">
        <v>9</v>
      </c>
      <c r="F20" s="550" t="s">
        <v>34</v>
      </c>
      <c r="G20" s="531">
        <v>0</v>
      </c>
      <c r="H20" s="529" t="s">
        <v>9</v>
      </c>
      <c r="I20" s="532">
        <v>0</v>
      </c>
      <c r="J20" s="533">
        <f t="shared" si="0"/>
        <v>3</v>
      </c>
      <c r="K20" s="507">
        <f t="shared" si="1"/>
        <v>1</v>
      </c>
      <c r="L20" s="507">
        <f t="shared" si="2"/>
        <v>1</v>
      </c>
      <c r="O20" s="508" t="s">
        <v>56</v>
      </c>
      <c r="P20" s="509" t="s">
        <v>42</v>
      </c>
      <c r="Q20" s="509" t="s">
        <v>43</v>
      </c>
      <c r="R20" s="510" t="s">
        <v>44</v>
      </c>
      <c r="S20" s="511" t="s">
        <v>45</v>
      </c>
      <c r="T20" s="512" t="s">
        <v>46</v>
      </c>
      <c r="U20" s="490"/>
      <c r="V20" s="490"/>
      <c r="W20" s="490"/>
    </row>
    <row r="21" spans="2:23">
      <c r="B21" s="538">
        <v>14</v>
      </c>
      <c r="C21" s="539">
        <v>41806</v>
      </c>
      <c r="D21" s="540" t="s">
        <v>35</v>
      </c>
      <c r="E21" s="541" t="s">
        <v>9</v>
      </c>
      <c r="F21" s="542" t="s">
        <v>36</v>
      </c>
      <c r="G21" s="543">
        <v>1</v>
      </c>
      <c r="H21" s="541" t="s">
        <v>9</v>
      </c>
      <c r="I21" s="544">
        <v>2</v>
      </c>
      <c r="J21" s="545">
        <f t="shared" si="0"/>
        <v>2</v>
      </c>
      <c r="K21" s="507">
        <f t="shared" si="1"/>
        <v>0</v>
      </c>
      <c r="L21" s="507">
        <f t="shared" si="2"/>
        <v>3</v>
      </c>
      <c r="O21" s="521" t="s">
        <v>17</v>
      </c>
      <c r="P21" s="522">
        <f>SUMIF($D$8:$D$55,$O21,$G$8:$G$55)+SUMIF($F$8:$F$55,$O21,$I$8:$I$55)</f>
        <v>9</v>
      </c>
      <c r="Q21" s="522">
        <f>SUMIF($D$8:$D$55,$O21,$I$8:$I$55)+SUMIF($F$8:$F$55,$O21,$G$8:$G$55)</f>
        <v>2</v>
      </c>
      <c r="R21" s="523">
        <f>P21-Q21</f>
        <v>7</v>
      </c>
      <c r="S21" s="524">
        <f>SUMIF($D$8:$D$55,$O21,$K$8:$K$55)+SUMIF($F$8:$F$55,$O21,$L$8:$L$55)</f>
        <v>9</v>
      </c>
      <c r="T21" s="525" t="s">
        <v>57</v>
      </c>
      <c r="U21" s="490"/>
      <c r="V21" s="490" t="str">
        <f>O21</f>
        <v>Colombia</v>
      </c>
      <c r="W21" s="490" t="s">
        <v>57</v>
      </c>
    </row>
    <row r="22" spans="2:23">
      <c r="B22" s="513">
        <v>15</v>
      </c>
      <c r="C22" s="514">
        <v>41807</v>
      </c>
      <c r="D22" s="515" t="s">
        <v>37</v>
      </c>
      <c r="E22" s="516" t="s">
        <v>9</v>
      </c>
      <c r="F22" s="517" t="s">
        <v>38</v>
      </c>
      <c r="G22" s="518">
        <v>2</v>
      </c>
      <c r="H22" s="516" t="s">
        <v>9</v>
      </c>
      <c r="I22" s="519">
        <v>1</v>
      </c>
      <c r="J22" s="520">
        <f t="shared" si="0"/>
        <v>1</v>
      </c>
      <c r="K22" s="507">
        <f t="shared" si="1"/>
        <v>3</v>
      </c>
      <c r="L22" s="507">
        <f t="shared" si="2"/>
        <v>0</v>
      </c>
      <c r="O22" s="534" t="s">
        <v>18</v>
      </c>
      <c r="P22" s="535">
        <f>SUMIF($D$8:$D$55,$O22,$G$8:$G$55)+SUMIF($F$8:$F$55,$O22,$I$8:$I$55)</f>
        <v>2</v>
      </c>
      <c r="Q22" s="535">
        <f>SUMIF($D$8:$D$55,$O22,$I$8:$I$55)+SUMIF($F$8:$F$55,$O22,$G$8:$G$55)</f>
        <v>4</v>
      </c>
      <c r="R22" s="535">
        <f>P22-Q22</f>
        <v>-2</v>
      </c>
      <c r="S22" s="536">
        <f>SUMIF($D$8:$D$55,$O22,$K$8:$K$55)+SUMIF($F$8:$F$55,$O22,$L$8:$L$55)</f>
        <v>4</v>
      </c>
      <c r="T22" s="537" t="s">
        <v>58</v>
      </c>
      <c r="U22" s="490"/>
      <c r="V22" s="490" t="str">
        <f>O22</f>
        <v>Griekenland</v>
      </c>
      <c r="W22" s="490" t="s">
        <v>58</v>
      </c>
    </row>
    <row r="23" spans="2:23">
      <c r="B23" s="526">
        <v>16</v>
      </c>
      <c r="C23" s="527">
        <v>41807</v>
      </c>
      <c r="D23" s="528" t="s">
        <v>8</v>
      </c>
      <c r="E23" s="529" t="s">
        <v>9</v>
      </c>
      <c r="F23" s="550" t="s">
        <v>11</v>
      </c>
      <c r="G23" s="531">
        <v>0</v>
      </c>
      <c r="H23" s="529" t="s">
        <v>9</v>
      </c>
      <c r="I23" s="532">
        <v>0</v>
      </c>
      <c r="J23" s="533">
        <f t="shared" si="0"/>
        <v>3</v>
      </c>
      <c r="K23" s="507">
        <f t="shared" si="1"/>
        <v>1</v>
      </c>
      <c r="L23" s="507">
        <f t="shared" si="2"/>
        <v>1</v>
      </c>
      <c r="O23" s="534" t="s">
        <v>23</v>
      </c>
      <c r="P23" s="535">
        <f>SUMIF($D$8:$D$55,$O23,$G$8:$G$55)+SUMIF($F$8:$F$55,$O23,$I$8:$I$55)</f>
        <v>4</v>
      </c>
      <c r="Q23" s="535">
        <f>SUMIF($D$8:$D$55,$O23,$I$8:$I$55)+SUMIF($F$8:$F$55,$O23,$G$8:$G$55)</f>
        <v>5</v>
      </c>
      <c r="R23" s="535">
        <f>P23-Q23</f>
        <v>-1</v>
      </c>
      <c r="S23" s="536">
        <f>SUMIF($D$8:$D$55,$O23,$K$8:$K$55)+SUMIF($F$8:$F$55,$O23,$L$8:$L$55)</f>
        <v>3</v>
      </c>
      <c r="T23" s="537" t="s">
        <v>59</v>
      </c>
      <c r="U23" s="490"/>
      <c r="V23" s="490" t="str">
        <f>O23</f>
        <v>Ivoorkust</v>
      </c>
      <c r="W23" s="490" t="s">
        <v>59</v>
      </c>
    </row>
    <row r="24" spans="2:23" ht="15.75" thickBot="1">
      <c r="B24" s="538">
        <v>17</v>
      </c>
      <c r="C24" s="539">
        <v>41807</v>
      </c>
      <c r="D24" s="540" t="s">
        <v>39</v>
      </c>
      <c r="E24" s="541" t="s">
        <v>9</v>
      </c>
      <c r="F24" s="542" t="s">
        <v>40</v>
      </c>
      <c r="G24" s="543">
        <v>1</v>
      </c>
      <c r="H24" s="541" t="s">
        <v>9</v>
      </c>
      <c r="I24" s="544">
        <v>1</v>
      </c>
      <c r="J24" s="545">
        <f t="shared" si="0"/>
        <v>3</v>
      </c>
      <c r="K24" s="507">
        <f t="shared" si="1"/>
        <v>1</v>
      </c>
      <c r="L24" s="507">
        <f t="shared" si="2"/>
        <v>1</v>
      </c>
      <c r="O24" s="546" t="s">
        <v>24</v>
      </c>
      <c r="P24" s="547">
        <f>SUMIF($D$8:$D$55,$O24,$G$8:$G$55)+SUMIF($F$8:$F$55,$O24,$I$8:$I$55)</f>
        <v>2</v>
      </c>
      <c r="Q24" s="547">
        <f>SUMIF($D$8:$D$55,$O24,$I$8:$I$55)+SUMIF($F$8:$F$55,$O24,$G$8:$G$55)</f>
        <v>6</v>
      </c>
      <c r="R24" s="547">
        <f>P24-Q24</f>
        <v>-4</v>
      </c>
      <c r="S24" s="548">
        <f>SUMIF($D$8:$D$55,$O24,$K$8:$K$55)+SUMIF($F$8:$F$55,$O24,$L$8:$L$55)</f>
        <v>1</v>
      </c>
      <c r="T24" s="549" t="s">
        <v>60</v>
      </c>
      <c r="U24" s="490"/>
      <c r="V24" s="490" t="str">
        <f>O24</f>
        <v>Japan</v>
      </c>
      <c r="W24" s="490" t="s">
        <v>60</v>
      </c>
    </row>
    <row r="25" spans="2:23" ht="15.75" thickBot="1">
      <c r="B25" s="513">
        <v>18</v>
      </c>
      <c r="C25" s="514">
        <v>41808</v>
      </c>
      <c r="D25" s="515" t="s">
        <v>16</v>
      </c>
      <c r="E25" s="516" t="s">
        <v>9</v>
      </c>
      <c r="F25" s="552" t="s">
        <v>14</v>
      </c>
      <c r="G25" s="518">
        <v>2</v>
      </c>
      <c r="H25" s="516" t="s">
        <v>9</v>
      </c>
      <c r="I25" s="519">
        <v>3</v>
      </c>
      <c r="J25" s="520">
        <f t="shared" si="0"/>
        <v>2</v>
      </c>
      <c r="K25" s="507">
        <f t="shared" si="1"/>
        <v>0</v>
      </c>
      <c r="L25" s="507">
        <f t="shared" si="2"/>
        <v>3</v>
      </c>
      <c r="O25" s="490"/>
      <c r="P25" s="491"/>
      <c r="Q25" s="491"/>
      <c r="R25" s="491"/>
      <c r="S25" s="491"/>
      <c r="T25" s="491"/>
      <c r="U25" s="490"/>
      <c r="V25" s="490"/>
      <c r="W25" s="490"/>
    </row>
    <row r="26" spans="2:23" ht="15.75" thickBot="1">
      <c r="B26" s="526">
        <v>19</v>
      </c>
      <c r="C26" s="527">
        <v>41808</v>
      </c>
      <c r="D26" s="528" t="s">
        <v>13</v>
      </c>
      <c r="E26" s="529" t="s">
        <v>9</v>
      </c>
      <c r="F26" s="550" t="s">
        <v>15</v>
      </c>
      <c r="G26" s="531">
        <v>0</v>
      </c>
      <c r="H26" s="529" t="s">
        <v>9</v>
      </c>
      <c r="I26" s="532">
        <v>2</v>
      </c>
      <c r="J26" s="533">
        <f t="shared" si="0"/>
        <v>2</v>
      </c>
      <c r="K26" s="507">
        <f t="shared" si="1"/>
        <v>0</v>
      </c>
      <c r="L26" s="507">
        <f t="shared" si="2"/>
        <v>3</v>
      </c>
      <c r="O26" s="508" t="s">
        <v>61</v>
      </c>
      <c r="P26" s="509" t="s">
        <v>42</v>
      </c>
      <c r="Q26" s="509" t="s">
        <v>43</v>
      </c>
      <c r="R26" s="510" t="s">
        <v>44</v>
      </c>
      <c r="S26" s="511" t="s">
        <v>45</v>
      </c>
      <c r="T26" s="512" t="s">
        <v>46</v>
      </c>
      <c r="U26" s="490"/>
      <c r="V26" s="490"/>
      <c r="W26" s="490"/>
    </row>
    <row r="27" spans="2:23">
      <c r="B27" s="538">
        <v>20</v>
      </c>
      <c r="C27" s="539">
        <v>41808</v>
      </c>
      <c r="D27" s="540" t="s">
        <v>12</v>
      </c>
      <c r="E27" s="541" t="s">
        <v>9</v>
      </c>
      <c r="F27" s="542" t="s">
        <v>10</v>
      </c>
      <c r="G27" s="543">
        <v>0</v>
      </c>
      <c r="H27" s="541" t="s">
        <v>9</v>
      </c>
      <c r="I27" s="544">
        <v>4</v>
      </c>
      <c r="J27" s="545">
        <f t="shared" si="0"/>
        <v>2</v>
      </c>
      <c r="K27" s="507">
        <f t="shared" si="1"/>
        <v>0</v>
      </c>
      <c r="L27" s="507">
        <f t="shared" si="2"/>
        <v>3</v>
      </c>
      <c r="O27" s="521" t="s">
        <v>19</v>
      </c>
      <c r="P27" s="522">
        <f>SUMIF($D$8:$D$55,$O27,$G$8:$G$55)+SUMIF($F$8:$F$55,$O27,$I$8:$I$55)</f>
        <v>4</v>
      </c>
      <c r="Q27" s="522">
        <f>SUMIF($D$8:$D$55,$O27,$I$8:$I$55)+SUMIF($F$8:$F$55,$O27,$G$8:$G$55)</f>
        <v>4</v>
      </c>
      <c r="R27" s="523">
        <f>P27-Q27</f>
        <v>0</v>
      </c>
      <c r="S27" s="524">
        <f>SUMIF($D$8:$D$55,$O27,$K$8:$K$55)+SUMIF($F$8:$F$55,$O27,$L$8:$L$55)</f>
        <v>6</v>
      </c>
      <c r="T27" s="525" t="s">
        <v>63</v>
      </c>
      <c r="U27" s="490"/>
      <c r="V27" s="490" t="str">
        <f>O27</f>
        <v>Uruguay</v>
      </c>
      <c r="W27" s="490" t="s">
        <v>62</v>
      </c>
    </row>
    <row r="28" spans="2:23">
      <c r="B28" s="513">
        <v>21</v>
      </c>
      <c r="C28" s="514">
        <v>41809</v>
      </c>
      <c r="D28" s="515" t="s">
        <v>17</v>
      </c>
      <c r="E28" s="516" t="s">
        <v>9</v>
      </c>
      <c r="F28" s="517" t="s">
        <v>23</v>
      </c>
      <c r="G28" s="518">
        <v>2</v>
      </c>
      <c r="H28" s="516" t="s">
        <v>9</v>
      </c>
      <c r="I28" s="519">
        <v>1</v>
      </c>
      <c r="J28" s="520">
        <f t="shared" si="0"/>
        <v>1</v>
      </c>
      <c r="K28" s="507">
        <f t="shared" si="1"/>
        <v>3</v>
      </c>
      <c r="L28" s="507">
        <f t="shared" si="2"/>
        <v>0</v>
      </c>
      <c r="O28" s="534" t="s">
        <v>20</v>
      </c>
      <c r="P28" s="535">
        <f>SUMIF($D$8:$D$55,$O28,$G$8:$G$55)+SUMIF($F$8:$F$55,$O28,$I$8:$I$55)</f>
        <v>4</v>
      </c>
      <c r="Q28" s="535">
        <f>SUMIF($D$8:$D$55,$O28,$I$8:$I$55)+SUMIF($F$8:$F$55,$O28,$G$8:$G$55)</f>
        <v>1</v>
      </c>
      <c r="R28" s="535">
        <f>P28-Q28</f>
        <v>3</v>
      </c>
      <c r="S28" s="536">
        <f>SUMIF($D$8:$D$55,$O28,$K$8:$K$55)+SUMIF($F$8:$F$55,$O28,$L$8:$L$55)</f>
        <v>7</v>
      </c>
      <c r="T28" s="537" t="s">
        <v>62</v>
      </c>
      <c r="U28" s="490"/>
      <c r="V28" s="490" t="str">
        <f>O28</f>
        <v>Costa Rica</v>
      </c>
      <c r="W28" s="490" t="s">
        <v>63</v>
      </c>
    </row>
    <row r="29" spans="2:23">
      <c r="B29" s="526">
        <v>22</v>
      </c>
      <c r="C29" s="527">
        <v>41809</v>
      </c>
      <c r="D29" s="528" t="s">
        <v>19</v>
      </c>
      <c r="E29" s="529" t="s">
        <v>9</v>
      </c>
      <c r="F29" s="550" t="s">
        <v>21</v>
      </c>
      <c r="G29" s="531">
        <v>2</v>
      </c>
      <c r="H29" s="529" t="s">
        <v>9</v>
      </c>
      <c r="I29" s="532">
        <v>1</v>
      </c>
      <c r="J29" s="533">
        <f t="shared" si="0"/>
        <v>1</v>
      </c>
      <c r="K29" s="507">
        <f t="shared" si="1"/>
        <v>3</v>
      </c>
      <c r="L29" s="507">
        <f t="shared" si="2"/>
        <v>0</v>
      </c>
      <c r="O29" s="534" t="s">
        <v>21</v>
      </c>
      <c r="P29" s="535">
        <f>SUMIF($D$8:$D$55,$O29,$G$8:$G$55)+SUMIF($F$8:$F$55,$O29,$I$8:$I$55)</f>
        <v>2</v>
      </c>
      <c r="Q29" s="535">
        <f>SUMIF($D$8:$D$55,$O29,$I$8:$I$55)+SUMIF($F$8:$F$55,$O29,$G$8:$G$55)</f>
        <v>4</v>
      </c>
      <c r="R29" s="535">
        <f>P29-Q29</f>
        <v>-2</v>
      </c>
      <c r="S29" s="536">
        <f>SUMIF($D$8:$D$55,$O29,$K$8:$K$55)+SUMIF($F$8:$F$55,$O29,$L$8:$L$55)</f>
        <v>1</v>
      </c>
      <c r="T29" s="537" t="s">
        <v>65</v>
      </c>
      <c r="U29" s="490"/>
      <c r="V29" s="490" t="str">
        <f>O29</f>
        <v>Engeland</v>
      </c>
      <c r="W29" s="490" t="s">
        <v>64</v>
      </c>
    </row>
    <row r="30" spans="2:23" ht="15.75" thickBot="1">
      <c r="B30" s="538">
        <v>23</v>
      </c>
      <c r="C30" s="539">
        <v>41809</v>
      </c>
      <c r="D30" s="540" t="s">
        <v>24</v>
      </c>
      <c r="E30" s="541" t="s">
        <v>9</v>
      </c>
      <c r="F30" s="542" t="s">
        <v>18</v>
      </c>
      <c r="G30" s="543">
        <v>0</v>
      </c>
      <c r="H30" s="541" t="s">
        <v>9</v>
      </c>
      <c r="I30" s="544">
        <v>0</v>
      </c>
      <c r="J30" s="545">
        <f t="shared" si="0"/>
        <v>3</v>
      </c>
      <c r="K30" s="507">
        <f t="shared" si="1"/>
        <v>1</v>
      </c>
      <c r="L30" s="507">
        <f t="shared" si="2"/>
        <v>1</v>
      </c>
      <c r="O30" s="546" t="s">
        <v>22</v>
      </c>
      <c r="P30" s="547">
        <f>SUMIF($D$8:$D$55,$O30,$G$8:$G$55)+SUMIF($F$8:$F$55,$O30,$I$8:$I$55)</f>
        <v>2</v>
      </c>
      <c r="Q30" s="547">
        <f>SUMIF($D$8:$D$55,$O30,$I$8:$I$55)+SUMIF($F$8:$F$55,$O30,$G$8:$G$55)</f>
        <v>3</v>
      </c>
      <c r="R30" s="547">
        <f>P30-Q30</f>
        <v>-1</v>
      </c>
      <c r="S30" s="548">
        <f>SUMIF($D$8:$D$55,$O30,$K$8:$K$55)+SUMIF($F$8:$F$55,$O30,$L$8:$L$55)</f>
        <v>3</v>
      </c>
      <c r="T30" s="549" t="s">
        <v>64</v>
      </c>
      <c r="U30" s="490"/>
      <c r="V30" s="490" t="str">
        <f>O30</f>
        <v>Italië</v>
      </c>
      <c r="W30" s="490" t="s">
        <v>65</v>
      </c>
    </row>
    <row r="31" spans="2:23" ht="15.75" thickBot="1">
      <c r="B31" s="513">
        <v>24</v>
      </c>
      <c r="C31" s="514">
        <v>41810</v>
      </c>
      <c r="D31" s="515" t="s">
        <v>22</v>
      </c>
      <c r="E31" s="516" t="s">
        <v>9</v>
      </c>
      <c r="F31" s="517" t="s">
        <v>20</v>
      </c>
      <c r="G31" s="518">
        <v>0</v>
      </c>
      <c r="H31" s="516" t="s">
        <v>9</v>
      </c>
      <c r="I31" s="519">
        <v>1</v>
      </c>
      <c r="J31" s="520">
        <f t="shared" si="0"/>
        <v>2</v>
      </c>
      <c r="K31" s="507">
        <f t="shared" si="1"/>
        <v>0</v>
      </c>
      <c r="L31" s="507">
        <f t="shared" si="2"/>
        <v>3</v>
      </c>
      <c r="O31" s="490"/>
      <c r="P31" s="491"/>
      <c r="Q31" s="491"/>
      <c r="R31" s="491"/>
      <c r="S31" s="491"/>
      <c r="T31" s="491"/>
      <c r="U31" s="490"/>
      <c r="V31" s="490"/>
      <c r="W31" s="490"/>
    </row>
    <row r="32" spans="2:23" ht="15.75" thickBot="1">
      <c r="B32" s="526">
        <v>25</v>
      </c>
      <c r="C32" s="527">
        <v>41810</v>
      </c>
      <c r="D32" s="528" t="s">
        <v>25</v>
      </c>
      <c r="E32" s="529" t="s">
        <v>9</v>
      </c>
      <c r="F32" s="550" t="s">
        <v>27</v>
      </c>
      <c r="G32" s="531">
        <v>2</v>
      </c>
      <c r="H32" s="529" t="s">
        <v>9</v>
      </c>
      <c r="I32" s="532">
        <v>5</v>
      </c>
      <c r="J32" s="533">
        <f t="shared" si="0"/>
        <v>2</v>
      </c>
      <c r="K32" s="507">
        <f t="shared" si="1"/>
        <v>0</v>
      </c>
      <c r="L32" s="507">
        <f t="shared" si="2"/>
        <v>3</v>
      </c>
      <c r="O32" s="508" t="s">
        <v>66</v>
      </c>
      <c r="P32" s="509" t="s">
        <v>42</v>
      </c>
      <c r="Q32" s="509" t="s">
        <v>43</v>
      </c>
      <c r="R32" s="510" t="s">
        <v>44</v>
      </c>
      <c r="S32" s="511" t="s">
        <v>45</v>
      </c>
      <c r="T32" s="512" t="s">
        <v>46</v>
      </c>
      <c r="U32" s="490"/>
      <c r="V32" s="490"/>
      <c r="W32" s="490"/>
    </row>
    <row r="33" spans="2:23">
      <c r="B33" s="538">
        <v>26</v>
      </c>
      <c r="C33" s="539">
        <v>41810</v>
      </c>
      <c r="D33" s="540" t="s">
        <v>28</v>
      </c>
      <c r="E33" s="541" t="s">
        <v>9</v>
      </c>
      <c r="F33" s="542" t="s">
        <v>26</v>
      </c>
      <c r="G33" s="543">
        <v>1</v>
      </c>
      <c r="H33" s="541" t="s">
        <v>9</v>
      </c>
      <c r="I33" s="544">
        <v>2</v>
      </c>
      <c r="J33" s="545">
        <f t="shared" si="0"/>
        <v>2</v>
      </c>
      <c r="K33" s="507">
        <f t="shared" si="1"/>
        <v>0</v>
      </c>
      <c r="L33" s="507">
        <f t="shared" si="2"/>
        <v>3</v>
      </c>
      <c r="O33" s="521" t="s">
        <v>25</v>
      </c>
      <c r="P33" s="522">
        <f>SUMIF($D$8:$D$55,$O33,$G$8:$G$55)+SUMIF($F$8:$F$55,$O33,$I$8:$I$55)</f>
        <v>7</v>
      </c>
      <c r="Q33" s="522">
        <f>SUMIF($D$8:$D$55,$O33,$I$8:$I$55)+SUMIF($F$8:$F$55,$O33,$G$8:$G$55)</f>
        <v>6</v>
      </c>
      <c r="R33" s="523">
        <f>P33-Q33</f>
        <v>1</v>
      </c>
      <c r="S33" s="524">
        <f>SUMIF($D$8:$D$55,$O33,$K$8:$K$55)+SUMIF($F$8:$F$55,$O33,$L$8:$L$55)</f>
        <v>6</v>
      </c>
      <c r="T33" s="525" t="s">
        <v>68</v>
      </c>
      <c r="U33" s="490"/>
      <c r="V33" s="490" t="str">
        <f>O33</f>
        <v>Zwitserland</v>
      </c>
      <c r="W33" s="490" t="s">
        <v>67</v>
      </c>
    </row>
    <row r="34" spans="2:23">
      <c r="B34" s="513">
        <v>27</v>
      </c>
      <c r="C34" s="514">
        <v>41811</v>
      </c>
      <c r="D34" s="515" t="s">
        <v>29</v>
      </c>
      <c r="E34" s="516" t="s">
        <v>9</v>
      </c>
      <c r="F34" s="517" t="s">
        <v>33</v>
      </c>
      <c r="G34" s="518">
        <v>1</v>
      </c>
      <c r="H34" s="516" t="s">
        <v>9</v>
      </c>
      <c r="I34" s="519">
        <v>0</v>
      </c>
      <c r="J34" s="520">
        <f t="shared" si="0"/>
        <v>1</v>
      </c>
      <c r="K34" s="507">
        <f t="shared" si="1"/>
        <v>3</v>
      </c>
      <c r="L34" s="507">
        <f t="shared" si="2"/>
        <v>0</v>
      </c>
      <c r="O34" s="534" t="s">
        <v>26</v>
      </c>
      <c r="P34" s="535">
        <f>SUMIF($D$8:$D$55,$O34,$G$8:$G$55)+SUMIF($F$8:$F$55,$O34,$I$8:$I$55)</f>
        <v>3</v>
      </c>
      <c r="Q34" s="535">
        <f>SUMIF($D$8:$D$55,$O34,$I$8:$I$55)+SUMIF($F$8:$F$55,$O34,$G$8:$G$55)</f>
        <v>3</v>
      </c>
      <c r="R34" s="535">
        <f>P34-Q34</f>
        <v>0</v>
      </c>
      <c r="S34" s="536">
        <f>SUMIF($D$8:$D$55,$O34,$K$8:$K$55)+SUMIF($F$8:$F$55,$O34,$L$8:$L$55)</f>
        <v>4</v>
      </c>
      <c r="T34" s="537" t="s">
        <v>69</v>
      </c>
      <c r="U34" s="490"/>
      <c r="V34" s="490" t="str">
        <f>O34</f>
        <v>Ecuador</v>
      </c>
      <c r="W34" s="490" t="s">
        <v>68</v>
      </c>
    </row>
    <row r="35" spans="2:23">
      <c r="B35" s="526">
        <v>28</v>
      </c>
      <c r="C35" s="527">
        <v>41811</v>
      </c>
      <c r="D35" s="528" t="s">
        <v>31</v>
      </c>
      <c r="E35" s="529" t="s">
        <v>9</v>
      </c>
      <c r="F35" s="550" t="s">
        <v>35</v>
      </c>
      <c r="G35" s="531">
        <v>2</v>
      </c>
      <c r="H35" s="529" t="s">
        <v>9</v>
      </c>
      <c r="I35" s="532">
        <v>2</v>
      </c>
      <c r="J35" s="533">
        <f t="shared" si="0"/>
        <v>3</v>
      </c>
      <c r="K35" s="507">
        <f t="shared" si="1"/>
        <v>1</v>
      </c>
      <c r="L35" s="507">
        <f t="shared" si="2"/>
        <v>1</v>
      </c>
      <c r="O35" s="534" t="s">
        <v>27</v>
      </c>
      <c r="P35" s="535">
        <f>SUMIF($D$8:$D$55,$O35,$G$8:$G$55)+SUMIF($F$8:$F$55,$O35,$I$8:$I$55)</f>
        <v>8</v>
      </c>
      <c r="Q35" s="535">
        <f>SUMIF($D$8:$D$55,$O35,$I$8:$I$55)+SUMIF($F$8:$F$55,$O35,$G$8:$G$55)</f>
        <v>2</v>
      </c>
      <c r="R35" s="535">
        <f>P35-Q35</f>
        <v>6</v>
      </c>
      <c r="S35" s="536">
        <f>SUMIF($D$8:$D$55,$O35,$K$8:$K$55)+SUMIF($F$8:$F$55,$O35,$L$8:$L$55)</f>
        <v>7</v>
      </c>
      <c r="T35" s="537" t="s">
        <v>67</v>
      </c>
      <c r="U35" s="490"/>
      <c r="V35" s="490" t="str">
        <f>O35</f>
        <v>Frankrijk</v>
      </c>
      <c r="W35" s="490" t="s">
        <v>69</v>
      </c>
    </row>
    <row r="36" spans="2:23" ht="15.75" thickBot="1">
      <c r="B36" s="538">
        <v>29</v>
      </c>
      <c r="C36" s="539">
        <v>41811</v>
      </c>
      <c r="D36" s="540" t="s">
        <v>34</v>
      </c>
      <c r="E36" s="541" t="s">
        <v>9</v>
      </c>
      <c r="F36" s="542" t="s">
        <v>30</v>
      </c>
      <c r="G36" s="543">
        <v>1</v>
      </c>
      <c r="H36" s="541" t="s">
        <v>9</v>
      </c>
      <c r="I36" s="544">
        <v>0</v>
      </c>
      <c r="J36" s="545">
        <f t="shared" si="0"/>
        <v>1</v>
      </c>
      <c r="K36" s="507">
        <f t="shared" si="1"/>
        <v>3</v>
      </c>
      <c r="L36" s="507">
        <f t="shared" si="2"/>
        <v>0</v>
      </c>
      <c r="O36" s="546" t="s">
        <v>28</v>
      </c>
      <c r="P36" s="547">
        <f>SUMIF($D$8:$D$55,$O36,$G$8:$G$55)+SUMIF($F$8:$F$55,$O36,$I$8:$I$55)</f>
        <v>1</v>
      </c>
      <c r="Q36" s="547">
        <f>SUMIF($D$8:$D$55,$O36,$I$8:$I$55)+SUMIF($F$8:$F$55,$O36,$G$8:$G$55)</f>
        <v>8</v>
      </c>
      <c r="R36" s="547">
        <f>P36-Q36</f>
        <v>-7</v>
      </c>
      <c r="S36" s="548">
        <f>SUMIF($D$8:$D$55,$O36,$K$8:$K$55)+SUMIF($F$8:$F$55,$O36,$L$8:$L$55)</f>
        <v>0</v>
      </c>
      <c r="T36" s="549" t="s">
        <v>70</v>
      </c>
      <c r="U36" s="490"/>
      <c r="V36" s="490" t="str">
        <f>O36</f>
        <v>Honduras</v>
      </c>
      <c r="W36" s="490" t="s">
        <v>70</v>
      </c>
    </row>
    <row r="37" spans="2:23" ht="15.75" thickBot="1">
      <c r="B37" s="513">
        <v>30</v>
      </c>
      <c r="C37" s="514">
        <v>41812</v>
      </c>
      <c r="D37" s="515" t="s">
        <v>37</v>
      </c>
      <c r="E37" s="516" t="s">
        <v>9</v>
      </c>
      <c r="F37" s="517" t="s">
        <v>39</v>
      </c>
      <c r="G37" s="518">
        <v>1</v>
      </c>
      <c r="H37" s="516" t="s">
        <v>9</v>
      </c>
      <c r="I37" s="519">
        <v>0</v>
      </c>
      <c r="J37" s="520">
        <f t="shared" si="0"/>
        <v>1</v>
      </c>
      <c r="K37" s="507">
        <f t="shared" si="1"/>
        <v>3</v>
      </c>
      <c r="L37" s="507">
        <f t="shared" si="2"/>
        <v>0</v>
      </c>
      <c r="O37" s="490"/>
      <c r="P37" s="491"/>
      <c r="Q37" s="491"/>
      <c r="R37" s="491"/>
      <c r="S37" s="491"/>
      <c r="T37" s="491"/>
      <c r="U37" s="490"/>
      <c r="V37" s="490"/>
      <c r="W37" s="490"/>
    </row>
    <row r="38" spans="2:23" ht="15.75" thickBot="1">
      <c r="B38" s="526">
        <v>31</v>
      </c>
      <c r="C38" s="527">
        <v>41812</v>
      </c>
      <c r="D38" s="528" t="s">
        <v>40</v>
      </c>
      <c r="E38" s="529" t="s">
        <v>9</v>
      </c>
      <c r="F38" s="550" t="s">
        <v>38</v>
      </c>
      <c r="G38" s="531">
        <v>2</v>
      </c>
      <c r="H38" s="529" t="s">
        <v>9</v>
      </c>
      <c r="I38" s="532">
        <v>4</v>
      </c>
      <c r="J38" s="533">
        <f t="shared" si="0"/>
        <v>2</v>
      </c>
      <c r="K38" s="507">
        <f t="shared" si="1"/>
        <v>0</v>
      </c>
      <c r="L38" s="507">
        <f t="shared" si="2"/>
        <v>3</v>
      </c>
      <c r="O38" s="508" t="s">
        <v>71</v>
      </c>
      <c r="P38" s="509" t="s">
        <v>42</v>
      </c>
      <c r="Q38" s="509" t="s">
        <v>43</v>
      </c>
      <c r="R38" s="510" t="s">
        <v>44</v>
      </c>
      <c r="S38" s="511" t="s">
        <v>45</v>
      </c>
      <c r="T38" s="512" t="s">
        <v>46</v>
      </c>
      <c r="U38" s="490"/>
      <c r="V38" s="490"/>
      <c r="W38" s="490"/>
    </row>
    <row r="39" spans="2:23">
      <c r="B39" s="538">
        <v>32</v>
      </c>
      <c r="C39" s="539">
        <v>41812</v>
      </c>
      <c r="D39" s="540" t="s">
        <v>36</v>
      </c>
      <c r="E39" s="541" t="s">
        <v>9</v>
      </c>
      <c r="F39" s="542" t="s">
        <v>32</v>
      </c>
      <c r="G39" s="543">
        <v>2</v>
      </c>
      <c r="H39" s="541" t="s">
        <v>9</v>
      </c>
      <c r="I39" s="544">
        <v>2</v>
      </c>
      <c r="J39" s="545">
        <f t="shared" si="0"/>
        <v>3</v>
      </c>
      <c r="K39" s="507">
        <f t="shared" si="1"/>
        <v>1</v>
      </c>
      <c r="L39" s="507">
        <f t="shared" si="2"/>
        <v>1</v>
      </c>
      <c r="O39" s="521" t="s">
        <v>29</v>
      </c>
      <c r="P39" s="522">
        <f>SUMIF($D$8:$D$55,$O39,$G$8:$G$55)+SUMIF($F$8:$F$55,$O39,$I$8:$I$55)</f>
        <v>6</v>
      </c>
      <c r="Q39" s="522">
        <f>SUMIF($D$8:$D$55,$O39,$I$8:$I$55)+SUMIF($F$8:$F$55,$O39,$G$8:$G$55)</f>
        <v>3</v>
      </c>
      <c r="R39" s="523">
        <f>P39-Q39</f>
        <v>3</v>
      </c>
      <c r="S39" s="524">
        <f>SUMIF($D$8:$D$55,$O39,$K$8:$K$55)+SUMIF($F$8:$F$55,$O39,$L$8:$L$55)</f>
        <v>9</v>
      </c>
      <c r="T39" s="525" t="s">
        <v>72</v>
      </c>
      <c r="U39" s="490"/>
      <c r="V39" s="490" t="str">
        <f>O39</f>
        <v>Argentinië</v>
      </c>
      <c r="W39" s="490" t="s">
        <v>72</v>
      </c>
    </row>
    <row r="40" spans="2:23">
      <c r="B40" s="513">
        <v>33</v>
      </c>
      <c r="C40" s="514">
        <v>41813</v>
      </c>
      <c r="D40" s="515" t="s">
        <v>16</v>
      </c>
      <c r="E40" s="516" t="s">
        <v>9</v>
      </c>
      <c r="F40" s="517" t="s">
        <v>13</v>
      </c>
      <c r="G40" s="518">
        <v>0</v>
      </c>
      <c r="H40" s="516" t="s">
        <v>9</v>
      </c>
      <c r="I40" s="519">
        <v>3</v>
      </c>
      <c r="J40" s="520">
        <f t="shared" si="0"/>
        <v>2</v>
      </c>
      <c r="K40" s="507">
        <f t="shared" si="1"/>
        <v>0</v>
      </c>
      <c r="L40" s="507">
        <f t="shared" si="2"/>
        <v>3</v>
      </c>
      <c r="O40" s="534" t="s">
        <v>30</v>
      </c>
      <c r="P40" s="535">
        <f>SUMIF($D$8:$D$55,$O40,$G$8:$G$55)+SUMIF($F$8:$F$55,$O40,$I$8:$I$55)</f>
        <v>4</v>
      </c>
      <c r="Q40" s="535">
        <f>SUMIF($D$8:$D$55,$O40,$I$8:$I$55)+SUMIF($F$8:$F$55,$O40,$G$8:$G$55)</f>
        <v>4</v>
      </c>
      <c r="R40" s="535">
        <f>P40-Q40</f>
        <v>0</v>
      </c>
      <c r="S40" s="536">
        <f>SUMIF($D$8:$D$55,$O40,$K$8:$K$55)+SUMIF($F$8:$F$55,$O40,$L$8:$L$55)</f>
        <v>3</v>
      </c>
      <c r="T40" s="537" t="s">
        <v>74</v>
      </c>
      <c r="U40" s="490"/>
      <c r="V40" s="490" t="str">
        <f>O40</f>
        <v>Bosnië H.</v>
      </c>
      <c r="W40" s="490" t="s">
        <v>73</v>
      </c>
    </row>
    <row r="41" spans="2:23">
      <c r="B41" s="526">
        <v>34</v>
      </c>
      <c r="C41" s="527">
        <v>41813</v>
      </c>
      <c r="D41" s="553" t="s">
        <v>14</v>
      </c>
      <c r="E41" s="529" t="s">
        <v>9</v>
      </c>
      <c r="F41" s="550" t="s">
        <v>15</v>
      </c>
      <c r="G41" s="531">
        <v>2</v>
      </c>
      <c r="H41" s="529" t="s">
        <v>9</v>
      </c>
      <c r="I41" s="532">
        <v>0</v>
      </c>
      <c r="J41" s="533">
        <f t="shared" si="0"/>
        <v>1</v>
      </c>
      <c r="K41" s="507">
        <f t="shared" si="1"/>
        <v>3</v>
      </c>
      <c r="L41" s="507">
        <f t="shared" si="2"/>
        <v>0</v>
      </c>
      <c r="O41" s="534" t="s">
        <v>33</v>
      </c>
      <c r="P41" s="535">
        <f>SUMIF($D$8:$D$55,$O41,$G$8:$G$55)+SUMIF($F$8:$F$55,$O41,$I$8:$I$55)</f>
        <v>1</v>
      </c>
      <c r="Q41" s="535">
        <f>SUMIF($D$8:$D$55,$O41,$I$8:$I$55)+SUMIF($F$8:$F$55,$O41,$G$8:$G$55)</f>
        <v>4</v>
      </c>
      <c r="R41" s="535">
        <f>P41-Q41</f>
        <v>-3</v>
      </c>
      <c r="S41" s="536">
        <f>SUMIF($D$8:$D$55,$O41,$K$8:$K$55)+SUMIF($F$8:$F$55,$O41,$L$8:$L$55)</f>
        <v>1</v>
      </c>
      <c r="T41" s="537" t="s">
        <v>75</v>
      </c>
      <c r="U41" s="490"/>
      <c r="V41" s="490" t="str">
        <f>O41</f>
        <v>Iran</v>
      </c>
      <c r="W41" s="490" t="s">
        <v>74</v>
      </c>
    </row>
    <row r="42" spans="2:23" ht="15.75" thickBot="1">
      <c r="B42" s="526">
        <v>35</v>
      </c>
      <c r="C42" s="527">
        <v>41813</v>
      </c>
      <c r="D42" s="528" t="s">
        <v>12</v>
      </c>
      <c r="E42" s="529" t="s">
        <v>9</v>
      </c>
      <c r="F42" s="550" t="s">
        <v>8</v>
      </c>
      <c r="G42" s="531">
        <v>1</v>
      </c>
      <c r="H42" s="529" t="s">
        <v>9</v>
      </c>
      <c r="I42" s="532">
        <v>4</v>
      </c>
      <c r="J42" s="533">
        <f t="shared" si="0"/>
        <v>2</v>
      </c>
      <c r="K42" s="507">
        <f t="shared" si="1"/>
        <v>0</v>
      </c>
      <c r="L42" s="507">
        <f t="shared" si="2"/>
        <v>3</v>
      </c>
      <c r="O42" s="546" t="s">
        <v>34</v>
      </c>
      <c r="P42" s="547">
        <f>SUMIF($D$8:$D$55,$O42,$G$8:$G$55)+SUMIF($F$8:$F$55,$O42,$I$8:$I$55)</f>
        <v>3</v>
      </c>
      <c r="Q42" s="547">
        <f>SUMIF($D$8:$D$55,$O42,$I$8:$I$55)+SUMIF($F$8:$F$55,$O42,$G$8:$G$55)</f>
        <v>3</v>
      </c>
      <c r="R42" s="547">
        <f>P42-Q42</f>
        <v>0</v>
      </c>
      <c r="S42" s="548">
        <f>SUMIF($D$8:$D$55,$O42,$K$8:$K$55)+SUMIF($F$8:$F$55,$O42,$L$8:$L$55)</f>
        <v>4</v>
      </c>
      <c r="T42" s="549" t="s">
        <v>73</v>
      </c>
      <c r="U42" s="490"/>
      <c r="V42" s="490" t="str">
        <f>O42</f>
        <v>Nigeria</v>
      </c>
      <c r="W42" s="490" t="s">
        <v>75</v>
      </c>
    </row>
    <row r="43" spans="2:23" ht="15.75" thickBot="1">
      <c r="B43" s="538">
        <v>36</v>
      </c>
      <c r="C43" s="539">
        <v>41813</v>
      </c>
      <c r="D43" s="540" t="s">
        <v>10</v>
      </c>
      <c r="E43" s="541" t="s">
        <v>9</v>
      </c>
      <c r="F43" s="542" t="s">
        <v>11</v>
      </c>
      <c r="G43" s="543">
        <v>1</v>
      </c>
      <c r="H43" s="541" t="s">
        <v>9</v>
      </c>
      <c r="I43" s="544">
        <v>3</v>
      </c>
      <c r="J43" s="545">
        <f t="shared" si="0"/>
        <v>2</v>
      </c>
      <c r="K43" s="507">
        <f t="shared" si="1"/>
        <v>0</v>
      </c>
      <c r="L43" s="507">
        <f t="shared" si="2"/>
        <v>3</v>
      </c>
      <c r="O43" s="490"/>
      <c r="P43" s="491"/>
      <c r="Q43" s="491"/>
      <c r="R43" s="491"/>
      <c r="S43" s="491"/>
      <c r="T43" s="491"/>
      <c r="U43" s="490"/>
      <c r="V43" s="490"/>
      <c r="W43" s="490"/>
    </row>
    <row r="44" spans="2:23" ht="15.75" thickBot="1">
      <c r="B44" s="513">
        <v>37</v>
      </c>
      <c r="C44" s="514">
        <v>41814</v>
      </c>
      <c r="D44" s="515" t="s">
        <v>22</v>
      </c>
      <c r="E44" s="516" t="s">
        <v>9</v>
      </c>
      <c r="F44" s="517" t="s">
        <v>19</v>
      </c>
      <c r="G44" s="518">
        <v>0</v>
      </c>
      <c r="H44" s="516" t="s">
        <v>9</v>
      </c>
      <c r="I44" s="519">
        <v>1</v>
      </c>
      <c r="J44" s="520">
        <f t="shared" si="0"/>
        <v>2</v>
      </c>
      <c r="K44" s="507">
        <f t="shared" si="1"/>
        <v>0</v>
      </c>
      <c r="L44" s="507">
        <f t="shared" si="2"/>
        <v>3</v>
      </c>
      <c r="O44" s="508" t="s">
        <v>76</v>
      </c>
      <c r="P44" s="509" t="s">
        <v>42</v>
      </c>
      <c r="Q44" s="509" t="s">
        <v>43</v>
      </c>
      <c r="R44" s="510" t="s">
        <v>44</v>
      </c>
      <c r="S44" s="511" t="s">
        <v>45</v>
      </c>
      <c r="T44" s="512" t="s">
        <v>46</v>
      </c>
      <c r="U44" s="490"/>
      <c r="V44" s="490"/>
      <c r="W44" s="490"/>
    </row>
    <row r="45" spans="2:23">
      <c r="B45" s="526">
        <v>38</v>
      </c>
      <c r="C45" s="527">
        <v>41814</v>
      </c>
      <c r="D45" s="528" t="s">
        <v>20</v>
      </c>
      <c r="E45" s="529" t="s">
        <v>9</v>
      </c>
      <c r="F45" s="550" t="s">
        <v>21</v>
      </c>
      <c r="G45" s="531">
        <v>0</v>
      </c>
      <c r="H45" s="529" t="s">
        <v>9</v>
      </c>
      <c r="I45" s="532">
        <v>0</v>
      </c>
      <c r="J45" s="533">
        <f t="shared" si="0"/>
        <v>3</v>
      </c>
      <c r="K45" s="507">
        <f t="shared" si="1"/>
        <v>1</v>
      </c>
      <c r="L45" s="507">
        <f t="shared" si="2"/>
        <v>1</v>
      </c>
      <c r="O45" s="521" t="s">
        <v>31</v>
      </c>
      <c r="P45" s="522">
        <f>SUMIF($D$8:$D$55,$O45,$G$8:$G$55)+SUMIF($F$8:$F$55,$O45,$I$8:$I$55)</f>
        <v>7</v>
      </c>
      <c r="Q45" s="522">
        <f>SUMIF($D$8:$D$55,$O45,$I$8:$I$55)+SUMIF($F$8:$F$55,$O45,$G$8:$G$55)</f>
        <v>2</v>
      </c>
      <c r="R45" s="523">
        <f>P45-Q45</f>
        <v>5</v>
      </c>
      <c r="S45" s="524">
        <f>SUMIF($D$8:$D$55,$O45,$K$8:$K$55)+SUMIF($F$8:$F$55,$O45,$L$8:$L$55)</f>
        <v>7</v>
      </c>
      <c r="T45" s="525" t="s">
        <v>77</v>
      </c>
      <c r="U45" s="490"/>
      <c r="V45" s="490" t="str">
        <f>O45</f>
        <v>Duitsland</v>
      </c>
      <c r="W45" s="490" t="s">
        <v>77</v>
      </c>
    </row>
    <row r="46" spans="2:23">
      <c r="B46" s="526">
        <v>39</v>
      </c>
      <c r="C46" s="527">
        <v>41814</v>
      </c>
      <c r="D46" s="528" t="s">
        <v>24</v>
      </c>
      <c r="E46" s="529" t="s">
        <v>9</v>
      </c>
      <c r="F46" s="550" t="s">
        <v>17</v>
      </c>
      <c r="G46" s="531">
        <v>1</v>
      </c>
      <c r="H46" s="529" t="s">
        <v>9</v>
      </c>
      <c r="I46" s="532">
        <v>4</v>
      </c>
      <c r="J46" s="533">
        <f t="shared" si="0"/>
        <v>2</v>
      </c>
      <c r="K46" s="507">
        <f t="shared" si="1"/>
        <v>0</v>
      </c>
      <c r="L46" s="507">
        <f t="shared" si="2"/>
        <v>3</v>
      </c>
      <c r="O46" s="534" t="s">
        <v>32</v>
      </c>
      <c r="P46" s="535">
        <f>SUMIF($D$8:$D$55,$O46,$G$8:$G$55)+SUMIF($F$8:$F$55,$O46,$I$8:$I$55)</f>
        <v>4</v>
      </c>
      <c r="Q46" s="535">
        <f>SUMIF($D$8:$D$55,$O46,$I$8:$I$55)+SUMIF($F$8:$F$55,$O46,$G$8:$G$55)</f>
        <v>7</v>
      </c>
      <c r="R46" s="535">
        <f>P46-Q46</f>
        <v>-3</v>
      </c>
      <c r="S46" s="536">
        <f>SUMIF($D$8:$D$55,$O46,$K$8:$K$55)+SUMIF($F$8:$F$55,$O46,$L$8:$L$55)</f>
        <v>4</v>
      </c>
      <c r="T46" s="537" t="s">
        <v>79</v>
      </c>
      <c r="U46" s="490"/>
      <c r="V46" s="490" t="str">
        <f>O46</f>
        <v>Portugal</v>
      </c>
      <c r="W46" s="490" t="s">
        <v>78</v>
      </c>
    </row>
    <row r="47" spans="2:23">
      <c r="B47" s="538">
        <v>40</v>
      </c>
      <c r="C47" s="539">
        <v>41814</v>
      </c>
      <c r="D47" s="540" t="s">
        <v>18</v>
      </c>
      <c r="E47" s="541" t="s">
        <v>9</v>
      </c>
      <c r="F47" s="542" t="s">
        <v>23</v>
      </c>
      <c r="G47" s="543">
        <v>2</v>
      </c>
      <c r="H47" s="541" t="s">
        <v>9</v>
      </c>
      <c r="I47" s="544">
        <v>1</v>
      </c>
      <c r="J47" s="545">
        <f t="shared" si="0"/>
        <v>1</v>
      </c>
      <c r="K47" s="507">
        <f t="shared" si="1"/>
        <v>3</v>
      </c>
      <c r="L47" s="507">
        <f t="shared" si="2"/>
        <v>0</v>
      </c>
      <c r="O47" s="534" t="s">
        <v>35</v>
      </c>
      <c r="P47" s="535">
        <f>SUMIF($D$8:$D$55,$O47,$G$8:$G$55)+SUMIF($F$8:$F$55,$O47,$I$8:$I$55)</f>
        <v>4</v>
      </c>
      <c r="Q47" s="535">
        <f>SUMIF($D$8:$D$55,$O47,$I$8:$I$55)+SUMIF($F$8:$F$55,$O47,$G$8:$G$55)</f>
        <v>6</v>
      </c>
      <c r="R47" s="535">
        <f>P47-Q47</f>
        <v>-2</v>
      </c>
      <c r="S47" s="536">
        <f>SUMIF($D$8:$D$55,$O47,$K$8:$K$55)+SUMIF($F$8:$F$55,$O47,$L$8:$L$55)</f>
        <v>1</v>
      </c>
      <c r="T47" s="537" t="s">
        <v>80</v>
      </c>
      <c r="U47" s="490"/>
      <c r="V47" s="490" t="str">
        <f>O47</f>
        <v>Ghana</v>
      </c>
      <c r="W47" s="490" t="s">
        <v>79</v>
      </c>
    </row>
    <row r="48" spans="2:23" ht="15.75" thickBot="1">
      <c r="B48" s="513">
        <v>41</v>
      </c>
      <c r="C48" s="514">
        <v>41815</v>
      </c>
      <c r="D48" s="515" t="s">
        <v>34</v>
      </c>
      <c r="E48" s="516" t="s">
        <v>9</v>
      </c>
      <c r="F48" s="517" t="s">
        <v>29</v>
      </c>
      <c r="G48" s="518">
        <v>2</v>
      </c>
      <c r="H48" s="516" t="s">
        <v>9</v>
      </c>
      <c r="I48" s="519">
        <v>3</v>
      </c>
      <c r="J48" s="520">
        <f t="shared" si="0"/>
        <v>2</v>
      </c>
      <c r="K48" s="507">
        <f t="shared" si="1"/>
        <v>0</v>
      </c>
      <c r="L48" s="507">
        <f t="shared" si="2"/>
        <v>3</v>
      </c>
      <c r="O48" s="546" t="s">
        <v>36</v>
      </c>
      <c r="P48" s="547">
        <f>SUMIF($D$8:$D$55,$O48,$G$8:$G$55)+SUMIF($F$8:$F$55,$O48,$I$8:$I$55)</f>
        <v>4</v>
      </c>
      <c r="Q48" s="547">
        <f>SUMIF($D$8:$D$55,$O48,$I$8:$I$55)+SUMIF($F$8:$F$55,$O48,$G$8:$G$55)</f>
        <v>4</v>
      </c>
      <c r="R48" s="547">
        <f>P48-Q48</f>
        <v>0</v>
      </c>
      <c r="S48" s="548">
        <f>SUMIF($D$8:$D$55,$O48,$K$8:$K$55)+SUMIF($F$8:$F$55,$O48,$L$8:$L$55)</f>
        <v>4</v>
      </c>
      <c r="T48" s="549" t="s">
        <v>78</v>
      </c>
      <c r="U48" s="490"/>
      <c r="V48" s="490" t="str">
        <f>O48</f>
        <v>Verenigde Staten</v>
      </c>
      <c r="W48" s="490" t="s">
        <v>80</v>
      </c>
    </row>
    <row r="49" spans="2:27" ht="15.75" thickBot="1">
      <c r="B49" s="526">
        <v>42</v>
      </c>
      <c r="C49" s="527">
        <v>41815</v>
      </c>
      <c r="D49" s="528" t="s">
        <v>30</v>
      </c>
      <c r="E49" s="529" t="s">
        <v>9</v>
      </c>
      <c r="F49" s="550" t="s">
        <v>33</v>
      </c>
      <c r="G49" s="531">
        <v>3</v>
      </c>
      <c r="H49" s="529" t="s">
        <v>9</v>
      </c>
      <c r="I49" s="532">
        <v>1</v>
      </c>
      <c r="J49" s="533">
        <f t="shared" si="0"/>
        <v>1</v>
      </c>
      <c r="K49" s="507">
        <f t="shared" si="1"/>
        <v>3</v>
      </c>
      <c r="L49" s="507">
        <f t="shared" si="2"/>
        <v>0</v>
      </c>
      <c r="O49" s="490"/>
      <c r="P49" s="491"/>
      <c r="Q49" s="491"/>
      <c r="R49" s="491"/>
      <c r="S49" s="491"/>
      <c r="T49" s="491"/>
      <c r="U49" s="490"/>
      <c r="V49" s="490"/>
      <c r="W49" s="490"/>
    </row>
    <row r="50" spans="2:27" ht="15.75" thickBot="1">
      <c r="B50" s="526">
        <v>43</v>
      </c>
      <c r="C50" s="527">
        <v>41815</v>
      </c>
      <c r="D50" s="528" t="s">
        <v>28</v>
      </c>
      <c r="E50" s="529" t="s">
        <v>9</v>
      </c>
      <c r="F50" s="550" t="s">
        <v>25</v>
      </c>
      <c r="G50" s="531">
        <v>0</v>
      </c>
      <c r="H50" s="529" t="s">
        <v>9</v>
      </c>
      <c r="I50" s="532">
        <v>3</v>
      </c>
      <c r="J50" s="533">
        <f t="shared" si="0"/>
        <v>2</v>
      </c>
      <c r="K50" s="507">
        <f t="shared" si="1"/>
        <v>0</v>
      </c>
      <c r="L50" s="507">
        <f t="shared" si="2"/>
        <v>3</v>
      </c>
      <c r="O50" s="508" t="s">
        <v>81</v>
      </c>
      <c r="P50" s="509" t="s">
        <v>42</v>
      </c>
      <c r="Q50" s="509" t="s">
        <v>43</v>
      </c>
      <c r="R50" s="510" t="s">
        <v>44</v>
      </c>
      <c r="S50" s="511" t="s">
        <v>45</v>
      </c>
      <c r="T50" s="512" t="s">
        <v>46</v>
      </c>
      <c r="U50" s="490"/>
      <c r="V50" s="490"/>
      <c r="W50" s="490"/>
    </row>
    <row r="51" spans="2:27">
      <c r="B51" s="538">
        <v>44</v>
      </c>
      <c r="C51" s="539">
        <v>41815</v>
      </c>
      <c r="D51" s="540" t="s">
        <v>26</v>
      </c>
      <c r="E51" s="541" t="s">
        <v>9</v>
      </c>
      <c r="F51" s="542" t="s">
        <v>27</v>
      </c>
      <c r="G51" s="543">
        <v>0</v>
      </c>
      <c r="H51" s="541" t="s">
        <v>9</v>
      </c>
      <c r="I51" s="544">
        <v>0</v>
      </c>
      <c r="J51" s="545">
        <f t="shared" si="0"/>
        <v>3</v>
      </c>
      <c r="K51" s="507">
        <f t="shared" si="1"/>
        <v>1</v>
      </c>
      <c r="L51" s="507">
        <f t="shared" si="2"/>
        <v>1</v>
      </c>
      <c r="O51" s="521" t="s">
        <v>37</v>
      </c>
      <c r="P51" s="522">
        <f>SUMIF($D$8:$D$55,$O51,$G$8:$G$55)+SUMIF($F$8:$F$55,$O51,$I$8:$I$55)</f>
        <v>4</v>
      </c>
      <c r="Q51" s="522">
        <f>SUMIF($D$8:$D$55,$O51,$I$8:$I$55)+SUMIF($F$8:$F$55,$O51,$G$8:$G$55)</f>
        <v>1</v>
      </c>
      <c r="R51" s="523">
        <f>P51-Q51</f>
        <v>3</v>
      </c>
      <c r="S51" s="524">
        <f>SUMIF($D$8:$D$55,$O51,$K$8:$K$55)+SUMIF($F$8:$F$55,$O51,$L$8:$L$55)</f>
        <v>9</v>
      </c>
      <c r="T51" s="525" t="s">
        <v>82</v>
      </c>
      <c r="U51" s="490"/>
      <c r="V51" s="490" t="str">
        <f>O51</f>
        <v>België</v>
      </c>
      <c r="W51" s="490" t="s">
        <v>82</v>
      </c>
    </row>
    <row r="52" spans="2:27">
      <c r="B52" s="526">
        <v>45</v>
      </c>
      <c r="C52" s="527">
        <v>41816</v>
      </c>
      <c r="D52" s="528" t="s">
        <v>36</v>
      </c>
      <c r="E52" s="529" t="s">
        <v>9</v>
      </c>
      <c r="F52" s="550" t="s">
        <v>31</v>
      </c>
      <c r="G52" s="531">
        <v>0</v>
      </c>
      <c r="H52" s="529" t="s">
        <v>9</v>
      </c>
      <c r="I52" s="532">
        <v>1</v>
      </c>
      <c r="J52" s="520">
        <f t="shared" si="0"/>
        <v>2</v>
      </c>
      <c r="K52" s="507">
        <f t="shared" si="1"/>
        <v>0</v>
      </c>
      <c r="L52" s="507">
        <f t="shared" si="2"/>
        <v>3</v>
      </c>
      <c r="O52" s="534" t="s">
        <v>38</v>
      </c>
      <c r="P52" s="535">
        <f>SUMIF($D$8:$D$55,$O52,$G$8:$G$55)+SUMIF($F$8:$F$55,$O52,$I$8:$I$55)</f>
        <v>6</v>
      </c>
      <c r="Q52" s="535">
        <f>SUMIF($D$8:$D$55,$O52,$I$8:$I$55)+SUMIF($F$8:$F$55,$O52,$G$8:$G$55)</f>
        <v>5</v>
      </c>
      <c r="R52" s="535">
        <f>P52-Q52</f>
        <v>1</v>
      </c>
      <c r="S52" s="536">
        <f>SUMIF($D$8:$D$55,$O52,$K$8:$K$55)+SUMIF($F$8:$F$55,$O52,$L$8:$L$55)</f>
        <v>4</v>
      </c>
      <c r="T52" s="537" t="s">
        <v>83</v>
      </c>
      <c r="U52" s="490"/>
      <c r="V52" s="490" t="str">
        <f>O52</f>
        <v>Algerije</v>
      </c>
      <c r="W52" s="490" t="s">
        <v>83</v>
      </c>
    </row>
    <row r="53" spans="2:27">
      <c r="B53" s="526">
        <v>46</v>
      </c>
      <c r="C53" s="527">
        <v>41816</v>
      </c>
      <c r="D53" s="528" t="s">
        <v>32</v>
      </c>
      <c r="E53" s="529" t="s">
        <v>9</v>
      </c>
      <c r="F53" s="550" t="s">
        <v>35</v>
      </c>
      <c r="G53" s="531">
        <v>2</v>
      </c>
      <c r="H53" s="529" t="s">
        <v>9</v>
      </c>
      <c r="I53" s="532">
        <v>1</v>
      </c>
      <c r="J53" s="533">
        <f t="shared" si="0"/>
        <v>1</v>
      </c>
      <c r="K53" s="507">
        <f t="shared" si="1"/>
        <v>3</v>
      </c>
      <c r="L53" s="507">
        <f t="shared" si="2"/>
        <v>0</v>
      </c>
      <c r="O53" s="534" t="s">
        <v>39</v>
      </c>
      <c r="P53" s="535">
        <f>SUMIF($D$8:$D$55,$O53,$G$8:$G$55)+SUMIF($F$8:$F$55,$O53,$I$8:$I$55)</f>
        <v>2</v>
      </c>
      <c r="Q53" s="535">
        <f>SUMIF($D$8:$D$55,$O53,$I$8:$I$55)+SUMIF($F$8:$F$55,$O53,$G$8:$G$55)</f>
        <v>3</v>
      </c>
      <c r="R53" s="535">
        <f>P53-Q53</f>
        <v>-1</v>
      </c>
      <c r="S53" s="536">
        <f>SUMIF($D$8:$D$55,$O53,$K$8:$K$55)+SUMIF($F$8:$F$55,$O53,$L$8:$L$55)</f>
        <v>2</v>
      </c>
      <c r="T53" s="537" t="s">
        <v>84</v>
      </c>
      <c r="U53" s="490"/>
      <c r="V53" s="490" t="str">
        <f>O53</f>
        <v>Rusland</v>
      </c>
      <c r="W53" s="490" t="s">
        <v>84</v>
      </c>
    </row>
    <row r="54" spans="2:27" ht="15.75" thickBot="1">
      <c r="B54" s="526">
        <v>47</v>
      </c>
      <c r="C54" s="527">
        <v>41816</v>
      </c>
      <c r="D54" s="528" t="s">
        <v>40</v>
      </c>
      <c r="E54" s="529" t="s">
        <v>9</v>
      </c>
      <c r="F54" s="550" t="s">
        <v>37</v>
      </c>
      <c r="G54" s="531">
        <v>0</v>
      </c>
      <c r="H54" s="529" t="s">
        <v>9</v>
      </c>
      <c r="I54" s="532">
        <v>1</v>
      </c>
      <c r="J54" s="533">
        <f t="shared" si="0"/>
        <v>2</v>
      </c>
      <c r="K54" s="507">
        <f t="shared" si="1"/>
        <v>0</v>
      </c>
      <c r="L54" s="507">
        <f t="shared" si="2"/>
        <v>3</v>
      </c>
      <c r="O54" s="546" t="s">
        <v>40</v>
      </c>
      <c r="P54" s="547">
        <f>SUMIF($D$8:$D$55,$O54,$G$8:$G$55)+SUMIF($F$8:$F$55,$O54,$I$8:$I$55)</f>
        <v>3</v>
      </c>
      <c r="Q54" s="547">
        <f>SUMIF($D$8:$D$55,$O54,$I$8:$I$55)+SUMIF($F$8:$F$55,$O54,$G$8:$G$55)</f>
        <v>6</v>
      </c>
      <c r="R54" s="547">
        <f>P54-Q54</f>
        <v>-3</v>
      </c>
      <c r="S54" s="548">
        <f>SUMIF($D$8:$D$55,$O54,$K$8:$K$55)+SUMIF($F$8:$F$55,$O54,$L$8:$L$55)</f>
        <v>1</v>
      </c>
      <c r="T54" s="549" t="s">
        <v>85</v>
      </c>
      <c r="U54" s="490"/>
      <c r="V54" s="490" t="str">
        <f>O54</f>
        <v>Zuid Korea</v>
      </c>
      <c r="W54" s="490" t="s">
        <v>85</v>
      </c>
    </row>
    <row r="55" spans="2:27" ht="15.75" thickBot="1">
      <c r="B55" s="554">
        <v>48</v>
      </c>
      <c r="C55" s="555">
        <v>41816</v>
      </c>
      <c r="D55" s="556" t="s">
        <v>38</v>
      </c>
      <c r="E55" s="557" t="s">
        <v>9</v>
      </c>
      <c r="F55" s="558" t="s">
        <v>39</v>
      </c>
      <c r="G55" s="559">
        <v>1</v>
      </c>
      <c r="H55" s="557" t="s">
        <v>9</v>
      </c>
      <c r="I55" s="560">
        <v>1</v>
      </c>
      <c r="J55" s="561">
        <f t="shared" si="0"/>
        <v>3</v>
      </c>
      <c r="K55" s="507">
        <f t="shared" si="1"/>
        <v>1</v>
      </c>
      <c r="L55" s="507">
        <f t="shared" si="2"/>
        <v>1</v>
      </c>
      <c r="O55" s="490"/>
      <c r="P55" s="491"/>
      <c r="Q55" s="491"/>
      <c r="R55" s="491"/>
      <c r="S55" s="491"/>
      <c r="T55" s="491"/>
      <c r="U55" s="490"/>
      <c r="V55" s="490"/>
      <c r="W55" s="490"/>
    </row>
    <row r="56" spans="2:27" ht="15.75" thickBot="1">
      <c r="B56" s="489"/>
      <c r="C56" s="562"/>
      <c r="D56" s="490"/>
      <c r="E56" s="489"/>
      <c r="F56" s="490"/>
      <c r="G56" s="489"/>
      <c r="H56" s="489"/>
      <c r="I56" s="489"/>
      <c r="J56" s="489"/>
      <c r="K56" s="489"/>
      <c r="L56" s="489"/>
      <c r="M56" s="489"/>
    </row>
    <row r="57" spans="2:27">
      <c r="B57" s="892" t="s">
        <v>86</v>
      </c>
      <c r="C57" s="893"/>
      <c r="D57" s="893"/>
      <c r="E57" s="893"/>
      <c r="F57" s="893"/>
      <c r="G57" s="893"/>
      <c r="H57" s="893"/>
      <c r="I57" s="893"/>
      <c r="J57" s="563"/>
      <c r="K57" s="489"/>
      <c r="L57" s="489"/>
      <c r="M57" s="489"/>
      <c r="O57" s="901" t="s">
        <v>108</v>
      </c>
      <c r="P57" s="902"/>
      <c r="Q57" s="902"/>
      <c r="R57" s="902"/>
      <c r="S57" s="902"/>
      <c r="T57" s="902"/>
    </row>
    <row r="58" spans="2:27">
      <c r="B58" s="564" t="s">
        <v>1</v>
      </c>
      <c r="C58" s="565" t="s">
        <v>2</v>
      </c>
      <c r="D58" s="566" t="s">
        <v>3</v>
      </c>
      <c r="E58" s="567"/>
      <c r="F58" s="568" t="s">
        <v>4</v>
      </c>
      <c r="G58" s="898" t="s">
        <v>5</v>
      </c>
      <c r="H58" s="899"/>
      <c r="I58" s="900"/>
      <c r="J58" s="569" t="s">
        <v>6</v>
      </c>
      <c r="K58" s="489"/>
      <c r="L58" s="489"/>
      <c r="M58" s="489"/>
      <c r="O58" s="570">
        <v>1</v>
      </c>
      <c r="P58" s="886" t="s">
        <v>224</v>
      </c>
      <c r="Q58" s="886"/>
      <c r="R58" s="886"/>
      <c r="S58" s="886"/>
      <c r="T58" s="887"/>
      <c r="V58" s="488" t="s">
        <v>132</v>
      </c>
      <c r="W58" s="488" t="s">
        <v>124</v>
      </c>
      <c r="X58" s="488" t="str">
        <f t="shared" ref="X58:X98" si="3">CONCATENATE(W58," ",V58)</f>
        <v>Jeroen Zoet (k)</v>
      </c>
    </row>
    <row r="59" spans="2:27">
      <c r="B59" s="513">
        <v>49</v>
      </c>
      <c r="C59" s="514">
        <v>41818</v>
      </c>
      <c r="D59" s="571" t="str">
        <f>IF(ISERROR(Z59),K59,Z59)</f>
        <v>Brazilië</v>
      </c>
      <c r="E59" s="516" t="s">
        <v>9</v>
      </c>
      <c r="F59" s="572" t="str">
        <f>IF(ISERROR(AA59),L59,AA59)</f>
        <v>Chili</v>
      </c>
      <c r="G59" s="518">
        <v>1</v>
      </c>
      <c r="H59" s="516" t="s">
        <v>9</v>
      </c>
      <c r="I59" s="573">
        <v>1</v>
      </c>
      <c r="J59" s="574">
        <v>1</v>
      </c>
      <c r="K59" s="575" t="s">
        <v>48</v>
      </c>
      <c r="L59" s="575" t="s">
        <v>53</v>
      </c>
      <c r="M59" s="575">
        <v>1</v>
      </c>
      <c r="O59" s="570">
        <v>2</v>
      </c>
      <c r="P59" s="886" t="s">
        <v>220</v>
      </c>
      <c r="Q59" s="886"/>
      <c r="R59" s="886"/>
      <c r="S59" s="886"/>
      <c r="T59" s="887"/>
      <c r="V59" s="488" t="s">
        <v>132</v>
      </c>
      <c r="W59" s="488" t="s">
        <v>111</v>
      </c>
      <c r="X59" s="488" t="str">
        <f t="shared" si="3"/>
        <v>Jasper Cillessen (k)</v>
      </c>
      <c r="Z59" s="488" t="str">
        <f>IF(K59=""," ",VLOOKUP(K59,$T$9:$V$54,3,FALSE))</f>
        <v>Brazilië</v>
      </c>
      <c r="AA59" s="488" t="str">
        <f>IF(L59=""," ",VLOOKUP(L59,$T$9:$V$54,3,FALSE))</f>
        <v>Chili</v>
      </c>
    </row>
    <row r="60" spans="2:27">
      <c r="B60" s="538">
        <v>50</v>
      </c>
      <c r="C60" s="539">
        <v>41818</v>
      </c>
      <c r="D60" s="576" t="str">
        <f t="shared" ref="D60:D66" si="4">IF(ISERROR(Z60),K60,Z60)</f>
        <v>Colombia</v>
      </c>
      <c r="E60" s="541" t="s">
        <v>9</v>
      </c>
      <c r="F60" s="577" t="str">
        <f t="shared" ref="F60:F66" si="5">IF(ISERROR(AA60),L60,AA60)</f>
        <v>Uruguay</v>
      </c>
      <c r="G60" s="543">
        <v>2</v>
      </c>
      <c r="H60" s="541" t="s">
        <v>9</v>
      </c>
      <c r="I60" s="578">
        <v>0</v>
      </c>
      <c r="J60" s="579">
        <v>1</v>
      </c>
      <c r="K60" s="575" t="s">
        <v>57</v>
      </c>
      <c r="L60" s="575" t="s">
        <v>63</v>
      </c>
      <c r="M60" s="575">
        <v>2</v>
      </c>
      <c r="O60" s="570">
        <v>3</v>
      </c>
      <c r="P60" s="886" t="s">
        <v>225</v>
      </c>
      <c r="Q60" s="886"/>
      <c r="R60" s="886"/>
      <c r="S60" s="886"/>
      <c r="T60" s="887"/>
      <c r="V60" s="488" t="s">
        <v>132</v>
      </c>
      <c r="W60" s="488" t="s">
        <v>110</v>
      </c>
      <c r="X60" s="488" t="str">
        <f t="shared" si="3"/>
        <v>Kenneth Vermeer (k)</v>
      </c>
      <c r="Z60" s="488" t="str">
        <f t="shared" ref="Z60:AA66" si="6">IF(K60=""," ",VLOOKUP(K60,$T$9:$V$54,3,FALSE))</f>
        <v>Colombia</v>
      </c>
      <c r="AA60" s="488" t="str">
        <f t="shared" si="6"/>
        <v>Uruguay</v>
      </c>
    </row>
    <row r="61" spans="2:27">
      <c r="B61" s="513">
        <v>51</v>
      </c>
      <c r="C61" s="514">
        <v>41819</v>
      </c>
      <c r="D61" s="580" t="str">
        <f t="shared" si="4"/>
        <v>Nederland</v>
      </c>
      <c r="E61" s="516" t="s">
        <v>9</v>
      </c>
      <c r="F61" s="572" t="str">
        <f t="shared" si="5"/>
        <v>Mexico</v>
      </c>
      <c r="G61" s="518">
        <v>2</v>
      </c>
      <c r="H61" s="516" t="s">
        <v>9</v>
      </c>
      <c r="I61" s="573">
        <v>1</v>
      </c>
      <c r="J61" s="574">
        <v>1</v>
      </c>
      <c r="K61" s="575" t="s">
        <v>52</v>
      </c>
      <c r="L61" s="575" t="s">
        <v>49</v>
      </c>
      <c r="M61" s="575"/>
      <c r="O61" s="570">
        <v>4</v>
      </c>
      <c r="P61" s="886" t="s">
        <v>209</v>
      </c>
      <c r="Q61" s="886"/>
      <c r="R61" s="886"/>
      <c r="S61" s="886"/>
      <c r="T61" s="887"/>
      <c r="V61" s="488" t="s">
        <v>132</v>
      </c>
      <c r="W61" s="488" t="s">
        <v>191</v>
      </c>
      <c r="X61" s="488" t="str">
        <f t="shared" si="3"/>
        <v>Tim Krul (k)</v>
      </c>
      <c r="Z61" s="488" t="str">
        <f t="shared" si="6"/>
        <v>Nederland</v>
      </c>
      <c r="AA61" s="488" t="str">
        <f t="shared" si="6"/>
        <v>Mexico</v>
      </c>
    </row>
    <row r="62" spans="2:27">
      <c r="B62" s="538">
        <v>52</v>
      </c>
      <c r="C62" s="539">
        <v>41819</v>
      </c>
      <c r="D62" s="580" t="str">
        <f t="shared" si="4"/>
        <v>Costa Rica</v>
      </c>
      <c r="E62" s="541" t="s">
        <v>9</v>
      </c>
      <c r="F62" s="577" t="str">
        <f t="shared" si="5"/>
        <v>Griekenland</v>
      </c>
      <c r="G62" s="543">
        <v>1</v>
      </c>
      <c r="H62" s="541" t="s">
        <v>9</v>
      </c>
      <c r="I62" s="578">
        <v>1</v>
      </c>
      <c r="J62" s="579">
        <v>1</v>
      </c>
      <c r="K62" s="575" t="s">
        <v>62</v>
      </c>
      <c r="L62" s="575" t="s">
        <v>58</v>
      </c>
      <c r="M62" s="575"/>
      <c r="O62" s="570">
        <v>5</v>
      </c>
      <c r="P62" s="886" t="s">
        <v>211</v>
      </c>
      <c r="Q62" s="886"/>
      <c r="R62" s="886"/>
      <c r="S62" s="886"/>
      <c r="T62" s="887"/>
      <c r="V62" s="488" t="s">
        <v>132</v>
      </c>
      <c r="W62" s="488" t="s">
        <v>192</v>
      </c>
      <c r="X62" s="488" t="str">
        <f t="shared" si="3"/>
        <v>Maarten Stekelenburg (k)</v>
      </c>
      <c r="Z62" s="488" t="str">
        <f t="shared" si="6"/>
        <v>Costa Rica</v>
      </c>
      <c r="AA62" s="488" t="str">
        <f t="shared" si="6"/>
        <v>Griekenland</v>
      </c>
    </row>
    <row r="63" spans="2:27">
      <c r="B63" s="513">
        <v>53</v>
      </c>
      <c r="C63" s="514">
        <v>41820</v>
      </c>
      <c r="D63" s="571" t="str">
        <f t="shared" si="4"/>
        <v>Frankrijk</v>
      </c>
      <c r="E63" s="516" t="s">
        <v>9</v>
      </c>
      <c r="F63" s="572" t="str">
        <f t="shared" si="5"/>
        <v>Nigeria</v>
      </c>
      <c r="G63" s="518">
        <v>2</v>
      </c>
      <c r="H63" s="516" t="s">
        <v>9</v>
      </c>
      <c r="I63" s="573">
        <v>0</v>
      </c>
      <c r="J63" s="574">
        <v>1</v>
      </c>
      <c r="K63" s="575" t="s">
        <v>67</v>
      </c>
      <c r="L63" s="575" t="s">
        <v>73</v>
      </c>
      <c r="M63" s="575"/>
      <c r="O63" s="570">
        <v>6</v>
      </c>
      <c r="P63" s="886" t="s">
        <v>212</v>
      </c>
      <c r="Q63" s="886"/>
      <c r="R63" s="886"/>
      <c r="S63" s="886"/>
      <c r="T63" s="887"/>
      <c r="V63" s="488" t="s">
        <v>132</v>
      </c>
      <c r="W63" s="488" t="s">
        <v>193</v>
      </c>
      <c r="X63" s="488" t="str">
        <f t="shared" si="3"/>
        <v>Michel Vorm (k)</v>
      </c>
      <c r="Z63" s="488" t="str">
        <f t="shared" si="6"/>
        <v>Frankrijk</v>
      </c>
      <c r="AA63" s="488" t="str">
        <f t="shared" si="6"/>
        <v>Nigeria</v>
      </c>
    </row>
    <row r="64" spans="2:27">
      <c r="B64" s="538">
        <v>54</v>
      </c>
      <c r="C64" s="539">
        <v>41820</v>
      </c>
      <c r="D64" s="576" t="str">
        <f t="shared" si="4"/>
        <v>Duitsland</v>
      </c>
      <c r="E64" s="541" t="s">
        <v>9</v>
      </c>
      <c r="F64" s="577" t="str">
        <f t="shared" si="5"/>
        <v>Algerije</v>
      </c>
      <c r="G64" s="543">
        <v>0</v>
      </c>
      <c r="H64" s="541" t="s">
        <v>9</v>
      </c>
      <c r="I64" s="578">
        <v>0</v>
      </c>
      <c r="J64" s="579">
        <v>1</v>
      </c>
      <c r="K64" s="575" t="s">
        <v>77</v>
      </c>
      <c r="L64" s="575" t="s">
        <v>83</v>
      </c>
      <c r="M64" s="575"/>
      <c r="O64" s="570">
        <v>7</v>
      </c>
      <c r="P64" s="886" t="s">
        <v>214</v>
      </c>
      <c r="Q64" s="886"/>
      <c r="R64" s="886"/>
      <c r="S64" s="886"/>
      <c r="T64" s="887"/>
      <c r="V64" s="488" t="s">
        <v>133</v>
      </c>
      <c r="W64" s="488" t="s">
        <v>112</v>
      </c>
      <c r="X64" s="488" t="str">
        <f t="shared" si="3"/>
        <v>Joël Veltman (v)</v>
      </c>
      <c r="Z64" s="488" t="str">
        <f t="shared" si="6"/>
        <v>Duitsland</v>
      </c>
      <c r="AA64" s="488" t="str">
        <f t="shared" si="6"/>
        <v>Algerije</v>
      </c>
    </row>
    <row r="65" spans="2:27">
      <c r="B65" s="526">
        <v>55</v>
      </c>
      <c r="C65" s="527">
        <v>41821</v>
      </c>
      <c r="D65" s="571" t="str">
        <f t="shared" si="4"/>
        <v>Argentinië</v>
      </c>
      <c r="E65" s="529" t="s">
        <v>9</v>
      </c>
      <c r="F65" s="581" t="str">
        <f t="shared" si="5"/>
        <v>Zwitserland</v>
      </c>
      <c r="G65" s="531">
        <v>0</v>
      </c>
      <c r="H65" s="529" t="s">
        <v>9</v>
      </c>
      <c r="I65" s="582">
        <v>0</v>
      </c>
      <c r="J65" s="583">
        <v>1</v>
      </c>
      <c r="K65" s="575" t="s">
        <v>72</v>
      </c>
      <c r="L65" s="575" t="s">
        <v>68</v>
      </c>
      <c r="M65" s="575"/>
      <c r="O65" s="570">
        <v>8</v>
      </c>
      <c r="P65" s="886" t="s">
        <v>213</v>
      </c>
      <c r="Q65" s="886"/>
      <c r="R65" s="886"/>
      <c r="S65" s="886"/>
      <c r="T65" s="887"/>
      <c r="V65" s="488" t="s">
        <v>133</v>
      </c>
      <c r="W65" s="488" t="s">
        <v>109</v>
      </c>
      <c r="X65" s="488" t="str">
        <f t="shared" si="3"/>
        <v>Daley Blind (v)</v>
      </c>
      <c r="Z65" s="488" t="str">
        <f t="shared" si="6"/>
        <v>Argentinië</v>
      </c>
      <c r="AA65" s="488" t="str">
        <f t="shared" si="6"/>
        <v>Zwitserland</v>
      </c>
    </row>
    <row r="66" spans="2:27" ht="15.75" thickBot="1">
      <c r="B66" s="554">
        <v>56</v>
      </c>
      <c r="C66" s="555">
        <v>41821</v>
      </c>
      <c r="D66" s="584" t="str">
        <f t="shared" si="4"/>
        <v>België</v>
      </c>
      <c r="E66" s="557" t="s">
        <v>9</v>
      </c>
      <c r="F66" s="585" t="str">
        <f t="shared" si="5"/>
        <v>Verenigde Staten</v>
      </c>
      <c r="G66" s="559">
        <v>0</v>
      </c>
      <c r="H66" s="557" t="s">
        <v>9</v>
      </c>
      <c r="I66" s="586">
        <v>0</v>
      </c>
      <c r="J66" s="587">
        <v>1</v>
      </c>
      <c r="K66" s="575" t="s">
        <v>82</v>
      </c>
      <c r="L66" s="575" t="s">
        <v>78</v>
      </c>
      <c r="M66" s="575"/>
      <c r="O66" s="570">
        <v>9</v>
      </c>
      <c r="P66" s="886" t="s">
        <v>226</v>
      </c>
      <c r="Q66" s="886"/>
      <c r="R66" s="886"/>
      <c r="S66" s="886"/>
      <c r="T66" s="887"/>
      <c r="V66" s="488" t="s">
        <v>133</v>
      </c>
      <c r="W66" s="488" t="s">
        <v>115</v>
      </c>
      <c r="X66" s="488" t="str">
        <f t="shared" si="3"/>
        <v>Daryl Janmaat (v)</v>
      </c>
      <c r="Z66" s="488" t="str">
        <f t="shared" si="6"/>
        <v>België</v>
      </c>
      <c r="AA66" s="488" t="str">
        <f t="shared" si="6"/>
        <v>Verenigde Staten</v>
      </c>
    </row>
    <row r="67" spans="2:27" ht="15.75" thickBot="1">
      <c r="B67" s="489"/>
      <c r="C67" s="562"/>
      <c r="D67" s="490"/>
      <c r="E67" s="489"/>
      <c r="F67" s="490"/>
      <c r="G67" s="489"/>
      <c r="H67" s="489"/>
      <c r="I67" s="489"/>
      <c r="J67" s="489"/>
      <c r="K67" s="489"/>
      <c r="L67" s="489"/>
      <c r="M67" s="489"/>
      <c r="O67" s="570">
        <v>10</v>
      </c>
      <c r="P67" s="886" t="s">
        <v>216</v>
      </c>
      <c r="Q67" s="886"/>
      <c r="R67" s="886"/>
      <c r="S67" s="886"/>
      <c r="T67" s="887"/>
      <c r="V67" s="488" t="s">
        <v>133</v>
      </c>
      <c r="W67" s="488" t="s">
        <v>118</v>
      </c>
      <c r="X67" s="488" t="str">
        <f t="shared" si="3"/>
        <v>Terence Kongolo (v)</v>
      </c>
    </row>
    <row r="68" spans="2:27">
      <c r="B68" s="892" t="s">
        <v>87</v>
      </c>
      <c r="C68" s="893"/>
      <c r="D68" s="893"/>
      <c r="E68" s="893"/>
      <c r="F68" s="893"/>
      <c r="G68" s="893"/>
      <c r="H68" s="893"/>
      <c r="I68" s="893"/>
      <c r="J68" s="563"/>
      <c r="K68" s="489"/>
      <c r="L68" s="489"/>
      <c r="M68" s="489"/>
      <c r="O68" s="570">
        <v>11</v>
      </c>
      <c r="P68" s="886" t="s">
        <v>215</v>
      </c>
      <c r="Q68" s="886"/>
      <c r="R68" s="886"/>
      <c r="S68" s="886"/>
      <c r="T68" s="887"/>
      <c r="V68" s="488" t="s">
        <v>133</v>
      </c>
      <c r="W68" s="488" t="s">
        <v>119</v>
      </c>
      <c r="X68" s="488" t="str">
        <f t="shared" si="3"/>
        <v>Bruno Martins Indi (v)</v>
      </c>
    </row>
    <row r="69" spans="2:27">
      <c r="B69" s="564" t="s">
        <v>1</v>
      </c>
      <c r="C69" s="565" t="s">
        <v>2</v>
      </c>
      <c r="D69" s="566" t="s">
        <v>3</v>
      </c>
      <c r="E69" s="567"/>
      <c r="F69" s="568" t="s">
        <v>4</v>
      </c>
      <c r="G69" s="898" t="s">
        <v>5</v>
      </c>
      <c r="H69" s="899"/>
      <c r="I69" s="900"/>
      <c r="J69" s="569" t="s">
        <v>6</v>
      </c>
      <c r="K69" s="489"/>
      <c r="L69" s="489"/>
      <c r="M69" s="489"/>
      <c r="V69" s="488" t="s">
        <v>133</v>
      </c>
      <c r="W69" s="488" t="s">
        <v>121</v>
      </c>
      <c r="X69" s="488" t="str">
        <f t="shared" si="3"/>
        <v>Stefan de Vrij (v)</v>
      </c>
    </row>
    <row r="70" spans="2:27">
      <c r="B70" s="513">
        <v>57</v>
      </c>
      <c r="C70" s="514">
        <v>41824</v>
      </c>
      <c r="D70" s="588" t="str">
        <f>IF(J63="","Winnaar 53",IF(J63=1,D63,F63))</f>
        <v>Frankrijk</v>
      </c>
      <c r="E70" s="516" t="s">
        <v>9</v>
      </c>
      <c r="F70" s="572" t="str">
        <f>IF(J64="","Winnaar 54",IF(J64=1,D64,F64))</f>
        <v>Duitsland</v>
      </c>
      <c r="G70" s="518">
        <v>0</v>
      </c>
      <c r="H70" s="516" t="s">
        <v>9</v>
      </c>
      <c r="I70" s="573">
        <v>1</v>
      </c>
      <c r="J70" s="574">
        <v>2</v>
      </c>
      <c r="K70" s="489"/>
      <c r="L70" s="489"/>
      <c r="M70" s="489"/>
      <c r="V70" s="488" t="s">
        <v>133</v>
      </c>
      <c r="W70" s="488" t="s">
        <v>126</v>
      </c>
      <c r="X70" s="488" t="str">
        <f t="shared" si="3"/>
        <v>Karim Rekik (v)</v>
      </c>
    </row>
    <row r="71" spans="2:27">
      <c r="B71" s="538">
        <v>58</v>
      </c>
      <c r="C71" s="539">
        <v>41824</v>
      </c>
      <c r="D71" s="589" t="str">
        <f>IF(J59="","Winnaar 49",IF(J59=1,D59,F59))</f>
        <v>Brazilië</v>
      </c>
      <c r="E71" s="541" t="s">
        <v>9</v>
      </c>
      <c r="F71" s="577" t="str">
        <f>IF(J60="","Winnaar 50",IF(J60=1,D60,F60))</f>
        <v>Colombia</v>
      </c>
      <c r="G71" s="543">
        <v>2</v>
      </c>
      <c r="H71" s="541" t="s">
        <v>9</v>
      </c>
      <c r="I71" s="578">
        <v>1</v>
      </c>
      <c r="J71" s="579">
        <v>1</v>
      </c>
      <c r="K71" s="489"/>
      <c r="L71" s="489"/>
      <c r="M71" s="489"/>
      <c r="V71" s="488" t="s">
        <v>133</v>
      </c>
      <c r="W71" s="488" t="s">
        <v>194</v>
      </c>
      <c r="X71" s="488" t="str">
        <f t="shared" si="3"/>
        <v>Ron Vlaar (v)</v>
      </c>
    </row>
    <row r="72" spans="2:27">
      <c r="B72" s="513">
        <v>59</v>
      </c>
      <c r="C72" s="514">
        <v>41825</v>
      </c>
      <c r="D72" s="588" t="str">
        <f>IF(J65="","Winnaar 55",IF(J65=1,D65,F65))</f>
        <v>Argentinië</v>
      </c>
      <c r="E72" s="516" t="s">
        <v>9</v>
      </c>
      <c r="F72" s="572" t="str">
        <f>IF(J66="","Winnaar 56",IF(J66=1,D66,F66))</f>
        <v>België</v>
      </c>
      <c r="G72" s="518">
        <v>1</v>
      </c>
      <c r="H72" s="516" t="s">
        <v>9</v>
      </c>
      <c r="I72" s="573">
        <v>0</v>
      </c>
      <c r="J72" s="574">
        <v>1</v>
      </c>
      <c r="K72" s="489"/>
      <c r="L72" s="489"/>
      <c r="M72" s="489"/>
      <c r="V72" s="488" t="s">
        <v>133</v>
      </c>
      <c r="W72" s="488" t="s">
        <v>195</v>
      </c>
      <c r="X72" s="488" t="str">
        <f t="shared" si="3"/>
        <v>John Heitinga (v)</v>
      </c>
    </row>
    <row r="73" spans="2:27" ht="15.75" thickBot="1">
      <c r="B73" s="554">
        <v>60</v>
      </c>
      <c r="C73" s="555">
        <v>41825</v>
      </c>
      <c r="D73" s="590" t="str">
        <f>IF(J61="","Winnaar 51",IF(J61=1,D61,F61))</f>
        <v>Nederland</v>
      </c>
      <c r="E73" s="557" t="s">
        <v>9</v>
      </c>
      <c r="F73" s="585" t="str">
        <f>IF(J62="","Winnaar 52",IF(J62=1,D62,F62))</f>
        <v>Costa Rica</v>
      </c>
      <c r="G73" s="559">
        <v>0</v>
      </c>
      <c r="H73" s="557" t="s">
        <v>9</v>
      </c>
      <c r="I73" s="586">
        <v>0</v>
      </c>
      <c r="J73" s="587">
        <v>1</v>
      </c>
      <c r="K73" s="489"/>
      <c r="L73" s="489"/>
      <c r="M73" s="489"/>
      <c r="V73" s="488" t="s">
        <v>133</v>
      </c>
      <c r="W73" s="488" t="s">
        <v>196</v>
      </c>
      <c r="X73" s="488" t="str">
        <f t="shared" si="3"/>
        <v>Urby Emanuelson (v)</v>
      </c>
    </row>
    <row r="74" spans="2:27" ht="15.75" thickBot="1">
      <c r="B74" s="489"/>
      <c r="C74" s="562"/>
      <c r="D74" s="490"/>
      <c r="E74" s="489"/>
      <c r="F74" s="490"/>
      <c r="G74" s="489"/>
      <c r="H74" s="489"/>
      <c r="I74" s="489"/>
      <c r="J74" s="489"/>
      <c r="K74" s="489"/>
      <c r="L74" s="489"/>
      <c r="M74" s="489"/>
      <c r="V74" s="488" t="s">
        <v>133</v>
      </c>
      <c r="W74" s="488" t="s">
        <v>197</v>
      </c>
      <c r="X74" s="488" t="str">
        <f t="shared" si="3"/>
        <v>Gregory van der Wiel (v)</v>
      </c>
    </row>
    <row r="75" spans="2:27">
      <c r="B75" s="892" t="s">
        <v>88</v>
      </c>
      <c r="C75" s="893"/>
      <c r="D75" s="893"/>
      <c r="E75" s="893"/>
      <c r="F75" s="893"/>
      <c r="G75" s="893"/>
      <c r="H75" s="893"/>
      <c r="I75" s="893"/>
      <c r="J75" s="563"/>
      <c r="K75" s="489"/>
      <c r="L75" s="489"/>
      <c r="M75" s="489"/>
      <c r="V75" s="488" t="s">
        <v>133</v>
      </c>
      <c r="W75" s="488" t="s">
        <v>198</v>
      </c>
      <c r="X75" s="488" t="str">
        <f t="shared" si="3"/>
        <v>Virgil van Dijk (v)</v>
      </c>
    </row>
    <row r="76" spans="2:27">
      <c r="B76" s="564" t="s">
        <v>1</v>
      </c>
      <c r="C76" s="565" t="s">
        <v>2</v>
      </c>
      <c r="D76" s="566" t="s">
        <v>3</v>
      </c>
      <c r="E76" s="567"/>
      <c r="F76" s="568" t="s">
        <v>4</v>
      </c>
      <c r="G76" s="898" t="s">
        <v>5</v>
      </c>
      <c r="H76" s="899"/>
      <c r="I76" s="900"/>
      <c r="J76" s="569" t="s">
        <v>6</v>
      </c>
      <c r="K76" s="489"/>
      <c r="L76" s="489"/>
      <c r="M76" s="489"/>
      <c r="V76" s="488" t="s">
        <v>133</v>
      </c>
      <c r="W76" s="488" t="s">
        <v>202</v>
      </c>
      <c r="X76" s="488" t="str">
        <f t="shared" si="3"/>
        <v>Alexander Buttner (v)</v>
      </c>
    </row>
    <row r="77" spans="2:27">
      <c r="B77" s="513">
        <v>61</v>
      </c>
      <c r="C77" s="514">
        <v>41828</v>
      </c>
      <c r="D77" s="588" t="str">
        <f>IF(J70="","Winnaar 57",IF(J70=1,D70,F70))</f>
        <v>Duitsland</v>
      </c>
      <c r="E77" s="516" t="s">
        <v>9</v>
      </c>
      <c r="F77" s="572" t="str">
        <f>IF(J71="","Winnaar 58",IF(J71=1,D71,F71))</f>
        <v>Brazilië</v>
      </c>
      <c r="G77" s="518">
        <v>7</v>
      </c>
      <c r="H77" s="516" t="s">
        <v>9</v>
      </c>
      <c r="I77" s="573">
        <v>1</v>
      </c>
      <c r="J77" s="574">
        <v>1</v>
      </c>
      <c r="K77" s="489"/>
      <c r="L77" s="489"/>
      <c r="M77" s="489"/>
      <c r="V77" s="488" t="s">
        <v>134</v>
      </c>
      <c r="W77" s="488" t="s">
        <v>203</v>
      </c>
      <c r="X77" s="488" t="str">
        <f t="shared" si="3"/>
        <v>Marco van Ginkel (m)</v>
      </c>
    </row>
    <row r="78" spans="2:27" ht="15.75" thickBot="1">
      <c r="B78" s="554">
        <v>62</v>
      </c>
      <c r="C78" s="555">
        <v>41829</v>
      </c>
      <c r="D78" s="590" t="str">
        <f>IF(J72="","Winnaar 59",IF(J72=1,D72,F72))</f>
        <v>Argentinië</v>
      </c>
      <c r="E78" s="557" t="s">
        <v>9</v>
      </c>
      <c r="F78" s="585" t="str">
        <f>IF(J73="","Winnaar 60",IF(J73=1,D73,F73))</f>
        <v>Nederland</v>
      </c>
      <c r="G78" s="559">
        <v>0</v>
      </c>
      <c r="H78" s="557" t="s">
        <v>9</v>
      </c>
      <c r="I78" s="586">
        <v>0</v>
      </c>
      <c r="J78" s="587">
        <v>1</v>
      </c>
      <c r="K78" s="489"/>
      <c r="L78" s="489"/>
      <c r="M78" s="489"/>
      <c r="V78" s="488" t="s">
        <v>134</v>
      </c>
      <c r="W78" s="488" t="s">
        <v>199</v>
      </c>
      <c r="X78" s="488" t="str">
        <f t="shared" si="3"/>
        <v>Leroy Fer (m)</v>
      </c>
    </row>
    <row r="79" spans="2:27" ht="15.75" thickBot="1">
      <c r="B79" s="489"/>
      <c r="C79" s="562"/>
      <c r="D79" s="490"/>
      <c r="E79" s="489"/>
      <c r="F79" s="490"/>
      <c r="G79" s="489"/>
      <c r="H79" s="489"/>
      <c r="I79" s="489"/>
      <c r="J79" s="489"/>
      <c r="K79" s="489"/>
      <c r="L79" s="489"/>
      <c r="M79" s="489"/>
      <c r="V79" s="488" t="s">
        <v>134</v>
      </c>
      <c r="W79" s="488" t="s">
        <v>114</v>
      </c>
      <c r="X79" s="488" t="str">
        <f t="shared" si="3"/>
        <v>Jordy Clasie (m)</v>
      </c>
    </row>
    <row r="80" spans="2:27">
      <c r="B80" s="892" t="s">
        <v>89</v>
      </c>
      <c r="C80" s="893"/>
      <c r="D80" s="893"/>
      <c r="E80" s="893"/>
      <c r="F80" s="893"/>
      <c r="G80" s="893"/>
      <c r="H80" s="893"/>
      <c r="I80" s="893"/>
      <c r="J80" s="563"/>
      <c r="K80" s="489"/>
      <c r="L80" s="489"/>
      <c r="M80" s="489"/>
      <c r="V80" s="488" t="s">
        <v>134</v>
      </c>
      <c r="W80" s="488" t="s">
        <v>117</v>
      </c>
      <c r="X80" s="488" t="str">
        <f t="shared" si="3"/>
        <v>Davy Klaassen (m)</v>
      </c>
    </row>
    <row r="81" spans="2:24">
      <c r="B81" s="564" t="s">
        <v>1</v>
      </c>
      <c r="C81" s="565" t="s">
        <v>2</v>
      </c>
      <c r="D81" s="566" t="s">
        <v>3</v>
      </c>
      <c r="E81" s="567"/>
      <c r="F81" s="568" t="s">
        <v>4</v>
      </c>
      <c r="G81" s="898" t="s">
        <v>5</v>
      </c>
      <c r="H81" s="899"/>
      <c r="I81" s="900"/>
      <c r="J81" s="569" t="s">
        <v>6</v>
      </c>
      <c r="K81" s="489"/>
      <c r="L81" s="489"/>
      <c r="M81" s="489"/>
      <c r="V81" s="488" t="s">
        <v>134</v>
      </c>
      <c r="W81" s="488" t="s">
        <v>120</v>
      </c>
      <c r="X81" s="488" t="str">
        <f t="shared" si="3"/>
        <v>Tonny Trindade de Vilhena (m)</v>
      </c>
    </row>
    <row r="82" spans="2:24" ht="15.75" thickBot="1">
      <c r="B82" s="591">
        <v>63</v>
      </c>
      <c r="C82" s="592">
        <v>41832</v>
      </c>
      <c r="D82" s="593" t="str">
        <f>IF(J77="","Verliezer 61",IF(J77=1,F77,D77))</f>
        <v>Brazilië</v>
      </c>
      <c r="E82" s="594" t="s">
        <v>9</v>
      </c>
      <c r="F82" s="595" t="str">
        <f>IF(J78="","Verliezer 62",IF(J78=1,F78,D78))</f>
        <v>Nederland</v>
      </c>
      <c r="G82" s="596">
        <v>0</v>
      </c>
      <c r="H82" s="594" t="s">
        <v>9</v>
      </c>
      <c r="I82" s="597">
        <v>3</v>
      </c>
      <c r="J82" s="598">
        <v>2</v>
      </c>
      <c r="K82" s="489"/>
      <c r="L82" s="489"/>
      <c r="M82" s="489"/>
      <c r="V82" s="488" t="s">
        <v>134</v>
      </c>
      <c r="W82" s="488" t="s">
        <v>125</v>
      </c>
      <c r="X82" s="488" t="str">
        <f t="shared" si="3"/>
        <v>Georginio Wijnaldum (m)</v>
      </c>
    </row>
    <row r="83" spans="2:24" ht="15.75" thickBot="1">
      <c r="B83" s="489"/>
      <c r="C83" s="562"/>
      <c r="D83" s="490"/>
      <c r="E83" s="489"/>
      <c r="F83" s="490"/>
      <c r="G83" s="489"/>
      <c r="H83" s="489"/>
      <c r="I83" s="489"/>
      <c r="J83" s="489"/>
      <c r="K83" s="489"/>
      <c r="L83" s="489"/>
      <c r="M83" s="489"/>
      <c r="V83" s="488" t="s">
        <v>134</v>
      </c>
      <c r="W83" s="488" t="s">
        <v>136</v>
      </c>
      <c r="X83" s="488" t="str">
        <f t="shared" si="3"/>
        <v>Rafael vd Vaart (m)</v>
      </c>
    </row>
    <row r="84" spans="2:24">
      <c r="B84" s="892" t="s">
        <v>90</v>
      </c>
      <c r="C84" s="893"/>
      <c r="D84" s="893"/>
      <c r="E84" s="893"/>
      <c r="F84" s="893"/>
      <c r="G84" s="893"/>
      <c r="H84" s="893"/>
      <c r="I84" s="893"/>
      <c r="J84" s="563"/>
      <c r="K84" s="489"/>
      <c r="L84" s="489"/>
      <c r="M84" s="489"/>
      <c r="V84" s="488" t="s">
        <v>134</v>
      </c>
      <c r="W84" s="488" t="s">
        <v>137</v>
      </c>
      <c r="X84" s="488" t="str">
        <f t="shared" si="3"/>
        <v>Wesley Sneijder (m)</v>
      </c>
    </row>
    <row r="85" spans="2:24">
      <c r="B85" s="564" t="s">
        <v>1</v>
      </c>
      <c r="C85" s="565" t="s">
        <v>2</v>
      </c>
      <c r="D85" s="566" t="s">
        <v>3</v>
      </c>
      <c r="E85" s="567"/>
      <c r="F85" s="568" t="s">
        <v>4</v>
      </c>
      <c r="G85" s="898" t="s">
        <v>5</v>
      </c>
      <c r="H85" s="899"/>
      <c r="I85" s="900"/>
      <c r="J85" s="569" t="s">
        <v>6</v>
      </c>
      <c r="K85" s="489"/>
      <c r="L85" s="489"/>
      <c r="M85" s="489"/>
      <c r="V85" s="488" t="s">
        <v>134</v>
      </c>
      <c r="W85" s="488" t="s">
        <v>138</v>
      </c>
      <c r="X85" s="488" t="str">
        <f t="shared" si="3"/>
        <v>Jonathan de Guzman (m)</v>
      </c>
    </row>
    <row r="86" spans="2:24" ht="15.75" thickBot="1">
      <c r="B86" s="591">
        <v>64</v>
      </c>
      <c r="C86" s="592">
        <v>41833</v>
      </c>
      <c r="D86" s="593" t="str">
        <f>IF(J77="","Winnaar 61",IF(J77=1,D77,F77))</f>
        <v>Duitsland</v>
      </c>
      <c r="E86" s="594" t="s">
        <v>9</v>
      </c>
      <c r="F86" s="595" t="str">
        <f>IF(J78="","Winnaar 62",IF(J78=1,D78,F78))</f>
        <v>Argentinië</v>
      </c>
      <c r="G86" s="596">
        <v>0</v>
      </c>
      <c r="H86" s="594" t="s">
        <v>9</v>
      </c>
      <c r="I86" s="597">
        <v>0</v>
      </c>
      <c r="J86" s="598">
        <v>1</v>
      </c>
      <c r="K86" s="489"/>
      <c r="L86" s="489"/>
      <c r="M86" s="489"/>
      <c r="V86" s="488" t="s">
        <v>134</v>
      </c>
      <c r="W86" s="488" t="s">
        <v>139</v>
      </c>
      <c r="X86" s="488" t="str">
        <f t="shared" si="3"/>
        <v>Nigel de Jong (m)</v>
      </c>
    </row>
    <row r="87" spans="2:24">
      <c r="B87" s="489"/>
      <c r="C87" s="562"/>
      <c r="D87" s="490"/>
      <c r="E87" s="489"/>
      <c r="F87" s="490"/>
      <c r="G87" s="489"/>
      <c r="H87" s="489"/>
      <c r="I87" s="489"/>
      <c r="J87" s="489"/>
      <c r="K87" s="489"/>
      <c r="L87" s="489"/>
      <c r="M87" s="489"/>
      <c r="V87" s="488" t="s">
        <v>135</v>
      </c>
      <c r="W87" s="488" t="s">
        <v>205</v>
      </c>
      <c r="X87" s="488" t="str">
        <f t="shared" si="3"/>
        <v>Ricky van Wolfswinkel (a)</v>
      </c>
    </row>
    <row r="88" spans="2:24">
      <c r="B88" s="489"/>
      <c r="C88" s="562"/>
      <c r="D88" s="490"/>
      <c r="E88" s="489"/>
      <c r="F88" s="490"/>
      <c r="G88" s="489"/>
      <c r="H88" s="489"/>
      <c r="I88" s="489"/>
      <c r="J88" s="489"/>
      <c r="K88" s="489"/>
      <c r="L88" s="489"/>
      <c r="M88" s="489"/>
      <c r="V88" s="488" t="s">
        <v>135</v>
      </c>
      <c r="W88" s="488" t="s">
        <v>204</v>
      </c>
      <c r="X88" s="488" t="str">
        <f t="shared" si="3"/>
        <v>Klaas-Jan Huntelaar (a)</v>
      </c>
    </row>
    <row r="89" spans="2:24" ht="20.25">
      <c r="C89" s="903" t="s">
        <v>101</v>
      </c>
      <c r="D89" s="889"/>
      <c r="E89" s="890" t="str">
        <f>IF(J86=1,D86,IF(J86=2,F86,"Wie zal het worden??"))</f>
        <v>Duitsland</v>
      </c>
      <c r="F89" s="890"/>
      <c r="G89" s="890"/>
      <c r="H89" s="890"/>
      <c r="I89" s="890"/>
      <c r="J89" s="890"/>
      <c r="K89" s="489"/>
      <c r="L89" s="489"/>
      <c r="M89" s="489"/>
      <c r="V89" s="488" t="s">
        <v>135</v>
      </c>
      <c r="W89" s="488" t="s">
        <v>201</v>
      </c>
      <c r="X89" s="488" t="str">
        <f t="shared" si="3"/>
        <v>Jermain Lens (a)</v>
      </c>
    </row>
    <row r="90" spans="2:24">
      <c r="C90" s="888">
        <v>2</v>
      </c>
      <c r="D90" s="889"/>
      <c r="E90" s="891" t="str">
        <f>IF(J86=2,D86,IF(J86=1,F86,"Wie wordt 2de??"))</f>
        <v>Argentinië</v>
      </c>
      <c r="F90" s="891"/>
      <c r="G90" s="891"/>
      <c r="H90" s="891"/>
      <c r="I90" s="891"/>
      <c r="J90" s="891"/>
      <c r="V90" s="488" t="s">
        <v>135</v>
      </c>
      <c r="W90" s="488" t="s">
        <v>200</v>
      </c>
      <c r="X90" s="488" t="str">
        <f t="shared" si="3"/>
        <v>Dirk Kuyt (a)</v>
      </c>
    </row>
    <row r="91" spans="2:24">
      <c r="C91" s="888">
        <v>3</v>
      </c>
      <c r="D91" s="889"/>
      <c r="E91" s="891" t="str">
        <f>IF(J82=1,D82,IF(J82=2,F82,"Wie wordt 3de??"))</f>
        <v>Nederland</v>
      </c>
      <c r="F91" s="891"/>
      <c r="G91" s="891"/>
      <c r="H91" s="891"/>
      <c r="I91" s="891"/>
      <c r="J91" s="891"/>
      <c r="V91" s="488" t="s">
        <v>135</v>
      </c>
      <c r="W91" s="488" t="s">
        <v>128</v>
      </c>
      <c r="X91" s="488" t="str">
        <f t="shared" si="3"/>
        <v>Jürgen Locadia (a)</v>
      </c>
    </row>
    <row r="92" spans="2:24">
      <c r="C92" s="888">
        <v>4</v>
      </c>
      <c r="D92" s="889"/>
      <c r="E92" s="891" t="str">
        <f>IF(J82=2,D82,IF(J82=1,F82,"Wie wordt 4de??"))</f>
        <v>Brazilië</v>
      </c>
      <c r="F92" s="891"/>
      <c r="G92" s="891"/>
      <c r="H92" s="891"/>
      <c r="I92" s="891"/>
      <c r="J92" s="891"/>
      <c r="V92" s="488" t="s">
        <v>135</v>
      </c>
      <c r="W92" s="488" t="s">
        <v>127</v>
      </c>
      <c r="X92" s="488" t="str">
        <f t="shared" si="3"/>
        <v>Memphis Depay (a)</v>
      </c>
    </row>
    <row r="93" spans="2:24">
      <c r="V93" s="488" t="s">
        <v>135</v>
      </c>
      <c r="W93" s="488" t="s">
        <v>123</v>
      </c>
      <c r="X93" s="488" t="str">
        <f t="shared" si="3"/>
        <v>Quincy Promes (a)</v>
      </c>
    </row>
    <row r="94" spans="2:24">
      <c r="V94" s="488" t="s">
        <v>135</v>
      </c>
      <c r="W94" s="488" t="s">
        <v>122</v>
      </c>
      <c r="X94" s="488" t="str">
        <f t="shared" si="3"/>
        <v>Luc Castaignos (a)</v>
      </c>
    </row>
    <row r="95" spans="2:24">
      <c r="V95" s="488" t="s">
        <v>135</v>
      </c>
      <c r="W95" s="488" t="s">
        <v>113</v>
      </c>
      <c r="X95" s="488" t="str">
        <f t="shared" si="3"/>
        <v>Jean-Paul Boëtius (a)</v>
      </c>
    </row>
    <row r="96" spans="2:24">
      <c r="V96" s="488" t="s">
        <v>135</v>
      </c>
      <c r="W96" s="488" t="s">
        <v>129</v>
      </c>
      <c r="X96" s="488" t="str">
        <f t="shared" si="3"/>
        <v>Luciano Narsingh (a)</v>
      </c>
    </row>
    <row r="97" spans="22:24">
      <c r="V97" s="488" t="s">
        <v>135</v>
      </c>
      <c r="W97" s="488" t="s">
        <v>130</v>
      </c>
      <c r="X97" s="488" t="str">
        <f t="shared" si="3"/>
        <v>Robin van Persie (a)</v>
      </c>
    </row>
    <row r="98" spans="22:24">
      <c r="V98" s="488" t="s">
        <v>135</v>
      </c>
      <c r="W98" s="488" t="s">
        <v>131</v>
      </c>
      <c r="X98" s="488" t="str">
        <f t="shared" si="3"/>
        <v>Arjen Robben (a)</v>
      </c>
    </row>
  </sheetData>
  <sheetProtection password="E4E1" sheet="1" objects="1" scenarios="1"/>
  <mergeCells count="32">
    <mergeCell ref="P59:T59"/>
    <mergeCell ref="P60:T60"/>
    <mergeCell ref="P61:T61"/>
    <mergeCell ref="B84:I84"/>
    <mergeCell ref="C89:D89"/>
    <mergeCell ref="B80:I80"/>
    <mergeCell ref="G81:I81"/>
    <mergeCell ref="B68:I68"/>
    <mergeCell ref="G69:I69"/>
    <mergeCell ref="B75:I75"/>
    <mergeCell ref="G76:I76"/>
    <mergeCell ref="G85:I85"/>
    <mergeCell ref="P67:T67"/>
    <mergeCell ref="P68:T68"/>
    <mergeCell ref="P62:T62"/>
    <mergeCell ref="P63:T63"/>
    <mergeCell ref="B6:J6"/>
    <mergeCell ref="G7:I7"/>
    <mergeCell ref="B57:I57"/>
    <mergeCell ref="G58:I58"/>
    <mergeCell ref="O57:T57"/>
    <mergeCell ref="P58:T58"/>
    <mergeCell ref="P64:T64"/>
    <mergeCell ref="P65:T65"/>
    <mergeCell ref="P66:T66"/>
    <mergeCell ref="C92:D92"/>
    <mergeCell ref="E89:J89"/>
    <mergeCell ref="E90:J90"/>
    <mergeCell ref="E91:J91"/>
    <mergeCell ref="E92:J92"/>
    <mergeCell ref="C91:D91"/>
    <mergeCell ref="C90:D90"/>
  </mergeCells>
  <phoneticPr fontId="24" type="noConversion"/>
  <dataValidations count="10">
    <dataValidation type="list" allowBlank="1" showInputMessage="1" showErrorMessage="1" sqref="T51:T54">
      <formula1>$W$51:$W$54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P58:T68">
      <formula1>$X$58:$X$98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>
  <dimension ref="B1:BB98"/>
  <sheetViews>
    <sheetView topLeftCell="A37" zoomScale="70" zoomScaleNormal="70" workbookViewId="0">
      <selection activeCell="P58" sqref="P58:T68"/>
    </sheetView>
  </sheetViews>
  <sheetFormatPr defaultRowHeight="15" outlineLevelCol="2"/>
  <cols>
    <col min="1" max="1" width="3.42578125" customWidth="1"/>
    <col min="2" max="2" width="3.5703125" bestFit="1" customWidth="1"/>
    <col min="3" max="3" width="11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327</v>
      </c>
      <c r="E3" s="145"/>
      <c r="F3" s="145"/>
      <c r="N3" t="str">
        <f>D3</f>
        <v>Jasper S. (introducee Marcel S.)</v>
      </c>
      <c r="O3" s="144">
        <f>SUM(P3:S3)</f>
        <v>394</v>
      </c>
      <c r="P3" s="109">
        <f>SUM(Y8:Y86)</f>
        <v>217</v>
      </c>
      <c r="Q3" s="109">
        <f>SUM(AM4:AM55)</f>
        <v>140</v>
      </c>
      <c r="R3" s="109">
        <f>SUM(AP89:AP92)</f>
        <v>10</v>
      </c>
      <c r="S3" s="109">
        <f>SUM(BB58:BB69)</f>
        <v>27</v>
      </c>
      <c r="T3" s="109">
        <f>COUNTIF(AF8:AF86,10)</f>
        <v>7</v>
      </c>
      <c r="U3" s="109" t="str">
        <f>E89</f>
        <v>Brazilië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M6" s="352"/>
      <c r="N6" s="352"/>
      <c r="O6" s="392"/>
      <c r="P6" s="393"/>
      <c r="Q6" s="393"/>
      <c r="R6" s="393"/>
      <c r="S6" s="393"/>
      <c r="T6" s="393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18" t="s">
        <v>3</v>
      </c>
      <c r="E7" s="419"/>
      <c r="F7" s="420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M7" s="352"/>
      <c r="N7" s="352"/>
      <c r="O7" s="353"/>
      <c r="P7" s="393"/>
      <c r="Q7" s="393"/>
      <c r="R7" s="393"/>
      <c r="S7" s="393"/>
      <c r="T7" s="393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3</v>
      </c>
      <c r="H8" s="360" t="s">
        <v>9</v>
      </c>
      <c r="I8" s="439">
        <v>0</v>
      </c>
      <c r="J8" s="362">
        <f>IF(I8="","",IF(G8&gt;I8,1,IF(G8&lt;I8,2,3)))</f>
        <v>1</v>
      </c>
      <c r="K8" s="363">
        <f>IF(I8="","",IF($G8&gt;$I8,3,IF($G8=$I8,1,0)))</f>
        <v>3</v>
      </c>
      <c r="L8" s="363">
        <f>IF(I8="","",IF($G8&lt;$I8,3,IF($G8=$I8,1,0)))</f>
        <v>0</v>
      </c>
      <c r="M8" s="352"/>
      <c r="N8" s="352"/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40"/>
      <c r="V8" s="40"/>
      <c r="W8" s="40"/>
      <c r="Y8" s="109">
        <f>AF8</f>
        <v>6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6</v>
      </c>
      <c r="AG8" s="108">
        <f t="shared" ref="AG8:AG55" si="0">IF(AC8="",0,(IF(G8=AC8,1,0)))</f>
        <v>1</v>
      </c>
      <c r="AH8" s="108">
        <f t="shared" ref="AH8:AH55" si="1">IF(AD8="",0,(IF(I8=AD8,1,0)))</f>
        <v>0</v>
      </c>
      <c r="AI8" s="108">
        <f>IF(AND(AG8=1,AH8=1),10,0)</f>
        <v>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1</v>
      </c>
      <c r="H9" s="367" t="s">
        <v>9</v>
      </c>
      <c r="I9" s="440">
        <v>1</v>
      </c>
      <c r="J9" s="369">
        <f t="shared" ref="J9:J55" si="5">IF(I9="","",IF(G9&gt;I9,1,IF(G9&lt;I9,2,3)))</f>
        <v>3</v>
      </c>
      <c r="K9" s="363">
        <f t="shared" ref="K9:K55" si="6">IF(I9="","",IF($G9&gt;$I9,3,IF($G9=$I9,1,0)))</f>
        <v>1</v>
      </c>
      <c r="L9" s="363">
        <f t="shared" ref="L9:L55" si="7">IF(I9="","",IF($G9&lt;$I9,3,IF($G9=$I9,1,0)))</f>
        <v>1</v>
      </c>
      <c r="M9" s="352"/>
      <c r="N9" s="352"/>
      <c r="O9" s="394" t="s">
        <v>8</v>
      </c>
      <c r="P9" s="395">
        <f>SUMIF($D$8:$D$55,$O9,$G$8:$G$55)+SUMIF($F$8:$F$55,$O9,$I$8:$I$55)</f>
        <v>11</v>
      </c>
      <c r="Q9" s="395">
        <f>SUMIF($D$8:$D$55,$O9,$I$8:$I$55)+SUMIF($F$8:$F$55,$O9,$G$8:$G$55)</f>
        <v>3</v>
      </c>
      <c r="R9" s="396">
        <f>P9-Q9</f>
        <v>8</v>
      </c>
      <c r="S9" s="397">
        <f>SUMIF($D$8:$D$55,$O9,$K$8:$K$55)+SUMIF($F$8:$F$55,$O9,$L$8:$L$55)</f>
        <v>9</v>
      </c>
      <c r="T9" s="444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1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1</v>
      </c>
      <c r="AG9" s="108">
        <f t="shared" si="0"/>
        <v>1</v>
      </c>
      <c r="AH9" s="108">
        <f t="shared" si="1"/>
        <v>0</v>
      </c>
      <c r="AI9" s="108">
        <f t="shared" ref="AI9:AI55" si="10">IF(AND(AG9=1,AH9=1),10,0)</f>
        <v>0</v>
      </c>
      <c r="AJ9" s="108">
        <f t="shared" si="2"/>
        <v>0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1</v>
      </c>
      <c r="H10" s="373" t="s">
        <v>9</v>
      </c>
      <c r="I10" s="441">
        <v>2</v>
      </c>
      <c r="J10" s="375">
        <f t="shared" si="5"/>
        <v>2</v>
      </c>
      <c r="K10" s="363">
        <f t="shared" si="6"/>
        <v>0</v>
      </c>
      <c r="L10" s="363">
        <f t="shared" si="7"/>
        <v>3</v>
      </c>
      <c r="M10" s="352"/>
      <c r="N10" s="352"/>
      <c r="O10" s="398" t="s">
        <v>10</v>
      </c>
      <c r="P10" s="399">
        <f>SUMIF($D$8:$D$55,$O10,$G$8:$G$55)+SUMIF($F$8:$F$55,$O10,$I$8:$I$55)</f>
        <v>2</v>
      </c>
      <c r="Q10" s="399">
        <f>SUMIF($D$8:$D$55,$O10,$I$8:$I$55)+SUMIF($F$8:$F$55,$O10,$G$8:$G$55)</f>
        <v>5</v>
      </c>
      <c r="R10" s="399">
        <f>P10-Q10</f>
        <v>-3</v>
      </c>
      <c r="S10" s="400">
        <f>SUMIF($D$8:$D$55,$O10,$K$8:$K$55)+SUMIF($F$8:$F$55,$O10,$L$8:$L$55)</f>
        <v>3</v>
      </c>
      <c r="T10" s="445" t="s">
        <v>47</v>
      </c>
      <c r="U10" s="40"/>
      <c r="V10" s="40" t="str">
        <f>O10</f>
        <v>Kroatië</v>
      </c>
      <c r="W10" s="40" t="s">
        <v>49</v>
      </c>
      <c r="Y10" s="109">
        <f t="shared" si="8"/>
        <v>6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6</v>
      </c>
      <c r="AG10" s="108">
        <f t="shared" si="0"/>
        <v>1</v>
      </c>
      <c r="AH10" s="108">
        <f t="shared" si="1"/>
        <v>0</v>
      </c>
      <c r="AI10" s="108">
        <f t="shared" si="10"/>
        <v>0</v>
      </c>
      <c r="AJ10" s="108">
        <f t="shared" si="2"/>
        <v>0</v>
      </c>
      <c r="AK10" s="108">
        <f t="shared" si="3"/>
        <v>5</v>
      </c>
      <c r="AL10" s="108">
        <f t="shared" si="4"/>
        <v>0</v>
      </c>
      <c r="AM10" s="120">
        <f>AO10</f>
        <v>10</v>
      </c>
      <c r="AN10" s="117" t="s">
        <v>10</v>
      </c>
      <c r="AO10" s="115">
        <f>IF(Uitslag!T10="",0,IF(T10=Uitslag!T10,10,0))</f>
        <v>10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2</v>
      </c>
      <c r="H11" s="379" t="s">
        <v>9</v>
      </c>
      <c r="I11" s="442">
        <v>0</v>
      </c>
      <c r="J11" s="381">
        <f t="shared" si="5"/>
        <v>1</v>
      </c>
      <c r="K11" s="363">
        <f t="shared" si="6"/>
        <v>3</v>
      </c>
      <c r="L11" s="363">
        <f t="shared" si="7"/>
        <v>0</v>
      </c>
      <c r="M11" s="352"/>
      <c r="N11" s="352"/>
      <c r="O11" s="398" t="s">
        <v>11</v>
      </c>
      <c r="P11" s="399">
        <f>SUMIF($D$8:$D$55,$O11,$G$8:$G$55)+SUMIF($F$8:$F$55,$O11,$I$8:$I$55)</f>
        <v>3</v>
      </c>
      <c r="Q11" s="399">
        <f>SUMIF($D$8:$D$55,$O11,$I$8:$I$55)+SUMIF($F$8:$F$55,$O11,$G$8:$G$55)</f>
        <v>7</v>
      </c>
      <c r="R11" s="399">
        <f>P11-Q11</f>
        <v>-4</v>
      </c>
      <c r="S11" s="400">
        <f>SUMIF($D$8:$D$55,$O11,$K$8:$K$55)+SUMIF($F$8:$F$55,$O11,$L$8:$L$55)</f>
        <v>1</v>
      </c>
      <c r="T11" s="445" t="s">
        <v>50</v>
      </c>
      <c r="U11" s="40"/>
      <c r="V11" s="40" t="str">
        <f>O11</f>
        <v>Mexico</v>
      </c>
      <c r="W11" s="40" t="s">
        <v>47</v>
      </c>
      <c r="Y11" s="109">
        <f t="shared" si="8"/>
        <v>5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5</v>
      </c>
      <c r="AG11" s="108">
        <f t="shared" si="0"/>
        <v>0</v>
      </c>
      <c r="AH11" s="108">
        <f t="shared" si="1"/>
        <v>0</v>
      </c>
      <c r="AI11" s="108">
        <f t="shared" si="10"/>
        <v>0</v>
      </c>
      <c r="AJ11" s="108">
        <f t="shared" si="2"/>
        <v>5</v>
      </c>
      <c r="AK11" s="108">
        <f t="shared" si="3"/>
        <v>0</v>
      </c>
      <c r="AL11" s="108">
        <f t="shared" si="4"/>
        <v>0</v>
      </c>
      <c r="AM11" s="120">
        <f>AO11</f>
        <v>0</v>
      </c>
      <c r="AN11" s="117" t="s">
        <v>11</v>
      </c>
      <c r="AO11" s="115">
        <f>IF(Uitslag!T11="",0,IF(T11=Uitslag!T11,10,0))</f>
        <v>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1</v>
      </c>
      <c r="H12" s="367" t="s">
        <v>9</v>
      </c>
      <c r="I12" s="440">
        <v>1</v>
      </c>
      <c r="J12" s="369">
        <f t="shared" si="5"/>
        <v>3</v>
      </c>
      <c r="K12" s="363">
        <f t="shared" si="6"/>
        <v>1</v>
      </c>
      <c r="L12" s="363">
        <f t="shared" si="7"/>
        <v>1</v>
      </c>
      <c r="M12" s="352"/>
      <c r="N12" s="352"/>
      <c r="O12" s="401" t="s">
        <v>12</v>
      </c>
      <c r="P12" s="402">
        <f>SUMIF($D$8:$D$55,$O12,$G$8:$G$55)+SUMIF($F$8:$F$55,$O12,$I$8:$I$55)</f>
        <v>4</v>
      </c>
      <c r="Q12" s="402">
        <f>SUMIF($D$8:$D$55,$O12,$I$8:$I$55)+SUMIF($F$8:$F$55,$O12,$G$8:$G$55)</f>
        <v>5</v>
      </c>
      <c r="R12" s="402">
        <f>P12-Q12</f>
        <v>-1</v>
      </c>
      <c r="S12" s="403">
        <f>SUMIF($D$8:$D$55,$O12,$K$8:$K$55)+SUMIF($F$8:$F$55,$O12,$L$8:$L$55)</f>
        <v>4</v>
      </c>
      <c r="T12" s="446" t="s">
        <v>49</v>
      </c>
      <c r="U12" s="40"/>
      <c r="V12" s="40" t="str">
        <f>O12</f>
        <v>Kameroen</v>
      </c>
      <c r="W12" s="40" t="s">
        <v>50</v>
      </c>
      <c r="Y12" s="109">
        <f t="shared" si="8"/>
        <v>0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0</v>
      </c>
      <c r="AG12" s="108">
        <f t="shared" si="0"/>
        <v>0</v>
      </c>
      <c r="AH12" s="108">
        <f t="shared" si="1"/>
        <v>0</v>
      </c>
      <c r="AI12" s="108">
        <f t="shared" si="10"/>
        <v>0</v>
      </c>
      <c r="AJ12" s="108">
        <f t="shared" si="2"/>
        <v>0</v>
      </c>
      <c r="AK12" s="108">
        <f t="shared" si="3"/>
        <v>0</v>
      </c>
      <c r="AL12" s="108">
        <f t="shared" si="4"/>
        <v>0</v>
      </c>
      <c r="AM12" s="120">
        <f>AO12</f>
        <v>0</v>
      </c>
      <c r="AN12" s="118" t="s">
        <v>12</v>
      </c>
      <c r="AO12" s="115">
        <f>IF(Uitslag!T12="",0,IF(T12=Uitslag!T12,10,0))</f>
        <v>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2</v>
      </c>
      <c r="H13" s="373" t="s">
        <v>9</v>
      </c>
      <c r="I13" s="441">
        <v>1</v>
      </c>
      <c r="J13" s="375">
        <f t="shared" si="5"/>
        <v>1</v>
      </c>
      <c r="K13" s="363">
        <f t="shared" si="6"/>
        <v>3</v>
      </c>
      <c r="L13" s="363">
        <f t="shared" si="7"/>
        <v>0</v>
      </c>
      <c r="M13" s="352"/>
      <c r="N13" s="352"/>
      <c r="O13" s="392"/>
      <c r="P13" s="393"/>
      <c r="Q13" s="393"/>
      <c r="R13" s="393"/>
      <c r="S13" s="393"/>
      <c r="T13" s="393"/>
      <c r="U13" s="40"/>
      <c r="V13" s="40"/>
      <c r="W13" s="40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0"/>
        <v>0</v>
      </c>
      <c r="AH13" s="108">
        <f t="shared" si="1"/>
        <v>0</v>
      </c>
      <c r="AI13" s="108">
        <f t="shared" si="10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40"/>
      <c r="AO13" s="41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1</v>
      </c>
      <c r="H14" s="373" t="s">
        <v>9</v>
      </c>
      <c r="I14" s="441">
        <v>2</v>
      </c>
      <c r="J14" s="375">
        <f t="shared" si="5"/>
        <v>2</v>
      </c>
      <c r="K14" s="363">
        <f t="shared" si="6"/>
        <v>0</v>
      </c>
      <c r="L14" s="363">
        <f t="shared" si="7"/>
        <v>3</v>
      </c>
      <c r="M14" s="352"/>
      <c r="N14" s="352"/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40"/>
      <c r="V14" s="40"/>
      <c r="W14" s="40"/>
      <c r="Y14" s="109">
        <f t="shared" si="8"/>
        <v>10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10</v>
      </c>
      <c r="AG14" s="108">
        <f t="shared" si="0"/>
        <v>1</v>
      </c>
      <c r="AH14" s="108">
        <f t="shared" si="1"/>
        <v>1</v>
      </c>
      <c r="AI14" s="108">
        <f t="shared" si="10"/>
        <v>10</v>
      </c>
      <c r="AJ14" s="108">
        <f t="shared" si="2"/>
        <v>0</v>
      </c>
      <c r="AK14" s="108">
        <f t="shared" si="3"/>
        <v>5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2</v>
      </c>
      <c r="H15" s="379" t="s">
        <v>9</v>
      </c>
      <c r="I15" s="442">
        <v>1</v>
      </c>
      <c r="J15" s="381">
        <f t="shared" si="5"/>
        <v>1</v>
      </c>
      <c r="K15" s="363">
        <f t="shared" si="6"/>
        <v>3</v>
      </c>
      <c r="L15" s="363">
        <f t="shared" si="7"/>
        <v>0</v>
      </c>
      <c r="M15" s="352"/>
      <c r="N15" s="352"/>
      <c r="O15" s="394" t="s">
        <v>13</v>
      </c>
      <c r="P15" s="395">
        <f>SUMIF($D$8:$D$55,$O15,$G$8:$G$55)+SUMIF($F$8:$F$55,$O15,$I$8:$I$55)</f>
        <v>7</v>
      </c>
      <c r="Q15" s="395">
        <f>SUMIF($D$8:$D$55,$O15,$I$8:$I$55)+SUMIF($F$8:$F$55,$O15,$G$8:$G$55)</f>
        <v>6</v>
      </c>
      <c r="R15" s="396">
        <f>P15-Q15</f>
        <v>1</v>
      </c>
      <c r="S15" s="397">
        <f>SUMIF($D$8:$D$55,$O15,$K$8:$K$55)+SUMIF($F$8:$F$55,$O15,$L$8:$L$55)</f>
        <v>4</v>
      </c>
      <c r="T15" s="444" t="s">
        <v>54</v>
      </c>
      <c r="U15" s="40"/>
      <c r="V15" s="40" t="str">
        <f>O15</f>
        <v>Spanje</v>
      </c>
      <c r="W15" s="40" t="s">
        <v>52</v>
      </c>
      <c r="Y15" s="109">
        <f t="shared" si="8"/>
        <v>10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10</v>
      </c>
      <c r="AG15" s="108">
        <f t="shared" si="0"/>
        <v>1</v>
      </c>
      <c r="AH15" s="108">
        <f t="shared" si="1"/>
        <v>1</v>
      </c>
      <c r="AI15" s="108">
        <f t="shared" si="10"/>
        <v>10</v>
      </c>
      <c r="AJ15" s="108">
        <f t="shared" si="2"/>
        <v>5</v>
      </c>
      <c r="AK15" s="108">
        <f t="shared" si="3"/>
        <v>0</v>
      </c>
      <c r="AL15" s="108">
        <f t="shared" si="4"/>
        <v>0</v>
      </c>
      <c r="AM15" s="120">
        <f>AO15</f>
        <v>10</v>
      </c>
      <c r="AN15" s="116" t="s">
        <v>13</v>
      </c>
      <c r="AO15" s="115">
        <f>IF(Uitslag!T15="",0,IF(T15=Uitslag!T15,10,0))</f>
        <v>10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1</v>
      </c>
      <c r="H16" s="367" t="s">
        <v>9</v>
      </c>
      <c r="I16" s="440">
        <v>2</v>
      </c>
      <c r="J16" s="369">
        <f t="shared" si="5"/>
        <v>2</v>
      </c>
      <c r="K16" s="363">
        <f t="shared" si="6"/>
        <v>0</v>
      </c>
      <c r="L16" s="363">
        <f t="shared" si="7"/>
        <v>3</v>
      </c>
      <c r="M16" s="352"/>
      <c r="N16" s="352"/>
      <c r="O16" s="404" t="s">
        <v>14</v>
      </c>
      <c r="P16" s="399">
        <f>SUMIF($D$8:$D$55,$O16,$G$8:$G$55)+SUMIF($F$8:$F$55,$O16,$I$8:$I$55)</f>
        <v>8</v>
      </c>
      <c r="Q16" s="399">
        <f>SUMIF($D$8:$D$55,$O16,$I$8:$I$55)+SUMIF($F$8:$F$55,$O16,$G$8:$G$55)</f>
        <v>4</v>
      </c>
      <c r="R16" s="399">
        <f>P16-Q16</f>
        <v>4</v>
      </c>
      <c r="S16" s="400">
        <f>SUMIF($D$8:$D$55,$O16,$K$8:$K$55)+SUMIF($F$8:$F$55,$O16,$L$8:$L$55)</f>
        <v>9</v>
      </c>
      <c r="T16" s="445" t="s">
        <v>52</v>
      </c>
      <c r="U16" s="40"/>
      <c r="V16" s="40" t="str">
        <f>O16</f>
        <v>Nederland</v>
      </c>
      <c r="W16" s="40" t="s">
        <v>53</v>
      </c>
      <c r="Y16" s="109">
        <f t="shared" si="8"/>
        <v>0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0</v>
      </c>
      <c r="AG16" s="108">
        <f t="shared" si="0"/>
        <v>0</v>
      </c>
      <c r="AH16" s="108">
        <f t="shared" si="1"/>
        <v>0</v>
      </c>
      <c r="AI16" s="108">
        <f t="shared" si="10"/>
        <v>0</v>
      </c>
      <c r="AJ16" s="108">
        <f t="shared" si="2"/>
        <v>0</v>
      </c>
      <c r="AK16" s="108">
        <f t="shared" si="3"/>
        <v>0</v>
      </c>
      <c r="AL16" s="108">
        <f t="shared" si="4"/>
        <v>0</v>
      </c>
      <c r="AM16" s="120">
        <f>AO16</f>
        <v>10</v>
      </c>
      <c r="AN16" s="119" t="s">
        <v>14</v>
      </c>
      <c r="AO16" s="115">
        <f>IF(Uitslag!T16="",0,IF(T16=Uitslag!T16,10,0))</f>
        <v>10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3</v>
      </c>
      <c r="H17" s="373" t="s">
        <v>9</v>
      </c>
      <c r="I17" s="441">
        <v>1</v>
      </c>
      <c r="J17" s="375">
        <f t="shared" si="5"/>
        <v>1</v>
      </c>
      <c r="K17" s="363">
        <f t="shared" si="6"/>
        <v>3</v>
      </c>
      <c r="L17" s="363">
        <f t="shared" si="7"/>
        <v>0</v>
      </c>
      <c r="M17" s="352"/>
      <c r="N17" s="352"/>
      <c r="O17" s="398" t="s">
        <v>15</v>
      </c>
      <c r="P17" s="399">
        <f>SUMIF($D$8:$D$55,$O17,$G$8:$G$55)+SUMIF($F$8:$F$55,$O17,$I$8:$I$55)</f>
        <v>7</v>
      </c>
      <c r="Q17" s="399">
        <f>SUMIF($D$8:$D$55,$O17,$I$8:$I$55)+SUMIF($F$8:$F$55,$O17,$G$8:$G$55)</f>
        <v>6</v>
      </c>
      <c r="R17" s="399">
        <f>P17-Q17</f>
        <v>1</v>
      </c>
      <c r="S17" s="400">
        <f>SUMIF($D$8:$D$55,$O17,$K$8:$K$55)+SUMIF($F$8:$F$55,$O17,$L$8:$L$55)</f>
        <v>4</v>
      </c>
      <c r="T17" s="445" t="s">
        <v>53</v>
      </c>
      <c r="U17" s="40"/>
      <c r="V17" s="40" t="str">
        <f>O17</f>
        <v>Chili</v>
      </c>
      <c r="W17" s="40" t="s">
        <v>54</v>
      </c>
      <c r="Y17" s="109">
        <f t="shared" si="8"/>
        <v>6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6</v>
      </c>
      <c r="AG17" s="108">
        <f t="shared" si="0"/>
        <v>1</v>
      </c>
      <c r="AH17" s="108">
        <f t="shared" si="1"/>
        <v>0</v>
      </c>
      <c r="AI17" s="108">
        <f t="shared" si="10"/>
        <v>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10</v>
      </c>
      <c r="AN17" s="117" t="s">
        <v>15</v>
      </c>
      <c r="AO17" s="115">
        <f>IF(Uitslag!T17="",0,IF(T17=Uitslag!T17,10,0))</f>
        <v>10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2</v>
      </c>
      <c r="H18" s="379" t="s">
        <v>9</v>
      </c>
      <c r="I18" s="442">
        <v>0</v>
      </c>
      <c r="J18" s="381">
        <f t="shared" si="5"/>
        <v>1</v>
      </c>
      <c r="K18" s="363">
        <f t="shared" si="6"/>
        <v>3</v>
      </c>
      <c r="L18" s="363">
        <f t="shared" si="7"/>
        <v>0</v>
      </c>
      <c r="M18" s="352"/>
      <c r="N18" s="352"/>
      <c r="O18" s="401" t="s">
        <v>16</v>
      </c>
      <c r="P18" s="402">
        <f>SUMIF($D$8:$D$55,$O18,$G$8:$G$55)+SUMIF($F$8:$F$55,$O18,$I$8:$I$55)</f>
        <v>2</v>
      </c>
      <c r="Q18" s="402">
        <f>SUMIF($D$8:$D$55,$O18,$I$8:$I$55)+SUMIF($F$8:$F$55,$O18,$G$8:$G$55)</f>
        <v>8</v>
      </c>
      <c r="R18" s="402">
        <f>P18-Q18</f>
        <v>-6</v>
      </c>
      <c r="S18" s="403">
        <f>SUMIF($D$8:$D$55,$O18,$K$8:$K$55)+SUMIF($F$8:$F$55,$O18,$L$8:$L$55)</f>
        <v>0</v>
      </c>
      <c r="T18" s="446" t="s">
        <v>55</v>
      </c>
      <c r="U18" s="40"/>
      <c r="V18" s="40" t="str">
        <f>O18</f>
        <v>Australië</v>
      </c>
      <c r="W18" s="40" t="s">
        <v>55</v>
      </c>
      <c r="Y18" s="109">
        <f t="shared" si="8"/>
        <v>6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6</v>
      </c>
      <c r="AG18" s="108">
        <f t="shared" si="0"/>
        <v>1</v>
      </c>
      <c r="AH18" s="108">
        <f t="shared" si="1"/>
        <v>0</v>
      </c>
      <c r="AI18" s="108">
        <f t="shared" si="10"/>
        <v>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1</v>
      </c>
      <c r="H19" s="367" t="s">
        <v>9</v>
      </c>
      <c r="I19" s="440">
        <v>2</v>
      </c>
      <c r="J19" s="369">
        <f t="shared" si="5"/>
        <v>2</v>
      </c>
      <c r="K19" s="363">
        <f t="shared" si="6"/>
        <v>0</v>
      </c>
      <c r="L19" s="363">
        <f t="shared" si="7"/>
        <v>3</v>
      </c>
      <c r="M19" s="352"/>
      <c r="N19" s="352"/>
      <c r="O19" s="392"/>
      <c r="P19" s="393"/>
      <c r="Q19" s="393"/>
      <c r="R19" s="393"/>
      <c r="S19" s="393"/>
      <c r="T19" s="393"/>
      <c r="U19" s="40"/>
      <c r="V19" s="40"/>
      <c r="W19" s="40"/>
      <c r="Y19" s="109">
        <f t="shared" si="8"/>
        <v>0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0</v>
      </c>
      <c r="AG19" s="108">
        <f t="shared" si="0"/>
        <v>0</v>
      </c>
      <c r="AH19" s="108">
        <f t="shared" si="1"/>
        <v>0</v>
      </c>
      <c r="AI19" s="108">
        <f t="shared" si="10"/>
        <v>0</v>
      </c>
      <c r="AJ19" s="108">
        <f t="shared" si="2"/>
        <v>0</v>
      </c>
      <c r="AK19" s="108">
        <f t="shared" si="3"/>
        <v>0</v>
      </c>
      <c r="AL19" s="108">
        <f t="shared" si="4"/>
        <v>0</v>
      </c>
      <c r="AN19" s="40"/>
      <c r="AO19" s="41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0</v>
      </c>
      <c r="H20" s="373" t="s">
        <v>9</v>
      </c>
      <c r="I20" s="441">
        <v>1</v>
      </c>
      <c r="J20" s="375">
        <f t="shared" si="5"/>
        <v>2</v>
      </c>
      <c r="K20" s="363">
        <f t="shared" si="6"/>
        <v>0</v>
      </c>
      <c r="L20" s="363">
        <f t="shared" si="7"/>
        <v>3</v>
      </c>
      <c r="M20" s="352"/>
      <c r="N20" s="352"/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40"/>
      <c r="V20" s="40"/>
      <c r="W20" s="40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0"/>
        <v>1</v>
      </c>
      <c r="AH20" s="108">
        <f t="shared" si="1"/>
        <v>0</v>
      </c>
      <c r="AI20" s="108">
        <f t="shared" si="10"/>
        <v>0</v>
      </c>
      <c r="AJ20" s="108">
        <f t="shared" si="2"/>
        <v>0</v>
      </c>
      <c r="AK20" s="108">
        <f t="shared" si="3"/>
        <v>0</v>
      </c>
      <c r="AL20" s="108">
        <f t="shared" si="4"/>
        <v>0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1</v>
      </c>
      <c r="H21" s="379" t="s">
        <v>9</v>
      </c>
      <c r="I21" s="442">
        <v>3</v>
      </c>
      <c r="J21" s="381">
        <f t="shared" si="5"/>
        <v>2</v>
      </c>
      <c r="K21" s="363">
        <f t="shared" si="6"/>
        <v>0</v>
      </c>
      <c r="L21" s="363">
        <f t="shared" si="7"/>
        <v>3</v>
      </c>
      <c r="M21" s="352"/>
      <c r="N21" s="352"/>
      <c r="O21" s="394" t="s">
        <v>17</v>
      </c>
      <c r="P21" s="395">
        <f>SUMIF($D$8:$D$55,$O21,$G$8:$G$55)+SUMIF($F$8:$F$55,$O21,$I$8:$I$55)</f>
        <v>5</v>
      </c>
      <c r="Q21" s="395">
        <f>SUMIF($D$8:$D$55,$O21,$I$8:$I$55)+SUMIF($F$8:$F$55,$O21,$G$8:$G$55)</f>
        <v>4</v>
      </c>
      <c r="R21" s="396">
        <f>P21-Q21</f>
        <v>1</v>
      </c>
      <c r="S21" s="397">
        <f>SUMIF($D$8:$D$55,$O21,$K$8:$K$55)+SUMIF($F$8:$F$55,$O21,$L$8:$L$55)</f>
        <v>5</v>
      </c>
      <c r="T21" s="444" t="s">
        <v>58</v>
      </c>
      <c r="U21" s="40"/>
      <c r="V21" s="40" t="str">
        <f>O21</f>
        <v>Colombia</v>
      </c>
      <c r="W21" s="40" t="s">
        <v>57</v>
      </c>
      <c r="Y21" s="109">
        <f t="shared" si="8"/>
        <v>6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6</v>
      </c>
      <c r="AG21" s="108">
        <f t="shared" si="0"/>
        <v>1</v>
      </c>
      <c r="AH21" s="108">
        <f t="shared" si="1"/>
        <v>0</v>
      </c>
      <c r="AI21" s="108">
        <f t="shared" si="10"/>
        <v>0</v>
      </c>
      <c r="AJ21" s="108">
        <f t="shared" si="2"/>
        <v>0</v>
      </c>
      <c r="AK21" s="108">
        <f t="shared" si="3"/>
        <v>5</v>
      </c>
      <c r="AL21" s="108">
        <f t="shared" si="4"/>
        <v>0</v>
      </c>
      <c r="AM21" s="120">
        <f>AO21</f>
        <v>0</v>
      </c>
      <c r="AN21" s="116" t="s">
        <v>17</v>
      </c>
      <c r="AO21" s="115">
        <f>IF(Uitslag!T21="",0,IF(T21=Uitslag!T21,10,0))</f>
        <v>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2</v>
      </c>
      <c r="H22" s="367" t="s">
        <v>9</v>
      </c>
      <c r="I22" s="440">
        <v>0</v>
      </c>
      <c r="J22" s="369">
        <f t="shared" si="5"/>
        <v>1</v>
      </c>
      <c r="K22" s="363">
        <f t="shared" si="6"/>
        <v>3</v>
      </c>
      <c r="L22" s="363">
        <f t="shared" si="7"/>
        <v>0</v>
      </c>
      <c r="M22" s="352"/>
      <c r="N22" s="352"/>
      <c r="O22" s="398" t="s">
        <v>18</v>
      </c>
      <c r="P22" s="399">
        <f>SUMIF($D$8:$D$55,$O22,$G$8:$G$55)+SUMIF($F$8:$F$55,$O22,$I$8:$I$55)</f>
        <v>2</v>
      </c>
      <c r="Q22" s="399">
        <f>SUMIF($D$8:$D$55,$O22,$I$8:$I$55)+SUMIF($F$8:$F$55,$O22,$G$8:$G$55)</f>
        <v>4</v>
      </c>
      <c r="R22" s="399">
        <f>P22-Q22</f>
        <v>-2</v>
      </c>
      <c r="S22" s="400">
        <f>SUMIF($D$8:$D$55,$O22,$K$8:$K$55)+SUMIF($F$8:$F$55,$O22,$L$8:$L$55)</f>
        <v>1</v>
      </c>
      <c r="T22" s="445" t="s">
        <v>60</v>
      </c>
      <c r="U22" s="40"/>
      <c r="V22" s="40" t="str">
        <f>O22</f>
        <v>Griekenland</v>
      </c>
      <c r="W22" s="40" t="s">
        <v>58</v>
      </c>
      <c r="Y22" s="109">
        <f t="shared" si="8"/>
        <v>6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6</v>
      </c>
      <c r="AG22" s="108">
        <f t="shared" si="0"/>
        <v>1</v>
      </c>
      <c r="AH22" s="108">
        <f t="shared" si="1"/>
        <v>0</v>
      </c>
      <c r="AI22" s="108">
        <f t="shared" si="10"/>
        <v>0</v>
      </c>
      <c r="AJ22" s="108">
        <f t="shared" si="2"/>
        <v>5</v>
      </c>
      <c r="AK22" s="108">
        <f t="shared" si="3"/>
        <v>0</v>
      </c>
      <c r="AL22" s="108">
        <f t="shared" si="4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4</v>
      </c>
      <c r="H23" s="373" t="s">
        <v>9</v>
      </c>
      <c r="I23" s="441">
        <v>1</v>
      </c>
      <c r="J23" s="375">
        <f t="shared" si="5"/>
        <v>1</v>
      </c>
      <c r="K23" s="363">
        <f t="shared" si="6"/>
        <v>3</v>
      </c>
      <c r="L23" s="363">
        <f t="shared" si="7"/>
        <v>0</v>
      </c>
      <c r="M23" s="352"/>
      <c r="N23" s="352"/>
      <c r="O23" s="398" t="s">
        <v>23</v>
      </c>
      <c r="P23" s="399">
        <f>SUMIF($D$8:$D$55,$O23,$G$8:$G$55)+SUMIF($F$8:$F$55,$O23,$I$8:$I$55)</f>
        <v>4</v>
      </c>
      <c r="Q23" s="399">
        <f>SUMIF($D$8:$D$55,$O23,$I$8:$I$55)+SUMIF($F$8:$F$55,$O23,$G$8:$G$55)</f>
        <v>3</v>
      </c>
      <c r="R23" s="399">
        <f>P23-Q23</f>
        <v>1</v>
      </c>
      <c r="S23" s="400">
        <f>SUMIF($D$8:$D$55,$O23,$K$8:$K$55)+SUMIF($F$8:$F$55,$O23,$L$8:$L$55)</f>
        <v>6</v>
      </c>
      <c r="T23" s="445" t="s">
        <v>57</v>
      </c>
      <c r="U23" s="40"/>
      <c r="V23" s="40" t="str">
        <f>O23</f>
        <v>Ivoorkust</v>
      </c>
      <c r="W23" s="40" t="s">
        <v>59</v>
      </c>
      <c r="Y23" s="109">
        <f t="shared" si="8"/>
        <v>0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0</v>
      </c>
      <c r="AG23" s="108">
        <f t="shared" si="0"/>
        <v>0</v>
      </c>
      <c r="AH23" s="108">
        <f t="shared" si="1"/>
        <v>0</v>
      </c>
      <c r="AI23" s="108">
        <f t="shared" si="10"/>
        <v>0</v>
      </c>
      <c r="AJ23" s="108">
        <f t="shared" si="2"/>
        <v>0</v>
      </c>
      <c r="AK23" s="108">
        <f t="shared" si="3"/>
        <v>0</v>
      </c>
      <c r="AL23" s="108">
        <f t="shared" si="4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2</v>
      </c>
      <c r="H24" s="379" t="s">
        <v>9</v>
      </c>
      <c r="I24" s="442">
        <v>2</v>
      </c>
      <c r="J24" s="381">
        <f t="shared" si="5"/>
        <v>3</v>
      </c>
      <c r="K24" s="363">
        <f t="shared" si="6"/>
        <v>1</v>
      </c>
      <c r="L24" s="363">
        <f t="shared" si="7"/>
        <v>1</v>
      </c>
      <c r="M24" s="352"/>
      <c r="N24" s="352"/>
      <c r="O24" s="401" t="s">
        <v>24</v>
      </c>
      <c r="P24" s="402">
        <f>SUMIF($D$8:$D$55,$O24,$G$8:$G$55)+SUMIF($F$8:$F$55,$O24,$I$8:$I$55)</f>
        <v>5</v>
      </c>
      <c r="Q24" s="402">
        <f>SUMIF($D$8:$D$55,$O24,$I$8:$I$55)+SUMIF($F$8:$F$55,$O24,$G$8:$G$55)</f>
        <v>5</v>
      </c>
      <c r="R24" s="402">
        <f>P24-Q24</f>
        <v>0</v>
      </c>
      <c r="S24" s="403">
        <f>SUMIF($D$8:$D$55,$O24,$K$8:$K$55)+SUMIF($F$8:$F$55,$O24,$L$8:$L$55)</f>
        <v>4</v>
      </c>
      <c r="T24" s="446" t="s">
        <v>59</v>
      </c>
      <c r="U24" s="40"/>
      <c r="V24" s="40" t="str">
        <f>O24</f>
        <v>Japan</v>
      </c>
      <c r="W24" s="40" t="s">
        <v>60</v>
      </c>
      <c r="Y24" s="109">
        <f t="shared" si="8"/>
        <v>5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5</v>
      </c>
      <c r="AG24" s="108">
        <f t="shared" si="0"/>
        <v>0</v>
      </c>
      <c r="AH24" s="108">
        <f t="shared" si="1"/>
        <v>0</v>
      </c>
      <c r="AI24" s="108">
        <f t="shared" si="10"/>
        <v>0</v>
      </c>
      <c r="AJ24" s="108">
        <f t="shared" si="2"/>
        <v>0</v>
      </c>
      <c r="AK24" s="108">
        <f t="shared" si="3"/>
        <v>0</v>
      </c>
      <c r="AL24" s="108">
        <f t="shared" si="4"/>
        <v>5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1</v>
      </c>
      <c r="H25" s="367" t="s">
        <v>9</v>
      </c>
      <c r="I25" s="440">
        <v>3</v>
      </c>
      <c r="J25" s="369">
        <f t="shared" si="5"/>
        <v>2</v>
      </c>
      <c r="K25" s="363">
        <f t="shared" si="6"/>
        <v>0</v>
      </c>
      <c r="L25" s="363">
        <f t="shared" si="7"/>
        <v>3</v>
      </c>
      <c r="M25" s="352"/>
      <c r="N25" s="352"/>
      <c r="O25" s="392"/>
      <c r="P25" s="393"/>
      <c r="Q25" s="393"/>
      <c r="R25" s="393"/>
      <c r="S25" s="393"/>
      <c r="T25" s="393"/>
      <c r="U25" s="40"/>
      <c r="V25" s="40"/>
      <c r="W25" s="40"/>
      <c r="Y25" s="109">
        <f t="shared" si="8"/>
        <v>6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6</v>
      </c>
      <c r="AG25" s="108">
        <f t="shared" si="0"/>
        <v>0</v>
      </c>
      <c r="AH25" s="108">
        <f t="shared" si="1"/>
        <v>1</v>
      </c>
      <c r="AI25" s="108">
        <f t="shared" si="10"/>
        <v>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40"/>
      <c r="AO25" s="41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3</v>
      </c>
      <c r="H26" s="373" t="s">
        <v>9</v>
      </c>
      <c r="I26" s="441">
        <v>3</v>
      </c>
      <c r="J26" s="375">
        <f t="shared" si="5"/>
        <v>3</v>
      </c>
      <c r="K26" s="363">
        <f t="shared" si="6"/>
        <v>1</v>
      </c>
      <c r="L26" s="363">
        <f t="shared" si="7"/>
        <v>1</v>
      </c>
      <c r="M26" s="352"/>
      <c r="N26" s="352"/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40"/>
      <c r="V26" s="40"/>
      <c r="W26" s="40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0"/>
        <v>0</v>
      </c>
      <c r="AH26" s="108">
        <f t="shared" si="1"/>
        <v>0</v>
      </c>
      <c r="AI26" s="108">
        <f t="shared" si="10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1</v>
      </c>
      <c r="H27" s="379" t="s">
        <v>9</v>
      </c>
      <c r="I27" s="442">
        <v>0</v>
      </c>
      <c r="J27" s="381">
        <f t="shared" si="5"/>
        <v>1</v>
      </c>
      <c r="K27" s="363">
        <f t="shared" si="6"/>
        <v>3</v>
      </c>
      <c r="L27" s="363">
        <f t="shared" si="7"/>
        <v>0</v>
      </c>
      <c r="M27" s="352"/>
      <c r="N27" s="352"/>
      <c r="O27" s="394" t="s">
        <v>19</v>
      </c>
      <c r="P27" s="395">
        <f>SUMIF($D$8:$D$55,$O27,$G$8:$G$55)+SUMIF($F$8:$F$55,$O27,$I$8:$I$55)</f>
        <v>5</v>
      </c>
      <c r="Q27" s="395">
        <f>SUMIF($D$8:$D$55,$O27,$I$8:$I$55)+SUMIF($F$8:$F$55,$O27,$G$8:$G$55)</f>
        <v>5</v>
      </c>
      <c r="R27" s="396">
        <f>P27-Q27</f>
        <v>0</v>
      </c>
      <c r="S27" s="397">
        <f>SUMIF($D$8:$D$55,$O27,$K$8:$K$55)+SUMIF($F$8:$F$55,$O27,$L$8:$L$55)</f>
        <v>4</v>
      </c>
      <c r="T27" s="444" t="s">
        <v>63</v>
      </c>
      <c r="U27" s="40"/>
      <c r="V27" s="40" t="str">
        <f>O27</f>
        <v>Uruguay</v>
      </c>
      <c r="W27" s="40" t="s">
        <v>62</v>
      </c>
      <c r="Y27" s="109">
        <f t="shared" si="8"/>
        <v>0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0</v>
      </c>
      <c r="AG27" s="108">
        <f t="shared" si="0"/>
        <v>0</v>
      </c>
      <c r="AH27" s="108">
        <f t="shared" si="1"/>
        <v>0</v>
      </c>
      <c r="AI27" s="108">
        <f t="shared" si="10"/>
        <v>0</v>
      </c>
      <c r="AJ27" s="108">
        <f t="shared" si="2"/>
        <v>0</v>
      </c>
      <c r="AK27" s="108">
        <f t="shared" si="3"/>
        <v>0</v>
      </c>
      <c r="AL27" s="108">
        <f t="shared" si="4"/>
        <v>0</v>
      </c>
      <c r="AM27" s="120">
        <f>AO27</f>
        <v>10</v>
      </c>
      <c r="AN27" s="116" t="s">
        <v>19</v>
      </c>
      <c r="AO27" s="115">
        <f>IF(Uitslag!T27="",0,IF(T27=Uitslag!T27,10,0))</f>
        <v>10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2</v>
      </c>
      <c r="H28" s="367" t="s">
        <v>9</v>
      </c>
      <c r="I28" s="440">
        <v>1</v>
      </c>
      <c r="J28" s="369">
        <f t="shared" si="5"/>
        <v>1</v>
      </c>
      <c r="K28" s="363">
        <f t="shared" si="6"/>
        <v>3</v>
      </c>
      <c r="L28" s="363">
        <f t="shared" si="7"/>
        <v>0</v>
      </c>
      <c r="M28" s="352"/>
      <c r="N28" s="352"/>
      <c r="O28" s="398" t="s">
        <v>20</v>
      </c>
      <c r="P28" s="399">
        <f>SUMIF($D$8:$D$55,$O28,$G$8:$G$55)+SUMIF($F$8:$F$55,$O28,$I$8:$I$55)</f>
        <v>4</v>
      </c>
      <c r="Q28" s="399">
        <f>SUMIF($D$8:$D$55,$O28,$I$8:$I$55)+SUMIF($F$8:$F$55,$O28,$G$8:$G$55)</f>
        <v>5</v>
      </c>
      <c r="R28" s="399">
        <f>P28-Q28</f>
        <v>-1</v>
      </c>
      <c r="S28" s="400">
        <f>SUMIF($D$8:$D$55,$O28,$K$8:$K$55)+SUMIF($F$8:$F$55,$O28,$L$8:$L$55)</f>
        <v>3</v>
      </c>
      <c r="T28" s="445" t="s">
        <v>64</v>
      </c>
      <c r="U28" s="40"/>
      <c r="V28" s="40" t="str">
        <f>O28</f>
        <v>Costa Rica</v>
      </c>
      <c r="W28" s="40" t="s">
        <v>63</v>
      </c>
      <c r="Y28" s="109">
        <f t="shared" si="8"/>
        <v>10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10</v>
      </c>
      <c r="AG28" s="108">
        <f t="shared" si="0"/>
        <v>1</v>
      </c>
      <c r="AH28" s="108">
        <f t="shared" si="1"/>
        <v>1</v>
      </c>
      <c r="AI28" s="108">
        <f t="shared" si="10"/>
        <v>10</v>
      </c>
      <c r="AJ28" s="108">
        <f t="shared" si="2"/>
        <v>5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2</v>
      </c>
      <c r="H29" s="373" t="s">
        <v>9</v>
      </c>
      <c r="I29" s="441">
        <v>2</v>
      </c>
      <c r="J29" s="375">
        <f t="shared" si="5"/>
        <v>3</v>
      </c>
      <c r="K29" s="363">
        <f t="shared" si="6"/>
        <v>1</v>
      </c>
      <c r="L29" s="363">
        <f t="shared" si="7"/>
        <v>1</v>
      </c>
      <c r="M29" s="352"/>
      <c r="N29" s="352"/>
      <c r="O29" s="398" t="s">
        <v>21</v>
      </c>
      <c r="P29" s="399">
        <f>SUMIF($D$8:$D$55,$O29,$G$8:$G$55)+SUMIF($F$8:$F$55,$O29,$I$8:$I$55)</f>
        <v>4</v>
      </c>
      <c r="Q29" s="399">
        <f>SUMIF($D$8:$D$55,$O29,$I$8:$I$55)+SUMIF($F$8:$F$55,$O29,$G$8:$G$55)</f>
        <v>7</v>
      </c>
      <c r="R29" s="399">
        <f>P29-Q29</f>
        <v>-3</v>
      </c>
      <c r="S29" s="400">
        <f>SUMIF($D$8:$D$55,$O29,$K$8:$K$55)+SUMIF($F$8:$F$55,$O29,$L$8:$L$55)</f>
        <v>1</v>
      </c>
      <c r="T29" s="445" t="s">
        <v>65</v>
      </c>
      <c r="U29" s="40"/>
      <c r="V29" s="40" t="str">
        <f>O29</f>
        <v>Engeland</v>
      </c>
      <c r="W29" s="40" t="s">
        <v>64</v>
      </c>
      <c r="Y29" s="109">
        <f t="shared" si="8"/>
        <v>1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1</v>
      </c>
      <c r="AG29" s="108">
        <f t="shared" si="0"/>
        <v>1</v>
      </c>
      <c r="AH29" s="108">
        <f t="shared" si="1"/>
        <v>0</v>
      </c>
      <c r="AI29" s="108">
        <f t="shared" si="10"/>
        <v>0</v>
      </c>
      <c r="AJ29" s="108">
        <f t="shared" si="2"/>
        <v>0</v>
      </c>
      <c r="AK29" s="108">
        <f t="shared" si="3"/>
        <v>0</v>
      </c>
      <c r="AL29" s="108">
        <f t="shared" si="4"/>
        <v>0</v>
      </c>
      <c r="AM29" s="120">
        <f>AO29</f>
        <v>10</v>
      </c>
      <c r="AN29" s="117" t="s">
        <v>21</v>
      </c>
      <c r="AO29" s="115">
        <f>IF(Uitslag!T29="",0,IF(T29=Uitslag!T29,10,0))</f>
        <v>10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2</v>
      </c>
      <c r="H30" s="379" t="s">
        <v>9</v>
      </c>
      <c r="I30" s="442">
        <v>1</v>
      </c>
      <c r="J30" s="381">
        <f t="shared" si="5"/>
        <v>1</v>
      </c>
      <c r="K30" s="363">
        <f t="shared" si="6"/>
        <v>3</v>
      </c>
      <c r="L30" s="363">
        <f t="shared" si="7"/>
        <v>0</v>
      </c>
      <c r="M30" s="352"/>
      <c r="N30" s="352"/>
      <c r="O30" s="401" t="s">
        <v>22</v>
      </c>
      <c r="P30" s="402">
        <f>SUMIF($D$8:$D$55,$O30,$G$8:$G$55)+SUMIF($F$8:$F$55,$O30,$I$8:$I$55)</f>
        <v>6</v>
      </c>
      <c r="Q30" s="402">
        <f>SUMIF($D$8:$D$55,$O30,$I$8:$I$55)+SUMIF($F$8:$F$55,$O30,$G$8:$G$55)</f>
        <v>2</v>
      </c>
      <c r="R30" s="402">
        <f>P30-Q30</f>
        <v>4</v>
      </c>
      <c r="S30" s="403">
        <f>SUMIF($D$8:$D$55,$O30,$K$8:$K$55)+SUMIF($F$8:$F$55,$O30,$L$8:$L$55)</f>
        <v>9</v>
      </c>
      <c r="T30" s="446" t="s">
        <v>62</v>
      </c>
      <c r="U30" s="40"/>
      <c r="V30" s="40" t="str">
        <f>O30</f>
        <v>Italië</v>
      </c>
      <c r="W30" s="40" t="s">
        <v>65</v>
      </c>
      <c r="Y30" s="109">
        <f t="shared" si="8"/>
        <v>0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0</v>
      </c>
      <c r="AG30" s="108">
        <f t="shared" si="0"/>
        <v>0</v>
      </c>
      <c r="AH30" s="108">
        <f t="shared" si="1"/>
        <v>0</v>
      </c>
      <c r="AI30" s="108">
        <f t="shared" si="10"/>
        <v>0</v>
      </c>
      <c r="AJ30" s="108">
        <f t="shared" si="2"/>
        <v>0</v>
      </c>
      <c r="AK30" s="108">
        <f t="shared" si="3"/>
        <v>0</v>
      </c>
      <c r="AL30" s="108">
        <f t="shared" si="4"/>
        <v>0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2</v>
      </c>
      <c r="H31" s="367" t="s">
        <v>9</v>
      </c>
      <c r="I31" s="440">
        <v>0</v>
      </c>
      <c r="J31" s="369">
        <f t="shared" si="5"/>
        <v>1</v>
      </c>
      <c r="K31" s="363">
        <f t="shared" si="6"/>
        <v>3</v>
      </c>
      <c r="L31" s="363">
        <f t="shared" si="7"/>
        <v>0</v>
      </c>
      <c r="M31" s="352"/>
      <c r="N31" s="352"/>
      <c r="O31" s="392"/>
      <c r="P31" s="393"/>
      <c r="Q31" s="393"/>
      <c r="R31" s="393"/>
      <c r="S31" s="393"/>
      <c r="T31" s="393"/>
      <c r="U31" s="40"/>
      <c r="V31" s="40"/>
      <c r="W31" s="40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0"/>
        <v>0</v>
      </c>
      <c r="AH31" s="108">
        <f t="shared" si="1"/>
        <v>0</v>
      </c>
      <c r="AI31" s="108">
        <f t="shared" si="10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40"/>
      <c r="AO31" s="41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2</v>
      </c>
      <c r="H32" s="373" t="s">
        <v>9</v>
      </c>
      <c r="I32" s="441">
        <v>1</v>
      </c>
      <c r="J32" s="375">
        <f t="shared" si="5"/>
        <v>1</v>
      </c>
      <c r="K32" s="363">
        <f t="shared" si="6"/>
        <v>3</v>
      </c>
      <c r="L32" s="363">
        <f t="shared" si="7"/>
        <v>0</v>
      </c>
      <c r="M32" s="352"/>
      <c r="N32" s="352"/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40"/>
      <c r="V32" s="40"/>
      <c r="W32" s="40"/>
      <c r="Y32" s="109">
        <f t="shared" si="8"/>
        <v>1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1</v>
      </c>
      <c r="AG32" s="108">
        <f t="shared" si="0"/>
        <v>1</v>
      </c>
      <c r="AH32" s="108">
        <f t="shared" si="1"/>
        <v>0</v>
      </c>
      <c r="AI32" s="108">
        <f t="shared" si="10"/>
        <v>0</v>
      </c>
      <c r="AJ32" s="108">
        <f t="shared" si="2"/>
        <v>0</v>
      </c>
      <c r="AK32" s="108">
        <f t="shared" si="3"/>
        <v>0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1</v>
      </c>
      <c r="H33" s="379" t="s">
        <v>9</v>
      </c>
      <c r="I33" s="442">
        <v>3</v>
      </c>
      <c r="J33" s="381">
        <f t="shared" si="5"/>
        <v>2</v>
      </c>
      <c r="K33" s="363">
        <f t="shared" si="6"/>
        <v>0</v>
      </c>
      <c r="L33" s="363">
        <f t="shared" si="7"/>
        <v>3</v>
      </c>
      <c r="M33" s="352"/>
      <c r="N33" s="352"/>
      <c r="O33" s="394" t="s">
        <v>25</v>
      </c>
      <c r="P33" s="395">
        <f>SUMIF($D$8:$D$55,$O33,$G$8:$G$55)+SUMIF($F$8:$F$55,$O33,$I$8:$I$55)</f>
        <v>4</v>
      </c>
      <c r="Q33" s="395">
        <f>SUMIF($D$8:$D$55,$O33,$I$8:$I$55)+SUMIF($F$8:$F$55,$O33,$G$8:$G$55)</f>
        <v>6</v>
      </c>
      <c r="R33" s="396">
        <f>P33-Q33</f>
        <v>-2</v>
      </c>
      <c r="S33" s="397">
        <f>SUMIF($D$8:$D$55,$O33,$K$8:$K$55)+SUMIF($F$8:$F$55,$O33,$L$8:$L$55)</f>
        <v>3</v>
      </c>
      <c r="T33" s="444" t="s">
        <v>70</v>
      </c>
      <c r="U33" s="40"/>
      <c r="V33" s="40" t="str">
        <f>O33</f>
        <v>Zwitserland</v>
      </c>
      <c r="W33" s="40" t="s">
        <v>67</v>
      </c>
      <c r="Y33" s="109">
        <f t="shared" si="8"/>
        <v>6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6</v>
      </c>
      <c r="AG33" s="108">
        <f t="shared" si="0"/>
        <v>1</v>
      </c>
      <c r="AH33" s="108">
        <f t="shared" si="1"/>
        <v>0</v>
      </c>
      <c r="AI33" s="108">
        <f t="shared" si="10"/>
        <v>0</v>
      </c>
      <c r="AJ33" s="108">
        <f t="shared" si="2"/>
        <v>0</v>
      </c>
      <c r="AK33" s="108">
        <f t="shared" si="3"/>
        <v>5</v>
      </c>
      <c r="AL33" s="108">
        <f t="shared" si="4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2</v>
      </c>
      <c r="H34" s="367" t="s">
        <v>9</v>
      </c>
      <c r="I34" s="440">
        <v>0</v>
      </c>
      <c r="J34" s="369">
        <f t="shared" si="5"/>
        <v>1</v>
      </c>
      <c r="K34" s="363">
        <f t="shared" si="6"/>
        <v>3</v>
      </c>
      <c r="L34" s="363">
        <f t="shared" si="7"/>
        <v>0</v>
      </c>
      <c r="M34" s="352"/>
      <c r="N34" s="352"/>
      <c r="O34" s="398" t="s">
        <v>26</v>
      </c>
      <c r="P34" s="399">
        <f>SUMIF($D$8:$D$55,$O34,$G$8:$G$55)+SUMIF($F$8:$F$55,$O34,$I$8:$I$55)</f>
        <v>7</v>
      </c>
      <c r="Q34" s="399">
        <f>SUMIF($D$8:$D$55,$O34,$I$8:$I$55)+SUMIF($F$8:$F$55,$O34,$G$8:$G$55)</f>
        <v>5</v>
      </c>
      <c r="R34" s="399">
        <f>P34-Q34</f>
        <v>2</v>
      </c>
      <c r="S34" s="400">
        <f>SUMIF($D$8:$D$55,$O34,$K$8:$K$55)+SUMIF($F$8:$F$55,$O34,$L$8:$L$55)</f>
        <v>6</v>
      </c>
      <c r="T34" s="445" t="s">
        <v>67</v>
      </c>
      <c r="U34" s="40"/>
      <c r="V34" s="40" t="str">
        <f>O34</f>
        <v>Ecuador</v>
      </c>
      <c r="W34" s="40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0"/>
        <v>0</v>
      </c>
      <c r="AH34" s="108">
        <f t="shared" si="1"/>
        <v>1</v>
      </c>
      <c r="AI34" s="108">
        <f t="shared" si="10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3</v>
      </c>
      <c r="H35" s="373" t="s">
        <v>9</v>
      </c>
      <c r="I35" s="441">
        <v>0</v>
      </c>
      <c r="J35" s="375">
        <f t="shared" si="5"/>
        <v>1</v>
      </c>
      <c r="K35" s="363">
        <f t="shared" si="6"/>
        <v>3</v>
      </c>
      <c r="L35" s="363">
        <f t="shared" si="7"/>
        <v>0</v>
      </c>
      <c r="M35" s="352"/>
      <c r="N35" s="352"/>
      <c r="O35" s="398" t="s">
        <v>27</v>
      </c>
      <c r="P35" s="399">
        <f>SUMIF($D$8:$D$55,$O35,$G$8:$G$55)+SUMIF($F$8:$F$55,$O35,$I$8:$I$55)</f>
        <v>7</v>
      </c>
      <c r="Q35" s="399">
        <f>SUMIF($D$8:$D$55,$O35,$I$8:$I$55)+SUMIF($F$8:$F$55,$O35,$G$8:$G$55)</f>
        <v>5</v>
      </c>
      <c r="R35" s="399">
        <f>P35-Q35</f>
        <v>2</v>
      </c>
      <c r="S35" s="400">
        <f>SUMIF($D$8:$D$55,$O35,$K$8:$K$55)+SUMIF($F$8:$F$55,$O35,$L$8:$L$55)</f>
        <v>6</v>
      </c>
      <c r="T35" s="445" t="s">
        <v>68</v>
      </c>
      <c r="U35" s="40"/>
      <c r="V35" s="40" t="str">
        <f>O35</f>
        <v>Frankrijk</v>
      </c>
      <c r="W35" s="40" t="s">
        <v>69</v>
      </c>
      <c r="Y35" s="109">
        <f t="shared" si="8"/>
        <v>0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0</v>
      </c>
      <c r="AG35" s="108">
        <f t="shared" si="0"/>
        <v>0</v>
      </c>
      <c r="AH35" s="108">
        <f t="shared" si="1"/>
        <v>0</v>
      </c>
      <c r="AI35" s="108">
        <f t="shared" si="10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0</v>
      </c>
      <c r="AN35" s="117" t="s">
        <v>27</v>
      </c>
      <c r="AO35" s="115">
        <f>IF(Uitslag!T35="",0,IF(T35=Uitslag!T35,10,0))</f>
        <v>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2</v>
      </c>
      <c r="H36" s="379" t="s">
        <v>9</v>
      </c>
      <c r="I36" s="442">
        <v>1</v>
      </c>
      <c r="J36" s="381">
        <f t="shared" si="5"/>
        <v>1</v>
      </c>
      <c r="K36" s="363">
        <f t="shared" si="6"/>
        <v>3</v>
      </c>
      <c r="L36" s="363">
        <f t="shared" si="7"/>
        <v>0</v>
      </c>
      <c r="M36" s="352"/>
      <c r="N36" s="352"/>
      <c r="O36" s="401" t="s">
        <v>28</v>
      </c>
      <c r="P36" s="402">
        <f>SUMIF($D$8:$D$55,$O36,$G$8:$G$55)+SUMIF($F$8:$F$55,$O36,$I$8:$I$55)</f>
        <v>5</v>
      </c>
      <c r="Q36" s="402">
        <f>SUMIF($D$8:$D$55,$O36,$I$8:$I$55)+SUMIF($F$8:$F$55,$O36,$G$8:$G$55)</f>
        <v>7</v>
      </c>
      <c r="R36" s="402">
        <f>P36-Q36</f>
        <v>-2</v>
      </c>
      <c r="S36" s="403">
        <f>SUMIF($D$8:$D$55,$O36,$K$8:$K$55)+SUMIF($F$8:$F$55,$O36,$L$8:$L$55)</f>
        <v>3</v>
      </c>
      <c r="T36" s="446" t="s">
        <v>69</v>
      </c>
      <c r="U36" s="40"/>
      <c r="V36" s="40" t="str">
        <f>O36</f>
        <v>Honduras</v>
      </c>
      <c r="W36" s="40" t="s">
        <v>70</v>
      </c>
      <c r="Y36" s="109">
        <f t="shared" si="8"/>
        <v>5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5</v>
      </c>
      <c r="AG36" s="108">
        <f t="shared" si="0"/>
        <v>0</v>
      </c>
      <c r="AH36" s="108">
        <f t="shared" si="1"/>
        <v>0</v>
      </c>
      <c r="AI36" s="108">
        <f t="shared" si="10"/>
        <v>0</v>
      </c>
      <c r="AJ36" s="108">
        <f t="shared" si="2"/>
        <v>5</v>
      </c>
      <c r="AK36" s="108">
        <f t="shared" si="3"/>
        <v>0</v>
      </c>
      <c r="AL36" s="108">
        <f t="shared" si="4"/>
        <v>0</v>
      </c>
      <c r="AM36" s="120">
        <f>AO36</f>
        <v>0</v>
      </c>
      <c r="AN36" s="118" t="s">
        <v>28</v>
      </c>
      <c r="AO36" s="115">
        <f>IF(Uitslag!T36="",0,IF(T36=Uitslag!T36,10,0))</f>
        <v>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2</v>
      </c>
      <c r="H37" s="367" t="s">
        <v>9</v>
      </c>
      <c r="I37" s="440">
        <v>2</v>
      </c>
      <c r="J37" s="369">
        <f t="shared" si="5"/>
        <v>3</v>
      </c>
      <c r="K37" s="363">
        <f t="shared" si="6"/>
        <v>1</v>
      </c>
      <c r="L37" s="363">
        <f t="shared" si="7"/>
        <v>1</v>
      </c>
      <c r="M37" s="352"/>
      <c r="N37" s="352"/>
      <c r="O37" s="392"/>
      <c r="P37" s="393"/>
      <c r="Q37" s="393"/>
      <c r="R37" s="393"/>
      <c r="S37" s="393"/>
      <c r="T37" s="393"/>
      <c r="U37" s="40"/>
      <c r="V37" s="40"/>
      <c r="W37" s="40"/>
      <c r="Y37" s="109">
        <f t="shared" si="8"/>
        <v>0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0</v>
      </c>
      <c r="AG37" s="108">
        <f t="shared" si="0"/>
        <v>0</v>
      </c>
      <c r="AH37" s="108">
        <f t="shared" si="1"/>
        <v>0</v>
      </c>
      <c r="AI37" s="108">
        <f t="shared" si="10"/>
        <v>0</v>
      </c>
      <c r="AJ37" s="108">
        <f t="shared" si="2"/>
        <v>0</v>
      </c>
      <c r="AK37" s="108">
        <f t="shared" si="3"/>
        <v>0</v>
      </c>
      <c r="AL37" s="108">
        <f t="shared" si="4"/>
        <v>0</v>
      </c>
      <c r="AN37" s="40"/>
      <c r="AO37" s="41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2</v>
      </c>
      <c r="H38" s="373" t="s">
        <v>9</v>
      </c>
      <c r="I38" s="441">
        <v>0</v>
      </c>
      <c r="J38" s="375">
        <f t="shared" si="5"/>
        <v>1</v>
      </c>
      <c r="K38" s="363">
        <f t="shared" si="6"/>
        <v>3</v>
      </c>
      <c r="L38" s="363">
        <f t="shared" si="7"/>
        <v>0</v>
      </c>
      <c r="M38" s="352"/>
      <c r="N38" s="352"/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40"/>
      <c r="V38" s="40"/>
      <c r="W38" s="40"/>
      <c r="Y38" s="109">
        <f t="shared" si="8"/>
        <v>1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1</v>
      </c>
      <c r="AG38" s="108">
        <f t="shared" si="0"/>
        <v>1</v>
      </c>
      <c r="AH38" s="108">
        <f t="shared" si="1"/>
        <v>0</v>
      </c>
      <c r="AI38" s="108">
        <f t="shared" si="10"/>
        <v>0</v>
      </c>
      <c r="AJ38" s="108">
        <f t="shared" si="2"/>
        <v>0</v>
      </c>
      <c r="AK38" s="108">
        <f t="shared" si="3"/>
        <v>0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1</v>
      </c>
      <c r="H39" s="379" t="s">
        <v>9</v>
      </c>
      <c r="I39" s="442">
        <v>2</v>
      </c>
      <c r="J39" s="381">
        <f t="shared" si="5"/>
        <v>2</v>
      </c>
      <c r="K39" s="363">
        <f t="shared" si="6"/>
        <v>0</v>
      </c>
      <c r="L39" s="363">
        <f t="shared" si="7"/>
        <v>3</v>
      </c>
      <c r="M39" s="352"/>
      <c r="N39" s="352"/>
      <c r="O39" s="394" t="s">
        <v>29</v>
      </c>
      <c r="P39" s="395">
        <f>SUMIF($D$8:$D$55,$O39,$G$8:$G$55)+SUMIF($F$8:$F$55,$O39,$I$8:$I$55)</f>
        <v>7</v>
      </c>
      <c r="Q39" s="395">
        <f>SUMIF($D$8:$D$55,$O39,$I$8:$I$55)+SUMIF($F$8:$F$55,$O39,$G$8:$G$55)</f>
        <v>2</v>
      </c>
      <c r="R39" s="396">
        <f>P39-Q39</f>
        <v>5</v>
      </c>
      <c r="S39" s="397">
        <f>SUMIF($D$8:$D$55,$O39,$K$8:$K$55)+SUMIF($F$8:$F$55,$O39,$L$8:$L$55)</f>
        <v>9</v>
      </c>
      <c r="T39" s="444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1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1</v>
      </c>
      <c r="AG39" s="108">
        <f t="shared" si="0"/>
        <v>0</v>
      </c>
      <c r="AH39" s="108">
        <f t="shared" si="1"/>
        <v>1</v>
      </c>
      <c r="AI39" s="108">
        <f t="shared" si="10"/>
        <v>0</v>
      </c>
      <c r="AJ39" s="108">
        <f t="shared" si="2"/>
        <v>0</v>
      </c>
      <c r="AK39" s="108">
        <f t="shared" si="3"/>
        <v>0</v>
      </c>
      <c r="AL39" s="108">
        <f t="shared" si="4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1</v>
      </c>
      <c r="H40" s="367" t="s">
        <v>9</v>
      </c>
      <c r="I40" s="440">
        <v>3</v>
      </c>
      <c r="J40" s="369">
        <f t="shared" si="5"/>
        <v>2</v>
      </c>
      <c r="K40" s="363">
        <f t="shared" si="6"/>
        <v>0</v>
      </c>
      <c r="L40" s="363">
        <f t="shared" si="7"/>
        <v>3</v>
      </c>
      <c r="M40" s="352"/>
      <c r="N40" s="352"/>
      <c r="O40" s="398" t="s">
        <v>30</v>
      </c>
      <c r="P40" s="399">
        <f>SUMIF($D$8:$D$55,$O40,$G$8:$G$55)+SUMIF($F$8:$F$55,$O40,$I$8:$I$55)</f>
        <v>2</v>
      </c>
      <c r="Q40" s="399">
        <f>SUMIF($D$8:$D$55,$O40,$I$8:$I$55)+SUMIF($F$8:$F$55,$O40,$G$8:$G$55)</f>
        <v>4</v>
      </c>
      <c r="R40" s="399">
        <f>P40-Q40</f>
        <v>-2</v>
      </c>
      <c r="S40" s="400">
        <f>SUMIF($D$8:$D$55,$O40,$K$8:$K$55)+SUMIF($F$8:$F$55,$O40,$L$8:$L$55)</f>
        <v>3</v>
      </c>
      <c r="T40" s="445" t="s">
        <v>74</v>
      </c>
      <c r="U40" s="40"/>
      <c r="V40" s="40" t="str">
        <f>O40</f>
        <v>Bosnië H.</v>
      </c>
      <c r="W40" s="40" t="s">
        <v>73</v>
      </c>
      <c r="Y40" s="109">
        <f t="shared" si="8"/>
        <v>6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6</v>
      </c>
      <c r="AG40" s="108">
        <f t="shared" si="0"/>
        <v>0</v>
      </c>
      <c r="AH40" s="108">
        <f t="shared" si="1"/>
        <v>1</v>
      </c>
      <c r="AI40" s="108">
        <f t="shared" si="10"/>
        <v>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3</v>
      </c>
      <c r="H41" s="373" t="s">
        <v>9</v>
      </c>
      <c r="I41" s="441">
        <v>2</v>
      </c>
      <c r="J41" s="375">
        <f t="shared" si="5"/>
        <v>1</v>
      </c>
      <c r="K41" s="363">
        <f t="shared" si="6"/>
        <v>3</v>
      </c>
      <c r="L41" s="363">
        <f t="shared" si="7"/>
        <v>0</v>
      </c>
      <c r="M41" s="352"/>
      <c r="N41" s="352"/>
      <c r="O41" s="398" t="s">
        <v>33</v>
      </c>
      <c r="P41" s="399">
        <f>SUMIF($D$8:$D$55,$O41,$G$8:$G$55)+SUMIF($F$8:$F$55,$O41,$I$8:$I$55)</f>
        <v>0</v>
      </c>
      <c r="Q41" s="399">
        <f>SUMIF($D$8:$D$55,$O41,$I$8:$I$55)+SUMIF($F$8:$F$55,$O41,$G$8:$G$55)</f>
        <v>4</v>
      </c>
      <c r="R41" s="399">
        <f>P41-Q41</f>
        <v>-4</v>
      </c>
      <c r="S41" s="400">
        <f>SUMIF($D$8:$D$55,$O41,$K$8:$K$55)+SUMIF($F$8:$F$55,$O41,$L$8:$L$55)</f>
        <v>0</v>
      </c>
      <c r="T41" s="445" t="s">
        <v>75</v>
      </c>
      <c r="U41" s="40"/>
      <c r="V41" s="40" t="str">
        <f>O41</f>
        <v>Iran</v>
      </c>
      <c r="W41" s="40" t="s">
        <v>74</v>
      </c>
      <c r="Y41" s="109">
        <f t="shared" si="8"/>
        <v>5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5</v>
      </c>
      <c r="AG41" s="108">
        <f t="shared" si="0"/>
        <v>0</v>
      </c>
      <c r="AH41" s="108">
        <f t="shared" si="1"/>
        <v>0</v>
      </c>
      <c r="AI41" s="108">
        <f t="shared" si="10"/>
        <v>0</v>
      </c>
      <c r="AJ41" s="108">
        <f t="shared" si="2"/>
        <v>5</v>
      </c>
      <c r="AK41" s="108">
        <f t="shared" si="3"/>
        <v>0</v>
      </c>
      <c r="AL41" s="108">
        <f t="shared" si="4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2</v>
      </c>
      <c r="H42" s="373" t="s">
        <v>9</v>
      </c>
      <c r="I42" s="441">
        <v>4</v>
      </c>
      <c r="J42" s="375">
        <f t="shared" si="5"/>
        <v>2</v>
      </c>
      <c r="K42" s="363">
        <f t="shared" si="6"/>
        <v>0</v>
      </c>
      <c r="L42" s="363">
        <f t="shared" si="7"/>
        <v>3</v>
      </c>
      <c r="M42" s="352"/>
      <c r="N42" s="352"/>
      <c r="O42" s="401" t="s">
        <v>34</v>
      </c>
      <c r="P42" s="402">
        <f>SUMIF($D$8:$D$55,$O42,$G$8:$G$55)+SUMIF($F$8:$F$55,$O42,$I$8:$I$55)</f>
        <v>5</v>
      </c>
      <c r="Q42" s="402">
        <f>SUMIF($D$8:$D$55,$O42,$I$8:$I$55)+SUMIF($F$8:$F$55,$O42,$G$8:$G$55)</f>
        <v>4</v>
      </c>
      <c r="R42" s="402">
        <f>P42-Q42</f>
        <v>1</v>
      </c>
      <c r="S42" s="403">
        <f>SUMIF($D$8:$D$55,$O42,$K$8:$K$55)+SUMIF($F$8:$F$55,$O42,$L$8:$L$55)</f>
        <v>6</v>
      </c>
      <c r="T42" s="446" t="s">
        <v>73</v>
      </c>
      <c r="U42" s="40"/>
      <c r="V42" s="40" t="str">
        <f>O42</f>
        <v>Nigeria</v>
      </c>
      <c r="W42" s="40" t="s">
        <v>75</v>
      </c>
      <c r="Y42" s="109">
        <f t="shared" si="8"/>
        <v>6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6</v>
      </c>
      <c r="AG42" s="108">
        <f t="shared" si="0"/>
        <v>0</v>
      </c>
      <c r="AH42" s="108">
        <f t="shared" si="1"/>
        <v>1</v>
      </c>
      <c r="AI42" s="108">
        <f t="shared" si="10"/>
        <v>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2</v>
      </c>
      <c r="H43" s="379" t="s">
        <v>9</v>
      </c>
      <c r="I43" s="442">
        <v>1</v>
      </c>
      <c r="J43" s="381">
        <f t="shared" si="5"/>
        <v>1</v>
      </c>
      <c r="K43" s="363">
        <f t="shared" si="6"/>
        <v>3</v>
      </c>
      <c r="L43" s="363">
        <f t="shared" si="7"/>
        <v>0</v>
      </c>
      <c r="M43" s="352"/>
      <c r="N43" s="352"/>
      <c r="O43" s="392"/>
      <c r="P43" s="393"/>
      <c r="Q43" s="393"/>
      <c r="R43" s="393"/>
      <c r="S43" s="393"/>
      <c r="T43" s="393"/>
      <c r="U43" s="40"/>
      <c r="V43" s="40"/>
      <c r="W43" s="40"/>
      <c r="Y43" s="109">
        <f t="shared" si="8"/>
        <v>0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0</v>
      </c>
      <c r="AG43" s="108">
        <f t="shared" si="0"/>
        <v>0</v>
      </c>
      <c r="AH43" s="108">
        <f t="shared" si="1"/>
        <v>0</v>
      </c>
      <c r="AI43" s="108">
        <f t="shared" si="10"/>
        <v>0</v>
      </c>
      <c r="AJ43" s="108">
        <f t="shared" si="2"/>
        <v>0</v>
      </c>
      <c r="AK43" s="108">
        <f t="shared" si="3"/>
        <v>0</v>
      </c>
      <c r="AL43" s="108">
        <f t="shared" si="4"/>
        <v>0</v>
      </c>
      <c r="AN43" s="40"/>
      <c r="AO43" s="41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2</v>
      </c>
      <c r="H44" s="367" t="s">
        <v>9</v>
      </c>
      <c r="I44" s="440">
        <v>1</v>
      </c>
      <c r="J44" s="369">
        <f t="shared" si="5"/>
        <v>1</v>
      </c>
      <c r="K44" s="363">
        <f t="shared" si="6"/>
        <v>3</v>
      </c>
      <c r="L44" s="363">
        <f t="shared" si="7"/>
        <v>0</v>
      </c>
      <c r="M44" s="352"/>
      <c r="N44" s="352"/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40"/>
      <c r="V44" s="40"/>
      <c r="W44" s="40"/>
      <c r="Y44" s="109">
        <f t="shared" si="8"/>
        <v>1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1</v>
      </c>
      <c r="AG44" s="108">
        <f t="shared" si="0"/>
        <v>0</v>
      </c>
      <c r="AH44" s="108">
        <f t="shared" si="1"/>
        <v>1</v>
      </c>
      <c r="AI44" s="108">
        <f t="shared" si="10"/>
        <v>0</v>
      </c>
      <c r="AJ44" s="108">
        <f t="shared" si="2"/>
        <v>0</v>
      </c>
      <c r="AK44" s="108">
        <f t="shared" si="3"/>
        <v>0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3</v>
      </c>
      <c r="H45" s="373" t="s">
        <v>9</v>
      </c>
      <c r="I45" s="441">
        <v>1</v>
      </c>
      <c r="J45" s="375">
        <f t="shared" si="5"/>
        <v>1</v>
      </c>
      <c r="K45" s="363">
        <f t="shared" si="6"/>
        <v>3</v>
      </c>
      <c r="L45" s="363">
        <f t="shared" si="7"/>
        <v>0</v>
      </c>
      <c r="M45" s="352"/>
      <c r="N45" s="352"/>
      <c r="O45" s="394" t="s">
        <v>31</v>
      </c>
      <c r="P45" s="395">
        <f>SUMIF($D$8:$D$55,$O45,$G$8:$G$55)+SUMIF($F$8:$F$55,$O45,$I$8:$I$55)</f>
        <v>5</v>
      </c>
      <c r="Q45" s="395">
        <f>SUMIF($D$8:$D$55,$O45,$I$8:$I$55)+SUMIF($F$8:$F$55,$O45,$G$8:$G$55)</f>
        <v>2</v>
      </c>
      <c r="R45" s="396">
        <f>P45-Q45</f>
        <v>3</v>
      </c>
      <c r="S45" s="397">
        <f>SUMIF($D$8:$D$55,$O45,$K$8:$K$55)+SUMIF($F$8:$F$55,$O45,$L$8:$L$55)</f>
        <v>6</v>
      </c>
      <c r="T45" s="444" t="s">
        <v>78</v>
      </c>
      <c r="U45" s="40"/>
      <c r="V45" s="40" t="str">
        <f>O45</f>
        <v>Duitsland</v>
      </c>
      <c r="W45" s="40" t="s">
        <v>77</v>
      </c>
      <c r="Y45" s="109">
        <f t="shared" si="8"/>
        <v>0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0</v>
      </c>
      <c r="AG45" s="108">
        <f t="shared" si="0"/>
        <v>0</v>
      </c>
      <c r="AH45" s="108">
        <f t="shared" si="1"/>
        <v>0</v>
      </c>
      <c r="AI45" s="108">
        <f t="shared" si="10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0</v>
      </c>
      <c r="AN45" s="116" t="s">
        <v>31</v>
      </c>
      <c r="AO45" s="115">
        <f>IF(Uitslag!T45="",0,IF(T45=Uitslag!T45,10,0))</f>
        <v>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2</v>
      </c>
      <c r="H46" s="373" t="s">
        <v>9</v>
      </c>
      <c r="I46" s="441">
        <v>2</v>
      </c>
      <c r="J46" s="375">
        <f t="shared" si="5"/>
        <v>3</v>
      </c>
      <c r="K46" s="363">
        <f t="shared" si="6"/>
        <v>1</v>
      </c>
      <c r="L46" s="363">
        <f t="shared" si="7"/>
        <v>1</v>
      </c>
      <c r="M46" s="352"/>
      <c r="N46" s="352"/>
      <c r="O46" s="398" t="s">
        <v>32</v>
      </c>
      <c r="P46" s="399">
        <f>SUMIF($D$8:$D$55,$O46,$G$8:$G$55)+SUMIF($F$8:$F$55,$O46,$I$8:$I$55)</f>
        <v>7</v>
      </c>
      <c r="Q46" s="399">
        <f>SUMIF($D$8:$D$55,$O46,$I$8:$I$55)+SUMIF($F$8:$F$55,$O46,$G$8:$G$55)</f>
        <v>2</v>
      </c>
      <c r="R46" s="399">
        <f>P46-Q46</f>
        <v>5</v>
      </c>
      <c r="S46" s="400">
        <f>SUMIF($D$8:$D$55,$O46,$K$8:$K$55)+SUMIF($F$8:$F$55,$O46,$L$8:$L$55)</f>
        <v>9</v>
      </c>
      <c r="T46" s="445" t="s">
        <v>77</v>
      </c>
      <c r="U46" s="40"/>
      <c r="V46" s="40" t="str">
        <f>O46</f>
        <v>Portugal</v>
      </c>
      <c r="W46" s="40" t="s">
        <v>78</v>
      </c>
      <c r="Y46" s="109">
        <f t="shared" si="8"/>
        <v>0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0</v>
      </c>
      <c r="AG46" s="108">
        <f t="shared" si="0"/>
        <v>0</v>
      </c>
      <c r="AH46" s="108">
        <f t="shared" si="1"/>
        <v>0</v>
      </c>
      <c r="AI46" s="108">
        <f t="shared" si="10"/>
        <v>0</v>
      </c>
      <c r="AJ46" s="108">
        <f t="shared" si="2"/>
        <v>0</v>
      </c>
      <c r="AK46" s="108">
        <f t="shared" si="3"/>
        <v>0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0</v>
      </c>
      <c r="H47" s="379" t="s">
        <v>9</v>
      </c>
      <c r="I47" s="442">
        <v>1</v>
      </c>
      <c r="J47" s="381">
        <f t="shared" si="5"/>
        <v>2</v>
      </c>
      <c r="K47" s="363">
        <f t="shared" si="6"/>
        <v>0</v>
      </c>
      <c r="L47" s="363">
        <f t="shared" si="7"/>
        <v>3</v>
      </c>
      <c r="M47" s="352"/>
      <c r="N47" s="352"/>
      <c r="O47" s="398" t="s">
        <v>35</v>
      </c>
      <c r="P47" s="399">
        <f>SUMIF($D$8:$D$55,$O47,$G$8:$G$55)+SUMIF($F$8:$F$55,$O47,$I$8:$I$55)</f>
        <v>1</v>
      </c>
      <c r="Q47" s="399">
        <f>SUMIF($D$8:$D$55,$O47,$I$8:$I$55)+SUMIF($F$8:$F$55,$O47,$G$8:$G$55)</f>
        <v>9</v>
      </c>
      <c r="R47" s="399">
        <f>P47-Q47</f>
        <v>-8</v>
      </c>
      <c r="S47" s="400">
        <f>SUMIF($D$8:$D$55,$O47,$K$8:$K$55)+SUMIF($F$8:$F$55,$O47,$L$8:$L$55)</f>
        <v>0</v>
      </c>
      <c r="T47" s="445" t="s">
        <v>80</v>
      </c>
      <c r="U47" s="40"/>
      <c r="V47" s="40" t="str">
        <f>O47</f>
        <v>Ghana</v>
      </c>
      <c r="W47" s="40" t="s">
        <v>79</v>
      </c>
      <c r="Y47" s="109">
        <f t="shared" si="8"/>
        <v>1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1</v>
      </c>
      <c r="AG47" s="108">
        <f t="shared" si="0"/>
        <v>0</v>
      </c>
      <c r="AH47" s="108">
        <f t="shared" si="1"/>
        <v>1</v>
      </c>
      <c r="AI47" s="108">
        <f t="shared" si="10"/>
        <v>0</v>
      </c>
      <c r="AJ47" s="108">
        <f t="shared" si="2"/>
        <v>0</v>
      </c>
      <c r="AK47" s="108">
        <f t="shared" si="3"/>
        <v>0</v>
      </c>
      <c r="AL47" s="108">
        <f t="shared" si="4"/>
        <v>0</v>
      </c>
      <c r="AM47" s="120">
        <f>AO47</f>
        <v>10</v>
      </c>
      <c r="AN47" s="117" t="s">
        <v>35</v>
      </c>
      <c r="AO47" s="115">
        <f>IF(Uitslag!T47="",0,IF(T47=Uitslag!T47,10,0))</f>
        <v>10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2</v>
      </c>
      <c r="H48" s="367" t="s">
        <v>9</v>
      </c>
      <c r="I48" s="440">
        <v>3</v>
      </c>
      <c r="J48" s="369">
        <f t="shared" si="5"/>
        <v>2</v>
      </c>
      <c r="K48" s="363">
        <f t="shared" si="6"/>
        <v>0</v>
      </c>
      <c r="L48" s="363">
        <f t="shared" si="7"/>
        <v>3</v>
      </c>
      <c r="M48" s="352"/>
      <c r="N48" s="352"/>
      <c r="O48" s="401" t="s">
        <v>36</v>
      </c>
      <c r="P48" s="402">
        <f>SUMIF($D$8:$D$55,$O48,$G$8:$G$55)+SUMIF($F$8:$F$55,$O48,$I$8:$I$55)</f>
        <v>4</v>
      </c>
      <c r="Q48" s="402">
        <f>SUMIF($D$8:$D$55,$O48,$I$8:$I$55)+SUMIF($F$8:$F$55,$O48,$G$8:$G$55)</f>
        <v>4</v>
      </c>
      <c r="R48" s="402">
        <f>P48-Q48</f>
        <v>0</v>
      </c>
      <c r="S48" s="403">
        <f>SUMIF($D$8:$D$55,$O48,$K$8:$K$55)+SUMIF($F$8:$F$55,$O48,$L$8:$L$55)</f>
        <v>3</v>
      </c>
      <c r="T48" s="446" t="s">
        <v>79</v>
      </c>
      <c r="U48" s="40"/>
      <c r="V48" s="40" t="str">
        <f>O48</f>
        <v>Verenigde Staten</v>
      </c>
      <c r="W48" s="40" t="s">
        <v>80</v>
      </c>
      <c r="Y48" s="109">
        <f t="shared" si="8"/>
        <v>10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10</v>
      </c>
      <c r="AG48" s="108">
        <f t="shared" si="0"/>
        <v>1</v>
      </c>
      <c r="AH48" s="108">
        <f t="shared" si="1"/>
        <v>1</v>
      </c>
      <c r="AI48" s="108">
        <f t="shared" si="10"/>
        <v>10</v>
      </c>
      <c r="AJ48" s="108">
        <f t="shared" si="2"/>
        <v>0</v>
      </c>
      <c r="AK48" s="108">
        <f t="shared" si="3"/>
        <v>5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1</v>
      </c>
      <c r="H49" s="373" t="s">
        <v>9</v>
      </c>
      <c r="I49" s="441">
        <v>0</v>
      </c>
      <c r="J49" s="375">
        <f t="shared" si="5"/>
        <v>1</v>
      </c>
      <c r="K49" s="363">
        <f t="shared" si="6"/>
        <v>3</v>
      </c>
      <c r="L49" s="363">
        <f t="shared" si="7"/>
        <v>0</v>
      </c>
      <c r="M49" s="352"/>
      <c r="N49" s="352"/>
      <c r="O49" s="392"/>
      <c r="P49" s="393"/>
      <c r="Q49" s="393"/>
      <c r="R49" s="393"/>
      <c r="S49" s="393"/>
      <c r="T49" s="393"/>
      <c r="U49" s="40"/>
      <c r="V49" s="40"/>
      <c r="W49" s="40"/>
      <c r="Y49" s="109">
        <f t="shared" si="8"/>
        <v>5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5</v>
      </c>
      <c r="AG49" s="108">
        <f t="shared" si="0"/>
        <v>0</v>
      </c>
      <c r="AH49" s="108">
        <f t="shared" si="1"/>
        <v>0</v>
      </c>
      <c r="AI49" s="108">
        <f t="shared" si="10"/>
        <v>0</v>
      </c>
      <c r="AJ49" s="108">
        <f t="shared" si="2"/>
        <v>5</v>
      </c>
      <c r="AK49" s="108">
        <f t="shared" si="3"/>
        <v>0</v>
      </c>
      <c r="AL49" s="108">
        <f t="shared" si="4"/>
        <v>0</v>
      </c>
      <c r="AN49" s="40"/>
      <c r="AO49" s="41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3</v>
      </c>
      <c r="H50" s="373" t="s">
        <v>9</v>
      </c>
      <c r="I50" s="441">
        <v>1</v>
      </c>
      <c r="J50" s="375">
        <f t="shared" si="5"/>
        <v>1</v>
      </c>
      <c r="K50" s="363">
        <f t="shared" si="6"/>
        <v>3</v>
      </c>
      <c r="L50" s="363">
        <f t="shared" si="7"/>
        <v>0</v>
      </c>
      <c r="M50" s="352"/>
      <c r="N50" s="352"/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40"/>
      <c r="V50" s="40"/>
      <c r="W50" s="40"/>
      <c r="Y50" s="109">
        <f t="shared" si="8"/>
        <v>0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0</v>
      </c>
      <c r="AG50" s="108">
        <f t="shared" si="0"/>
        <v>0</v>
      </c>
      <c r="AH50" s="108">
        <f t="shared" si="1"/>
        <v>0</v>
      </c>
      <c r="AI50" s="108">
        <f t="shared" si="10"/>
        <v>0</v>
      </c>
      <c r="AJ50" s="108">
        <f t="shared" si="2"/>
        <v>0</v>
      </c>
      <c r="AK50" s="108">
        <f t="shared" si="3"/>
        <v>0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2</v>
      </c>
      <c r="H51" s="379" t="s">
        <v>9</v>
      </c>
      <c r="I51" s="442">
        <v>3</v>
      </c>
      <c r="J51" s="381">
        <f t="shared" si="5"/>
        <v>2</v>
      </c>
      <c r="K51" s="363">
        <f t="shared" si="6"/>
        <v>0</v>
      </c>
      <c r="L51" s="363">
        <f>IF(I51="","",IF($G51&lt;$I51,3,IF($G51=$I51,1,0)))</f>
        <v>3</v>
      </c>
      <c r="M51" s="352"/>
      <c r="N51" s="352"/>
      <c r="O51" s="394" t="s">
        <v>37</v>
      </c>
      <c r="P51" s="395">
        <f>SUMIF($D$8:$D$55,$O51,$G$8:$G$55)+SUMIF($F$8:$F$55,$O51,$I$8:$I$55)</f>
        <v>6</v>
      </c>
      <c r="Q51" s="395">
        <f>SUMIF($D$8:$D$55,$O51,$I$8:$I$55)+SUMIF($F$8:$F$55,$O51,$G$8:$G$55)</f>
        <v>3</v>
      </c>
      <c r="R51" s="396">
        <f>P51-Q51</f>
        <v>3</v>
      </c>
      <c r="S51" s="397">
        <f>SUMIF($D$8:$D$55,$O51,$K$8:$K$55)+SUMIF($F$8:$F$55,$O51,$L$8:$L$55)</f>
        <v>7</v>
      </c>
      <c r="T51" s="444" t="s">
        <v>82</v>
      </c>
      <c r="U51" s="40"/>
      <c r="V51" s="40" t="str">
        <f>O51</f>
        <v>België</v>
      </c>
      <c r="W51" s="40" t="s">
        <v>82</v>
      </c>
      <c r="Y51" s="109">
        <f t="shared" si="8"/>
        <v>0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0</v>
      </c>
      <c r="AG51" s="108">
        <f t="shared" si="0"/>
        <v>0</v>
      </c>
      <c r="AH51" s="108">
        <f t="shared" si="1"/>
        <v>0</v>
      </c>
      <c r="AI51" s="108">
        <f t="shared" si="10"/>
        <v>0</v>
      </c>
      <c r="AJ51" s="108">
        <f t="shared" si="2"/>
        <v>0</v>
      </c>
      <c r="AK51" s="108">
        <f t="shared" si="3"/>
        <v>0</v>
      </c>
      <c r="AL51" s="108">
        <f t="shared" si="4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0</v>
      </c>
      <c r="H52" s="373" t="s">
        <v>9</v>
      </c>
      <c r="I52" s="441">
        <v>1</v>
      </c>
      <c r="J52" s="369">
        <f t="shared" si="5"/>
        <v>2</v>
      </c>
      <c r="K52" s="363">
        <f t="shared" si="6"/>
        <v>0</v>
      </c>
      <c r="L52" s="363">
        <f t="shared" si="7"/>
        <v>3</v>
      </c>
      <c r="M52" s="352"/>
      <c r="N52" s="352"/>
      <c r="O52" s="398" t="s">
        <v>38</v>
      </c>
      <c r="P52" s="399">
        <f>SUMIF($D$8:$D$55,$O52,$G$8:$G$55)+SUMIF($F$8:$F$55,$O52,$I$8:$I$55)</f>
        <v>1</v>
      </c>
      <c r="Q52" s="399">
        <f>SUMIF($D$8:$D$55,$O52,$I$8:$I$55)+SUMIF($F$8:$F$55,$O52,$G$8:$G$55)</f>
        <v>7</v>
      </c>
      <c r="R52" s="399">
        <f>P52-Q52</f>
        <v>-6</v>
      </c>
      <c r="S52" s="400">
        <f>SUMIF($D$8:$D$55,$O52,$K$8:$K$55)+SUMIF($F$8:$F$55,$O52,$L$8:$L$55)</f>
        <v>0</v>
      </c>
      <c r="T52" s="445" t="s">
        <v>85</v>
      </c>
      <c r="U52" s="40"/>
      <c r="V52" s="40" t="str">
        <f>O52</f>
        <v>Algerije</v>
      </c>
      <c r="W52" s="40" t="s">
        <v>83</v>
      </c>
      <c r="Y52" s="109">
        <f t="shared" si="8"/>
        <v>10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10</v>
      </c>
      <c r="AG52" s="108">
        <f t="shared" si="0"/>
        <v>1</v>
      </c>
      <c r="AH52" s="108">
        <f t="shared" si="1"/>
        <v>1</v>
      </c>
      <c r="AI52" s="108">
        <f t="shared" si="10"/>
        <v>10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3</v>
      </c>
      <c r="H53" s="373" t="s">
        <v>9</v>
      </c>
      <c r="I53" s="441">
        <v>0</v>
      </c>
      <c r="J53" s="375">
        <f t="shared" si="5"/>
        <v>1</v>
      </c>
      <c r="K53" s="363">
        <f t="shared" si="6"/>
        <v>3</v>
      </c>
      <c r="L53" s="363">
        <f t="shared" si="7"/>
        <v>0</v>
      </c>
      <c r="M53" s="352"/>
      <c r="N53" s="352"/>
      <c r="O53" s="398" t="s">
        <v>39</v>
      </c>
      <c r="P53" s="399">
        <f>SUMIF($D$8:$D$55,$O53,$G$8:$G$55)+SUMIF($F$8:$F$55,$O53,$I$8:$I$55)</f>
        <v>7</v>
      </c>
      <c r="Q53" s="399">
        <f>SUMIF($D$8:$D$55,$O53,$I$8:$I$55)+SUMIF($F$8:$F$55,$O53,$G$8:$G$55)</f>
        <v>5</v>
      </c>
      <c r="R53" s="399">
        <f>P53-Q53</f>
        <v>2</v>
      </c>
      <c r="S53" s="400">
        <f>SUMIF($D$8:$D$55,$O53,$K$8:$K$55)+SUMIF($F$8:$F$55,$O53,$L$8:$L$55)</f>
        <v>5</v>
      </c>
      <c r="T53" s="445" t="s">
        <v>83</v>
      </c>
      <c r="U53" s="40"/>
      <c r="V53" s="40" t="str">
        <f>O53</f>
        <v>Rusland</v>
      </c>
      <c r="W53" s="40" t="s">
        <v>84</v>
      </c>
      <c r="Y53" s="109">
        <f t="shared" si="8"/>
        <v>5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5</v>
      </c>
      <c r="AG53" s="108">
        <f t="shared" si="0"/>
        <v>0</v>
      </c>
      <c r="AH53" s="108">
        <f t="shared" si="1"/>
        <v>0</v>
      </c>
      <c r="AI53" s="108">
        <f t="shared" si="10"/>
        <v>0</v>
      </c>
      <c r="AJ53" s="108">
        <f t="shared" si="2"/>
        <v>5</v>
      </c>
      <c r="AK53" s="108">
        <f t="shared" si="3"/>
        <v>0</v>
      </c>
      <c r="AL53" s="108">
        <f t="shared" si="4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1</v>
      </c>
      <c r="H54" s="373" t="s">
        <v>9</v>
      </c>
      <c r="I54" s="441">
        <v>2</v>
      </c>
      <c r="J54" s="375">
        <f t="shared" si="5"/>
        <v>2</v>
      </c>
      <c r="K54" s="363">
        <f t="shared" si="6"/>
        <v>0</v>
      </c>
      <c r="L54" s="363">
        <f t="shared" si="7"/>
        <v>3</v>
      </c>
      <c r="M54" s="352"/>
      <c r="N54" s="352"/>
      <c r="O54" s="401" t="s">
        <v>40</v>
      </c>
      <c r="P54" s="402">
        <f>SUMIF($D$8:$D$55,$O54,$G$8:$G$55)+SUMIF($F$8:$F$55,$O54,$I$8:$I$55)</f>
        <v>5</v>
      </c>
      <c r="Q54" s="402">
        <f>SUMIF($D$8:$D$55,$O54,$I$8:$I$55)+SUMIF($F$8:$F$55,$O54,$G$8:$G$55)</f>
        <v>4</v>
      </c>
      <c r="R54" s="402">
        <f>P54-Q54</f>
        <v>1</v>
      </c>
      <c r="S54" s="403">
        <f>SUMIF($D$8:$D$55,$O54,$K$8:$K$55)+SUMIF($F$8:$F$55,$O54,$L$8:$L$55)</f>
        <v>4</v>
      </c>
      <c r="T54" s="446" t="s">
        <v>84</v>
      </c>
      <c r="U54" s="40"/>
      <c r="V54" s="40" t="str">
        <f>O54</f>
        <v>Zuid Korea</v>
      </c>
      <c r="W54" s="40" t="s">
        <v>85</v>
      </c>
      <c r="Y54" s="109">
        <f t="shared" si="8"/>
        <v>5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5</v>
      </c>
      <c r="AG54" s="108">
        <f t="shared" si="0"/>
        <v>0</v>
      </c>
      <c r="AH54" s="108">
        <f t="shared" si="1"/>
        <v>0</v>
      </c>
      <c r="AI54" s="108">
        <f t="shared" si="10"/>
        <v>0</v>
      </c>
      <c r="AJ54" s="108">
        <f t="shared" si="2"/>
        <v>0</v>
      </c>
      <c r="AK54" s="108">
        <f t="shared" si="3"/>
        <v>5</v>
      </c>
      <c r="AL54" s="108">
        <f t="shared" si="4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1</v>
      </c>
      <c r="H55" s="388" t="s">
        <v>9</v>
      </c>
      <c r="I55" s="443">
        <v>3</v>
      </c>
      <c r="J55" s="390">
        <f t="shared" si="5"/>
        <v>2</v>
      </c>
      <c r="K55" s="363">
        <f t="shared" si="6"/>
        <v>0</v>
      </c>
      <c r="L55" s="363">
        <f t="shared" si="7"/>
        <v>3</v>
      </c>
      <c r="M55" s="352"/>
      <c r="N55" s="352"/>
      <c r="O55" s="392"/>
      <c r="P55" s="393"/>
      <c r="Q55" s="393"/>
      <c r="R55" s="393"/>
      <c r="S55" s="393"/>
      <c r="T55" s="393"/>
      <c r="U55" s="40"/>
      <c r="V55" s="40"/>
      <c r="W55" s="40"/>
      <c r="Y55" s="109">
        <f t="shared" si="8"/>
        <v>1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</v>
      </c>
      <c r="AG55" s="108">
        <f t="shared" si="0"/>
        <v>1</v>
      </c>
      <c r="AH55" s="108">
        <f t="shared" si="1"/>
        <v>0</v>
      </c>
      <c r="AI55" s="108">
        <f t="shared" si="10"/>
        <v>0</v>
      </c>
      <c r="AJ55" s="108">
        <f t="shared" si="2"/>
        <v>0</v>
      </c>
      <c r="AK55" s="108">
        <f t="shared" si="3"/>
        <v>0</v>
      </c>
      <c r="AL55" s="108">
        <f t="shared" si="4"/>
        <v>0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N56" s="352"/>
      <c r="O56" s="352"/>
      <c r="P56" s="352"/>
      <c r="Q56" s="352"/>
      <c r="R56" s="352"/>
      <c r="S56" s="352"/>
      <c r="T56" s="352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27"/>
      <c r="K57" s="353"/>
      <c r="L57" s="353"/>
      <c r="M57" s="353"/>
      <c r="N57" s="352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32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N58" s="352"/>
      <c r="O58" s="458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>IF(ISERROR(Z59),K59,Z59)</f>
        <v>Brazilië</v>
      </c>
      <c r="E59" s="367" t="s">
        <v>9</v>
      </c>
      <c r="F59" s="406" t="str">
        <f>IF(ISERROR(AA59),L59,AA59)</f>
        <v>Chili</v>
      </c>
      <c r="G59" s="435">
        <v>2</v>
      </c>
      <c r="H59" s="367" t="s">
        <v>9</v>
      </c>
      <c r="I59" s="447">
        <v>1</v>
      </c>
      <c r="J59" s="448">
        <v>1</v>
      </c>
      <c r="K59" s="407" t="s">
        <v>48</v>
      </c>
      <c r="L59" s="407" t="s">
        <v>53</v>
      </c>
      <c r="M59" s="407">
        <v>1</v>
      </c>
      <c r="N59" s="352"/>
      <c r="O59" s="458">
        <v>2</v>
      </c>
      <c r="P59" s="877" t="s">
        <v>212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3">AF59</f>
        <v>1</v>
      </c>
      <c r="Z59" t="str">
        <f t="shared" ref="Z59:AA65" si="14">IF(K59=""," ",VLOOKUP(K59,$T$9:$V$54,3,FALSE))</f>
        <v>Brazilië</v>
      </c>
      <c r="AA59" t="str">
        <f t="shared" si="14"/>
        <v>Chili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1</v>
      </c>
      <c r="AG59" s="108">
        <f t="shared" ref="AG59:AG66" si="16">IF(AC59="",0,(IF(G59=AC59,1,0)))</f>
        <v>0</v>
      </c>
      <c r="AH59" s="108">
        <f t="shared" ref="AH59:AH66" si="17">IF(AD59="",0,(IF(I59=AD59,1,0)))</f>
        <v>1</v>
      </c>
      <c r="AI59" s="108">
        <f t="shared" ref="AI59:AI66" si="18">IF(AND(AG59=1,AH59=1),10,0)</f>
        <v>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376">
        <v>50</v>
      </c>
      <c r="C60" s="466">
        <v>41818</v>
      </c>
      <c r="D60" s="460" t="str">
        <f t="shared" ref="D60:D66" si="23">IF(ISERROR(Z60),K60,Z60)</f>
        <v>Ivoorkust</v>
      </c>
      <c r="E60" s="379" t="s">
        <v>9</v>
      </c>
      <c r="F60" s="409" t="str">
        <f t="shared" ref="F60:F66" si="24">IF(ISERROR(AA60),L60,AA60)</f>
        <v>Uruguay</v>
      </c>
      <c r="G60" s="437">
        <v>0</v>
      </c>
      <c r="H60" s="379" t="s">
        <v>9</v>
      </c>
      <c r="I60" s="449">
        <v>1</v>
      </c>
      <c r="J60" s="450">
        <v>2</v>
      </c>
      <c r="K60" s="407" t="s">
        <v>57</v>
      </c>
      <c r="L60" s="407" t="s">
        <v>63</v>
      </c>
      <c r="M60" s="407">
        <v>2</v>
      </c>
      <c r="N60" s="352"/>
      <c r="O60" s="458">
        <v>3</v>
      </c>
      <c r="P60" s="877" t="s">
        <v>220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3"/>
        <v>0</v>
      </c>
      <c r="Z60" t="str">
        <f t="shared" si="14"/>
        <v>Ivoorkust</v>
      </c>
      <c r="AA60" t="str">
        <f t="shared" si="14"/>
        <v>Uruguay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0</v>
      </c>
      <c r="AG60" s="108">
        <f t="shared" si="16"/>
        <v>0</v>
      </c>
      <c r="AH60" s="108">
        <f t="shared" si="17"/>
        <v>0</v>
      </c>
      <c r="AI60" s="108">
        <f t="shared" si="18"/>
        <v>0</v>
      </c>
      <c r="AJ60" s="108">
        <f t="shared" si="19"/>
        <v>0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2"/>
        <v>3</v>
      </c>
    </row>
    <row r="61" spans="2:54">
      <c r="B61" s="364">
        <v>51</v>
      </c>
      <c r="C61" s="465">
        <v>41819</v>
      </c>
      <c r="D61" s="464" t="str">
        <f t="shared" si="23"/>
        <v>Nederland</v>
      </c>
      <c r="E61" s="367" t="s">
        <v>9</v>
      </c>
      <c r="F61" s="406" t="str">
        <f t="shared" si="24"/>
        <v>Kameroen</v>
      </c>
      <c r="G61" s="435">
        <v>2</v>
      </c>
      <c r="H61" s="367" t="s">
        <v>9</v>
      </c>
      <c r="I61" s="447">
        <v>0</v>
      </c>
      <c r="J61" s="448">
        <v>1</v>
      </c>
      <c r="K61" s="407" t="s">
        <v>52</v>
      </c>
      <c r="L61" s="407" t="s">
        <v>49</v>
      </c>
      <c r="M61" s="407"/>
      <c r="N61" s="352"/>
      <c r="O61" s="458">
        <v>4</v>
      </c>
      <c r="P61" s="877" t="s">
        <v>211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3"/>
        <v>6</v>
      </c>
      <c r="Z61" t="str">
        <f t="shared" si="14"/>
        <v>Nederland</v>
      </c>
      <c r="AA61" t="str">
        <f t="shared" si="14"/>
        <v>Kameroen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6</v>
      </c>
      <c r="AG61" s="108">
        <f t="shared" si="16"/>
        <v>1</v>
      </c>
      <c r="AH61" s="108">
        <f t="shared" si="17"/>
        <v>0</v>
      </c>
      <c r="AI61" s="108">
        <f t="shared" si="18"/>
        <v>0</v>
      </c>
      <c r="AJ61" s="108">
        <f t="shared" si="19"/>
        <v>5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3</v>
      </c>
      <c r="BB61" s="139">
        <f t="shared" si="22"/>
        <v>3</v>
      </c>
    </row>
    <row r="62" spans="2:54">
      <c r="B62" s="376">
        <v>52</v>
      </c>
      <c r="C62" s="466">
        <v>41819</v>
      </c>
      <c r="D62" s="464" t="str">
        <f t="shared" si="23"/>
        <v>Italië</v>
      </c>
      <c r="E62" s="379" t="s">
        <v>9</v>
      </c>
      <c r="F62" s="409" t="str">
        <f t="shared" si="24"/>
        <v>Colombia</v>
      </c>
      <c r="G62" s="437">
        <v>1</v>
      </c>
      <c r="H62" s="379" t="s">
        <v>9</v>
      </c>
      <c r="I62" s="449">
        <v>1</v>
      </c>
      <c r="J62" s="450">
        <v>2</v>
      </c>
      <c r="K62" s="407" t="s">
        <v>62</v>
      </c>
      <c r="L62" s="407" t="s">
        <v>58</v>
      </c>
      <c r="M62" s="407"/>
      <c r="N62" s="352"/>
      <c r="O62" s="458">
        <v>5</v>
      </c>
      <c r="P62" s="877" t="s">
        <v>225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3"/>
        <v>10</v>
      </c>
      <c r="Z62" t="str">
        <f t="shared" si="14"/>
        <v>Italië</v>
      </c>
      <c r="AA62" t="str">
        <f t="shared" si="14"/>
        <v>Colombia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10</v>
      </c>
      <c r="AG62" s="108">
        <f t="shared" si="16"/>
        <v>1</v>
      </c>
      <c r="AH62" s="108">
        <f t="shared" si="17"/>
        <v>1</v>
      </c>
      <c r="AI62" s="108">
        <f t="shared" si="18"/>
        <v>10</v>
      </c>
      <c r="AJ62" s="108">
        <f t="shared" si="19"/>
        <v>0</v>
      </c>
      <c r="AK62" s="108">
        <f t="shared" si="20"/>
        <v>0</v>
      </c>
      <c r="AL62" s="108">
        <f t="shared" si="21"/>
        <v>5</v>
      </c>
      <c r="AZ62" s="138" t="str">
        <f>Uitslag!P62</f>
        <v>Bruno Martins Indi (v)</v>
      </c>
      <c r="BA62" s="140">
        <f t="shared" si="12"/>
        <v>3</v>
      </c>
      <c r="BB62" s="139">
        <f t="shared" si="22"/>
        <v>3</v>
      </c>
    </row>
    <row r="63" spans="2:54">
      <c r="B63" s="364">
        <v>53</v>
      </c>
      <c r="C63" s="465">
        <v>41820</v>
      </c>
      <c r="D63" s="459" t="str">
        <f t="shared" si="23"/>
        <v>Ecuador</v>
      </c>
      <c r="E63" s="367" t="s">
        <v>9</v>
      </c>
      <c r="F63" s="406" t="str">
        <f t="shared" si="24"/>
        <v>Nigeria</v>
      </c>
      <c r="G63" s="435">
        <v>2</v>
      </c>
      <c r="H63" s="367" t="s">
        <v>9</v>
      </c>
      <c r="I63" s="447">
        <v>1</v>
      </c>
      <c r="J63" s="448">
        <v>1</v>
      </c>
      <c r="K63" s="407" t="s">
        <v>67</v>
      </c>
      <c r="L63" s="407" t="s">
        <v>73</v>
      </c>
      <c r="M63" s="407"/>
      <c r="N63" s="352"/>
      <c r="O63" s="458">
        <v>6</v>
      </c>
      <c r="P63" s="877" t="s">
        <v>268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3"/>
        <v>6</v>
      </c>
      <c r="Z63" t="str">
        <f t="shared" si="14"/>
        <v>Ecuador</v>
      </c>
      <c r="AA63" t="str">
        <f t="shared" si="14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6</v>
      </c>
      <c r="AG63" s="108">
        <f t="shared" si="16"/>
        <v>1</v>
      </c>
      <c r="AH63" s="108">
        <f t="shared" si="17"/>
        <v>0</v>
      </c>
      <c r="AI63" s="108">
        <f t="shared" si="18"/>
        <v>0</v>
      </c>
      <c r="AJ63" s="108">
        <f t="shared" si="19"/>
        <v>5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0</v>
      </c>
      <c r="BB63" s="139">
        <f t="shared" si="22"/>
        <v>0</v>
      </c>
    </row>
    <row r="64" spans="2:54">
      <c r="B64" s="376">
        <v>54</v>
      </c>
      <c r="C64" s="466">
        <v>41820</v>
      </c>
      <c r="D64" s="460" t="str">
        <f t="shared" si="23"/>
        <v>Portugal</v>
      </c>
      <c r="E64" s="379" t="s">
        <v>9</v>
      </c>
      <c r="F64" s="409" t="str">
        <f t="shared" si="24"/>
        <v>Rusland</v>
      </c>
      <c r="G64" s="437">
        <v>1</v>
      </c>
      <c r="H64" s="379" t="s">
        <v>9</v>
      </c>
      <c r="I64" s="449">
        <v>1</v>
      </c>
      <c r="J64" s="450">
        <v>1</v>
      </c>
      <c r="K64" s="407" t="s">
        <v>77</v>
      </c>
      <c r="L64" s="407" t="s">
        <v>83</v>
      </c>
      <c r="M64" s="407"/>
      <c r="N64" s="352"/>
      <c r="O64" s="458">
        <v>7</v>
      </c>
      <c r="P64" s="877" t="s">
        <v>214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3"/>
        <v>5</v>
      </c>
      <c r="Z64" t="str">
        <f t="shared" si="14"/>
        <v>Portugal</v>
      </c>
      <c r="AA64" t="str">
        <f t="shared" si="14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5</v>
      </c>
      <c r="AG64" s="108">
        <f t="shared" si="16"/>
        <v>0</v>
      </c>
      <c r="AH64" s="108">
        <f t="shared" si="17"/>
        <v>0</v>
      </c>
      <c r="AI64" s="108">
        <f t="shared" si="18"/>
        <v>0</v>
      </c>
      <c r="AJ64" s="108">
        <f t="shared" si="19"/>
        <v>0</v>
      </c>
      <c r="AK64" s="108">
        <f t="shared" si="20"/>
        <v>0</v>
      </c>
      <c r="AL64" s="108">
        <f t="shared" si="21"/>
        <v>5</v>
      </c>
      <c r="AZ64" s="138" t="str">
        <f>Uitslag!P64</f>
        <v>Wesley Sneijder (m)</v>
      </c>
      <c r="BA64" s="140">
        <f t="shared" si="12"/>
        <v>3</v>
      </c>
      <c r="BB64" s="139">
        <f t="shared" si="22"/>
        <v>3</v>
      </c>
    </row>
    <row r="65" spans="2:54">
      <c r="B65" s="370">
        <v>55</v>
      </c>
      <c r="C65" s="467">
        <v>41821</v>
      </c>
      <c r="D65" s="459" t="str">
        <f t="shared" si="23"/>
        <v>Argentinië</v>
      </c>
      <c r="E65" s="373" t="s">
        <v>9</v>
      </c>
      <c r="F65" s="410" t="str">
        <f t="shared" si="24"/>
        <v>Frankrijk</v>
      </c>
      <c r="G65" s="436">
        <v>1</v>
      </c>
      <c r="H65" s="373" t="s">
        <v>9</v>
      </c>
      <c r="I65" s="451">
        <v>0</v>
      </c>
      <c r="J65" s="452">
        <v>1</v>
      </c>
      <c r="K65" s="407" t="s">
        <v>72</v>
      </c>
      <c r="L65" s="407" t="s">
        <v>68</v>
      </c>
      <c r="M65" s="407"/>
      <c r="N65" s="352"/>
      <c r="O65" s="458">
        <v>8</v>
      </c>
      <c r="P65" s="877" t="s">
        <v>213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3"/>
        <v>1</v>
      </c>
      <c r="Z65" t="str">
        <f t="shared" si="14"/>
        <v>Argentinië</v>
      </c>
      <c r="AA65" t="str">
        <f t="shared" si="14"/>
        <v>Frankrijk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1</v>
      </c>
      <c r="AG65" s="108">
        <f t="shared" si="16"/>
        <v>0</v>
      </c>
      <c r="AH65" s="108">
        <f t="shared" si="17"/>
        <v>1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2"/>
        <v>3</v>
      </c>
    </row>
    <row r="66" spans="2:54" ht="15.75" thickBot="1">
      <c r="B66" s="385">
        <v>56</v>
      </c>
      <c r="C66" s="462">
        <v>41821</v>
      </c>
      <c r="D66" s="461" t="str">
        <f t="shared" si="23"/>
        <v>België</v>
      </c>
      <c r="E66" s="388" t="s">
        <v>9</v>
      </c>
      <c r="F66" s="412" t="str">
        <f t="shared" si="24"/>
        <v>Duitsland</v>
      </c>
      <c r="G66" s="438">
        <v>1</v>
      </c>
      <c r="H66" s="388" t="s">
        <v>9</v>
      </c>
      <c r="I66" s="453">
        <v>1</v>
      </c>
      <c r="J66" s="454">
        <v>1</v>
      </c>
      <c r="K66" s="407" t="s">
        <v>82</v>
      </c>
      <c r="L66" s="407" t="s">
        <v>78</v>
      </c>
      <c r="M66" s="407"/>
      <c r="N66" s="352"/>
      <c r="O66" s="458">
        <v>9</v>
      </c>
      <c r="P66" s="877" t="s">
        <v>230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3"/>
        <v>5</v>
      </c>
      <c r="Z66" t="str">
        <f>IF(K66=""," ",VLOOKUP(K66,$T$9:$V$54,3,FALSE))</f>
        <v>België</v>
      </c>
      <c r="AA66" t="str">
        <f>IF(L66=""," ",VLOOKUP(L66,$T$9:$V$54,3,FALSE))</f>
        <v>Duitsland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5</v>
      </c>
      <c r="AG66" s="108">
        <f t="shared" si="16"/>
        <v>0</v>
      </c>
      <c r="AH66" s="108">
        <f t="shared" si="17"/>
        <v>0</v>
      </c>
      <c r="AI66" s="108">
        <f t="shared" si="18"/>
        <v>0</v>
      </c>
      <c r="AJ66" s="108">
        <f t="shared" si="19"/>
        <v>0</v>
      </c>
      <c r="AK66" s="108">
        <f t="shared" si="20"/>
        <v>0</v>
      </c>
      <c r="AL66" s="108">
        <f t="shared" si="21"/>
        <v>5</v>
      </c>
      <c r="AZ66" s="138" t="str">
        <f>Uitslag!P66</f>
        <v>Jonathan de Guzman (m)</v>
      </c>
      <c r="BA66" s="140">
        <f t="shared" si="12"/>
        <v>0</v>
      </c>
      <c r="BB66" s="139">
        <f t="shared" si="22"/>
        <v>0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N67" s="352"/>
      <c r="O67" s="458">
        <v>10</v>
      </c>
      <c r="P67" s="877" t="s">
        <v>216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2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27"/>
      <c r="K68" s="353"/>
      <c r="L68" s="353"/>
      <c r="M68" s="353"/>
      <c r="N68" s="352"/>
      <c r="O68" s="458">
        <v>11</v>
      </c>
      <c r="P68" s="877" t="s">
        <v>215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2"/>
        <v>3</v>
      </c>
    </row>
    <row r="69" spans="2:54">
      <c r="B69" s="428" t="s">
        <v>1</v>
      </c>
      <c r="C69" s="429" t="s">
        <v>2</v>
      </c>
      <c r="D69" s="430" t="s">
        <v>3</v>
      </c>
      <c r="E69" s="431"/>
      <c r="F69" s="432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N69" s="352"/>
      <c r="O69" s="352"/>
      <c r="P69" s="352"/>
      <c r="Q69" s="352"/>
      <c r="R69" s="352"/>
      <c r="S69" s="352"/>
      <c r="T69" s="352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27</v>
      </c>
      <c r="BB69" s="139" t="str">
        <f>IF(AND(BA69&lt;&gt;"",BA69=33),15,"nvt")</f>
        <v>nvt</v>
      </c>
    </row>
    <row r="70" spans="2:54">
      <c r="B70" s="364">
        <v>57</v>
      </c>
      <c r="C70" s="365">
        <v>41824</v>
      </c>
      <c r="D70" s="405" t="str">
        <f>IF(J63="","Winnaar 53",IF(J63=1,D63,F63))</f>
        <v>Ecuador</v>
      </c>
      <c r="E70" s="367" t="s">
        <v>9</v>
      </c>
      <c r="F70" s="406" t="str">
        <f>IF(J64="","Winnaar 54",IF(J64=1,D64,F64))</f>
        <v>Portugal</v>
      </c>
      <c r="G70" s="435">
        <v>1</v>
      </c>
      <c r="H70" s="367" t="s">
        <v>9</v>
      </c>
      <c r="I70" s="447">
        <v>1</v>
      </c>
      <c r="J70" s="448">
        <v>1</v>
      </c>
      <c r="K70" s="353"/>
      <c r="L70" s="353"/>
      <c r="M70" s="353"/>
      <c r="N70" s="352"/>
      <c r="O70" s="352"/>
      <c r="P70" s="352"/>
      <c r="Q70" s="352"/>
      <c r="R70" s="352"/>
      <c r="S70" s="352"/>
      <c r="T70" s="352"/>
      <c r="V70" t="s">
        <v>133</v>
      </c>
      <c r="W70" t="s">
        <v>126</v>
      </c>
      <c r="X70" t="str">
        <f t="shared" si="11"/>
        <v>Karim Rekik (v)</v>
      </c>
      <c r="Y70" s="109">
        <f>AF70</f>
        <v>1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1</v>
      </c>
      <c r="AG70" s="108">
        <f>IF(AC70="",0,(IF(G70=AC70,1,0)))</f>
        <v>0</v>
      </c>
      <c r="AH70" s="108">
        <f>IF(AD70="",0,(IF(I70=AD70,1,0)))</f>
        <v>1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0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Brazilië</v>
      </c>
      <c r="E71" s="379" t="s">
        <v>9</v>
      </c>
      <c r="F71" s="409" t="str">
        <f>IF(J60="","Winnaar 50",IF(J60=1,D60,F60))</f>
        <v>Uruguay</v>
      </c>
      <c r="G71" s="437">
        <v>2</v>
      </c>
      <c r="H71" s="379" t="s">
        <v>9</v>
      </c>
      <c r="I71" s="449">
        <v>1</v>
      </c>
      <c r="J71" s="450">
        <v>1</v>
      </c>
      <c r="K71" s="353"/>
      <c r="L71" s="353"/>
      <c r="M71" s="353"/>
      <c r="N71" s="352"/>
      <c r="O71" s="352"/>
      <c r="P71" s="352"/>
      <c r="Q71" s="352"/>
      <c r="R71" s="352"/>
      <c r="S71" s="352"/>
      <c r="T71" s="352"/>
      <c r="V71" t="s">
        <v>133</v>
      </c>
      <c r="W71" t="s">
        <v>194</v>
      </c>
      <c r="X71" t="str">
        <f t="shared" si="11"/>
        <v>Ron Vlaar (v)</v>
      </c>
      <c r="Y71" s="109">
        <f>AF71</f>
        <v>10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10</v>
      </c>
      <c r="AG71" s="108">
        <f>IF(AC71="",0,(IF(G71=AC71,1,0)))</f>
        <v>1</v>
      </c>
      <c r="AH71" s="108">
        <f>IF(AD71="",0,(IF(I71=AD71,1,0)))</f>
        <v>1</v>
      </c>
      <c r="AI71" s="108">
        <f>IF(AND(AG71=1,AH71=1),10,0)</f>
        <v>10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Argentinië</v>
      </c>
      <c r="E72" s="367" t="s">
        <v>9</v>
      </c>
      <c r="F72" s="406" t="str">
        <f>IF(J66="","Winnaar 56",IF(J66=1,D66,F66))</f>
        <v>België</v>
      </c>
      <c r="G72" s="435">
        <v>0</v>
      </c>
      <c r="H72" s="367" t="s">
        <v>9</v>
      </c>
      <c r="I72" s="447">
        <v>1</v>
      </c>
      <c r="J72" s="448">
        <v>2</v>
      </c>
      <c r="K72" s="353"/>
      <c r="L72" s="353"/>
      <c r="M72" s="353"/>
      <c r="N72" s="352"/>
      <c r="O72" s="352"/>
      <c r="P72" s="352"/>
      <c r="Q72" s="352"/>
      <c r="R72" s="352"/>
      <c r="S72" s="352"/>
      <c r="T72" s="352"/>
      <c r="V72" t="s">
        <v>133</v>
      </c>
      <c r="W72" t="s">
        <v>195</v>
      </c>
      <c r="X72" t="str">
        <f t="shared" si="11"/>
        <v>John Heitinga (v)</v>
      </c>
      <c r="Y72" s="109">
        <f>AF72</f>
        <v>0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0</v>
      </c>
      <c r="AG72" s="108">
        <f>IF(AC72="",0,(IF(G72=AC72,1,0)))</f>
        <v>0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0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Nederland</v>
      </c>
      <c r="E73" s="388" t="s">
        <v>9</v>
      </c>
      <c r="F73" s="412" t="str">
        <f>IF(J62="","Winnaar 52",IF(J62=1,D62,F62))</f>
        <v>Colombia</v>
      </c>
      <c r="G73" s="438">
        <v>1</v>
      </c>
      <c r="H73" s="388" t="s">
        <v>9</v>
      </c>
      <c r="I73" s="453">
        <v>0</v>
      </c>
      <c r="J73" s="454">
        <v>1</v>
      </c>
      <c r="K73" s="353"/>
      <c r="L73" s="353"/>
      <c r="M73" s="353"/>
      <c r="N73" s="352"/>
      <c r="O73" s="352"/>
      <c r="P73" s="352"/>
      <c r="Q73" s="352"/>
      <c r="R73" s="352"/>
      <c r="S73" s="352"/>
      <c r="T73" s="352"/>
      <c r="V73" t="s">
        <v>133</v>
      </c>
      <c r="W73" t="s">
        <v>196</v>
      </c>
      <c r="X73" t="str">
        <f t="shared" si="11"/>
        <v>Urby Emanuelson (v)</v>
      </c>
      <c r="Y73" s="109">
        <f>AF73</f>
        <v>1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1</v>
      </c>
      <c r="AG73" s="108">
        <f>IF(AC73="",0,(IF(G73=AC73,1,0)))</f>
        <v>0</v>
      </c>
      <c r="AH73" s="108">
        <f>IF(AD73="",0,(IF(I73=AD73,1,0)))</f>
        <v>1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N74" s="352"/>
      <c r="O74" s="352"/>
      <c r="P74" s="352"/>
      <c r="Q74" s="352"/>
      <c r="R74" s="352"/>
      <c r="S74" s="352"/>
      <c r="T74" s="352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27"/>
      <c r="K75" s="353"/>
      <c r="L75" s="353"/>
      <c r="M75" s="353"/>
      <c r="N75" s="352"/>
      <c r="O75" s="352"/>
      <c r="P75" s="352"/>
      <c r="Q75" s="352"/>
      <c r="R75" s="352"/>
      <c r="S75" s="352"/>
      <c r="T75" s="352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30" t="s">
        <v>3</v>
      </c>
      <c r="E76" s="431"/>
      <c r="F76" s="432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N76" s="352"/>
      <c r="O76" s="352"/>
      <c r="P76" s="352"/>
      <c r="Q76" s="352"/>
      <c r="R76" s="352"/>
      <c r="S76" s="352"/>
      <c r="T76" s="352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Ecuador</v>
      </c>
      <c r="E77" s="367" t="s">
        <v>9</v>
      </c>
      <c r="F77" s="406" t="str">
        <f>IF(J71="","Winnaar 58",IF(J71=1,D71,F71))</f>
        <v>Brazilië</v>
      </c>
      <c r="G77" s="435">
        <v>1</v>
      </c>
      <c r="H77" s="367" t="s">
        <v>9</v>
      </c>
      <c r="I77" s="447">
        <v>2</v>
      </c>
      <c r="J77" s="448">
        <v>2</v>
      </c>
      <c r="K77" s="353"/>
      <c r="L77" s="353"/>
      <c r="M77" s="353"/>
      <c r="N77" s="352"/>
      <c r="O77" s="352"/>
      <c r="P77" s="352"/>
      <c r="Q77" s="352"/>
      <c r="R77" s="352"/>
      <c r="S77" s="352"/>
      <c r="T77" s="352"/>
      <c r="V77" t="s">
        <v>134</v>
      </c>
      <c r="W77" t="s">
        <v>203</v>
      </c>
      <c r="X77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België</v>
      </c>
      <c r="E78" s="388" t="s">
        <v>9</v>
      </c>
      <c r="F78" s="412" t="str">
        <f>IF(J73="","Winnaar 60",IF(J73=1,D73,F73))</f>
        <v>Nederland</v>
      </c>
      <c r="G78" s="438">
        <v>1</v>
      </c>
      <c r="H78" s="388" t="s">
        <v>9</v>
      </c>
      <c r="I78" s="453">
        <v>1</v>
      </c>
      <c r="J78" s="454">
        <v>2</v>
      </c>
      <c r="K78" s="353"/>
      <c r="L78" s="353"/>
      <c r="M78" s="353"/>
      <c r="N78" s="352"/>
      <c r="O78" s="352"/>
      <c r="P78" s="352"/>
      <c r="Q78" s="352"/>
      <c r="R78" s="352"/>
      <c r="S78" s="352"/>
      <c r="T78" s="352"/>
      <c r="V78" t="s">
        <v>134</v>
      </c>
      <c r="W78" t="s">
        <v>199</v>
      </c>
      <c r="X78" t="str">
        <f t="shared" si="11"/>
        <v>Leroy Fer (m)</v>
      </c>
      <c r="Y78" s="109">
        <f>AF78</f>
        <v>5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5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5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N79" s="352"/>
      <c r="O79" s="352"/>
      <c r="P79" s="352"/>
      <c r="Q79" s="352"/>
      <c r="R79" s="352"/>
      <c r="S79" s="352"/>
      <c r="T79" s="352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27"/>
      <c r="K80" s="353"/>
      <c r="L80" s="353"/>
      <c r="M80" s="353"/>
      <c r="N80" s="352"/>
      <c r="O80" s="352"/>
      <c r="P80" s="352"/>
      <c r="Q80" s="352"/>
      <c r="R80" s="352"/>
      <c r="S80" s="352"/>
      <c r="T80" s="352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30" t="s">
        <v>3</v>
      </c>
      <c r="E81" s="431"/>
      <c r="F81" s="432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N81" s="352"/>
      <c r="O81" s="352"/>
      <c r="P81" s="352"/>
      <c r="Q81" s="352"/>
      <c r="R81" s="352"/>
      <c r="S81" s="352"/>
      <c r="T81" s="352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Ecuador</v>
      </c>
      <c r="E82" s="355" t="s">
        <v>9</v>
      </c>
      <c r="F82" s="415" t="str">
        <f>IF(J78="","Verliezer 62",IF(J78=1,F78,D78))</f>
        <v>België</v>
      </c>
      <c r="G82" s="455">
        <v>1</v>
      </c>
      <c r="H82" s="355" t="s">
        <v>9</v>
      </c>
      <c r="I82" s="456">
        <v>2</v>
      </c>
      <c r="J82" s="457">
        <v>2</v>
      </c>
      <c r="K82" s="353"/>
      <c r="L82" s="353"/>
      <c r="M82" s="353"/>
      <c r="N82" s="352"/>
      <c r="O82" s="352"/>
      <c r="P82" s="352"/>
      <c r="Q82" s="352"/>
      <c r="R82" s="352"/>
      <c r="S82" s="352"/>
      <c r="T82" s="352"/>
      <c r="V82" t="s">
        <v>134</v>
      </c>
      <c r="W82" t="s">
        <v>125</v>
      </c>
      <c r="X82" t="str">
        <f t="shared" si="11"/>
        <v>Georginio Wijnaldum (m)</v>
      </c>
      <c r="Y82" s="109">
        <f>AF82</f>
        <v>5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5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5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N83" s="352"/>
      <c r="O83" s="352"/>
      <c r="P83" s="352"/>
      <c r="Q83" s="352"/>
      <c r="R83" s="352"/>
      <c r="S83" s="352"/>
      <c r="T83" s="352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27"/>
      <c r="K84" s="353"/>
      <c r="L84" s="353"/>
      <c r="M84" s="353"/>
      <c r="N84" s="352"/>
      <c r="O84" s="352"/>
      <c r="P84" s="352"/>
      <c r="Q84" s="352"/>
      <c r="R84" s="352"/>
      <c r="S84" s="352"/>
      <c r="T84" s="352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30" t="s">
        <v>3</v>
      </c>
      <c r="E85" s="431"/>
      <c r="F85" s="432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N85" s="352"/>
      <c r="O85" s="352"/>
      <c r="P85" s="352"/>
      <c r="Q85" s="352"/>
      <c r="R85" s="352"/>
      <c r="S85" s="352"/>
      <c r="T85" s="352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Brazilië</v>
      </c>
      <c r="E86" s="355" t="s">
        <v>9</v>
      </c>
      <c r="F86" s="415" t="str">
        <f>IF(J78="","Winnaar 62",IF(J78=1,D78,F78))</f>
        <v>Nederland</v>
      </c>
      <c r="G86" s="455">
        <v>1</v>
      </c>
      <c r="H86" s="355" t="s">
        <v>9</v>
      </c>
      <c r="I86" s="456">
        <v>0</v>
      </c>
      <c r="J86" s="457">
        <v>1</v>
      </c>
      <c r="K86" s="353"/>
      <c r="L86" s="353"/>
      <c r="M86" s="353"/>
      <c r="N86" s="352"/>
      <c r="O86" s="352"/>
      <c r="P86" s="352"/>
      <c r="Q86" s="352"/>
      <c r="R86" s="352"/>
      <c r="S86" s="352"/>
      <c r="T86" s="352"/>
      <c r="V86" t="s">
        <v>134</v>
      </c>
      <c r="W86" t="s">
        <v>139</v>
      </c>
      <c r="X86" t="str">
        <f t="shared" si="11"/>
        <v>Nigel de Jong (m)</v>
      </c>
      <c r="Y86" s="109">
        <f>AF86</f>
        <v>1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1</v>
      </c>
      <c r="AG86" s="108">
        <f>IF(AC86="",0,(IF(G86=AC86,1,0)))</f>
        <v>0</v>
      </c>
      <c r="AH86" s="108">
        <f>IF(AD86="",0,(IF(I86=AD86,1,0)))</f>
        <v>1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Brazilië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5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5</v>
      </c>
      <c r="AV89">
        <f>IF(AR89=0,0,IF(E89=AR89,50,0))</f>
        <v>0</v>
      </c>
      <c r="AW89">
        <f>IF(E89=0,0,IF(OR(E89=AR90),15,0))</f>
        <v>0</v>
      </c>
      <c r="AX89">
        <f>IF(E89=0,0,IF(OR(E89=AR91,E89=AR92),5,0))</f>
        <v>5</v>
      </c>
    </row>
    <row r="90" spans="2:50">
      <c r="C90" s="870">
        <v>2</v>
      </c>
      <c r="D90" s="871"/>
      <c r="E90" s="872" t="str">
        <f>IF(J86=2,D86,IF(J86=1,F86,"Wie wordt 2de?"))</f>
        <v>Nederland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5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5</v>
      </c>
      <c r="AV90">
        <f>IF(AR90=0,0,IF(AR90=E90,25,0))</f>
        <v>0</v>
      </c>
      <c r="AW90">
        <f>IF(E90=0,0,IF(OR(E90=AR89,),15,0))</f>
        <v>0</v>
      </c>
      <c r="AX90">
        <f>IF(E90=0,0,IF(OR(E90=AR91,E90=AR92),5,0))</f>
        <v>5</v>
      </c>
    </row>
    <row r="91" spans="2:50">
      <c r="C91" s="870">
        <v>3</v>
      </c>
      <c r="D91" s="871"/>
      <c r="E91" s="872" t="str">
        <f>IF(J82=1,D82,IF(J82=2,F82,"Wie wordt 3de?"))</f>
        <v>België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0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0</v>
      </c>
      <c r="AV91">
        <f>IF(AR91=0,0,IF(AR91=E91,15,0))</f>
        <v>0</v>
      </c>
      <c r="AW91">
        <f>IF(E91=0,0,IF(OR(E91=AR92),10,0))</f>
        <v>0</v>
      </c>
      <c r="AX91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Ecuador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0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0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10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conditionalFormatting sqref="AO9:AO12 AO15:AO18 AO21:AO24 AO27:AO30 AO33:AO36 AO39:AO42 AO45:AO48 AO51:AO54">
    <cfRule type="cellIs" dxfId="152" priority="3" operator="equal">
      <formula>10</formula>
    </cfRule>
  </conditionalFormatting>
  <conditionalFormatting sqref="P58:T58">
    <cfRule type="duplicateValues" dxfId="151" priority="2"/>
  </conditionalFormatting>
  <conditionalFormatting sqref="P58:T68">
    <cfRule type="duplicateValues" dxfId="150" priority="1"/>
  </conditionalFormatting>
  <dataValidations count="10">
    <dataValidation type="list" allowBlank="1" showInputMessage="1" showErrorMessage="1" sqref="T51:T54">
      <formula1>$W$51:$W$54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P58:P68">
      <formula1>$X$58:$X$98</formula1>
    </dataValidation>
  </dataValidation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B1:BB98"/>
  <sheetViews>
    <sheetView topLeftCell="A37" zoomScale="70" zoomScaleNormal="70" workbookViewId="0">
      <selection activeCell="P58" sqref="P58:T68"/>
    </sheetView>
  </sheetViews>
  <sheetFormatPr defaultRowHeight="15" outlineLevelCol="2"/>
  <cols>
    <col min="1" max="1" width="3.42578125" customWidth="1"/>
    <col min="2" max="2" width="3.5703125" bestFit="1" customWidth="1"/>
    <col min="3" max="3" width="11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271</v>
      </c>
      <c r="E3" s="145"/>
      <c r="F3" s="145"/>
      <c r="N3" t="str">
        <f>D3</f>
        <v>Corjan H.</v>
      </c>
      <c r="O3" s="144">
        <f>SUM(P3:S3)</f>
        <v>416</v>
      </c>
      <c r="P3" s="109">
        <f>SUM(Y8:Y86)</f>
        <v>219</v>
      </c>
      <c r="Q3" s="109">
        <f>SUM(AM4:AM55)</f>
        <v>150</v>
      </c>
      <c r="R3" s="109">
        <f>SUM(AP89:AP92)</f>
        <v>20</v>
      </c>
      <c r="S3" s="109">
        <f>SUM(BB58:BB69)</f>
        <v>27</v>
      </c>
      <c r="T3" s="109">
        <f>COUNTIF(AF8:AF86,10)</f>
        <v>6</v>
      </c>
      <c r="U3" s="109" t="str">
        <f>E89</f>
        <v>Argentinië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M6" s="352"/>
      <c r="N6" s="352"/>
      <c r="O6" s="392"/>
      <c r="P6" s="393"/>
      <c r="Q6" s="393"/>
      <c r="R6" s="393"/>
      <c r="S6" s="393"/>
      <c r="T6" s="393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18" t="s">
        <v>3</v>
      </c>
      <c r="E7" s="419"/>
      <c r="F7" s="420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M7" s="352"/>
      <c r="N7" s="352"/>
      <c r="O7" s="353"/>
      <c r="P7" s="393"/>
      <c r="Q7" s="393"/>
      <c r="R7" s="393"/>
      <c r="S7" s="393"/>
      <c r="T7" s="393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1</v>
      </c>
      <c r="H8" s="360" t="s">
        <v>9</v>
      </c>
      <c r="I8" s="439">
        <v>0</v>
      </c>
      <c r="J8" s="362">
        <f t="shared" ref="J8:J55" si="0">IF(I8="","",IF(G8&gt;I8,1,IF(G8&lt;I8,2,3)))</f>
        <v>1</v>
      </c>
      <c r="K8" s="363">
        <f t="shared" ref="K8:K55" si="1">IF(I8="","",IF($G8&gt;$I8,3,IF($G8=$I8,1,0)))</f>
        <v>3</v>
      </c>
      <c r="L8" s="363">
        <f t="shared" ref="L8:L55" si="2">IF(I8="","",IF($G8&lt;$I8,3,IF($G8=$I8,1,0)))</f>
        <v>0</v>
      </c>
      <c r="M8" s="352"/>
      <c r="N8" s="352"/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40"/>
      <c r="V8" s="40"/>
      <c r="W8" s="40"/>
      <c r="Y8" s="109">
        <f>AF8</f>
        <v>5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5</v>
      </c>
      <c r="AG8" s="108">
        <f t="shared" ref="AG8:AG55" si="3">IF(AC8="",0,(IF(G8=AC8,1,0)))</f>
        <v>0</v>
      </c>
      <c r="AH8" s="108">
        <f t="shared" ref="AH8:AH55" si="4">IF(AD8="",0,(IF(I8=AD8,1,0)))</f>
        <v>0</v>
      </c>
      <c r="AI8" s="108">
        <f>IF(AND(AG8=1,AH8=1),10,0)</f>
        <v>0</v>
      </c>
      <c r="AJ8" s="108">
        <f t="shared" ref="AJ8:AJ55" si="5">IF(AND(G8&gt;I8,AC8&gt;AD8),5,0)</f>
        <v>5</v>
      </c>
      <c r="AK8" s="108">
        <f t="shared" ref="AK8:AK55" si="6">IF(AND(G8&lt;I8,AC8&lt;AD8),5,0)</f>
        <v>0</v>
      </c>
      <c r="AL8" s="108">
        <f t="shared" ref="AL8:AL55" si="7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3</v>
      </c>
      <c r="H9" s="367" t="s">
        <v>9</v>
      </c>
      <c r="I9" s="440">
        <v>1</v>
      </c>
      <c r="J9" s="369">
        <f t="shared" si="0"/>
        <v>1</v>
      </c>
      <c r="K9" s="363">
        <f t="shared" si="1"/>
        <v>3</v>
      </c>
      <c r="L9" s="363">
        <f t="shared" si="2"/>
        <v>0</v>
      </c>
      <c r="M9" s="352"/>
      <c r="N9" s="352"/>
      <c r="O9" s="394" t="s">
        <v>8</v>
      </c>
      <c r="P9" s="395">
        <f>SUMIF($D$8:$D$55,$O9,$G$8:$G$55)+SUMIF($F$8:$F$55,$O9,$I$8:$I$55)</f>
        <v>6</v>
      </c>
      <c r="Q9" s="395">
        <f>SUMIF($D$8:$D$55,$O9,$I$8:$I$55)+SUMIF($F$8:$F$55,$O9,$G$8:$G$55)</f>
        <v>0</v>
      </c>
      <c r="R9" s="396">
        <f>P9-Q9</f>
        <v>6</v>
      </c>
      <c r="S9" s="397">
        <f>SUMIF($D$8:$D$55,$O9,$K$8:$K$55)+SUMIF($F$8:$F$55,$O9,$L$8:$L$55)</f>
        <v>9</v>
      </c>
      <c r="T9" s="444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5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5</v>
      </c>
      <c r="AG9" s="108">
        <f t="shared" si="3"/>
        <v>0</v>
      </c>
      <c r="AH9" s="108">
        <f t="shared" si="4"/>
        <v>0</v>
      </c>
      <c r="AI9" s="108">
        <f t="shared" ref="AI9:AI55" si="10">IF(AND(AG9=1,AH9=1),10,0)</f>
        <v>0</v>
      </c>
      <c r="AJ9" s="108">
        <f t="shared" si="5"/>
        <v>5</v>
      </c>
      <c r="AK9" s="108">
        <f t="shared" si="6"/>
        <v>0</v>
      </c>
      <c r="AL9" s="108">
        <f t="shared" si="7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1</v>
      </c>
      <c r="H10" s="373" t="s">
        <v>9</v>
      </c>
      <c r="I10" s="441">
        <v>0</v>
      </c>
      <c r="J10" s="375">
        <f t="shared" si="0"/>
        <v>1</v>
      </c>
      <c r="K10" s="363">
        <f t="shared" si="1"/>
        <v>3</v>
      </c>
      <c r="L10" s="363">
        <f t="shared" si="2"/>
        <v>0</v>
      </c>
      <c r="M10" s="352"/>
      <c r="N10" s="352"/>
      <c r="O10" s="398" t="s">
        <v>10</v>
      </c>
      <c r="P10" s="399">
        <f>SUMIF($D$8:$D$55,$O10,$G$8:$G$55)+SUMIF($F$8:$F$55,$O10,$I$8:$I$55)</f>
        <v>2</v>
      </c>
      <c r="Q10" s="399">
        <f>SUMIF($D$8:$D$55,$O10,$I$8:$I$55)+SUMIF($F$8:$F$55,$O10,$G$8:$G$55)</f>
        <v>2</v>
      </c>
      <c r="R10" s="399">
        <f>P10-Q10</f>
        <v>0</v>
      </c>
      <c r="S10" s="400">
        <f>SUMIF($D$8:$D$55,$O10,$K$8:$K$55)+SUMIF($F$8:$F$55,$O10,$L$8:$L$55)</f>
        <v>3</v>
      </c>
      <c r="T10" s="445" t="s">
        <v>47</v>
      </c>
      <c r="U10" s="40"/>
      <c r="V10" s="40" t="str">
        <f>O10</f>
        <v>Kroatië</v>
      </c>
      <c r="W10" s="40" t="s">
        <v>49</v>
      </c>
      <c r="Y10" s="109">
        <f t="shared" si="8"/>
        <v>1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1</v>
      </c>
      <c r="AG10" s="108">
        <f t="shared" si="3"/>
        <v>1</v>
      </c>
      <c r="AH10" s="108">
        <f t="shared" si="4"/>
        <v>0</v>
      </c>
      <c r="AI10" s="108">
        <f t="shared" si="10"/>
        <v>0</v>
      </c>
      <c r="AJ10" s="108">
        <f t="shared" si="5"/>
        <v>0</v>
      </c>
      <c r="AK10" s="108">
        <f t="shared" si="6"/>
        <v>0</v>
      </c>
      <c r="AL10" s="108">
        <f t="shared" si="7"/>
        <v>0</v>
      </c>
      <c r="AM10" s="120">
        <f>AO10</f>
        <v>10</v>
      </c>
      <c r="AN10" s="117" t="s">
        <v>10</v>
      </c>
      <c r="AO10" s="115">
        <f>IF(Uitslag!T10="",0,IF(T10=Uitslag!T10,10,0))</f>
        <v>10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2</v>
      </c>
      <c r="H11" s="379" t="s">
        <v>9</v>
      </c>
      <c r="I11" s="442">
        <v>0</v>
      </c>
      <c r="J11" s="381">
        <f t="shared" si="0"/>
        <v>1</v>
      </c>
      <c r="K11" s="363">
        <f t="shared" si="1"/>
        <v>3</v>
      </c>
      <c r="L11" s="363">
        <f t="shared" si="2"/>
        <v>0</v>
      </c>
      <c r="M11" s="352"/>
      <c r="N11" s="352"/>
      <c r="O11" s="398" t="s">
        <v>11</v>
      </c>
      <c r="P11" s="399">
        <f>SUMIF($D$8:$D$55,$O11,$G$8:$G$55)+SUMIF($F$8:$F$55,$O11,$I$8:$I$55)</f>
        <v>4</v>
      </c>
      <c r="Q11" s="399">
        <f>SUMIF($D$8:$D$55,$O11,$I$8:$I$55)+SUMIF($F$8:$F$55,$O11,$G$8:$G$55)</f>
        <v>3</v>
      </c>
      <c r="R11" s="399">
        <f>P11-Q11</f>
        <v>1</v>
      </c>
      <c r="S11" s="400">
        <f>SUMIF($D$8:$D$55,$O11,$K$8:$K$55)+SUMIF($F$8:$F$55,$O11,$L$8:$L$55)</f>
        <v>6</v>
      </c>
      <c r="T11" s="445" t="s">
        <v>49</v>
      </c>
      <c r="U11" s="40"/>
      <c r="V11" s="40" t="str">
        <f>O11</f>
        <v>Mexico</v>
      </c>
      <c r="W11" s="40" t="s">
        <v>47</v>
      </c>
      <c r="Y11" s="109">
        <f t="shared" si="8"/>
        <v>5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5</v>
      </c>
      <c r="AG11" s="108">
        <f t="shared" si="3"/>
        <v>0</v>
      </c>
      <c r="AH11" s="108">
        <f t="shared" si="4"/>
        <v>0</v>
      </c>
      <c r="AI11" s="108">
        <f t="shared" si="10"/>
        <v>0</v>
      </c>
      <c r="AJ11" s="108">
        <f t="shared" si="5"/>
        <v>5</v>
      </c>
      <c r="AK11" s="108">
        <f t="shared" si="6"/>
        <v>0</v>
      </c>
      <c r="AL11" s="108">
        <f t="shared" si="7"/>
        <v>0</v>
      </c>
      <c r="AM11" s="120">
        <f>AO11</f>
        <v>10</v>
      </c>
      <c r="AN11" s="117" t="s">
        <v>11</v>
      </c>
      <c r="AO11" s="115">
        <f>IF(Uitslag!T11="",0,IF(T11=Uitslag!T11,10,0))</f>
        <v>10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2</v>
      </c>
      <c r="H12" s="367" t="s">
        <v>9</v>
      </c>
      <c r="I12" s="440">
        <v>0</v>
      </c>
      <c r="J12" s="369">
        <f t="shared" si="0"/>
        <v>1</v>
      </c>
      <c r="K12" s="363">
        <f t="shared" si="1"/>
        <v>3</v>
      </c>
      <c r="L12" s="363">
        <f t="shared" si="2"/>
        <v>0</v>
      </c>
      <c r="M12" s="352"/>
      <c r="N12" s="352"/>
      <c r="O12" s="401" t="s">
        <v>12</v>
      </c>
      <c r="P12" s="402">
        <f>SUMIF($D$8:$D$55,$O12,$G$8:$G$55)+SUMIF($F$8:$F$55,$O12,$I$8:$I$55)</f>
        <v>1</v>
      </c>
      <c r="Q12" s="402">
        <f>SUMIF($D$8:$D$55,$O12,$I$8:$I$55)+SUMIF($F$8:$F$55,$O12,$G$8:$G$55)</f>
        <v>8</v>
      </c>
      <c r="R12" s="402">
        <f>P12-Q12</f>
        <v>-7</v>
      </c>
      <c r="S12" s="403">
        <f>SUMIF($D$8:$D$55,$O12,$K$8:$K$55)+SUMIF($F$8:$F$55,$O12,$L$8:$L$55)</f>
        <v>0</v>
      </c>
      <c r="T12" s="446" t="s">
        <v>50</v>
      </c>
      <c r="U12" s="40"/>
      <c r="V12" s="40" t="str">
        <f>O12</f>
        <v>Kameroen</v>
      </c>
      <c r="W12" s="40" t="s">
        <v>50</v>
      </c>
      <c r="Y12" s="109">
        <f t="shared" si="8"/>
        <v>6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6</v>
      </c>
      <c r="AG12" s="108">
        <f t="shared" si="3"/>
        <v>0</v>
      </c>
      <c r="AH12" s="108">
        <f t="shared" si="4"/>
        <v>1</v>
      </c>
      <c r="AI12" s="108">
        <f t="shared" si="10"/>
        <v>0</v>
      </c>
      <c r="AJ12" s="108">
        <f t="shared" si="5"/>
        <v>5</v>
      </c>
      <c r="AK12" s="108">
        <f t="shared" si="6"/>
        <v>0</v>
      </c>
      <c r="AL12" s="108">
        <f t="shared" si="7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2</v>
      </c>
      <c r="H13" s="373" t="s">
        <v>9</v>
      </c>
      <c r="I13" s="441">
        <v>1</v>
      </c>
      <c r="J13" s="375">
        <f t="shared" si="0"/>
        <v>1</v>
      </c>
      <c r="K13" s="363">
        <f t="shared" si="1"/>
        <v>3</v>
      </c>
      <c r="L13" s="363">
        <f t="shared" si="2"/>
        <v>0</v>
      </c>
      <c r="M13" s="352"/>
      <c r="N13" s="352"/>
      <c r="O13" s="392"/>
      <c r="P13" s="393"/>
      <c r="Q13" s="393"/>
      <c r="R13" s="393"/>
      <c r="S13" s="393"/>
      <c r="T13" s="393"/>
      <c r="U13" s="40"/>
      <c r="V13" s="40"/>
      <c r="W13" s="40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3"/>
        <v>0</v>
      </c>
      <c r="AH13" s="108">
        <f t="shared" si="4"/>
        <v>0</v>
      </c>
      <c r="AI13" s="108">
        <f t="shared" si="10"/>
        <v>0</v>
      </c>
      <c r="AJ13" s="108">
        <f t="shared" si="5"/>
        <v>0</v>
      </c>
      <c r="AK13" s="108">
        <f t="shared" si="6"/>
        <v>0</v>
      </c>
      <c r="AL13" s="108">
        <f t="shared" si="7"/>
        <v>0</v>
      </c>
      <c r="AN13" s="40"/>
      <c r="AO13" s="41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0</v>
      </c>
      <c r="H14" s="373" t="s">
        <v>9</v>
      </c>
      <c r="I14" s="441">
        <v>0</v>
      </c>
      <c r="J14" s="375">
        <f t="shared" si="0"/>
        <v>3</v>
      </c>
      <c r="K14" s="363">
        <f t="shared" si="1"/>
        <v>1</v>
      </c>
      <c r="L14" s="363">
        <f t="shared" si="2"/>
        <v>1</v>
      </c>
      <c r="M14" s="352"/>
      <c r="N14" s="352"/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40"/>
      <c r="V14" s="40"/>
      <c r="W14" s="40"/>
      <c r="Y14" s="109">
        <f t="shared" si="8"/>
        <v>0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0</v>
      </c>
      <c r="AG14" s="108">
        <f t="shared" si="3"/>
        <v>0</v>
      </c>
      <c r="AH14" s="108">
        <f t="shared" si="4"/>
        <v>0</v>
      </c>
      <c r="AI14" s="108">
        <f t="shared" si="10"/>
        <v>0</v>
      </c>
      <c r="AJ14" s="108">
        <f t="shared" si="5"/>
        <v>0</v>
      </c>
      <c r="AK14" s="108">
        <f t="shared" si="6"/>
        <v>0</v>
      </c>
      <c r="AL14" s="108">
        <f t="shared" si="7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3</v>
      </c>
      <c r="H15" s="379" t="s">
        <v>9</v>
      </c>
      <c r="I15" s="442">
        <v>2</v>
      </c>
      <c r="J15" s="381">
        <f t="shared" si="0"/>
        <v>1</v>
      </c>
      <c r="K15" s="363">
        <f t="shared" si="1"/>
        <v>3</v>
      </c>
      <c r="L15" s="363">
        <f t="shared" si="2"/>
        <v>0</v>
      </c>
      <c r="M15" s="352"/>
      <c r="N15" s="352"/>
      <c r="O15" s="394" t="s">
        <v>13</v>
      </c>
      <c r="P15" s="395">
        <f>SUMIF($D$8:$D$55,$O15,$G$8:$G$55)+SUMIF($F$8:$F$55,$O15,$I$8:$I$55)</f>
        <v>6</v>
      </c>
      <c r="Q15" s="395">
        <f>SUMIF($D$8:$D$55,$O15,$I$8:$I$55)+SUMIF($F$8:$F$55,$O15,$G$8:$G$55)</f>
        <v>3</v>
      </c>
      <c r="R15" s="396">
        <f>P15-Q15</f>
        <v>3</v>
      </c>
      <c r="S15" s="397">
        <f>SUMIF($D$8:$D$55,$O15,$K$8:$K$55)+SUMIF($F$8:$F$55,$O15,$L$8:$L$55)</f>
        <v>7</v>
      </c>
      <c r="T15" s="444" t="s">
        <v>52</v>
      </c>
      <c r="U15" s="40"/>
      <c r="V15" s="40" t="str">
        <f>O15</f>
        <v>Spanje</v>
      </c>
      <c r="W15" s="40" t="s">
        <v>52</v>
      </c>
      <c r="Y15" s="109">
        <f t="shared" si="8"/>
        <v>5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5</v>
      </c>
      <c r="AG15" s="108">
        <f t="shared" si="3"/>
        <v>0</v>
      </c>
      <c r="AH15" s="108">
        <f t="shared" si="4"/>
        <v>0</v>
      </c>
      <c r="AI15" s="108">
        <f t="shared" si="10"/>
        <v>0</v>
      </c>
      <c r="AJ15" s="108">
        <f t="shared" si="5"/>
        <v>5</v>
      </c>
      <c r="AK15" s="108">
        <f t="shared" si="6"/>
        <v>0</v>
      </c>
      <c r="AL15" s="108">
        <f t="shared" si="7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2</v>
      </c>
      <c r="H16" s="367" t="s">
        <v>9</v>
      </c>
      <c r="I16" s="440">
        <v>1</v>
      </c>
      <c r="J16" s="369">
        <f t="shared" si="0"/>
        <v>1</v>
      </c>
      <c r="K16" s="363">
        <f t="shared" si="1"/>
        <v>3</v>
      </c>
      <c r="L16" s="363">
        <f t="shared" si="2"/>
        <v>0</v>
      </c>
      <c r="M16" s="352"/>
      <c r="N16" s="352"/>
      <c r="O16" s="404" t="s">
        <v>14</v>
      </c>
      <c r="P16" s="399">
        <f>SUMIF($D$8:$D$55,$O16,$G$8:$G$55)+SUMIF($F$8:$F$55,$O16,$I$8:$I$55)</f>
        <v>2</v>
      </c>
      <c r="Q16" s="399">
        <f>SUMIF($D$8:$D$55,$O16,$I$8:$I$55)+SUMIF($F$8:$F$55,$O16,$G$8:$G$55)</f>
        <v>3</v>
      </c>
      <c r="R16" s="399">
        <f>P16-Q16</f>
        <v>-1</v>
      </c>
      <c r="S16" s="400">
        <f>SUMIF($D$8:$D$55,$O16,$K$8:$K$55)+SUMIF($F$8:$F$55,$O16,$L$8:$L$55)</f>
        <v>2</v>
      </c>
      <c r="T16" s="445" t="s">
        <v>54</v>
      </c>
      <c r="U16" s="40"/>
      <c r="V16" s="40" t="str">
        <f>O16</f>
        <v>Nederland</v>
      </c>
      <c r="W16" s="40" t="s">
        <v>53</v>
      </c>
      <c r="Y16" s="109">
        <f t="shared" si="8"/>
        <v>10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10</v>
      </c>
      <c r="AG16" s="108">
        <f t="shared" si="3"/>
        <v>1</v>
      </c>
      <c r="AH16" s="108">
        <f t="shared" si="4"/>
        <v>1</v>
      </c>
      <c r="AI16" s="108">
        <f t="shared" si="10"/>
        <v>10</v>
      </c>
      <c r="AJ16" s="108">
        <f t="shared" si="5"/>
        <v>5</v>
      </c>
      <c r="AK16" s="108">
        <f t="shared" si="6"/>
        <v>0</v>
      </c>
      <c r="AL16" s="108">
        <f t="shared" si="7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3</v>
      </c>
      <c r="H17" s="373" t="s">
        <v>9</v>
      </c>
      <c r="I17" s="441">
        <v>0</v>
      </c>
      <c r="J17" s="375">
        <f t="shared" si="0"/>
        <v>1</v>
      </c>
      <c r="K17" s="363">
        <f t="shared" si="1"/>
        <v>3</v>
      </c>
      <c r="L17" s="363">
        <f t="shared" si="2"/>
        <v>0</v>
      </c>
      <c r="M17" s="352"/>
      <c r="N17" s="352"/>
      <c r="O17" s="398" t="s">
        <v>15</v>
      </c>
      <c r="P17" s="399">
        <f>SUMIF($D$8:$D$55,$O17,$G$8:$G$55)+SUMIF($F$8:$F$55,$O17,$I$8:$I$55)</f>
        <v>5</v>
      </c>
      <c r="Q17" s="399">
        <f>SUMIF($D$8:$D$55,$O17,$I$8:$I$55)+SUMIF($F$8:$F$55,$O17,$G$8:$G$55)</f>
        <v>3</v>
      </c>
      <c r="R17" s="399">
        <f>P17-Q17</f>
        <v>2</v>
      </c>
      <c r="S17" s="400">
        <f>SUMIF($D$8:$D$55,$O17,$K$8:$K$55)+SUMIF($F$8:$F$55,$O17,$L$8:$L$55)</f>
        <v>5</v>
      </c>
      <c r="T17" s="445" t="s">
        <v>53</v>
      </c>
      <c r="U17" s="40"/>
      <c r="V17" s="40" t="str">
        <f>O17</f>
        <v>Chili</v>
      </c>
      <c r="W17" s="40" t="s">
        <v>54</v>
      </c>
      <c r="Y17" s="109">
        <f t="shared" si="8"/>
        <v>10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10</v>
      </c>
      <c r="AG17" s="108">
        <f t="shared" si="3"/>
        <v>1</v>
      </c>
      <c r="AH17" s="108">
        <f t="shared" si="4"/>
        <v>1</v>
      </c>
      <c r="AI17" s="108">
        <f t="shared" si="10"/>
        <v>10</v>
      </c>
      <c r="AJ17" s="108">
        <f t="shared" si="5"/>
        <v>5</v>
      </c>
      <c r="AK17" s="108">
        <f t="shared" si="6"/>
        <v>0</v>
      </c>
      <c r="AL17" s="108">
        <f t="shared" si="7"/>
        <v>0</v>
      </c>
      <c r="AM17" s="120">
        <f>AO17</f>
        <v>10</v>
      </c>
      <c r="AN17" s="117" t="s">
        <v>15</v>
      </c>
      <c r="AO17" s="115">
        <f>IF(Uitslag!T17="",0,IF(T17=Uitslag!T17,10,0))</f>
        <v>10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3</v>
      </c>
      <c r="H18" s="379" t="s">
        <v>9</v>
      </c>
      <c r="I18" s="442">
        <v>1</v>
      </c>
      <c r="J18" s="381">
        <f t="shared" si="0"/>
        <v>1</v>
      </c>
      <c r="K18" s="363">
        <f t="shared" si="1"/>
        <v>3</v>
      </c>
      <c r="L18" s="363">
        <f t="shared" si="2"/>
        <v>0</v>
      </c>
      <c r="M18" s="352"/>
      <c r="N18" s="352"/>
      <c r="O18" s="401" t="s">
        <v>16</v>
      </c>
      <c r="P18" s="402">
        <f>SUMIF($D$8:$D$55,$O18,$G$8:$G$55)+SUMIF($F$8:$F$55,$O18,$I$8:$I$55)</f>
        <v>2</v>
      </c>
      <c r="Q18" s="402">
        <f>SUMIF($D$8:$D$55,$O18,$I$8:$I$55)+SUMIF($F$8:$F$55,$O18,$G$8:$G$55)</f>
        <v>6</v>
      </c>
      <c r="R18" s="402">
        <f>P18-Q18</f>
        <v>-4</v>
      </c>
      <c r="S18" s="403">
        <f>SUMIF($D$8:$D$55,$O18,$K$8:$K$55)+SUMIF($F$8:$F$55,$O18,$L$8:$L$55)</f>
        <v>1</v>
      </c>
      <c r="T18" s="446" t="s">
        <v>55</v>
      </c>
      <c r="U18" s="40"/>
      <c r="V18" s="40" t="str">
        <f>O18</f>
        <v>Australië</v>
      </c>
      <c r="W18" s="40" t="s">
        <v>55</v>
      </c>
      <c r="Y18" s="109">
        <f t="shared" si="8"/>
        <v>6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6</v>
      </c>
      <c r="AG18" s="108">
        <f t="shared" si="3"/>
        <v>0</v>
      </c>
      <c r="AH18" s="108">
        <f t="shared" si="4"/>
        <v>1</v>
      </c>
      <c r="AI18" s="108">
        <f t="shared" si="10"/>
        <v>0</v>
      </c>
      <c r="AJ18" s="108">
        <f t="shared" si="5"/>
        <v>5</v>
      </c>
      <c r="AK18" s="108">
        <f t="shared" si="6"/>
        <v>0</v>
      </c>
      <c r="AL18" s="108">
        <f t="shared" si="7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1</v>
      </c>
      <c r="H19" s="367" t="s">
        <v>9</v>
      </c>
      <c r="I19" s="440">
        <v>0</v>
      </c>
      <c r="J19" s="369">
        <f t="shared" si="0"/>
        <v>1</v>
      </c>
      <c r="K19" s="363">
        <f t="shared" si="1"/>
        <v>3</v>
      </c>
      <c r="L19" s="363">
        <f t="shared" si="2"/>
        <v>0</v>
      </c>
      <c r="M19" s="352"/>
      <c r="N19" s="352"/>
      <c r="O19" s="392"/>
      <c r="P19" s="393"/>
      <c r="Q19" s="393"/>
      <c r="R19" s="393"/>
      <c r="S19" s="393"/>
      <c r="T19" s="393"/>
      <c r="U19" s="40"/>
      <c r="V19" s="40"/>
      <c r="W19" s="40"/>
      <c r="Y19" s="109">
        <f t="shared" si="8"/>
        <v>6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6</v>
      </c>
      <c r="AG19" s="108">
        <f t="shared" si="3"/>
        <v>0</v>
      </c>
      <c r="AH19" s="108">
        <f t="shared" si="4"/>
        <v>1</v>
      </c>
      <c r="AI19" s="108">
        <f t="shared" si="10"/>
        <v>0</v>
      </c>
      <c r="AJ19" s="108">
        <f t="shared" si="5"/>
        <v>5</v>
      </c>
      <c r="AK19" s="108">
        <f t="shared" si="6"/>
        <v>0</v>
      </c>
      <c r="AL19" s="108">
        <f t="shared" si="7"/>
        <v>0</v>
      </c>
      <c r="AN19" s="40"/>
      <c r="AO19" s="41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1</v>
      </c>
      <c r="H20" s="373" t="s">
        <v>9</v>
      </c>
      <c r="I20" s="441">
        <v>2</v>
      </c>
      <c r="J20" s="375">
        <f t="shared" si="0"/>
        <v>2</v>
      </c>
      <c r="K20" s="363">
        <f t="shared" si="1"/>
        <v>0</v>
      </c>
      <c r="L20" s="363">
        <f t="shared" si="2"/>
        <v>3</v>
      </c>
      <c r="M20" s="352"/>
      <c r="N20" s="352"/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40"/>
      <c r="V20" s="40"/>
      <c r="W20" s="40"/>
      <c r="Y20" s="109">
        <f t="shared" si="8"/>
        <v>0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0</v>
      </c>
      <c r="AG20" s="108">
        <f t="shared" si="3"/>
        <v>0</v>
      </c>
      <c r="AH20" s="108">
        <f t="shared" si="4"/>
        <v>0</v>
      </c>
      <c r="AI20" s="108">
        <f t="shared" si="10"/>
        <v>0</v>
      </c>
      <c r="AJ20" s="108">
        <f t="shared" si="5"/>
        <v>0</v>
      </c>
      <c r="AK20" s="108">
        <f t="shared" si="6"/>
        <v>0</v>
      </c>
      <c r="AL20" s="108">
        <f t="shared" si="7"/>
        <v>0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2</v>
      </c>
      <c r="H21" s="379" t="s">
        <v>9</v>
      </c>
      <c r="I21" s="442">
        <v>1</v>
      </c>
      <c r="J21" s="381">
        <f t="shared" si="0"/>
        <v>1</v>
      </c>
      <c r="K21" s="363">
        <f t="shared" si="1"/>
        <v>3</v>
      </c>
      <c r="L21" s="363">
        <f t="shared" si="2"/>
        <v>0</v>
      </c>
      <c r="M21" s="352"/>
      <c r="N21" s="352"/>
      <c r="O21" s="394" t="s">
        <v>17</v>
      </c>
      <c r="P21" s="395">
        <f>SUMIF($D$8:$D$55,$O21,$G$8:$G$55)+SUMIF($F$8:$F$55,$O21,$I$8:$I$55)</f>
        <v>5</v>
      </c>
      <c r="Q21" s="395">
        <f>SUMIF($D$8:$D$55,$O21,$I$8:$I$55)+SUMIF($F$8:$F$55,$O21,$G$8:$G$55)</f>
        <v>2</v>
      </c>
      <c r="R21" s="396">
        <f>P21-Q21</f>
        <v>3</v>
      </c>
      <c r="S21" s="397">
        <f>SUMIF($D$8:$D$55,$O21,$K$8:$K$55)+SUMIF($F$8:$F$55,$O21,$L$8:$L$55)</f>
        <v>7</v>
      </c>
      <c r="T21" s="444" t="s">
        <v>58</v>
      </c>
      <c r="U21" s="40"/>
      <c r="V21" s="40" t="str">
        <f>O21</f>
        <v>Colombia</v>
      </c>
      <c r="W21" s="40" t="s">
        <v>57</v>
      </c>
      <c r="Y21" s="109">
        <f t="shared" si="8"/>
        <v>0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0</v>
      </c>
      <c r="AG21" s="108">
        <f t="shared" si="3"/>
        <v>0</v>
      </c>
      <c r="AH21" s="108">
        <f t="shared" si="4"/>
        <v>0</v>
      </c>
      <c r="AI21" s="108">
        <f t="shared" si="10"/>
        <v>0</v>
      </c>
      <c r="AJ21" s="108">
        <f t="shared" si="5"/>
        <v>0</v>
      </c>
      <c r="AK21" s="108">
        <f t="shared" si="6"/>
        <v>0</v>
      </c>
      <c r="AL21" s="108">
        <f t="shared" si="7"/>
        <v>0</v>
      </c>
      <c r="AM21" s="120">
        <f>AO21</f>
        <v>0</v>
      </c>
      <c r="AN21" s="116" t="s">
        <v>17</v>
      </c>
      <c r="AO21" s="115">
        <f>IF(Uitslag!T21="",0,IF(T21=Uitslag!T21,10,0))</f>
        <v>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2</v>
      </c>
      <c r="H22" s="367" t="s">
        <v>9</v>
      </c>
      <c r="I22" s="440">
        <v>0</v>
      </c>
      <c r="J22" s="369">
        <f t="shared" si="0"/>
        <v>1</v>
      </c>
      <c r="K22" s="363">
        <f t="shared" si="1"/>
        <v>3</v>
      </c>
      <c r="L22" s="363">
        <f t="shared" si="2"/>
        <v>0</v>
      </c>
      <c r="M22" s="352"/>
      <c r="N22" s="352"/>
      <c r="O22" s="398" t="s">
        <v>18</v>
      </c>
      <c r="P22" s="399">
        <f>SUMIF($D$8:$D$55,$O22,$G$8:$G$55)+SUMIF($F$8:$F$55,$O22,$I$8:$I$55)</f>
        <v>0</v>
      </c>
      <c r="Q22" s="399">
        <f>SUMIF($D$8:$D$55,$O22,$I$8:$I$55)+SUMIF($F$8:$F$55,$O22,$G$8:$G$55)</f>
        <v>7</v>
      </c>
      <c r="R22" s="399">
        <f>P22-Q22</f>
        <v>-7</v>
      </c>
      <c r="S22" s="400">
        <f>SUMIF($D$8:$D$55,$O22,$K$8:$K$55)+SUMIF($F$8:$F$55,$O22,$L$8:$L$55)</f>
        <v>0</v>
      </c>
      <c r="T22" s="445" t="s">
        <v>60</v>
      </c>
      <c r="U22" s="40"/>
      <c r="V22" s="40" t="str">
        <f>O22</f>
        <v>Griekenland</v>
      </c>
      <c r="W22" s="40" t="s">
        <v>58</v>
      </c>
      <c r="Y22" s="109">
        <f t="shared" si="8"/>
        <v>6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6</v>
      </c>
      <c r="AG22" s="108">
        <f t="shared" si="3"/>
        <v>1</v>
      </c>
      <c r="AH22" s="108">
        <f t="shared" si="4"/>
        <v>0</v>
      </c>
      <c r="AI22" s="108">
        <f t="shared" si="10"/>
        <v>0</v>
      </c>
      <c r="AJ22" s="108">
        <f t="shared" si="5"/>
        <v>5</v>
      </c>
      <c r="AK22" s="108">
        <f t="shared" si="6"/>
        <v>0</v>
      </c>
      <c r="AL22" s="108">
        <f t="shared" si="7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2</v>
      </c>
      <c r="H23" s="373" t="s">
        <v>9</v>
      </c>
      <c r="I23" s="441">
        <v>0</v>
      </c>
      <c r="J23" s="375">
        <f t="shared" si="0"/>
        <v>1</v>
      </c>
      <c r="K23" s="363">
        <f t="shared" si="1"/>
        <v>3</v>
      </c>
      <c r="L23" s="363">
        <f t="shared" si="2"/>
        <v>0</v>
      </c>
      <c r="M23" s="352"/>
      <c r="N23" s="352"/>
      <c r="O23" s="398" t="s">
        <v>23</v>
      </c>
      <c r="P23" s="399">
        <f>SUMIF($D$8:$D$55,$O23,$G$8:$G$55)+SUMIF($F$8:$F$55,$O23,$I$8:$I$55)</f>
        <v>7</v>
      </c>
      <c r="Q23" s="399">
        <f>SUMIF($D$8:$D$55,$O23,$I$8:$I$55)+SUMIF($F$8:$F$55,$O23,$G$8:$G$55)</f>
        <v>3</v>
      </c>
      <c r="R23" s="399">
        <f>P23-Q23</f>
        <v>4</v>
      </c>
      <c r="S23" s="400">
        <f>SUMIF($D$8:$D$55,$O23,$K$8:$K$55)+SUMIF($F$8:$F$55,$O23,$L$8:$L$55)</f>
        <v>7</v>
      </c>
      <c r="T23" s="445" t="s">
        <v>57</v>
      </c>
      <c r="U23" s="40"/>
      <c r="V23" s="40" t="str">
        <f>O23</f>
        <v>Ivoorkust</v>
      </c>
      <c r="W23" s="40" t="s">
        <v>59</v>
      </c>
      <c r="Y23" s="109">
        <f t="shared" si="8"/>
        <v>1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1</v>
      </c>
      <c r="AG23" s="108">
        <f t="shared" si="3"/>
        <v>0</v>
      </c>
      <c r="AH23" s="108">
        <f t="shared" si="4"/>
        <v>1</v>
      </c>
      <c r="AI23" s="108">
        <f t="shared" si="10"/>
        <v>0</v>
      </c>
      <c r="AJ23" s="108">
        <f t="shared" si="5"/>
        <v>0</v>
      </c>
      <c r="AK23" s="108">
        <f t="shared" si="6"/>
        <v>0</v>
      </c>
      <c r="AL23" s="108">
        <f t="shared" si="7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2</v>
      </c>
      <c r="H24" s="379" t="s">
        <v>9</v>
      </c>
      <c r="I24" s="442">
        <v>1</v>
      </c>
      <c r="J24" s="381">
        <f t="shared" si="0"/>
        <v>1</v>
      </c>
      <c r="K24" s="363">
        <f t="shared" si="1"/>
        <v>3</v>
      </c>
      <c r="L24" s="363">
        <f t="shared" si="2"/>
        <v>0</v>
      </c>
      <c r="M24" s="352"/>
      <c r="N24" s="352"/>
      <c r="O24" s="401" t="s">
        <v>24</v>
      </c>
      <c r="P24" s="402">
        <f>SUMIF($D$8:$D$55,$O24,$G$8:$G$55)+SUMIF($F$8:$F$55,$O24,$I$8:$I$55)</f>
        <v>5</v>
      </c>
      <c r="Q24" s="402">
        <f>SUMIF($D$8:$D$55,$O24,$I$8:$I$55)+SUMIF($F$8:$F$55,$O24,$G$8:$G$55)</f>
        <v>5</v>
      </c>
      <c r="R24" s="402">
        <f>P24-Q24</f>
        <v>0</v>
      </c>
      <c r="S24" s="403">
        <f>SUMIF($D$8:$D$55,$O24,$K$8:$K$55)+SUMIF($F$8:$F$55,$O24,$L$8:$L$55)</f>
        <v>3</v>
      </c>
      <c r="T24" s="446" t="s">
        <v>59</v>
      </c>
      <c r="U24" s="40"/>
      <c r="V24" s="40" t="str">
        <f>O24</f>
        <v>Japan</v>
      </c>
      <c r="W24" s="40" t="s">
        <v>60</v>
      </c>
      <c r="Y24" s="109">
        <f t="shared" si="8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</v>
      </c>
      <c r="AG24" s="108">
        <f t="shared" si="3"/>
        <v>0</v>
      </c>
      <c r="AH24" s="108">
        <f t="shared" si="4"/>
        <v>1</v>
      </c>
      <c r="AI24" s="108">
        <f t="shared" si="10"/>
        <v>0</v>
      </c>
      <c r="AJ24" s="108">
        <f t="shared" si="5"/>
        <v>0</v>
      </c>
      <c r="AK24" s="108">
        <f t="shared" si="6"/>
        <v>0</v>
      </c>
      <c r="AL24" s="108">
        <f t="shared" si="7"/>
        <v>0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1</v>
      </c>
      <c r="H25" s="367" t="s">
        <v>9</v>
      </c>
      <c r="I25" s="440">
        <v>1</v>
      </c>
      <c r="J25" s="369">
        <f t="shared" si="0"/>
        <v>3</v>
      </c>
      <c r="K25" s="363">
        <f t="shared" si="1"/>
        <v>1</v>
      </c>
      <c r="L25" s="363">
        <f t="shared" si="2"/>
        <v>1</v>
      </c>
      <c r="M25" s="352"/>
      <c r="N25" s="352"/>
      <c r="O25" s="392"/>
      <c r="P25" s="393"/>
      <c r="Q25" s="393"/>
      <c r="R25" s="393"/>
      <c r="S25" s="393"/>
      <c r="T25" s="393"/>
      <c r="U25" s="40"/>
      <c r="V25" s="40"/>
      <c r="W25" s="40"/>
      <c r="Y25" s="109">
        <f t="shared" si="8"/>
        <v>0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0</v>
      </c>
      <c r="AG25" s="108">
        <f t="shared" si="3"/>
        <v>0</v>
      </c>
      <c r="AH25" s="108">
        <f t="shared" si="4"/>
        <v>0</v>
      </c>
      <c r="AI25" s="108">
        <f t="shared" si="10"/>
        <v>0</v>
      </c>
      <c r="AJ25" s="108">
        <f t="shared" si="5"/>
        <v>0</v>
      </c>
      <c r="AK25" s="108">
        <f t="shared" si="6"/>
        <v>0</v>
      </c>
      <c r="AL25" s="108">
        <f t="shared" si="7"/>
        <v>0</v>
      </c>
      <c r="AN25" s="40"/>
      <c r="AO25" s="41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2</v>
      </c>
      <c r="H26" s="373" t="s">
        <v>9</v>
      </c>
      <c r="I26" s="441">
        <v>2</v>
      </c>
      <c r="J26" s="375">
        <f t="shared" si="0"/>
        <v>3</v>
      </c>
      <c r="K26" s="363">
        <f t="shared" si="1"/>
        <v>1</v>
      </c>
      <c r="L26" s="363">
        <f t="shared" si="2"/>
        <v>1</v>
      </c>
      <c r="M26" s="352"/>
      <c r="N26" s="352"/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40"/>
      <c r="V26" s="40"/>
      <c r="W26" s="40"/>
      <c r="Y26" s="109">
        <f t="shared" si="8"/>
        <v>1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1</v>
      </c>
      <c r="AG26" s="108">
        <f t="shared" si="3"/>
        <v>0</v>
      </c>
      <c r="AH26" s="108">
        <f t="shared" si="4"/>
        <v>1</v>
      </c>
      <c r="AI26" s="108">
        <f t="shared" si="10"/>
        <v>0</v>
      </c>
      <c r="AJ26" s="108">
        <f t="shared" si="5"/>
        <v>0</v>
      </c>
      <c r="AK26" s="108">
        <f t="shared" si="6"/>
        <v>0</v>
      </c>
      <c r="AL26" s="108">
        <f t="shared" si="7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0</v>
      </c>
      <c r="H27" s="379" t="s">
        <v>9</v>
      </c>
      <c r="I27" s="442">
        <v>2</v>
      </c>
      <c r="J27" s="381">
        <f t="shared" si="0"/>
        <v>2</v>
      </c>
      <c r="K27" s="363">
        <f t="shared" si="1"/>
        <v>0</v>
      </c>
      <c r="L27" s="363">
        <f t="shared" si="2"/>
        <v>3</v>
      </c>
      <c r="M27" s="352"/>
      <c r="N27" s="352"/>
      <c r="O27" s="394" t="s">
        <v>19</v>
      </c>
      <c r="P27" s="395">
        <f>SUMIF($D$8:$D$55,$O27,$G$8:$G$55)+SUMIF($F$8:$F$55,$O27,$I$8:$I$55)</f>
        <v>5</v>
      </c>
      <c r="Q27" s="395">
        <f>SUMIF($D$8:$D$55,$O27,$I$8:$I$55)+SUMIF($F$8:$F$55,$O27,$G$8:$G$55)</f>
        <v>2</v>
      </c>
      <c r="R27" s="396">
        <f>P27-Q27</f>
        <v>3</v>
      </c>
      <c r="S27" s="397">
        <f>SUMIF($D$8:$D$55,$O27,$K$8:$K$55)+SUMIF($F$8:$F$55,$O27,$L$8:$L$55)</f>
        <v>7</v>
      </c>
      <c r="T27" s="444" t="s">
        <v>62</v>
      </c>
      <c r="U27" s="40"/>
      <c r="V27" s="40" t="str">
        <f>O27</f>
        <v>Uruguay</v>
      </c>
      <c r="W27" s="40" t="s">
        <v>62</v>
      </c>
      <c r="Y27" s="109">
        <f t="shared" si="8"/>
        <v>6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6</v>
      </c>
      <c r="AG27" s="108">
        <f t="shared" si="3"/>
        <v>1</v>
      </c>
      <c r="AH27" s="108">
        <f t="shared" si="4"/>
        <v>0</v>
      </c>
      <c r="AI27" s="108">
        <f t="shared" si="10"/>
        <v>0</v>
      </c>
      <c r="AJ27" s="108">
        <f t="shared" si="5"/>
        <v>0</v>
      </c>
      <c r="AK27" s="108">
        <f t="shared" si="6"/>
        <v>5</v>
      </c>
      <c r="AL27" s="108">
        <f t="shared" si="7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1</v>
      </c>
      <c r="H28" s="367" t="s">
        <v>9</v>
      </c>
      <c r="I28" s="440">
        <v>1</v>
      </c>
      <c r="J28" s="369">
        <f t="shared" si="0"/>
        <v>3</v>
      </c>
      <c r="K28" s="363">
        <f t="shared" si="1"/>
        <v>1</v>
      </c>
      <c r="L28" s="363">
        <f t="shared" si="2"/>
        <v>1</v>
      </c>
      <c r="M28" s="352"/>
      <c r="N28" s="352"/>
      <c r="O28" s="398" t="s">
        <v>20</v>
      </c>
      <c r="P28" s="399">
        <f>SUMIF($D$8:$D$55,$O28,$G$8:$G$55)+SUMIF($F$8:$F$55,$O28,$I$8:$I$55)</f>
        <v>1</v>
      </c>
      <c r="Q28" s="399">
        <f>SUMIF($D$8:$D$55,$O28,$I$8:$I$55)+SUMIF($F$8:$F$55,$O28,$G$8:$G$55)</f>
        <v>6</v>
      </c>
      <c r="R28" s="399">
        <f>P28-Q28</f>
        <v>-5</v>
      </c>
      <c r="S28" s="400">
        <f>SUMIF($D$8:$D$55,$O28,$K$8:$K$55)+SUMIF($F$8:$F$55,$O28,$L$8:$L$55)</f>
        <v>0</v>
      </c>
      <c r="T28" s="445" t="s">
        <v>65</v>
      </c>
      <c r="U28" s="40"/>
      <c r="V28" s="40" t="str">
        <f>O28</f>
        <v>Costa Rica</v>
      </c>
      <c r="W28" s="40" t="s">
        <v>63</v>
      </c>
      <c r="Y28" s="109">
        <f t="shared" si="8"/>
        <v>1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1</v>
      </c>
      <c r="AG28" s="108">
        <f t="shared" si="3"/>
        <v>0</v>
      </c>
      <c r="AH28" s="108">
        <f t="shared" si="4"/>
        <v>1</v>
      </c>
      <c r="AI28" s="108">
        <f t="shared" si="10"/>
        <v>0</v>
      </c>
      <c r="AJ28" s="108">
        <f t="shared" si="5"/>
        <v>0</v>
      </c>
      <c r="AK28" s="108">
        <f t="shared" si="6"/>
        <v>0</v>
      </c>
      <c r="AL28" s="108">
        <f t="shared" si="7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2</v>
      </c>
      <c r="H29" s="373" t="s">
        <v>9</v>
      </c>
      <c r="I29" s="441">
        <v>0</v>
      </c>
      <c r="J29" s="375">
        <f t="shared" si="0"/>
        <v>1</v>
      </c>
      <c r="K29" s="363">
        <f t="shared" si="1"/>
        <v>3</v>
      </c>
      <c r="L29" s="363">
        <f t="shared" si="2"/>
        <v>0</v>
      </c>
      <c r="M29" s="352"/>
      <c r="N29" s="352"/>
      <c r="O29" s="398" t="s">
        <v>21</v>
      </c>
      <c r="P29" s="399">
        <f>SUMIF($D$8:$D$55,$O29,$G$8:$G$55)+SUMIF($F$8:$F$55,$O29,$I$8:$I$55)</f>
        <v>2</v>
      </c>
      <c r="Q29" s="399">
        <f>SUMIF($D$8:$D$55,$O29,$I$8:$I$55)+SUMIF($F$8:$F$55,$O29,$G$8:$G$55)</f>
        <v>2</v>
      </c>
      <c r="R29" s="399">
        <f>P29-Q29</f>
        <v>0</v>
      </c>
      <c r="S29" s="400">
        <f>SUMIF($D$8:$D$55,$O29,$K$8:$K$55)+SUMIF($F$8:$F$55,$O29,$L$8:$L$55)</f>
        <v>4</v>
      </c>
      <c r="T29" s="445" t="s">
        <v>64</v>
      </c>
      <c r="U29" s="40"/>
      <c r="V29" s="40" t="str">
        <f>O29</f>
        <v>Engeland</v>
      </c>
      <c r="W29" s="40" t="s">
        <v>64</v>
      </c>
      <c r="Y29" s="109">
        <f t="shared" si="8"/>
        <v>6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6</v>
      </c>
      <c r="AG29" s="108">
        <f t="shared" si="3"/>
        <v>1</v>
      </c>
      <c r="AH29" s="108">
        <f t="shared" si="4"/>
        <v>0</v>
      </c>
      <c r="AI29" s="108">
        <f t="shared" si="10"/>
        <v>0</v>
      </c>
      <c r="AJ29" s="108">
        <f t="shared" si="5"/>
        <v>5</v>
      </c>
      <c r="AK29" s="108">
        <f t="shared" si="6"/>
        <v>0</v>
      </c>
      <c r="AL29" s="108">
        <f t="shared" si="7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2</v>
      </c>
      <c r="H30" s="379" t="s">
        <v>9</v>
      </c>
      <c r="I30" s="442">
        <v>0</v>
      </c>
      <c r="J30" s="381">
        <f t="shared" si="0"/>
        <v>1</v>
      </c>
      <c r="K30" s="363">
        <f t="shared" si="1"/>
        <v>3</v>
      </c>
      <c r="L30" s="363">
        <f t="shared" si="2"/>
        <v>0</v>
      </c>
      <c r="M30" s="352"/>
      <c r="N30" s="352"/>
      <c r="O30" s="401" t="s">
        <v>22</v>
      </c>
      <c r="P30" s="402">
        <f>SUMIF($D$8:$D$55,$O30,$G$8:$G$55)+SUMIF($F$8:$F$55,$O30,$I$8:$I$55)</f>
        <v>3</v>
      </c>
      <c r="Q30" s="402">
        <f>SUMIF($D$8:$D$55,$O30,$I$8:$I$55)+SUMIF($F$8:$F$55,$O30,$G$8:$G$55)</f>
        <v>1</v>
      </c>
      <c r="R30" s="402">
        <f>P30-Q30</f>
        <v>2</v>
      </c>
      <c r="S30" s="403">
        <f>SUMIF($D$8:$D$55,$O30,$K$8:$K$55)+SUMIF($F$8:$F$55,$O30,$L$8:$L$55)</f>
        <v>5</v>
      </c>
      <c r="T30" s="446" t="s">
        <v>63</v>
      </c>
      <c r="U30" s="40"/>
      <c r="V30" s="40" t="str">
        <f>O30</f>
        <v>Italië</v>
      </c>
      <c r="W30" s="40" t="s">
        <v>65</v>
      </c>
      <c r="Y30" s="109">
        <f t="shared" si="8"/>
        <v>1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1</v>
      </c>
      <c r="AG30" s="108">
        <f t="shared" si="3"/>
        <v>0</v>
      </c>
      <c r="AH30" s="108">
        <f t="shared" si="4"/>
        <v>1</v>
      </c>
      <c r="AI30" s="108">
        <f t="shared" si="10"/>
        <v>0</v>
      </c>
      <c r="AJ30" s="108">
        <f t="shared" si="5"/>
        <v>0</v>
      </c>
      <c r="AK30" s="108">
        <f t="shared" si="6"/>
        <v>0</v>
      </c>
      <c r="AL30" s="108">
        <f t="shared" si="7"/>
        <v>0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2</v>
      </c>
      <c r="H31" s="367" t="s">
        <v>9</v>
      </c>
      <c r="I31" s="440">
        <v>0</v>
      </c>
      <c r="J31" s="369">
        <f t="shared" si="0"/>
        <v>1</v>
      </c>
      <c r="K31" s="363">
        <f t="shared" si="1"/>
        <v>3</v>
      </c>
      <c r="L31" s="363">
        <f t="shared" si="2"/>
        <v>0</v>
      </c>
      <c r="M31" s="352"/>
      <c r="N31" s="352"/>
      <c r="O31" s="392"/>
      <c r="P31" s="393"/>
      <c r="Q31" s="393"/>
      <c r="R31" s="393"/>
      <c r="S31" s="393"/>
      <c r="T31" s="393"/>
      <c r="U31" s="40"/>
      <c r="V31" s="40"/>
      <c r="W31" s="40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3"/>
        <v>0</v>
      </c>
      <c r="AH31" s="108">
        <f t="shared" si="4"/>
        <v>0</v>
      </c>
      <c r="AI31" s="108">
        <f t="shared" si="10"/>
        <v>0</v>
      </c>
      <c r="AJ31" s="108">
        <f t="shared" si="5"/>
        <v>0</v>
      </c>
      <c r="AK31" s="108">
        <f t="shared" si="6"/>
        <v>0</v>
      </c>
      <c r="AL31" s="108">
        <f t="shared" si="7"/>
        <v>0</v>
      </c>
      <c r="AN31" s="40"/>
      <c r="AO31" s="41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1</v>
      </c>
      <c r="H32" s="373" t="s">
        <v>9</v>
      </c>
      <c r="I32" s="441">
        <v>2</v>
      </c>
      <c r="J32" s="375">
        <f t="shared" si="0"/>
        <v>2</v>
      </c>
      <c r="K32" s="363">
        <f t="shared" si="1"/>
        <v>0</v>
      </c>
      <c r="L32" s="363">
        <f t="shared" si="2"/>
        <v>3</v>
      </c>
      <c r="M32" s="352"/>
      <c r="N32" s="352"/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40"/>
      <c r="V32" s="40"/>
      <c r="W32" s="40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3"/>
        <v>0</v>
      </c>
      <c r="AH32" s="108">
        <f t="shared" si="4"/>
        <v>0</v>
      </c>
      <c r="AI32" s="108">
        <f t="shared" si="10"/>
        <v>0</v>
      </c>
      <c r="AJ32" s="108">
        <f t="shared" si="5"/>
        <v>0</v>
      </c>
      <c r="AK32" s="108">
        <f t="shared" si="6"/>
        <v>5</v>
      </c>
      <c r="AL32" s="108">
        <f t="shared" si="7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0</v>
      </c>
      <c r="H33" s="379" t="s">
        <v>9</v>
      </c>
      <c r="I33" s="442">
        <v>2</v>
      </c>
      <c r="J33" s="381">
        <f t="shared" si="0"/>
        <v>2</v>
      </c>
      <c r="K33" s="363">
        <f t="shared" si="1"/>
        <v>0</v>
      </c>
      <c r="L33" s="363">
        <f t="shared" si="2"/>
        <v>3</v>
      </c>
      <c r="M33" s="352"/>
      <c r="N33" s="352"/>
      <c r="O33" s="394" t="s">
        <v>25</v>
      </c>
      <c r="P33" s="395">
        <f>SUMIF($D$8:$D$55,$O33,$G$8:$G$55)+SUMIF($F$8:$F$55,$O33,$I$8:$I$55)</f>
        <v>6</v>
      </c>
      <c r="Q33" s="395">
        <f>SUMIF($D$8:$D$55,$O33,$I$8:$I$55)+SUMIF($F$8:$F$55,$O33,$G$8:$G$55)</f>
        <v>3</v>
      </c>
      <c r="R33" s="396">
        <f>P33-Q33</f>
        <v>3</v>
      </c>
      <c r="S33" s="397">
        <f>SUMIF($D$8:$D$55,$O33,$K$8:$K$55)+SUMIF($F$8:$F$55,$O33,$L$8:$L$55)</f>
        <v>6</v>
      </c>
      <c r="T33" s="444" t="s">
        <v>68</v>
      </c>
      <c r="U33" s="40"/>
      <c r="V33" s="40" t="str">
        <f>O33</f>
        <v>Zwitserland</v>
      </c>
      <c r="W33" s="40" t="s">
        <v>67</v>
      </c>
      <c r="Y33" s="109">
        <f t="shared" si="8"/>
        <v>6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6</v>
      </c>
      <c r="AG33" s="108">
        <f t="shared" si="3"/>
        <v>0</v>
      </c>
      <c r="AH33" s="108">
        <f t="shared" si="4"/>
        <v>1</v>
      </c>
      <c r="AI33" s="108">
        <f t="shared" si="10"/>
        <v>0</v>
      </c>
      <c r="AJ33" s="108">
        <f t="shared" si="5"/>
        <v>0</v>
      </c>
      <c r="AK33" s="108">
        <f t="shared" si="6"/>
        <v>5</v>
      </c>
      <c r="AL33" s="108">
        <f t="shared" si="7"/>
        <v>0</v>
      </c>
      <c r="AM33" s="120">
        <f>AO33</f>
        <v>10</v>
      </c>
      <c r="AN33" s="116" t="s">
        <v>25</v>
      </c>
      <c r="AO33" s="115">
        <f>IF(Uitslag!T33="",0,IF(T33=Uitslag!T33,10,0))</f>
        <v>10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4</v>
      </c>
      <c r="H34" s="367" t="s">
        <v>9</v>
      </c>
      <c r="I34" s="440">
        <v>0</v>
      </c>
      <c r="J34" s="369">
        <f t="shared" si="0"/>
        <v>1</v>
      </c>
      <c r="K34" s="363">
        <f t="shared" si="1"/>
        <v>3</v>
      </c>
      <c r="L34" s="363">
        <f t="shared" si="2"/>
        <v>0</v>
      </c>
      <c r="M34" s="352"/>
      <c r="N34" s="352"/>
      <c r="O34" s="398" t="s">
        <v>26</v>
      </c>
      <c r="P34" s="399">
        <f>SUMIF($D$8:$D$55,$O34,$G$8:$G$55)+SUMIF($F$8:$F$55,$O34,$I$8:$I$55)</f>
        <v>4</v>
      </c>
      <c r="Q34" s="399">
        <f>SUMIF($D$8:$D$55,$O34,$I$8:$I$55)+SUMIF($F$8:$F$55,$O34,$G$8:$G$55)</f>
        <v>5</v>
      </c>
      <c r="R34" s="399">
        <f>P34-Q34</f>
        <v>-1</v>
      </c>
      <c r="S34" s="400">
        <f>SUMIF($D$8:$D$55,$O34,$K$8:$K$55)+SUMIF($F$8:$F$55,$O34,$L$8:$L$55)</f>
        <v>3</v>
      </c>
      <c r="T34" s="445" t="s">
        <v>69</v>
      </c>
      <c r="U34" s="40"/>
      <c r="V34" s="40" t="str">
        <f>O34</f>
        <v>Ecuador</v>
      </c>
      <c r="W34" s="40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3"/>
        <v>0</v>
      </c>
      <c r="AH34" s="108">
        <f t="shared" si="4"/>
        <v>1</v>
      </c>
      <c r="AI34" s="108">
        <f t="shared" si="10"/>
        <v>0</v>
      </c>
      <c r="AJ34" s="108">
        <f t="shared" si="5"/>
        <v>5</v>
      </c>
      <c r="AK34" s="108">
        <f t="shared" si="6"/>
        <v>0</v>
      </c>
      <c r="AL34" s="108">
        <f t="shared" si="7"/>
        <v>0</v>
      </c>
      <c r="AM34" s="120">
        <f>AO34</f>
        <v>10</v>
      </c>
      <c r="AN34" s="117" t="s">
        <v>26</v>
      </c>
      <c r="AO34" s="115">
        <f>IF(Uitslag!T34="",0,IF(T34=Uitslag!T34,10,0))</f>
        <v>10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2</v>
      </c>
      <c r="H35" s="373" t="s">
        <v>9</v>
      </c>
      <c r="I35" s="441">
        <v>0</v>
      </c>
      <c r="J35" s="375">
        <f t="shared" si="0"/>
        <v>1</v>
      </c>
      <c r="K35" s="363">
        <f t="shared" si="1"/>
        <v>3</v>
      </c>
      <c r="L35" s="363">
        <f t="shared" si="2"/>
        <v>0</v>
      </c>
      <c r="M35" s="352"/>
      <c r="N35" s="352"/>
      <c r="O35" s="398" t="s">
        <v>27</v>
      </c>
      <c r="P35" s="399">
        <f>SUMIF($D$8:$D$55,$O35,$G$8:$G$55)+SUMIF($F$8:$F$55,$O35,$I$8:$I$55)</f>
        <v>8</v>
      </c>
      <c r="Q35" s="399">
        <f>SUMIF($D$8:$D$55,$O35,$I$8:$I$55)+SUMIF($F$8:$F$55,$O35,$G$8:$G$55)</f>
        <v>2</v>
      </c>
      <c r="R35" s="399">
        <f>P35-Q35</f>
        <v>6</v>
      </c>
      <c r="S35" s="400">
        <f>SUMIF($D$8:$D$55,$O35,$K$8:$K$55)+SUMIF($F$8:$F$55,$O35,$L$8:$L$55)</f>
        <v>9</v>
      </c>
      <c r="T35" s="445" t="s">
        <v>67</v>
      </c>
      <c r="U35" s="40"/>
      <c r="V35" s="40" t="str">
        <f>O35</f>
        <v>Frankrijk</v>
      </c>
      <c r="W35" s="40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3"/>
        <v>1</v>
      </c>
      <c r="AH35" s="108">
        <f t="shared" si="4"/>
        <v>0</v>
      </c>
      <c r="AI35" s="108">
        <f t="shared" si="10"/>
        <v>0</v>
      </c>
      <c r="AJ35" s="108">
        <f t="shared" si="5"/>
        <v>0</v>
      </c>
      <c r="AK35" s="108">
        <f t="shared" si="6"/>
        <v>0</v>
      </c>
      <c r="AL35" s="108">
        <f t="shared" si="7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1</v>
      </c>
      <c r="H36" s="379" t="s">
        <v>9</v>
      </c>
      <c r="I36" s="442">
        <v>3</v>
      </c>
      <c r="J36" s="381">
        <f t="shared" si="0"/>
        <v>2</v>
      </c>
      <c r="K36" s="363">
        <f t="shared" si="1"/>
        <v>0</v>
      </c>
      <c r="L36" s="363">
        <f t="shared" si="2"/>
        <v>3</v>
      </c>
      <c r="M36" s="352"/>
      <c r="N36" s="352"/>
      <c r="O36" s="401" t="s">
        <v>28</v>
      </c>
      <c r="P36" s="402">
        <f>SUMIF($D$8:$D$55,$O36,$G$8:$G$55)+SUMIF($F$8:$F$55,$O36,$I$8:$I$55)</f>
        <v>0</v>
      </c>
      <c r="Q36" s="402">
        <f>SUMIF($D$8:$D$55,$O36,$I$8:$I$55)+SUMIF($F$8:$F$55,$O36,$G$8:$G$55)</f>
        <v>8</v>
      </c>
      <c r="R36" s="402">
        <f>P36-Q36</f>
        <v>-8</v>
      </c>
      <c r="S36" s="403">
        <f>SUMIF($D$8:$D$55,$O36,$K$8:$K$55)+SUMIF($F$8:$F$55,$O36,$L$8:$L$55)</f>
        <v>0</v>
      </c>
      <c r="T36" s="446" t="s">
        <v>70</v>
      </c>
      <c r="U36" s="40"/>
      <c r="V36" s="40" t="str">
        <f>O36</f>
        <v>Honduras</v>
      </c>
      <c r="W36" s="40" t="s">
        <v>70</v>
      </c>
      <c r="Y36" s="109">
        <f t="shared" si="8"/>
        <v>1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1</v>
      </c>
      <c r="AG36" s="108">
        <f t="shared" si="3"/>
        <v>1</v>
      </c>
      <c r="AH36" s="108">
        <f t="shared" si="4"/>
        <v>0</v>
      </c>
      <c r="AI36" s="108">
        <f t="shared" si="10"/>
        <v>0</v>
      </c>
      <c r="AJ36" s="108">
        <f t="shared" si="5"/>
        <v>0</v>
      </c>
      <c r="AK36" s="108">
        <f t="shared" si="6"/>
        <v>0</v>
      </c>
      <c r="AL36" s="108">
        <f t="shared" si="7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1</v>
      </c>
      <c r="H37" s="367" t="s">
        <v>9</v>
      </c>
      <c r="I37" s="440">
        <v>1</v>
      </c>
      <c r="J37" s="369">
        <f t="shared" si="0"/>
        <v>3</v>
      </c>
      <c r="K37" s="363">
        <f t="shared" si="1"/>
        <v>1</v>
      </c>
      <c r="L37" s="363">
        <f t="shared" si="2"/>
        <v>1</v>
      </c>
      <c r="M37" s="352"/>
      <c r="N37" s="352"/>
      <c r="O37" s="392"/>
      <c r="P37" s="393"/>
      <c r="Q37" s="393"/>
      <c r="R37" s="393"/>
      <c r="S37" s="393"/>
      <c r="T37" s="393"/>
      <c r="U37" s="40"/>
      <c r="V37" s="40"/>
      <c r="W37" s="40"/>
      <c r="Y37" s="109">
        <f t="shared" si="8"/>
        <v>1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1</v>
      </c>
      <c r="AG37" s="108">
        <f t="shared" si="3"/>
        <v>1</v>
      </c>
      <c r="AH37" s="108">
        <f t="shared" si="4"/>
        <v>0</v>
      </c>
      <c r="AI37" s="108">
        <f t="shared" si="10"/>
        <v>0</v>
      </c>
      <c r="AJ37" s="108">
        <f t="shared" si="5"/>
        <v>0</v>
      </c>
      <c r="AK37" s="108">
        <f t="shared" si="6"/>
        <v>0</v>
      </c>
      <c r="AL37" s="108">
        <f t="shared" si="7"/>
        <v>0</v>
      </c>
      <c r="AN37" s="40"/>
      <c r="AO37" s="41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1</v>
      </c>
      <c r="H38" s="373" t="s">
        <v>9</v>
      </c>
      <c r="I38" s="441">
        <v>2</v>
      </c>
      <c r="J38" s="375">
        <f t="shared" si="0"/>
        <v>2</v>
      </c>
      <c r="K38" s="363">
        <f t="shared" si="1"/>
        <v>0</v>
      </c>
      <c r="L38" s="363">
        <f t="shared" si="2"/>
        <v>3</v>
      </c>
      <c r="M38" s="352"/>
      <c r="N38" s="352"/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40"/>
      <c r="V38" s="40"/>
      <c r="W38" s="40"/>
      <c r="Y38" s="109">
        <f t="shared" si="8"/>
        <v>5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5</v>
      </c>
      <c r="AG38" s="108">
        <f t="shared" si="3"/>
        <v>0</v>
      </c>
      <c r="AH38" s="108">
        <f t="shared" si="4"/>
        <v>0</v>
      </c>
      <c r="AI38" s="108">
        <f t="shared" si="10"/>
        <v>0</v>
      </c>
      <c r="AJ38" s="108">
        <f t="shared" si="5"/>
        <v>0</v>
      </c>
      <c r="AK38" s="108">
        <f t="shared" si="6"/>
        <v>5</v>
      </c>
      <c r="AL38" s="108">
        <f t="shared" si="7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0</v>
      </c>
      <c r="H39" s="379" t="s">
        <v>9</v>
      </c>
      <c r="I39" s="442">
        <v>1</v>
      </c>
      <c r="J39" s="381">
        <f t="shared" si="0"/>
        <v>2</v>
      </c>
      <c r="K39" s="363">
        <f t="shared" si="1"/>
        <v>0</v>
      </c>
      <c r="L39" s="363">
        <f t="shared" si="2"/>
        <v>3</v>
      </c>
      <c r="M39" s="352"/>
      <c r="N39" s="352"/>
      <c r="O39" s="394" t="s">
        <v>29</v>
      </c>
      <c r="P39" s="395">
        <f>SUMIF($D$8:$D$55,$O39,$G$8:$G$55)+SUMIF($F$8:$F$55,$O39,$I$8:$I$55)</f>
        <v>10</v>
      </c>
      <c r="Q39" s="395">
        <f>SUMIF($D$8:$D$55,$O39,$I$8:$I$55)+SUMIF($F$8:$F$55,$O39,$G$8:$G$55)</f>
        <v>1</v>
      </c>
      <c r="R39" s="396">
        <f>P39-Q39</f>
        <v>9</v>
      </c>
      <c r="S39" s="397">
        <f>SUMIF($D$8:$D$55,$O39,$K$8:$K$55)+SUMIF($F$8:$F$55,$O39,$L$8:$L$55)</f>
        <v>9</v>
      </c>
      <c r="T39" s="444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0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0</v>
      </c>
      <c r="AG39" s="108">
        <f t="shared" si="3"/>
        <v>0</v>
      </c>
      <c r="AH39" s="108">
        <f t="shared" si="4"/>
        <v>0</v>
      </c>
      <c r="AI39" s="108">
        <f t="shared" si="10"/>
        <v>0</v>
      </c>
      <c r="AJ39" s="108">
        <f t="shared" si="5"/>
        <v>0</v>
      </c>
      <c r="AK39" s="108">
        <f t="shared" si="6"/>
        <v>0</v>
      </c>
      <c r="AL39" s="108">
        <f t="shared" si="7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1</v>
      </c>
      <c r="H40" s="367" t="s">
        <v>9</v>
      </c>
      <c r="I40" s="440">
        <v>3</v>
      </c>
      <c r="J40" s="369">
        <f t="shared" si="0"/>
        <v>2</v>
      </c>
      <c r="K40" s="363">
        <f t="shared" si="1"/>
        <v>0</v>
      </c>
      <c r="L40" s="363">
        <f t="shared" si="2"/>
        <v>3</v>
      </c>
      <c r="M40" s="352"/>
      <c r="N40" s="352"/>
      <c r="O40" s="398" t="s">
        <v>30</v>
      </c>
      <c r="P40" s="399">
        <f>SUMIF($D$8:$D$55,$O40,$G$8:$G$55)+SUMIF($F$8:$F$55,$O40,$I$8:$I$55)</f>
        <v>7</v>
      </c>
      <c r="Q40" s="399">
        <f>SUMIF($D$8:$D$55,$O40,$I$8:$I$55)+SUMIF($F$8:$F$55,$O40,$G$8:$G$55)</f>
        <v>5</v>
      </c>
      <c r="R40" s="399">
        <f>P40-Q40</f>
        <v>2</v>
      </c>
      <c r="S40" s="400">
        <f>SUMIF($D$8:$D$55,$O40,$K$8:$K$55)+SUMIF($F$8:$F$55,$O40,$L$8:$L$55)</f>
        <v>6</v>
      </c>
      <c r="T40" s="445" t="s">
        <v>73</v>
      </c>
      <c r="U40" s="40"/>
      <c r="V40" s="40" t="str">
        <f>O40</f>
        <v>Bosnië H.</v>
      </c>
      <c r="W40" s="40" t="s">
        <v>73</v>
      </c>
      <c r="Y40" s="109">
        <f t="shared" si="8"/>
        <v>6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6</v>
      </c>
      <c r="AG40" s="108">
        <f t="shared" si="3"/>
        <v>0</v>
      </c>
      <c r="AH40" s="108">
        <f t="shared" si="4"/>
        <v>1</v>
      </c>
      <c r="AI40" s="108">
        <f t="shared" si="10"/>
        <v>0</v>
      </c>
      <c r="AJ40" s="108">
        <f t="shared" si="5"/>
        <v>0</v>
      </c>
      <c r="AK40" s="108">
        <f t="shared" si="6"/>
        <v>5</v>
      </c>
      <c r="AL40" s="108">
        <f t="shared" si="7"/>
        <v>0</v>
      </c>
      <c r="AM40" s="120">
        <f>AO40</f>
        <v>0</v>
      </c>
      <c r="AN40" s="117" t="s">
        <v>30</v>
      </c>
      <c r="AO40" s="115">
        <f>IF(Uitslag!T40="",0,IF(T40=Uitslag!T40,10,0))</f>
        <v>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1</v>
      </c>
      <c r="H41" s="373" t="s">
        <v>9</v>
      </c>
      <c r="I41" s="441">
        <v>1</v>
      </c>
      <c r="J41" s="375">
        <f t="shared" si="0"/>
        <v>3</v>
      </c>
      <c r="K41" s="363">
        <f t="shared" si="1"/>
        <v>1</v>
      </c>
      <c r="L41" s="363">
        <f t="shared" si="2"/>
        <v>1</v>
      </c>
      <c r="M41" s="352"/>
      <c r="N41" s="352"/>
      <c r="O41" s="398" t="s">
        <v>33</v>
      </c>
      <c r="P41" s="399">
        <f>SUMIF($D$8:$D$55,$O41,$G$8:$G$55)+SUMIF($F$8:$F$55,$O41,$I$8:$I$55)</f>
        <v>2</v>
      </c>
      <c r="Q41" s="399">
        <f>SUMIF($D$8:$D$55,$O41,$I$8:$I$55)+SUMIF($F$8:$F$55,$O41,$G$8:$G$55)</f>
        <v>9</v>
      </c>
      <c r="R41" s="399">
        <f>P41-Q41</f>
        <v>-7</v>
      </c>
      <c r="S41" s="400">
        <f>SUMIF($D$8:$D$55,$O41,$K$8:$K$55)+SUMIF($F$8:$F$55,$O41,$L$8:$L$55)</f>
        <v>0</v>
      </c>
      <c r="T41" s="445" t="s">
        <v>75</v>
      </c>
      <c r="U41" s="40"/>
      <c r="V41" s="40" t="str">
        <f>O41</f>
        <v>Iran</v>
      </c>
      <c r="W41" s="40" t="s">
        <v>74</v>
      </c>
      <c r="Y41" s="109">
        <f t="shared" si="8"/>
        <v>0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0</v>
      </c>
      <c r="AG41" s="108">
        <f t="shared" si="3"/>
        <v>0</v>
      </c>
      <c r="AH41" s="108">
        <f t="shared" si="4"/>
        <v>0</v>
      </c>
      <c r="AI41" s="108">
        <f t="shared" si="10"/>
        <v>0</v>
      </c>
      <c r="AJ41" s="108">
        <f t="shared" si="5"/>
        <v>0</v>
      </c>
      <c r="AK41" s="108">
        <f t="shared" si="6"/>
        <v>0</v>
      </c>
      <c r="AL41" s="108">
        <f t="shared" si="7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0</v>
      </c>
      <c r="H42" s="373" t="s">
        <v>9</v>
      </c>
      <c r="I42" s="441">
        <v>3</v>
      </c>
      <c r="J42" s="375">
        <f t="shared" si="0"/>
        <v>2</v>
      </c>
      <c r="K42" s="363">
        <f t="shared" si="1"/>
        <v>0</v>
      </c>
      <c r="L42" s="363">
        <f t="shared" si="2"/>
        <v>3</v>
      </c>
      <c r="M42" s="352"/>
      <c r="N42" s="352"/>
      <c r="O42" s="401" t="s">
        <v>34</v>
      </c>
      <c r="P42" s="402">
        <f>SUMIF($D$8:$D$55,$O42,$G$8:$G$55)+SUMIF($F$8:$F$55,$O42,$I$8:$I$55)</f>
        <v>3</v>
      </c>
      <c r="Q42" s="402">
        <f>SUMIF($D$8:$D$55,$O42,$I$8:$I$55)+SUMIF($F$8:$F$55,$O42,$G$8:$G$55)</f>
        <v>7</v>
      </c>
      <c r="R42" s="402">
        <f>P42-Q42</f>
        <v>-4</v>
      </c>
      <c r="S42" s="403">
        <f>SUMIF($D$8:$D$55,$O42,$K$8:$K$55)+SUMIF($F$8:$F$55,$O42,$L$8:$L$55)</f>
        <v>3</v>
      </c>
      <c r="T42" s="446" t="s">
        <v>74</v>
      </c>
      <c r="U42" s="40"/>
      <c r="V42" s="40" t="str">
        <f>O42</f>
        <v>Nigeria</v>
      </c>
      <c r="W42" s="40" t="s">
        <v>75</v>
      </c>
      <c r="Y42" s="109">
        <f t="shared" si="8"/>
        <v>5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5</v>
      </c>
      <c r="AG42" s="108">
        <f t="shared" si="3"/>
        <v>0</v>
      </c>
      <c r="AH42" s="108">
        <f t="shared" si="4"/>
        <v>0</v>
      </c>
      <c r="AI42" s="108">
        <f t="shared" si="10"/>
        <v>0</v>
      </c>
      <c r="AJ42" s="108">
        <f t="shared" si="5"/>
        <v>0</v>
      </c>
      <c r="AK42" s="108">
        <f t="shared" si="6"/>
        <v>5</v>
      </c>
      <c r="AL42" s="108">
        <f t="shared" si="7"/>
        <v>0</v>
      </c>
      <c r="AM42" s="120">
        <f>AO42</f>
        <v>0</v>
      </c>
      <c r="AN42" s="118" t="s">
        <v>34</v>
      </c>
      <c r="AO42" s="115">
        <f>IF(Uitslag!T42="",0,IF(T42=Uitslag!T42,10,0))</f>
        <v>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0</v>
      </c>
      <c r="H43" s="379" t="s">
        <v>9</v>
      </c>
      <c r="I43" s="442">
        <v>1</v>
      </c>
      <c r="J43" s="381">
        <f t="shared" si="0"/>
        <v>2</v>
      </c>
      <c r="K43" s="363">
        <f t="shared" si="1"/>
        <v>0</v>
      </c>
      <c r="L43" s="363">
        <f t="shared" si="2"/>
        <v>3</v>
      </c>
      <c r="M43" s="352"/>
      <c r="N43" s="352"/>
      <c r="O43" s="392"/>
      <c r="P43" s="393"/>
      <c r="Q43" s="393"/>
      <c r="R43" s="393"/>
      <c r="S43" s="393"/>
      <c r="T43" s="393"/>
      <c r="U43" s="40"/>
      <c r="V43" s="40"/>
      <c r="W43" s="40"/>
      <c r="Y43" s="109">
        <f t="shared" si="8"/>
        <v>5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5</v>
      </c>
      <c r="AG43" s="108">
        <f t="shared" si="3"/>
        <v>0</v>
      </c>
      <c r="AH43" s="108">
        <f t="shared" si="4"/>
        <v>0</v>
      </c>
      <c r="AI43" s="108">
        <f t="shared" si="10"/>
        <v>0</v>
      </c>
      <c r="AJ43" s="108">
        <f t="shared" si="5"/>
        <v>0</v>
      </c>
      <c r="AK43" s="108">
        <f t="shared" si="6"/>
        <v>5</v>
      </c>
      <c r="AL43" s="108">
        <f t="shared" si="7"/>
        <v>0</v>
      </c>
      <c r="AN43" s="40"/>
      <c r="AO43" s="41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1</v>
      </c>
      <c r="H44" s="367" t="s">
        <v>9</v>
      </c>
      <c r="I44" s="440">
        <v>1</v>
      </c>
      <c r="J44" s="369">
        <f t="shared" si="0"/>
        <v>3</v>
      </c>
      <c r="K44" s="363">
        <f t="shared" si="1"/>
        <v>1</v>
      </c>
      <c r="L44" s="363">
        <f t="shared" si="2"/>
        <v>1</v>
      </c>
      <c r="M44" s="352"/>
      <c r="N44" s="352"/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40"/>
      <c r="V44" s="40"/>
      <c r="W44" s="40"/>
      <c r="Y44" s="109">
        <f t="shared" si="8"/>
        <v>1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1</v>
      </c>
      <c r="AG44" s="108">
        <f t="shared" si="3"/>
        <v>0</v>
      </c>
      <c r="AH44" s="108">
        <f t="shared" si="4"/>
        <v>1</v>
      </c>
      <c r="AI44" s="108">
        <f t="shared" si="10"/>
        <v>0</v>
      </c>
      <c r="AJ44" s="108">
        <f t="shared" si="5"/>
        <v>0</v>
      </c>
      <c r="AK44" s="108">
        <f t="shared" si="6"/>
        <v>0</v>
      </c>
      <c r="AL44" s="108">
        <f t="shared" si="7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0</v>
      </c>
      <c r="H45" s="373" t="s">
        <v>9</v>
      </c>
      <c r="I45" s="441">
        <v>2</v>
      </c>
      <c r="J45" s="375">
        <f t="shared" si="0"/>
        <v>2</v>
      </c>
      <c r="K45" s="363">
        <f t="shared" si="1"/>
        <v>0</v>
      </c>
      <c r="L45" s="363">
        <f t="shared" si="2"/>
        <v>3</v>
      </c>
      <c r="M45" s="352"/>
      <c r="N45" s="352"/>
      <c r="O45" s="394" t="s">
        <v>31</v>
      </c>
      <c r="P45" s="395">
        <f>SUMIF($D$8:$D$55,$O45,$G$8:$G$55)+SUMIF($F$8:$F$55,$O45,$I$8:$I$55)</f>
        <v>5</v>
      </c>
      <c r="Q45" s="395">
        <f>SUMIF($D$8:$D$55,$O45,$I$8:$I$55)+SUMIF($F$8:$F$55,$O45,$G$8:$G$55)</f>
        <v>0</v>
      </c>
      <c r="R45" s="396">
        <f>P45-Q45</f>
        <v>5</v>
      </c>
      <c r="S45" s="397">
        <f>SUMIF($D$8:$D$55,$O45,$K$8:$K$55)+SUMIF($F$8:$F$55,$O45,$L$8:$L$55)</f>
        <v>9</v>
      </c>
      <c r="T45" s="444" t="s">
        <v>77</v>
      </c>
      <c r="U45" s="40"/>
      <c r="V45" s="40" t="str">
        <f>O45</f>
        <v>Duitsland</v>
      </c>
      <c r="W45" s="40" t="s">
        <v>77</v>
      </c>
      <c r="Y45" s="109">
        <f t="shared" si="8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1</v>
      </c>
      <c r="AG45" s="108">
        <f t="shared" si="3"/>
        <v>1</v>
      </c>
      <c r="AH45" s="108">
        <f t="shared" si="4"/>
        <v>0</v>
      </c>
      <c r="AI45" s="108">
        <f t="shared" si="10"/>
        <v>0</v>
      </c>
      <c r="AJ45" s="108">
        <f t="shared" si="5"/>
        <v>0</v>
      </c>
      <c r="AK45" s="108">
        <f t="shared" si="6"/>
        <v>0</v>
      </c>
      <c r="AL45" s="108">
        <f t="shared" si="7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1</v>
      </c>
      <c r="H46" s="373" t="s">
        <v>9</v>
      </c>
      <c r="I46" s="441">
        <v>2</v>
      </c>
      <c r="J46" s="375">
        <f t="shared" si="0"/>
        <v>2</v>
      </c>
      <c r="K46" s="363">
        <f t="shared" si="1"/>
        <v>0</v>
      </c>
      <c r="L46" s="363">
        <f t="shared" si="2"/>
        <v>3</v>
      </c>
      <c r="M46" s="352"/>
      <c r="N46" s="352"/>
      <c r="O46" s="398" t="s">
        <v>32</v>
      </c>
      <c r="P46" s="399">
        <f>SUMIF($D$8:$D$55,$O46,$G$8:$G$55)+SUMIF($F$8:$F$55,$O46,$I$8:$I$55)</f>
        <v>1</v>
      </c>
      <c r="Q46" s="399">
        <f>SUMIF($D$8:$D$55,$O46,$I$8:$I$55)+SUMIF($F$8:$F$55,$O46,$G$8:$G$55)</f>
        <v>1</v>
      </c>
      <c r="R46" s="399">
        <f>P46-Q46</f>
        <v>0</v>
      </c>
      <c r="S46" s="400">
        <f>SUMIF($D$8:$D$55,$O46,$K$8:$K$55)+SUMIF($F$8:$F$55,$O46,$L$8:$L$55)</f>
        <v>4</v>
      </c>
      <c r="T46" s="445" t="s">
        <v>78</v>
      </c>
      <c r="U46" s="40"/>
      <c r="V46" s="40" t="str">
        <f>O46</f>
        <v>Portugal</v>
      </c>
      <c r="W46" s="40" t="s">
        <v>78</v>
      </c>
      <c r="Y46" s="109">
        <f t="shared" si="8"/>
        <v>6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6</v>
      </c>
      <c r="AG46" s="108">
        <f t="shared" si="3"/>
        <v>1</v>
      </c>
      <c r="AH46" s="108">
        <f t="shared" si="4"/>
        <v>0</v>
      </c>
      <c r="AI46" s="108">
        <f t="shared" si="10"/>
        <v>0</v>
      </c>
      <c r="AJ46" s="108">
        <f t="shared" si="5"/>
        <v>0</v>
      </c>
      <c r="AK46" s="108">
        <f t="shared" si="6"/>
        <v>5</v>
      </c>
      <c r="AL46" s="108">
        <f t="shared" si="7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0</v>
      </c>
      <c r="H47" s="379" t="s">
        <v>9</v>
      </c>
      <c r="I47" s="442">
        <v>3</v>
      </c>
      <c r="J47" s="381">
        <f t="shared" si="0"/>
        <v>2</v>
      </c>
      <c r="K47" s="363">
        <f t="shared" si="1"/>
        <v>0</v>
      </c>
      <c r="L47" s="363">
        <f t="shared" si="2"/>
        <v>3</v>
      </c>
      <c r="M47" s="352"/>
      <c r="N47" s="352"/>
      <c r="O47" s="398" t="s">
        <v>35</v>
      </c>
      <c r="P47" s="399">
        <f>SUMIF($D$8:$D$55,$O47,$G$8:$G$55)+SUMIF($F$8:$F$55,$O47,$I$8:$I$55)</f>
        <v>2</v>
      </c>
      <c r="Q47" s="399">
        <f>SUMIF($D$8:$D$55,$O47,$I$8:$I$55)+SUMIF($F$8:$F$55,$O47,$G$8:$G$55)</f>
        <v>3</v>
      </c>
      <c r="R47" s="399">
        <f>P47-Q47</f>
        <v>-1</v>
      </c>
      <c r="S47" s="400">
        <f>SUMIF($D$8:$D$55,$O47,$K$8:$K$55)+SUMIF($F$8:$F$55,$O47,$L$8:$L$55)</f>
        <v>4</v>
      </c>
      <c r="T47" s="445" t="s">
        <v>79</v>
      </c>
      <c r="U47" s="40"/>
      <c r="V47" s="40" t="str">
        <f>O47</f>
        <v>Ghana</v>
      </c>
      <c r="W47" s="40" t="s">
        <v>79</v>
      </c>
      <c r="Y47" s="109">
        <f t="shared" si="8"/>
        <v>0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0</v>
      </c>
      <c r="AG47" s="108">
        <f t="shared" si="3"/>
        <v>0</v>
      </c>
      <c r="AH47" s="108">
        <f t="shared" si="4"/>
        <v>0</v>
      </c>
      <c r="AI47" s="108">
        <f t="shared" si="10"/>
        <v>0</v>
      </c>
      <c r="AJ47" s="108">
        <f t="shared" si="5"/>
        <v>0</v>
      </c>
      <c r="AK47" s="108">
        <f t="shared" si="6"/>
        <v>0</v>
      </c>
      <c r="AL47" s="108">
        <f t="shared" si="7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0</v>
      </c>
      <c r="H48" s="367" t="s">
        <v>9</v>
      </c>
      <c r="I48" s="440">
        <v>3</v>
      </c>
      <c r="J48" s="369">
        <f t="shared" si="0"/>
        <v>2</v>
      </c>
      <c r="K48" s="363">
        <f t="shared" si="1"/>
        <v>0</v>
      </c>
      <c r="L48" s="363">
        <f t="shared" si="2"/>
        <v>3</v>
      </c>
      <c r="M48" s="352"/>
      <c r="N48" s="352"/>
      <c r="O48" s="401" t="s">
        <v>36</v>
      </c>
      <c r="P48" s="402">
        <f>SUMIF($D$8:$D$55,$O48,$G$8:$G$55)+SUMIF($F$8:$F$55,$O48,$I$8:$I$55)</f>
        <v>1</v>
      </c>
      <c r="Q48" s="402">
        <f>SUMIF($D$8:$D$55,$O48,$I$8:$I$55)+SUMIF($F$8:$F$55,$O48,$G$8:$G$55)</f>
        <v>5</v>
      </c>
      <c r="R48" s="402">
        <f>P48-Q48</f>
        <v>-4</v>
      </c>
      <c r="S48" s="403">
        <f>SUMIF($D$8:$D$55,$O48,$K$8:$K$55)+SUMIF($F$8:$F$55,$O48,$L$8:$L$55)</f>
        <v>0</v>
      </c>
      <c r="T48" s="446" t="s">
        <v>80</v>
      </c>
      <c r="U48" s="40"/>
      <c r="V48" s="40" t="str">
        <f>O48</f>
        <v>Verenigde Staten</v>
      </c>
      <c r="W48" s="40" t="s">
        <v>80</v>
      </c>
      <c r="Y48" s="109">
        <f t="shared" si="8"/>
        <v>6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6</v>
      </c>
      <c r="AG48" s="108">
        <f t="shared" si="3"/>
        <v>0</v>
      </c>
      <c r="AH48" s="108">
        <f t="shared" si="4"/>
        <v>1</v>
      </c>
      <c r="AI48" s="108">
        <f t="shared" si="10"/>
        <v>0</v>
      </c>
      <c r="AJ48" s="108">
        <f t="shared" si="5"/>
        <v>0</v>
      </c>
      <c r="AK48" s="108">
        <f t="shared" si="6"/>
        <v>5</v>
      </c>
      <c r="AL48" s="108">
        <f t="shared" si="7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3</v>
      </c>
      <c r="H49" s="373" t="s">
        <v>9</v>
      </c>
      <c r="I49" s="441">
        <v>1</v>
      </c>
      <c r="J49" s="375">
        <f t="shared" si="0"/>
        <v>1</v>
      </c>
      <c r="K49" s="363">
        <f t="shared" si="1"/>
        <v>3</v>
      </c>
      <c r="L49" s="363">
        <f t="shared" si="2"/>
        <v>0</v>
      </c>
      <c r="M49" s="352"/>
      <c r="N49" s="352"/>
      <c r="O49" s="392"/>
      <c r="P49" s="393"/>
      <c r="Q49" s="393"/>
      <c r="R49" s="393"/>
      <c r="S49" s="393"/>
      <c r="T49" s="393"/>
      <c r="U49" s="40"/>
      <c r="V49" s="40"/>
      <c r="W49" s="40"/>
      <c r="Y49" s="109">
        <f t="shared" si="8"/>
        <v>10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10</v>
      </c>
      <c r="AG49" s="108">
        <f t="shared" si="3"/>
        <v>1</v>
      </c>
      <c r="AH49" s="108">
        <f t="shared" si="4"/>
        <v>1</v>
      </c>
      <c r="AI49" s="108">
        <f t="shared" si="10"/>
        <v>10</v>
      </c>
      <c r="AJ49" s="108">
        <f t="shared" si="5"/>
        <v>5</v>
      </c>
      <c r="AK49" s="108">
        <f t="shared" si="6"/>
        <v>0</v>
      </c>
      <c r="AL49" s="108">
        <f t="shared" si="7"/>
        <v>0</v>
      </c>
      <c r="AN49" s="40"/>
      <c r="AO49" s="41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0</v>
      </c>
      <c r="H50" s="373" t="s">
        <v>9</v>
      </c>
      <c r="I50" s="441">
        <v>3</v>
      </c>
      <c r="J50" s="375">
        <f t="shared" si="0"/>
        <v>2</v>
      </c>
      <c r="K50" s="363">
        <f t="shared" si="1"/>
        <v>0</v>
      </c>
      <c r="L50" s="363">
        <f t="shared" si="2"/>
        <v>3</v>
      </c>
      <c r="M50" s="352"/>
      <c r="N50" s="352"/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40"/>
      <c r="V50" s="40"/>
      <c r="W50" s="40"/>
      <c r="Y50" s="109">
        <f t="shared" si="8"/>
        <v>10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10</v>
      </c>
      <c r="AG50" s="108">
        <f t="shared" si="3"/>
        <v>1</v>
      </c>
      <c r="AH50" s="108">
        <f t="shared" si="4"/>
        <v>1</v>
      </c>
      <c r="AI50" s="108">
        <f t="shared" si="10"/>
        <v>10</v>
      </c>
      <c r="AJ50" s="108">
        <f t="shared" si="5"/>
        <v>0</v>
      </c>
      <c r="AK50" s="108">
        <f t="shared" si="6"/>
        <v>5</v>
      </c>
      <c r="AL50" s="108">
        <f t="shared" si="7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1</v>
      </c>
      <c r="H51" s="379" t="s">
        <v>9</v>
      </c>
      <c r="I51" s="442">
        <v>3</v>
      </c>
      <c r="J51" s="381">
        <f t="shared" si="0"/>
        <v>2</v>
      </c>
      <c r="K51" s="363">
        <f t="shared" si="1"/>
        <v>0</v>
      </c>
      <c r="L51" s="363">
        <f t="shared" si="2"/>
        <v>3</v>
      </c>
      <c r="M51" s="352"/>
      <c r="N51" s="352"/>
      <c r="O51" s="394" t="s">
        <v>37</v>
      </c>
      <c r="P51" s="395">
        <f>SUMIF($D$8:$D$55,$O51,$G$8:$G$55)+SUMIF($F$8:$F$55,$O51,$I$8:$I$55)</f>
        <v>6</v>
      </c>
      <c r="Q51" s="395">
        <f>SUMIF($D$8:$D$55,$O51,$I$8:$I$55)+SUMIF($F$8:$F$55,$O51,$G$8:$G$55)</f>
        <v>2</v>
      </c>
      <c r="R51" s="396">
        <f>P51-Q51</f>
        <v>4</v>
      </c>
      <c r="S51" s="397">
        <f>SUMIF($D$8:$D$55,$O51,$K$8:$K$55)+SUMIF($F$8:$F$55,$O51,$L$8:$L$55)</f>
        <v>7</v>
      </c>
      <c r="T51" s="444" t="s">
        <v>82</v>
      </c>
      <c r="U51" s="40"/>
      <c r="V51" s="40" t="str">
        <f>O51</f>
        <v>België</v>
      </c>
      <c r="W51" s="40" t="s">
        <v>82</v>
      </c>
      <c r="Y51" s="109">
        <f t="shared" si="8"/>
        <v>0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0</v>
      </c>
      <c r="AG51" s="108">
        <f t="shared" si="3"/>
        <v>0</v>
      </c>
      <c r="AH51" s="108">
        <f t="shared" si="4"/>
        <v>0</v>
      </c>
      <c r="AI51" s="108">
        <f t="shared" si="10"/>
        <v>0</v>
      </c>
      <c r="AJ51" s="108">
        <f t="shared" si="5"/>
        <v>0</v>
      </c>
      <c r="AK51" s="108">
        <f t="shared" si="6"/>
        <v>0</v>
      </c>
      <c r="AL51" s="108">
        <f t="shared" si="7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0</v>
      </c>
      <c r="H52" s="373" t="s">
        <v>9</v>
      </c>
      <c r="I52" s="441">
        <v>2</v>
      </c>
      <c r="J52" s="369">
        <f t="shared" si="0"/>
        <v>2</v>
      </c>
      <c r="K52" s="363">
        <f t="shared" si="1"/>
        <v>0</v>
      </c>
      <c r="L52" s="363">
        <f t="shared" si="2"/>
        <v>3</v>
      </c>
      <c r="M52" s="352"/>
      <c r="N52" s="352"/>
      <c r="O52" s="398" t="s">
        <v>38</v>
      </c>
      <c r="P52" s="399">
        <f>SUMIF($D$8:$D$55,$O52,$G$8:$G$55)+SUMIF($F$8:$F$55,$O52,$I$8:$I$55)</f>
        <v>2</v>
      </c>
      <c r="Q52" s="399">
        <f>SUMIF($D$8:$D$55,$O52,$I$8:$I$55)+SUMIF($F$8:$F$55,$O52,$G$8:$G$55)</f>
        <v>5</v>
      </c>
      <c r="R52" s="399">
        <f>P52-Q52</f>
        <v>-3</v>
      </c>
      <c r="S52" s="400">
        <f>SUMIF($D$8:$D$55,$O52,$K$8:$K$55)+SUMIF($F$8:$F$55,$O52,$L$8:$L$55)</f>
        <v>3</v>
      </c>
      <c r="T52" s="445" t="s">
        <v>84</v>
      </c>
      <c r="U52" s="40"/>
      <c r="V52" s="40" t="str">
        <f>O52</f>
        <v>Algerije</v>
      </c>
      <c r="W52" s="40" t="s">
        <v>83</v>
      </c>
      <c r="Y52" s="109">
        <f t="shared" si="8"/>
        <v>6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6</v>
      </c>
      <c r="AG52" s="108">
        <f t="shared" si="3"/>
        <v>1</v>
      </c>
      <c r="AH52" s="108">
        <f t="shared" si="4"/>
        <v>0</v>
      </c>
      <c r="AI52" s="108">
        <f t="shared" si="10"/>
        <v>0</v>
      </c>
      <c r="AJ52" s="108">
        <f t="shared" si="5"/>
        <v>0</v>
      </c>
      <c r="AK52" s="108">
        <f t="shared" si="6"/>
        <v>5</v>
      </c>
      <c r="AL52" s="108">
        <f t="shared" si="7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0</v>
      </c>
      <c r="H53" s="373" t="s">
        <v>9</v>
      </c>
      <c r="I53" s="441">
        <v>0</v>
      </c>
      <c r="J53" s="375">
        <f t="shared" si="0"/>
        <v>3</v>
      </c>
      <c r="K53" s="363">
        <f t="shared" si="1"/>
        <v>1</v>
      </c>
      <c r="L53" s="363">
        <f t="shared" si="2"/>
        <v>1</v>
      </c>
      <c r="M53" s="352"/>
      <c r="N53" s="352"/>
      <c r="O53" s="398" t="s">
        <v>39</v>
      </c>
      <c r="P53" s="399">
        <f>SUMIF($D$8:$D$55,$O53,$G$8:$G$55)+SUMIF($F$8:$F$55,$O53,$I$8:$I$55)</f>
        <v>5</v>
      </c>
      <c r="Q53" s="399">
        <f>SUMIF($D$8:$D$55,$O53,$I$8:$I$55)+SUMIF($F$8:$F$55,$O53,$G$8:$G$55)</f>
        <v>2</v>
      </c>
      <c r="R53" s="399">
        <f>P53-Q53</f>
        <v>3</v>
      </c>
      <c r="S53" s="400">
        <f>SUMIF($D$8:$D$55,$O53,$K$8:$K$55)+SUMIF($F$8:$F$55,$O53,$L$8:$L$55)</f>
        <v>7</v>
      </c>
      <c r="T53" s="445" t="s">
        <v>83</v>
      </c>
      <c r="U53" s="40"/>
      <c r="V53" s="40" t="str">
        <f>O53</f>
        <v>Rusland</v>
      </c>
      <c r="W53" s="40" t="s">
        <v>84</v>
      </c>
      <c r="Y53" s="109">
        <f t="shared" si="8"/>
        <v>0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0</v>
      </c>
      <c r="AG53" s="108">
        <f t="shared" si="3"/>
        <v>0</v>
      </c>
      <c r="AH53" s="108">
        <f t="shared" si="4"/>
        <v>0</v>
      </c>
      <c r="AI53" s="108">
        <f t="shared" si="10"/>
        <v>0</v>
      </c>
      <c r="AJ53" s="108">
        <f t="shared" si="5"/>
        <v>0</v>
      </c>
      <c r="AK53" s="108">
        <f t="shared" si="6"/>
        <v>0</v>
      </c>
      <c r="AL53" s="108">
        <f t="shared" si="7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1</v>
      </c>
      <c r="H54" s="373" t="s">
        <v>9</v>
      </c>
      <c r="I54" s="441">
        <v>3</v>
      </c>
      <c r="J54" s="375">
        <f t="shared" si="0"/>
        <v>2</v>
      </c>
      <c r="K54" s="363">
        <f t="shared" si="1"/>
        <v>0</v>
      </c>
      <c r="L54" s="363">
        <f t="shared" si="2"/>
        <v>3</v>
      </c>
      <c r="M54" s="352"/>
      <c r="N54" s="352"/>
      <c r="O54" s="401" t="s">
        <v>40</v>
      </c>
      <c r="P54" s="402">
        <f>SUMIF($D$8:$D$55,$O54,$G$8:$G$55)+SUMIF($F$8:$F$55,$O54,$I$8:$I$55)</f>
        <v>3</v>
      </c>
      <c r="Q54" s="402">
        <f>SUMIF($D$8:$D$55,$O54,$I$8:$I$55)+SUMIF($F$8:$F$55,$O54,$G$8:$G$55)</f>
        <v>7</v>
      </c>
      <c r="R54" s="402">
        <f>P54-Q54</f>
        <v>-4</v>
      </c>
      <c r="S54" s="403">
        <f>SUMIF($D$8:$D$55,$O54,$K$8:$K$55)+SUMIF($F$8:$F$55,$O54,$L$8:$L$55)</f>
        <v>0</v>
      </c>
      <c r="T54" s="446" t="s">
        <v>85</v>
      </c>
      <c r="U54" s="40"/>
      <c r="V54" s="40" t="str">
        <f>O54</f>
        <v>Zuid Korea</v>
      </c>
      <c r="W54" s="40" t="s">
        <v>85</v>
      </c>
      <c r="Y54" s="109">
        <f t="shared" si="8"/>
        <v>5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5</v>
      </c>
      <c r="AG54" s="108">
        <f t="shared" si="3"/>
        <v>0</v>
      </c>
      <c r="AH54" s="108">
        <f t="shared" si="4"/>
        <v>0</v>
      </c>
      <c r="AI54" s="108">
        <f t="shared" si="10"/>
        <v>0</v>
      </c>
      <c r="AJ54" s="108">
        <f t="shared" si="5"/>
        <v>0</v>
      </c>
      <c r="AK54" s="108">
        <f t="shared" si="6"/>
        <v>5</v>
      </c>
      <c r="AL54" s="108">
        <f t="shared" si="7"/>
        <v>0</v>
      </c>
      <c r="AM54" s="120">
        <f>AO54</f>
        <v>10</v>
      </c>
      <c r="AN54" s="118" t="s">
        <v>40</v>
      </c>
      <c r="AO54" s="115">
        <f>IF(Uitslag!T54="",0,IF(T54=Uitslag!T54,10,0))</f>
        <v>10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0</v>
      </c>
      <c r="H55" s="388" t="s">
        <v>9</v>
      </c>
      <c r="I55" s="443">
        <v>2</v>
      </c>
      <c r="J55" s="390">
        <f t="shared" si="0"/>
        <v>2</v>
      </c>
      <c r="K55" s="363">
        <f t="shared" si="1"/>
        <v>0</v>
      </c>
      <c r="L55" s="363">
        <f t="shared" si="2"/>
        <v>3</v>
      </c>
      <c r="M55" s="352"/>
      <c r="N55" s="352"/>
      <c r="O55" s="392"/>
      <c r="P55" s="393"/>
      <c r="Q55" s="393"/>
      <c r="R55" s="393"/>
      <c r="S55" s="393"/>
      <c r="T55" s="393"/>
      <c r="U55" s="40"/>
      <c r="V55" s="40"/>
      <c r="W55" s="40"/>
      <c r="Y55" s="109">
        <f t="shared" si="8"/>
        <v>0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0</v>
      </c>
      <c r="AG55" s="108">
        <f t="shared" si="3"/>
        <v>0</v>
      </c>
      <c r="AH55" s="108">
        <f t="shared" si="4"/>
        <v>0</v>
      </c>
      <c r="AI55" s="108">
        <f t="shared" si="10"/>
        <v>0</v>
      </c>
      <c r="AJ55" s="108">
        <f t="shared" si="5"/>
        <v>0</v>
      </c>
      <c r="AK55" s="108">
        <f t="shared" si="6"/>
        <v>0</v>
      </c>
      <c r="AL55" s="108">
        <f t="shared" si="7"/>
        <v>0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N56" s="352"/>
      <c r="O56" s="352"/>
      <c r="P56" s="352"/>
      <c r="Q56" s="352"/>
      <c r="R56" s="352"/>
      <c r="S56" s="352"/>
      <c r="T56" s="352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27"/>
      <c r="K57" s="353"/>
      <c r="L57" s="353"/>
      <c r="M57" s="353"/>
      <c r="N57" s="352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32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N58" s="352"/>
      <c r="O58" s="458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 t="shared" ref="D59:D66" si="13">IF(ISERROR(Z59),K59,Z59)</f>
        <v>Brazilië</v>
      </c>
      <c r="E59" s="367" t="s">
        <v>9</v>
      </c>
      <c r="F59" s="406" t="str">
        <f t="shared" ref="F59:F66" si="14">IF(ISERROR(AA59),L59,AA59)</f>
        <v>Chili</v>
      </c>
      <c r="G59" s="435">
        <v>2</v>
      </c>
      <c r="H59" s="367" t="s">
        <v>9</v>
      </c>
      <c r="I59" s="447">
        <v>0</v>
      </c>
      <c r="J59" s="448">
        <v>1</v>
      </c>
      <c r="K59" s="407" t="s">
        <v>48</v>
      </c>
      <c r="L59" s="407" t="s">
        <v>53</v>
      </c>
      <c r="M59" s="407">
        <v>1</v>
      </c>
      <c r="N59" s="352"/>
      <c r="O59" s="458">
        <v>2</v>
      </c>
      <c r="P59" s="877" t="s">
        <v>212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5">AF59</f>
        <v>0</v>
      </c>
      <c r="Z59" t="str">
        <f t="shared" ref="Z59:AA65" si="16">IF(K59=""," ",VLOOKUP(K59,$T$9:$V$54,3,FALSE))</f>
        <v>Brazilië</v>
      </c>
      <c r="AA59" t="str">
        <f t="shared" si="16"/>
        <v>Chili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7">IF(OR(AC59="",AD59=""),0,(IF(SUM(AG59:AL59)&gt;10,10,SUM(AG59:AL59))))</f>
        <v>0</v>
      </c>
      <c r="AG59" s="108">
        <f t="shared" ref="AG59:AG66" si="18">IF(AC59="",0,(IF(G59=AC59,1,0)))</f>
        <v>0</v>
      </c>
      <c r="AH59" s="108">
        <f t="shared" ref="AH59:AH66" si="19">IF(AD59="",0,(IF(I59=AD59,1,0)))</f>
        <v>0</v>
      </c>
      <c r="AI59" s="108">
        <f t="shared" ref="AI59:AI66" si="20">IF(AND(AG59=1,AH59=1),10,0)</f>
        <v>0</v>
      </c>
      <c r="AJ59" s="108">
        <f t="shared" ref="AJ59:AJ66" si="21">IF(AND(G59&gt;I59,AC59&gt;AD59),5,0)</f>
        <v>0</v>
      </c>
      <c r="AK59" s="108">
        <f t="shared" ref="AK59:AK66" si="22">IF(AND(G59&lt;I59,AC59&lt;AD59),5,0)</f>
        <v>0</v>
      </c>
      <c r="AL59" s="108">
        <f t="shared" ref="AL59:AL66" si="23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4">BA59</f>
        <v>3</v>
      </c>
    </row>
    <row r="60" spans="2:54">
      <c r="B60" s="376">
        <v>50</v>
      </c>
      <c r="C60" s="466">
        <v>41818</v>
      </c>
      <c r="D60" s="460" t="str">
        <f t="shared" si="13"/>
        <v>Ivoorkust</v>
      </c>
      <c r="E60" s="379" t="s">
        <v>9</v>
      </c>
      <c r="F60" s="409" t="str">
        <f t="shared" si="14"/>
        <v>Italië</v>
      </c>
      <c r="G60" s="437">
        <v>1</v>
      </c>
      <c r="H60" s="379" t="s">
        <v>9</v>
      </c>
      <c r="I60" s="449">
        <v>0</v>
      </c>
      <c r="J60" s="450">
        <v>1</v>
      </c>
      <c r="K60" s="407" t="s">
        <v>57</v>
      </c>
      <c r="L60" s="407" t="s">
        <v>63</v>
      </c>
      <c r="M60" s="407">
        <v>2</v>
      </c>
      <c r="N60" s="352"/>
      <c r="O60" s="458">
        <v>3</v>
      </c>
      <c r="P60" s="877" t="s">
        <v>220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5"/>
        <v>6</v>
      </c>
      <c r="Z60" t="str">
        <f t="shared" si="16"/>
        <v>Ivoorkust</v>
      </c>
      <c r="AA60" t="str">
        <f t="shared" si="16"/>
        <v>Italië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7"/>
        <v>6</v>
      </c>
      <c r="AG60" s="108">
        <f t="shared" si="18"/>
        <v>0</v>
      </c>
      <c r="AH60" s="108">
        <f t="shared" si="19"/>
        <v>1</v>
      </c>
      <c r="AI60" s="108">
        <f t="shared" si="20"/>
        <v>0</v>
      </c>
      <c r="AJ60" s="108">
        <f t="shared" si="21"/>
        <v>5</v>
      </c>
      <c r="AK60" s="108">
        <f t="shared" si="22"/>
        <v>0</v>
      </c>
      <c r="AL60" s="108">
        <f t="shared" si="23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4"/>
        <v>3</v>
      </c>
    </row>
    <row r="61" spans="2:54">
      <c r="B61" s="364">
        <v>51</v>
      </c>
      <c r="C61" s="465">
        <v>41819</v>
      </c>
      <c r="D61" s="464" t="str">
        <f t="shared" si="13"/>
        <v>Spanje</v>
      </c>
      <c r="E61" s="367" t="s">
        <v>9</v>
      </c>
      <c r="F61" s="406" t="str">
        <f t="shared" si="14"/>
        <v>Mexico</v>
      </c>
      <c r="G61" s="435">
        <v>3</v>
      </c>
      <c r="H61" s="367" t="s">
        <v>9</v>
      </c>
      <c r="I61" s="447">
        <v>1</v>
      </c>
      <c r="J61" s="448">
        <v>1</v>
      </c>
      <c r="K61" s="407" t="s">
        <v>52</v>
      </c>
      <c r="L61" s="407" t="s">
        <v>49</v>
      </c>
      <c r="M61" s="407"/>
      <c r="N61" s="352"/>
      <c r="O61" s="458">
        <v>4</v>
      </c>
      <c r="P61" s="877" t="s">
        <v>225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5"/>
        <v>6</v>
      </c>
      <c r="Z61" t="str">
        <f t="shared" si="16"/>
        <v>Spanje</v>
      </c>
      <c r="AA61" t="str">
        <f t="shared" si="16"/>
        <v>Mexico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7"/>
        <v>6</v>
      </c>
      <c r="AG61" s="108">
        <f t="shared" si="18"/>
        <v>0</v>
      </c>
      <c r="AH61" s="108">
        <f t="shared" si="19"/>
        <v>1</v>
      </c>
      <c r="AI61" s="108">
        <f t="shared" si="20"/>
        <v>0</v>
      </c>
      <c r="AJ61" s="108">
        <f t="shared" si="21"/>
        <v>5</v>
      </c>
      <c r="AK61" s="108">
        <f t="shared" si="22"/>
        <v>0</v>
      </c>
      <c r="AL61" s="108">
        <f t="shared" si="23"/>
        <v>0</v>
      </c>
      <c r="AZ61" s="138" t="str">
        <f>Uitslag!P61</f>
        <v>Ron Vlaar (v)</v>
      </c>
      <c r="BA61" s="140">
        <f t="shared" si="12"/>
        <v>3</v>
      </c>
      <c r="BB61" s="139">
        <f t="shared" si="24"/>
        <v>3</v>
      </c>
    </row>
    <row r="62" spans="2:54">
      <c r="B62" s="376">
        <v>52</v>
      </c>
      <c r="C62" s="466">
        <v>41819</v>
      </c>
      <c r="D62" s="464" t="str">
        <f t="shared" si="13"/>
        <v>Uruguay</v>
      </c>
      <c r="E62" s="379" t="s">
        <v>9</v>
      </c>
      <c r="F62" s="409" t="str">
        <f t="shared" si="14"/>
        <v>Colombia</v>
      </c>
      <c r="G62" s="437">
        <v>0</v>
      </c>
      <c r="H62" s="379" t="s">
        <v>9</v>
      </c>
      <c r="I62" s="449">
        <v>0</v>
      </c>
      <c r="J62" s="450">
        <v>2</v>
      </c>
      <c r="K62" s="407" t="s">
        <v>62</v>
      </c>
      <c r="L62" s="407" t="s">
        <v>58</v>
      </c>
      <c r="M62" s="407"/>
      <c r="N62" s="352"/>
      <c r="O62" s="458">
        <v>5</v>
      </c>
      <c r="P62" s="877" t="s">
        <v>209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5"/>
        <v>5</v>
      </c>
      <c r="Z62" t="str">
        <f t="shared" si="16"/>
        <v>Uruguay</v>
      </c>
      <c r="AA62" t="str">
        <f t="shared" si="16"/>
        <v>Colombia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7"/>
        <v>5</v>
      </c>
      <c r="AG62" s="108">
        <f t="shared" si="18"/>
        <v>0</v>
      </c>
      <c r="AH62" s="108">
        <f t="shared" si="19"/>
        <v>0</v>
      </c>
      <c r="AI62" s="108">
        <f t="shared" si="20"/>
        <v>0</v>
      </c>
      <c r="AJ62" s="108">
        <f t="shared" si="21"/>
        <v>0</v>
      </c>
      <c r="AK62" s="108">
        <f t="shared" si="22"/>
        <v>0</v>
      </c>
      <c r="AL62" s="108">
        <f t="shared" si="23"/>
        <v>5</v>
      </c>
      <c r="AZ62" s="138" t="str">
        <f>Uitslag!P62</f>
        <v>Bruno Martins Indi (v)</v>
      </c>
      <c r="BA62" s="140">
        <f t="shared" si="12"/>
        <v>3</v>
      </c>
      <c r="BB62" s="139">
        <f t="shared" si="24"/>
        <v>3</v>
      </c>
    </row>
    <row r="63" spans="2:54">
      <c r="B63" s="364">
        <v>53</v>
      </c>
      <c r="C63" s="465">
        <v>41820</v>
      </c>
      <c r="D63" s="459" t="str">
        <f t="shared" si="13"/>
        <v>Frankrijk</v>
      </c>
      <c r="E63" s="367" t="s">
        <v>9</v>
      </c>
      <c r="F63" s="406" t="str">
        <f t="shared" si="14"/>
        <v>Bosnië H.</v>
      </c>
      <c r="G63" s="435">
        <v>2</v>
      </c>
      <c r="H63" s="367" t="s">
        <v>9</v>
      </c>
      <c r="I63" s="447">
        <v>0</v>
      </c>
      <c r="J63" s="448">
        <v>1</v>
      </c>
      <c r="K63" s="407" t="s">
        <v>67</v>
      </c>
      <c r="L63" s="407" t="s">
        <v>73</v>
      </c>
      <c r="M63" s="407"/>
      <c r="N63" s="352"/>
      <c r="O63" s="458">
        <v>6</v>
      </c>
      <c r="P63" s="877" t="s">
        <v>214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5"/>
        <v>10</v>
      </c>
      <c r="Z63" t="str">
        <f t="shared" si="16"/>
        <v>Frankrijk</v>
      </c>
      <c r="AA63" t="str">
        <f t="shared" si="16"/>
        <v>Bosnië H.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7"/>
        <v>10</v>
      </c>
      <c r="AG63" s="108">
        <f t="shared" si="18"/>
        <v>1</v>
      </c>
      <c r="AH63" s="108">
        <f t="shared" si="19"/>
        <v>1</v>
      </c>
      <c r="AI63" s="108">
        <f t="shared" si="20"/>
        <v>10</v>
      </c>
      <c r="AJ63" s="108">
        <f t="shared" si="21"/>
        <v>5</v>
      </c>
      <c r="AK63" s="108">
        <f t="shared" si="22"/>
        <v>0</v>
      </c>
      <c r="AL63" s="108">
        <f t="shared" si="23"/>
        <v>0</v>
      </c>
      <c r="AZ63" s="138" t="str">
        <f>Uitslag!P63</f>
        <v>Daley Blind (v)</v>
      </c>
      <c r="BA63" s="140">
        <f t="shared" si="12"/>
        <v>3</v>
      </c>
      <c r="BB63" s="139">
        <f t="shared" si="24"/>
        <v>3</v>
      </c>
    </row>
    <row r="64" spans="2:54">
      <c r="B64" s="376">
        <v>54</v>
      </c>
      <c r="C64" s="466">
        <v>41820</v>
      </c>
      <c r="D64" s="460" t="str">
        <f t="shared" si="13"/>
        <v>Duitsland</v>
      </c>
      <c r="E64" s="379" t="s">
        <v>9</v>
      </c>
      <c r="F64" s="409" t="str">
        <f t="shared" si="14"/>
        <v>Rusland</v>
      </c>
      <c r="G64" s="437">
        <v>3</v>
      </c>
      <c r="H64" s="379" t="s">
        <v>9</v>
      </c>
      <c r="I64" s="449">
        <v>0</v>
      </c>
      <c r="J64" s="450">
        <v>1</v>
      </c>
      <c r="K64" s="407" t="s">
        <v>77</v>
      </c>
      <c r="L64" s="407" t="s">
        <v>83</v>
      </c>
      <c r="M64" s="407"/>
      <c r="N64" s="352"/>
      <c r="O64" s="458">
        <v>7</v>
      </c>
      <c r="P64" s="877" t="s">
        <v>213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5"/>
        <v>1</v>
      </c>
      <c r="Z64" t="str">
        <f t="shared" si="16"/>
        <v>Duitsland</v>
      </c>
      <c r="AA64" t="str">
        <f t="shared" si="16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7"/>
        <v>1</v>
      </c>
      <c r="AG64" s="108">
        <f t="shared" si="18"/>
        <v>0</v>
      </c>
      <c r="AH64" s="108">
        <f t="shared" si="19"/>
        <v>1</v>
      </c>
      <c r="AI64" s="108">
        <f t="shared" si="20"/>
        <v>0</v>
      </c>
      <c r="AJ64" s="108">
        <f t="shared" si="21"/>
        <v>0</v>
      </c>
      <c r="AK64" s="108">
        <f t="shared" si="22"/>
        <v>0</v>
      </c>
      <c r="AL64" s="108">
        <f t="shared" si="23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4"/>
        <v>3</v>
      </c>
    </row>
    <row r="65" spans="2:54">
      <c r="B65" s="370">
        <v>55</v>
      </c>
      <c r="C65" s="467">
        <v>41821</v>
      </c>
      <c r="D65" s="459" t="str">
        <f t="shared" si="13"/>
        <v>Argentinië</v>
      </c>
      <c r="E65" s="373" t="s">
        <v>9</v>
      </c>
      <c r="F65" s="410" t="str">
        <f t="shared" si="14"/>
        <v>Zwitserland</v>
      </c>
      <c r="G65" s="436">
        <v>1</v>
      </c>
      <c r="H65" s="373" t="s">
        <v>9</v>
      </c>
      <c r="I65" s="451">
        <v>1</v>
      </c>
      <c r="J65" s="452">
        <v>1</v>
      </c>
      <c r="K65" s="407" t="s">
        <v>72</v>
      </c>
      <c r="L65" s="407" t="s">
        <v>68</v>
      </c>
      <c r="M65" s="407"/>
      <c r="N65" s="352"/>
      <c r="O65" s="458">
        <v>8</v>
      </c>
      <c r="P65" s="877" t="s">
        <v>221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5"/>
        <v>5</v>
      </c>
      <c r="Z65" t="str">
        <f t="shared" si="16"/>
        <v>Argentinië</v>
      </c>
      <c r="AA65" t="str">
        <f t="shared" si="16"/>
        <v>Zwitserland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7"/>
        <v>5</v>
      </c>
      <c r="AG65" s="108">
        <f t="shared" si="18"/>
        <v>0</v>
      </c>
      <c r="AH65" s="108">
        <f t="shared" si="19"/>
        <v>0</v>
      </c>
      <c r="AI65" s="108">
        <f t="shared" si="20"/>
        <v>0</v>
      </c>
      <c r="AJ65" s="108">
        <f t="shared" si="21"/>
        <v>0</v>
      </c>
      <c r="AK65" s="108">
        <f t="shared" si="22"/>
        <v>0</v>
      </c>
      <c r="AL65" s="108">
        <f t="shared" si="23"/>
        <v>5</v>
      </c>
      <c r="AZ65" s="138" t="str">
        <f>Uitslag!P65</f>
        <v>Nigel de Jong (m)</v>
      </c>
      <c r="BA65" s="140">
        <f t="shared" si="12"/>
        <v>0</v>
      </c>
      <c r="BB65" s="139">
        <f t="shared" si="24"/>
        <v>0</v>
      </c>
    </row>
    <row r="66" spans="2:54" ht="15.75" thickBot="1">
      <c r="B66" s="385">
        <v>56</v>
      </c>
      <c r="C66" s="462">
        <v>41821</v>
      </c>
      <c r="D66" s="461" t="str">
        <f t="shared" si="13"/>
        <v>België</v>
      </c>
      <c r="E66" s="388" t="s">
        <v>9</v>
      </c>
      <c r="F66" s="412" t="str">
        <f t="shared" si="14"/>
        <v>Portugal</v>
      </c>
      <c r="G66" s="438">
        <v>1</v>
      </c>
      <c r="H66" s="388" t="s">
        <v>9</v>
      </c>
      <c r="I66" s="453">
        <v>1</v>
      </c>
      <c r="J66" s="454">
        <v>2</v>
      </c>
      <c r="K66" s="407" t="s">
        <v>82</v>
      </c>
      <c r="L66" s="407" t="s">
        <v>78</v>
      </c>
      <c r="M66" s="407"/>
      <c r="N66" s="352"/>
      <c r="O66" s="458">
        <v>9</v>
      </c>
      <c r="P66" s="877" t="s">
        <v>216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5"/>
        <v>5</v>
      </c>
      <c r="Z66" t="str">
        <f>IF(K66=""," ",VLOOKUP(K66,$T$9:$V$54,3,FALSE))</f>
        <v>België</v>
      </c>
      <c r="AA66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7"/>
        <v>5</v>
      </c>
      <c r="AG66" s="108">
        <f t="shared" si="18"/>
        <v>0</v>
      </c>
      <c r="AH66" s="108">
        <f t="shared" si="19"/>
        <v>0</v>
      </c>
      <c r="AI66" s="108">
        <f t="shared" si="20"/>
        <v>0</v>
      </c>
      <c r="AJ66" s="108">
        <f t="shared" si="21"/>
        <v>0</v>
      </c>
      <c r="AK66" s="108">
        <f t="shared" si="22"/>
        <v>0</v>
      </c>
      <c r="AL66" s="108">
        <f t="shared" si="23"/>
        <v>5</v>
      </c>
      <c r="AZ66" s="138" t="str">
        <f>Uitslag!P66</f>
        <v>Jonathan de Guzman (m)</v>
      </c>
      <c r="BA66" s="140">
        <f t="shared" si="12"/>
        <v>3</v>
      </c>
      <c r="BB66" s="139">
        <f t="shared" si="24"/>
        <v>3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N67" s="352"/>
      <c r="O67" s="458">
        <v>10</v>
      </c>
      <c r="P67" s="877" t="s">
        <v>235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0</v>
      </c>
      <c r="BB67" s="139">
        <f t="shared" si="24"/>
        <v>0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27"/>
      <c r="K68" s="353"/>
      <c r="L68" s="353"/>
      <c r="M68" s="353"/>
      <c r="N68" s="352"/>
      <c r="O68" s="458">
        <v>11</v>
      </c>
      <c r="P68" s="877" t="s">
        <v>215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4"/>
        <v>3</v>
      </c>
    </row>
    <row r="69" spans="2:54">
      <c r="B69" s="428" t="s">
        <v>1</v>
      </c>
      <c r="C69" s="429" t="s">
        <v>2</v>
      </c>
      <c r="D69" s="430" t="s">
        <v>3</v>
      </c>
      <c r="E69" s="431"/>
      <c r="F69" s="432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N69" s="352"/>
      <c r="O69" s="352"/>
      <c r="P69" s="352"/>
      <c r="Q69" s="352"/>
      <c r="R69" s="352"/>
      <c r="S69" s="352"/>
      <c r="T69" s="352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27</v>
      </c>
      <c r="BB69" s="139" t="str">
        <f>IF(AND(BA69&lt;&gt;"",BA69=33),15,"nvt")</f>
        <v>nvt</v>
      </c>
    </row>
    <row r="70" spans="2:54">
      <c r="B70" s="364">
        <v>57</v>
      </c>
      <c r="C70" s="365">
        <v>41824</v>
      </c>
      <c r="D70" s="405" t="str">
        <f>IF(J63="","Winnaar 53",IF(J63=1,D63,F63))</f>
        <v>Frankrijk</v>
      </c>
      <c r="E70" s="367" t="s">
        <v>9</v>
      </c>
      <c r="F70" s="406" t="str">
        <f>IF(J64="","Winnaar 54",IF(J64=1,D64,F64))</f>
        <v>Duitsland</v>
      </c>
      <c r="G70" s="435">
        <v>2</v>
      </c>
      <c r="H70" s="367" t="s">
        <v>9</v>
      </c>
      <c r="I70" s="447">
        <v>1</v>
      </c>
      <c r="J70" s="448">
        <v>1</v>
      </c>
      <c r="K70" s="353"/>
      <c r="L70" s="353"/>
      <c r="M70" s="353"/>
      <c r="N70" s="352"/>
      <c r="O70" s="352"/>
      <c r="P70" s="352"/>
      <c r="Q70" s="352"/>
      <c r="R70" s="352"/>
      <c r="S70" s="352"/>
      <c r="T70" s="352"/>
      <c r="V70" t="s">
        <v>133</v>
      </c>
      <c r="W70" t="s">
        <v>126</v>
      </c>
      <c r="X70" t="str">
        <f t="shared" si="11"/>
        <v>Karim Rekik (v)</v>
      </c>
      <c r="Y70" s="109">
        <f>AF70</f>
        <v>1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1</v>
      </c>
      <c r="AG70" s="108">
        <f>IF(AC70="",0,(IF(G70=AC70,1,0)))</f>
        <v>0</v>
      </c>
      <c r="AH70" s="108">
        <f>IF(AD70="",0,(IF(I70=AD70,1,0)))</f>
        <v>1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0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Brazilië</v>
      </c>
      <c r="E71" s="379" t="s">
        <v>9</v>
      </c>
      <c r="F71" s="409" t="str">
        <f>IF(J60="","Winnaar 50",IF(J60=1,D60,F60))</f>
        <v>Ivoorkust</v>
      </c>
      <c r="G71" s="437">
        <v>1</v>
      </c>
      <c r="H71" s="379" t="s">
        <v>9</v>
      </c>
      <c r="I71" s="449">
        <v>1</v>
      </c>
      <c r="J71" s="450">
        <v>1</v>
      </c>
      <c r="K71" s="353"/>
      <c r="L71" s="353"/>
      <c r="M71" s="353"/>
      <c r="N71" s="352"/>
      <c r="O71" s="352"/>
      <c r="P71" s="352"/>
      <c r="Q71" s="352"/>
      <c r="R71" s="352"/>
      <c r="S71" s="352"/>
      <c r="T71" s="352"/>
      <c r="V71" t="s">
        <v>133</v>
      </c>
      <c r="W71" t="s">
        <v>194</v>
      </c>
      <c r="X71" t="str">
        <f t="shared" si="11"/>
        <v>Ron Vlaar (v)</v>
      </c>
      <c r="Y71" s="109">
        <f>AF71</f>
        <v>1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1</v>
      </c>
      <c r="AG71" s="108">
        <f>IF(AC71="",0,(IF(G71=AC71,1,0)))</f>
        <v>0</v>
      </c>
      <c r="AH71" s="108">
        <f>IF(AD71="",0,(IF(I71=AD71,1,0)))</f>
        <v>1</v>
      </c>
      <c r="AI71" s="108">
        <f>IF(AND(AG71=1,AH71=1),10,0)</f>
        <v>0</v>
      </c>
      <c r="AJ71" s="108">
        <f>IF(AND(G71&gt;I71,AC71&gt;AD71),5,0)</f>
        <v>0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Argentinië</v>
      </c>
      <c r="E72" s="367" t="s">
        <v>9</v>
      </c>
      <c r="F72" s="406" t="str">
        <f>IF(J66="","Winnaar 56",IF(J66=1,D66,F66))</f>
        <v>Portugal</v>
      </c>
      <c r="G72" s="435">
        <v>1</v>
      </c>
      <c r="H72" s="367" t="s">
        <v>9</v>
      </c>
      <c r="I72" s="447">
        <v>0</v>
      </c>
      <c r="J72" s="448">
        <v>1</v>
      </c>
      <c r="K72" s="353"/>
      <c r="L72" s="353"/>
      <c r="M72" s="353"/>
      <c r="N72" s="352"/>
      <c r="O72" s="352"/>
      <c r="P72" s="352"/>
      <c r="Q72" s="352"/>
      <c r="R72" s="352"/>
      <c r="S72" s="352"/>
      <c r="T72" s="352"/>
      <c r="V72" t="s">
        <v>133</v>
      </c>
      <c r="W72" t="s">
        <v>195</v>
      </c>
      <c r="X72" t="str">
        <f t="shared" si="11"/>
        <v>John Heitinga (v)</v>
      </c>
      <c r="Y72" s="109">
        <f>AF72</f>
        <v>10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10</v>
      </c>
      <c r="AG72" s="108">
        <f>IF(AC72="",0,(IF(G72=AC72,1,0)))</f>
        <v>1</v>
      </c>
      <c r="AH72" s="108">
        <f>IF(AD72="",0,(IF(I72=AD72,1,0)))</f>
        <v>1</v>
      </c>
      <c r="AI72" s="108">
        <f>IF(AND(AG72=1,AH72=1),10,0)</f>
        <v>10</v>
      </c>
      <c r="AJ72" s="108">
        <f>IF(AND(G72&gt;I72,AC72&gt;AD72),5,0)</f>
        <v>5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Spanje</v>
      </c>
      <c r="E73" s="388" t="s">
        <v>9</v>
      </c>
      <c r="F73" s="412" t="str">
        <f>IF(J62="","Winnaar 52",IF(J62=1,D62,F62))</f>
        <v>Colombia</v>
      </c>
      <c r="G73" s="438">
        <v>2</v>
      </c>
      <c r="H73" s="388" t="s">
        <v>9</v>
      </c>
      <c r="I73" s="453">
        <v>1</v>
      </c>
      <c r="J73" s="454">
        <v>1</v>
      </c>
      <c r="K73" s="353"/>
      <c r="L73" s="353"/>
      <c r="M73" s="353"/>
      <c r="N73" s="352"/>
      <c r="O73" s="352"/>
      <c r="P73" s="352"/>
      <c r="Q73" s="352"/>
      <c r="R73" s="352"/>
      <c r="S73" s="352"/>
      <c r="T73" s="352"/>
      <c r="V73" t="s">
        <v>133</v>
      </c>
      <c r="W73" t="s">
        <v>196</v>
      </c>
      <c r="X73" t="str">
        <f t="shared" si="11"/>
        <v>Urby Emanuelson (v)</v>
      </c>
      <c r="Y73" s="109">
        <f>AF73</f>
        <v>0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0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N74" s="352"/>
      <c r="O74" s="352"/>
      <c r="P74" s="352"/>
      <c r="Q74" s="352"/>
      <c r="R74" s="352"/>
      <c r="S74" s="352"/>
      <c r="T74" s="352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27"/>
      <c r="K75" s="353"/>
      <c r="L75" s="353"/>
      <c r="M75" s="353"/>
      <c r="N75" s="352"/>
      <c r="O75" s="352"/>
      <c r="P75" s="352"/>
      <c r="Q75" s="352"/>
      <c r="R75" s="352"/>
      <c r="S75" s="352"/>
      <c r="T75" s="352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30" t="s">
        <v>3</v>
      </c>
      <c r="E76" s="431"/>
      <c r="F76" s="432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N76" s="352"/>
      <c r="O76" s="352"/>
      <c r="P76" s="352"/>
      <c r="Q76" s="352"/>
      <c r="R76" s="352"/>
      <c r="S76" s="352"/>
      <c r="T76" s="352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Frankrijk</v>
      </c>
      <c r="E77" s="367" t="s">
        <v>9</v>
      </c>
      <c r="F77" s="406" t="str">
        <f>IF(J71="","Winnaar 58",IF(J71=1,D71,F71))</f>
        <v>Brazilië</v>
      </c>
      <c r="G77" s="435">
        <v>1</v>
      </c>
      <c r="H77" s="367" t="s">
        <v>9</v>
      </c>
      <c r="I77" s="447">
        <v>3</v>
      </c>
      <c r="J77" s="448">
        <v>2</v>
      </c>
      <c r="K77" s="353"/>
      <c r="L77" s="353"/>
      <c r="M77" s="353"/>
      <c r="N77" s="352"/>
      <c r="O77" s="352"/>
      <c r="P77" s="352"/>
      <c r="Q77" s="352"/>
      <c r="R77" s="352"/>
      <c r="S77" s="352"/>
      <c r="T77" s="352"/>
      <c r="V77" t="s">
        <v>134</v>
      </c>
      <c r="W77" t="s">
        <v>203</v>
      </c>
      <c r="X77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Argentinië</v>
      </c>
      <c r="E78" s="388" t="s">
        <v>9</v>
      </c>
      <c r="F78" s="412" t="str">
        <f>IF(J73="","Winnaar 60",IF(J73=1,D73,F73))</f>
        <v>Spanje</v>
      </c>
      <c r="G78" s="438">
        <v>2</v>
      </c>
      <c r="H78" s="388" t="s">
        <v>9</v>
      </c>
      <c r="I78" s="453">
        <v>0</v>
      </c>
      <c r="J78" s="454">
        <v>1</v>
      </c>
      <c r="K78" s="353"/>
      <c r="L78" s="353"/>
      <c r="M78" s="353"/>
      <c r="N78" s="352"/>
      <c r="O78" s="352"/>
      <c r="P78" s="352"/>
      <c r="Q78" s="352"/>
      <c r="R78" s="352"/>
      <c r="S78" s="352"/>
      <c r="T78" s="352"/>
      <c r="V78" t="s">
        <v>134</v>
      </c>
      <c r="W78" t="s">
        <v>199</v>
      </c>
      <c r="X78" t="str">
        <f t="shared" si="11"/>
        <v>Leroy Fer (m)</v>
      </c>
      <c r="Y78" s="109">
        <f>AF78</f>
        <v>1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1</v>
      </c>
      <c r="AG78" s="108">
        <f>IF(AC78="",0,(IF(G78=AC78,1,0)))</f>
        <v>0</v>
      </c>
      <c r="AH78" s="108">
        <f>IF(AD78="",0,(IF(I78=AD78,1,0)))</f>
        <v>1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N79" s="352"/>
      <c r="O79" s="352"/>
      <c r="P79" s="352"/>
      <c r="Q79" s="352"/>
      <c r="R79" s="352"/>
      <c r="S79" s="352"/>
      <c r="T79" s="352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27"/>
      <c r="K80" s="353"/>
      <c r="L80" s="353"/>
      <c r="M80" s="353"/>
      <c r="N80" s="352"/>
      <c r="O80" s="352"/>
      <c r="P80" s="352"/>
      <c r="Q80" s="352"/>
      <c r="R80" s="352"/>
      <c r="S80" s="352"/>
      <c r="T80" s="352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30" t="s">
        <v>3</v>
      </c>
      <c r="E81" s="431"/>
      <c r="F81" s="432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N81" s="352"/>
      <c r="O81" s="352"/>
      <c r="P81" s="352"/>
      <c r="Q81" s="352"/>
      <c r="R81" s="352"/>
      <c r="S81" s="352"/>
      <c r="T81" s="352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Frankrijk</v>
      </c>
      <c r="E82" s="355" t="s">
        <v>9</v>
      </c>
      <c r="F82" s="415" t="str">
        <f>IF(J78="","Verliezer 62",IF(J78=1,F78,D78))</f>
        <v>Spanje</v>
      </c>
      <c r="G82" s="455">
        <v>1</v>
      </c>
      <c r="H82" s="355" t="s">
        <v>9</v>
      </c>
      <c r="I82" s="456">
        <v>1</v>
      </c>
      <c r="J82" s="457">
        <v>1</v>
      </c>
      <c r="K82" s="353"/>
      <c r="L82" s="353"/>
      <c r="M82" s="353"/>
      <c r="N82" s="352"/>
      <c r="O82" s="352"/>
      <c r="P82" s="352"/>
      <c r="Q82" s="352"/>
      <c r="R82" s="352"/>
      <c r="S82" s="352"/>
      <c r="T82" s="352"/>
      <c r="V82" t="s">
        <v>134</v>
      </c>
      <c r="W82" t="s">
        <v>125</v>
      </c>
      <c r="X8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N83" s="352"/>
      <c r="O83" s="352"/>
      <c r="P83" s="352"/>
      <c r="Q83" s="352"/>
      <c r="R83" s="352"/>
      <c r="S83" s="352"/>
      <c r="T83" s="352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27"/>
      <c r="K84" s="353"/>
      <c r="L84" s="353"/>
      <c r="M84" s="353"/>
      <c r="N84" s="352"/>
      <c r="O84" s="352"/>
      <c r="P84" s="352"/>
      <c r="Q84" s="352"/>
      <c r="R84" s="352"/>
      <c r="S84" s="352"/>
      <c r="T84" s="352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30" t="s">
        <v>3</v>
      </c>
      <c r="E85" s="431"/>
      <c r="F85" s="432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N85" s="352"/>
      <c r="O85" s="352"/>
      <c r="P85" s="352"/>
      <c r="Q85" s="352"/>
      <c r="R85" s="352"/>
      <c r="S85" s="352"/>
      <c r="T85" s="352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Brazilië</v>
      </c>
      <c r="E86" s="355" t="s">
        <v>9</v>
      </c>
      <c r="F86" s="415" t="str">
        <f>IF(J78="","Winnaar 62",IF(J78=1,D78,F78))</f>
        <v>Argentinië</v>
      </c>
      <c r="G86" s="455">
        <v>1</v>
      </c>
      <c r="H86" s="355" t="s">
        <v>9</v>
      </c>
      <c r="I86" s="456">
        <v>2</v>
      </c>
      <c r="J86" s="457">
        <v>2</v>
      </c>
      <c r="K86" s="353"/>
      <c r="L86" s="353"/>
      <c r="M86" s="353"/>
      <c r="N86" s="352"/>
      <c r="O86" s="352"/>
      <c r="P86" s="352"/>
      <c r="Q86" s="352"/>
      <c r="R86" s="352"/>
      <c r="S86" s="352"/>
      <c r="T86" s="352"/>
      <c r="V86" t="s">
        <v>134</v>
      </c>
      <c r="W86" t="s">
        <v>139</v>
      </c>
      <c r="X86" t="str">
        <f t="shared" si="11"/>
        <v>Nigel de Jong (m)</v>
      </c>
      <c r="Y86" s="109">
        <f>AF86</f>
        <v>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0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Argentinië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15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15</v>
      </c>
      <c r="AV89">
        <f>IF(AR89=0,0,IF(E89=AR89,50,0))</f>
        <v>0</v>
      </c>
      <c r="AW89">
        <f>IF(E89=0,0,IF(OR(E89=AR90),15,0))</f>
        <v>15</v>
      </c>
      <c r="AX89">
        <f>IF(E89=0,0,IF(OR(E89=AR91,E89=AR92),5,0))</f>
        <v>0</v>
      </c>
    </row>
    <row r="90" spans="2:50">
      <c r="C90" s="870">
        <v>2</v>
      </c>
      <c r="D90" s="871"/>
      <c r="E90" s="872" t="str">
        <f>IF(J86=2,D86,IF(J86=1,F86,"Wie wordt 2de?"))</f>
        <v>Brazilië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5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5</v>
      </c>
      <c r="AV90">
        <f>IF(AR90=0,0,IF(AR90=E90,25,0))</f>
        <v>0</v>
      </c>
      <c r="AW90">
        <f>IF(E90=0,0,IF(OR(E90=AR89,),15,0))</f>
        <v>0</v>
      </c>
      <c r="AX90">
        <f>IF(E90=0,0,IF(OR(E90=AR91,E90=AR92),5,0))</f>
        <v>5</v>
      </c>
    </row>
    <row r="91" spans="2:50">
      <c r="C91" s="870">
        <v>3</v>
      </c>
      <c r="D91" s="871"/>
      <c r="E91" s="872" t="str">
        <f>IF(J82=1,D82,IF(J82=2,F82,"Wie wordt 3de?"))</f>
        <v>Frankrijk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0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0</v>
      </c>
      <c r="AV91">
        <f>IF(AR91=0,0,IF(AR91=E91,15,0))</f>
        <v>0</v>
      </c>
      <c r="AW91">
        <f>IF(E91=0,0,IF(OR(E91=AR92),10,0))</f>
        <v>0</v>
      </c>
      <c r="AX91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Spanje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0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0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20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conditionalFormatting sqref="AO9:AO12 AO15:AO18 AO21:AO24 AO27:AO30 AO33:AO36 AO39:AO42 AO45:AO48 AO51:AO54">
    <cfRule type="cellIs" dxfId="149" priority="3" operator="equal">
      <formula>10</formula>
    </cfRule>
  </conditionalFormatting>
  <conditionalFormatting sqref="P58:T58">
    <cfRule type="duplicateValues" dxfId="148" priority="2"/>
  </conditionalFormatting>
  <conditionalFormatting sqref="P58:T68">
    <cfRule type="duplicateValues" dxfId="147" priority="1"/>
  </conditionalFormatting>
  <dataValidations count="10">
    <dataValidation type="list" allowBlank="1" showInputMessage="1" showErrorMessage="1" sqref="P58:P68">
      <formula1>$X$58:$X$98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51:T54">
      <formula1>$W$51:$W$54</formula1>
    </dataValidation>
  </dataValidation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B1:BB98"/>
  <sheetViews>
    <sheetView topLeftCell="A44" zoomScale="70" zoomScaleNormal="70" workbookViewId="0">
      <selection activeCell="P58" sqref="P58:T68"/>
    </sheetView>
  </sheetViews>
  <sheetFormatPr defaultRowHeight="15" outlineLevelCol="2"/>
  <cols>
    <col min="1" max="1" width="3.42578125" customWidth="1"/>
    <col min="2" max="2" width="3.5703125" bestFit="1" customWidth="1"/>
    <col min="3" max="3" width="11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339</v>
      </c>
      <c r="E3" s="145"/>
      <c r="F3" s="145"/>
      <c r="N3" t="str">
        <f>D3</f>
        <v>Quinn H. (introducee Corjan)</v>
      </c>
      <c r="O3" s="144">
        <f>SUM(P3:S3)</f>
        <v>397</v>
      </c>
      <c r="P3" s="109">
        <f>SUM(Y8:Y86)</f>
        <v>165</v>
      </c>
      <c r="Q3" s="109">
        <f>SUM(AM4:AM55)</f>
        <v>140</v>
      </c>
      <c r="R3" s="109">
        <f>SUM(AP89:AP92)</f>
        <v>65</v>
      </c>
      <c r="S3" s="109">
        <f>SUM(BB58:BB69)</f>
        <v>27</v>
      </c>
      <c r="T3" s="109">
        <f>COUNTIF(AF8:AF86,10)</f>
        <v>5</v>
      </c>
      <c r="U3" s="109" t="str">
        <f>E89</f>
        <v>Duitsland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M6" s="352"/>
      <c r="N6" s="352"/>
      <c r="O6" s="392"/>
      <c r="P6" s="393"/>
      <c r="Q6" s="393"/>
      <c r="R6" s="393"/>
      <c r="S6" s="393"/>
      <c r="T6" s="393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18" t="s">
        <v>3</v>
      </c>
      <c r="E7" s="419"/>
      <c r="F7" s="420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M7" s="352"/>
      <c r="N7" s="352"/>
      <c r="O7" s="353"/>
      <c r="P7" s="393"/>
      <c r="Q7" s="393"/>
      <c r="R7" s="393"/>
      <c r="S7" s="393"/>
      <c r="T7" s="393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3</v>
      </c>
      <c r="H8" s="360" t="s">
        <v>9</v>
      </c>
      <c r="I8" s="439">
        <v>1</v>
      </c>
      <c r="J8" s="362">
        <f t="shared" ref="J8:J55" si="0">IF(I8="","",IF(G8&gt;I8,1,IF(G8&lt;I8,2,3)))</f>
        <v>1</v>
      </c>
      <c r="K8" s="363">
        <f t="shared" ref="K8:K55" si="1">IF(I8="","",IF($G8&gt;$I8,3,IF($G8=$I8,1,0)))</f>
        <v>3</v>
      </c>
      <c r="L8" s="363">
        <f t="shared" ref="L8:L55" si="2">IF(I8="","",IF($G8&lt;$I8,3,IF($G8=$I8,1,0)))</f>
        <v>0</v>
      </c>
      <c r="M8" s="352"/>
      <c r="N8" s="352"/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40"/>
      <c r="V8" s="40"/>
      <c r="W8" s="40"/>
      <c r="Y8" s="109">
        <f>AF8</f>
        <v>10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10</v>
      </c>
      <c r="AG8" s="108">
        <f t="shared" ref="AG8:AG55" si="3">IF(AC8="",0,(IF(G8=AC8,1,0)))</f>
        <v>1</v>
      </c>
      <c r="AH8" s="108">
        <f t="shared" ref="AH8:AH55" si="4">IF(AD8="",0,(IF(I8=AD8,1,0)))</f>
        <v>1</v>
      </c>
      <c r="AI8" s="108">
        <f>IF(AND(AG8=1,AH8=1),10,0)</f>
        <v>10</v>
      </c>
      <c r="AJ8" s="108">
        <f t="shared" ref="AJ8:AJ55" si="5">IF(AND(G8&gt;I8,AC8&gt;AD8),5,0)</f>
        <v>5</v>
      </c>
      <c r="AK8" s="108">
        <f t="shared" ref="AK8:AK55" si="6">IF(AND(G8&lt;I8,AC8&lt;AD8),5,0)</f>
        <v>0</v>
      </c>
      <c r="AL8" s="108">
        <f t="shared" ref="AL8:AL55" si="7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1</v>
      </c>
      <c r="H9" s="367" t="s">
        <v>9</v>
      </c>
      <c r="I9" s="440">
        <v>1</v>
      </c>
      <c r="J9" s="369">
        <f t="shared" si="0"/>
        <v>3</v>
      </c>
      <c r="K9" s="363">
        <f t="shared" si="1"/>
        <v>1</v>
      </c>
      <c r="L9" s="363">
        <f t="shared" si="2"/>
        <v>1</v>
      </c>
      <c r="M9" s="352"/>
      <c r="N9" s="352"/>
      <c r="O9" s="394" t="s">
        <v>8</v>
      </c>
      <c r="P9" s="395">
        <f>SUMIF($D$8:$D$55,$O9,$G$8:$G$55)+SUMIF($F$8:$F$55,$O9,$I$8:$I$55)</f>
        <v>7</v>
      </c>
      <c r="Q9" s="395">
        <f>SUMIF($D$8:$D$55,$O9,$I$8:$I$55)+SUMIF($F$8:$F$55,$O9,$G$8:$G$55)</f>
        <v>4</v>
      </c>
      <c r="R9" s="396">
        <f>P9-Q9</f>
        <v>3</v>
      </c>
      <c r="S9" s="397">
        <f>SUMIF($D$8:$D$55,$O9,$K$8:$K$55)+SUMIF($F$8:$F$55,$O9,$L$8:$L$55)</f>
        <v>6</v>
      </c>
      <c r="T9" s="444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1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1</v>
      </c>
      <c r="AG9" s="108">
        <f t="shared" si="3"/>
        <v>1</v>
      </c>
      <c r="AH9" s="108">
        <f t="shared" si="4"/>
        <v>0</v>
      </c>
      <c r="AI9" s="108">
        <f t="shared" ref="AI9:AI55" si="10">IF(AND(AG9=1,AH9=1),10,0)</f>
        <v>0</v>
      </c>
      <c r="AJ9" s="108">
        <f t="shared" si="5"/>
        <v>0</v>
      </c>
      <c r="AK9" s="108">
        <f t="shared" si="6"/>
        <v>0</v>
      </c>
      <c r="AL9" s="108">
        <f t="shared" si="7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1</v>
      </c>
      <c r="H10" s="373" t="s">
        <v>9</v>
      </c>
      <c r="I10" s="441">
        <v>1</v>
      </c>
      <c r="J10" s="375">
        <f t="shared" si="0"/>
        <v>3</v>
      </c>
      <c r="K10" s="363">
        <f t="shared" si="1"/>
        <v>1</v>
      </c>
      <c r="L10" s="363">
        <f t="shared" si="2"/>
        <v>1</v>
      </c>
      <c r="M10" s="352"/>
      <c r="N10" s="352"/>
      <c r="O10" s="398" t="s">
        <v>10</v>
      </c>
      <c r="P10" s="399">
        <f>SUMIF($D$8:$D$55,$O10,$G$8:$G$55)+SUMIF($F$8:$F$55,$O10,$I$8:$I$55)</f>
        <v>4</v>
      </c>
      <c r="Q10" s="399">
        <f>SUMIF($D$8:$D$55,$O10,$I$8:$I$55)+SUMIF($F$8:$F$55,$O10,$G$8:$G$55)</f>
        <v>5</v>
      </c>
      <c r="R10" s="399">
        <f>P10-Q10</f>
        <v>-1</v>
      </c>
      <c r="S10" s="400">
        <f>SUMIF($D$8:$D$55,$O10,$K$8:$K$55)+SUMIF($F$8:$F$55,$O10,$L$8:$L$55)</f>
        <v>4</v>
      </c>
      <c r="T10" s="445" t="s">
        <v>49</v>
      </c>
      <c r="U10" s="40"/>
      <c r="V10" s="40" t="str">
        <f>O10</f>
        <v>Kroatië</v>
      </c>
      <c r="W10" s="40" t="s">
        <v>49</v>
      </c>
      <c r="Y10" s="109">
        <f t="shared" si="8"/>
        <v>1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1</v>
      </c>
      <c r="AG10" s="108">
        <f t="shared" si="3"/>
        <v>1</v>
      </c>
      <c r="AH10" s="108">
        <f t="shared" si="4"/>
        <v>0</v>
      </c>
      <c r="AI10" s="108">
        <f t="shared" si="10"/>
        <v>0</v>
      </c>
      <c r="AJ10" s="108">
        <f t="shared" si="5"/>
        <v>0</v>
      </c>
      <c r="AK10" s="108">
        <f t="shared" si="6"/>
        <v>0</v>
      </c>
      <c r="AL10" s="108">
        <f t="shared" si="7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1</v>
      </c>
      <c r="H11" s="379" t="s">
        <v>9</v>
      </c>
      <c r="I11" s="442">
        <v>1</v>
      </c>
      <c r="J11" s="381">
        <f t="shared" si="0"/>
        <v>3</v>
      </c>
      <c r="K11" s="363">
        <f t="shared" si="1"/>
        <v>1</v>
      </c>
      <c r="L11" s="363">
        <f t="shared" si="2"/>
        <v>1</v>
      </c>
      <c r="M11" s="352"/>
      <c r="N11" s="352"/>
      <c r="O11" s="398" t="s">
        <v>11</v>
      </c>
      <c r="P11" s="399">
        <f>SUMIF($D$8:$D$55,$O11,$G$8:$G$55)+SUMIF($F$8:$F$55,$O11,$I$8:$I$55)</f>
        <v>4</v>
      </c>
      <c r="Q11" s="399">
        <f>SUMIF($D$8:$D$55,$O11,$I$8:$I$55)+SUMIF($F$8:$F$55,$O11,$G$8:$G$55)</f>
        <v>3</v>
      </c>
      <c r="R11" s="399">
        <f>P11-Q11</f>
        <v>1</v>
      </c>
      <c r="S11" s="400">
        <f>SUMIF($D$8:$D$55,$O11,$K$8:$K$55)+SUMIF($F$8:$F$55,$O11,$L$8:$L$55)</f>
        <v>4</v>
      </c>
      <c r="T11" s="445" t="s">
        <v>47</v>
      </c>
      <c r="U11" s="40"/>
      <c r="V11" s="40" t="str">
        <f>O11</f>
        <v>Mexico</v>
      </c>
      <c r="W11" s="40" t="s">
        <v>47</v>
      </c>
      <c r="Y11" s="109">
        <f t="shared" si="8"/>
        <v>1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1</v>
      </c>
      <c r="AG11" s="108">
        <f t="shared" si="3"/>
        <v>0</v>
      </c>
      <c r="AH11" s="108">
        <f t="shared" si="4"/>
        <v>1</v>
      </c>
      <c r="AI11" s="108">
        <f t="shared" si="10"/>
        <v>0</v>
      </c>
      <c r="AJ11" s="108">
        <f t="shared" si="5"/>
        <v>0</v>
      </c>
      <c r="AK11" s="108">
        <f t="shared" si="6"/>
        <v>0</v>
      </c>
      <c r="AL11" s="108">
        <f t="shared" si="7"/>
        <v>0</v>
      </c>
      <c r="AM11" s="120">
        <f>AO11</f>
        <v>0</v>
      </c>
      <c r="AN11" s="117" t="s">
        <v>11</v>
      </c>
      <c r="AO11" s="115">
        <f>IF(Uitslag!T11="",0,IF(T11=Uitslag!T11,10,0))</f>
        <v>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1</v>
      </c>
      <c r="H12" s="367" t="s">
        <v>9</v>
      </c>
      <c r="I12" s="440">
        <v>1</v>
      </c>
      <c r="J12" s="369">
        <f t="shared" si="0"/>
        <v>3</v>
      </c>
      <c r="K12" s="363">
        <f t="shared" si="1"/>
        <v>1</v>
      </c>
      <c r="L12" s="363">
        <f t="shared" si="2"/>
        <v>1</v>
      </c>
      <c r="M12" s="352"/>
      <c r="N12" s="352"/>
      <c r="O12" s="401" t="s">
        <v>12</v>
      </c>
      <c r="P12" s="402">
        <f>SUMIF($D$8:$D$55,$O12,$G$8:$G$55)+SUMIF($F$8:$F$55,$O12,$I$8:$I$55)</f>
        <v>3</v>
      </c>
      <c r="Q12" s="402">
        <f>SUMIF($D$8:$D$55,$O12,$I$8:$I$55)+SUMIF($F$8:$F$55,$O12,$G$8:$G$55)</f>
        <v>6</v>
      </c>
      <c r="R12" s="402">
        <f>P12-Q12</f>
        <v>-3</v>
      </c>
      <c r="S12" s="403">
        <f>SUMIF($D$8:$D$55,$O12,$K$8:$K$55)+SUMIF($F$8:$F$55,$O12,$L$8:$L$55)</f>
        <v>2</v>
      </c>
      <c r="T12" s="446" t="s">
        <v>50</v>
      </c>
      <c r="U12" s="40"/>
      <c r="V12" s="40" t="str">
        <f>O12</f>
        <v>Kameroen</v>
      </c>
      <c r="W12" s="40" t="s">
        <v>50</v>
      </c>
      <c r="Y12" s="109">
        <f t="shared" si="8"/>
        <v>0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0</v>
      </c>
      <c r="AG12" s="108">
        <f t="shared" si="3"/>
        <v>0</v>
      </c>
      <c r="AH12" s="108">
        <f t="shared" si="4"/>
        <v>0</v>
      </c>
      <c r="AI12" s="108">
        <f t="shared" si="10"/>
        <v>0</v>
      </c>
      <c r="AJ12" s="108">
        <f t="shared" si="5"/>
        <v>0</v>
      </c>
      <c r="AK12" s="108">
        <f t="shared" si="6"/>
        <v>0</v>
      </c>
      <c r="AL12" s="108">
        <f t="shared" si="7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1</v>
      </c>
      <c r="H13" s="373" t="s">
        <v>9</v>
      </c>
      <c r="I13" s="441">
        <v>1</v>
      </c>
      <c r="J13" s="375">
        <f t="shared" si="0"/>
        <v>3</v>
      </c>
      <c r="K13" s="363">
        <f t="shared" si="1"/>
        <v>1</v>
      </c>
      <c r="L13" s="363">
        <f t="shared" si="2"/>
        <v>1</v>
      </c>
      <c r="M13" s="352"/>
      <c r="N13" s="352"/>
      <c r="O13" s="392"/>
      <c r="P13" s="393"/>
      <c r="Q13" s="393"/>
      <c r="R13" s="393"/>
      <c r="S13" s="393"/>
      <c r="T13" s="393"/>
      <c r="U13" s="40"/>
      <c r="V13" s="40"/>
      <c r="W13" s="40"/>
      <c r="Y13" s="109">
        <f t="shared" si="8"/>
        <v>1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1</v>
      </c>
      <c r="AG13" s="108">
        <f t="shared" si="3"/>
        <v>1</v>
      </c>
      <c r="AH13" s="108">
        <f t="shared" si="4"/>
        <v>0</v>
      </c>
      <c r="AI13" s="108">
        <f t="shared" si="10"/>
        <v>0</v>
      </c>
      <c r="AJ13" s="108">
        <f t="shared" si="5"/>
        <v>0</v>
      </c>
      <c r="AK13" s="108">
        <f t="shared" si="6"/>
        <v>0</v>
      </c>
      <c r="AL13" s="108">
        <f t="shared" si="7"/>
        <v>0</v>
      </c>
      <c r="AN13" s="40"/>
      <c r="AO13" s="41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1</v>
      </c>
      <c r="H14" s="373" t="s">
        <v>9</v>
      </c>
      <c r="I14" s="441">
        <v>1</v>
      </c>
      <c r="J14" s="375">
        <f t="shared" si="0"/>
        <v>3</v>
      </c>
      <c r="K14" s="363">
        <f t="shared" si="1"/>
        <v>1</v>
      </c>
      <c r="L14" s="363">
        <f t="shared" si="2"/>
        <v>1</v>
      </c>
      <c r="M14" s="352"/>
      <c r="N14" s="352"/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40"/>
      <c r="V14" s="40"/>
      <c r="W14" s="40"/>
      <c r="Y14" s="109">
        <f t="shared" si="8"/>
        <v>1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</v>
      </c>
      <c r="AG14" s="108">
        <f t="shared" si="3"/>
        <v>1</v>
      </c>
      <c r="AH14" s="108">
        <f t="shared" si="4"/>
        <v>0</v>
      </c>
      <c r="AI14" s="108">
        <f t="shared" si="10"/>
        <v>0</v>
      </c>
      <c r="AJ14" s="108">
        <f t="shared" si="5"/>
        <v>0</v>
      </c>
      <c r="AK14" s="108">
        <f t="shared" si="6"/>
        <v>0</v>
      </c>
      <c r="AL14" s="108">
        <f t="shared" si="7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1</v>
      </c>
      <c r="H15" s="379" t="s">
        <v>9</v>
      </c>
      <c r="I15" s="442">
        <v>1</v>
      </c>
      <c r="J15" s="381">
        <f t="shared" si="0"/>
        <v>3</v>
      </c>
      <c r="K15" s="363">
        <f t="shared" si="1"/>
        <v>1</v>
      </c>
      <c r="L15" s="363">
        <f t="shared" si="2"/>
        <v>1</v>
      </c>
      <c r="M15" s="352"/>
      <c r="N15" s="352"/>
      <c r="O15" s="394" t="s">
        <v>13</v>
      </c>
      <c r="P15" s="395">
        <f>SUMIF($D$8:$D$55,$O15,$G$8:$G$55)+SUMIF($F$8:$F$55,$O15,$I$8:$I$55)</f>
        <v>4</v>
      </c>
      <c r="Q15" s="395">
        <f>SUMIF($D$8:$D$55,$O15,$I$8:$I$55)+SUMIF($F$8:$F$55,$O15,$G$8:$G$55)</f>
        <v>2</v>
      </c>
      <c r="R15" s="396">
        <f>P15-Q15</f>
        <v>2</v>
      </c>
      <c r="S15" s="397">
        <f>SUMIF($D$8:$D$55,$O15,$K$8:$K$55)+SUMIF($F$8:$F$55,$O15,$L$8:$L$55)</f>
        <v>5</v>
      </c>
      <c r="T15" s="444" t="s">
        <v>52</v>
      </c>
      <c r="U15" s="40"/>
      <c r="V15" s="40" t="str">
        <f>O15</f>
        <v>Spanje</v>
      </c>
      <c r="W15" s="40" t="s">
        <v>52</v>
      </c>
      <c r="Y15" s="109">
        <f t="shared" si="8"/>
        <v>1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1</v>
      </c>
      <c r="AG15" s="108">
        <f t="shared" si="3"/>
        <v>0</v>
      </c>
      <c r="AH15" s="108">
        <f t="shared" si="4"/>
        <v>1</v>
      </c>
      <c r="AI15" s="108">
        <f t="shared" si="10"/>
        <v>0</v>
      </c>
      <c r="AJ15" s="108">
        <f t="shared" si="5"/>
        <v>0</v>
      </c>
      <c r="AK15" s="108">
        <f t="shared" si="6"/>
        <v>0</v>
      </c>
      <c r="AL15" s="108">
        <f t="shared" si="7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1</v>
      </c>
      <c r="H16" s="367" t="s">
        <v>9</v>
      </c>
      <c r="I16" s="440">
        <v>2</v>
      </c>
      <c r="J16" s="369">
        <f t="shared" si="0"/>
        <v>2</v>
      </c>
      <c r="K16" s="363">
        <f t="shared" si="1"/>
        <v>0</v>
      </c>
      <c r="L16" s="363">
        <f t="shared" si="2"/>
        <v>3</v>
      </c>
      <c r="M16" s="352"/>
      <c r="N16" s="352"/>
      <c r="O16" s="404" t="s">
        <v>14</v>
      </c>
      <c r="P16" s="399">
        <f>SUMIF($D$8:$D$55,$O16,$G$8:$G$55)+SUMIF($F$8:$F$55,$O16,$I$8:$I$55)</f>
        <v>4</v>
      </c>
      <c r="Q16" s="399">
        <f>SUMIF($D$8:$D$55,$O16,$I$8:$I$55)+SUMIF($F$8:$F$55,$O16,$G$8:$G$55)</f>
        <v>2</v>
      </c>
      <c r="R16" s="399">
        <f>P16-Q16</f>
        <v>2</v>
      </c>
      <c r="S16" s="400">
        <f>SUMIF($D$8:$D$55,$O16,$K$8:$K$55)+SUMIF($F$8:$F$55,$O16,$L$8:$L$55)</f>
        <v>5</v>
      </c>
      <c r="T16" s="445" t="s">
        <v>53</v>
      </c>
      <c r="U16" s="40"/>
      <c r="V16" s="40" t="str">
        <f>O16</f>
        <v>Nederland</v>
      </c>
      <c r="W16" s="40" t="s">
        <v>53</v>
      </c>
      <c r="Y16" s="109">
        <f t="shared" si="8"/>
        <v>0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0</v>
      </c>
      <c r="AG16" s="108">
        <f t="shared" si="3"/>
        <v>0</v>
      </c>
      <c r="AH16" s="108">
        <f t="shared" si="4"/>
        <v>0</v>
      </c>
      <c r="AI16" s="108">
        <f t="shared" si="10"/>
        <v>0</v>
      </c>
      <c r="AJ16" s="108">
        <f t="shared" si="5"/>
        <v>0</v>
      </c>
      <c r="AK16" s="108">
        <f t="shared" si="6"/>
        <v>0</v>
      </c>
      <c r="AL16" s="108">
        <f t="shared" si="7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5</v>
      </c>
      <c r="H17" s="373" t="s">
        <v>9</v>
      </c>
      <c r="I17" s="441">
        <v>0</v>
      </c>
      <c r="J17" s="375">
        <f t="shared" si="0"/>
        <v>1</v>
      </c>
      <c r="K17" s="363">
        <f t="shared" si="1"/>
        <v>3</v>
      </c>
      <c r="L17" s="363">
        <f t="shared" si="2"/>
        <v>0</v>
      </c>
      <c r="M17" s="352"/>
      <c r="N17" s="352"/>
      <c r="O17" s="398" t="s">
        <v>15</v>
      </c>
      <c r="P17" s="399">
        <f>SUMIF($D$8:$D$55,$O17,$G$8:$G$55)+SUMIF($F$8:$F$55,$O17,$I$8:$I$55)</f>
        <v>2</v>
      </c>
      <c r="Q17" s="399">
        <f>SUMIF($D$8:$D$55,$O17,$I$8:$I$55)+SUMIF($F$8:$F$55,$O17,$G$8:$G$55)</f>
        <v>4</v>
      </c>
      <c r="R17" s="399">
        <f>P17-Q17</f>
        <v>-2</v>
      </c>
      <c r="S17" s="400">
        <f>SUMIF($D$8:$D$55,$O17,$K$8:$K$55)+SUMIF($F$8:$F$55,$O17,$L$8:$L$55)</f>
        <v>2</v>
      </c>
      <c r="T17" s="445" t="s">
        <v>54</v>
      </c>
      <c r="U17" s="40"/>
      <c r="V17" s="40" t="str">
        <f>O17</f>
        <v>Chili</v>
      </c>
      <c r="W17" s="40" t="s">
        <v>54</v>
      </c>
      <c r="Y17" s="109">
        <f t="shared" si="8"/>
        <v>6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6</v>
      </c>
      <c r="AG17" s="108">
        <f t="shared" si="3"/>
        <v>0</v>
      </c>
      <c r="AH17" s="108">
        <f t="shared" si="4"/>
        <v>1</v>
      </c>
      <c r="AI17" s="108">
        <f t="shared" si="10"/>
        <v>0</v>
      </c>
      <c r="AJ17" s="108">
        <f t="shared" si="5"/>
        <v>5</v>
      </c>
      <c r="AK17" s="108">
        <f t="shared" si="6"/>
        <v>0</v>
      </c>
      <c r="AL17" s="108">
        <f t="shared" si="7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1</v>
      </c>
      <c r="H18" s="379" t="s">
        <v>9</v>
      </c>
      <c r="I18" s="442">
        <v>1</v>
      </c>
      <c r="J18" s="381">
        <f t="shared" si="0"/>
        <v>3</v>
      </c>
      <c r="K18" s="363">
        <f t="shared" si="1"/>
        <v>1</v>
      </c>
      <c r="L18" s="363">
        <f t="shared" si="2"/>
        <v>1</v>
      </c>
      <c r="M18" s="352"/>
      <c r="N18" s="352"/>
      <c r="O18" s="401" t="s">
        <v>16</v>
      </c>
      <c r="P18" s="402">
        <f>SUMIF($D$8:$D$55,$O18,$G$8:$G$55)+SUMIF($F$8:$F$55,$O18,$I$8:$I$55)</f>
        <v>2</v>
      </c>
      <c r="Q18" s="402">
        <f>SUMIF($D$8:$D$55,$O18,$I$8:$I$55)+SUMIF($F$8:$F$55,$O18,$G$8:$G$55)</f>
        <v>4</v>
      </c>
      <c r="R18" s="402">
        <f>P18-Q18</f>
        <v>-2</v>
      </c>
      <c r="S18" s="403">
        <f>SUMIF($D$8:$D$55,$O18,$K$8:$K$55)+SUMIF($F$8:$F$55,$O18,$L$8:$L$55)</f>
        <v>2</v>
      </c>
      <c r="T18" s="446" t="s">
        <v>55</v>
      </c>
      <c r="U18" s="40"/>
      <c r="V18" s="40" t="str">
        <f>O18</f>
        <v>Australië</v>
      </c>
      <c r="W18" s="40" t="s">
        <v>55</v>
      </c>
      <c r="Y18" s="109">
        <f t="shared" si="8"/>
        <v>1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1</v>
      </c>
      <c r="AG18" s="108">
        <f t="shared" si="3"/>
        <v>0</v>
      </c>
      <c r="AH18" s="108">
        <f t="shared" si="4"/>
        <v>1</v>
      </c>
      <c r="AI18" s="108">
        <f t="shared" si="10"/>
        <v>0</v>
      </c>
      <c r="AJ18" s="108">
        <f t="shared" si="5"/>
        <v>0</v>
      </c>
      <c r="AK18" s="108">
        <f t="shared" si="6"/>
        <v>0</v>
      </c>
      <c r="AL18" s="108">
        <f t="shared" si="7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1</v>
      </c>
      <c r="H19" s="367" t="s">
        <v>9</v>
      </c>
      <c r="I19" s="440">
        <v>1</v>
      </c>
      <c r="J19" s="369">
        <f t="shared" si="0"/>
        <v>3</v>
      </c>
      <c r="K19" s="363">
        <f t="shared" si="1"/>
        <v>1</v>
      </c>
      <c r="L19" s="363">
        <f t="shared" si="2"/>
        <v>1</v>
      </c>
      <c r="M19" s="352"/>
      <c r="N19" s="352"/>
      <c r="O19" s="392"/>
      <c r="P19" s="393"/>
      <c r="Q19" s="393"/>
      <c r="R19" s="393"/>
      <c r="S19" s="393"/>
      <c r="T19" s="393"/>
      <c r="U19" s="40"/>
      <c r="V19" s="40"/>
      <c r="W19" s="40"/>
      <c r="Y19" s="109">
        <f t="shared" si="8"/>
        <v>0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0</v>
      </c>
      <c r="AG19" s="108">
        <f t="shared" si="3"/>
        <v>0</v>
      </c>
      <c r="AH19" s="108">
        <f t="shared" si="4"/>
        <v>0</v>
      </c>
      <c r="AI19" s="108">
        <f t="shared" si="10"/>
        <v>0</v>
      </c>
      <c r="AJ19" s="108">
        <f t="shared" si="5"/>
        <v>0</v>
      </c>
      <c r="AK19" s="108">
        <f t="shared" si="6"/>
        <v>0</v>
      </c>
      <c r="AL19" s="108">
        <f t="shared" si="7"/>
        <v>0</v>
      </c>
      <c r="AN19" s="40"/>
      <c r="AO19" s="41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1</v>
      </c>
      <c r="H20" s="373" t="s">
        <v>9</v>
      </c>
      <c r="I20" s="441">
        <v>3</v>
      </c>
      <c r="J20" s="375">
        <f t="shared" si="0"/>
        <v>2</v>
      </c>
      <c r="K20" s="363">
        <f t="shared" si="1"/>
        <v>0</v>
      </c>
      <c r="L20" s="363">
        <f t="shared" si="2"/>
        <v>3</v>
      </c>
      <c r="M20" s="352"/>
      <c r="N20" s="352"/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40"/>
      <c r="V20" s="40"/>
      <c r="W20" s="40"/>
      <c r="Y20" s="109">
        <f t="shared" si="8"/>
        <v>0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0</v>
      </c>
      <c r="AG20" s="108">
        <f t="shared" si="3"/>
        <v>0</v>
      </c>
      <c r="AH20" s="108">
        <f t="shared" si="4"/>
        <v>0</v>
      </c>
      <c r="AI20" s="108">
        <f t="shared" si="10"/>
        <v>0</v>
      </c>
      <c r="AJ20" s="108">
        <f t="shared" si="5"/>
        <v>0</v>
      </c>
      <c r="AK20" s="108">
        <f t="shared" si="6"/>
        <v>0</v>
      </c>
      <c r="AL20" s="108">
        <f t="shared" si="7"/>
        <v>0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1</v>
      </c>
      <c r="H21" s="379" t="s">
        <v>9</v>
      </c>
      <c r="I21" s="442">
        <v>2</v>
      </c>
      <c r="J21" s="381">
        <f t="shared" si="0"/>
        <v>2</v>
      </c>
      <c r="K21" s="363">
        <f t="shared" si="1"/>
        <v>0</v>
      </c>
      <c r="L21" s="363">
        <f t="shared" si="2"/>
        <v>3</v>
      </c>
      <c r="M21" s="352"/>
      <c r="N21" s="352"/>
      <c r="O21" s="394" t="s">
        <v>17</v>
      </c>
      <c r="P21" s="395">
        <f>SUMIF($D$8:$D$55,$O21,$G$8:$G$55)+SUMIF($F$8:$F$55,$O21,$I$8:$I$55)</f>
        <v>4</v>
      </c>
      <c r="Q21" s="395">
        <f>SUMIF($D$8:$D$55,$O21,$I$8:$I$55)+SUMIF($F$8:$F$55,$O21,$G$8:$G$55)</f>
        <v>4</v>
      </c>
      <c r="R21" s="396">
        <f>P21-Q21</f>
        <v>0</v>
      </c>
      <c r="S21" s="397">
        <f>SUMIF($D$8:$D$55,$O21,$K$8:$K$55)+SUMIF($F$8:$F$55,$O21,$L$8:$L$55)</f>
        <v>3</v>
      </c>
      <c r="T21" s="444" t="s">
        <v>59</v>
      </c>
      <c r="U21" s="40"/>
      <c r="V21" s="40" t="str">
        <f>O21</f>
        <v>Colombia</v>
      </c>
      <c r="W21" s="40" t="s">
        <v>57</v>
      </c>
      <c r="Y21" s="109">
        <f t="shared" si="8"/>
        <v>10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10</v>
      </c>
      <c r="AG21" s="108">
        <f t="shared" si="3"/>
        <v>1</v>
      </c>
      <c r="AH21" s="108">
        <f t="shared" si="4"/>
        <v>1</v>
      </c>
      <c r="AI21" s="108">
        <f t="shared" si="10"/>
        <v>10</v>
      </c>
      <c r="AJ21" s="108">
        <f t="shared" si="5"/>
        <v>0</v>
      </c>
      <c r="AK21" s="108">
        <f t="shared" si="6"/>
        <v>5</v>
      </c>
      <c r="AL21" s="108">
        <f t="shared" si="7"/>
        <v>0</v>
      </c>
      <c r="AM21" s="120">
        <f>AO21</f>
        <v>0</v>
      </c>
      <c r="AN21" s="116" t="s">
        <v>17</v>
      </c>
      <c r="AO21" s="115">
        <f>IF(Uitslag!T21="",0,IF(T21=Uitslag!T21,10,0))</f>
        <v>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1</v>
      </c>
      <c r="H22" s="367" t="s">
        <v>9</v>
      </c>
      <c r="I22" s="440">
        <v>1</v>
      </c>
      <c r="J22" s="369">
        <f t="shared" si="0"/>
        <v>3</v>
      </c>
      <c r="K22" s="363">
        <f t="shared" si="1"/>
        <v>1</v>
      </c>
      <c r="L22" s="363">
        <f t="shared" si="2"/>
        <v>1</v>
      </c>
      <c r="M22" s="352"/>
      <c r="N22" s="352"/>
      <c r="O22" s="398" t="s">
        <v>18</v>
      </c>
      <c r="P22" s="399">
        <f>SUMIF($D$8:$D$55,$O22,$G$8:$G$55)+SUMIF($F$8:$F$55,$O22,$I$8:$I$55)</f>
        <v>4</v>
      </c>
      <c r="Q22" s="399">
        <f>SUMIF($D$8:$D$55,$O22,$I$8:$I$55)+SUMIF($F$8:$F$55,$O22,$G$8:$G$55)</f>
        <v>6</v>
      </c>
      <c r="R22" s="399">
        <f>P22-Q22</f>
        <v>-2</v>
      </c>
      <c r="S22" s="400">
        <f>SUMIF($D$8:$D$55,$O22,$K$8:$K$55)+SUMIF($F$8:$F$55,$O22,$L$8:$L$55)</f>
        <v>1</v>
      </c>
      <c r="T22" s="445" t="s">
        <v>60</v>
      </c>
      <c r="U22" s="40"/>
      <c r="V22" s="40" t="str">
        <f>O22</f>
        <v>Griekenland</v>
      </c>
      <c r="W22" s="40" t="s">
        <v>58</v>
      </c>
      <c r="Y22" s="109">
        <f t="shared" si="8"/>
        <v>1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1</v>
      </c>
      <c r="AG22" s="108">
        <f t="shared" si="3"/>
        <v>0</v>
      </c>
      <c r="AH22" s="108">
        <f t="shared" si="4"/>
        <v>1</v>
      </c>
      <c r="AI22" s="108">
        <f t="shared" si="10"/>
        <v>0</v>
      </c>
      <c r="AJ22" s="108">
        <f t="shared" si="5"/>
        <v>0</v>
      </c>
      <c r="AK22" s="108">
        <f t="shared" si="6"/>
        <v>0</v>
      </c>
      <c r="AL22" s="108">
        <f t="shared" si="7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0</v>
      </c>
      <c r="H23" s="373" t="s">
        <v>9</v>
      </c>
      <c r="I23" s="441">
        <v>2</v>
      </c>
      <c r="J23" s="375">
        <f t="shared" si="0"/>
        <v>2</v>
      </c>
      <c r="K23" s="363">
        <f t="shared" si="1"/>
        <v>0</v>
      </c>
      <c r="L23" s="363">
        <f t="shared" si="2"/>
        <v>3</v>
      </c>
      <c r="M23" s="352"/>
      <c r="N23" s="352"/>
      <c r="O23" s="398" t="s">
        <v>23</v>
      </c>
      <c r="P23" s="399">
        <f>SUMIF($D$8:$D$55,$O23,$G$8:$G$55)+SUMIF($F$8:$F$55,$O23,$I$8:$I$55)</f>
        <v>4</v>
      </c>
      <c r="Q23" s="399">
        <f>SUMIF($D$8:$D$55,$O23,$I$8:$I$55)+SUMIF($F$8:$F$55,$O23,$G$8:$G$55)</f>
        <v>3</v>
      </c>
      <c r="R23" s="399">
        <f>P23-Q23</f>
        <v>1</v>
      </c>
      <c r="S23" s="400">
        <f>SUMIF($D$8:$D$55,$O23,$K$8:$K$55)+SUMIF($F$8:$F$55,$O23,$L$8:$L$55)</f>
        <v>5</v>
      </c>
      <c r="T23" s="445" t="s">
        <v>57</v>
      </c>
      <c r="U23" s="40"/>
      <c r="V23" s="40" t="str">
        <f>O23</f>
        <v>Ivoorkust</v>
      </c>
      <c r="W23" s="40" t="s">
        <v>59</v>
      </c>
      <c r="Y23" s="109">
        <f t="shared" si="8"/>
        <v>1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1</v>
      </c>
      <c r="AG23" s="108">
        <f t="shared" si="3"/>
        <v>1</v>
      </c>
      <c r="AH23" s="108">
        <f t="shared" si="4"/>
        <v>0</v>
      </c>
      <c r="AI23" s="108">
        <f t="shared" si="10"/>
        <v>0</v>
      </c>
      <c r="AJ23" s="108">
        <f t="shared" si="5"/>
        <v>0</v>
      </c>
      <c r="AK23" s="108">
        <f t="shared" si="6"/>
        <v>0</v>
      </c>
      <c r="AL23" s="108">
        <f t="shared" si="7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2</v>
      </c>
      <c r="H24" s="379" t="s">
        <v>9</v>
      </c>
      <c r="I24" s="442">
        <v>1</v>
      </c>
      <c r="J24" s="381">
        <f t="shared" si="0"/>
        <v>1</v>
      </c>
      <c r="K24" s="363">
        <f t="shared" si="1"/>
        <v>3</v>
      </c>
      <c r="L24" s="363">
        <f t="shared" si="2"/>
        <v>0</v>
      </c>
      <c r="M24" s="352"/>
      <c r="N24" s="352"/>
      <c r="O24" s="401" t="s">
        <v>24</v>
      </c>
      <c r="P24" s="402">
        <f>SUMIF($D$8:$D$55,$O24,$G$8:$G$55)+SUMIF($F$8:$F$55,$O24,$I$8:$I$55)</f>
        <v>6</v>
      </c>
      <c r="Q24" s="402">
        <f>SUMIF($D$8:$D$55,$O24,$I$8:$I$55)+SUMIF($F$8:$F$55,$O24,$G$8:$G$55)</f>
        <v>5</v>
      </c>
      <c r="R24" s="402">
        <f>P24-Q24</f>
        <v>1</v>
      </c>
      <c r="S24" s="403">
        <f>SUMIF($D$8:$D$55,$O24,$K$8:$K$55)+SUMIF($F$8:$F$55,$O24,$L$8:$L$55)</f>
        <v>5</v>
      </c>
      <c r="T24" s="446" t="s">
        <v>58</v>
      </c>
      <c r="U24" s="40"/>
      <c r="V24" s="40" t="str">
        <f>O24</f>
        <v>Japan</v>
      </c>
      <c r="W24" s="40" t="s">
        <v>60</v>
      </c>
      <c r="Y24" s="109">
        <f t="shared" si="8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</v>
      </c>
      <c r="AG24" s="108">
        <f t="shared" si="3"/>
        <v>0</v>
      </c>
      <c r="AH24" s="108">
        <f t="shared" si="4"/>
        <v>1</v>
      </c>
      <c r="AI24" s="108">
        <f t="shared" si="10"/>
        <v>0</v>
      </c>
      <c r="AJ24" s="108">
        <f t="shared" si="5"/>
        <v>0</v>
      </c>
      <c r="AK24" s="108">
        <f t="shared" si="6"/>
        <v>0</v>
      </c>
      <c r="AL24" s="108">
        <f t="shared" si="7"/>
        <v>0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1</v>
      </c>
      <c r="H25" s="367" t="s">
        <v>9</v>
      </c>
      <c r="I25" s="440">
        <v>1</v>
      </c>
      <c r="J25" s="369">
        <f t="shared" si="0"/>
        <v>3</v>
      </c>
      <c r="K25" s="363">
        <f t="shared" si="1"/>
        <v>1</v>
      </c>
      <c r="L25" s="363">
        <f t="shared" si="2"/>
        <v>1</v>
      </c>
      <c r="M25" s="352"/>
      <c r="N25" s="352"/>
      <c r="O25" s="392"/>
      <c r="P25" s="393"/>
      <c r="Q25" s="393"/>
      <c r="R25" s="393"/>
      <c r="S25" s="393"/>
      <c r="T25" s="393"/>
      <c r="U25" s="40"/>
      <c r="V25" s="40"/>
      <c r="W25" s="40"/>
      <c r="Y25" s="109">
        <f t="shared" si="8"/>
        <v>0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0</v>
      </c>
      <c r="AG25" s="108">
        <f t="shared" si="3"/>
        <v>0</v>
      </c>
      <c r="AH25" s="108">
        <f t="shared" si="4"/>
        <v>0</v>
      </c>
      <c r="AI25" s="108">
        <f t="shared" si="10"/>
        <v>0</v>
      </c>
      <c r="AJ25" s="108">
        <f t="shared" si="5"/>
        <v>0</v>
      </c>
      <c r="AK25" s="108">
        <f t="shared" si="6"/>
        <v>0</v>
      </c>
      <c r="AL25" s="108">
        <f t="shared" si="7"/>
        <v>0</v>
      </c>
      <c r="AN25" s="40"/>
      <c r="AO25" s="41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1</v>
      </c>
      <c r="H26" s="373" t="s">
        <v>9</v>
      </c>
      <c r="I26" s="441">
        <v>1</v>
      </c>
      <c r="J26" s="375">
        <f t="shared" si="0"/>
        <v>3</v>
      </c>
      <c r="K26" s="363">
        <f t="shared" si="1"/>
        <v>1</v>
      </c>
      <c r="L26" s="363">
        <f t="shared" si="2"/>
        <v>1</v>
      </c>
      <c r="M26" s="352"/>
      <c r="N26" s="352"/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40"/>
      <c r="V26" s="40"/>
      <c r="W26" s="40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3"/>
        <v>0</v>
      </c>
      <c r="AH26" s="108">
        <f t="shared" si="4"/>
        <v>0</v>
      </c>
      <c r="AI26" s="108">
        <f t="shared" si="10"/>
        <v>0</v>
      </c>
      <c r="AJ26" s="108">
        <f t="shared" si="5"/>
        <v>0</v>
      </c>
      <c r="AK26" s="108">
        <f t="shared" si="6"/>
        <v>0</v>
      </c>
      <c r="AL26" s="108">
        <f t="shared" si="7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1</v>
      </c>
      <c r="H27" s="379" t="s">
        <v>9</v>
      </c>
      <c r="I27" s="442">
        <v>1</v>
      </c>
      <c r="J27" s="381">
        <f t="shared" si="0"/>
        <v>3</v>
      </c>
      <c r="K27" s="363">
        <f t="shared" si="1"/>
        <v>1</v>
      </c>
      <c r="L27" s="363">
        <f t="shared" si="2"/>
        <v>1</v>
      </c>
      <c r="M27" s="352"/>
      <c r="N27" s="352"/>
      <c r="O27" s="394" t="s">
        <v>19</v>
      </c>
      <c r="P27" s="395">
        <f>SUMIF($D$8:$D$55,$O27,$G$8:$G$55)+SUMIF($F$8:$F$55,$O27,$I$8:$I$55)</f>
        <v>3</v>
      </c>
      <c r="Q27" s="395">
        <f>SUMIF($D$8:$D$55,$O27,$I$8:$I$55)+SUMIF($F$8:$F$55,$O27,$G$8:$G$55)</f>
        <v>5</v>
      </c>
      <c r="R27" s="396">
        <f>P27-Q27</f>
        <v>-2</v>
      </c>
      <c r="S27" s="397">
        <f>SUMIF($D$8:$D$55,$O27,$K$8:$K$55)+SUMIF($F$8:$F$55,$O27,$L$8:$L$55)</f>
        <v>2</v>
      </c>
      <c r="T27" s="444" t="s">
        <v>65</v>
      </c>
      <c r="U27" s="40"/>
      <c r="V27" s="40" t="str">
        <f>O27</f>
        <v>Uruguay</v>
      </c>
      <c r="W27" s="40" t="s">
        <v>62</v>
      </c>
      <c r="Y27" s="109">
        <f t="shared" si="8"/>
        <v>0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0</v>
      </c>
      <c r="AG27" s="108">
        <f t="shared" si="3"/>
        <v>0</v>
      </c>
      <c r="AH27" s="108">
        <f t="shared" si="4"/>
        <v>0</v>
      </c>
      <c r="AI27" s="108">
        <f t="shared" si="10"/>
        <v>0</v>
      </c>
      <c r="AJ27" s="108">
        <f t="shared" si="5"/>
        <v>0</v>
      </c>
      <c r="AK27" s="108">
        <f t="shared" si="6"/>
        <v>0</v>
      </c>
      <c r="AL27" s="108">
        <f t="shared" si="7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1</v>
      </c>
      <c r="H28" s="367" t="s">
        <v>9</v>
      </c>
      <c r="I28" s="440">
        <v>1</v>
      </c>
      <c r="J28" s="369">
        <f t="shared" si="0"/>
        <v>3</v>
      </c>
      <c r="K28" s="363">
        <f t="shared" si="1"/>
        <v>1</v>
      </c>
      <c r="L28" s="363">
        <f t="shared" si="2"/>
        <v>1</v>
      </c>
      <c r="M28" s="352"/>
      <c r="N28" s="352"/>
      <c r="O28" s="398" t="s">
        <v>20</v>
      </c>
      <c r="P28" s="399">
        <f>SUMIF($D$8:$D$55,$O28,$G$8:$G$55)+SUMIF($F$8:$F$55,$O28,$I$8:$I$55)</f>
        <v>2</v>
      </c>
      <c r="Q28" s="399">
        <f>SUMIF($D$8:$D$55,$O28,$I$8:$I$55)+SUMIF($F$8:$F$55,$O28,$G$8:$G$55)</f>
        <v>3</v>
      </c>
      <c r="R28" s="399">
        <f>P28-Q28</f>
        <v>-1</v>
      </c>
      <c r="S28" s="400">
        <f>SUMIF($D$8:$D$55,$O28,$K$8:$K$55)+SUMIF($F$8:$F$55,$O28,$L$8:$L$55)</f>
        <v>2</v>
      </c>
      <c r="T28" s="445" t="s">
        <v>64</v>
      </c>
      <c r="U28" s="40"/>
      <c r="V28" s="40" t="str">
        <f>O28</f>
        <v>Costa Rica</v>
      </c>
      <c r="W28" s="40" t="s">
        <v>63</v>
      </c>
      <c r="Y28" s="109">
        <f t="shared" si="8"/>
        <v>1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1</v>
      </c>
      <c r="AG28" s="108">
        <f t="shared" si="3"/>
        <v>0</v>
      </c>
      <c r="AH28" s="108">
        <f t="shared" si="4"/>
        <v>1</v>
      </c>
      <c r="AI28" s="108">
        <f t="shared" si="10"/>
        <v>0</v>
      </c>
      <c r="AJ28" s="108">
        <f t="shared" si="5"/>
        <v>0</v>
      </c>
      <c r="AK28" s="108">
        <f t="shared" si="6"/>
        <v>0</v>
      </c>
      <c r="AL28" s="108">
        <f t="shared" si="7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0</v>
      </c>
      <c r="H29" s="373" t="s">
        <v>9</v>
      </c>
      <c r="I29" s="441">
        <v>2</v>
      </c>
      <c r="J29" s="375">
        <f t="shared" si="0"/>
        <v>2</v>
      </c>
      <c r="K29" s="363">
        <f t="shared" si="1"/>
        <v>0</v>
      </c>
      <c r="L29" s="363">
        <f t="shared" si="2"/>
        <v>3</v>
      </c>
      <c r="M29" s="352"/>
      <c r="N29" s="352"/>
      <c r="O29" s="398" t="s">
        <v>21</v>
      </c>
      <c r="P29" s="399">
        <f>SUMIF($D$8:$D$55,$O29,$G$8:$G$55)+SUMIF($F$8:$F$55,$O29,$I$8:$I$55)</f>
        <v>4</v>
      </c>
      <c r="Q29" s="399">
        <f>SUMIF($D$8:$D$55,$O29,$I$8:$I$55)+SUMIF($F$8:$F$55,$O29,$G$8:$G$55)</f>
        <v>1</v>
      </c>
      <c r="R29" s="399">
        <f>P29-Q29</f>
        <v>3</v>
      </c>
      <c r="S29" s="400">
        <f>SUMIF($D$8:$D$55,$O29,$K$8:$K$55)+SUMIF($F$8:$F$55,$O29,$L$8:$L$55)</f>
        <v>7</v>
      </c>
      <c r="T29" s="445" t="s">
        <v>62</v>
      </c>
      <c r="U29" s="40"/>
      <c r="V29" s="40" t="str">
        <f>O29</f>
        <v>Engeland</v>
      </c>
      <c r="W29" s="40" t="s">
        <v>64</v>
      </c>
      <c r="Y29" s="109">
        <f t="shared" si="8"/>
        <v>0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0</v>
      </c>
      <c r="AG29" s="108">
        <f t="shared" si="3"/>
        <v>0</v>
      </c>
      <c r="AH29" s="108">
        <f t="shared" si="4"/>
        <v>0</v>
      </c>
      <c r="AI29" s="108">
        <f t="shared" si="10"/>
        <v>0</v>
      </c>
      <c r="AJ29" s="108">
        <f t="shared" si="5"/>
        <v>0</v>
      </c>
      <c r="AK29" s="108">
        <f t="shared" si="6"/>
        <v>0</v>
      </c>
      <c r="AL29" s="108">
        <f t="shared" si="7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3</v>
      </c>
      <c r="H30" s="379" t="s">
        <v>9</v>
      </c>
      <c r="I30" s="442">
        <v>2</v>
      </c>
      <c r="J30" s="381">
        <f t="shared" si="0"/>
        <v>1</v>
      </c>
      <c r="K30" s="363">
        <f t="shared" si="1"/>
        <v>3</v>
      </c>
      <c r="L30" s="363">
        <f t="shared" si="2"/>
        <v>0</v>
      </c>
      <c r="M30" s="352"/>
      <c r="N30" s="352"/>
      <c r="O30" s="401" t="s">
        <v>22</v>
      </c>
      <c r="P30" s="402">
        <f>SUMIF($D$8:$D$55,$O30,$G$8:$G$55)+SUMIF($F$8:$F$55,$O30,$I$8:$I$55)</f>
        <v>4</v>
      </c>
      <c r="Q30" s="402">
        <f>SUMIF($D$8:$D$55,$O30,$I$8:$I$55)+SUMIF($F$8:$F$55,$O30,$G$8:$G$55)</f>
        <v>4</v>
      </c>
      <c r="R30" s="402">
        <f>P30-Q30</f>
        <v>0</v>
      </c>
      <c r="S30" s="403">
        <f>SUMIF($D$8:$D$55,$O30,$K$8:$K$55)+SUMIF($F$8:$F$55,$O30,$L$8:$L$55)</f>
        <v>3</v>
      </c>
      <c r="T30" s="446" t="s">
        <v>63</v>
      </c>
      <c r="U30" s="40"/>
      <c r="V30" s="40" t="str">
        <f>O30</f>
        <v>Italië</v>
      </c>
      <c r="W30" s="40" t="s">
        <v>65</v>
      </c>
      <c r="Y30" s="109">
        <f t="shared" si="8"/>
        <v>0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0</v>
      </c>
      <c r="AG30" s="108">
        <f t="shared" si="3"/>
        <v>0</v>
      </c>
      <c r="AH30" s="108">
        <f t="shared" si="4"/>
        <v>0</v>
      </c>
      <c r="AI30" s="108">
        <f t="shared" si="10"/>
        <v>0</v>
      </c>
      <c r="AJ30" s="108">
        <f t="shared" si="5"/>
        <v>0</v>
      </c>
      <c r="AK30" s="108">
        <f t="shared" si="6"/>
        <v>0</v>
      </c>
      <c r="AL30" s="108">
        <f t="shared" si="7"/>
        <v>0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1</v>
      </c>
      <c r="H31" s="367" t="s">
        <v>9</v>
      </c>
      <c r="I31" s="440">
        <v>1</v>
      </c>
      <c r="J31" s="369">
        <f t="shared" si="0"/>
        <v>3</v>
      </c>
      <c r="K31" s="363">
        <f t="shared" si="1"/>
        <v>1</v>
      </c>
      <c r="L31" s="363">
        <f t="shared" si="2"/>
        <v>1</v>
      </c>
      <c r="M31" s="352"/>
      <c r="N31" s="352"/>
      <c r="O31" s="392"/>
      <c r="P31" s="393"/>
      <c r="Q31" s="393"/>
      <c r="R31" s="393"/>
      <c r="S31" s="393"/>
      <c r="T31" s="393"/>
      <c r="U31" s="40"/>
      <c r="V31" s="40"/>
      <c r="W31" s="40"/>
      <c r="Y31" s="109">
        <f t="shared" si="8"/>
        <v>1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1</v>
      </c>
      <c r="AG31" s="108">
        <f t="shared" si="3"/>
        <v>0</v>
      </c>
      <c r="AH31" s="108">
        <f t="shared" si="4"/>
        <v>1</v>
      </c>
      <c r="AI31" s="108">
        <f t="shared" si="10"/>
        <v>0</v>
      </c>
      <c r="AJ31" s="108">
        <f t="shared" si="5"/>
        <v>0</v>
      </c>
      <c r="AK31" s="108">
        <f t="shared" si="6"/>
        <v>0</v>
      </c>
      <c r="AL31" s="108">
        <f t="shared" si="7"/>
        <v>0</v>
      </c>
      <c r="AN31" s="40"/>
      <c r="AO31" s="41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1</v>
      </c>
      <c r="H32" s="373" t="s">
        <v>9</v>
      </c>
      <c r="I32" s="441">
        <v>1</v>
      </c>
      <c r="J32" s="375">
        <f t="shared" si="0"/>
        <v>3</v>
      </c>
      <c r="K32" s="363">
        <f t="shared" si="1"/>
        <v>1</v>
      </c>
      <c r="L32" s="363">
        <f t="shared" si="2"/>
        <v>1</v>
      </c>
      <c r="M32" s="352"/>
      <c r="N32" s="352"/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40"/>
      <c r="V32" s="40"/>
      <c r="W32" s="40"/>
      <c r="Y32" s="109">
        <f t="shared" si="8"/>
        <v>0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0</v>
      </c>
      <c r="AG32" s="108">
        <f t="shared" si="3"/>
        <v>0</v>
      </c>
      <c r="AH32" s="108">
        <f t="shared" si="4"/>
        <v>0</v>
      </c>
      <c r="AI32" s="108">
        <f t="shared" si="10"/>
        <v>0</v>
      </c>
      <c r="AJ32" s="108">
        <f t="shared" si="5"/>
        <v>0</v>
      </c>
      <c r="AK32" s="108">
        <f t="shared" si="6"/>
        <v>0</v>
      </c>
      <c r="AL32" s="108">
        <f t="shared" si="7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1</v>
      </c>
      <c r="H33" s="379" t="s">
        <v>9</v>
      </c>
      <c r="I33" s="442">
        <v>1</v>
      </c>
      <c r="J33" s="381">
        <f t="shared" si="0"/>
        <v>3</v>
      </c>
      <c r="K33" s="363">
        <f t="shared" si="1"/>
        <v>1</v>
      </c>
      <c r="L33" s="363">
        <f t="shared" si="2"/>
        <v>1</v>
      </c>
      <c r="M33" s="352"/>
      <c r="N33" s="352"/>
      <c r="O33" s="394" t="s">
        <v>25</v>
      </c>
      <c r="P33" s="395">
        <f>SUMIF($D$8:$D$55,$O33,$G$8:$G$55)+SUMIF($F$8:$F$55,$O33,$I$8:$I$55)</f>
        <v>7</v>
      </c>
      <c r="Q33" s="395">
        <f>SUMIF($D$8:$D$55,$O33,$I$8:$I$55)+SUMIF($F$8:$F$55,$O33,$G$8:$G$55)</f>
        <v>4</v>
      </c>
      <c r="R33" s="396">
        <f>P33-Q33</f>
        <v>3</v>
      </c>
      <c r="S33" s="397">
        <f>SUMIF($D$8:$D$55,$O33,$K$8:$K$55)+SUMIF($F$8:$F$55,$O33,$L$8:$L$55)</f>
        <v>4</v>
      </c>
      <c r="T33" s="444" t="s">
        <v>68</v>
      </c>
      <c r="U33" s="40"/>
      <c r="V33" s="40" t="str">
        <f>O33</f>
        <v>Zwitserland</v>
      </c>
      <c r="W33" s="40" t="s">
        <v>67</v>
      </c>
      <c r="Y33" s="109">
        <f t="shared" si="8"/>
        <v>1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1</v>
      </c>
      <c r="AG33" s="108">
        <f t="shared" si="3"/>
        <v>1</v>
      </c>
      <c r="AH33" s="108">
        <f t="shared" si="4"/>
        <v>0</v>
      </c>
      <c r="AI33" s="108">
        <f t="shared" si="10"/>
        <v>0</v>
      </c>
      <c r="AJ33" s="108">
        <f t="shared" si="5"/>
        <v>0</v>
      </c>
      <c r="AK33" s="108">
        <f t="shared" si="6"/>
        <v>0</v>
      </c>
      <c r="AL33" s="108">
        <f t="shared" si="7"/>
        <v>0</v>
      </c>
      <c r="AM33" s="120">
        <f>AO33</f>
        <v>10</v>
      </c>
      <c r="AN33" s="116" t="s">
        <v>25</v>
      </c>
      <c r="AO33" s="115">
        <f>IF(Uitslag!T33="",0,IF(T33=Uitslag!T33,10,0))</f>
        <v>10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6</v>
      </c>
      <c r="H34" s="367" t="s">
        <v>9</v>
      </c>
      <c r="I34" s="440">
        <v>0</v>
      </c>
      <c r="J34" s="369">
        <f t="shared" si="0"/>
        <v>1</v>
      </c>
      <c r="K34" s="363">
        <f t="shared" si="1"/>
        <v>3</v>
      </c>
      <c r="L34" s="363">
        <f t="shared" si="2"/>
        <v>0</v>
      </c>
      <c r="M34" s="352"/>
      <c r="N34" s="352"/>
      <c r="O34" s="398" t="s">
        <v>26</v>
      </c>
      <c r="P34" s="399">
        <f>SUMIF($D$8:$D$55,$O34,$G$8:$G$55)+SUMIF($F$8:$F$55,$O34,$I$8:$I$55)</f>
        <v>3</v>
      </c>
      <c r="Q34" s="399">
        <f>SUMIF($D$8:$D$55,$O34,$I$8:$I$55)+SUMIF($F$8:$F$55,$O34,$G$8:$G$55)</f>
        <v>4</v>
      </c>
      <c r="R34" s="399">
        <f>P34-Q34</f>
        <v>-1</v>
      </c>
      <c r="S34" s="400">
        <f>SUMIF($D$8:$D$55,$O34,$K$8:$K$55)+SUMIF($F$8:$F$55,$O34,$L$8:$L$55)</f>
        <v>4</v>
      </c>
      <c r="T34" s="445" t="s">
        <v>69</v>
      </c>
      <c r="U34" s="40"/>
      <c r="V34" s="40" t="str">
        <f>O34</f>
        <v>Ecuador</v>
      </c>
      <c r="W34" s="40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3"/>
        <v>0</v>
      </c>
      <c r="AH34" s="108">
        <f t="shared" si="4"/>
        <v>1</v>
      </c>
      <c r="AI34" s="108">
        <f t="shared" si="10"/>
        <v>0</v>
      </c>
      <c r="AJ34" s="108">
        <f t="shared" si="5"/>
        <v>5</v>
      </c>
      <c r="AK34" s="108">
        <f t="shared" si="6"/>
        <v>0</v>
      </c>
      <c r="AL34" s="108">
        <f t="shared" si="7"/>
        <v>0</v>
      </c>
      <c r="AM34" s="120">
        <f>AO34</f>
        <v>10</v>
      </c>
      <c r="AN34" s="117" t="s">
        <v>26</v>
      </c>
      <c r="AO34" s="115">
        <f>IF(Uitslag!T34="",0,IF(T34=Uitslag!T34,10,0))</f>
        <v>10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1</v>
      </c>
      <c r="H35" s="373" t="s">
        <v>9</v>
      </c>
      <c r="I35" s="441">
        <v>1</v>
      </c>
      <c r="J35" s="375">
        <f t="shared" si="0"/>
        <v>3</v>
      </c>
      <c r="K35" s="363">
        <f t="shared" si="1"/>
        <v>1</v>
      </c>
      <c r="L35" s="363">
        <f t="shared" si="2"/>
        <v>1</v>
      </c>
      <c r="M35" s="352"/>
      <c r="N35" s="352"/>
      <c r="O35" s="398" t="s">
        <v>27</v>
      </c>
      <c r="P35" s="399">
        <f>SUMIF($D$8:$D$55,$O35,$G$8:$G$55)+SUMIF($F$8:$F$55,$O35,$I$8:$I$55)</f>
        <v>8</v>
      </c>
      <c r="Q35" s="399">
        <f>SUMIF($D$8:$D$55,$O35,$I$8:$I$55)+SUMIF($F$8:$F$55,$O35,$G$8:$G$55)</f>
        <v>1</v>
      </c>
      <c r="R35" s="399">
        <f>P35-Q35</f>
        <v>7</v>
      </c>
      <c r="S35" s="400">
        <f>SUMIF($D$8:$D$55,$O35,$K$8:$K$55)+SUMIF($F$8:$F$55,$O35,$L$8:$L$55)</f>
        <v>7</v>
      </c>
      <c r="T35" s="445" t="s">
        <v>67</v>
      </c>
      <c r="U35" s="40"/>
      <c r="V35" s="40" t="str">
        <f>O35</f>
        <v>Frankrijk</v>
      </c>
      <c r="W35" s="40" t="s">
        <v>69</v>
      </c>
      <c r="Y35" s="109">
        <f t="shared" si="8"/>
        <v>5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5</v>
      </c>
      <c r="AG35" s="108">
        <f t="shared" si="3"/>
        <v>0</v>
      </c>
      <c r="AH35" s="108">
        <f t="shared" si="4"/>
        <v>0</v>
      </c>
      <c r="AI35" s="108">
        <f t="shared" si="10"/>
        <v>0</v>
      </c>
      <c r="AJ35" s="108">
        <f t="shared" si="5"/>
        <v>0</v>
      </c>
      <c r="AK35" s="108">
        <f t="shared" si="6"/>
        <v>0</v>
      </c>
      <c r="AL35" s="108">
        <f t="shared" si="7"/>
        <v>5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3</v>
      </c>
      <c r="H36" s="379" t="s">
        <v>9</v>
      </c>
      <c r="I36" s="442">
        <v>1</v>
      </c>
      <c r="J36" s="381">
        <f t="shared" si="0"/>
        <v>1</v>
      </c>
      <c r="K36" s="363">
        <f t="shared" si="1"/>
        <v>3</v>
      </c>
      <c r="L36" s="363">
        <f t="shared" si="2"/>
        <v>0</v>
      </c>
      <c r="M36" s="352"/>
      <c r="N36" s="352"/>
      <c r="O36" s="401" t="s">
        <v>28</v>
      </c>
      <c r="P36" s="402">
        <f>SUMIF($D$8:$D$55,$O36,$G$8:$G$55)+SUMIF($F$8:$F$55,$O36,$I$8:$I$55)</f>
        <v>2</v>
      </c>
      <c r="Q36" s="402">
        <f>SUMIF($D$8:$D$55,$O36,$I$8:$I$55)+SUMIF($F$8:$F$55,$O36,$G$8:$G$55)</f>
        <v>11</v>
      </c>
      <c r="R36" s="402">
        <f>P36-Q36</f>
        <v>-9</v>
      </c>
      <c r="S36" s="403">
        <f>SUMIF($D$8:$D$55,$O36,$K$8:$K$55)+SUMIF($F$8:$F$55,$O36,$L$8:$L$55)</f>
        <v>1</v>
      </c>
      <c r="T36" s="446" t="s">
        <v>70</v>
      </c>
      <c r="U36" s="40"/>
      <c r="V36" s="40" t="str">
        <f>O36</f>
        <v>Honduras</v>
      </c>
      <c r="W36" s="40" t="s">
        <v>70</v>
      </c>
      <c r="Y36" s="109">
        <f t="shared" si="8"/>
        <v>5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5</v>
      </c>
      <c r="AG36" s="108">
        <f t="shared" si="3"/>
        <v>0</v>
      </c>
      <c r="AH36" s="108">
        <f t="shared" si="4"/>
        <v>0</v>
      </c>
      <c r="AI36" s="108">
        <f t="shared" si="10"/>
        <v>0</v>
      </c>
      <c r="AJ36" s="108">
        <f t="shared" si="5"/>
        <v>5</v>
      </c>
      <c r="AK36" s="108">
        <f t="shared" si="6"/>
        <v>0</v>
      </c>
      <c r="AL36" s="108">
        <f t="shared" si="7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3</v>
      </c>
      <c r="H37" s="367" t="s">
        <v>9</v>
      </c>
      <c r="I37" s="440">
        <v>1</v>
      </c>
      <c r="J37" s="369">
        <f t="shared" si="0"/>
        <v>1</v>
      </c>
      <c r="K37" s="363">
        <f t="shared" si="1"/>
        <v>3</v>
      </c>
      <c r="L37" s="363">
        <f t="shared" si="2"/>
        <v>0</v>
      </c>
      <c r="M37" s="352"/>
      <c r="N37" s="352"/>
      <c r="O37" s="392"/>
      <c r="P37" s="393"/>
      <c r="Q37" s="393"/>
      <c r="R37" s="393"/>
      <c r="S37" s="393"/>
      <c r="T37" s="393"/>
      <c r="U37" s="40"/>
      <c r="V37" s="40"/>
      <c r="W37" s="40"/>
      <c r="Y37" s="109">
        <f t="shared" si="8"/>
        <v>5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5</v>
      </c>
      <c r="AG37" s="108">
        <f t="shared" si="3"/>
        <v>0</v>
      </c>
      <c r="AH37" s="108">
        <f t="shared" si="4"/>
        <v>0</v>
      </c>
      <c r="AI37" s="108">
        <f t="shared" si="10"/>
        <v>0</v>
      </c>
      <c r="AJ37" s="108">
        <f t="shared" si="5"/>
        <v>5</v>
      </c>
      <c r="AK37" s="108">
        <f t="shared" si="6"/>
        <v>0</v>
      </c>
      <c r="AL37" s="108">
        <f t="shared" si="7"/>
        <v>0</v>
      </c>
      <c r="AN37" s="40"/>
      <c r="AO37" s="41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2</v>
      </c>
      <c r="H38" s="373" t="s">
        <v>9</v>
      </c>
      <c r="I38" s="441">
        <v>1</v>
      </c>
      <c r="J38" s="375">
        <f t="shared" si="0"/>
        <v>1</v>
      </c>
      <c r="K38" s="363">
        <f t="shared" si="1"/>
        <v>3</v>
      </c>
      <c r="L38" s="363">
        <f t="shared" si="2"/>
        <v>0</v>
      </c>
      <c r="M38" s="352"/>
      <c r="N38" s="352"/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40"/>
      <c r="V38" s="40"/>
      <c r="W38" s="40"/>
      <c r="Y38" s="109">
        <f t="shared" si="8"/>
        <v>1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1</v>
      </c>
      <c r="AG38" s="108">
        <f t="shared" si="3"/>
        <v>1</v>
      </c>
      <c r="AH38" s="108">
        <f t="shared" si="4"/>
        <v>0</v>
      </c>
      <c r="AI38" s="108">
        <f t="shared" si="10"/>
        <v>0</v>
      </c>
      <c r="AJ38" s="108">
        <f t="shared" si="5"/>
        <v>0</v>
      </c>
      <c r="AK38" s="108">
        <f t="shared" si="6"/>
        <v>0</v>
      </c>
      <c r="AL38" s="108">
        <f t="shared" si="7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1</v>
      </c>
      <c r="H39" s="379" t="s">
        <v>9</v>
      </c>
      <c r="I39" s="442">
        <v>1</v>
      </c>
      <c r="J39" s="381">
        <f t="shared" si="0"/>
        <v>3</v>
      </c>
      <c r="K39" s="363">
        <f t="shared" si="1"/>
        <v>1</v>
      </c>
      <c r="L39" s="363">
        <f t="shared" si="2"/>
        <v>1</v>
      </c>
      <c r="M39" s="352"/>
      <c r="N39" s="352"/>
      <c r="O39" s="394" t="s">
        <v>29</v>
      </c>
      <c r="P39" s="395">
        <f>SUMIF($D$8:$D$55,$O39,$G$8:$G$55)+SUMIF($F$8:$F$55,$O39,$I$8:$I$55)</f>
        <v>9</v>
      </c>
      <c r="Q39" s="395">
        <f>SUMIF($D$8:$D$55,$O39,$I$8:$I$55)+SUMIF($F$8:$F$55,$O39,$G$8:$G$55)</f>
        <v>2</v>
      </c>
      <c r="R39" s="396">
        <f>P39-Q39</f>
        <v>7</v>
      </c>
      <c r="S39" s="397">
        <f>SUMIF($D$8:$D$55,$O39,$K$8:$K$55)+SUMIF($F$8:$F$55,$O39,$L$8:$L$55)</f>
        <v>7</v>
      </c>
      <c r="T39" s="444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5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5</v>
      </c>
      <c r="AG39" s="108">
        <f t="shared" si="3"/>
        <v>0</v>
      </c>
      <c r="AH39" s="108">
        <f t="shared" si="4"/>
        <v>0</v>
      </c>
      <c r="AI39" s="108">
        <f t="shared" si="10"/>
        <v>0</v>
      </c>
      <c r="AJ39" s="108">
        <f t="shared" si="5"/>
        <v>0</v>
      </c>
      <c r="AK39" s="108">
        <f t="shared" si="6"/>
        <v>0</v>
      </c>
      <c r="AL39" s="108">
        <f t="shared" si="7"/>
        <v>5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0</v>
      </c>
      <c r="H40" s="367" t="s">
        <v>9</v>
      </c>
      <c r="I40" s="440">
        <v>2</v>
      </c>
      <c r="J40" s="369">
        <f t="shared" si="0"/>
        <v>2</v>
      </c>
      <c r="K40" s="363">
        <f t="shared" si="1"/>
        <v>0</v>
      </c>
      <c r="L40" s="363">
        <f t="shared" si="2"/>
        <v>3</v>
      </c>
      <c r="M40" s="352"/>
      <c r="N40" s="352"/>
      <c r="O40" s="398" t="s">
        <v>30</v>
      </c>
      <c r="P40" s="399">
        <f>SUMIF($D$8:$D$55,$O40,$G$8:$G$55)+SUMIF($F$8:$F$55,$O40,$I$8:$I$55)</f>
        <v>4</v>
      </c>
      <c r="Q40" s="399">
        <f>SUMIF($D$8:$D$55,$O40,$I$8:$I$55)+SUMIF($F$8:$F$55,$O40,$G$8:$G$55)</f>
        <v>4</v>
      </c>
      <c r="R40" s="399">
        <f>P40-Q40</f>
        <v>0</v>
      </c>
      <c r="S40" s="400">
        <f>SUMIF($D$8:$D$55,$O40,$K$8:$K$55)+SUMIF($F$8:$F$55,$O40,$L$8:$L$55)</f>
        <v>4</v>
      </c>
      <c r="T40" s="445" t="s">
        <v>74</v>
      </c>
      <c r="U40" s="40"/>
      <c r="V40" s="40" t="str">
        <f>O40</f>
        <v>Bosnië H.</v>
      </c>
      <c r="W40" s="40" t="s">
        <v>73</v>
      </c>
      <c r="Y40" s="109">
        <f t="shared" si="8"/>
        <v>6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6</v>
      </c>
      <c r="AG40" s="108">
        <f t="shared" si="3"/>
        <v>1</v>
      </c>
      <c r="AH40" s="108">
        <f t="shared" si="4"/>
        <v>0</v>
      </c>
      <c r="AI40" s="108">
        <f t="shared" si="10"/>
        <v>0</v>
      </c>
      <c r="AJ40" s="108">
        <f t="shared" si="5"/>
        <v>0</v>
      </c>
      <c r="AK40" s="108">
        <f t="shared" si="6"/>
        <v>5</v>
      </c>
      <c r="AL40" s="108">
        <f t="shared" si="7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2</v>
      </c>
      <c r="H41" s="373" t="s">
        <v>9</v>
      </c>
      <c r="I41" s="441">
        <v>0</v>
      </c>
      <c r="J41" s="375">
        <f t="shared" si="0"/>
        <v>1</v>
      </c>
      <c r="K41" s="363">
        <f t="shared" si="1"/>
        <v>3</v>
      </c>
      <c r="L41" s="363">
        <f t="shared" si="2"/>
        <v>0</v>
      </c>
      <c r="M41" s="352"/>
      <c r="N41" s="352"/>
      <c r="O41" s="398" t="s">
        <v>33</v>
      </c>
      <c r="P41" s="399">
        <f>SUMIF($D$8:$D$55,$O41,$G$8:$G$55)+SUMIF($F$8:$F$55,$O41,$I$8:$I$55)</f>
        <v>1</v>
      </c>
      <c r="Q41" s="399">
        <f>SUMIF($D$8:$D$55,$O41,$I$8:$I$55)+SUMIF($F$8:$F$55,$O41,$G$8:$G$55)</f>
        <v>11</v>
      </c>
      <c r="R41" s="399">
        <f>P41-Q41</f>
        <v>-10</v>
      </c>
      <c r="S41" s="400">
        <f>SUMIF($D$8:$D$55,$O41,$K$8:$K$55)+SUMIF($F$8:$F$55,$O41,$L$8:$L$55)</f>
        <v>0</v>
      </c>
      <c r="T41" s="445" t="s">
        <v>75</v>
      </c>
      <c r="U41" s="40"/>
      <c r="V41" s="40" t="str">
        <f>O41</f>
        <v>Iran</v>
      </c>
      <c r="W41" s="40" t="s">
        <v>74</v>
      </c>
      <c r="Y41" s="109">
        <f t="shared" si="8"/>
        <v>10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10</v>
      </c>
      <c r="AG41" s="108">
        <f t="shared" si="3"/>
        <v>1</v>
      </c>
      <c r="AH41" s="108">
        <f t="shared" si="4"/>
        <v>1</v>
      </c>
      <c r="AI41" s="108">
        <f t="shared" si="10"/>
        <v>10</v>
      </c>
      <c r="AJ41" s="108">
        <f t="shared" si="5"/>
        <v>5</v>
      </c>
      <c r="AK41" s="108">
        <f t="shared" si="6"/>
        <v>0</v>
      </c>
      <c r="AL41" s="108">
        <f t="shared" si="7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1</v>
      </c>
      <c r="H42" s="373" t="s">
        <v>9</v>
      </c>
      <c r="I42" s="441">
        <v>4</v>
      </c>
      <c r="J42" s="375">
        <f t="shared" si="0"/>
        <v>2</v>
      </c>
      <c r="K42" s="363">
        <f t="shared" si="1"/>
        <v>0</v>
      </c>
      <c r="L42" s="363">
        <f t="shared" si="2"/>
        <v>3</v>
      </c>
      <c r="M42" s="352"/>
      <c r="N42" s="352"/>
      <c r="O42" s="401" t="s">
        <v>34</v>
      </c>
      <c r="P42" s="402">
        <f>SUMIF($D$8:$D$55,$O42,$G$8:$G$55)+SUMIF($F$8:$F$55,$O42,$I$8:$I$55)</f>
        <v>7</v>
      </c>
      <c r="Q42" s="402">
        <f>SUMIF($D$8:$D$55,$O42,$I$8:$I$55)+SUMIF($F$8:$F$55,$O42,$G$8:$G$55)</f>
        <v>4</v>
      </c>
      <c r="R42" s="402">
        <f>P42-Q42</f>
        <v>3</v>
      </c>
      <c r="S42" s="403">
        <f>SUMIF($D$8:$D$55,$O42,$K$8:$K$55)+SUMIF($F$8:$F$55,$O42,$L$8:$L$55)</f>
        <v>6</v>
      </c>
      <c r="T42" s="446" t="s">
        <v>73</v>
      </c>
      <c r="U42" s="40"/>
      <c r="V42" s="40" t="str">
        <f>O42</f>
        <v>Nigeria</v>
      </c>
      <c r="W42" s="40" t="s">
        <v>75</v>
      </c>
      <c r="Y42" s="109">
        <f t="shared" si="8"/>
        <v>10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10</v>
      </c>
      <c r="AG42" s="108">
        <f t="shared" si="3"/>
        <v>1</v>
      </c>
      <c r="AH42" s="108">
        <f t="shared" si="4"/>
        <v>1</v>
      </c>
      <c r="AI42" s="108">
        <f t="shared" si="10"/>
        <v>10</v>
      </c>
      <c r="AJ42" s="108">
        <f t="shared" si="5"/>
        <v>0</v>
      </c>
      <c r="AK42" s="108">
        <f t="shared" si="6"/>
        <v>5</v>
      </c>
      <c r="AL42" s="108">
        <f t="shared" si="7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2</v>
      </c>
      <c r="H43" s="379" t="s">
        <v>9</v>
      </c>
      <c r="I43" s="442">
        <v>1</v>
      </c>
      <c r="J43" s="381">
        <f t="shared" si="0"/>
        <v>1</v>
      </c>
      <c r="K43" s="363">
        <f t="shared" si="1"/>
        <v>3</v>
      </c>
      <c r="L43" s="363">
        <f t="shared" si="2"/>
        <v>0</v>
      </c>
      <c r="M43" s="352"/>
      <c r="N43" s="352"/>
      <c r="O43" s="392"/>
      <c r="P43" s="393"/>
      <c r="Q43" s="393"/>
      <c r="R43" s="393"/>
      <c r="S43" s="393"/>
      <c r="T43" s="393"/>
      <c r="U43" s="40"/>
      <c r="V43" s="40"/>
      <c r="W43" s="40"/>
      <c r="Y43" s="109">
        <f t="shared" si="8"/>
        <v>0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0</v>
      </c>
      <c r="AG43" s="108">
        <f t="shared" si="3"/>
        <v>0</v>
      </c>
      <c r="AH43" s="108">
        <f t="shared" si="4"/>
        <v>0</v>
      </c>
      <c r="AI43" s="108">
        <f t="shared" si="10"/>
        <v>0</v>
      </c>
      <c r="AJ43" s="108">
        <f t="shared" si="5"/>
        <v>0</v>
      </c>
      <c r="AK43" s="108">
        <f t="shared" si="6"/>
        <v>0</v>
      </c>
      <c r="AL43" s="108">
        <f t="shared" si="7"/>
        <v>0</v>
      </c>
      <c r="AN43" s="40"/>
      <c r="AO43" s="41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2</v>
      </c>
      <c r="H44" s="367" t="s">
        <v>9</v>
      </c>
      <c r="I44" s="440">
        <v>2</v>
      </c>
      <c r="J44" s="369">
        <f t="shared" si="0"/>
        <v>3</v>
      </c>
      <c r="K44" s="363">
        <f t="shared" si="1"/>
        <v>1</v>
      </c>
      <c r="L44" s="363">
        <f t="shared" si="2"/>
        <v>1</v>
      </c>
      <c r="M44" s="352"/>
      <c r="N44" s="352"/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40"/>
      <c r="V44" s="40"/>
      <c r="W44" s="40"/>
      <c r="Y44" s="109">
        <f t="shared" si="8"/>
        <v>0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0</v>
      </c>
      <c r="AG44" s="108">
        <f t="shared" si="3"/>
        <v>0</v>
      </c>
      <c r="AH44" s="108">
        <f t="shared" si="4"/>
        <v>0</v>
      </c>
      <c r="AI44" s="108">
        <f t="shared" si="10"/>
        <v>0</v>
      </c>
      <c r="AJ44" s="108">
        <f t="shared" si="5"/>
        <v>0</v>
      </c>
      <c r="AK44" s="108">
        <f t="shared" si="6"/>
        <v>0</v>
      </c>
      <c r="AL44" s="108">
        <f t="shared" si="7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0</v>
      </c>
      <c r="H45" s="373" t="s">
        <v>9</v>
      </c>
      <c r="I45" s="441">
        <v>1</v>
      </c>
      <c r="J45" s="375">
        <f t="shared" si="0"/>
        <v>2</v>
      </c>
      <c r="K45" s="363">
        <f t="shared" si="1"/>
        <v>0</v>
      </c>
      <c r="L45" s="363">
        <f t="shared" si="2"/>
        <v>3</v>
      </c>
      <c r="M45" s="352"/>
      <c r="N45" s="352"/>
      <c r="O45" s="394" t="s">
        <v>31</v>
      </c>
      <c r="P45" s="395">
        <f>SUMIF($D$8:$D$55,$O45,$G$8:$G$55)+SUMIF($F$8:$F$55,$O45,$I$8:$I$55)</f>
        <v>5</v>
      </c>
      <c r="Q45" s="395">
        <f>SUMIF($D$8:$D$55,$O45,$I$8:$I$55)+SUMIF($F$8:$F$55,$O45,$G$8:$G$55)</f>
        <v>3</v>
      </c>
      <c r="R45" s="396">
        <f>P45-Q45</f>
        <v>2</v>
      </c>
      <c r="S45" s="397">
        <f>SUMIF($D$8:$D$55,$O45,$K$8:$K$55)+SUMIF($F$8:$F$55,$O45,$L$8:$L$55)</f>
        <v>5</v>
      </c>
      <c r="T45" s="444" t="s">
        <v>77</v>
      </c>
      <c r="U45" s="40"/>
      <c r="V45" s="40" t="str">
        <f>O45</f>
        <v>Duitsland</v>
      </c>
      <c r="W45" s="40" t="s">
        <v>77</v>
      </c>
      <c r="Y45" s="109">
        <f t="shared" si="8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1</v>
      </c>
      <c r="AG45" s="108">
        <f t="shared" si="3"/>
        <v>1</v>
      </c>
      <c r="AH45" s="108">
        <f t="shared" si="4"/>
        <v>0</v>
      </c>
      <c r="AI45" s="108">
        <f t="shared" si="10"/>
        <v>0</v>
      </c>
      <c r="AJ45" s="108">
        <f t="shared" si="5"/>
        <v>0</v>
      </c>
      <c r="AK45" s="108">
        <f t="shared" si="6"/>
        <v>0</v>
      </c>
      <c r="AL45" s="108">
        <f t="shared" si="7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2</v>
      </c>
      <c r="H46" s="373" t="s">
        <v>9</v>
      </c>
      <c r="I46" s="441">
        <v>2</v>
      </c>
      <c r="J46" s="375">
        <f t="shared" si="0"/>
        <v>3</v>
      </c>
      <c r="K46" s="363">
        <f t="shared" si="1"/>
        <v>1</v>
      </c>
      <c r="L46" s="363">
        <f t="shared" si="2"/>
        <v>1</v>
      </c>
      <c r="M46" s="352"/>
      <c r="N46" s="352"/>
      <c r="O46" s="398" t="s">
        <v>32</v>
      </c>
      <c r="P46" s="399">
        <f>SUMIF($D$8:$D$55,$O46,$G$8:$G$55)+SUMIF($F$8:$F$55,$O46,$I$8:$I$55)</f>
        <v>4</v>
      </c>
      <c r="Q46" s="399">
        <f>SUMIF($D$8:$D$55,$O46,$I$8:$I$55)+SUMIF($F$8:$F$55,$O46,$G$8:$G$55)</f>
        <v>2</v>
      </c>
      <c r="R46" s="399">
        <f>P46-Q46</f>
        <v>2</v>
      </c>
      <c r="S46" s="400">
        <f>SUMIF($D$8:$D$55,$O46,$K$8:$K$55)+SUMIF($F$8:$F$55,$O46,$L$8:$L$55)</f>
        <v>5</v>
      </c>
      <c r="T46" s="445" t="s">
        <v>78</v>
      </c>
      <c r="U46" s="40"/>
      <c r="V46" s="40" t="str">
        <f>O46</f>
        <v>Portugal</v>
      </c>
      <c r="W46" s="40" t="s">
        <v>78</v>
      </c>
      <c r="Y46" s="109">
        <f t="shared" si="8"/>
        <v>0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0</v>
      </c>
      <c r="AG46" s="108">
        <f t="shared" si="3"/>
        <v>0</v>
      </c>
      <c r="AH46" s="108">
        <f t="shared" si="4"/>
        <v>0</v>
      </c>
      <c r="AI46" s="108">
        <f t="shared" si="10"/>
        <v>0</v>
      </c>
      <c r="AJ46" s="108">
        <f t="shared" si="5"/>
        <v>0</v>
      </c>
      <c r="AK46" s="108">
        <f t="shared" si="6"/>
        <v>0</v>
      </c>
      <c r="AL46" s="108">
        <f t="shared" si="7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1</v>
      </c>
      <c r="H47" s="379" t="s">
        <v>9</v>
      </c>
      <c r="I47" s="442">
        <v>2</v>
      </c>
      <c r="J47" s="381">
        <f t="shared" si="0"/>
        <v>2</v>
      </c>
      <c r="K47" s="363">
        <f t="shared" si="1"/>
        <v>0</v>
      </c>
      <c r="L47" s="363">
        <f t="shared" si="2"/>
        <v>3</v>
      </c>
      <c r="M47" s="352"/>
      <c r="N47" s="352"/>
      <c r="O47" s="398" t="s">
        <v>35</v>
      </c>
      <c r="P47" s="399">
        <f>SUMIF($D$8:$D$55,$O47,$G$8:$G$55)+SUMIF($F$8:$F$55,$O47,$I$8:$I$55)</f>
        <v>2</v>
      </c>
      <c r="Q47" s="399">
        <f>SUMIF($D$8:$D$55,$O47,$I$8:$I$55)+SUMIF($F$8:$F$55,$O47,$G$8:$G$55)</f>
        <v>5</v>
      </c>
      <c r="R47" s="399">
        <f>P47-Q47</f>
        <v>-3</v>
      </c>
      <c r="S47" s="400">
        <f>SUMIF($D$8:$D$55,$O47,$K$8:$K$55)+SUMIF($F$8:$F$55,$O47,$L$8:$L$55)</f>
        <v>1</v>
      </c>
      <c r="T47" s="445" t="s">
        <v>80</v>
      </c>
      <c r="U47" s="40"/>
      <c r="V47" s="40" t="str">
        <f>O47</f>
        <v>Ghana</v>
      </c>
      <c r="W47" s="40" t="s">
        <v>79</v>
      </c>
      <c r="Y47" s="109">
        <f t="shared" si="8"/>
        <v>0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0</v>
      </c>
      <c r="AG47" s="108">
        <f t="shared" si="3"/>
        <v>0</v>
      </c>
      <c r="AH47" s="108">
        <f t="shared" si="4"/>
        <v>0</v>
      </c>
      <c r="AI47" s="108">
        <f t="shared" si="10"/>
        <v>0</v>
      </c>
      <c r="AJ47" s="108">
        <f t="shared" si="5"/>
        <v>0</v>
      </c>
      <c r="AK47" s="108">
        <f t="shared" si="6"/>
        <v>0</v>
      </c>
      <c r="AL47" s="108">
        <f t="shared" si="7"/>
        <v>0</v>
      </c>
      <c r="AM47" s="120">
        <f>AO47</f>
        <v>10</v>
      </c>
      <c r="AN47" s="117" t="s">
        <v>35</v>
      </c>
      <c r="AO47" s="115">
        <f>IF(Uitslag!T47="",0,IF(T47=Uitslag!T47,10,0))</f>
        <v>10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1</v>
      </c>
      <c r="H48" s="367" t="s">
        <v>9</v>
      </c>
      <c r="I48" s="440">
        <v>2</v>
      </c>
      <c r="J48" s="369">
        <f t="shared" si="0"/>
        <v>2</v>
      </c>
      <c r="K48" s="363">
        <f t="shared" si="1"/>
        <v>0</v>
      </c>
      <c r="L48" s="363">
        <f t="shared" si="2"/>
        <v>3</v>
      </c>
      <c r="M48" s="352"/>
      <c r="N48" s="352"/>
      <c r="O48" s="401" t="s">
        <v>36</v>
      </c>
      <c r="P48" s="402">
        <f>SUMIF($D$8:$D$55,$O48,$G$8:$G$55)+SUMIF($F$8:$F$55,$O48,$I$8:$I$55)</f>
        <v>4</v>
      </c>
      <c r="Q48" s="402">
        <f>SUMIF($D$8:$D$55,$O48,$I$8:$I$55)+SUMIF($F$8:$F$55,$O48,$G$8:$G$55)</f>
        <v>5</v>
      </c>
      <c r="R48" s="402">
        <f>P48-Q48</f>
        <v>-1</v>
      </c>
      <c r="S48" s="403">
        <f>SUMIF($D$8:$D$55,$O48,$K$8:$K$55)+SUMIF($F$8:$F$55,$O48,$L$8:$L$55)</f>
        <v>4</v>
      </c>
      <c r="T48" s="446" t="s">
        <v>79</v>
      </c>
      <c r="U48" s="40"/>
      <c r="V48" s="40" t="str">
        <f>O48</f>
        <v>Verenigde Staten</v>
      </c>
      <c r="W48" s="40" t="s">
        <v>80</v>
      </c>
      <c r="Y48" s="109">
        <f t="shared" si="8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5</v>
      </c>
      <c r="AG48" s="108">
        <f t="shared" si="3"/>
        <v>0</v>
      </c>
      <c r="AH48" s="108">
        <f t="shared" si="4"/>
        <v>0</v>
      </c>
      <c r="AI48" s="108">
        <f t="shared" si="10"/>
        <v>0</v>
      </c>
      <c r="AJ48" s="108">
        <f t="shared" si="5"/>
        <v>0</v>
      </c>
      <c r="AK48" s="108">
        <f t="shared" si="6"/>
        <v>5</v>
      </c>
      <c r="AL48" s="108">
        <f t="shared" si="7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2</v>
      </c>
      <c r="H49" s="373" t="s">
        <v>9</v>
      </c>
      <c r="I49" s="441">
        <v>0</v>
      </c>
      <c r="J49" s="375">
        <f t="shared" si="0"/>
        <v>1</v>
      </c>
      <c r="K49" s="363">
        <f t="shared" si="1"/>
        <v>3</v>
      </c>
      <c r="L49" s="363">
        <f t="shared" si="2"/>
        <v>0</v>
      </c>
      <c r="M49" s="352"/>
      <c r="N49" s="352"/>
      <c r="O49" s="392"/>
      <c r="P49" s="393"/>
      <c r="Q49" s="393"/>
      <c r="R49" s="393"/>
      <c r="S49" s="393"/>
      <c r="T49" s="393"/>
      <c r="U49" s="40"/>
      <c r="V49" s="40"/>
      <c r="W49" s="40"/>
      <c r="Y49" s="109">
        <f t="shared" si="8"/>
        <v>5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5</v>
      </c>
      <c r="AG49" s="108">
        <f t="shared" si="3"/>
        <v>0</v>
      </c>
      <c r="AH49" s="108">
        <f t="shared" si="4"/>
        <v>0</v>
      </c>
      <c r="AI49" s="108">
        <f t="shared" si="10"/>
        <v>0</v>
      </c>
      <c r="AJ49" s="108">
        <f t="shared" si="5"/>
        <v>5</v>
      </c>
      <c r="AK49" s="108">
        <f t="shared" si="6"/>
        <v>0</v>
      </c>
      <c r="AL49" s="108">
        <f t="shared" si="7"/>
        <v>0</v>
      </c>
      <c r="AN49" s="40"/>
      <c r="AO49" s="41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1</v>
      </c>
      <c r="H50" s="373" t="s">
        <v>9</v>
      </c>
      <c r="I50" s="441">
        <v>5</v>
      </c>
      <c r="J50" s="375">
        <f t="shared" si="0"/>
        <v>2</v>
      </c>
      <c r="K50" s="363">
        <f t="shared" si="1"/>
        <v>0</v>
      </c>
      <c r="L50" s="363">
        <f t="shared" si="2"/>
        <v>3</v>
      </c>
      <c r="M50" s="352"/>
      <c r="N50" s="352"/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40"/>
      <c r="V50" s="40"/>
      <c r="W50" s="40"/>
      <c r="Y50" s="109">
        <f t="shared" si="8"/>
        <v>5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5</v>
      </c>
      <c r="AG50" s="108">
        <f t="shared" si="3"/>
        <v>0</v>
      </c>
      <c r="AH50" s="108">
        <f t="shared" si="4"/>
        <v>0</v>
      </c>
      <c r="AI50" s="108">
        <f t="shared" si="10"/>
        <v>0</v>
      </c>
      <c r="AJ50" s="108">
        <f t="shared" si="5"/>
        <v>0</v>
      </c>
      <c r="AK50" s="108">
        <f t="shared" si="6"/>
        <v>5</v>
      </c>
      <c r="AL50" s="108">
        <f t="shared" si="7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0</v>
      </c>
      <c r="H51" s="379" t="s">
        <v>9</v>
      </c>
      <c r="I51" s="442">
        <v>2</v>
      </c>
      <c r="J51" s="381">
        <f t="shared" si="0"/>
        <v>2</v>
      </c>
      <c r="K51" s="363">
        <f t="shared" si="1"/>
        <v>0</v>
      </c>
      <c r="L51" s="363">
        <f t="shared" si="2"/>
        <v>3</v>
      </c>
      <c r="M51" s="352"/>
      <c r="N51" s="352"/>
      <c r="O51" s="394" t="s">
        <v>37</v>
      </c>
      <c r="P51" s="395">
        <f>SUMIF($D$8:$D$55,$O51,$G$8:$G$55)+SUMIF($F$8:$F$55,$O51,$I$8:$I$55)</f>
        <v>6</v>
      </c>
      <c r="Q51" s="395">
        <f>SUMIF($D$8:$D$55,$O51,$I$8:$I$55)+SUMIF($F$8:$F$55,$O51,$G$8:$G$55)</f>
        <v>3</v>
      </c>
      <c r="R51" s="396">
        <f>P51-Q51</f>
        <v>3</v>
      </c>
      <c r="S51" s="397">
        <f>SUMIF($D$8:$D$55,$O51,$K$8:$K$55)+SUMIF($F$8:$F$55,$O51,$L$8:$L$55)</f>
        <v>7</v>
      </c>
      <c r="T51" s="444" t="s">
        <v>82</v>
      </c>
      <c r="U51" s="40"/>
      <c r="V51" s="40" t="str">
        <f>O51</f>
        <v>België</v>
      </c>
      <c r="W51" s="40" t="s">
        <v>82</v>
      </c>
      <c r="Y51" s="109">
        <f t="shared" si="8"/>
        <v>1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1</v>
      </c>
      <c r="AG51" s="108">
        <f t="shared" si="3"/>
        <v>1</v>
      </c>
      <c r="AH51" s="108">
        <f t="shared" si="4"/>
        <v>0</v>
      </c>
      <c r="AI51" s="108">
        <f t="shared" si="10"/>
        <v>0</v>
      </c>
      <c r="AJ51" s="108">
        <f t="shared" si="5"/>
        <v>0</v>
      </c>
      <c r="AK51" s="108">
        <f t="shared" si="6"/>
        <v>0</v>
      </c>
      <c r="AL51" s="108">
        <f t="shared" si="7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1</v>
      </c>
      <c r="H52" s="373" t="s">
        <v>9</v>
      </c>
      <c r="I52" s="441">
        <v>3</v>
      </c>
      <c r="J52" s="369">
        <f t="shared" si="0"/>
        <v>2</v>
      </c>
      <c r="K52" s="363">
        <f t="shared" si="1"/>
        <v>0</v>
      </c>
      <c r="L52" s="363">
        <f t="shared" si="2"/>
        <v>3</v>
      </c>
      <c r="M52" s="352"/>
      <c r="N52" s="352"/>
      <c r="O52" s="398" t="s">
        <v>38</v>
      </c>
      <c r="P52" s="399">
        <f>SUMIF($D$8:$D$55,$O52,$G$8:$G$55)+SUMIF($F$8:$F$55,$O52,$I$8:$I$55)</f>
        <v>3</v>
      </c>
      <c r="Q52" s="399">
        <f>SUMIF($D$8:$D$55,$O52,$I$8:$I$55)+SUMIF($F$8:$F$55,$O52,$G$8:$G$55)</f>
        <v>6</v>
      </c>
      <c r="R52" s="399">
        <f>P52-Q52</f>
        <v>-3</v>
      </c>
      <c r="S52" s="400">
        <f>SUMIF($D$8:$D$55,$O52,$K$8:$K$55)+SUMIF($F$8:$F$55,$O52,$L$8:$L$55)</f>
        <v>1</v>
      </c>
      <c r="T52" s="445" t="s">
        <v>85</v>
      </c>
      <c r="U52" s="40"/>
      <c r="V52" s="40" t="str">
        <f>O52</f>
        <v>Algerije</v>
      </c>
      <c r="W52" s="40" t="s">
        <v>83</v>
      </c>
      <c r="Y52" s="109">
        <f t="shared" si="8"/>
        <v>5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5</v>
      </c>
      <c r="AG52" s="108">
        <f t="shared" si="3"/>
        <v>0</v>
      </c>
      <c r="AH52" s="108">
        <f t="shared" si="4"/>
        <v>0</v>
      </c>
      <c r="AI52" s="108">
        <f t="shared" si="10"/>
        <v>0</v>
      </c>
      <c r="AJ52" s="108">
        <f t="shared" si="5"/>
        <v>0</v>
      </c>
      <c r="AK52" s="108">
        <f t="shared" si="6"/>
        <v>5</v>
      </c>
      <c r="AL52" s="108">
        <f t="shared" si="7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2</v>
      </c>
      <c r="H53" s="373" t="s">
        <v>9</v>
      </c>
      <c r="I53" s="441">
        <v>0</v>
      </c>
      <c r="J53" s="375">
        <f t="shared" si="0"/>
        <v>1</v>
      </c>
      <c r="K53" s="363">
        <f t="shared" si="1"/>
        <v>3</v>
      </c>
      <c r="L53" s="363">
        <f t="shared" si="2"/>
        <v>0</v>
      </c>
      <c r="M53" s="352"/>
      <c r="N53" s="352"/>
      <c r="O53" s="398" t="s">
        <v>39</v>
      </c>
      <c r="P53" s="399">
        <f>SUMIF($D$8:$D$55,$O53,$G$8:$G$55)+SUMIF($F$8:$F$55,$O53,$I$8:$I$55)</f>
        <v>6</v>
      </c>
      <c r="Q53" s="399">
        <f>SUMIF($D$8:$D$55,$O53,$I$8:$I$55)+SUMIF($F$8:$F$55,$O53,$G$8:$G$55)</f>
        <v>5</v>
      </c>
      <c r="R53" s="399">
        <f>P53-Q53</f>
        <v>1</v>
      </c>
      <c r="S53" s="400">
        <f>SUMIF($D$8:$D$55,$O53,$K$8:$K$55)+SUMIF($F$8:$F$55,$O53,$L$8:$L$55)</f>
        <v>6</v>
      </c>
      <c r="T53" s="445" t="s">
        <v>83</v>
      </c>
      <c r="U53" s="40"/>
      <c r="V53" s="40" t="str">
        <f>O53</f>
        <v>Rusland</v>
      </c>
      <c r="W53" s="40" t="s">
        <v>84</v>
      </c>
      <c r="Y53" s="109">
        <f t="shared" si="8"/>
        <v>6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6</v>
      </c>
      <c r="AG53" s="108">
        <f t="shared" si="3"/>
        <v>1</v>
      </c>
      <c r="AH53" s="108">
        <f t="shared" si="4"/>
        <v>0</v>
      </c>
      <c r="AI53" s="108">
        <f t="shared" si="10"/>
        <v>0</v>
      </c>
      <c r="AJ53" s="108">
        <f t="shared" si="5"/>
        <v>5</v>
      </c>
      <c r="AK53" s="108">
        <f t="shared" si="6"/>
        <v>0</v>
      </c>
      <c r="AL53" s="108">
        <f t="shared" si="7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1</v>
      </c>
      <c r="H54" s="373" t="s">
        <v>9</v>
      </c>
      <c r="I54" s="441">
        <v>2</v>
      </c>
      <c r="J54" s="375">
        <f t="shared" si="0"/>
        <v>2</v>
      </c>
      <c r="K54" s="363">
        <f t="shared" si="1"/>
        <v>0</v>
      </c>
      <c r="L54" s="363">
        <f t="shared" si="2"/>
        <v>3</v>
      </c>
      <c r="M54" s="352"/>
      <c r="N54" s="352"/>
      <c r="O54" s="401" t="s">
        <v>40</v>
      </c>
      <c r="P54" s="402">
        <f>SUMIF($D$8:$D$55,$O54,$G$8:$G$55)+SUMIF($F$8:$F$55,$O54,$I$8:$I$55)</f>
        <v>4</v>
      </c>
      <c r="Q54" s="402">
        <f>SUMIF($D$8:$D$55,$O54,$I$8:$I$55)+SUMIF($F$8:$F$55,$O54,$G$8:$G$55)</f>
        <v>5</v>
      </c>
      <c r="R54" s="402">
        <f>P54-Q54</f>
        <v>-1</v>
      </c>
      <c r="S54" s="403">
        <f>SUMIF($D$8:$D$55,$O54,$K$8:$K$55)+SUMIF($F$8:$F$55,$O54,$L$8:$L$55)</f>
        <v>3</v>
      </c>
      <c r="T54" s="446" t="s">
        <v>84</v>
      </c>
      <c r="U54" s="40"/>
      <c r="V54" s="40" t="str">
        <f>O54</f>
        <v>Zuid Korea</v>
      </c>
      <c r="W54" s="40" t="s">
        <v>85</v>
      </c>
      <c r="Y54" s="109">
        <f t="shared" si="8"/>
        <v>5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5</v>
      </c>
      <c r="AG54" s="108">
        <f t="shared" si="3"/>
        <v>0</v>
      </c>
      <c r="AH54" s="108">
        <f t="shared" si="4"/>
        <v>0</v>
      </c>
      <c r="AI54" s="108">
        <f t="shared" si="10"/>
        <v>0</v>
      </c>
      <c r="AJ54" s="108">
        <f t="shared" si="5"/>
        <v>0</v>
      </c>
      <c r="AK54" s="108">
        <f t="shared" si="6"/>
        <v>5</v>
      </c>
      <c r="AL54" s="108">
        <f t="shared" si="7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1</v>
      </c>
      <c r="H55" s="388" t="s">
        <v>9</v>
      </c>
      <c r="I55" s="443">
        <v>3</v>
      </c>
      <c r="J55" s="390">
        <f t="shared" si="0"/>
        <v>2</v>
      </c>
      <c r="K55" s="363">
        <f t="shared" si="1"/>
        <v>0</v>
      </c>
      <c r="L55" s="363">
        <f t="shared" si="2"/>
        <v>3</v>
      </c>
      <c r="M55" s="352"/>
      <c r="N55" s="352"/>
      <c r="O55" s="392"/>
      <c r="P55" s="393"/>
      <c r="Q55" s="393"/>
      <c r="R55" s="393"/>
      <c r="S55" s="393"/>
      <c r="T55" s="393"/>
      <c r="U55" s="40"/>
      <c r="V55" s="40"/>
      <c r="W55" s="40"/>
      <c r="Y55" s="109">
        <f t="shared" si="8"/>
        <v>1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</v>
      </c>
      <c r="AG55" s="108">
        <f t="shared" si="3"/>
        <v>1</v>
      </c>
      <c r="AH55" s="108">
        <f t="shared" si="4"/>
        <v>0</v>
      </c>
      <c r="AI55" s="108">
        <f t="shared" si="10"/>
        <v>0</v>
      </c>
      <c r="AJ55" s="108">
        <f t="shared" si="5"/>
        <v>0</v>
      </c>
      <c r="AK55" s="108">
        <f t="shared" si="6"/>
        <v>0</v>
      </c>
      <c r="AL55" s="108">
        <f t="shared" si="7"/>
        <v>0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N56" s="352"/>
      <c r="O56" s="352"/>
      <c r="P56" s="352"/>
      <c r="Q56" s="352"/>
      <c r="R56" s="352"/>
      <c r="S56" s="352"/>
      <c r="T56" s="352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27"/>
      <c r="K57" s="353"/>
      <c r="L57" s="353"/>
      <c r="M57" s="353"/>
      <c r="N57" s="352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32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N58" s="352"/>
      <c r="O58" s="458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 t="shared" ref="D59:D66" si="13">IF(ISERROR(Z59),K59,Z59)</f>
        <v>Brazilië</v>
      </c>
      <c r="E59" s="367" t="s">
        <v>9</v>
      </c>
      <c r="F59" s="406" t="str">
        <f t="shared" ref="F59:F66" si="14">IF(ISERROR(AA59),L59,AA59)</f>
        <v>Nederland</v>
      </c>
      <c r="G59" s="435">
        <v>2</v>
      </c>
      <c r="H59" s="367" t="s">
        <v>9</v>
      </c>
      <c r="I59" s="447">
        <v>0</v>
      </c>
      <c r="J59" s="448">
        <v>1</v>
      </c>
      <c r="K59" s="407" t="s">
        <v>48</v>
      </c>
      <c r="L59" s="407" t="s">
        <v>53</v>
      </c>
      <c r="M59" s="407">
        <v>1</v>
      </c>
      <c r="N59" s="352"/>
      <c r="O59" s="458">
        <v>2</v>
      </c>
      <c r="P59" s="877" t="s">
        <v>234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5">AF59</f>
        <v>0</v>
      </c>
      <c r="Z59" t="str">
        <f t="shared" ref="Z59:AA65" si="16">IF(K59=""," ",VLOOKUP(K59,$T$9:$V$54,3,FALSE))</f>
        <v>Brazilië</v>
      </c>
      <c r="AA59" t="str">
        <f t="shared" si="16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7">IF(OR(AC59="",AD59=""),0,(IF(SUM(AG59:AL59)&gt;10,10,SUM(AG59:AL59))))</f>
        <v>0</v>
      </c>
      <c r="AG59" s="108">
        <f t="shared" ref="AG59:AG66" si="18">IF(AC59="",0,(IF(G59=AC59,1,0)))</f>
        <v>0</v>
      </c>
      <c r="AH59" s="108">
        <f t="shared" ref="AH59:AH66" si="19">IF(AD59="",0,(IF(I59=AD59,1,0)))</f>
        <v>0</v>
      </c>
      <c r="AI59" s="108">
        <f t="shared" ref="AI59:AI66" si="20">IF(AND(AG59=1,AH59=1),10,0)</f>
        <v>0</v>
      </c>
      <c r="AJ59" s="108">
        <f t="shared" ref="AJ59:AJ66" si="21">IF(AND(G59&gt;I59,AC59&gt;AD59),5,0)</f>
        <v>0</v>
      </c>
      <c r="AK59" s="108">
        <f t="shared" ref="AK59:AK66" si="22">IF(AND(G59&lt;I59,AC59&lt;AD59),5,0)</f>
        <v>0</v>
      </c>
      <c r="AL59" s="108">
        <f t="shared" ref="AL59:AL66" si="23">IF(AND(G59=I59,AC59=AD59),5,0)</f>
        <v>0</v>
      </c>
      <c r="AZ59" s="138" t="str">
        <f>Uitslag!P59</f>
        <v>Daryl Janmaat (v)</v>
      </c>
      <c r="BA59" s="140">
        <f t="shared" si="12"/>
        <v>0</v>
      </c>
      <c r="BB59" s="139">
        <f t="shared" ref="BB59:BB68" si="24">BA59</f>
        <v>0</v>
      </c>
    </row>
    <row r="60" spans="2:54">
      <c r="B60" s="376">
        <v>50</v>
      </c>
      <c r="C60" s="466">
        <v>41818</v>
      </c>
      <c r="D60" s="460" t="str">
        <f t="shared" si="13"/>
        <v>Ivoorkust</v>
      </c>
      <c r="E60" s="379" t="s">
        <v>9</v>
      </c>
      <c r="F60" s="409" t="str">
        <f t="shared" si="14"/>
        <v>Italië</v>
      </c>
      <c r="G60" s="437">
        <v>1</v>
      </c>
      <c r="H60" s="379" t="s">
        <v>9</v>
      </c>
      <c r="I60" s="449">
        <v>2</v>
      </c>
      <c r="J60" s="450">
        <v>2</v>
      </c>
      <c r="K60" s="407" t="s">
        <v>57</v>
      </c>
      <c r="L60" s="407" t="s">
        <v>63</v>
      </c>
      <c r="M60" s="407">
        <v>2</v>
      </c>
      <c r="N60" s="352"/>
      <c r="O60" s="458">
        <v>3</v>
      </c>
      <c r="P60" s="877" t="s">
        <v>220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5"/>
        <v>0</v>
      </c>
      <c r="Z60" t="str">
        <f t="shared" si="16"/>
        <v>Ivoorkust</v>
      </c>
      <c r="AA60" t="str">
        <f t="shared" si="16"/>
        <v>Italië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7"/>
        <v>0</v>
      </c>
      <c r="AG60" s="108">
        <f t="shared" si="18"/>
        <v>0</v>
      </c>
      <c r="AH60" s="108">
        <f t="shared" si="19"/>
        <v>0</v>
      </c>
      <c r="AI60" s="108">
        <f t="shared" si="20"/>
        <v>0</v>
      </c>
      <c r="AJ60" s="108">
        <f t="shared" si="21"/>
        <v>0</v>
      </c>
      <c r="AK60" s="108">
        <f t="shared" si="22"/>
        <v>0</v>
      </c>
      <c r="AL60" s="108">
        <f t="shared" si="23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4"/>
        <v>3</v>
      </c>
    </row>
    <row r="61" spans="2:54">
      <c r="B61" s="364">
        <v>51</v>
      </c>
      <c r="C61" s="465">
        <v>41819</v>
      </c>
      <c r="D61" s="464" t="str">
        <f t="shared" si="13"/>
        <v>Spanje</v>
      </c>
      <c r="E61" s="367" t="s">
        <v>9</v>
      </c>
      <c r="F61" s="406" t="str">
        <f t="shared" si="14"/>
        <v>Kroatië</v>
      </c>
      <c r="G61" s="435">
        <v>2</v>
      </c>
      <c r="H61" s="367" t="s">
        <v>9</v>
      </c>
      <c r="I61" s="447">
        <v>0</v>
      </c>
      <c r="J61" s="448">
        <v>1</v>
      </c>
      <c r="K61" s="407" t="s">
        <v>52</v>
      </c>
      <c r="L61" s="407" t="s">
        <v>49</v>
      </c>
      <c r="M61" s="407"/>
      <c r="N61" s="352"/>
      <c r="O61" s="458">
        <v>4</v>
      </c>
      <c r="P61" s="877" t="s">
        <v>225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5"/>
        <v>6</v>
      </c>
      <c r="Z61" t="str">
        <f t="shared" si="16"/>
        <v>Spanje</v>
      </c>
      <c r="AA61" t="str">
        <f t="shared" si="16"/>
        <v>Kroatië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7"/>
        <v>6</v>
      </c>
      <c r="AG61" s="108">
        <f t="shared" si="18"/>
        <v>1</v>
      </c>
      <c r="AH61" s="108">
        <f t="shared" si="19"/>
        <v>0</v>
      </c>
      <c r="AI61" s="108">
        <f t="shared" si="20"/>
        <v>0</v>
      </c>
      <c r="AJ61" s="108">
        <f t="shared" si="21"/>
        <v>5</v>
      </c>
      <c r="AK61" s="108">
        <f t="shared" si="22"/>
        <v>0</v>
      </c>
      <c r="AL61" s="108">
        <f t="shared" si="23"/>
        <v>0</v>
      </c>
      <c r="AZ61" s="138" t="str">
        <f>Uitslag!P61</f>
        <v>Ron Vlaar (v)</v>
      </c>
      <c r="BA61" s="140">
        <f t="shared" si="12"/>
        <v>3</v>
      </c>
      <c r="BB61" s="139">
        <f t="shared" si="24"/>
        <v>3</v>
      </c>
    </row>
    <row r="62" spans="2:54">
      <c r="B62" s="376">
        <v>52</v>
      </c>
      <c r="C62" s="466">
        <v>41819</v>
      </c>
      <c r="D62" s="464" t="str">
        <f t="shared" si="13"/>
        <v>Engeland</v>
      </c>
      <c r="E62" s="379" t="s">
        <v>9</v>
      </c>
      <c r="F62" s="409" t="str">
        <f t="shared" si="14"/>
        <v>Japan</v>
      </c>
      <c r="G62" s="437">
        <v>0</v>
      </c>
      <c r="H62" s="379" t="s">
        <v>9</v>
      </c>
      <c r="I62" s="449">
        <v>0</v>
      </c>
      <c r="J62" s="450">
        <v>1</v>
      </c>
      <c r="K62" s="407" t="s">
        <v>62</v>
      </c>
      <c r="L62" s="407" t="s">
        <v>58</v>
      </c>
      <c r="M62" s="407"/>
      <c r="N62" s="352"/>
      <c r="O62" s="458">
        <v>5</v>
      </c>
      <c r="P62" s="877" t="s">
        <v>209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5"/>
        <v>5</v>
      </c>
      <c r="Z62" t="str">
        <f t="shared" si="16"/>
        <v>Engeland</v>
      </c>
      <c r="AA62" t="str">
        <f t="shared" si="16"/>
        <v>Japan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7"/>
        <v>5</v>
      </c>
      <c r="AG62" s="108">
        <f t="shared" si="18"/>
        <v>0</v>
      </c>
      <c r="AH62" s="108">
        <f t="shared" si="19"/>
        <v>0</v>
      </c>
      <c r="AI62" s="108">
        <f t="shared" si="20"/>
        <v>0</v>
      </c>
      <c r="AJ62" s="108">
        <f t="shared" si="21"/>
        <v>0</v>
      </c>
      <c r="AK62" s="108">
        <f t="shared" si="22"/>
        <v>0</v>
      </c>
      <c r="AL62" s="108">
        <f t="shared" si="23"/>
        <v>5</v>
      </c>
      <c r="AZ62" s="138" t="str">
        <f>Uitslag!P62</f>
        <v>Bruno Martins Indi (v)</v>
      </c>
      <c r="BA62" s="140">
        <f t="shared" si="12"/>
        <v>3</v>
      </c>
      <c r="BB62" s="139">
        <f t="shared" si="24"/>
        <v>3</v>
      </c>
    </row>
    <row r="63" spans="2:54">
      <c r="B63" s="364">
        <v>53</v>
      </c>
      <c r="C63" s="465">
        <v>41820</v>
      </c>
      <c r="D63" s="459" t="str">
        <f t="shared" si="13"/>
        <v>Frankrijk</v>
      </c>
      <c r="E63" s="367" t="s">
        <v>9</v>
      </c>
      <c r="F63" s="406" t="str">
        <f t="shared" si="14"/>
        <v>Nigeria</v>
      </c>
      <c r="G63" s="435">
        <v>4</v>
      </c>
      <c r="H63" s="367" t="s">
        <v>9</v>
      </c>
      <c r="I63" s="447">
        <v>0</v>
      </c>
      <c r="J63" s="448">
        <v>1</v>
      </c>
      <c r="K63" s="407" t="s">
        <v>67</v>
      </c>
      <c r="L63" s="407" t="s">
        <v>73</v>
      </c>
      <c r="M63" s="407"/>
      <c r="N63" s="352"/>
      <c r="O63" s="458">
        <v>6</v>
      </c>
      <c r="P63" s="877" t="s">
        <v>214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5"/>
        <v>6</v>
      </c>
      <c r="Z63" t="str">
        <f t="shared" si="16"/>
        <v>Frankrijk</v>
      </c>
      <c r="AA63" t="str">
        <f t="shared" si="16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7"/>
        <v>6</v>
      </c>
      <c r="AG63" s="108">
        <f t="shared" si="18"/>
        <v>0</v>
      </c>
      <c r="AH63" s="108">
        <f t="shared" si="19"/>
        <v>1</v>
      </c>
      <c r="AI63" s="108">
        <f t="shared" si="20"/>
        <v>0</v>
      </c>
      <c r="AJ63" s="108">
        <f t="shared" si="21"/>
        <v>5</v>
      </c>
      <c r="AK63" s="108">
        <f t="shared" si="22"/>
        <v>0</v>
      </c>
      <c r="AL63" s="108">
        <f t="shared" si="23"/>
        <v>0</v>
      </c>
      <c r="AZ63" s="138" t="str">
        <f>Uitslag!P63</f>
        <v>Daley Blind (v)</v>
      </c>
      <c r="BA63" s="140">
        <f t="shared" si="12"/>
        <v>3</v>
      </c>
      <c r="BB63" s="139">
        <f t="shared" si="24"/>
        <v>3</v>
      </c>
    </row>
    <row r="64" spans="2:54">
      <c r="B64" s="376">
        <v>54</v>
      </c>
      <c r="C64" s="466">
        <v>41820</v>
      </c>
      <c r="D64" s="460" t="str">
        <f t="shared" si="13"/>
        <v>Duitsland</v>
      </c>
      <c r="E64" s="379" t="s">
        <v>9</v>
      </c>
      <c r="F64" s="409" t="str">
        <f t="shared" si="14"/>
        <v>Rusland</v>
      </c>
      <c r="G64" s="437">
        <v>2</v>
      </c>
      <c r="H64" s="379" t="s">
        <v>9</v>
      </c>
      <c r="I64" s="449">
        <v>0</v>
      </c>
      <c r="J64" s="450">
        <v>1</v>
      </c>
      <c r="K64" s="407" t="s">
        <v>77</v>
      </c>
      <c r="L64" s="407" t="s">
        <v>83</v>
      </c>
      <c r="M64" s="407"/>
      <c r="N64" s="352"/>
      <c r="O64" s="458">
        <v>7</v>
      </c>
      <c r="P64" s="877" t="s">
        <v>213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5"/>
        <v>1</v>
      </c>
      <c r="Z64" t="str">
        <f t="shared" si="16"/>
        <v>Duitsland</v>
      </c>
      <c r="AA64" t="str">
        <f t="shared" si="16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7"/>
        <v>1</v>
      </c>
      <c r="AG64" s="108">
        <f t="shared" si="18"/>
        <v>0</v>
      </c>
      <c r="AH64" s="108">
        <f t="shared" si="19"/>
        <v>1</v>
      </c>
      <c r="AI64" s="108">
        <f t="shared" si="20"/>
        <v>0</v>
      </c>
      <c r="AJ64" s="108">
        <f t="shared" si="21"/>
        <v>0</v>
      </c>
      <c r="AK64" s="108">
        <f t="shared" si="22"/>
        <v>0</v>
      </c>
      <c r="AL64" s="108">
        <f t="shared" si="23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4"/>
        <v>3</v>
      </c>
    </row>
    <row r="65" spans="2:54">
      <c r="B65" s="370">
        <v>55</v>
      </c>
      <c r="C65" s="467">
        <v>41821</v>
      </c>
      <c r="D65" s="459" t="str">
        <f t="shared" si="13"/>
        <v>Argentinië</v>
      </c>
      <c r="E65" s="373" t="s">
        <v>9</v>
      </c>
      <c r="F65" s="410" t="str">
        <f t="shared" si="14"/>
        <v>Zwitserland</v>
      </c>
      <c r="G65" s="436">
        <v>3</v>
      </c>
      <c r="H65" s="373" t="s">
        <v>9</v>
      </c>
      <c r="I65" s="451">
        <v>1</v>
      </c>
      <c r="J65" s="452">
        <v>1</v>
      </c>
      <c r="K65" s="407" t="s">
        <v>72</v>
      </c>
      <c r="L65" s="407" t="s">
        <v>68</v>
      </c>
      <c r="M65" s="407"/>
      <c r="N65" s="352"/>
      <c r="O65" s="458">
        <v>8</v>
      </c>
      <c r="P65" s="877" t="s">
        <v>226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5"/>
        <v>0</v>
      </c>
      <c r="Z65" t="str">
        <f t="shared" si="16"/>
        <v>Argentinië</v>
      </c>
      <c r="AA65" t="str">
        <f t="shared" si="16"/>
        <v>Zwitserland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7"/>
        <v>0</v>
      </c>
      <c r="AG65" s="108">
        <f t="shared" si="18"/>
        <v>0</v>
      </c>
      <c r="AH65" s="108">
        <f t="shared" si="19"/>
        <v>0</v>
      </c>
      <c r="AI65" s="108">
        <f t="shared" si="20"/>
        <v>0</v>
      </c>
      <c r="AJ65" s="108">
        <f t="shared" si="21"/>
        <v>0</v>
      </c>
      <c r="AK65" s="108">
        <f t="shared" si="22"/>
        <v>0</v>
      </c>
      <c r="AL65" s="108">
        <f t="shared" si="23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4"/>
        <v>3</v>
      </c>
    </row>
    <row r="66" spans="2:54" ht="15.75" thickBot="1">
      <c r="B66" s="385">
        <v>56</v>
      </c>
      <c r="C66" s="462">
        <v>41821</v>
      </c>
      <c r="D66" s="461" t="str">
        <f t="shared" si="13"/>
        <v>België</v>
      </c>
      <c r="E66" s="388" t="s">
        <v>9</v>
      </c>
      <c r="F66" s="412" t="str">
        <f t="shared" si="14"/>
        <v>Portugal</v>
      </c>
      <c r="G66" s="438">
        <v>1</v>
      </c>
      <c r="H66" s="388" t="s">
        <v>9</v>
      </c>
      <c r="I66" s="453">
        <v>2</v>
      </c>
      <c r="J66" s="454">
        <v>2</v>
      </c>
      <c r="K66" s="407" t="s">
        <v>82</v>
      </c>
      <c r="L66" s="407" t="s">
        <v>78</v>
      </c>
      <c r="M66" s="407"/>
      <c r="N66" s="352"/>
      <c r="O66" s="458">
        <v>9</v>
      </c>
      <c r="P66" s="877" t="s">
        <v>216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5"/>
        <v>0</v>
      </c>
      <c r="Z66" t="str">
        <f>IF(K66=""," ",VLOOKUP(K66,$T$9:$V$54,3,FALSE))</f>
        <v>België</v>
      </c>
      <c r="AA66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7"/>
        <v>0</v>
      </c>
      <c r="AG66" s="108">
        <f t="shared" si="18"/>
        <v>0</v>
      </c>
      <c r="AH66" s="108">
        <f t="shared" si="19"/>
        <v>0</v>
      </c>
      <c r="AI66" s="108">
        <f t="shared" si="20"/>
        <v>0</v>
      </c>
      <c r="AJ66" s="108">
        <f t="shared" si="21"/>
        <v>0</v>
      </c>
      <c r="AK66" s="108">
        <f t="shared" si="22"/>
        <v>0</v>
      </c>
      <c r="AL66" s="108">
        <f t="shared" si="23"/>
        <v>0</v>
      </c>
      <c r="AZ66" s="138" t="str">
        <f>Uitslag!P66</f>
        <v>Jonathan de Guzman (m)</v>
      </c>
      <c r="BA66" s="140">
        <f t="shared" si="12"/>
        <v>3</v>
      </c>
      <c r="BB66" s="139">
        <f t="shared" si="24"/>
        <v>3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N67" s="352"/>
      <c r="O67" s="458">
        <v>10</v>
      </c>
      <c r="P67" s="877" t="s">
        <v>235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0</v>
      </c>
      <c r="BB67" s="139">
        <f t="shared" si="24"/>
        <v>0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27"/>
      <c r="K68" s="353"/>
      <c r="L68" s="353"/>
      <c r="M68" s="353"/>
      <c r="N68" s="352"/>
      <c r="O68" s="458">
        <v>11</v>
      </c>
      <c r="P68" s="877" t="s">
        <v>215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4"/>
        <v>3</v>
      </c>
    </row>
    <row r="69" spans="2:54">
      <c r="B69" s="428" t="s">
        <v>1</v>
      </c>
      <c r="C69" s="429" t="s">
        <v>2</v>
      </c>
      <c r="D69" s="430" t="s">
        <v>3</v>
      </c>
      <c r="E69" s="431"/>
      <c r="F69" s="432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N69" s="352"/>
      <c r="O69" s="352"/>
      <c r="P69" s="352"/>
      <c r="Q69" s="352"/>
      <c r="R69" s="352"/>
      <c r="S69" s="352"/>
      <c r="T69" s="352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27</v>
      </c>
      <c r="BB69" s="139" t="str">
        <f>IF(AND(BA69&lt;&gt;"",BA69=33),15,"nvt")</f>
        <v>nvt</v>
      </c>
    </row>
    <row r="70" spans="2:54">
      <c r="B70" s="364">
        <v>57</v>
      </c>
      <c r="C70" s="365">
        <v>41824</v>
      </c>
      <c r="D70" s="405" t="str">
        <f>IF(J63="","Winnaar 53",IF(J63=1,D63,F63))</f>
        <v>Frankrijk</v>
      </c>
      <c r="E70" s="367" t="s">
        <v>9</v>
      </c>
      <c r="F70" s="406" t="str">
        <f>IF(J64="","Winnaar 54",IF(J64=1,D64,F64))</f>
        <v>Duitsland</v>
      </c>
      <c r="G70" s="435">
        <v>1</v>
      </c>
      <c r="H70" s="367" t="s">
        <v>9</v>
      </c>
      <c r="I70" s="447">
        <v>2</v>
      </c>
      <c r="J70" s="448">
        <v>2</v>
      </c>
      <c r="K70" s="353"/>
      <c r="L70" s="353"/>
      <c r="M70" s="353"/>
      <c r="N70" s="352"/>
      <c r="O70" s="352"/>
      <c r="P70" s="352"/>
      <c r="Q70" s="352"/>
      <c r="R70" s="352"/>
      <c r="S70" s="352"/>
      <c r="T70" s="352"/>
      <c r="V70" t="s">
        <v>133</v>
      </c>
      <c r="W70" t="s">
        <v>126</v>
      </c>
      <c r="X70" t="str">
        <f t="shared" si="11"/>
        <v>Karim Rekik (v)</v>
      </c>
      <c r="Y70" s="109">
        <f>AF70</f>
        <v>5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5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Brazilië</v>
      </c>
      <c r="E71" s="379" t="s">
        <v>9</v>
      </c>
      <c r="F71" s="409" t="str">
        <f>IF(J60="","Winnaar 50",IF(J60=1,D60,F60))</f>
        <v>Italië</v>
      </c>
      <c r="G71" s="437">
        <v>1</v>
      </c>
      <c r="H71" s="379" t="s">
        <v>9</v>
      </c>
      <c r="I71" s="449">
        <v>1</v>
      </c>
      <c r="J71" s="450">
        <v>1</v>
      </c>
      <c r="K71" s="353"/>
      <c r="L71" s="353"/>
      <c r="M71" s="353"/>
      <c r="N71" s="352"/>
      <c r="O71" s="352"/>
      <c r="P71" s="352"/>
      <c r="Q71" s="352"/>
      <c r="R71" s="352"/>
      <c r="S71" s="352"/>
      <c r="T71" s="352"/>
      <c r="V71" t="s">
        <v>133</v>
      </c>
      <c r="W71" t="s">
        <v>194</v>
      </c>
      <c r="X71" t="str">
        <f t="shared" si="11"/>
        <v>Ron Vlaar (v)</v>
      </c>
      <c r="Y71" s="109">
        <f>AF71</f>
        <v>1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1</v>
      </c>
      <c r="AG71" s="108">
        <f>IF(AC71="",0,(IF(G71=AC71,1,0)))</f>
        <v>0</v>
      </c>
      <c r="AH71" s="108">
        <f>IF(AD71="",0,(IF(I71=AD71,1,0)))</f>
        <v>1</v>
      </c>
      <c r="AI71" s="108">
        <f>IF(AND(AG71=1,AH71=1),10,0)</f>
        <v>0</v>
      </c>
      <c r="AJ71" s="108">
        <f>IF(AND(G71&gt;I71,AC71&gt;AD71),5,0)</f>
        <v>0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Argentinië</v>
      </c>
      <c r="E72" s="367" t="s">
        <v>9</v>
      </c>
      <c r="F72" s="406" t="str">
        <f>IF(J66="","Winnaar 56",IF(J66=1,D66,F66))</f>
        <v>Portugal</v>
      </c>
      <c r="G72" s="435">
        <v>1</v>
      </c>
      <c r="H72" s="367" t="s">
        <v>9</v>
      </c>
      <c r="I72" s="447">
        <v>0</v>
      </c>
      <c r="J72" s="448">
        <v>1</v>
      </c>
      <c r="K72" s="353"/>
      <c r="L72" s="353"/>
      <c r="M72" s="353"/>
      <c r="N72" s="352"/>
      <c r="O72" s="352"/>
      <c r="P72" s="352"/>
      <c r="Q72" s="352"/>
      <c r="R72" s="352"/>
      <c r="S72" s="352"/>
      <c r="T72" s="352"/>
      <c r="V72" t="s">
        <v>133</v>
      </c>
      <c r="W72" t="s">
        <v>195</v>
      </c>
      <c r="X72" t="str">
        <f t="shared" si="11"/>
        <v>John Heitinga (v)</v>
      </c>
      <c r="Y72" s="109">
        <f>AF72</f>
        <v>10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10</v>
      </c>
      <c r="AG72" s="108">
        <f>IF(AC72="",0,(IF(G72=AC72,1,0)))</f>
        <v>1</v>
      </c>
      <c r="AH72" s="108">
        <f>IF(AD72="",0,(IF(I72=AD72,1,0)))</f>
        <v>1</v>
      </c>
      <c r="AI72" s="108">
        <f>IF(AND(AG72=1,AH72=1),10,0)</f>
        <v>10</v>
      </c>
      <c r="AJ72" s="108">
        <f>IF(AND(G72&gt;I72,AC72&gt;AD72),5,0)</f>
        <v>5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Spanje</v>
      </c>
      <c r="E73" s="388" t="s">
        <v>9</v>
      </c>
      <c r="F73" s="412" t="str">
        <f>IF(J62="","Winnaar 52",IF(J62=1,D62,F62))</f>
        <v>Engeland</v>
      </c>
      <c r="G73" s="438">
        <v>2</v>
      </c>
      <c r="H73" s="388" t="s">
        <v>9</v>
      </c>
      <c r="I73" s="453">
        <v>1</v>
      </c>
      <c r="J73" s="454">
        <v>1</v>
      </c>
      <c r="K73" s="353"/>
      <c r="L73" s="353"/>
      <c r="M73" s="353"/>
      <c r="N73" s="352"/>
      <c r="O73" s="352"/>
      <c r="P73" s="352"/>
      <c r="Q73" s="352"/>
      <c r="R73" s="352"/>
      <c r="S73" s="352"/>
      <c r="T73" s="352"/>
      <c r="V73" t="s">
        <v>133</v>
      </c>
      <c r="W73" t="s">
        <v>196</v>
      </c>
      <c r="X73" t="str">
        <f t="shared" si="11"/>
        <v>Urby Emanuelson (v)</v>
      </c>
      <c r="Y73" s="109">
        <f>AF73</f>
        <v>0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0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N74" s="352"/>
      <c r="O74" s="352"/>
      <c r="P74" s="352"/>
      <c r="Q74" s="352"/>
      <c r="R74" s="352"/>
      <c r="S74" s="352"/>
      <c r="T74" s="352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27"/>
      <c r="K75" s="353"/>
      <c r="L75" s="353"/>
      <c r="M75" s="353"/>
      <c r="N75" s="352"/>
      <c r="O75" s="352"/>
      <c r="P75" s="352"/>
      <c r="Q75" s="352"/>
      <c r="R75" s="352"/>
      <c r="S75" s="352"/>
      <c r="T75" s="352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30" t="s">
        <v>3</v>
      </c>
      <c r="E76" s="431"/>
      <c r="F76" s="432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N76" s="352"/>
      <c r="O76" s="352"/>
      <c r="P76" s="352"/>
      <c r="Q76" s="352"/>
      <c r="R76" s="352"/>
      <c r="S76" s="352"/>
      <c r="T76" s="352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Duitsland</v>
      </c>
      <c r="E77" s="367" t="s">
        <v>9</v>
      </c>
      <c r="F77" s="406" t="str">
        <f>IF(J71="","Winnaar 58",IF(J71=1,D71,F71))</f>
        <v>Brazilië</v>
      </c>
      <c r="G77" s="435">
        <v>1</v>
      </c>
      <c r="H77" s="367" t="s">
        <v>9</v>
      </c>
      <c r="I77" s="447">
        <v>0</v>
      </c>
      <c r="J77" s="448">
        <v>1</v>
      </c>
      <c r="K77" s="353"/>
      <c r="L77" s="353"/>
      <c r="M77" s="353"/>
      <c r="N77" s="352"/>
      <c r="O77" s="352"/>
      <c r="P77" s="352"/>
      <c r="Q77" s="352"/>
      <c r="R77" s="352"/>
      <c r="S77" s="352"/>
      <c r="T77" s="352"/>
      <c r="V77" t="s">
        <v>134</v>
      </c>
      <c r="W77" t="s">
        <v>203</v>
      </c>
      <c r="X77" t="str">
        <f t="shared" si="11"/>
        <v>Marco van Ginkel (m)</v>
      </c>
      <c r="Y77" s="109">
        <f>AF77</f>
        <v>5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5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5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Argentinië</v>
      </c>
      <c r="E78" s="388" t="s">
        <v>9</v>
      </c>
      <c r="F78" s="412" t="str">
        <f>IF(J73="","Winnaar 60",IF(J73=1,D73,F73))</f>
        <v>Spanje</v>
      </c>
      <c r="G78" s="438">
        <v>1</v>
      </c>
      <c r="H78" s="388" t="s">
        <v>9</v>
      </c>
      <c r="I78" s="453">
        <v>2</v>
      </c>
      <c r="J78" s="454">
        <v>2</v>
      </c>
      <c r="K78" s="353"/>
      <c r="L78" s="353"/>
      <c r="M78" s="353"/>
      <c r="N78" s="352"/>
      <c r="O78" s="352"/>
      <c r="P78" s="352"/>
      <c r="Q78" s="352"/>
      <c r="R78" s="352"/>
      <c r="S78" s="352"/>
      <c r="T78" s="352"/>
      <c r="V78" t="s">
        <v>134</v>
      </c>
      <c r="W78" t="s">
        <v>199</v>
      </c>
      <c r="X78" t="str">
        <f t="shared" si="11"/>
        <v>Leroy Fer (m)</v>
      </c>
      <c r="Y78" s="109">
        <f>AF78</f>
        <v>0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0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N79" s="352"/>
      <c r="O79" s="352"/>
      <c r="P79" s="352"/>
      <c r="Q79" s="352"/>
      <c r="R79" s="352"/>
      <c r="S79" s="352"/>
      <c r="T79" s="352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27"/>
      <c r="K80" s="353"/>
      <c r="L80" s="353"/>
      <c r="M80" s="353"/>
      <c r="N80" s="352"/>
      <c r="O80" s="352"/>
      <c r="P80" s="352"/>
      <c r="Q80" s="352"/>
      <c r="R80" s="352"/>
      <c r="S80" s="352"/>
      <c r="T80" s="352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30" t="s">
        <v>3</v>
      </c>
      <c r="E81" s="431"/>
      <c r="F81" s="432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N81" s="352"/>
      <c r="O81" s="352"/>
      <c r="P81" s="352"/>
      <c r="Q81" s="352"/>
      <c r="R81" s="352"/>
      <c r="S81" s="352"/>
      <c r="T81" s="352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Brazilië</v>
      </c>
      <c r="E82" s="355" t="s">
        <v>9</v>
      </c>
      <c r="F82" s="415" t="str">
        <f>IF(J78="","Verliezer 62",IF(J78=1,F78,D78))</f>
        <v>Argentinië</v>
      </c>
      <c r="G82" s="455">
        <v>2</v>
      </c>
      <c r="H82" s="355" t="s">
        <v>9</v>
      </c>
      <c r="I82" s="456">
        <v>1</v>
      </c>
      <c r="J82" s="457">
        <v>1</v>
      </c>
      <c r="K82" s="353"/>
      <c r="L82" s="353"/>
      <c r="M82" s="353"/>
      <c r="N82" s="352"/>
      <c r="O82" s="352"/>
      <c r="P82" s="352"/>
      <c r="Q82" s="352"/>
      <c r="R82" s="352"/>
      <c r="S82" s="352"/>
      <c r="T82" s="352"/>
      <c r="V82" t="s">
        <v>134</v>
      </c>
      <c r="W82" t="s">
        <v>125</v>
      </c>
      <c r="X8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N83" s="352"/>
      <c r="O83" s="352"/>
      <c r="P83" s="352"/>
      <c r="Q83" s="352"/>
      <c r="R83" s="352"/>
      <c r="S83" s="352"/>
      <c r="T83" s="352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27"/>
      <c r="K84" s="353"/>
      <c r="L84" s="353"/>
      <c r="M84" s="353"/>
      <c r="N84" s="352"/>
      <c r="O84" s="352"/>
      <c r="P84" s="352"/>
      <c r="Q84" s="352"/>
      <c r="R84" s="352"/>
      <c r="S84" s="352"/>
      <c r="T84" s="352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30" t="s">
        <v>3</v>
      </c>
      <c r="E85" s="431"/>
      <c r="F85" s="432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N85" s="352"/>
      <c r="O85" s="352"/>
      <c r="P85" s="352"/>
      <c r="Q85" s="352"/>
      <c r="R85" s="352"/>
      <c r="S85" s="352"/>
      <c r="T85" s="352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Duitsland</v>
      </c>
      <c r="E86" s="355" t="s">
        <v>9</v>
      </c>
      <c r="F86" s="415" t="str">
        <f>IF(J78="","Winnaar 62",IF(J78=1,D78,F78))</f>
        <v>Spanje</v>
      </c>
      <c r="G86" s="455">
        <v>2</v>
      </c>
      <c r="H86" s="355" t="s">
        <v>9</v>
      </c>
      <c r="I86" s="456">
        <v>1</v>
      </c>
      <c r="J86" s="457">
        <v>1</v>
      </c>
      <c r="K86" s="353"/>
      <c r="L86" s="353"/>
      <c r="M86" s="353"/>
      <c r="N86" s="352"/>
      <c r="O86" s="352"/>
      <c r="P86" s="352"/>
      <c r="Q86" s="352"/>
      <c r="R86" s="352"/>
      <c r="S86" s="352"/>
      <c r="T86" s="352"/>
      <c r="V86" t="s">
        <v>134</v>
      </c>
      <c r="W86" t="s">
        <v>139</v>
      </c>
      <c r="X86" t="str">
        <f t="shared" si="11"/>
        <v>Nigel de Jong (m)</v>
      </c>
      <c r="Y86" s="109">
        <f>AF86</f>
        <v>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0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Duitsland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50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50</v>
      </c>
      <c r="AV89">
        <f>IF(AR89=0,0,IF(E89=AR89,50,0))</f>
        <v>50</v>
      </c>
      <c r="AW89">
        <f>IF(E89=0,0,IF(OR(E89=AR90),15,0))</f>
        <v>0</v>
      </c>
      <c r="AX89">
        <f>IF(E89=0,0,IF(OR(E89=AR91,E89=AR92),5,0))</f>
        <v>0</v>
      </c>
    </row>
    <row r="90" spans="2:50">
      <c r="C90" s="870">
        <v>2</v>
      </c>
      <c r="D90" s="871"/>
      <c r="E90" s="872" t="str">
        <f>IF(J86=2,D86,IF(J86=1,F86,"Wie wordt 2de?"))</f>
        <v>Spanje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0</v>
      </c>
      <c r="AV90">
        <f>IF(AR90=0,0,IF(AR90=E90,25,0))</f>
        <v>0</v>
      </c>
      <c r="AW90">
        <f>IF(E90=0,0,IF(OR(E90=AR89,),15,0))</f>
        <v>0</v>
      </c>
      <c r="AX90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Brazilië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10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10</v>
      </c>
      <c r="AV91">
        <f>IF(AR91=0,0,IF(AR91=E91,15,0))</f>
        <v>0</v>
      </c>
      <c r="AW91">
        <f>IF(E91=0,0,IF(OR(E91=AR92),10,0))</f>
        <v>10</v>
      </c>
      <c r="AX91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Argentinië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5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5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5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65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conditionalFormatting sqref="AO9:AO12 AO15:AO18 AO21:AO24 AO27:AO30 AO33:AO36 AO39:AO42 AO45:AO48 AO51:AO54">
    <cfRule type="cellIs" dxfId="146" priority="3" operator="equal">
      <formula>10</formula>
    </cfRule>
  </conditionalFormatting>
  <conditionalFormatting sqref="P58:T58">
    <cfRule type="duplicateValues" dxfId="145" priority="2"/>
  </conditionalFormatting>
  <conditionalFormatting sqref="P58:T68">
    <cfRule type="duplicateValues" dxfId="144" priority="1"/>
  </conditionalFormatting>
  <dataValidations count="10">
    <dataValidation type="list" allowBlank="1" showInputMessage="1" showErrorMessage="1" sqref="P58:P68">
      <formula1>$X$58:$X$98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51:T54">
      <formula1>$W$51:$W$54</formula1>
    </dataValidation>
  </dataValidation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B1:BB98"/>
  <sheetViews>
    <sheetView topLeftCell="A40" zoomScale="70" zoomScaleNormal="70" workbookViewId="0">
      <selection activeCell="P58" sqref="P58:T68"/>
    </sheetView>
  </sheetViews>
  <sheetFormatPr defaultRowHeight="15" outlineLevelCol="2"/>
  <cols>
    <col min="1" max="1" width="3.42578125" customWidth="1"/>
    <col min="2" max="2" width="3.5703125" bestFit="1" customWidth="1"/>
    <col min="3" max="3" width="11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272</v>
      </c>
      <c r="E3" s="145"/>
      <c r="F3" s="145"/>
      <c r="N3" t="str">
        <f>D3</f>
        <v>Louis B.</v>
      </c>
      <c r="O3" s="144">
        <f>SUM(P3:S3)</f>
        <v>417</v>
      </c>
      <c r="P3" s="109">
        <f>SUM(Y8:Y86)</f>
        <v>185</v>
      </c>
      <c r="Q3" s="109">
        <f>SUM(AM4:AM55)</f>
        <v>200</v>
      </c>
      <c r="R3" s="109">
        <f>SUM(AP89:AP92)</f>
        <v>5</v>
      </c>
      <c r="S3" s="109">
        <f>SUM(BB58:BB69)</f>
        <v>27</v>
      </c>
      <c r="T3" s="109">
        <f>COUNTIF(AF8:AF86,10)</f>
        <v>3</v>
      </c>
      <c r="U3" s="109" t="str">
        <f>E89</f>
        <v>Brazilië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M6" s="352"/>
      <c r="N6" s="352"/>
      <c r="O6" s="392"/>
      <c r="P6" s="393"/>
      <c r="Q6" s="393"/>
      <c r="R6" s="393"/>
      <c r="S6" s="393"/>
      <c r="T6" s="393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18" t="s">
        <v>3</v>
      </c>
      <c r="E7" s="419"/>
      <c r="F7" s="420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M7" s="352"/>
      <c r="N7" s="352"/>
      <c r="O7" s="353"/>
      <c r="P7" s="393"/>
      <c r="Q7" s="393"/>
      <c r="R7" s="393"/>
      <c r="S7" s="393"/>
      <c r="T7" s="393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2</v>
      </c>
      <c r="H8" s="360" t="s">
        <v>9</v>
      </c>
      <c r="I8" s="439">
        <v>0</v>
      </c>
      <c r="J8" s="362">
        <f t="shared" ref="J8:J55" si="0">IF(I8="","",IF(G8&gt;I8,1,IF(G8&lt;I8,2,3)))</f>
        <v>1</v>
      </c>
      <c r="K8" s="363">
        <f t="shared" ref="K8:K55" si="1">IF(I8="","",IF($G8&gt;$I8,3,IF($G8=$I8,1,0)))</f>
        <v>3</v>
      </c>
      <c r="L8" s="363">
        <f t="shared" ref="L8:L55" si="2">IF(I8="","",IF($G8&lt;$I8,3,IF($G8=$I8,1,0)))</f>
        <v>0</v>
      </c>
      <c r="M8" s="352"/>
      <c r="N8" s="352"/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40"/>
      <c r="V8" s="40"/>
      <c r="W8" s="40"/>
      <c r="Y8" s="109">
        <f>AF8</f>
        <v>5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5</v>
      </c>
      <c r="AG8" s="108">
        <f t="shared" ref="AG8:AG55" si="3">IF(AC8="",0,(IF(G8=AC8,1,0)))</f>
        <v>0</v>
      </c>
      <c r="AH8" s="108">
        <f t="shared" ref="AH8:AH55" si="4">IF(AD8="",0,(IF(I8=AD8,1,0)))</f>
        <v>0</v>
      </c>
      <c r="AI8" s="108">
        <f>IF(AND(AG8=1,AH8=1),10,0)</f>
        <v>0</v>
      </c>
      <c r="AJ8" s="108">
        <f t="shared" ref="AJ8:AJ55" si="5">IF(AND(G8&gt;I8,AC8&gt;AD8),5,0)</f>
        <v>5</v>
      </c>
      <c r="AK8" s="108">
        <f t="shared" ref="AK8:AK55" si="6">IF(AND(G8&lt;I8,AC8&lt;AD8),5,0)</f>
        <v>0</v>
      </c>
      <c r="AL8" s="108">
        <f t="shared" ref="AL8:AL55" si="7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1</v>
      </c>
      <c r="H9" s="367" t="s">
        <v>9</v>
      </c>
      <c r="I9" s="440">
        <v>0</v>
      </c>
      <c r="J9" s="369">
        <f t="shared" si="0"/>
        <v>1</v>
      </c>
      <c r="K9" s="363">
        <f t="shared" si="1"/>
        <v>3</v>
      </c>
      <c r="L9" s="363">
        <f t="shared" si="2"/>
        <v>0</v>
      </c>
      <c r="M9" s="352"/>
      <c r="N9" s="352"/>
      <c r="O9" s="394" t="s">
        <v>8</v>
      </c>
      <c r="P9" s="395">
        <f>SUMIF($D$8:$D$55,$O9,$G$8:$G$55)+SUMIF($F$8:$F$55,$O9,$I$8:$I$55)</f>
        <v>6</v>
      </c>
      <c r="Q9" s="395">
        <f>SUMIF($D$8:$D$55,$O9,$I$8:$I$55)+SUMIF($F$8:$F$55,$O9,$G$8:$G$55)</f>
        <v>1</v>
      </c>
      <c r="R9" s="396">
        <f>P9-Q9</f>
        <v>5</v>
      </c>
      <c r="S9" s="397">
        <f>SUMIF($D$8:$D$55,$O9,$K$8:$K$55)+SUMIF($F$8:$F$55,$O9,$L$8:$L$55)</f>
        <v>9</v>
      </c>
      <c r="T9" s="444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10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10</v>
      </c>
      <c r="AG9" s="108">
        <f t="shared" si="3"/>
        <v>1</v>
      </c>
      <c r="AH9" s="108">
        <f t="shared" si="4"/>
        <v>1</v>
      </c>
      <c r="AI9" s="108">
        <f t="shared" ref="AI9:AI55" si="10">IF(AND(AG9=1,AH9=1),10,0)</f>
        <v>10</v>
      </c>
      <c r="AJ9" s="108">
        <f t="shared" si="5"/>
        <v>5</v>
      </c>
      <c r="AK9" s="108">
        <f t="shared" si="6"/>
        <v>0</v>
      </c>
      <c r="AL9" s="108">
        <f t="shared" si="7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2</v>
      </c>
      <c r="H10" s="373" t="s">
        <v>9</v>
      </c>
      <c r="I10" s="441">
        <v>1</v>
      </c>
      <c r="J10" s="375">
        <f t="shared" si="0"/>
        <v>1</v>
      </c>
      <c r="K10" s="363">
        <f t="shared" si="1"/>
        <v>3</v>
      </c>
      <c r="L10" s="363">
        <f t="shared" si="2"/>
        <v>0</v>
      </c>
      <c r="M10" s="352"/>
      <c r="N10" s="352"/>
      <c r="O10" s="398" t="s">
        <v>10</v>
      </c>
      <c r="P10" s="399">
        <f>SUMIF($D$8:$D$55,$O10,$G$8:$G$55)+SUMIF($F$8:$F$55,$O10,$I$8:$I$55)</f>
        <v>2</v>
      </c>
      <c r="Q10" s="399">
        <f>SUMIF($D$8:$D$55,$O10,$I$8:$I$55)+SUMIF($F$8:$F$55,$O10,$G$8:$G$55)</f>
        <v>4</v>
      </c>
      <c r="R10" s="399">
        <f>P10-Q10</f>
        <v>-2</v>
      </c>
      <c r="S10" s="400">
        <f>SUMIF($D$8:$D$55,$O10,$K$8:$K$55)+SUMIF($F$8:$F$55,$O10,$L$8:$L$55)</f>
        <v>2</v>
      </c>
      <c r="T10" s="445" t="s">
        <v>47</v>
      </c>
      <c r="U10" s="40"/>
      <c r="V10" s="40" t="str">
        <f>O10</f>
        <v>Kroatië</v>
      </c>
      <c r="W10" s="40" t="s">
        <v>49</v>
      </c>
      <c r="Y10" s="109">
        <f t="shared" si="8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0</v>
      </c>
      <c r="AG10" s="108">
        <f t="shared" si="3"/>
        <v>0</v>
      </c>
      <c r="AH10" s="108">
        <f t="shared" si="4"/>
        <v>0</v>
      </c>
      <c r="AI10" s="108">
        <f t="shared" si="10"/>
        <v>0</v>
      </c>
      <c r="AJ10" s="108">
        <f t="shared" si="5"/>
        <v>0</v>
      </c>
      <c r="AK10" s="108">
        <f t="shared" si="6"/>
        <v>0</v>
      </c>
      <c r="AL10" s="108">
        <f t="shared" si="7"/>
        <v>0</v>
      </c>
      <c r="AM10" s="120">
        <f>AO10</f>
        <v>10</v>
      </c>
      <c r="AN10" s="117" t="s">
        <v>10</v>
      </c>
      <c r="AO10" s="115">
        <f>IF(Uitslag!T10="",0,IF(T10=Uitslag!T10,10,0))</f>
        <v>10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2</v>
      </c>
      <c r="H11" s="379" t="s">
        <v>9</v>
      </c>
      <c r="I11" s="442">
        <v>1</v>
      </c>
      <c r="J11" s="381">
        <f t="shared" si="0"/>
        <v>1</v>
      </c>
      <c r="K11" s="363">
        <f t="shared" si="1"/>
        <v>3</v>
      </c>
      <c r="L11" s="363">
        <f t="shared" si="2"/>
        <v>0</v>
      </c>
      <c r="M11" s="352"/>
      <c r="N11" s="352"/>
      <c r="O11" s="398" t="s">
        <v>11</v>
      </c>
      <c r="P11" s="399">
        <f>SUMIF($D$8:$D$55,$O11,$G$8:$G$55)+SUMIF($F$8:$F$55,$O11,$I$8:$I$55)</f>
        <v>3</v>
      </c>
      <c r="Q11" s="399">
        <f>SUMIF($D$8:$D$55,$O11,$I$8:$I$55)+SUMIF($F$8:$F$55,$O11,$G$8:$G$55)</f>
        <v>3</v>
      </c>
      <c r="R11" s="399">
        <f>P11-Q11</f>
        <v>0</v>
      </c>
      <c r="S11" s="400">
        <f>SUMIF($D$8:$D$55,$O11,$K$8:$K$55)+SUMIF($F$8:$F$55,$O11,$L$8:$L$55)</f>
        <v>4</v>
      </c>
      <c r="T11" s="445" t="s">
        <v>49</v>
      </c>
      <c r="U11" s="40"/>
      <c r="V11" s="40" t="str">
        <f>O11</f>
        <v>Mexico</v>
      </c>
      <c r="W11" s="40" t="s">
        <v>47</v>
      </c>
      <c r="Y11" s="109">
        <f t="shared" si="8"/>
        <v>6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6</v>
      </c>
      <c r="AG11" s="108">
        <f t="shared" si="3"/>
        <v>0</v>
      </c>
      <c r="AH11" s="108">
        <f t="shared" si="4"/>
        <v>1</v>
      </c>
      <c r="AI11" s="108">
        <f t="shared" si="10"/>
        <v>0</v>
      </c>
      <c r="AJ11" s="108">
        <f t="shared" si="5"/>
        <v>5</v>
      </c>
      <c r="AK11" s="108">
        <f t="shared" si="6"/>
        <v>0</v>
      </c>
      <c r="AL11" s="108">
        <f t="shared" si="7"/>
        <v>0</v>
      </c>
      <c r="AM11" s="120">
        <f>AO11</f>
        <v>10</v>
      </c>
      <c r="AN11" s="117" t="s">
        <v>11</v>
      </c>
      <c r="AO11" s="115">
        <f>IF(Uitslag!T11="",0,IF(T11=Uitslag!T11,10,0))</f>
        <v>10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2</v>
      </c>
      <c r="H12" s="367" t="s">
        <v>9</v>
      </c>
      <c r="I12" s="440">
        <v>0</v>
      </c>
      <c r="J12" s="369">
        <f t="shared" si="0"/>
        <v>1</v>
      </c>
      <c r="K12" s="363">
        <f t="shared" si="1"/>
        <v>3</v>
      </c>
      <c r="L12" s="363">
        <f t="shared" si="2"/>
        <v>0</v>
      </c>
      <c r="M12" s="352"/>
      <c r="N12" s="352"/>
      <c r="O12" s="401" t="s">
        <v>12</v>
      </c>
      <c r="P12" s="402">
        <f>SUMIF($D$8:$D$55,$O12,$G$8:$G$55)+SUMIF($F$8:$F$55,$O12,$I$8:$I$55)</f>
        <v>1</v>
      </c>
      <c r="Q12" s="402">
        <f>SUMIF($D$8:$D$55,$O12,$I$8:$I$55)+SUMIF($F$8:$F$55,$O12,$G$8:$G$55)</f>
        <v>4</v>
      </c>
      <c r="R12" s="402">
        <f>P12-Q12</f>
        <v>-3</v>
      </c>
      <c r="S12" s="403">
        <f>SUMIF($D$8:$D$55,$O12,$K$8:$K$55)+SUMIF($F$8:$F$55,$O12,$L$8:$L$55)</f>
        <v>1</v>
      </c>
      <c r="T12" s="446" t="s">
        <v>50</v>
      </c>
      <c r="U12" s="40"/>
      <c r="V12" s="40" t="str">
        <f>O12</f>
        <v>Kameroen</v>
      </c>
      <c r="W12" s="40" t="s">
        <v>50</v>
      </c>
      <c r="Y12" s="109">
        <f t="shared" si="8"/>
        <v>6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6</v>
      </c>
      <c r="AG12" s="108">
        <f t="shared" si="3"/>
        <v>0</v>
      </c>
      <c r="AH12" s="108">
        <f t="shared" si="4"/>
        <v>1</v>
      </c>
      <c r="AI12" s="108">
        <f t="shared" si="10"/>
        <v>0</v>
      </c>
      <c r="AJ12" s="108">
        <f t="shared" si="5"/>
        <v>5</v>
      </c>
      <c r="AK12" s="108">
        <f t="shared" si="6"/>
        <v>0</v>
      </c>
      <c r="AL12" s="108">
        <f t="shared" si="7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3</v>
      </c>
      <c r="H13" s="373" t="s">
        <v>9</v>
      </c>
      <c r="I13" s="441">
        <v>1</v>
      </c>
      <c r="J13" s="375">
        <f t="shared" si="0"/>
        <v>1</v>
      </c>
      <c r="K13" s="363">
        <f t="shared" si="1"/>
        <v>3</v>
      </c>
      <c r="L13" s="363">
        <f t="shared" si="2"/>
        <v>0</v>
      </c>
      <c r="M13" s="352"/>
      <c r="N13" s="352"/>
      <c r="O13" s="392"/>
      <c r="P13" s="393"/>
      <c r="Q13" s="393"/>
      <c r="R13" s="393"/>
      <c r="S13" s="393"/>
      <c r="T13" s="393"/>
      <c r="U13" s="40"/>
      <c r="V13" s="40"/>
      <c r="W13" s="40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3"/>
        <v>0</v>
      </c>
      <c r="AH13" s="108">
        <f t="shared" si="4"/>
        <v>0</v>
      </c>
      <c r="AI13" s="108">
        <f t="shared" si="10"/>
        <v>0</v>
      </c>
      <c r="AJ13" s="108">
        <f t="shared" si="5"/>
        <v>0</v>
      </c>
      <c r="AK13" s="108">
        <f t="shared" si="6"/>
        <v>0</v>
      </c>
      <c r="AL13" s="108">
        <f t="shared" si="7"/>
        <v>0</v>
      </c>
      <c r="AN13" s="40"/>
      <c r="AO13" s="41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1</v>
      </c>
      <c r="H14" s="373" t="s">
        <v>9</v>
      </c>
      <c r="I14" s="441">
        <v>1</v>
      </c>
      <c r="J14" s="375">
        <f t="shared" si="0"/>
        <v>3</v>
      </c>
      <c r="K14" s="363">
        <f t="shared" si="1"/>
        <v>1</v>
      </c>
      <c r="L14" s="363">
        <f t="shared" si="2"/>
        <v>1</v>
      </c>
      <c r="M14" s="352"/>
      <c r="N14" s="352"/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40"/>
      <c r="V14" s="40"/>
      <c r="W14" s="40"/>
      <c r="Y14" s="109">
        <f t="shared" si="8"/>
        <v>1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</v>
      </c>
      <c r="AG14" s="108">
        <f t="shared" si="3"/>
        <v>1</v>
      </c>
      <c r="AH14" s="108">
        <f t="shared" si="4"/>
        <v>0</v>
      </c>
      <c r="AI14" s="108">
        <f t="shared" si="10"/>
        <v>0</v>
      </c>
      <c r="AJ14" s="108">
        <f t="shared" si="5"/>
        <v>0</v>
      </c>
      <c r="AK14" s="108">
        <f t="shared" si="6"/>
        <v>0</v>
      </c>
      <c r="AL14" s="108">
        <f t="shared" si="7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0</v>
      </c>
      <c r="H15" s="379" t="s">
        <v>9</v>
      </c>
      <c r="I15" s="442">
        <v>0</v>
      </c>
      <c r="J15" s="381">
        <f t="shared" si="0"/>
        <v>3</v>
      </c>
      <c r="K15" s="363">
        <f t="shared" si="1"/>
        <v>1</v>
      </c>
      <c r="L15" s="363">
        <f t="shared" si="2"/>
        <v>1</v>
      </c>
      <c r="M15" s="352"/>
      <c r="N15" s="352"/>
      <c r="O15" s="394" t="s">
        <v>13</v>
      </c>
      <c r="P15" s="395">
        <f>SUMIF($D$8:$D$55,$O15,$G$8:$G$55)+SUMIF($F$8:$F$55,$O15,$I$8:$I$55)</f>
        <v>7</v>
      </c>
      <c r="Q15" s="395">
        <f>SUMIF($D$8:$D$55,$O15,$I$8:$I$55)+SUMIF($F$8:$F$55,$O15,$G$8:$G$55)</f>
        <v>1</v>
      </c>
      <c r="R15" s="396">
        <f>P15-Q15</f>
        <v>6</v>
      </c>
      <c r="S15" s="397">
        <f>SUMIF($D$8:$D$55,$O15,$K$8:$K$55)+SUMIF($F$8:$F$55,$O15,$L$8:$L$55)</f>
        <v>9</v>
      </c>
      <c r="T15" s="444" t="s">
        <v>52</v>
      </c>
      <c r="U15" s="40"/>
      <c r="V15" s="40" t="str">
        <f>O15</f>
        <v>Spanje</v>
      </c>
      <c r="W15" s="40" t="s">
        <v>52</v>
      </c>
      <c r="Y15" s="109">
        <f t="shared" si="8"/>
        <v>0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0</v>
      </c>
      <c r="AG15" s="108">
        <f t="shared" si="3"/>
        <v>0</v>
      </c>
      <c r="AH15" s="108">
        <f t="shared" si="4"/>
        <v>0</v>
      </c>
      <c r="AI15" s="108">
        <f t="shared" si="10"/>
        <v>0</v>
      </c>
      <c r="AJ15" s="108">
        <f t="shared" si="5"/>
        <v>0</v>
      </c>
      <c r="AK15" s="108">
        <f t="shared" si="6"/>
        <v>0</v>
      </c>
      <c r="AL15" s="108">
        <f t="shared" si="7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2</v>
      </c>
      <c r="H16" s="367" t="s">
        <v>9</v>
      </c>
      <c r="I16" s="440">
        <v>0</v>
      </c>
      <c r="J16" s="369">
        <f t="shared" si="0"/>
        <v>1</v>
      </c>
      <c r="K16" s="363">
        <f t="shared" si="1"/>
        <v>3</v>
      </c>
      <c r="L16" s="363">
        <f t="shared" si="2"/>
        <v>0</v>
      </c>
      <c r="M16" s="352"/>
      <c r="N16" s="352"/>
      <c r="O16" s="404" t="s">
        <v>14</v>
      </c>
      <c r="P16" s="399">
        <f>SUMIF($D$8:$D$55,$O16,$G$8:$G$55)+SUMIF($F$8:$F$55,$O16,$I$8:$I$55)</f>
        <v>5</v>
      </c>
      <c r="Q16" s="399">
        <f>SUMIF($D$8:$D$55,$O16,$I$8:$I$55)+SUMIF($F$8:$F$55,$O16,$G$8:$G$55)</f>
        <v>3</v>
      </c>
      <c r="R16" s="399">
        <f>P16-Q16</f>
        <v>2</v>
      </c>
      <c r="S16" s="400">
        <f>SUMIF($D$8:$D$55,$O16,$K$8:$K$55)+SUMIF($F$8:$F$55,$O16,$L$8:$L$55)</f>
        <v>6</v>
      </c>
      <c r="T16" s="445" t="s">
        <v>53</v>
      </c>
      <c r="U16" s="40"/>
      <c r="V16" s="40" t="str">
        <f>O16</f>
        <v>Nederland</v>
      </c>
      <c r="W16" s="40" t="s">
        <v>53</v>
      </c>
      <c r="Y16" s="109">
        <f t="shared" si="8"/>
        <v>6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6</v>
      </c>
      <c r="AG16" s="108">
        <f t="shared" si="3"/>
        <v>1</v>
      </c>
      <c r="AH16" s="108">
        <f t="shared" si="4"/>
        <v>0</v>
      </c>
      <c r="AI16" s="108">
        <f t="shared" si="10"/>
        <v>0</v>
      </c>
      <c r="AJ16" s="108">
        <f t="shared" si="5"/>
        <v>5</v>
      </c>
      <c r="AK16" s="108">
        <f t="shared" si="6"/>
        <v>0</v>
      </c>
      <c r="AL16" s="108">
        <f t="shared" si="7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3</v>
      </c>
      <c r="H17" s="373" t="s">
        <v>9</v>
      </c>
      <c r="I17" s="441">
        <v>1</v>
      </c>
      <c r="J17" s="375">
        <f t="shared" si="0"/>
        <v>1</v>
      </c>
      <c r="K17" s="363">
        <f t="shared" si="1"/>
        <v>3</v>
      </c>
      <c r="L17" s="363">
        <f t="shared" si="2"/>
        <v>0</v>
      </c>
      <c r="M17" s="352"/>
      <c r="N17" s="352"/>
      <c r="O17" s="398" t="s">
        <v>15</v>
      </c>
      <c r="P17" s="399">
        <f>SUMIF($D$8:$D$55,$O17,$G$8:$G$55)+SUMIF($F$8:$F$55,$O17,$I$8:$I$55)</f>
        <v>3</v>
      </c>
      <c r="Q17" s="399">
        <f>SUMIF($D$8:$D$55,$O17,$I$8:$I$55)+SUMIF($F$8:$F$55,$O17,$G$8:$G$55)</f>
        <v>5</v>
      </c>
      <c r="R17" s="399">
        <f>P17-Q17</f>
        <v>-2</v>
      </c>
      <c r="S17" s="400">
        <f>SUMIF($D$8:$D$55,$O17,$K$8:$K$55)+SUMIF($F$8:$F$55,$O17,$L$8:$L$55)</f>
        <v>3</v>
      </c>
      <c r="T17" s="445" t="s">
        <v>54</v>
      </c>
      <c r="U17" s="40"/>
      <c r="V17" s="40" t="str">
        <f>O17</f>
        <v>Chili</v>
      </c>
      <c r="W17" s="40" t="s">
        <v>54</v>
      </c>
      <c r="Y17" s="109">
        <f t="shared" si="8"/>
        <v>6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6</v>
      </c>
      <c r="AG17" s="108">
        <f t="shared" si="3"/>
        <v>1</v>
      </c>
      <c r="AH17" s="108">
        <f t="shared" si="4"/>
        <v>0</v>
      </c>
      <c r="AI17" s="108">
        <f t="shared" si="10"/>
        <v>0</v>
      </c>
      <c r="AJ17" s="108">
        <f t="shared" si="5"/>
        <v>5</v>
      </c>
      <c r="AK17" s="108">
        <f t="shared" si="6"/>
        <v>0</v>
      </c>
      <c r="AL17" s="108">
        <f t="shared" si="7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2</v>
      </c>
      <c r="H18" s="379" t="s">
        <v>9</v>
      </c>
      <c r="I18" s="442">
        <v>0</v>
      </c>
      <c r="J18" s="381">
        <f t="shared" si="0"/>
        <v>1</v>
      </c>
      <c r="K18" s="363">
        <f t="shared" si="1"/>
        <v>3</v>
      </c>
      <c r="L18" s="363">
        <f t="shared" si="2"/>
        <v>0</v>
      </c>
      <c r="M18" s="352"/>
      <c r="N18" s="352"/>
      <c r="O18" s="401" t="s">
        <v>16</v>
      </c>
      <c r="P18" s="402">
        <f>SUMIF($D$8:$D$55,$O18,$G$8:$G$55)+SUMIF($F$8:$F$55,$O18,$I$8:$I$55)</f>
        <v>1</v>
      </c>
      <c r="Q18" s="402">
        <f>SUMIF($D$8:$D$55,$O18,$I$8:$I$55)+SUMIF($F$8:$F$55,$O18,$G$8:$G$55)</f>
        <v>7</v>
      </c>
      <c r="R18" s="402">
        <f>P18-Q18</f>
        <v>-6</v>
      </c>
      <c r="S18" s="403">
        <f>SUMIF($D$8:$D$55,$O18,$K$8:$K$55)+SUMIF($F$8:$F$55,$O18,$L$8:$L$55)</f>
        <v>0</v>
      </c>
      <c r="T18" s="446" t="s">
        <v>55</v>
      </c>
      <c r="U18" s="40"/>
      <c r="V18" s="40" t="str">
        <f>O18</f>
        <v>Australië</v>
      </c>
      <c r="W18" s="40" t="s">
        <v>55</v>
      </c>
      <c r="Y18" s="109">
        <f t="shared" si="8"/>
        <v>6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6</v>
      </c>
      <c r="AG18" s="108">
        <f t="shared" si="3"/>
        <v>1</v>
      </c>
      <c r="AH18" s="108">
        <f t="shared" si="4"/>
        <v>0</v>
      </c>
      <c r="AI18" s="108">
        <f t="shared" si="10"/>
        <v>0</v>
      </c>
      <c r="AJ18" s="108">
        <f t="shared" si="5"/>
        <v>5</v>
      </c>
      <c r="AK18" s="108">
        <f t="shared" si="6"/>
        <v>0</v>
      </c>
      <c r="AL18" s="108">
        <f t="shared" si="7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2</v>
      </c>
      <c r="H19" s="367" t="s">
        <v>9</v>
      </c>
      <c r="I19" s="440">
        <v>2</v>
      </c>
      <c r="J19" s="369">
        <f t="shared" si="0"/>
        <v>3</v>
      </c>
      <c r="K19" s="363">
        <f t="shared" si="1"/>
        <v>1</v>
      </c>
      <c r="L19" s="363">
        <f t="shared" si="2"/>
        <v>1</v>
      </c>
      <c r="M19" s="352"/>
      <c r="N19" s="352"/>
      <c r="O19" s="392"/>
      <c r="P19" s="393"/>
      <c r="Q19" s="393"/>
      <c r="R19" s="393"/>
      <c r="S19" s="393"/>
      <c r="T19" s="393"/>
      <c r="U19" s="40"/>
      <c r="V19" s="40"/>
      <c r="W19" s="40"/>
      <c r="Y19" s="109">
        <f t="shared" si="8"/>
        <v>0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0</v>
      </c>
      <c r="AG19" s="108">
        <f t="shared" si="3"/>
        <v>0</v>
      </c>
      <c r="AH19" s="108">
        <f t="shared" si="4"/>
        <v>0</v>
      </c>
      <c r="AI19" s="108">
        <f t="shared" si="10"/>
        <v>0</v>
      </c>
      <c r="AJ19" s="108">
        <f t="shared" si="5"/>
        <v>0</v>
      </c>
      <c r="AK19" s="108">
        <f t="shared" si="6"/>
        <v>0</v>
      </c>
      <c r="AL19" s="108">
        <f t="shared" si="7"/>
        <v>0</v>
      </c>
      <c r="AN19" s="40"/>
      <c r="AO19" s="41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0</v>
      </c>
      <c r="H20" s="373" t="s">
        <v>9</v>
      </c>
      <c r="I20" s="441">
        <v>2</v>
      </c>
      <c r="J20" s="375">
        <f t="shared" si="0"/>
        <v>2</v>
      </c>
      <c r="K20" s="363">
        <f t="shared" si="1"/>
        <v>0</v>
      </c>
      <c r="L20" s="363">
        <f t="shared" si="2"/>
        <v>3</v>
      </c>
      <c r="M20" s="352"/>
      <c r="N20" s="352"/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40"/>
      <c r="V20" s="40"/>
      <c r="W20" s="40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3"/>
        <v>1</v>
      </c>
      <c r="AH20" s="108">
        <f t="shared" si="4"/>
        <v>0</v>
      </c>
      <c r="AI20" s="108">
        <f t="shared" si="10"/>
        <v>0</v>
      </c>
      <c r="AJ20" s="108">
        <f t="shared" si="5"/>
        <v>0</v>
      </c>
      <c r="AK20" s="108">
        <f t="shared" si="6"/>
        <v>0</v>
      </c>
      <c r="AL20" s="108">
        <f t="shared" si="7"/>
        <v>0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1</v>
      </c>
      <c r="H21" s="379" t="s">
        <v>9</v>
      </c>
      <c r="I21" s="442">
        <v>1</v>
      </c>
      <c r="J21" s="381">
        <f t="shared" si="0"/>
        <v>3</v>
      </c>
      <c r="K21" s="363">
        <f t="shared" si="1"/>
        <v>1</v>
      </c>
      <c r="L21" s="363">
        <f t="shared" si="2"/>
        <v>1</v>
      </c>
      <c r="M21" s="352"/>
      <c r="N21" s="352"/>
      <c r="O21" s="394" t="s">
        <v>17</v>
      </c>
      <c r="P21" s="395">
        <f>SUMIF($D$8:$D$55,$O21,$G$8:$G$55)+SUMIF($F$8:$F$55,$O21,$I$8:$I$55)</f>
        <v>6</v>
      </c>
      <c r="Q21" s="395">
        <f>SUMIF($D$8:$D$55,$O21,$I$8:$I$55)+SUMIF($F$8:$F$55,$O21,$G$8:$G$55)</f>
        <v>1</v>
      </c>
      <c r="R21" s="396">
        <f>P21-Q21</f>
        <v>5</v>
      </c>
      <c r="S21" s="397">
        <f>SUMIF($D$8:$D$55,$O21,$K$8:$K$55)+SUMIF($F$8:$F$55,$O21,$L$8:$L$55)</f>
        <v>9</v>
      </c>
      <c r="T21" s="444" t="s">
        <v>57</v>
      </c>
      <c r="U21" s="40"/>
      <c r="V21" s="40" t="str">
        <f>O21</f>
        <v>Colombia</v>
      </c>
      <c r="W21" s="40" t="s">
        <v>57</v>
      </c>
      <c r="Y21" s="109">
        <f t="shared" si="8"/>
        <v>1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1</v>
      </c>
      <c r="AG21" s="108">
        <f t="shared" si="3"/>
        <v>1</v>
      </c>
      <c r="AH21" s="108">
        <f t="shared" si="4"/>
        <v>0</v>
      </c>
      <c r="AI21" s="108">
        <f t="shared" si="10"/>
        <v>0</v>
      </c>
      <c r="AJ21" s="108">
        <f t="shared" si="5"/>
        <v>0</v>
      </c>
      <c r="AK21" s="108">
        <f t="shared" si="6"/>
        <v>0</v>
      </c>
      <c r="AL21" s="108">
        <f t="shared" si="7"/>
        <v>0</v>
      </c>
      <c r="AM21" s="120">
        <f>AO21</f>
        <v>10</v>
      </c>
      <c r="AN21" s="116" t="s">
        <v>17</v>
      </c>
      <c r="AO21" s="115">
        <f>IF(Uitslag!T21="",0,IF(T21=Uitslag!T21,10,0))</f>
        <v>10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2</v>
      </c>
      <c r="H22" s="367" t="s">
        <v>9</v>
      </c>
      <c r="I22" s="440">
        <v>0</v>
      </c>
      <c r="J22" s="369">
        <f t="shared" si="0"/>
        <v>1</v>
      </c>
      <c r="K22" s="363">
        <f t="shared" si="1"/>
        <v>3</v>
      </c>
      <c r="L22" s="363">
        <f t="shared" si="2"/>
        <v>0</v>
      </c>
      <c r="M22" s="352"/>
      <c r="N22" s="352"/>
      <c r="O22" s="398" t="s">
        <v>18</v>
      </c>
      <c r="P22" s="399">
        <f>SUMIF($D$8:$D$55,$O22,$G$8:$G$55)+SUMIF($F$8:$F$55,$O22,$I$8:$I$55)</f>
        <v>2</v>
      </c>
      <c r="Q22" s="399">
        <f>SUMIF($D$8:$D$55,$O22,$I$8:$I$55)+SUMIF($F$8:$F$55,$O22,$G$8:$G$55)</f>
        <v>3</v>
      </c>
      <c r="R22" s="399">
        <f>P22-Q22</f>
        <v>-1</v>
      </c>
      <c r="S22" s="400">
        <f>SUMIF($D$8:$D$55,$O22,$K$8:$K$55)+SUMIF($F$8:$F$55,$O22,$L$8:$L$55)</f>
        <v>4</v>
      </c>
      <c r="T22" s="445" t="s">
        <v>58</v>
      </c>
      <c r="U22" s="40"/>
      <c r="V22" s="40" t="str">
        <f>O22</f>
        <v>Griekenland</v>
      </c>
      <c r="W22" s="40" t="s">
        <v>58</v>
      </c>
      <c r="Y22" s="109">
        <f t="shared" si="8"/>
        <v>6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6</v>
      </c>
      <c r="AG22" s="108">
        <f t="shared" si="3"/>
        <v>1</v>
      </c>
      <c r="AH22" s="108">
        <f t="shared" si="4"/>
        <v>0</v>
      </c>
      <c r="AI22" s="108">
        <f t="shared" si="10"/>
        <v>0</v>
      </c>
      <c r="AJ22" s="108">
        <f t="shared" si="5"/>
        <v>5</v>
      </c>
      <c r="AK22" s="108">
        <f t="shared" si="6"/>
        <v>0</v>
      </c>
      <c r="AL22" s="108">
        <f t="shared" si="7"/>
        <v>0</v>
      </c>
      <c r="AM22" s="120">
        <f>AO22</f>
        <v>10</v>
      </c>
      <c r="AN22" s="117" t="s">
        <v>18</v>
      </c>
      <c r="AO22" s="115">
        <f>IF(Uitslag!T22="",0,IF(T22=Uitslag!T22,10,0))</f>
        <v>10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2</v>
      </c>
      <c r="H23" s="373" t="s">
        <v>9</v>
      </c>
      <c r="I23" s="441">
        <v>1</v>
      </c>
      <c r="J23" s="375">
        <f t="shared" si="0"/>
        <v>1</v>
      </c>
      <c r="K23" s="363">
        <f t="shared" si="1"/>
        <v>3</v>
      </c>
      <c r="L23" s="363">
        <f t="shared" si="2"/>
        <v>0</v>
      </c>
      <c r="M23" s="352"/>
      <c r="N23" s="352"/>
      <c r="O23" s="398" t="s">
        <v>23</v>
      </c>
      <c r="P23" s="399">
        <f>SUMIF($D$8:$D$55,$O23,$G$8:$G$55)+SUMIF($F$8:$F$55,$O23,$I$8:$I$55)</f>
        <v>2</v>
      </c>
      <c r="Q23" s="399">
        <f>SUMIF($D$8:$D$55,$O23,$I$8:$I$55)+SUMIF($F$8:$F$55,$O23,$G$8:$G$55)</f>
        <v>3</v>
      </c>
      <c r="R23" s="399">
        <f>P23-Q23</f>
        <v>-1</v>
      </c>
      <c r="S23" s="400">
        <f>SUMIF($D$8:$D$55,$O23,$K$8:$K$55)+SUMIF($F$8:$F$55,$O23,$L$8:$L$55)</f>
        <v>2</v>
      </c>
      <c r="T23" s="445" t="s">
        <v>59</v>
      </c>
      <c r="U23" s="40"/>
      <c r="V23" s="40" t="str">
        <f>O23</f>
        <v>Ivoorkust</v>
      </c>
      <c r="W23" s="40" t="s">
        <v>59</v>
      </c>
      <c r="Y23" s="109">
        <f t="shared" si="8"/>
        <v>0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0</v>
      </c>
      <c r="AG23" s="108">
        <f t="shared" si="3"/>
        <v>0</v>
      </c>
      <c r="AH23" s="108">
        <f t="shared" si="4"/>
        <v>0</v>
      </c>
      <c r="AI23" s="108">
        <f t="shared" si="10"/>
        <v>0</v>
      </c>
      <c r="AJ23" s="108">
        <f t="shared" si="5"/>
        <v>0</v>
      </c>
      <c r="AK23" s="108">
        <f t="shared" si="6"/>
        <v>0</v>
      </c>
      <c r="AL23" s="108">
        <f t="shared" si="7"/>
        <v>0</v>
      </c>
      <c r="AM23" s="120">
        <f>AO23</f>
        <v>10</v>
      </c>
      <c r="AN23" s="117" t="s">
        <v>23</v>
      </c>
      <c r="AO23" s="115">
        <f>IF(Uitslag!T23="",0,IF(T23=Uitslag!T23,10,0))</f>
        <v>10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1</v>
      </c>
      <c r="H24" s="379" t="s">
        <v>9</v>
      </c>
      <c r="I24" s="442">
        <v>0</v>
      </c>
      <c r="J24" s="381">
        <f t="shared" si="0"/>
        <v>1</v>
      </c>
      <c r="K24" s="363">
        <f t="shared" si="1"/>
        <v>3</v>
      </c>
      <c r="L24" s="363">
        <f t="shared" si="2"/>
        <v>0</v>
      </c>
      <c r="M24" s="352"/>
      <c r="N24" s="352"/>
      <c r="O24" s="401" t="s">
        <v>24</v>
      </c>
      <c r="P24" s="402">
        <f>SUMIF($D$8:$D$55,$O24,$G$8:$G$55)+SUMIF($F$8:$F$55,$O24,$I$8:$I$55)</f>
        <v>0</v>
      </c>
      <c r="Q24" s="402">
        <f>SUMIF($D$8:$D$55,$O24,$I$8:$I$55)+SUMIF($F$8:$F$55,$O24,$G$8:$G$55)</f>
        <v>3</v>
      </c>
      <c r="R24" s="402">
        <f>P24-Q24</f>
        <v>-3</v>
      </c>
      <c r="S24" s="403">
        <f>SUMIF($D$8:$D$55,$O24,$K$8:$K$55)+SUMIF($F$8:$F$55,$O24,$L$8:$L$55)</f>
        <v>1</v>
      </c>
      <c r="T24" s="446" t="s">
        <v>59</v>
      </c>
      <c r="U24" s="40"/>
      <c r="V24" s="40" t="str">
        <f>O24</f>
        <v>Japan</v>
      </c>
      <c r="W24" s="40" t="s">
        <v>60</v>
      </c>
      <c r="Y24" s="109">
        <f t="shared" si="8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</v>
      </c>
      <c r="AG24" s="108">
        <f t="shared" si="3"/>
        <v>1</v>
      </c>
      <c r="AH24" s="108">
        <f t="shared" si="4"/>
        <v>0</v>
      </c>
      <c r="AI24" s="108">
        <f t="shared" si="10"/>
        <v>0</v>
      </c>
      <c r="AJ24" s="108">
        <f t="shared" si="5"/>
        <v>0</v>
      </c>
      <c r="AK24" s="108">
        <f t="shared" si="6"/>
        <v>0</v>
      </c>
      <c r="AL24" s="108">
        <f t="shared" si="7"/>
        <v>0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0</v>
      </c>
      <c r="H25" s="367" t="s">
        <v>9</v>
      </c>
      <c r="I25" s="440">
        <v>2</v>
      </c>
      <c r="J25" s="369">
        <f t="shared" si="0"/>
        <v>2</v>
      </c>
      <c r="K25" s="363">
        <f t="shared" si="1"/>
        <v>0</v>
      </c>
      <c r="L25" s="363">
        <f t="shared" si="2"/>
        <v>3</v>
      </c>
      <c r="M25" s="352"/>
      <c r="N25" s="352"/>
      <c r="O25" s="392"/>
      <c r="P25" s="393"/>
      <c r="Q25" s="393"/>
      <c r="R25" s="393"/>
      <c r="S25" s="393"/>
      <c r="T25" s="393"/>
      <c r="U25" s="40"/>
      <c r="V25" s="40"/>
      <c r="W25" s="40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3"/>
        <v>0</v>
      </c>
      <c r="AH25" s="108">
        <f t="shared" si="4"/>
        <v>0</v>
      </c>
      <c r="AI25" s="108">
        <f t="shared" si="10"/>
        <v>0</v>
      </c>
      <c r="AJ25" s="108">
        <f t="shared" si="5"/>
        <v>0</v>
      </c>
      <c r="AK25" s="108">
        <f t="shared" si="6"/>
        <v>5</v>
      </c>
      <c r="AL25" s="108">
        <f t="shared" si="7"/>
        <v>0</v>
      </c>
      <c r="AN25" s="40"/>
      <c r="AO25" s="41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2</v>
      </c>
      <c r="H26" s="373" t="s">
        <v>9</v>
      </c>
      <c r="I26" s="441">
        <v>0</v>
      </c>
      <c r="J26" s="375">
        <f t="shared" si="0"/>
        <v>1</v>
      </c>
      <c r="K26" s="363">
        <f t="shared" si="1"/>
        <v>3</v>
      </c>
      <c r="L26" s="363">
        <f t="shared" si="2"/>
        <v>0</v>
      </c>
      <c r="M26" s="352"/>
      <c r="N26" s="352"/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40"/>
      <c r="V26" s="40"/>
      <c r="W26" s="40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3"/>
        <v>0</v>
      </c>
      <c r="AH26" s="108">
        <f t="shared" si="4"/>
        <v>0</v>
      </c>
      <c r="AI26" s="108">
        <f t="shared" si="10"/>
        <v>0</v>
      </c>
      <c r="AJ26" s="108">
        <f t="shared" si="5"/>
        <v>0</v>
      </c>
      <c r="AK26" s="108">
        <f t="shared" si="6"/>
        <v>0</v>
      </c>
      <c r="AL26" s="108">
        <f t="shared" si="7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1</v>
      </c>
      <c r="H27" s="379" t="s">
        <v>9</v>
      </c>
      <c r="I27" s="442">
        <v>1</v>
      </c>
      <c r="J27" s="381">
        <f t="shared" si="0"/>
        <v>3</v>
      </c>
      <c r="K27" s="363">
        <f t="shared" si="1"/>
        <v>1</v>
      </c>
      <c r="L27" s="363">
        <f t="shared" si="2"/>
        <v>1</v>
      </c>
      <c r="M27" s="352"/>
      <c r="N27" s="352"/>
      <c r="O27" s="394" t="s">
        <v>19</v>
      </c>
      <c r="P27" s="395">
        <f>SUMIF($D$8:$D$55,$O27,$G$8:$G$55)+SUMIF($F$8:$F$55,$O27,$I$8:$I$55)</f>
        <v>7</v>
      </c>
      <c r="Q27" s="395">
        <f>SUMIF($D$8:$D$55,$O27,$I$8:$I$55)+SUMIF($F$8:$F$55,$O27,$G$8:$G$55)</f>
        <v>5</v>
      </c>
      <c r="R27" s="396">
        <f>P27-Q27</f>
        <v>2</v>
      </c>
      <c r="S27" s="397">
        <f>SUMIF($D$8:$D$55,$O27,$K$8:$K$55)+SUMIF($F$8:$F$55,$O27,$L$8:$L$55)</f>
        <v>5</v>
      </c>
      <c r="T27" s="444" t="s">
        <v>63</v>
      </c>
      <c r="U27" s="40"/>
      <c r="V27" s="40" t="str">
        <f>O27</f>
        <v>Uruguay</v>
      </c>
      <c r="W27" s="40" t="s">
        <v>62</v>
      </c>
      <c r="Y27" s="109">
        <f t="shared" si="8"/>
        <v>0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0</v>
      </c>
      <c r="AG27" s="108">
        <f t="shared" si="3"/>
        <v>0</v>
      </c>
      <c r="AH27" s="108">
        <f t="shared" si="4"/>
        <v>0</v>
      </c>
      <c r="AI27" s="108">
        <f t="shared" si="10"/>
        <v>0</v>
      </c>
      <c r="AJ27" s="108">
        <f t="shared" si="5"/>
        <v>0</v>
      </c>
      <c r="AK27" s="108">
        <f t="shared" si="6"/>
        <v>0</v>
      </c>
      <c r="AL27" s="108">
        <f t="shared" si="7"/>
        <v>0</v>
      </c>
      <c r="AM27" s="120">
        <f>AO27</f>
        <v>10</v>
      </c>
      <c r="AN27" s="116" t="s">
        <v>19</v>
      </c>
      <c r="AO27" s="115">
        <f>IF(Uitslag!T27="",0,IF(T27=Uitslag!T27,10,0))</f>
        <v>10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2</v>
      </c>
      <c r="H28" s="367" t="s">
        <v>9</v>
      </c>
      <c r="I28" s="440">
        <v>1</v>
      </c>
      <c r="J28" s="369">
        <f t="shared" si="0"/>
        <v>1</v>
      </c>
      <c r="K28" s="363">
        <f t="shared" si="1"/>
        <v>3</v>
      </c>
      <c r="L28" s="363">
        <f t="shared" si="2"/>
        <v>0</v>
      </c>
      <c r="M28" s="352"/>
      <c r="N28" s="352"/>
      <c r="O28" s="398" t="s">
        <v>20</v>
      </c>
      <c r="P28" s="399">
        <f>SUMIF($D$8:$D$55,$O28,$G$8:$G$55)+SUMIF($F$8:$F$55,$O28,$I$8:$I$55)</f>
        <v>2</v>
      </c>
      <c r="Q28" s="399">
        <f>SUMIF($D$8:$D$55,$O28,$I$8:$I$55)+SUMIF($F$8:$F$55,$O28,$G$8:$G$55)</f>
        <v>7</v>
      </c>
      <c r="R28" s="399">
        <f>P28-Q28</f>
        <v>-5</v>
      </c>
      <c r="S28" s="400">
        <f>SUMIF($D$8:$D$55,$O28,$K$8:$K$55)+SUMIF($F$8:$F$55,$O28,$L$8:$L$55)</f>
        <v>0</v>
      </c>
      <c r="T28" s="445" t="s">
        <v>65</v>
      </c>
      <c r="U28" s="40"/>
      <c r="V28" s="40" t="str">
        <f>O28</f>
        <v>Costa Rica</v>
      </c>
      <c r="W28" s="40" t="s">
        <v>63</v>
      </c>
      <c r="Y28" s="109">
        <f t="shared" si="8"/>
        <v>10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10</v>
      </c>
      <c r="AG28" s="108">
        <f t="shared" si="3"/>
        <v>1</v>
      </c>
      <c r="AH28" s="108">
        <f t="shared" si="4"/>
        <v>1</v>
      </c>
      <c r="AI28" s="108">
        <f t="shared" si="10"/>
        <v>10</v>
      </c>
      <c r="AJ28" s="108">
        <f t="shared" si="5"/>
        <v>5</v>
      </c>
      <c r="AK28" s="108">
        <f t="shared" si="6"/>
        <v>0</v>
      </c>
      <c r="AL28" s="108">
        <f t="shared" si="7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2</v>
      </c>
      <c r="H29" s="373" t="s">
        <v>9</v>
      </c>
      <c r="I29" s="441">
        <v>2</v>
      </c>
      <c r="J29" s="375">
        <f t="shared" si="0"/>
        <v>3</v>
      </c>
      <c r="K29" s="363">
        <f t="shared" si="1"/>
        <v>1</v>
      </c>
      <c r="L29" s="363">
        <f t="shared" si="2"/>
        <v>1</v>
      </c>
      <c r="M29" s="352"/>
      <c r="N29" s="352"/>
      <c r="O29" s="398" t="s">
        <v>21</v>
      </c>
      <c r="P29" s="399">
        <f>SUMIF($D$8:$D$55,$O29,$G$8:$G$55)+SUMIF($F$8:$F$55,$O29,$I$8:$I$55)</f>
        <v>4</v>
      </c>
      <c r="Q29" s="399">
        <f>SUMIF($D$8:$D$55,$O29,$I$8:$I$55)+SUMIF($F$8:$F$55,$O29,$G$8:$G$55)</f>
        <v>3</v>
      </c>
      <c r="R29" s="399">
        <f>P29-Q29</f>
        <v>1</v>
      </c>
      <c r="S29" s="400">
        <f>SUMIF($D$8:$D$55,$O29,$K$8:$K$55)+SUMIF($F$8:$F$55,$O29,$L$8:$L$55)</f>
        <v>5</v>
      </c>
      <c r="T29" s="445" t="s">
        <v>64</v>
      </c>
      <c r="U29" s="40"/>
      <c r="V29" s="40" t="str">
        <f>O29</f>
        <v>Engeland</v>
      </c>
      <c r="W29" s="40" t="s">
        <v>64</v>
      </c>
      <c r="Y29" s="109">
        <f t="shared" si="8"/>
        <v>1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1</v>
      </c>
      <c r="AG29" s="108">
        <f t="shared" si="3"/>
        <v>1</v>
      </c>
      <c r="AH29" s="108">
        <f t="shared" si="4"/>
        <v>0</v>
      </c>
      <c r="AI29" s="108">
        <f t="shared" si="10"/>
        <v>0</v>
      </c>
      <c r="AJ29" s="108">
        <f t="shared" si="5"/>
        <v>0</v>
      </c>
      <c r="AK29" s="108">
        <f t="shared" si="6"/>
        <v>0</v>
      </c>
      <c r="AL29" s="108">
        <f t="shared" si="7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0</v>
      </c>
      <c r="H30" s="379" t="s">
        <v>9</v>
      </c>
      <c r="I30" s="442">
        <v>1</v>
      </c>
      <c r="J30" s="381">
        <f t="shared" si="0"/>
        <v>2</v>
      </c>
      <c r="K30" s="363">
        <f t="shared" si="1"/>
        <v>0</v>
      </c>
      <c r="L30" s="363">
        <f t="shared" si="2"/>
        <v>3</v>
      </c>
      <c r="M30" s="352"/>
      <c r="N30" s="352"/>
      <c r="O30" s="401" t="s">
        <v>22</v>
      </c>
      <c r="P30" s="402">
        <f>SUMIF($D$8:$D$55,$O30,$G$8:$G$55)+SUMIF($F$8:$F$55,$O30,$I$8:$I$55)</f>
        <v>6</v>
      </c>
      <c r="Q30" s="402">
        <f>SUMIF($D$8:$D$55,$O30,$I$8:$I$55)+SUMIF($F$8:$F$55,$O30,$G$8:$G$55)</f>
        <v>4</v>
      </c>
      <c r="R30" s="402">
        <f>P30-Q30</f>
        <v>2</v>
      </c>
      <c r="S30" s="403">
        <f>SUMIF($D$8:$D$55,$O30,$K$8:$K$55)+SUMIF($F$8:$F$55,$O30,$L$8:$L$55)</f>
        <v>5</v>
      </c>
      <c r="T30" s="446" t="s">
        <v>62</v>
      </c>
      <c r="U30" s="40"/>
      <c r="V30" s="40" t="str">
        <f>O30</f>
        <v>Italië</v>
      </c>
      <c r="W30" s="40" t="s">
        <v>65</v>
      </c>
      <c r="Y30" s="109">
        <f t="shared" si="8"/>
        <v>1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1</v>
      </c>
      <c r="AG30" s="108">
        <f t="shared" si="3"/>
        <v>1</v>
      </c>
      <c r="AH30" s="108">
        <f t="shared" si="4"/>
        <v>0</v>
      </c>
      <c r="AI30" s="108">
        <f t="shared" si="10"/>
        <v>0</v>
      </c>
      <c r="AJ30" s="108">
        <f t="shared" si="5"/>
        <v>0</v>
      </c>
      <c r="AK30" s="108">
        <f t="shared" si="6"/>
        <v>0</v>
      </c>
      <c r="AL30" s="108">
        <f t="shared" si="7"/>
        <v>0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3</v>
      </c>
      <c r="H31" s="367" t="s">
        <v>9</v>
      </c>
      <c r="I31" s="440">
        <v>1</v>
      </c>
      <c r="J31" s="369">
        <f t="shared" si="0"/>
        <v>1</v>
      </c>
      <c r="K31" s="363">
        <f t="shared" si="1"/>
        <v>3</v>
      </c>
      <c r="L31" s="363">
        <f t="shared" si="2"/>
        <v>0</v>
      </c>
      <c r="M31" s="352"/>
      <c r="N31" s="352"/>
      <c r="O31" s="392"/>
      <c r="P31" s="393"/>
      <c r="Q31" s="393"/>
      <c r="R31" s="393"/>
      <c r="S31" s="393"/>
      <c r="T31" s="393"/>
      <c r="U31" s="40"/>
      <c r="V31" s="40"/>
      <c r="W31" s="40"/>
      <c r="Y31" s="109">
        <f t="shared" si="8"/>
        <v>1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1</v>
      </c>
      <c r="AG31" s="108">
        <f t="shared" si="3"/>
        <v>0</v>
      </c>
      <c r="AH31" s="108">
        <f t="shared" si="4"/>
        <v>1</v>
      </c>
      <c r="AI31" s="108">
        <f t="shared" si="10"/>
        <v>0</v>
      </c>
      <c r="AJ31" s="108">
        <f t="shared" si="5"/>
        <v>0</v>
      </c>
      <c r="AK31" s="108">
        <f t="shared" si="6"/>
        <v>0</v>
      </c>
      <c r="AL31" s="108">
        <f t="shared" si="7"/>
        <v>0</v>
      </c>
      <c r="AN31" s="40"/>
      <c r="AO31" s="41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1</v>
      </c>
      <c r="H32" s="373" t="s">
        <v>9</v>
      </c>
      <c r="I32" s="441">
        <v>2</v>
      </c>
      <c r="J32" s="375">
        <f t="shared" si="0"/>
        <v>2</v>
      </c>
      <c r="K32" s="363">
        <f t="shared" si="1"/>
        <v>0</v>
      </c>
      <c r="L32" s="363">
        <f t="shared" si="2"/>
        <v>3</v>
      </c>
      <c r="M32" s="352"/>
      <c r="N32" s="352"/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40"/>
      <c r="V32" s="40"/>
      <c r="W32" s="40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3"/>
        <v>0</v>
      </c>
      <c r="AH32" s="108">
        <f t="shared" si="4"/>
        <v>0</v>
      </c>
      <c r="AI32" s="108">
        <f t="shared" si="10"/>
        <v>0</v>
      </c>
      <c r="AJ32" s="108">
        <f t="shared" si="5"/>
        <v>0</v>
      </c>
      <c r="AK32" s="108">
        <f t="shared" si="6"/>
        <v>5</v>
      </c>
      <c r="AL32" s="108">
        <f t="shared" si="7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0</v>
      </c>
      <c r="H33" s="379" t="s">
        <v>9</v>
      </c>
      <c r="I33" s="442">
        <v>0</v>
      </c>
      <c r="J33" s="381">
        <f t="shared" si="0"/>
        <v>3</v>
      </c>
      <c r="K33" s="363">
        <f t="shared" si="1"/>
        <v>1</v>
      </c>
      <c r="L33" s="363">
        <f t="shared" si="2"/>
        <v>1</v>
      </c>
      <c r="M33" s="352"/>
      <c r="N33" s="352"/>
      <c r="O33" s="394" t="s">
        <v>25</v>
      </c>
      <c r="P33" s="395">
        <f>SUMIF($D$8:$D$55,$O33,$G$8:$G$55)+SUMIF($F$8:$F$55,$O33,$I$8:$I$55)</f>
        <v>6</v>
      </c>
      <c r="Q33" s="395">
        <f>SUMIF($D$8:$D$55,$O33,$I$8:$I$55)+SUMIF($F$8:$F$55,$O33,$G$8:$G$55)</f>
        <v>3</v>
      </c>
      <c r="R33" s="396">
        <f>P33-Q33</f>
        <v>3</v>
      </c>
      <c r="S33" s="397">
        <f>SUMIF($D$8:$D$55,$O33,$K$8:$K$55)+SUMIF($F$8:$F$55,$O33,$L$8:$L$55)</f>
        <v>6</v>
      </c>
      <c r="T33" s="444" t="s">
        <v>68</v>
      </c>
      <c r="U33" s="40"/>
      <c r="V33" s="40" t="str">
        <f>O33</f>
        <v>Zwitserland</v>
      </c>
      <c r="W33" s="40" t="s">
        <v>67</v>
      </c>
      <c r="Y33" s="109">
        <f t="shared" si="8"/>
        <v>0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0</v>
      </c>
      <c r="AG33" s="108">
        <f t="shared" si="3"/>
        <v>0</v>
      </c>
      <c r="AH33" s="108">
        <f t="shared" si="4"/>
        <v>0</v>
      </c>
      <c r="AI33" s="108">
        <f t="shared" si="10"/>
        <v>0</v>
      </c>
      <c r="AJ33" s="108">
        <f t="shared" si="5"/>
        <v>0</v>
      </c>
      <c r="AK33" s="108">
        <f t="shared" si="6"/>
        <v>0</v>
      </c>
      <c r="AL33" s="108">
        <f t="shared" si="7"/>
        <v>0</v>
      </c>
      <c r="AM33" s="120">
        <f>AO33</f>
        <v>10</v>
      </c>
      <c r="AN33" s="116" t="s">
        <v>25</v>
      </c>
      <c r="AO33" s="115">
        <f>IF(Uitslag!T33="",0,IF(T33=Uitslag!T33,10,0))</f>
        <v>10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4</v>
      </c>
      <c r="H34" s="367" t="s">
        <v>9</v>
      </c>
      <c r="I34" s="440">
        <v>1</v>
      </c>
      <c r="J34" s="369">
        <f t="shared" si="0"/>
        <v>1</v>
      </c>
      <c r="K34" s="363">
        <f t="shared" si="1"/>
        <v>3</v>
      </c>
      <c r="L34" s="363">
        <f t="shared" si="2"/>
        <v>0</v>
      </c>
      <c r="M34" s="352"/>
      <c r="N34" s="352"/>
      <c r="O34" s="398" t="s">
        <v>26</v>
      </c>
      <c r="P34" s="399">
        <f>SUMIF($D$8:$D$55,$O34,$G$8:$G$55)+SUMIF($F$8:$F$55,$O34,$I$8:$I$55)</f>
        <v>0</v>
      </c>
      <c r="Q34" s="399">
        <f>SUMIF($D$8:$D$55,$O34,$I$8:$I$55)+SUMIF($F$8:$F$55,$O34,$G$8:$G$55)</f>
        <v>4</v>
      </c>
      <c r="R34" s="399">
        <f>P34-Q34</f>
        <v>-4</v>
      </c>
      <c r="S34" s="400">
        <f>SUMIF($D$8:$D$55,$O34,$K$8:$K$55)+SUMIF($F$8:$F$55,$O34,$L$8:$L$55)</f>
        <v>1</v>
      </c>
      <c r="T34" s="445" t="s">
        <v>69</v>
      </c>
      <c r="U34" s="40"/>
      <c r="V34" s="40" t="str">
        <f>O34</f>
        <v>Ecuador</v>
      </c>
      <c r="W34" s="40" t="s">
        <v>68</v>
      </c>
      <c r="Y34" s="109">
        <f t="shared" si="8"/>
        <v>5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5</v>
      </c>
      <c r="AG34" s="108">
        <f t="shared" si="3"/>
        <v>0</v>
      </c>
      <c r="AH34" s="108">
        <f t="shared" si="4"/>
        <v>0</v>
      </c>
      <c r="AI34" s="108">
        <f t="shared" si="10"/>
        <v>0</v>
      </c>
      <c r="AJ34" s="108">
        <f t="shared" si="5"/>
        <v>5</v>
      </c>
      <c r="AK34" s="108">
        <f t="shared" si="6"/>
        <v>0</v>
      </c>
      <c r="AL34" s="108">
        <f t="shared" si="7"/>
        <v>0</v>
      </c>
      <c r="AM34" s="120">
        <f>AO34</f>
        <v>10</v>
      </c>
      <c r="AN34" s="117" t="s">
        <v>26</v>
      </c>
      <c r="AO34" s="115">
        <f>IF(Uitslag!T34="",0,IF(T34=Uitslag!T34,10,0))</f>
        <v>10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2</v>
      </c>
      <c r="H35" s="373" t="s">
        <v>9</v>
      </c>
      <c r="I35" s="441">
        <v>0</v>
      </c>
      <c r="J35" s="375">
        <f t="shared" si="0"/>
        <v>1</v>
      </c>
      <c r="K35" s="363">
        <f t="shared" si="1"/>
        <v>3</v>
      </c>
      <c r="L35" s="363">
        <f t="shared" si="2"/>
        <v>0</v>
      </c>
      <c r="M35" s="352"/>
      <c r="N35" s="352"/>
      <c r="O35" s="398" t="s">
        <v>27</v>
      </c>
      <c r="P35" s="399">
        <f>SUMIF($D$8:$D$55,$O35,$G$8:$G$55)+SUMIF($F$8:$F$55,$O35,$I$8:$I$55)</f>
        <v>7</v>
      </c>
      <c r="Q35" s="399">
        <f>SUMIF($D$8:$D$55,$O35,$I$8:$I$55)+SUMIF($F$8:$F$55,$O35,$G$8:$G$55)</f>
        <v>2</v>
      </c>
      <c r="R35" s="399">
        <f>P35-Q35</f>
        <v>5</v>
      </c>
      <c r="S35" s="400">
        <f>SUMIF($D$8:$D$55,$O35,$K$8:$K$55)+SUMIF($F$8:$F$55,$O35,$L$8:$L$55)</f>
        <v>9</v>
      </c>
      <c r="T35" s="445" t="s">
        <v>67</v>
      </c>
      <c r="U35" s="40"/>
      <c r="V35" s="40" t="str">
        <f>O35</f>
        <v>Frankrijk</v>
      </c>
      <c r="W35" s="40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3"/>
        <v>1</v>
      </c>
      <c r="AH35" s="108">
        <f t="shared" si="4"/>
        <v>0</v>
      </c>
      <c r="AI35" s="108">
        <f t="shared" si="10"/>
        <v>0</v>
      </c>
      <c r="AJ35" s="108">
        <f t="shared" si="5"/>
        <v>0</v>
      </c>
      <c r="AK35" s="108">
        <f t="shared" si="6"/>
        <v>0</v>
      </c>
      <c r="AL35" s="108">
        <f t="shared" si="7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1</v>
      </c>
      <c r="H36" s="379" t="s">
        <v>9</v>
      </c>
      <c r="I36" s="442">
        <v>1</v>
      </c>
      <c r="J36" s="381">
        <f t="shared" si="0"/>
        <v>3</v>
      </c>
      <c r="K36" s="363">
        <f t="shared" si="1"/>
        <v>1</v>
      </c>
      <c r="L36" s="363">
        <f t="shared" si="2"/>
        <v>1</v>
      </c>
      <c r="M36" s="352"/>
      <c r="N36" s="352"/>
      <c r="O36" s="401" t="s">
        <v>28</v>
      </c>
      <c r="P36" s="402">
        <f>SUMIF($D$8:$D$55,$O36,$G$8:$G$55)+SUMIF($F$8:$F$55,$O36,$I$8:$I$55)</f>
        <v>2</v>
      </c>
      <c r="Q36" s="402">
        <f>SUMIF($D$8:$D$55,$O36,$I$8:$I$55)+SUMIF($F$8:$F$55,$O36,$G$8:$G$55)</f>
        <v>6</v>
      </c>
      <c r="R36" s="402">
        <f>P36-Q36</f>
        <v>-4</v>
      </c>
      <c r="S36" s="403">
        <f>SUMIF($D$8:$D$55,$O36,$K$8:$K$55)+SUMIF($F$8:$F$55,$O36,$L$8:$L$55)</f>
        <v>1</v>
      </c>
      <c r="T36" s="446" t="s">
        <v>70</v>
      </c>
      <c r="U36" s="40"/>
      <c r="V36" s="40" t="str">
        <f>O36</f>
        <v>Honduras</v>
      </c>
      <c r="W36" s="40" t="s">
        <v>70</v>
      </c>
      <c r="Y36" s="109">
        <f t="shared" si="8"/>
        <v>1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1</v>
      </c>
      <c r="AG36" s="108">
        <f t="shared" si="3"/>
        <v>1</v>
      </c>
      <c r="AH36" s="108">
        <f t="shared" si="4"/>
        <v>0</v>
      </c>
      <c r="AI36" s="108">
        <f t="shared" si="10"/>
        <v>0</v>
      </c>
      <c r="AJ36" s="108">
        <f t="shared" si="5"/>
        <v>0</v>
      </c>
      <c r="AK36" s="108">
        <f t="shared" si="6"/>
        <v>0</v>
      </c>
      <c r="AL36" s="108">
        <f t="shared" si="7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1</v>
      </c>
      <c r="H37" s="367" t="s">
        <v>9</v>
      </c>
      <c r="I37" s="440">
        <v>1</v>
      </c>
      <c r="J37" s="369">
        <f t="shared" si="0"/>
        <v>3</v>
      </c>
      <c r="K37" s="363">
        <f t="shared" si="1"/>
        <v>1</v>
      </c>
      <c r="L37" s="363">
        <f t="shared" si="2"/>
        <v>1</v>
      </c>
      <c r="M37" s="352"/>
      <c r="N37" s="352"/>
      <c r="O37" s="392"/>
      <c r="P37" s="393"/>
      <c r="Q37" s="393"/>
      <c r="R37" s="393"/>
      <c r="S37" s="393"/>
      <c r="T37" s="393"/>
      <c r="U37" s="40"/>
      <c r="V37" s="40"/>
      <c r="W37" s="40"/>
      <c r="Y37" s="109">
        <f t="shared" si="8"/>
        <v>1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1</v>
      </c>
      <c r="AG37" s="108">
        <f t="shared" si="3"/>
        <v>1</v>
      </c>
      <c r="AH37" s="108">
        <f t="shared" si="4"/>
        <v>0</v>
      </c>
      <c r="AI37" s="108">
        <f t="shared" si="10"/>
        <v>0</v>
      </c>
      <c r="AJ37" s="108">
        <f t="shared" si="5"/>
        <v>0</v>
      </c>
      <c r="AK37" s="108">
        <f t="shared" si="6"/>
        <v>0</v>
      </c>
      <c r="AL37" s="108">
        <f t="shared" si="7"/>
        <v>0</v>
      </c>
      <c r="AN37" s="40"/>
      <c r="AO37" s="41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2</v>
      </c>
      <c r="H38" s="373" t="s">
        <v>9</v>
      </c>
      <c r="I38" s="441">
        <v>1</v>
      </c>
      <c r="J38" s="375">
        <f t="shared" si="0"/>
        <v>1</v>
      </c>
      <c r="K38" s="363">
        <f t="shared" si="1"/>
        <v>3</v>
      </c>
      <c r="L38" s="363">
        <f t="shared" si="2"/>
        <v>0</v>
      </c>
      <c r="M38" s="352"/>
      <c r="N38" s="352"/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40"/>
      <c r="V38" s="40"/>
      <c r="W38" s="40"/>
      <c r="Y38" s="109">
        <f t="shared" si="8"/>
        <v>1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1</v>
      </c>
      <c r="AG38" s="108">
        <f t="shared" si="3"/>
        <v>1</v>
      </c>
      <c r="AH38" s="108">
        <f t="shared" si="4"/>
        <v>0</v>
      </c>
      <c r="AI38" s="108">
        <f t="shared" si="10"/>
        <v>0</v>
      </c>
      <c r="AJ38" s="108">
        <f t="shared" si="5"/>
        <v>0</v>
      </c>
      <c r="AK38" s="108">
        <f t="shared" si="6"/>
        <v>0</v>
      </c>
      <c r="AL38" s="108">
        <f t="shared" si="7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0</v>
      </c>
      <c r="H39" s="379" t="s">
        <v>9</v>
      </c>
      <c r="I39" s="442">
        <v>2</v>
      </c>
      <c r="J39" s="381">
        <f t="shared" si="0"/>
        <v>2</v>
      </c>
      <c r="K39" s="363">
        <f t="shared" si="1"/>
        <v>0</v>
      </c>
      <c r="L39" s="363">
        <f t="shared" si="2"/>
        <v>3</v>
      </c>
      <c r="M39" s="352"/>
      <c r="N39" s="352"/>
      <c r="O39" s="394" t="s">
        <v>29</v>
      </c>
      <c r="P39" s="395">
        <f>SUMIF($D$8:$D$55,$O39,$G$8:$G$55)+SUMIF($F$8:$F$55,$O39,$I$8:$I$55)</f>
        <v>8</v>
      </c>
      <c r="Q39" s="395">
        <f>SUMIF($D$8:$D$55,$O39,$I$8:$I$55)+SUMIF($F$8:$F$55,$O39,$G$8:$G$55)</f>
        <v>2</v>
      </c>
      <c r="R39" s="396">
        <f>P39-Q39</f>
        <v>6</v>
      </c>
      <c r="S39" s="397">
        <f>SUMIF($D$8:$D$55,$O39,$K$8:$K$55)+SUMIF($F$8:$F$55,$O39,$L$8:$L$55)</f>
        <v>9</v>
      </c>
      <c r="T39" s="444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1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1</v>
      </c>
      <c r="AG39" s="108">
        <f t="shared" si="3"/>
        <v>0</v>
      </c>
      <c r="AH39" s="108">
        <f t="shared" si="4"/>
        <v>1</v>
      </c>
      <c r="AI39" s="108">
        <f t="shared" si="10"/>
        <v>0</v>
      </c>
      <c r="AJ39" s="108">
        <f t="shared" si="5"/>
        <v>0</v>
      </c>
      <c r="AK39" s="108">
        <f t="shared" si="6"/>
        <v>0</v>
      </c>
      <c r="AL39" s="108">
        <f t="shared" si="7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0</v>
      </c>
      <c r="H40" s="367" t="s">
        <v>9</v>
      </c>
      <c r="I40" s="440">
        <v>3</v>
      </c>
      <c r="J40" s="369">
        <f t="shared" si="0"/>
        <v>2</v>
      </c>
      <c r="K40" s="363">
        <f t="shared" si="1"/>
        <v>0</v>
      </c>
      <c r="L40" s="363">
        <f t="shared" si="2"/>
        <v>3</v>
      </c>
      <c r="M40" s="352"/>
      <c r="N40" s="352"/>
      <c r="O40" s="398" t="s">
        <v>30</v>
      </c>
      <c r="P40" s="399">
        <f>SUMIF($D$8:$D$55,$O40,$G$8:$G$55)+SUMIF($F$8:$F$55,$O40,$I$8:$I$55)</f>
        <v>3</v>
      </c>
      <c r="Q40" s="399">
        <f>SUMIF($D$8:$D$55,$O40,$I$8:$I$55)+SUMIF($F$8:$F$55,$O40,$G$8:$G$55)</f>
        <v>3</v>
      </c>
      <c r="R40" s="399">
        <f>P40-Q40</f>
        <v>0</v>
      </c>
      <c r="S40" s="400">
        <f>SUMIF($D$8:$D$55,$O40,$K$8:$K$55)+SUMIF($F$8:$F$55,$O40,$L$8:$L$55)</f>
        <v>4</v>
      </c>
      <c r="T40" s="445" t="s">
        <v>74</v>
      </c>
      <c r="U40" s="40"/>
      <c r="V40" s="40" t="str">
        <f>O40</f>
        <v>Bosnië H.</v>
      </c>
      <c r="W40" s="40" t="s">
        <v>73</v>
      </c>
      <c r="Y40" s="109">
        <f t="shared" si="8"/>
        <v>10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10</v>
      </c>
      <c r="AG40" s="108">
        <f t="shared" si="3"/>
        <v>1</v>
      </c>
      <c r="AH40" s="108">
        <f t="shared" si="4"/>
        <v>1</v>
      </c>
      <c r="AI40" s="108">
        <f t="shared" si="10"/>
        <v>10</v>
      </c>
      <c r="AJ40" s="108">
        <f t="shared" si="5"/>
        <v>0</v>
      </c>
      <c r="AK40" s="108">
        <f t="shared" si="6"/>
        <v>5</v>
      </c>
      <c r="AL40" s="108">
        <f t="shared" si="7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2</v>
      </c>
      <c r="H41" s="373" t="s">
        <v>9</v>
      </c>
      <c r="I41" s="441">
        <v>1</v>
      </c>
      <c r="J41" s="375">
        <f t="shared" si="0"/>
        <v>1</v>
      </c>
      <c r="K41" s="363">
        <f t="shared" si="1"/>
        <v>3</v>
      </c>
      <c r="L41" s="363">
        <f t="shared" si="2"/>
        <v>0</v>
      </c>
      <c r="M41" s="352"/>
      <c r="N41" s="352"/>
      <c r="O41" s="398" t="s">
        <v>33</v>
      </c>
      <c r="P41" s="399">
        <f>SUMIF($D$8:$D$55,$O41,$G$8:$G$55)+SUMIF($F$8:$F$55,$O41,$I$8:$I$55)</f>
        <v>1</v>
      </c>
      <c r="Q41" s="399">
        <f>SUMIF($D$8:$D$55,$O41,$I$8:$I$55)+SUMIF($F$8:$F$55,$O41,$G$8:$G$55)</f>
        <v>8</v>
      </c>
      <c r="R41" s="399">
        <f>P41-Q41</f>
        <v>-7</v>
      </c>
      <c r="S41" s="400">
        <f>SUMIF($D$8:$D$55,$O41,$K$8:$K$55)+SUMIF($F$8:$F$55,$O41,$L$8:$L$55)</f>
        <v>0</v>
      </c>
      <c r="T41" s="445" t="s">
        <v>75</v>
      </c>
      <c r="U41" s="40"/>
      <c r="V41" s="40" t="str">
        <f>O41</f>
        <v>Iran</v>
      </c>
      <c r="W41" s="40" t="s">
        <v>74</v>
      </c>
      <c r="Y41" s="109">
        <f t="shared" si="8"/>
        <v>6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6</v>
      </c>
      <c r="AG41" s="108">
        <f t="shared" si="3"/>
        <v>1</v>
      </c>
      <c r="AH41" s="108">
        <f t="shared" si="4"/>
        <v>0</v>
      </c>
      <c r="AI41" s="108">
        <f t="shared" si="10"/>
        <v>0</v>
      </c>
      <c r="AJ41" s="108">
        <f t="shared" si="5"/>
        <v>5</v>
      </c>
      <c r="AK41" s="108">
        <f t="shared" si="6"/>
        <v>0</v>
      </c>
      <c r="AL41" s="108">
        <f t="shared" si="7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0</v>
      </c>
      <c r="H42" s="373" t="s">
        <v>9</v>
      </c>
      <c r="I42" s="441">
        <v>2</v>
      </c>
      <c r="J42" s="375">
        <f t="shared" si="0"/>
        <v>2</v>
      </c>
      <c r="K42" s="363">
        <f t="shared" si="1"/>
        <v>0</v>
      </c>
      <c r="L42" s="363">
        <f t="shared" si="2"/>
        <v>3</v>
      </c>
      <c r="M42" s="352"/>
      <c r="N42" s="352"/>
      <c r="O42" s="401" t="s">
        <v>34</v>
      </c>
      <c r="P42" s="402">
        <f>SUMIF($D$8:$D$55,$O42,$G$8:$G$55)+SUMIF($F$8:$F$55,$O42,$I$8:$I$55)</f>
        <v>4</v>
      </c>
      <c r="Q42" s="402">
        <f>SUMIF($D$8:$D$55,$O42,$I$8:$I$55)+SUMIF($F$8:$F$55,$O42,$G$8:$G$55)</f>
        <v>3</v>
      </c>
      <c r="R42" s="402">
        <f>P42-Q42</f>
        <v>1</v>
      </c>
      <c r="S42" s="403">
        <f>SUMIF($D$8:$D$55,$O42,$K$8:$K$55)+SUMIF($F$8:$F$55,$O42,$L$8:$L$55)</f>
        <v>4</v>
      </c>
      <c r="T42" s="446" t="s">
        <v>73</v>
      </c>
      <c r="U42" s="40"/>
      <c r="V42" s="40" t="str">
        <f>O42</f>
        <v>Nigeria</v>
      </c>
      <c r="W42" s="40" t="s">
        <v>75</v>
      </c>
      <c r="Y42" s="109">
        <f t="shared" si="8"/>
        <v>5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5</v>
      </c>
      <c r="AG42" s="108">
        <f t="shared" si="3"/>
        <v>0</v>
      </c>
      <c r="AH42" s="108">
        <f t="shared" si="4"/>
        <v>0</v>
      </c>
      <c r="AI42" s="108">
        <f t="shared" si="10"/>
        <v>0</v>
      </c>
      <c r="AJ42" s="108">
        <f t="shared" si="5"/>
        <v>0</v>
      </c>
      <c r="AK42" s="108">
        <f t="shared" si="6"/>
        <v>5</v>
      </c>
      <c r="AL42" s="108">
        <f t="shared" si="7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1</v>
      </c>
      <c r="H43" s="379" t="s">
        <v>9</v>
      </c>
      <c r="I43" s="442">
        <v>1</v>
      </c>
      <c r="J43" s="381">
        <f t="shared" si="0"/>
        <v>3</v>
      </c>
      <c r="K43" s="363">
        <f t="shared" si="1"/>
        <v>1</v>
      </c>
      <c r="L43" s="363">
        <f t="shared" si="2"/>
        <v>1</v>
      </c>
      <c r="M43" s="352"/>
      <c r="N43" s="352"/>
      <c r="O43" s="392"/>
      <c r="P43" s="393"/>
      <c r="Q43" s="393"/>
      <c r="R43" s="393"/>
      <c r="S43" s="393"/>
      <c r="T43" s="393"/>
      <c r="U43" s="40"/>
      <c r="V43" s="40"/>
      <c r="W43" s="40"/>
      <c r="Y43" s="109">
        <f t="shared" si="8"/>
        <v>1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1</v>
      </c>
      <c r="AG43" s="108">
        <f t="shared" si="3"/>
        <v>1</v>
      </c>
      <c r="AH43" s="108">
        <f t="shared" si="4"/>
        <v>0</v>
      </c>
      <c r="AI43" s="108">
        <f t="shared" si="10"/>
        <v>0</v>
      </c>
      <c r="AJ43" s="108">
        <f t="shared" si="5"/>
        <v>0</v>
      </c>
      <c r="AK43" s="108">
        <f t="shared" si="6"/>
        <v>0</v>
      </c>
      <c r="AL43" s="108">
        <f t="shared" si="7"/>
        <v>0</v>
      </c>
      <c r="AN43" s="40"/>
      <c r="AO43" s="41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2</v>
      </c>
      <c r="H44" s="367" t="s">
        <v>9</v>
      </c>
      <c r="I44" s="440">
        <v>2</v>
      </c>
      <c r="J44" s="369">
        <f t="shared" si="0"/>
        <v>3</v>
      </c>
      <c r="K44" s="363">
        <f t="shared" si="1"/>
        <v>1</v>
      </c>
      <c r="L44" s="363">
        <f t="shared" si="2"/>
        <v>1</v>
      </c>
      <c r="M44" s="352"/>
      <c r="N44" s="352"/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40"/>
      <c r="V44" s="40"/>
      <c r="W44" s="40"/>
      <c r="Y44" s="109">
        <f t="shared" si="8"/>
        <v>0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0</v>
      </c>
      <c r="AG44" s="108">
        <f t="shared" si="3"/>
        <v>0</v>
      </c>
      <c r="AH44" s="108">
        <f t="shared" si="4"/>
        <v>0</v>
      </c>
      <c r="AI44" s="108">
        <f t="shared" si="10"/>
        <v>0</v>
      </c>
      <c r="AJ44" s="108">
        <f t="shared" si="5"/>
        <v>0</v>
      </c>
      <c r="AK44" s="108">
        <f t="shared" si="6"/>
        <v>0</v>
      </c>
      <c r="AL44" s="108">
        <f t="shared" si="7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0</v>
      </c>
      <c r="H45" s="373" t="s">
        <v>9</v>
      </c>
      <c r="I45" s="441">
        <v>1</v>
      </c>
      <c r="J45" s="375">
        <f t="shared" si="0"/>
        <v>2</v>
      </c>
      <c r="K45" s="363">
        <f t="shared" si="1"/>
        <v>0</v>
      </c>
      <c r="L45" s="363">
        <f t="shared" si="2"/>
        <v>3</v>
      </c>
      <c r="M45" s="352"/>
      <c r="N45" s="352"/>
      <c r="O45" s="394" t="s">
        <v>31</v>
      </c>
      <c r="P45" s="395">
        <f>SUMIF($D$8:$D$55,$O45,$G$8:$G$55)+SUMIF($F$8:$F$55,$O45,$I$8:$I$55)</f>
        <v>7</v>
      </c>
      <c r="Q45" s="395">
        <f>SUMIF($D$8:$D$55,$O45,$I$8:$I$55)+SUMIF($F$8:$F$55,$O45,$G$8:$G$55)</f>
        <v>3</v>
      </c>
      <c r="R45" s="396">
        <f>P45-Q45</f>
        <v>4</v>
      </c>
      <c r="S45" s="397">
        <f>SUMIF($D$8:$D$55,$O45,$K$8:$K$55)+SUMIF($F$8:$F$55,$O45,$L$8:$L$55)</f>
        <v>7</v>
      </c>
      <c r="T45" s="444" t="s">
        <v>77</v>
      </c>
      <c r="U45" s="40"/>
      <c r="V45" s="40" t="str">
        <f>O45</f>
        <v>Duitsland</v>
      </c>
      <c r="W45" s="40" t="s">
        <v>77</v>
      </c>
      <c r="Y45" s="109">
        <f t="shared" si="8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1</v>
      </c>
      <c r="AG45" s="108">
        <f t="shared" si="3"/>
        <v>1</v>
      </c>
      <c r="AH45" s="108">
        <f t="shared" si="4"/>
        <v>0</v>
      </c>
      <c r="AI45" s="108">
        <f t="shared" si="10"/>
        <v>0</v>
      </c>
      <c r="AJ45" s="108">
        <f t="shared" si="5"/>
        <v>0</v>
      </c>
      <c r="AK45" s="108">
        <f t="shared" si="6"/>
        <v>0</v>
      </c>
      <c r="AL45" s="108">
        <f t="shared" si="7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0</v>
      </c>
      <c r="H46" s="373" t="s">
        <v>9</v>
      </c>
      <c r="I46" s="441">
        <v>2</v>
      </c>
      <c r="J46" s="375">
        <f t="shared" si="0"/>
        <v>2</v>
      </c>
      <c r="K46" s="363">
        <f t="shared" si="1"/>
        <v>0</v>
      </c>
      <c r="L46" s="363">
        <f t="shared" si="2"/>
        <v>3</v>
      </c>
      <c r="M46" s="352"/>
      <c r="N46" s="352"/>
      <c r="O46" s="398" t="s">
        <v>32</v>
      </c>
      <c r="P46" s="399">
        <f>SUMIF($D$8:$D$55,$O46,$G$8:$G$55)+SUMIF($F$8:$F$55,$O46,$I$8:$I$55)</f>
        <v>6</v>
      </c>
      <c r="Q46" s="399">
        <f>SUMIF($D$8:$D$55,$O46,$I$8:$I$55)+SUMIF($F$8:$F$55,$O46,$G$8:$G$55)</f>
        <v>2</v>
      </c>
      <c r="R46" s="399">
        <f>P46-Q46</f>
        <v>4</v>
      </c>
      <c r="S46" s="400">
        <f>SUMIF($D$8:$D$55,$O46,$K$8:$K$55)+SUMIF($F$8:$F$55,$O46,$L$8:$L$55)</f>
        <v>7</v>
      </c>
      <c r="T46" s="445" t="s">
        <v>78</v>
      </c>
      <c r="U46" s="40"/>
      <c r="V46" s="40" t="str">
        <f>O46</f>
        <v>Portugal</v>
      </c>
      <c r="W46" s="40" t="s">
        <v>78</v>
      </c>
      <c r="Y46" s="109">
        <f t="shared" si="8"/>
        <v>5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5</v>
      </c>
      <c r="AG46" s="108">
        <f t="shared" si="3"/>
        <v>0</v>
      </c>
      <c r="AH46" s="108">
        <f t="shared" si="4"/>
        <v>0</v>
      </c>
      <c r="AI46" s="108">
        <f t="shared" si="10"/>
        <v>0</v>
      </c>
      <c r="AJ46" s="108">
        <f t="shared" si="5"/>
        <v>0</v>
      </c>
      <c r="AK46" s="108">
        <f t="shared" si="6"/>
        <v>5</v>
      </c>
      <c r="AL46" s="108">
        <f t="shared" si="7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1</v>
      </c>
      <c r="H47" s="379" t="s">
        <v>9</v>
      </c>
      <c r="I47" s="442">
        <v>1</v>
      </c>
      <c r="J47" s="381">
        <f t="shared" si="0"/>
        <v>3</v>
      </c>
      <c r="K47" s="363">
        <f t="shared" si="1"/>
        <v>1</v>
      </c>
      <c r="L47" s="363">
        <f t="shared" si="2"/>
        <v>1</v>
      </c>
      <c r="M47" s="352"/>
      <c r="N47" s="352"/>
      <c r="O47" s="398" t="s">
        <v>35</v>
      </c>
      <c r="P47" s="399">
        <f>SUMIF($D$8:$D$55,$O47,$G$8:$G$55)+SUMIF($F$8:$F$55,$O47,$I$8:$I$55)</f>
        <v>1</v>
      </c>
      <c r="Q47" s="399">
        <f>SUMIF($D$8:$D$55,$O47,$I$8:$I$55)+SUMIF($F$8:$F$55,$O47,$G$8:$G$55)</f>
        <v>5</v>
      </c>
      <c r="R47" s="399">
        <f>P47-Q47</f>
        <v>-4</v>
      </c>
      <c r="S47" s="400">
        <f>SUMIF($D$8:$D$55,$O47,$K$8:$K$55)+SUMIF($F$8:$F$55,$O47,$L$8:$L$55)</f>
        <v>1</v>
      </c>
      <c r="T47" s="445" t="s">
        <v>80</v>
      </c>
      <c r="U47" s="40"/>
      <c r="V47" s="40" t="str">
        <f>O47</f>
        <v>Ghana</v>
      </c>
      <c r="W47" s="40" t="s">
        <v>79</v>
      </c>
      <c r="Y47" s="109">
        <f t="shared" si="8"/>
        <v>1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1</v>
      </c>
      <c r="AG47" s="108">
        <f t="shared" si="3"/>
        <v>0</v>
      </c>
      <c r="AH47" s="108">
        <f t="shared" si="4"/>
        <v>1</v>
      </c>
      <c r="AI47" s="108">
        <f t="shared" si="10"/>
        <v>0</v>
      </c>
      <c r="AJ47" s="108">
        <f t="shared" si="5"/>
        <v>0</v>
      </c>
      <c r="AK47" s="108">
        <f t="shared" si="6"/>
        <v>0</v>
      </c>
      <c r="AL47" s="108">
        <f t="shared" si="7"/>
        <v>0</v>
      </c>
      <c r="AM47" s="120">
        <f>AO47</f>
        <v>10</v>
      </c>
      <c r="AN47" s="117" t="s">
        <v>35</v>
      </c>
      <c r="AO47" s="115">
        <f>IF(Uitslag!T47="",0,IF(T47=Uitslag!T47,10,0))</f>
        <v>10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1</v>
      </c>
      <c r="H48" s="367" t="s">
        <v>9</v>
      </c>
      <c r="I48" s="440">
        <v>2</v>
      </c>
      <c r="J48" s="369">
        <f t="shared" si="0"/>
        <v>2</v>
      </c>
      <c r="K48" s="363">
        <f t="shared" si="1"/>
        <v>0</v>
      </c>
      <c r="L48" s="363">
        <f t="shared" si="2"/>
        <v>3</v>
      </c>
      <c r="M48" s="352"/>
      <c r="N48" s="352"/>
      <c r="O48" s="401" t="s">
        <v>36</v>
      </c>
      <c r="P48" s="402">
        <f>SUMIF($D$8:$D$55,$O48,$G$8:$G$55)+SUMIF($F$8:$F$55,$O48,$I$8:$I$55)</f>
        <v>2</v>
      </c>
      <c r="Q48" s="402">
        <f>SUMIF($D$8:$D$55,$O48,$I$8:$I$55)+SUMIF($F$8:$F$55,$O48,$G$8:$G$55)</f>
        <v>6</v>
      </c>
      <c r="R48" s="402">
        <f>P48-Q48</f>
        <v>-4</v>
      </c>
      <c r="S48" s="403">
        <f>SUMIF($D$8:$D$55,$O48,$K$8:$K$55)+SUMIF($F$8:$F$55,$O48,$L$8:$L$55)</f>
        <v>1</v>
      </c>
      <c r="T48" s="446" t="s">
        <v>79</v>
      </c>
      <c r="U48" s="40"/>
      <c r="V48" s="40" t="str">
        <f>O48</f>
        <v>Verenigde Staten</v>
      </c>
      <c r="W48" s="40" t="s">
        <v>80</v>
      </c>
      <c r="Y48" s="109">
        <f t="shared" si="8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5</v>
      </c>
      <c r="AG48" s="108">
        <f t="shared" si="3"/>
        <v>0</v>
      </c>
      <c r="AH48" s="108">
        <f t="shared" si="4"/>
        <v>0</v>
      </c>
      <c r="AI48" s="108">
        <f t="shared" si="10"/>
        <v>0</v>
      </c>
      <c r="AJ48" s="108">
        <f t="shared" si="5"/>
        <v>0</v>
      </c>
      <c r="AK48" s="108">
        <f t="shared" si="6"/>
        <v>5</v>
      </c>
      <c r="AL48" s="108">
        <f t="shared" si="7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2</v>
      </c>
      <c r="H49" s="373" t="s">
        <v>9</v>
      </c>
      <c r="I49" s="441">
        <v>0</v>
      </c>
      <c r="J49" s="375">
        <f t="shared" si="0"/>
        <v>1</v>
      </c>
      <c r="K49" s="363">
        <f t="shared" si="1"/>
        <v>3</v>
      </c>
      <c r="L49" s="363">
        <f t="shared" si="2"/>
        <v>0</v>
      </c>
      <c r="M49" s="352"/>
      <c r="N49" s="352"/>
      <c r="O49" s="392"/>
      <c r="P49" s="393"/>
      <c r="Q49" s="393"/>
      <c r="R49" s="393"/>
      <c r="S49" s="393"/>
      <c r="T49" s="393"/>
      <c r="U49" s="40"/>
      <c r="V49" s="40"/>
      <c r="W49" s="40"/>
      <c r="Y49" s="109">
        <f t="shared" si="8"/>
        <v>5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5</v>
      </c>
      <c r="AG49" s="108">
        <f t="shared" si="3"/>
        <v>0</v>
      </c>
      <c r="AH49" s="108">
        <f t="shared" si="4"/>
        <v>0</v>
      </c>
      <c r="AI49" s="108">
        <f t="shared" si="10"/>
        <v>0</v>
      </c>
      <c r="AJ49" s="108">
        <f t="shared" si="5"/>
        <v>5</v>
      </c>
      <c r="AK49" s="108">
        <f t="shared" si="6"/>
        <v>0</v>
      </c>
      <c r="AL49" s="108">
        <f t="shared" si="7"/>
        <v>0</v>
      </c>
      <c r="AN49" s="40"/>
      <c r="AO49" s="41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1</v>
      </c>
      <c r="H50" s="373" t="s">
        <v>9</v>
      </c>
      <c r="I50" s="441">
        <v>3</v>
      </c>
      <c r="J50" s="375">
        <f t="shared" si="0"/>
        <v>2</v>
      </c>
      <c r="K50" s="363">
        <f t="shared" si="1"/>
        <v>0</v>
      </c>
      <c r="L50" s="363">
        <f t="shared" si="2"/>
        <v>3</v>
      </c>
      <c r="M50" s="352"/>
      <c r="N50" s="352"/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40"/>
      <c r="V50" s="40"/>
      <c r="W50" s="40"/>
      <c r="Y50" s="109">
        <f t="shared" si="8"/>
        <v>6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6</v>
      </c>
      <c r="AG50" s="108">
        <f t="shared" si="3"/>
        <v>0</v>
      </c>
      <c r="AH50" s="108">
        <f t="shared" si="4"/>
        <v>1</v>
      </c>
      <c r="AI50" s="108">
        <f t="shared" si="10"/>
        <v>0</v>
      </c>
      <c r="AJ50" s="108">
        <f t="shared" si="5"/>
        <v>0</v>
      </c>
      <c r="AK50" s="108">
        <f t="shared" si="6"/>
        <v>5</v>
      </c>
      <c r="AL50" s="108">
        <f t="shared" si="7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0</v>
      </c>
      <c r="H51" s="379" t="s">
        <v>9</v>
      </c>
      <c r="I51" s="442">
        <v>2</v>
      </c>
      <c r="J51" s="381">
        <f t="shared" si="0"/>
        <v>2</v>
      </c>
      <c r="K51" s="363">
        <f t="shared" si="1"/>
        <v>0</v>
      </c>
      <c r="L51" s="363">
        <f t="shared" si="2"/>
        <v>3</v>
      </c>
      <c r="M51" s="352"/>
      <c r="N51" s="352"/>
      <c r="O51" s="394" t="s">
        <v>37</v>
      </c>
      <c r="P51" s="395">
        <f>SUMIF($D$8:$D$55,$O51,$G$8:$G$55)+SUMIF($F$8:$F$55,$O51,$I$8:$I$55)</f>
        <v>5</v>
      </c>
      <c r="Q51" s="395">
        <f>SUMIF($D$8:$D$55,$O51,$I$8:$I$55)+SUMIF($F$8:$F$55,$O51,$G$8:$G$55)</f>
        <v>2</v>
      </c>
      <c r="R51" s="396">
        <f>P51-Q51</f>
        <v>3</v>
      </c>
      <c r="S51" s="397">
        <f>SUMIF($D$8:$D$55,$O51,$K$8:$K$55)+SUMIF($F$8:$F$55,$O51,$L$8:$L$55)</f>
        <v>7</v>
      </c>
      <c r="T51" s="444" t="s">
        <v>82</v>
      </c>
      <c r="U51" s="40"/>
      <c r="V51" s="40" t="str">
        <f>O51</f>
        <v>België</v>
      </c>
      <c r="W51" s="40" t="s">
        <v>82</v>
      </c>
      <c r="Y51" s="109">
        <f t="shared" si="8"/>
        <v>1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1</v>
      </c>
      <c r="AG51" s="108">
        <f t="shared" si="3"/>
        <v>1</v>
      </c>
      <c r="AH51" s="108">
        <f t="shared" si="4"/>
        <v>0</v>
      </c>
      <c r="AI51" s="108">
        <f t="shared" si="10"/>
        <v>0</v>
      </c>
      <c r="AJ51" s="108">
        <f t="shared" si="5"/>
        <v>0</v>
      </c>
      <c r="AK51" s="108">
        <f t="shared" si="6"/>
        <v>0</v>
      </c>
      <c r="AL51" s="108">
        <f t="shared" si="7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1</v>
      </c>
      <c r="H52" s="373" t="s">
        <v>9</v>
      </c>
      <c r="I52" s="441">
        <v>3</v>
      </c>
      <c r="J52" s="369">
        <f t="shared" si="0"/>
        <v>2</v>
      </c>
      <c r="K52" s="363">
        <f t="shared" si="1"/>
        <v>0</v>
      </c>
      <c r="L52" s="363">
        <f t="shared" si="2"/>
        <v>3</v>
      </c>
      <c r="M52" s="352"/>
      <c r="N52" s="352"/>
      <c r="O52" s="398" t="s">
        <v>38</v>
      </c>
      <c r="P52" s="399">
        <f>SUMIF($D$8:$D$55,$O52,$G$8:$G$55)+SUMIF($F$8:$F$55,$O52,$I$8:$I$55)</f>
        <v>1</v>
      </c>
      <c r="Q52" s="399">
        <f>SUMIF($D$8:$D$55,$O52,$I$8:$I$55)+SUMIF($F$8:$F$55,$O52,$G$8:$G$55)</f>
        <v>5</v>
      </c>
      <c r="R52" s="399">
        <f>P52-Q52</f>
        <v>-4</v>
      </c>
      <c r="S52" s="400">
        <f>SUMIF($D$8:$D$55,$O52,$K$8:$K$55)+SUMIF($F$8:$F$55,$O52,$L$8:$L$55)</f>
        <v>0</v>
      </c>
      <c r="T52" s="445" t="s">
        <v>85</v>
      </c>
      <c r="U52" s="40"/>
      <c r="V52" s="40" t="str">
        <f>O52</f>
        <v>Algerije</v>
      </c>
      <c r="W52" s="40" t="s">
        <v>83</v>
      </c>
      <c r="Y52" s="109">
        <f t="shared" si="8"/>
        <v>5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5</v>
      </c>
      <c r="AG52" s="108">
        <f t="shared" si="3"/>
        <v>0</v>
      </c>
      <c r="AH52" s="108">
        <f t="shared" si="4"/>
        <v>0</v>
      </c>
      <c r="AI52" s="108">
        <f t="shared" si="10"/>
        <v>0</v>
      </c>
      <c r="AJ52" s="108">
        <f t="shared" si="5"/>
        <v>0</v>
      </c>
      <c r="AK52" s="108">
        <f t="shared" si="6"/>
        <v>5</v>
      </c>
      <c r="AL52" s="108">
        <f t="shared" si="7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2</v>
      </c>
      <c r="H53" s="373" t="s">
        <v>9</v>
      </c>
      <c r="I53" s="441">
        <v>0</v>
      </c>
      <c r="J53" s="375">
        <f t="shared" si="0"/>
        <v>1</v>
      </c>
      <c r="K53" s="363">
        <f t="shared" si="1"/>
        <v>3</v>
      </c>
      <c r="L53" s="363">
        <f t="shared" si="2"/>
        <v>0</v>
      </c>
      <c r="M53" s="352"/>
      <c r="N53" s="352"/>
      <c r="O53" s="398" t="s">
        <v>39</v>
      </c>
      <c r="P53" s="399">
        <f>SUMIF($D$8:$D$55,$O53,$G$8:$G$55)+SUMIF($F$8:$F$55,$O53,$I$8:$I$55)</f>
        <v>3</v>
      </c>
      <c r="Q53" s="399">
        <f>SUMIF($D$8:$D$55,$O53,$I$8:$I$55)+SUMIF($F$8:$F$55,$O53,$G$8:$G$55)</f>
        <v>1</v>
      </c>
      <c r="R53" s="399">
        <f>P53-Q53</f>
        <v>2</v>
      </c>
      <c r="S53" s="400">
        <f>SUMIF($D$8:$D$55,$O53,$K$8:$K$55)+SUMIF($F$8:$F$55,$O53,$L$8:$L$55)</f>
        <v>7</v>
      </c>
      <c r="T53" s="445" t="s">
        <v>83</v>
      </c>
      <c r="U53" s="40"/>
      <c r="V53" s="40" t="str">
        <f>O53</f>
        <v>Rusland</v>
      </c>
      <c r="W53" s="40" t="s">
        <v>84</v>
      </c>
      <c r="Y53" s="109">
        <f t="shared" si="8"/>
        <v>6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6</v>
      </c>
      <c r="AG53" s="108">
        <f t="shared" si="3"/>
        <v>1</v>
      </c>
      <c r="AH53" s="108">
        <f t="shared" si="4"/>
        <v>0</v>
      </c>
      <c r="AI53" s="108">
        <f t="shared" si="10"/>
        <v>0</v>
      </c>
      <c r="AJ53" s="108">
        <f t="shared" si="5"/>
        <v>5</v>
      </c>
      <c r="AK53" s="108">
        <f t="shared" si="6"/>
        <v>0</v>
      </c>
      <c r="AL53" s="108">
        <f t="shared" si="7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1</v>
      </c>
      <c r="H54" s="373" t="s">
        <v>9</v>
      </c>
      <c r="I54" s="441">
        <v>2</v>
      </c>
      <c r="J54" s="375">
        <f t="shared" si="0"/>
        <v>2</v>
      </c>
      <c r="K54" s="363">
        <f t="shared" si="1"/>
        <v>0</v>
      </c>
      <c r="L54" s="363">
        <f t="shared" si="2"/>
        <v>3</v>
      </c>
      <c r="M54" s="352"/>
      <c r="N54" s="352"/>
      <c r="O54" s="401" t="s">
        <v>40</v>
      </c>
      <c r="P54" s="402">
        <f>SUMIF($D$8:$D$55,$O54,$G$8:$G$55)+SUMIF($F$8:$F$55,$O54,$I$8:$I$55)</f>
        <v>3</v>
      </c>
      <c r="Q54" s="402">
        <f>SUMIF($D$8:$D$55,$O54,$I$8:$I$55)+SUMIF($F$8:$F$55,$O54,$G$8:$G$55)</f>
        <v>4</v>
      </c>
      <c r="R54" s="402">
        <f>P54-Q54</f>
        <v>-1</v>
      </c>
      <c r="S54" s="403">
        <f>SUMIF($D$8:$D$55,$O54,$K$8:$K$55)+SUMIF($F$8:$F$55,$O54,$L$8:$L$55)</f>
        <v>3</v>
      </c>
      <c r="T54" s="446" t="s">
        <v>84</v>
      </c>
      <c r="U54" s="40"/>
      <c r="V54" s="40" t="str">
        <f>O54</f>
        <v>Zuid Korea</v>
      </c>
      <c r="W54" s="40" t="s">
        <v>85</v>
      </c>
      <c r="Y54" s="109">
        <f t="shared" si="8"/>
        <v>5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5</v>
      </c>
      <c r="AG54" s="108">
        <f t="shared" si="3"/>
        <v>0</v>
      </c>
      <c r="AH54" s="108">
        <f t="shared" si="4"/>
        <v>0</v>
      </c>
      <c r="AI54" s="108">
        <f t="shared" si="10"/>
        <v>0</v>
      </c>
      <c r="AJ54" s="108">
        <f t="shared" si="5"/>
        <v>0</v>
      </c>
      <c r="AK54" s="108">
        <f t="shared" si="6"/>
        <v>5</v>
      </c>
      <c r="AL54" s="108">
        <f t="shared" si="7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0</v>
      </c>
      <c r="H55" s="388" t="s">
        <v>9</v>
      </c>
      <c r="I55" s="443">
        <v>1</v>
      </c>
      <c r="J55" s="390">
        <f t="shared" si="0"/>
        <v>2</v>
      </c>
      <c r="K55" s="363">
        <f t="shared" si="1"/>
        <v>0</v>
      </c>
      <c r="L55" s="363">
        <f t="shared" si="2"/>
        <v>3</v>
      </c>
      <c r="M55" s="352"/>
      <c r="N55" s="352"/>
      <c r="O55" s="392"/>
      <c r="P55" s="393"/>
      <c r="Q55" s="393"/>
      <c r="R55" s="393"/>
      <c r="S55" s="393"/>
      <c r="T55" s="393"/>
      <c r="U55" s="40"/>
      <c r="V55" s="40"/>
      <c r="W55" s="40"/>
      <c r="Y55" s="109">
        <f t="shared" si="8"/>
        <v>1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</v>
      </c>
      <c r="AG55" s="108">
        <f t="shared" si="3"/>
        <v>0</v>
      </c>
      <c r="AH55" s="108">
        <f t="shared" si="4"/>
        <v>1</v>
      </c>
      <c r="AI55" s="108">
        <f t="shared" si="10"/>
        <v>0</v>
      </c>
      <c r="AJ55" s="108">
        <f t="shared" si="5"/>
        <v>0</v>
      </c>
      <c r="AK55" s="108">
        <f t="shared" si="6"/>
        <v>0</v>
      </c>
      <c r="AL55" s="108">
        <f t="shared" si="7"/>
        <v>0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N56" s="352"/>
      <c r="O56" s="352"/>
      <c r="P56" s="352"/>
      <c r="Q56" s="352"/>
      <c r="R56" s="352"/>
      <c r="S56" s="352"/>
      <c r="T56" s="352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27"/>
      <c r="K57" s="353"/>
      <c r="L57" s="353"/>
      <c r="M57" s="353"/>
      <c r="N57" s="352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32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N58" s="352"/>
      <c r="O58" s="458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 t="shared" ref="D59:D66" si="13">IF(ISERROR(Z59),K59,Z59)</f>
        <v>Brazilië</v>
      </c>
      <c r="E59" s="367" t="s">
        <v>9</v>
      </c>
      <c r="F59" s="406" t="str">
        <f t="shared" ref="F59:F66" si="14">IF(ISERROR(AA59),L59,AA59)</f>
        <v>Nederland</v>
      </c>
      <c r="G59" s="435">
        <v>2</v>
      </c>
      <c r="H59" s="367" t="s">
        <v>9</v>
      </c>
      <c r="I59" s="447">
        <v>1</v>
      </c>
      <c r="J59" s="448">
        <v>1</v>
      </c>
      <c r="K59" s="407" t="s">
        <v>48</v>
      </c>
      <c r="L59" s="407" t="s">
        <v>53</v>
      </c>
      <c r="M59" s="407">
        <v>1</v>
      </c>
      <c r="N59" s="352"/>
      <c r="O59" s="458">
        <v>2</v>
      </c>
      <c r="P59" s="877" t="s">
        <v>220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5">AF59</f>
        <v>1</v>
      </c>
      <c r="Z59" t="str">
        <f t="shared" ref="Z59:AA65" si="16">IF(K59=""," ",VLOOKUP(K59,$T$9:$V$54,3,FALSE))</f>
        <v>Brazilië</v>
      </c>
      <c r="AA59" t="str">
        <f t="shared" si="16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7">IF(OR(AC59="",AD59=""),0,(IF(SUM(AG59:AL59)&gt;10,10,SUM(AG59:AL59))))</f>
        <v>1</v>
      </c>
      <c r="AG59" s="108">
        <f t="shared" ref="AG59:AG66" si="18">IF(AC59="",0,(IF(G59=AC59,1,0)))</f>
        <v>0</v>
      </c>
      <c r="AH59" s="108">
        <f t="shared" ref="AH59:AH66" si="19">IF(AD59="",0,(IF(I59=AD59,1,0)))</f>
        <v>1</v>
      </c>
      <c r="AI59" s="108">
        <f t="shared" ref="AI59:AI66" si="20">IF(AND(AG59=1,AH59=1),10,0)</f>
        <v>0</v>
      </c>
      <c r="AJ59" s="108">
        <f t="shared" ref="AJ59:AJ66" si="21">IF(AND(G59&gt;I59,AC59&gt;AD59),5,0)</f>
        <v>0</v>
      </c>
      <c r="AK59" s="108">
        <f t="shared" ref="AK59:AK66" si="22">IF(AND(G59&lt;I59,AC59&lt;AD59),5,0)</f>
        <v>0</v>
      </c>
      <c r="AL59" s="108">
        <f t="shared" ref="AL59:AL66" si="23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4">BA59</f>
        <v>3</v>
      </c>
    </row>
    <row r="60" spans="2:54">
      <c r="B60" s="376">
        <v>50</v>
      </c>
      <c r="C60" s="466">
        <v>41818</v>
      </c>
      <c r="D60" s="460" t="str">
        <f t="shared" si="13"/>
        <v>Colombia</v>
      </c>
      <c r="E60" s="379" t="s">
        <v>9</v>
      </c>
      <c r="F60" s="409" t="str">
        <f t="shared" si="14"/>
        <v>Uruguay</v>
      </c>
      <c r="G60" s="437">
        <v>1</v>
      </c>
      <c r="H60" s="379" t="s">
        <v>9</v>
      </c>
      <c r="I60" s="449">
        <v>2</v>
      </c>
      <c r="J60" s="450">
        <v>2</v>
      </c>
      <c r="K60" s="407" t="s">
        <v>57</v>
      </c>
      <c r="L60" s="407" t="s">
        <v>63</v>
      </c>
      <c r="M60" s="407">
        <v>2</v>
      </c>
      <c r="N60" s="352"/>
      <c r="O60" s="458">
        <v>3</v>
      </c>
      <c r="P60" s="877" t="s">
        <v>209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5"/>
        <v>0</v>
      </c>
      <c r="Z60" t="str">
        <f t="shared" si="16"/>
        <v>Colombia</v>
      </c>
      <c r="AA60" t="str">
        <f t="shared" si="16"/>
        <v>Uruguay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7"/>
        <v>0</v>
      </c>
      <c r="AG60" s="108">
        <f t="shared" si="18"/>
        <v>0</v>
      </c>
      <c r="AH60" s="108">
        <f t="shared" si="19"/>
        <v>0</v>
      </c>
      <c r="AI60" s="108">
        <f t="shared" si="20"/>
        <v>0</v>
      </c>
      <c r="AJ60" s="108">
        <f t="shared" si="21"/>
        <v>0</v>
      </c>
      <c r="AK60" s="108">
        <f t="shared" si="22"/>
        <v>0</v>
      </c>
      <c r="AL60" s="108">
        <f t="shared" si="23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4"/>
        <v>3</v>
      </c>
    </row>
    <row r="61" spans="2:54">
      <c r="B61" s="364">
        <v>51</v>
      </c>
      <c r="C61" s="465">
        <v>41819</v>
      </c>
      <c r="D61" s="464" t="str">
        <f t="shared" si="13"/>
        <v>Spanje</v>
      </c>
      <c r="E61" s="367" t="s">
        <v>9</v>
      </c>
      <c r="F61" s="406" t="str">
        <f t="shared" si="14"/>
        <v>Mexico</v>
      </c>
      <c r="G61" s="435">
        <v>2</v>
      </c>
      <c r="H61" s="367" t="s">
        <v>9</v>
      </c>
      <c r="I61" s="447">
        <v>0</v>
      </c>
      <c r="J61" s="448">
        <v>1</v>
      </c>
      <c r="K61" s="407" t="s">
        <v>52</v>
      </c>
      <c r="L61" s="407" t="s">
        <v>49</v>
      </c>
      <c r="M61" s="407"/>
      <c r="N61" s="352"/>
      <c r="O61" s="458">
        <v>4</v>
      </c>
      <c r="P61" s="877" t="s">
        <v>211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5"/>
        <v>6</v>
      </c>
      <c r="Z61" t="str">
        <f t="shared" si="16"/>
        <v>Spanje</v>
      </c>
      <c r="AA61" t="str">
        <f t="shared" si="16"/>
        <v>Mexico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7"/>
        <v>6</v>
      </c>
      <c r="AG61" s="108">
        <f t="shared" si="18"/>
        <v>1</v>
      </c>
      <c r="AH61" s="108">
        <f t="shared" si="19"/>
        <v>0</v>
      </c>
      <c r="AI61" s="108">
        <f t="shared" si="20"/>
        <v>0</v>
      </c>
      <c r="AJ61" s="108">
        <f t="shared" si="21"/>
        <v>5</v>
      </c>
      <c r="AK61" s="108">
        <f t="shared" si="22"/>
        <v>0</v>
      </c>
      <c r="AL61" s="108">
        <f t="shared" si="23"/>
        <v>0</v>
      </c>
      <c r="AZ61" s="138" t="str">
        <f>Uitslag!P61</f>
        <v>Ron Vlaar (v)</v>
      </c>
      <c r="BA61" s="140">
        <f t="shared" si="12"/>
        <v>3</v>
      </c>
      <c r="BB61" s="139">
        <f t="shared" si="24"/>
        <v>3</v>
      </c>
    </row>
    <row r="62" spans="2:54">
      <c r="B62" s="376">
        <v>52</v>
      </c>
      <c r="C62" s="466">
        <v>41819</v>
      </c>
      <c r="D62" s="464" t="str">
        <f t="shared" si="13"/>
        <v>Italië</v>
      </c>
      <c r="E62" s="379" t="s">
        <v>9</v>
      </c>
      <c r="F62" s="409" t="str">
        <f t="shared" si="14"/>
        <v>Griekenland</v>
      </c>
      <c r="G62" s="437">
        <v>2</v>
      </c>
      <c r="H62" s="379" t="s">
        <v>9</v>
      </c>
      <c r="I62" s="449">
        <v>0</v>
      </c>
      <c r="J62" s="450">
        <v>1</v>
      </c>
      <c r="K62" s="407" t="s">
        <v>62</v>
      </c>
      <c r="L62" s="407" t="s">
        <v>58</v>
      </c>
      <c r="M62" s="407"/>
      <c r="N62" s="352"/>
      <c r="O62" s="458">
        <v>5</v>
      </c>
      <c r="P62" s="877" t="s">
        <v>212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5"/>
        <v>0</v>
      </c>
      <c r="Z62" t="str">
        <f t="shared" si="16"/>
        <v>Italië</v>
      </c>
      <c r="AA62" t="str">
        <f t="shared" si="16"/>
        <v>Griekenland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7"/>
        <v>0</v>
      </c>
      <c r="AG62" s="108">
        <f t="shared" si="18"/>
        <v>0</v>
      </c>
      <c r="AH62" s="108">
        <f t="shared" si="19"/>
        <v>0</v>
      </c>
      <c r="AI62" s="108">
        <f t="shared" si="20"/>
        <v>0</v>
      </c>
      <c r="AJ62" s="108">
        <f t="shared" si="21"/>
        <v>0</v>
      </c>
      <c r="AK62" s="108">
        <f t="shared" si="22"/>
        <v>0</v>
      </c>
      <c r="AL62" s="108">
        <f t="shared" si="23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4"/>
        <v>3</v>
      </c>
    </row>
    <row r="63" spans="2:54">
      <c r="B63" s="364">
        <v>53</v>
      </c>
      <c r="C63" s="465">
        <v>41820</v>
      </c>
      <c r="D63" s="459" t="str">
        <f t="shared" si="13"/>
        <v>Frankrijk</v>
      </c>
      <c r="E63" s="367" t="s">
        <v>9</v>
      </c>
      <c r="F63" s="406" t="str">
        <f t="shared" si="14"/>
        <v>Nigeria</v>
      </c>
      <c r="G63" s="435">
        <v>2</v>
      </c>
      <c r="H63" s="367" t="s">
        <v>9</v>
      </c>
      <c r="I63" s="447">
        <v>1</v>
      </c>
      <c r="J63" s="448">
        <v>1</v>
      </c>
      <c r="K63" s="407" t="s">
        <v>67</v>
      </c>
      <c r="L63" s="407" t="s">
        <v>73</v>
      </c>
      <c r="M63" s="407"/>
      <c r="N63" s="352"/>
      <c r="O63" s="458">
        <v>6</v>
      </c>
      <c r="P63" s="877" t="s">
        <v>221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5"/>
        <v>6</v>
      </c>
      <c r="Z63" t="str">
        <f t="shared" si="16"/>
        <v>Frankrijk</v>
      </c>
      <c r="AA63" t="str">
        <f t="shared" si="16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7"/>
        <v>6</v>
      </c>
      <c r="AG63" s="108">
        <f t="shared" si="18"/>
        <v>1</v>
      </c>
      <c r="AH63" s="108">
        <f t="shared" si="19"/>
        <v>0</v>
      </c>
      <c r="AI63" s="108">
        <f t="shared" si="20"/>
        <v>0</v>
      </c>
      <c r="AJ63" s="108">
        <f t="shared" si="21"/>
        <v>5</v>
      </c>
      <c r="AK63" s="108">
        <f t="shared" si="22"/>
        <v>0</v>
      </c>
      <c r="AL63" s="108">
        <f t="shared" si="23"/>
        <v>0</v>
      </c>
      <c r="AZ63" s="138" t="str">
        <f>Uitslag!P63</f>
        <v>Daley Blind (v)</v>
      </c>
      <c r="BA63" s="140">
        <f t="shared" si="12"/>
        <v>0</v>
      </c>
      <c r="BB63" s="139">
        <f t="shared" si="24"/>
        <v>0</v>
      </c>
    </row>
    <row r="64" spans="2:54">
      <c r="B64" s="376">
        <v>54</v>
      </c>
      <c r="C64" s="466">
        <v>41820</v>
      </c>
      <c r="D64" s="460" t="str">
        <f t="shared" si="13"/>
        <v>Duitsland</v>
      </c>
      <c r="E64" s="379" t="s">
        <v>9</v>
      </c>
      <c r="F64" s="409" t="str">
        <f t="shared" si="14"/>
        <v>Rusland</v>
      </c>
      <c r="G64" s="437">
        <v>2</v>
      </c>
      <c r="H64" s="379" t="s">
        <v>9</v>
      </c>
      <c r="I64" s="449">
        <v>0</v>
      </c>
      <c r="J64" s="450">
        <v>1</v>
      </c>
      <c r="K64" s="407" t="s">
        <v>77</v>
      </c>
      <c r="L64" s="407" t="s">
        <v>83</v>
      </c>
      <c r="M64" s="407"/>
      <c r="N64" s="352"/>
      <c r="O64" s="458">
        <v>7</v>
      </c>
      <c r="P64" s="877" t="s">
        <v>214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5"/>
        <v>1</v>
      </c>
      <c r="Z64" t="str">
        <f t="shared" si="16"/>
        <v>Duitsland</v>
      </c>
      <c r="AA64" t="str">
        <f t="shared" si="16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7"/>
        <v>1</v>
      </c>
      <c r="AG64" s="108">
        <f t="shared" si="18"/>
        <v>0</v>
      </c>
      <c r="AH64" s="108">
        <f t="shared" si="19"/>
        <v>1</v>
      </c>
      <c r="AI64" s="108">
        <f t="shared" si="20"/>
        <v>0</v>
      </c>
      <c r="AJ64" s="108">
        <f t="shared" si="21"/>
        <v>0</v>
      </c>
      <c r="AK64" s="108">
        <f t="shared" si="22"/>
        <v>0</v>
      </c>
      <c r="AL64" s="108">
        <f t="shared" si="23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4"/>
        <v>3</v>
      </c>
    </row>
    <row r="65" spans="2:54">
      <c r="B65" s="370">
        <v>55</v>
      </c>
      <c r="C65" s="467">
        <v>41821</v>
      </c>
      <c r="D65" s="459" t="str">
        <f t="shared" si="13"/>
        <v>Argentinië</v>
      </c>
      <c r="E65" s="373" t="s">
        <v>9</v>
      </c>
      <c r="F65" s="410" t="str">
        <f t="shared" si="14"/>
        <v>Zwitserland</v>
      </c>
      <c r="G65" s="436">
        <v>3</v>
      </c>
      <c r="H65" s="373" t="s">
        <v>9</v>
      </c>
      <c r="I65" s="451">
        <v>1</v>
      </c>
      <c r="J65" s="452">
        <v>1</v>
      </c>
      <c r="K65" s="407" t="s">
        <v>72</v>
      </c>
      <c r="L65" s="407" t="s">
        <v>68</v>
      </c>
      <c r="M65" s="407"/>
      <c r="N65" s="352"/>
      <c r="O65" s="458">
        <v>8</v>
      </c>
      <c r="P65" s="877" t="s">
        <v>213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5"/>
        <v>0</v>
      </c>
      <c r="Z65" t="str">
        <f t="shared" si="16"/>
        <v>Argentinië</v>
      </c>
      <c r="AA65" t="str">
        <f t="shared" si="16"/>
        <v>Zwitserland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7"/>
        <v>0</v>
      </c>
      <c r="AG65" s="108">
        <f t="shared" si="18"/>
        <v>0</v>
      </c>
      <c r="AH65" s="108">
        <f t="shared" si="19"/>
        <v>0</v>
      </c>
      <c r="AI65" s="108">
        <f t="shared" si="20"/>
        <v>0</v>
      </c>
      <c r="AJ65" s="108">
        <f t="shared" si="21"/>
        <v>0</v>
      </c>
      <c r="AK65" s="108">
        <f t="shared" si="22"/>
        <v>0</v>
      </c>
      <c r="AL65" s="108">
        <f t="shared" si="23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4"/>
        <v>3</v>
      </c>
    </row>
    <row r="66" spans="2:54" ht="15.75" thickBot="1">
      <c r="B66" s="385">
        <v>56</v>
      </c>
      <c r="C66" s="462">
        <v>41821</v>
      </c>
      <c r="D66" s="461" t="str">
        <f t="shared" si="13"/>
        <v>België</v>
      </c>
      <c r="E66" s="388" t="s">
        <v>9</v>
      </c>
      <c r="F66" s="412" t="str">
        <f t="shared" si="14"/>
        <v>Portugal</v>
      </c>
      <c r="G66" s="438">
        <v>0</v>
      </c>
      <c r="H66" s="388" t="s">
        <v>9</v>
      </c>
      <c r="I66" s="453">
        <v>1</v>
      </c>
      <c r="J66" s="454">
        <v>2</v>
      </c>
      <c r="K66" s="407" t="s">
        <v>82</v>
      </c>
      <c r="L66" s="407" t="s">
        <v>78</v>
      </c>
      <c r="M66" s="407"/>
      <c r="N66" s="352"/>
      <c r="O66" s="458">
        <v>9</v>
      </c>
      <c r="P66" s="877" t="s">
        <v>215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5"/>
        <v>1</v>
      </c>
      <c r="Z66" t="str">
        <f>IF(K66=""," ",VLOOKUP(K66,$T$9:$V$54,3,FALSE))</f>
        <v>België</v>
      </c>
      <c r="AA66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7"/>
        <v>1</v>
      </c>
      <c r="AG66" s="108">
        <f t="shared" si="18"/>
        <v>1</v>
      </c>
      <c r="AH66" s="108">
        <f t="shared" si="19"/>
        <v>0</v>
      </c>
      <c r="AI66" s="108">
        <f t="shared" si="20"/>
        <v>0</v>
      </c>
      <c r="AJ66" s="108">
        <f t="shared" si="21"/>
        <v>0</v>
      </c>
      <c r="AK66" s="108">
        <f t="shared" si="22"/>
        <v>0</v>
      </c>
      <c r="AL66" s="108">
        <f t="shared" si="23"/>
        <v>0</v>
      </c>
      <c r="AZ66" s="138" t="str">
        <f>Uitslag!P66</f>
        <v>Jonathan de Guzman (m)</v>
      </c>
      <c r="BA66" s="140">
        <f t="shared" si="12"/>
        <v>3</v>
      </c>
      <c r="BB66" s="139">
        <f t="shared" si="24"/>
        <v>3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N67" s="352"/>
      <c r="O67" s="458">
        <v>10</v>
      </c>
      <c r="P67" s="877" t="s">
        <v>216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4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27"/>
      <c r="K68" s="353"/>
      <c r="L68" s="353"/>
      <c r="M68" s="353"/>
      <c r="N68" s="352"/>
      <c r="O68" s="458">
        <v>11</v>
      </c>
      <c r="P68" s="877" t="s">
        <v>230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0</v>
      </c>
      <c r="BB68" s="139">
        <f t="shared" si="24"/>
        <v>0</v>
      </c>
    </row>
    <row r="69" spans="2:54">
      <c r="B69" s="428" t="s">
        <v>1</v>
      </c>
      <c r="C69" s="429" t="s">
        <v>2</v>
      </c>
      <c r="D69" s="430" t="s">
        <v>3</v>
      </c>
      <c r="E69" s="431"/>
      <c r="F69" s="432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N69" s="352"/>
      <c r="O69" s="352"/>
      <c r="P69" s="352"/>
      <c r="Q69" s="352"/>
      <c r="R69" s="352"/>
      <c r="S69" s="352"/>
      <c r="T69" s="352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27</v>
      </c>
      <c r="BB69" s="139" t="str">
        <f>IF(AND(BA69&lt;&gt;"",BA69=33),15,"nvt")</f>
        <v>nvt</v>
      </c>
    </row>
    <row r="70" spans="2:54">
      <c r="B70" s="364">
        <v>57</v>
      </c>
      <c r="C70" s="365">
        <v>41824</v>
      </c>
      <c r="D70" s="405" t="str">
        <f>IF(J63="","Winnaar 53",IF(J63=1,D63,F63))</f>
        <v>Frankrijk</v>
      </c>
      <c r="E70" s="367" t="s">
        <v>9</v>
      </c>
      <c r="F70" s="406" t="str">
        <f>IF(J64="","Winnaar 54",IF(J64=1,D64,F64))</f>
        <v>Duitsland</v>
      </c>
      <c r="G70" s="435">
        <v>2</v>
      </c>
      <c r="H70" s="367" t="s">
        <v>9</v>
      </c>
      <c r="I70" s="447">
        <v>1</v>
      </c>
      <c r="J70" s="448">
        <v>1</v>
      </c>
      <c r="K70" s="353"/>
      <c r="L70" s="353"/>
      <c r="M70" s="353"/>
      <c r="N70" s="352"/>
      <c r="O70" s="352"/>
      <c r="P70" s="352"/>
      <c r="Q70" s="352"/>
      <c r="R70" s="352"/>
      <c r="S70" s="352"/>
      <c r="T70" s="352"/>
      <c r="V70" t="s">
        <v>133</v>
      </c>
      <c r="W70" t="s">
        <v>126</v>
      </c>
      <c r="X70" t="str">
        <f t="shared" si="11"/>
        <v>Karim Rekik (v)</v>
      </c>
      <c r="Y70" s="109">
        <f>AF70</f>
        <v>1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1</v>
      </c>
      <c r="AG70" s="108">
        <f>IF(AC70="",0,(IF(G70=AC70,1,0)))</f>
        <v>0</v>
      </c>
      <c r="AH70" s="108">
        <f>IF(AD70="",0,(IF(I70=AD70,1,0)))</f>
        <v>1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0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Brazilië</v>
      </c>
      <c r="E71" s="379" t="s">
        <v>9</v>
      </c>
      <c r="F71" s="409" t="str">
        <f>IF(J60="","Winnaar 50",IF(J60=1,D60,F60))</f>
        <v>Uruguay</v>
      </c>
      <c r="G71" s="437">
        <v>2</v>
      </c>
      <c r="H71" s="379" t="s">
        <v>9</v>
      </c>
      <c r="I71" s="449">
        <v>0</v>
      </c>
      <c r="J71" s="450">
        <v>1</v>
      </c>
      <c r="K71" s="353"/>
      <c r="L71" s="353"/>
      <c r="M71" s="353"/>
      <c r="N71" s="352"/>
      <c r="O71" s="352"/>
      <c r="P71" s="352"/>
      <c r="Q71" s="352"/>
      <c r="R71" s="352"/>
      <c r="S71" s="352"/>
      <c r="T71" s="352"/>
      <c r="V71" t="s">
        <v>133</v>
      </c>
      <c r="W71" t="s">
        <v>194</v>
      </c>
      <c r="X71" t="str">
        <f t="shared" si="11"/>
        <v>Ron Vlaar (v)</v>
      </c>
      <c r="Y71" s="109">
        <f>AF71</f>
        <v>6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6</v>
      </c>
      <c r="AG71" s="108">
        <f>IF(AC71="",0,(IF(G71=AC71,1,0)))</f>
        <v>1</v>
      </c>
      <c r="AH71" s="108">
        <f>IF(AD71="",0,(IF(I71=AD71,1,0)))</f>
        <v>0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Argentinië</v>
      </c>
      <c r="E72" s="367" t="s">
        <v>9</v>
      </c>
      <c r="F72" s="406" t="str">
        <f>IF(J66="","Winnaar 56",IF(J66=1,D66,F66))</f>
        <v>Portugal</v>
      </c>
      <c r="G72" s="435">
        <v>0</v>
      </c>
      <c r="H72" s="367" t="s">
        <v>9</v>
      </c>
      <c r="I72" s="447">
        <v>1</v>
      </c>
      <c r="J72" s="448">
        <v>2</v>
      </c>
      <c r="K72" s="353"/>
      <c r="L72" s="353"/>
      <c r="M72" s="353"/>
      <c r="N72" s="352"/>
      <c r="O72" s="352"/>
      <c r="P72" s="352"/>
      <c r="Q72" s="352"/>
      <c r="R72" s="352"/>
      <c r="S72" s="352"/>
      <c r="T72" s="352"/>
      <c r="V72" t="s">
        <v>133</v>
      </c>
      <c r="W72" t="s">
        <v>195</v>
      </c>
      <c r="X72" t="str">
        <f t="shared" si="11"/>
        <v>John Heitinga (v)</v>
      </c>
      <c r="Y72" s="109">
        <f>AF72</f>
        <v>0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0</v>
      </c>
      <c r="AG72" s="108">
        <f>IF(AC72="",0,(IF(G72=AC72,1,0)))</f>
        <v>0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0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Spanje</v>
      </c>
      <c r="E73" s="388" t="s">
        <v>9</v>
      </c>
      <c r="F73" s="412" t="str">
        <f>IF(J62="","Winnaar 52",IF(J62=1,D62,F62))</f>
        <v>Italië</v>
      </c>
      <c r="G73" s="438">
        <v>2</v>
      </c>
      <c r="H73" s="388" t="s">
        <v>9</v>
      </c>
      <c r="I73" s="453">
        <v>0</v>
      </c>
      <c r="J73" s="454">
        <v>1</v>
      </c>
      <c r="K73" s="353"/>
      <c r="L73" s="353"/>
      <c r="M73" s="353"/>
      <c r="N73" s="352"/>
      <c r="O73" s="352"/>
      <c r="P73" s="352"/>
      <c r="Q73" s="352"/>
      <c r="R73" s="352"/>
      <c r="S73" s="352"/>
      <c r="T73" s="352"/>
      <c r="V73" t="s">
        <v>133</v>
      </c>
      <c r="W73" t="s">
        <v>196</v>
      </c>
      <c r="X73" t="str">
        <f t="shared" si="11"/>
        <v>Urby Emanuelson (v)</v>
      </c>
      <c r="Y73" s="109">
        <f>AF73</f>
        <v>1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1</v>
      </c>
      <c r="AG73" s="108">
        <f>IF(AC73="",0,(IF(G73=AC73,1,0)))</f>
        <v>0</v>
      </c>
      <c r="AH73" s="108">
        <f>IF(AD73="",0,(IF(I73=AD73,1,0)))</f>
        <v>1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N74" s="352"/>
      <c r="O74" s="352"/>
      <c r="P74" s="352"/>
      <c r="Q74" s="352"/>
      <c r="R74" s="352"/>
      <c r="S74" s="352"/>
      <c r="T74" s="352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27"/>
      <c r="K75" s="353"/>
      <c r="L75" s="353"/>
      <c r="M75" s="353"/>
      <c r="N75" s="352"/>
      <c r="O75" s="352"/>
      <c r="P75" s="352"/>
      <c r="Q75" s="352"/>
      <c r="R75" s="352"/>
      <c r="S75" s="352"/>
      <c r="T75" s="352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30" t="s">
        <v>3</v>
      </c>
      <c r="E76" s="431"/>
      <c r="F76" s="432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N76" s="352"/>
      <c r="O76" s="352"/>
      <c r="P76" s="352"/>
      <c r="Q76" s="352"/>
      <c r="R76" s="352"/>
      <c r="S76" s="352"/>
      <c r="T76" s="352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Frankrijk</v>
      </c>
      <c r="E77" s="367" t="s">
        <v>9</v>
      </c>
      <c r="F77" s="406" t="str">
        <f>IF(J71="","Winnaar 58",IF(J71=1,D71,F71))</f>
        <v>Brazilië</v>
      </c>
      <c r="G77" s="435">
        <v>0</v>
      </c>
      <c r="H77" s="367" t="s">
        <v>9</v>
      </c>
      <c r="I77" s="447">
        <v>1</v>
      </c>
      <c r="J77" s="448">
        <v>2</v>
      </c>
      <c r="K77" s="353"/>
      <c r="L77" s="353"/>
      <c r="M77" s="353"/>
      <c r="N77" s="352"/>
      <c r="O77" s="352"/>
      <c r="P77" s="352"/>
      <c r="Q77" s="352"/>
      <c r="R77" s="352"/>
      <c r="S77" s="352"/>
      <c r="T77" s="352"/>
      <c r="V77" t="s">
        <v>134</v>
      </c>
      <c r="W77" t="s">
        <v>203</v>
      </c>
      <c r="X77" t="str">
        <f t="shared" si="11"/>
        <v>Marco van Ginkel (m)</v>
      </c>
      <c r="Y77" s="109">
        <f>AF77</f>
        <v>1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1</v>
      </c>
      <c r="AG77" s="108">
        <f>IF(AC77="",0,(IF(G77=AC77,1,0)))</f>
        <v>0</v>
      </c>
      <c r="AH77" s="108">
        <f>IF(AD77="",0,(IF(I77=AD77,1,0)))</f>
        <v>1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Portugal</v>
      </c>
      <c r="E78" s="388" t="s">
        <v>9</v>
      </c>
      <c r="F78" s="412" t="str">
        <f>IF(J73="","Winnaar 60",IF(J73=1,D73,F73))</f>
        <v>Spanje</v>
      </c>
      <c r="G78" s="438">
        <v>1</v>
      </c>
      <c r="H78" s="388" t="s">
        <v>9</v>
      </c>
      <c r="I78" s="453">
        <v>1</v>
      </c>
      <c r="J78" s="454">
        <v>2</v>
      </c>
      <c r="K78" s="353"/>
      <c r="L78" s="353"/>
      <c r="M78" s="353"/>
      <c r="N78" s="352"/>
      <c r="O78" s="352"/>
      <c r="P78" s="352"/>
      <c r="Q78" s="352"/>
      <c r="R78" s="352"/>
      <c r="S78" s="352"/>
      <c r="T78" s="352"/>
      <c r="V78" t="s">
        <v>134</v>
      </c>
      <c r="W78" t="s">
        <v>199</v>
      </c>
      <c r="X78" t="str">
        <f t="shared" si="11"/>
        <v>Leroy Fer (m)</v>
      </c>
      <c r="Y78" s="109">
        <f>AF78</f>
        <v>5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5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5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N79" s="352"/>
      <c r="O79" s="352"/>
      <c r="P79" s="352"/>
      <c r="Q79" s="352"/>
      <c r="R79" s="352"/>
      <c r="S79" s="352"/>
      <c r="T79" s="352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27"/>
      <c r="K80" s="353"/>
      <c r="L80" s="353"/>
      <c r="M80" s="353"/>
      <c r="N80" s="352"/>
      <c r="O80" s="352"/>
      <c r="P80" s="352"/>
      <c r="Q80" s="352"/>
      <c r="R80" s="352"/>
      <c r="S80" s="352"/>
      <c r="T80" s="352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30" t="s">
        <v>3</v>
      </c>
      <c r="E81" s="431"/>
      <c r="F81" s="432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N81" s="352"/>
      <c r="O81" s="352"/>
      <c r="P81" s="352"/>
      <c r="Q81" s="352"/>
      <c r="R81" s="352"/>
      <c r="S81" s="352"/>
      <c r="T81" s="352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Frankrijk</v>
      </c>
      <c r="E82" s="355" t="s">
        <v>9</v>
      </c>
      <c r="F82" s="415" t="str">
        <f>IF(J78="","Verliezer 62",IF(J78=1,F78,D78))</f>
        <v>Portugal</v>
      </c>
      <c r="G82" s="455">
        <v>3</v>
      </c>
      <c r="H82" s="355" t="s">
        <v>9</v>
      </c>
      <c r="I82" s="456">
        <v>2</v>
      </c>
      <c r="J82" s="457">
        <v>1</v>
      </c>
      <c r="K82" s="353"/>
      <c r="L82" s="353"/>
      <c r="M82" s="353"/>
      <c r="N82" s="352"/>
      <c r="O82" s="352"/>
      <c r="P82" s="352"/>
      <c r="Q82" s="352"/>
      <c r="R82" s="352"/>
      <c r="S82" s="352"/>
      <c r="T82" s="352"/>
      <c r="V82" t="s">
        <v>134</v>
      </c>
      <c r="W82" t="s">
        <v>125</v>
      </c>
      <c r="X8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N83" s="352"/>
      <c r="O83" s="352"/>
      <c r="P83" s="352"/>
      <c r="Q83" s="352"/>
      <c r="R83" s="352"/>
      <c r="S83" s="352"/>
      <c r="T83" s="352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27"/>
      <c r="K84" s="353"/>
      <c r="L84" s="353"/>
      <c r="M84" s="353"/>
      <c r="N84" s="352"/>
      <c r="O84" s="352"/>
      <c r="P84" s="352"/>
      <c r="Q84" s="352"/>
      <c r="R84" s="352"/>
      <c r="S84" s="352"/>
      <c r="T84" s="352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30" t="s">
        <v>3</v>
      </c>
      <c r="E85" s="431"/>
      <c r="F85" s="432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N85" s="352"/>
      <c r="O85" s="352"/>
      <c r="P85" s="352"/>
      <c r="Q85" s="352"/>
      <c r="R85" s="352"/>
      <c r="S85" s="352"/>
      <c r="T85" s="352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Brazilië</v>
      </c>
      <c r="E86" s="355" t="s">
        <v>9</v>
      </c>
      <c r="F86" s="415" t="str">
        <f>IF(J78="","Winnaar 62",IF(J78=1,D78,F78))</f>
        <v>Spanje</v>
      </c>
      <c r="G86" s="455">
        <v>2</v>
      </c>
      <c r="H86" s="355" t="s">
        <v>9</v>
      </c>
      <c r="I86" s="456">
        <v>2</v>
      </c>
      <c r="J86" s="457">
        <v>1</v>
      </c>
      <c r="K86" s="353"/>
      <c r="L86" s="353"/>
      <c r="M86" s="353"/>
      <c r="N86" s="352"/>
      <c r="O86" s="352"/>
      <c r="P86" s="352"/>
      <c r="Q86" s="352"/>
      <c r="R86" s="352"/>
      <c r="S86" s="352"/>
      <c r="T86" s="352"/>
      <c r="V86" t="s">
        <v>134</v>
      </c>
      <c r="W86" t="s">
        <v>139</v>
      </c>
      <c r="X86" t="str">
        <f t="shared" si="11"/>
        <v>Nigel de Jong (m)</v>
      </c>
      <c r="Y86" s="109">
        <f>AF86</f>
        <v>5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5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5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Brazilië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5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5</v>
      </c>
      <c r="AV89">
        <f>IF(AR89=0,0,IF(E89=AR89,50,0))</f>
        <v>0</v>
      </c>
      <c r="AW89">
        <f>IF(E89=0,0,IF(OR(E89=AR90),15,0))</f>
        <v>0</v>
      </c>
      <c r="AX89">
        <f>IF(E89=0,0,IF(OR(E89=AR91,E89=AR92),5,0))</f>
        <v>5</v>
      </c>
    </row>
    <row r="90" spans="2:50">
      <c r="C90" s="870">
        <v>2</v>
      </c>
      <c r="D90" s="871"/>
      <c r="E90" s="872" t="str">
        <f>IF(J86=2,D86,IF(J86=1,F86,"Wie wordt 2de?"))</f>
        <v>Spanje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0</v>
      </c>
      <c r="AV90">
        <f>IF(AR90=0,0,IF(AR90=E90,25,0))</f>
        <v>0</v>
      </c>
      <c r="AW90">
        <f>IF(E90=0,0,IF(OR(E90=AR89,),15,0))</f>
        <v>0</v>
      </c>
      <c r="AX90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Frankrijk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0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0</v>
      </c>
      <c r="AV91">
        <f>IF(AR91=0,0,IF(AR91=E91,15,0))</f>
        <v>0</v>
      </c>
      <c r="AW91">
        <f>IF(E91=0,0,IF(OR(E91=AR92),10,0))</f>
        <v>0</v>
      </c>
      <c r="AX91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Portugal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0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0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5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conditionalFormatting sqref="AO9:AO12 AO15:AO18 AO21:AO24 AO27:AO30 AO33:AO36 AO39:AO42 AO45:AO48 AO51:AO54">
    <cfRule type="cellIs" dxfId="143" priority="3" operator="equal">
      <formula>10</formula>
    </cfRule>
  </conditionalFormatting>
  <conditionalFormatting sqref="P58:T58">
    <cfRule type="duplicateValues" dxfId="142" priority="2"/>
  </conditionalFormatting>
  <conditionalFormatting sqref="P58:T68">
    <cfRule type="duplicateValues" dxfId="141" priority="1"/>
  </conditionalFormatting>
  <dataValidations count="10">
    <dataValidation type="list" allowBlank="1" showInputMessage="1" showErrorMessage="1" sqref="P58:P68">
      <formula1>$X$58:$X$98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51:T54">
      <formula1>$W$51:$W$54</formula1>
    </dataValidation>
  </dataValidation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B1:BB98"/>
  <sheetViews>
    <sheetView topLeftCell="A37" zoomScale="70" zoomScaleNormal="70" workbookViewId="0">
      <selection activeCell="P58" sqref="P58:T68"/>
    </sheetView>
  </sheetViews>
  <sheetFormatPr defaultRowHeight="15" outlineLevelCol="2"/>
  <cols>
    <col min="1" max="1" width="3.42578125" customWidth="1"/>
    <col min="2" max="2" width="3.5703125" bestFit="1" customWidth="1"/>
    <col min="3" max="3" width="11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273</v>
      </c>
      <c r="E3" s="145"/>
      <c r="F3" s="145"/>
      <c r="N3" t="str">
        <f>D3</f>
        <v>Léon vh H.</v>
      </c>
      <c r="O3" s="144">
        <f>SUM(P3:S3)</f>
        <v>424</v>
      </c>
      <c r="P3" s="109">
        <f>SUM(Y8:Y86)</f>
        <v>177</v>
      </c>
      <c r="Q3" s="109">
        <f>SUM(AM4:AM55)</f>
        <v>170</v>
      </c>
      <c r="R3" s="109">
        <f>SUM(AP89:AP92)</f>
        <v>50</v>
      </c>
      <c r="S3" s="109">
        <f>SUM(BB58:BB69)</f>
        <v>27</v>
      </c>
      <c r="T3" s="109">
        <f>COUNTIF(AF8:AF86,10)</f>
        <v>3</v>
      </c>
      <c r="U3" s="109" t="str">
        <f>E89</f>
        <v>Duitsland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M6" s="352"/>
      <c r="N6" s="352"/>
      <c r="O6" s="392"/>
      <c r="P6" s="393"/>
      <c r="Q6" s="393"/>
      <c r="R6" s="393"/>
      <c r="S6" s="393"/>
      <c r="T6" s="393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18" t="s">
        <v>3</v>
      </c>
      <c r="E7" s="419"/>
      <c r="F7" s="420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M7" s="352"/>
      <c r="N7" s="352"/>
      <c r="O7" s="353"/>
      <c r="P7" s="393"/>
      <c r="Q7" s="393"/>
      <c r="R7" s="393"/>
      <c r="S7" s="393"/>
      <c r="T7" s="393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3</v>
      </c>
      <c r="H8" s="360" t="s">
        <v>9</v>
      </c>
      <c r="I8" s="439">
        <v>0</v>
      </c>
      <c r="J8" s="362">
        <f>IF(I8="","",IF(G8&gt;I8,1,IF(G8&lt;I8,2,3)))</f>
        <v>1</v>
      </c>
      <c r="K8" s="363">
        <f>IF(I8="","",IF($G8&gt;$I8,3,IF($G8=$I8,1,0)))</f>
        <v>3</v>
      </c>
      <c r="L8" s="363">
        <f>IF(I8="","",IF($G8&lt;$I8,3,IF($G8=$I8,1,0)))</f>
        <v>0</v>
      </c>
      <c r="M8" s="352"/>
      <c r="N8" s="352"/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40"/>
      <c r="V8" s="40"/>
      <c r="W8" s="40"/>
      <c r="Y8" s="109">
        <f>AF8</f>
        <v>6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6</v>
      </c>
      <c r="AG8" s="108">
        <f t="shared" ref="AG8:AG55" si="0">IF(AC8="",0,(IF(G8=AC8,1,0)))</f>
        <v>1</v>
      </c>
      <c r="AH8" s="108">
        <f t="shared" ref="AH8:AH55" si="1">IF(AD8="",0,(IF(I8=AD8,1,0)))</f>
        <v>0</v>
      </c>
      <c r="AI8" s="108">
        <f>IF(AND(AG8=1,AH8=1),10,0)</f>
        <v>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1</v>
      </c>
      <c r="H9" s="367" t="s">
        <v>9</v>
      </c>
      <c r="I9" s="440">
        <v>1</v>
      </c>
      <c r="J9" s="369">
        <f t="shared" ref="J9:J55" si="5">IF(I9="","",IF(G9&gt;I9,1,IF(G9&lt;I9,2,3)))</f>
        <v>3</v>
      </c>
      <c r="K9" s="363">
        <f t="shared" ref="K9:K55" si="6">IF(I9="","",IF($G9&gt;$I9,3,IF($G9=$I9,1,0)))</f>
        <v>1</v>
      </c>
      <c r="L9" s="363">
        <f t="shared" ref="L9:L55" si="7">IF(I9="","",IF($G9&lt;$I9,3,IF($G9=$I9,1,0)))</f>
        <v>1</v>
      </c>
      <c r="M9" s="352"/>
      <c r="N9" s="352"/>
      <c r="O9" s="394" t="s">
        <v>8</v>
      </c>
      <c r="P9" s="395">
        <f>SUMIF($D$8:$D$55,$O9,$G$8:$G$55)+SUMIF($F$8:$F$55,$O9,$I$8:$I$55)</f>
        <v>8</v>
      </c>
      <c r="Q9" s="395">
        <f>SUMIF($D$8:$D$55,$O9,$I$8:$I$55)+SUMIF($F$8:$F$55,$O9,$G$8:$G$55)</f>
        <v>2</v>
      </c>
      <c r="R9" s="396">
        <f>P9-Q9</f>
        <v>6</v>
      </c>
      <c r="S9" s="397">
        <f>SUMIF($D$8:$D$55,$O9,$K$8:$K$55)+SUMIF($F$8:$F$55,$O9,$L$8:$L$55)</f>
        <v>9</v>
      </c>
      <c r="T9" s="444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1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1</v>
      </c>
      <c r="AG9" s="108">
        <f t="shared" si="0"/>
        <v>1</v>
      </c>
      <c r="AH9" s="108">
        <f t="shared" si="1"/>
        <v>0</v>
      </c>
      <c r="AI9" s="108">
        <f t="shared" ref="AI9:AI55" si="10">IF(AND(AG9=1,AH9=1),10,0)</f>
        <v>0</v>
      </c>
      <c r="AJ9" s="108">
        <f t="shared" si="2"/>
        <v>0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3</v>
      </c>
      <c r="H10" s="373" t="s">
        <v>9</v>
      </c>
      <c r="I10" s="441">
        <v>1</v>
      </c>
      <c r="J10" s="375">
        <f t="shared" si="5"/>
        <v>1</v>
      </c>
      <c r="K10" s="363">
        <f t="shared" si="6"/>
        <v>3</v>
      </c>
      <c r="L10" s="363">
        <f t="shared" si="7"/>
        <v>0</v>
      </c>
      <c r="M10" s="352"/>
      <c r="N10" s="352"/>
      <c r="O10" s="398" t="s">
        <v>10</v>
      </c>
      <c r="P10" s="399">
        <f>SUMIF($D$8:$D$55,$O10,$G$8:$G$55)+SUMIF($F$8:$F$55,$O10,$I$8:$I$55)</f>
        <v>3</v>
      </c>
      <c r="Q10" s="399">
        <f>SUMIF($D$8:$D$55,$O10,$I$8:$I$55)+SUMIF($F$8:$F$55,$O10,$G$8:$G$55)</f>
        <v>5</v>
      </c>
      <c r="R10" s="399">
        <f>P10-Q10</f>
        <v>-2</v>
      </c>
      <c r="S10" s="400">
        <f>SUMIF($D$8:$D$55,$O10,$K$8:$K$55)+SUMIF($F$8:$F$55,$O10,$L$8:$L$55)</f>
        <v>4</v>
      </c>
      <c r="T10" s="445" t="s">
        <v>49</v>
      </c>
      <c r="U10" s="40"/>
      <c r="V10" s="40" t="str">
        <f>O10</f>
        <v>Kroatië</v>
      </c>
      <c r="W10" s="40" t="s">
        <v>49</v>
      </c>
      <c r="Y10" s="109">
        <f t="shared" si="8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0</v>
      </c>
      <c r="AG10" s="108">
        <f t="shared" si="0"/>
        <v>0</v>
      </c>
      <c r="AH10" s="108">
        <f t="shared" si="1"/>
        <v>0</v>
      </c>
      <c r="AI10" s="108">
        <f t="shared" si="10"/>
        <v>0</v>
      </c>
      <c r="AJ10" s="108">
        <f t="shared" si="2"/>
        <v>0</v>
      </c>
      <c r="AK10" s="108">
        <f t="shared" si="3"/>
        <v>0</v>
      </c>
      <c r="AL10" s="108">
        <f t="shared" si="4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2</v>
      </c>
      <c r="H11" s="379" t="s">
        <v>9</v>
      </c>
      <c r="I11" s="442">
        <v>0</v>
      </c>
      <c r="J11" s="381">
        <f t="shared" si="5"/>
        <v>1</v>
      </c>
      <c r="K11" s="363">
        <f t="shared" si="6"/>
        <v>3</v>
      </c>
      <c r="L11" s="363">
        <f t="shared" si="7"/>
        <v>0</v>
      </c>
      <c r="M11" s="352"/>
      <c r="N11" s="352"/>
      <c r="O11" s="398" t="s">
        <v>11</v>
      </c>
      <c r="P11" s="399">
        <f>SUMIF($D$8:$D$55,$O11,$G$8:$G$55)+SUMIF($F$8:$F$55,$O11,$I$8:$I$55)</f>
        <v>4</v>
      </c>
      <c r="Q11" s="399">
        <f>SUMIF($D$8:$D$55,$O11,$I$8:$I$55)+SUMIF($F$8:$F$55,$O11,$G$8:$G$55)</f>
        <v>5</v>
      </c>
      <c r="R11" s="399">
        <f>P11-Q11</f>
        <v>-1</v>
      </c>
      <c r="S11" s="400">
        <f>SUMIF($D$8:$D$55,$O11,$K$8:$K$55)+SUMIF($F$8:$F$55,$O11,$L$8:$L$55)</f>
        <v>2</v>
      </c>
      <c r="T11" s="445" t="s">
        <v>47</v>
      </c>
      <c r="U11" s="40"/>
      <c r="V11" s="40" t="str">
        <f>O11</f>
        <v>Mexico</v>
      </c>
      <c r="W11" s="40" t="s">
        <v>47</v>
      </c>
      <c r="Y11" s="109">
        <f t="shared" si="8"/>
        <v>5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5</v>
      </c>
      <c r="AG11" s="108">
        <f t="shared" si="0"/>
        <v>0</v>
      </c>
      <c r="AH11" s="108">
        <f t="shared" si="1"/>
        <v>0</v>
      </c>
      <c r="AI11" s="108">
        <f t="shared" si="10"/>
        <v>0</v>
      </c>
      <c r="AJ11" s="108">
        <f t="shared" si="2"/>
        <v>5</v>
      </c>
      <c r="AK11" s="108">
        <f t="shared" si="3"/>
        <v>0</v>
      </c>
      <c r="AL11" s="108">
        <f t="shared" si="4"/>
        <v>0</v>
      </c>
      <c r="AM11" s="120">
        <f>AO11</f>
        <v>0</v>
      </c>
      <c r="AN11" s="117" t="s">
        <v>11</v>
      </c>
      <c r="AO11" s="115">
        <f>IF(Uitslag!T11="",0,IF(T11=Uitslag!T11,10,0))</f>
        <v>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0</v>
      </c>
      <c r="H12" s="367" t="s">
        <v>9</v>
      </c>
      <c r="I12" s="440">
        <v>1</v>
      </c>
      <c r="J12" s="369">
        <f t="shared" si="5"/>
        <v>2</v>
      </c>
      <c r="K12" s="363">
        <f t="shared" si="6"/>
        <v>0</v>
      </c>
      <c r="L12" s="363">
        <f t="shared" si="7"/>
        <v>3</v>
      </c>
      <c r="M12" s="352"/>
      <c r="N12" s="352"/>
      <c r="O12" s="401" t="s">
        <v>12</v>
      </c>
      <c r="P12" s="402">
        <f>SUMIF($D$8:$D$55,$O12,$G$8:$G$55)+SUMIF($F$8:$F$55,$O12,$I$8:$I$55)</f>
        <v>2</v>
      </c>
      <c r="Q12" s="402">
        <f>SUMIF($D$8:$D$55,$O12,$I$8:$I$55)+SUMIF($F$8:$F$55,$O12,$G$8:$G$55)</f>
        <v>5</v>
      </c>
      <c r="R12" s="402">
        <f>P12-Q12</f>
        <v>-3</v>
      </c>
      <c r="S12" s="403">
        <f>SUMIF($D$8:$D$55,$O12,$K$8:$K$55)+SUMIF($F$8:$F$55,$O12,$L$8:$L$55)</f>
        <v>1</v>
      </c>
      <c r="T12" s="446" t="s">
        <v>50</v>
      </c>
      <c r="U12" s="40"/>
      <c r="V12" s="40" t="str">
        <f>O12</f>
        <v>Kameroen</v>
      </c>
      <c r="W12" s="40" t="s">
        <v>50</v>
      </c>
      <c r="Y12" s="109">
        <f t="shared" si="8"/>
        <v>0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0</v>
      </c>
      <c r="AG12" s="108">
        <f t="shared" si="0"/>
        <v>0</v>
      </c>
      <c r="AH12" s="108">
        <f t="shared" si="1"/>
        <v>0</v>
      </c>
      <c r="AI12" s="108">
        <f t="shared" si="10"/>
        <v>0</v>
      </c>
      <c r="AJ12" s="108">
        <f t="shared" si="2"/>
        <v>0</v>
      </c>
      <c r="AK12" s="108">
        <f t="shared" si="3"/>
        <v>0</v>
      </c>
      <c r="AL12" s="108">
        <f t="shared" si="4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3</v>
      </c>
      <c r="H13" s="373" t="s">
        <v>9</v>
      </c>
      <c r="I13" s="441">
        <v>0</v>
      </c>
      <c r="J13" s="375">
        <f t="shared" si="5"/>
        <v>1</v>
      </c>
      <c r="K13" s="363">
        <f t="shared" si="6"/>
        <v>3</v>
      </c>
      <c r="L13" s="363">
        <f t="shared" si="7"/>
        <v>0</v>
      </c>
      <c r="M13" s="352"/>
      <c r="N13" s="352"/>
      <c r="O13" s="392"/>
      <c r="P13" s="393"/>
      <c r="Q13" s="393"/>
      <c r="R13" s="393"/>
      <c r="S13" s="393"/>
      <c r="T13" s="393"/>
      <c r="U13" s="40"/>
      <c r="V13" s="40"/>
      <c r="W13" s="40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0"/>
        <v>0</v>
      </c>
      <c r="AH13" s="108">
        <f t="shared" si="1"/>
        <v>0</v>
      </c>
      <c r="AI13" s="108">
        <f t="shared" si="10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40"/>
      <c r="AO13" s="41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2</v>
      </c>
      <c r="H14" s="373" t="s">
        <v>9</v>
      </c>
      <c r="I14" s="441">
        <v>1</v>
      </c>
      <c r="J14" s="375">
        <f t="shared" si="5"/>
        <v>1</v>
      </c>
      <c r="K14" s="363">
        <f t="shared" si="6"/>
        <v>3</v>
      </c>
      <c r="L14" s="363">
        <f t="shared" si="7"/>
        <v>0</v>
      </c>
      <c r="M14" s="352"/>
      <c r="N14" s="352"/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40"/>
      <c r="V14" s="40"/>
      <c r="W14" s="40"/>
      <c r="Y14" s="109">
        <f t="shared" si="8"/>
        <v>0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0</v>
      </c>
      <c r="AG14" s="108">
        <f t="shared" si="0"/>
        <v>0</v>
      </c>
      <c r="AH14" s="108">
        <f t="shared" si="1"/>
        <v>0</v>
      </c>
      <c r="AI14" s="108">
        <f t="shared" si="10"/>
        <v>0</v>
      </c>
      <c r="AJ14" s="108">
        <f t="shared" si="2"/>
        <v>0</v>
      </c>
      <c r="AK14" s="108">
        <f t="shared" si="3"/>
        <v>0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1</v>
      </c>
      <c r="H15" s="379" t="s">
        <v>9</v>
      </c>
      <c r="I15" s="442">
        <v>2</v>
      </c>
      <c r="J15" s="381">
        <f t="shared" si="5"/>
        <v>2</v>
      </c>
      <c r="K15" s="363">
        <f t="shared" si="6"/>
        <v>0</v>
      </c>
      <c r="L15" s="363">
        <f t="shared" si="7"/>
        <v>3</v>
      </c>
      <c r="M15" s="352"/>
      <c r="N15" s="352"/>
      <c r="O15" s="394" t="s">
        <v>13</v>
      </c>
      <c r="P15" s="395">
        <f>SUMIF($D$8:$D$55,$O15,$G$8:$G$55)+SUMIF($F$8:$F$55,$O15,$I$8:$I$55)</f>
        <v>6</v>
      </c>
      <c r="Q15" s="395">
        <f>SUMIF($D$8:$D$55,$O15,$I$8:$I$55)+SUMIF($F$8:$F$55,$O15,$G$8:$G$55)</f>
        <v>2</v>
      </c>
      <c r="R15" s="396">
        <f>P15-Q15</f>
        <v>4</v>
      </c>
      <c r="S15" s="397">
        <f>SUMIF($D$8:$D$55,$O15,$K$8:$K$55)+SUMIF($F$8:$F$55,$O15,$L$8:$L$55)</f>
        <v>7</v>
      </c>
      <c r="T15" s="444" t="s">
        <v>52</v>
      </c>
      <c r="U15" s="40"/>
      <c r="V15" s="40" t="str">
        <f>O15</f>
        <v>Spanje</v>
      </c>
      <c r="W15" s="40" t="s">
        <v>52</v>
      </c>
      <c r="Y15" s="109">
        <f t="shared" si="8"/>
        <v>0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0</v>
      </c>
      <c r="AG15" s="108">
        <f t="shared" si="0"/>
        <v>0</v>
      </c>
      <c r="AH15" s="108">
        <f t="shared" si="1"/>
        <v>0</v>
      </c>
      <c r="AI15" s="108">
        <f t="shared" si="10"/>
        <v>0</v>
      </c>
      <c r="AJ15" s="108">
        <f t="shared" si="2"/>
        <v>0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0</v>
      </c>
      <c r="H16" s="367" t="s">
        <v>9</v>
      </c>
      <c r="I16" s="440">
        <v>0</v>
      </c>
      <c r="J16" s="369">
        <f t="shared" si="5"/>
        <v>3</v>
      </c>
      <c r="K16" s="363">
        <f t="shared" si="6"/>
        <v>1</v>
      </c>
      <c r="L16" s="363">
        <f t="shared" si="7"/>
        <v>1</v>
      </c>
      <c r="M16" s="352"/>
      <c r="N16" s="352"/>
      <c r="O16" s="404" t="s">
        <v>14</v>
      </c>
      <c r="P16" s="399">
        <f>SUMIF($D$8:$D$55,$O16,$G$8:$G$55)+SUMIF($F$8:$F$55,$O16,$I$8:$I$55)</f>
        <v>5</v>
      </c>
      <c r="Q16" s="399">
        <f>SUMIF($D$8:$D$55,$O16,$I$8:$I$55)+SUMIF($F$8:$F$55,$O16,$G$8:$G$55)</f>
        <v>4</v>
      </c>
      <c r="R16" s="399">
        <f>P16-Q16</f>
        <v>1</v>
      </c>
      <c r="S16" s="400">
        <f>SUMIF($D$8:$D$55,$O16,$K$8:$K$55)+SUMIF($F$8:$F$55,$O16,$L$8:$L$55)</f>
        <v>6</v>
      </c>
      <c r="T16" s="445" t="s">
        <v>53</v>
      </c>
      <c r="U16" s="40"/>
      <c r="V16" s="40" t="str">
        <f>O16</f>
        <v>Nederland</v>
      </c>
      <c r="W16" s="40" t="s">
        <v>53</v>
      </c>
      <c r="Y16" s="109">
        <f t="shared" si="8"/>
        <v>0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0</v>
      </c>
      <c r="AG16" s="108">
        <f t="shared" si="0"/>
        <v>0</v>
      </c>
      <c r="AH16" s="108">
        <f t="shared" si="1"/>
        <v>0</v>
      </c>
      <c r="AI16" s="108">
        <f t="shared" si="10"/>
        <v>0</v>
      </c>
      <c r="AJ16" s="108">
        <f t="shared" si="2"/>
        <v>0</v>
      </c>
      <c r="AK16" s="108">
        <f t="shared" si="3"/>
        <v>0</v>
      </c>
      <c r="AL16" s="108">
        <f t="shared" si="4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4</v>
      </c>
      <c r="H17" s="373" t="s">
        <v>9</v>
      </c>
      <c r="I17" s="441">
        <v>0</v>
      </c>
      <c r="J17" s="375">
        <f t="shared" si="5"/>
        <v>1</v>
      </c>
      <c r="K17" s="363">
        <f t="shared" si="6"/>
        <v>3</v>
      </c>
      <c r="L17" s="363">
        <f t="shared" si="7"/>
        <v>0</v>
      </c>
      <c r="M17" s="352"/>
      <c r="N17" s="352"/>
      <c r="O17" s="398" t="s">
        <v>15</v>
      </c>
      <c r="P17" s="399">
        <f>SUMIF($D$8:$D$55,$O17,$G$8:$G$55)+SUMIF($F$8:$F$55,$O17,$I$8:$I$55)</f>
        <v>4</v>
      </c>
      <c r="Q17" s="399">
        <f>SUMIF($D$8:$D$55,$O17,$I$8:$I$55)+SUMIF($F$8:$F$55,$O17,$G$8:$G$55)</f>
        <v>3</v>
      </c>
      <c r="R17" s="399">
        <f>P17-Q17</f>
        <v>1</v>
      </c>
      <c r="S17" s="400">
        <f>SUMIF($D$8:$D$55,$O17,$K$8:$K$55)+SUMIF($F$8:$F$55,$O17,$L$8:$L$55)</f>
        <v>4</v>
      </c>
      <c r="T17" s="445" t="s">
        <v>54</v>
      </c>
      <c r="U17" s="40"/>
      <c r="V17" s="40" t="str">
        <f>O17</f>
        <v>Chili</v>
      </c>
      <c r="W17" s="40" t="s">
        <v>54</v>
      </c>
      <c r="Y17" s="109">
        <f t="shared" si="8"/>
        <v>6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6</v>
      </c>
      <c r="AG17" s="108">
        <f t="shared" si="0"/>
        <v>0</v>
      </c>
      <c r="AH17" s="108">
        <f t="shared" si="1"/>
        <v>1</v>
      </c>
      <c r="AI17" s="108">
        <f t="shared" si="10"/>
        <v>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2</v>
      </c>
      <c r="H18" s="379" t="s">
        <v>9</v>
      </c>
      <c r="I18" s="442">
        <v>1</v>
      </c>
      <c r="J18" s="381">
        <f t="shared" si="5"/>
        <v>1</v>
      </c>
      <c r="K18" s="363">
        <f t="shared" si="6"/>
        <v>3</v>
      </c>
      <c r="L18" s="363">
        <f t="shared" si="7"/>
        <v>0</v>
      </c>
      <c r="M18" s="352"/>
      <c r="N18" s="352"/>
      <c r="O18" s="401" t="s">
        <v>16</v>
      </c>
      <c r="P18" s="402">
        <f>SUMIF($D$8:$D$55,$O18,$G$8:$G$55)+SUMIF($F$8:$F$55,$O18,$I$8:$I$55)</f>
        <v>0</v>
      </c>
      <c r="Q18" s="402">
        <f>SUMIF($D$8:$D$55,$O18,$I$8:$I$55)+SUMIF($F$8:$F$55,$O18,$G$8:$G$55)</f>
        <v>6</v>
      </c>
      <c r="R18" s="402">
        <f>P18-Q18</f>
        <v>-6</v>
      </c>
      <c r="S18" s="403">
        <f>SUMIF($D$8:$D$55,$O18,$K$8:$K$55)+SUMIF($F$8:$F$55,$O18,$L$8:$L$55)</f>
        <v>0</v>
      </c>
      <c r="T18" s="446" t="s">
        <v>55</v>
      </c>
      <c r="U18" s="40"/>
      <c r="V18" s="40" t="str">
        <f>O18</f>
        <v>Australië</v>
      </c>
      <c r="W18" s="40" t="s">
        <v>55</v>
      </c>
      <c r="Y18" s="109">
        <f t="shared" si="8"/>
        <v>10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10</v>
      </c>
      <c r="AG18" s="108">
        <f t="shared" si="0"/>
        <v>1</v>
      </c>
      <c r="AH18" s="108">
        <f t="shared" si="1"/>
        <v>1</v>
      </c>
      <c r="AI18" s="108">
        <f t="shared" si="10"/>
        <v>10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2</v>
      </c>
      <c r="H19" s="367" t="s">
        <v>9</v>
      </c>
      <c r="I19" s="440">
        <v>2</v>
      </c>
      <c r="J19" s="369">
        <f t="shared" si="5"/>
        <v>3</v>
      </c>
      <c r="K19" s="363">
        <f t="shared" si="6"/>
        <v>1</v>
      </c>
      <c r="L19" s="363">
        <f t="shared" si="7"/>
        <v>1</v>
      </c>
      <c r="M19" s="352"/>
      <c r="N19" s="352"/>
      <c r="O19" s="392"/>
      <c r="P19" s="393"/>
      <c r="Q19" s="393"/>
      <c r="R19" s="393"/>
      <c r="S19" s="393"/>
      <c r="T19" s="393"/>
      <c r="U19" s="40"/>
      <c r="V19" s="40"/>
      <c r="W19" s="40"/>
      <c r="Y19" s="109">
        <f t="shared" si="8"/>
        <v>0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0</v>
      </c>
      <c r="AG19" s="108">
        <f t="shared" si="0"/>
        <v>0</v>
      </c>
      <c r="AH19" s="108">
        <f t="shared" si="1"/>
        <v>0</v>
      </c>
      <c r="AI19" s="108">
        <f t="shared" si="10"/>
        <v>0</v>
      </c>
      <c r="AJ19" s="108">
        <f t="shared" si="2"/>
        <v>0</v>
      </c>
      <c r="AK19" s="108">
        <f t="shared" si="3"/>
        <v>0</v>
      </c>
      <c r="AL19" s="108">
        <f t="shared" si="4"/>
        <v>0</v>
      </c>
      <c r="AN19" s="40"/>
      <c r="AO19" s="41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0</v>
      </c>
      <c r="H20" s="373" t="s">
        <v>9</v>
      </c>
      <c r="I20" s="441">
        <v>2</v>
      </c>
      <c r="J20" s="375">
        <f t="shared" si="5"/>
        <v>2</v>
      </c>
      <c r="K20" s="363">
        <f t="shared" si="6"/>
        <v>0</v>
      </c>
      <c r="L20" s="363">
        <f t="shared" si="7"/>
        <v>3</v>
      </c>
      <c r="M20" s="352"/>
      <c r="N20" s="352"/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40"/>
      <c r="V20" s="40"/>
      <c r="W20" s="40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0"/>
        <v>1</v>
      </c>
      <c r="AH20" s="108">
        <f t="shared" si="1"/>
        <v>0</v>
      </c>
      <c r="AI20" s="108">
        <f t="shared" si="10"/>
        <v>0</v>
      </c>
      <c r="AJ20" s="108">
        <f t="shared" si="2"/>
        <v>0</v>
      </c>
      <c r="AK20" s="108">
        <f t="shared" si="3"/>
        <v>0</v>
      </c>
      <c r="AL20" s="108">
        <f t="shared" si="4"/>
        <v>0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1</v>
      </c>
      <c r="H21" s="379" t="s">
        <v>9</v>
      </c>
      <c r="I21" s="442">
        <v>1</v>
      </c>
      <c r="J21" s="381">
        <f t="shared" si="5"/>
        <v>3</v>
      </c>
      <c r="K21" s="363">
        <f t="shared" si="6"/>
        <v>1</v>
      </c>
      <c r="L21" s="363">
        <f t="shared" si="7"/>
        <v>1</v>
      </c>
      <c r="M21" s="352"/>
      <c r="N21" s="352"/>
      <c r="O21" s="394" t="s">
        <v>17</v>
      </c>
      <c r="P21" s="395">
        <f>SUMIF($D$8:$D$55,$O21,$G$8:$G$55)+SUMIF($F$8:$F$55,$O21,$I$8:$I$55)</f>
        <v>3</v>
      </c>
      <c r="Q21" s="395">
        <f>SUMIF($D$8:$D$55,$O21,$I$8:$I$55)+SUMIF($F$8:$F$55,$O21,$G$8:$G$55)</f>
        <v>4</v>
      </c>
      <c r="R21" s="396">
        <f>P21-Q21</f>
        <v>-1</v>
      </c>
      <c r="S21" s="397">
        <f>SUMIF($D$8:$D$55,$O21,$K$8:$K$55)+SUMIF($F$8:$F$55,$O21,$L$8:$L$55)</f>
        <v>2</v>
      </c>
      <c r="T21" s="444" t="s">
        <v>60</v>
      </c>
      <c r="U21" s="40"/>
      <c r="V21" s="40" t="str">
        <f>O21</f>
        <v>Colombia</v>
      </c>
      <c r="W21" s="40" t="s">
        <v>57</v>
      </c>
      <c r="Y21" s="109">
        <f t="shared" si="8"/>
        <v>1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1</v>
      </c>
      <c r="AG21" s="108">
        <f t="shared" si="0"/>
        <v>1</v>
      </c>
      <c r="AH21" s="108">
        <f t="shared" si="1"/>
        <v>0</v>
      </c>
      <c r="AI21" s="108">
        <f t="shared" si="10"/>
        <v>0</v>
      </c>
      <c r="AJ21" s="108">
        <f t="shared" si="2"/>
        <v>0</v>
      </c>
      <c r="AK21" s="108">
        <f t="shared" si="3"/>
        <v>0</v>
      </c>
      <c r="AL21" s="108">
        <f t="shared" si="4"/>
        <v>0</v>
      </c>
      <c r="AM21" s="120">
        <f>AO21</f>
        <v>0</v>
      </c>
      <c r="AN21" s="116" t="s">
        <v>17</v>
      </c>
      <c r="AO21" s="115">
        <f>IF(Uitslag!T21="",0,IF(T21=Uitslag!T21,10,0))</f>
        <v>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2</v>
      </c>
      <c r="H22" s="367" t="s">
        <v>9</v>
      </c>
      <c r="I22" s="440">
        <v>0</v>
      </c>
      <c r="J22" s="369">
        <f t="shared" si="5"/>
        <v>1</v>
      </c>
      <c r="K22" s="363">
        <f t="shared" si="6"/>
        <v>3</v>
      </c>
      <c r="L22" s="363">
        <f t="shared" si="7"/>
        <v>0</v>
      </c>
      <c r="M22" s="352"/>
      <c r="N22" s="352"/>
      <c r="O22" s="398" t="s">
        <v>18</v>
      </c>
      <c r="P22" s="399">
        <f>SUMIF($D$8:$D$55,$O22,$G$8:$G$55)+SUMIF($F$8:$F$55,$O22,$I$8:$I$55)</f>
        <v>2</v>
      </c>
      <c r="Q22" s="399">
        <f>SUMIF($D$8:$D$55,$O22,$I$8:$I$55)+SUMIF($F$8:$F$55,$O22,$G$8:$G$55)</f>
        <v>1</v>
      </c>
      <c r="R22" s="399">
        <f>P22-Q22</f>
        <v>1</v>
      </c>
      <c r="S22" s="400">
        <f>SUMIF($D$8:$D$55,$O22,$K$8:$K$55)+SUMIF($F$8:$F$55,$O22,$L$8:$L$55)</f>
        <v>5</v>
      </c>
      <c r="T22" s="445" t="s">
        <v>58</v>
      </c>
      <c r="U22" s="40"/>
      <c r="V22" s="40" t="str">
        <f>O22</f>
        <v>Griekenland</v>
      </c>
      <c r="W22" s="40" t="s">
        <v>58</v>
      </c>
      <c r="Y22" s="109">
        <f t="shared" si="8"/>
        <v>6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6</v>
      </c>
      <c r="AG22" s="108">
        <f t="shared" si="0"/>
        <v>1</v>
      </c>
      <c r="AH22" s="108">
        <f t="shared" si="1"/>
        <v>0</v>
      </c>
      <c r="AI22" s="108">
        <f t="shared" si="10"/>
        <v>0</v>
      </c>
      <c r="AJ22" s="108">
        <f t="shared" si="2"/>
        <v>5</v>
      </c>
      <c r="AK22" s="108">
        <f t="shared" si="3"/>
        <v>0</v>
      </c>
      <c r="AL22" s="108">
        <f t="shared" si="4"/>
        <v>0</v>
      </c>
      <c r="AM22" s="120">
        <f>AO22</f>
        <v>10</v>
      </c>
      <c r="AN22" s="117" t="s">
        <v>18</v>
      </c>
      <c r="AO22" s="115">
        <f>IF(Uitslag!T22="",0,IF(T22=Uitslag!T22,10,0))</f>
        <v>10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2</v>
      </c>
      <c r="H23" s="373" t="s">
        <v>9</v>
      </c>
      <c r="I23" s="441">
        <v>1</v>
      </c>
      <c r="J23" s="375">
        <f t="shared" si="5"/>
        <v>1</v>
      </c>
      <c r="K23" s="363">
        <f t="shared" si="6"/>
        <v>3</v>
      </c>
      <c r="L23" s="363">
        <f t="shared" si="7"/>
        <v>0</v>
      </c>
      <c r="M23" s="352"/>
      <c r="N23" s="352"/>
      <c r="O23" s="398" t="s">
        <v>23</v>
      </c>
      <c r="P23" s="399">
        <f>SUMIF($D$8:$D$55,$O23,$G$8:$G$55)+SUMIF($F$8:$F$55,$O23,$I$8:$I$55)</f>
        <v>3</v>
      </c>
      <c r="Q23" s="399">
        <f>SUMIF($D$8:$D$55,$O23,$I$8:$I$55)+SUMIF($F$8:$F$55,$O23,$G$8:$G$55)</f>
        <v>4</v>
      </c>
      <c r="R23" s="399">
        <f>P23-Q23</f>
        <v>-1</v>
      </c>
      <c r="S23" s="400">
        <f>SUMIF($D$8:$D$55,$O23,$K$8:$K$55)+SUMIF($F$8:$F$55,$O23,$L$8:$L$55)</f>
        <v>2</v>
      </c>
      <c r="T23" s="445" t="s">
        <v>59</v>
      </c>
      <c r="U23" s="40"/>
      <c r="V23" s="40" t="str">
        <f>O23</f>
        <v>Ivoorkust</v>
      </c>
      <c r="W23" s="40" t="s">
        <v>59</v>
      </c>
      <c r="Y23" s="109">
        <f t="shared" si="8"/>
        <v>0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0</v>
      </c>
      <c r="AG23" s="108">
        <f t="shared" si="0"/>
        <v>0</v>
      </c>
      <c r="AH23" s="108">
        <f t="shared" si="1"/>
        <v>0</v>
      </c>
      <c r="AI23" s="108">
        <f t="shared" si="10"/>
        <v>0</v>
      </c>
      <c r="AJ23" s="108">
        <f t="shared" si="2"/>
        <v>0</v>
      </c>
      <c r="AK23" s="108">
        <f t="shared" si="3"/>
        <v>0</v>
      </c>
      <c r="AL23" s="108">
        <f t="shared" si="4"/>
        <v>0</v>
      </c>
      <c r="AM23" s="120">
        <f>AO23</f>
        <v>10</v>
      </c>
      <c r="AN23" s="117" t="s">
        <v>23</v>
      </c>
      <c r="AO23" s="115">
        <f>IF(Uitslag!T23="",0,IF(T23=Uitslag!T23,10,0))</f>
        <v>10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2</v>
      </c>
      <c r="H24" s="379" t="s">
        <v>9</v>
      </c>
      <c r="I24" s="442">
        <v>0</v>
      </c>
      <c r="J24" s="381">
        <f t="shared" si="5"/>
        <v>1</v>
      </c>
      <c r="K24" s="363">
        <f t="shared" si="6"/>
        <v>3</v>
      </c>
      <c r="L24" s="363">
        <f t="shared" si="7"/>
        <v>0</v>
      </c>
      <c r="M24" s="352"/>
      <c r="N24" s="352"/>
      <c r="O24" s="401" t="s">
        <v>24</v>
      </c>
      <c r="P24" s="402">
        <f>SUMIF($D$8:$D$55,$O24,$G$8:$G$55)+SUMIF($F$8:$F$55,$O24,$I$8:$I$55)</f>
        <v>4</v>
      </c>
      <c r="Q24" s="402">
        <f>SUMIF($D$8:$D$55,$O24,$I$8:$I$55)+SUMIF($F$8:$F$55,$O24,$G$8:$G$55)</f>
        <v>3</v>
      </c>
      <c r="R24" s="402">
        <f>P24-Q24</f>
        <v>1</v>
      </c>
      <c r="S24" s="403">
        <f>SUMIF($D$8:$D$55,$O24,$K$8:$K$55)+SUMIF($F$8:$F$55,$O24,$L$8:$L$55)</f>
        <v>5</v>
      </c>
      <c r="T24" s="446" t="s">
        <v>57</v>
      </c>
      <c r="U24" s="40"/>
      <c r="V24" s="40" t="str">
        <f>O24</f>
        <v>Japan</v>
      </c>
      <c r="W24" s="40" t="s">
        <v>60</v>
      </c>
      <c r="Y24" s="109">
        <f t="shared" si="8"/>
        <v>0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0</v>
      </c>
      <c r="AG24" s="108">
        <f t="shared" si="0"/>
        <v>0</v>
      </c>
      <c r="AH24" s="108">
        <f t="shared" si="1"/>
        <v>0</v>
      </c>
      <c r="AI24" s="108">
        <f t="shared" si="10"/>
        <v>0</v>
      </c>
      <c r="AJ24" s="108">
        <f t="shared" si="2"/>
        <v>0</v>
      </c>
      <c r="AK24" s="108">
        <f t="shared" si="3"/>
        <v>0</v>
      </c>
      <c r="AL24" s="108">
        <f t="shared" si="4"/>
        <v>0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0</v>
      </c>
      <c r="H25" s="367" t="s">
        <v>9</v>
      </c>
      <c r="I25" s="440">
        <v>2</v>
      </c>
      <c r="J25" s="369">
        <f t="shared" si="5"/>
        <v>2</v>
      </c>
      <c r="K25" s="363">
        <f t="shared" si="6"/>
        <v>0</v>
      </c>
      <c r="L25" s="363">
        <f t="shared" si="7"/>
        <v>3</v>
      </c>
      <c r="M25" s="352"/>
      <c r="N25" s="352"/>
      <c r="O25" s="392"/>
      <c r="P25" s="393"/>
      <c r="Q25" s="393"/>
      <c r="R25" s="393"/>
      <c r="S25" s="393"/>
      <c r="T25" s="393"/>
      <c r="U25" s="40"/>
      <c r="V25" s="40"/>
      <c r="W25" s="40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0"/>
        <v>0</v>
      </c>
      <c r="AH25" s="108">
        <f t="shared" si="1"/>
        <v>0</v>
      </c>
      <c r="AI25" s="108">
        <f t="shared" si="10"/>
        <v>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40"/>
      <c r="AO25" s="41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1</v>
      </c>
      <c r="H26" s="373" t="s">
        <v>9</v>
      </c>
      <c r="I26" s="441">
        <v>1</v>
      </c>
      <c r="J26" s="375">
        <f t="shared" si="5"/>
        <v>3</v>
      </c>
      <c r="K26" s="363">
        <f t="shared" si="6"/>
        <v>1</v>
      </c>
      <c r="L26" s="363">
        <f t="shared" si="7"/>
        <v>1</v>
      </c>
      <c r="M26" s="352"/>
      <c r="N26" s="352"/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40"/>
      <c r="V26" s="40"/>
      <c r="W26" s="40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0"/>
        <v>0</v>
      </c>
      <c r="AH26" s="108">
        <f t="shared" si="1"/>
        <v>0</v>
      </c>
      <c r="AI26" s="108">
        <f t="shared" si="10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0</v>
      </c>
      <c r="H27" s="379" t="s">
        <v>9</v>
      </c>
      <c r="I27" s="442">
        <v>1</v>
      </c>
      <c r="J27" s="381">
        <f t="shared" si="5"/>
        <v>2</v>
      </c>
      <c r="K27" s="363">
        <f t="shared" si="6"/>
        <v>0</v>
      </c>
      <c r="L27" s="363">
        <f t="shared" si="7"/>
        <v>3</v>
      </c>
      <c r="M27" s="352"/>
      <c r="N27" s="352"/>
      <c r="O27" s="394" t="s">
        <v>19</v>
      </c>
      <c r="P27" s="395">
        <f>SUMIF($D$8:$D$55,$O27,$G$8:$G$55)+SUMIF($F$8:$F$55,$O27,$I$8:$I$55)</f>
        <v>6</v>
      </c>
      <c r="Q27" s="395">
        <f>SUMIF($D$8:$D$55,$O27,$I$8:$I$55)+SUMIF($F$8:$F$55,$O27,$G$8:$G$55)</f>
        <v>3</v>
      </c>
      <c r="R27" s="396">
        <f>P27-Q27</f>
        <v>3</v>
      </c>
      <c r="S27" s="397">
        <f>SUMIF($D$8:$D$55,$O27,$K$8:$K$55)+SUMIF($F$8:$F$55,$O27,$L$8:$L$55)</f>
        <v>5</v>
      </c>
      <c r="T27" s="444" t="s">
        <v>63</v>
      </c>
      <c r="U27" s="40"/>
      <c r="V27" s="40" t="str">
        <f>O27</f>
        <v>Uruguay</v>
      </c>
      <c r="W27" s="40" t="s">
        <v>62</v>
      </c>
      <c r="Y27" s="109">
        <f t="shared" si="8"/>
        <v>6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6</v>
      </c>
      <c r="AG27" s="108">
        <f t="shared" si="0"/>
        <v>1</v>
      </c>
      <c r="AH27" s="108">
        <f t="shared" si="1"/>
        <v>0</v>
      </c>
      <c r="AI27" s="108">
        <f t="shared" si="10"/>
        <v>0</v>
      </c>
      <c r="AJ27" s="108">
        <f t="shared" si="2"/>
        <v>0</v>
      </c>
      <c r="AK27" s="108">
        <f t="shared" si="3"/>
        <v>5</v>
      </c>
      <c r="AL27" s="108">
        <f t="shared" si="4"/>
        <v>0</v>
      </c>
      <c r="AM27" s="120">
        <f>AO27</f>
        <v>10</v>
      </c>
      <c r="AN27" s="116" t="s">
        <v>19</v>
      </c>
      <c r="AO27" s="115">
        <f>IF(Uitslag!T27="",0,IF(T27=Uitslag!T27,10,0))</f>
        <v>10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2</v>
      </c>
      <c r="H28" s="367" t="s">
        <v>9</v>
      </c>
      <c r="I28" s="440">
        <v>2</v>
      </c>
      <c r="J28" s="369">
        <f t="shared" si="5"/>
        <v>3</v>
      </c>
      <c r="K28" s="363">
        <f t="shared" si="6"/>
        <v>1</v>
      </c>
      <c r="L28" s="363">
        <f t="shared" si="7"/>
        <v>1</v>
      </c>
      <c r="M28" s="352"/>
      <c r="N28" s="352"/>
      <c r="O28" s="398" t="s">
        <v>20</v>
      </c>
      <c r="P28" s="399">
        <f>SUMIF($D$8:$D$55,$O28,$G$8:$G$55)+SUMIF($F$8:$F$55,$O28,$I$8:$I$55)</f>
        <v>1</v>
      </c>
      <c r="Q28" s="399">
        <f>SUMIF($D$8:$D$55,$O28,$I$8:$I$55)+SUMIF($F$8:$F$55,$O28,$G$8:$G$55)</f>
        <v>8</v>
      </c>
      <c r="R28" s="399">
        <f>P28-Q28</f>
        <v>-7</v>
      </c>
      <c r="S28" s="400">
        <f>SUMIF($D$8:$D$55,$O28,$K$8:$K$55)+SUMIF($F$8:$F$55,$O28,$L$8:$L$55)</f>
        <v>0</v>
      </c>
      <c r="T28" s="445" t="s">
        <v>65</v>
      </c>
      <c r="U28" s="40"/>
      <c r="V28" s="40" t="str">
        <f>O28</f>
        <v>Costa Rica</v>
      </c>
      <c r="W28" s="40" t="s">
        <v>63</v>
      </c>
      <c r="Y28" s="109">
        <f t="shared" si="8"/>
        <v>1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1</v>
      </c>
      <c r="AG28" s="108">
        <f t="shared" si="0"/>
        <v>1</v>
      </c>
      <c r="AH28" s="108">
        <f t="shared" si="1"/>
        <v>0</v>
      </c>
      <c r="AI28" s="108">
        <f t="shared" si="10"/>
        <v>0</v>
      </c>
      <c r="AJ28" s="108">
        <f t="shared" si="2"/>
        <v>0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2</v>
      </c>
      <c r="H29" s="373" t="s">
        <v>9</v>
      </c>
      <c r="I29" s="441">
        <v>2</v>
      </c>
      <c r="J29" s="375">
        <f t="shared" si="5"/>
        <v>3</v>
      </c>
      <c r="K29" s="363">
        <f t="shared" si="6"/>
        <v>1</v>
      </c>
      <c r="L29" s="363">
        <f t="shared" si="7"/>
        <v>1</v>
      </c>
      <c r="M29" s="352"/>
      <c r="N29" s="352"/>
      <c r="O29" s="398" t="s">
        <v>21</v>
      </c>
      <c r="P29" s="399">
        <f>SUMIF($D$8:$D$55,$O29,$G$8:$G$55)+SUMIF($F$8:$F$55,$O29,$I$8:$I$55)</f>
        <v>7</v>
      </c>
      <c r="Q29" s="399">
        <f>SUMIF($D$8:$D$55,$O29,$I$8:$I$55)+SUMIF($F$8:$F$55,$O29,$G$8:$G$55)</f>
        <v>4</v>
      </c>
      <c r="R29" s="399">
        <f>P29-Q29</f>
        <v>3</v>
      </c>
      <c r="S29" s="400">
        <f>SUMIF($D$8:$D$55,$O29,$K$8:$K$55)+SUMIF($F$8:$F$55,$O29,$L$8:$L$55)</f>
        <v>7</v>
      </c>
      <c r="T29" s="445" t="s">
        <v>62</v>
      </c>
      <c r="U29" s="40"/>
      <c r="V29" s="40" t="str">
        <f>O29</f>
        <v>Engeland</v>
      </c>
      <c r="W29" s="40" t="s">
        <v>64</v>
      </c>
      <c r="Y29" s="109">
        <f t="shared" si="8"/>
        <v>1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1</v>
      </c>
      <c r="AG29" s="108">
        <f t="shared" si="0"/>
        <v>1</v>
      </c>
      <c r="AH29" s="108">
        <f t="shared" si="1"/>
        <v>0</v>
      </c>
      <c r="AI29" s="108">
        <f t="shared" si="10"/>
        <v>0</v>
      </c>
      <c r="AJ29" s="108">
        <f t="shared" si="2"/>
        <v>0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1</v>
      </c>
      <c r="H30" s="379" t="s">
        <v>9</v>
      </c>
      <c r="I30" s="442">
        <v>1</v>
      </c>
      <c r="J30" s="381">
        <f t="shared" si="5"/>
        <v>3</v>
      </c>
      <c r="K30" s="363">
        <f t="shared" si="6"/>
        <v>1</v>
      </c>
      <c r="L30" s="363">
        <f t="shared" si="7"/>
        <v>1</v>
      </c>
      <c r="M30" s="352"/>
      <c r="N30" s="352"/>
      <c r="O30" s="401" t="s">
        <v>22</v>
      </c>
      <c r="P30" s="402">
        <f>SUMIF($D$8:$D$55,$O30,$G$8:$G$55)+SUMIF($F$8:$F$55,$O30,$I$8:$I$55)</f>
        <v>4</v>
      </c>
      <c r="Q30" s="402">
        <f>SUMIF($D$8:$D$55,$O30,$I$8:$I$55)+SUMIF($F$8:$F$55,$O30,$G$8:$G$55)</f>
        <v>3</v>
      </c>
      <c r="R30" s="402">
        <f>P30-Q30</f>
        <v>1</v>
      </c>
      <c r="S30" s="403">
        <f>SUMIF($D$8:$D$55,$O30,$K$8:$K$55)+SUMIF($F$8:$F$55,$O30,$L$8:$L$55)</f>
        <v>4</v>
      </c>
      <c r="T30" s="446" t="s">
        <v>64</v>
      </c>
      <c r="U30" s="40"/>
      <c r="V30" s="40" t="str">
        <f>O30</f>
        <v>Italië</v>
      </c>
      <c r="W30" s="40" t="s">
        <v>65</v>
      </c>
      <c r="Y30" s="109">
        <f t="shared" si="8"/>
        <v>5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5</v>
      </c>
      <c r="AG30" s="108">
        <f t="shared" si="0"/>
        <v>0</v>
      </c>
      <c r="AH30" s="108">
        <f t="shared" si="1"/>
        <v>0</v>
      </c>
      <c r="AI30" s="108">
        <f t="shared" si="10"/>
        <v>0</v>
      </c>
      <c r="AJ30" s="108">
        <f t="shared" si="2"/>
        <v>0</v>
      </c>
      <c r="AK30" s="108">
        <f t="shared" si="3"/>
        <v>0</v>
      </c>
      <c r="AL30" s="108">
        <f t="shared" si="4"/>
        <v>5</v>
      </c>
      <c r="AM30" s="120">
        <f>AO30</f>
        <v>10</v>
      </c>
      <c r="AN30" s="118" t="s">
        <v>22</v>
      </c>
      <c r="AO30" s="115">
        <f>IF(Uitslag!T30="",0,IF(T30=Uitslag!T30,10,0))</f>
        <v>10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2</v>
      </c>
      <c r="H31" s="367" t="s">
        <v>9</v>
      </c>
      <c r="I31" s="440">
        <v>0</v>
      </c>
      <c r="J31" s="369">
        <f t="shared" si="5"/>
        <v>1</v>
      </c>
      <c r="K31" s="363">
        <f t="shared" si="6"/>
        <v>3</v>
      </c>
      <c r="L31" s="363">
        <f t="shared" si="7"/>
        <v>0</v>
      </c>
      <c r="M31" s="352"/>
      <c r="N31" s="352"/>
      <c r="O31" s="392"/>
      <c r="P31" s="393"/>
      <c r="Q31" s="393"/>
      <c r="R31" s="393"/>
      <c r="S31" s="393"/>
      <c r="T31" s="393"/>
      <c r="U31" s="40"/>
      <c r="V31" s="40"/>
      <c r="W31" s="40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0"/>
        <v>0</v>
      </c>
      <c r="AH31" s="108">
        <f t="shared" si="1"/>
        <v>0</v>
      </c>
      <c r="AI31" s="108">
        <f t="shared" si="10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40"/>
      <c r="AO31" s="41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1</v>
      </c>
      <c r="H32" s="373" t="s">
        <v>9</v>
      </c>
      <c r="I32" s="441">
        <v>2</v>
      </c>
      <c r="J32" s="375">
        <f t="shared" si="5"/>
        <v>2</v>
      </c>
      <c r="K32" s="363">
        <f t="shared" si="6"/>
        <v>0</v>
      </c>
      <c r="L32" s="363">
        <f t="shared" si="7"/>
        <v>3</v>
      </c>
      <c r="M32" s="352"/>
      <c r="N32" s="352"/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40"/>
      <c r="V32" s="40"/>
      <c r="W32" s="40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0"/>
        <v>0</v>
      </c>
      <c r="AH32" s="108">
        <f t="shared" si="1"/>
        <v>0</v>
      </c>
      <c r="AI32" s="108">
        <f t="shared" si="10"/>
        <v>0</v>
      </c>
      <c r="AJ32" s="108">
        <f t="shared" si="2"/>
        <v>0</v>
      </c>
      <c r="AK32" s="108">
        <f t="shared" si="3"/>
        <v>5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0</v>
      </c>
      <c r="H33" s="379" t="s">
        <v>9</v>
      </c>
      <c r="I33" s="442">
        <v>1</v>
      </c>
      <c r="J33" s="381">
        <f t="shared" si="5"/>
        <v>2</v>
      </c>
      <c r="K33" s="363">
        <f t="shared" si="6"/>
        <v>0</v>
      </c>
      <c r="L33" s="363">
        <f t="shared" si="7"/>
        <v>3</v>
      </c>
      <c r="M33" s="352"/>
      <c r="N33" s="352"/>
      <c r="O33" s="394" t="s">
        <v>25</v>
      </c>
      <c r="P33" s="395">
        <f>SUMIF($D$8:$D$55,$O33,$G$8:$G$55)+SUMIF($F$8:$F$55,$O33,$I$8:$I$55)</f>
        <v>3</v>
      </c>
      <c r="Q33" s="395">
        <f>SUMIF($D$8:$D$55,$O33,$I$8:$I$55)+SUMIF($F$8:$F$55,$O33,$G$8:$G$55)</f>
        <v>3</v>
      </c>
      <c r="R33" s="396">
        <f>P33-Q33</f>
        <v>0</v>
      </c>
      <c r="S33" s="397">
        <f>SUMIF($D$8:$D$55,$O33,$K$8:$K$55)+SUMIF($F$8:$F$55,$O33,$L$8:$L$55)</f>
        <v>4</v>
      </c>
      <c r="T33" s="444" t="s">
        <v>68</v>
      </c>
      <c r="U33" s="40"/>
      <c r="V33" s="40" t="str">
        <f>O33</f>
        <v>Zwitserland</v>
      </c>
      <c r="W33" s="40" t="s">
        <v>67</v>
      </c>
      <c r="Y33" s="109">
        <f t="shared" si="8"/>
        <v>5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5</v>
      </c>
      <c r="AG33" s="108">
        <f t="shared" si="0"/>
        <v>0</v>
      </c>
      <c r="AH33" s="108">
        <f t="shared" si="1"/>
        <v>0</v>
      </c>
      <c r="AI33" s="108">
        <f t="shared" si="10"/>
        <v>0</v>
      </c>
      <c r="AJ33" s="108">
        <f t="shared" si="2"/>
        <v>0</v>
      </c>
      <c r="AK33" s="108">
        <f t="shared" si="3"/>
        <v>5</v>
      </c>
      <c r="AL33" s="108">
        <f t="shared" si="4"/>
        <v>0</v>
      </c>
      <c r="AM33" s="120">
        <f>AO33</f>
        <v>10</v>
      </c>
      <c r="AN33" s="116" t="s">
        <v>25</v>
      </c>
      <c r="AO33" s="115">
        <f>IF(Uitslag!T33="",0,IF(T33=Uitslag!T33,10,0))</f>
        <v>10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4</v>
      </c>
      <c r="H34" s="367" t="s">
        <v>9</v>
      </c>
      <c r="I34" s="440">
        <v>0</v>
      </c>
      <c r="J34" s="369">
        <f t="shared" si="5"/>
        <v>1</v>
      </c>
      <c r="K34" s="363">
        <f t="shared" si="6"/>
        <v>3</v>
      </c>
      <c r="L34" s="363">
        <f t="shared" si="7"/>
        <v>0</v>
      </c>
      <c r="M34" s="352"/>
      <c r="N34" s="352"/>
      <c r="O34" s="398" t="s">
        <v>26</v>
      </c>
      <c r="P34" s="399">
        <f>SUMIF($D$8:$D$55,$O34,$G$8:$G$55)+SUMIF($F$8:$F$55,$O34,$I$8:$I$55)</f>
        <v>2</v>
      </c>
      <c r="Q34" s="399">
        <f>SUMIF($D$8:$D$55,$O34,$I$8:$I$55)+SUMIF($F$8:$F$55,$O34,$G$8:$G$55)</f>
        <v>3</v>
      </c>
      <c r="R34" s="399">
        <f>P34-Q34</f>
        <v>-1</v>
      </c>
      <c r="S34" s="400">
        <f>SUMIF($D$8:$D$55,$O34,$K$8:$K$55)+SUMIF($F$8:$F$55,$O34,$L$8:$L$55)</f>
        <v>4</v>
      </c>
      <c r="T34" s="445" t="s">
        <v>69</v>
      </c>
      <c r="U34" s="40"/>
      <c r="V34" s="40" t="str">
        <f>O34</f>
        <v>Ecuador</v>
      </c>
      <c r="W34" s="40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0"/>
        <v>0</v>
      </c>
      <c r="AH34" s="108">
        <f t="shared" si="1"/>
        <v>1</v>
      </c>
      <c r="AI34" s="108">
        <f t="shared" si="10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10</v>
      </c>
      <c r="AN34" s="117" t="s">
        <v>26</v>
      </c>
      <c r="AO34" s="115">
        <f>IF(Uitslag!T34="",0,IF(T34=Uitslag!T34,10,0))</f>
        <v>10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3</v>
      </c>
      <c r="H35" s="373" t="s">
        <v>9</v>
      </c>
      <c r="I35" s="441">
        <v>1</v>
      </c>
      <c r="J35" s="375">
        <f t="shared" si="5"/>
        <v>1</v>
      </c>
      <c r="K35" s="363">
        <f t="shared" si="6"/>
        <v>3</v>
      </c>
      <c r="L35" s="363">
        <f t="shared" si="7"/>
        <v>0</v>
      </c>
      <c r="M35" s="352"/>
      <c r="N35" s="352"/>
      <c r="O35" s="398" t="s">
        <v>27</v>
      </c>
      <c r="P35" s="399">
        <f>SUMIF($D$8:$D$55,$O35,$G$8:$G$55)+SUMIF($F$8:$F$55,$O35,$I$8:$I$55)</f>
        <v>9</v>
      </c>
      <c r="Q35" s="399">
        <f>SUMIF($D$8:$D$55,$O35,$I$8:$I$55)+SUMIF($F$8:$F$55,$O35,$G$8:$G$55)</f>
        <v>2</v>
      </c>
      <c r="R35" s="399">
        <f>P35-Q35</f>
        <v>7</v>
      </c>
      <c r="S35" s="400">
        <f>SUMIF($D$8:$D$55,$O35,$K$8:$K$55)+SUMIF($F$8:$F$55,$O35,$L$8:$L$55)</f>
        <v>9</v>
      </c>
      <c r="T35" s="445" t="s">
        <v>67</v>
      </c>
      <c r="U35" s="40"/>
      <c r="V35" s="40" t="str">
        <f>O35</f>
        <v>Frankrijk</v>
      </c>
      <c r="W35" s="40" t="s">
        <v>69</v>
      </c>
      <c r="Y35" s="109">
        <f t="shared" si="8"/>
        <v>0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0</v>
      </c>
      <c r="AG35" s="108">
        <f t="shared" si="0"/>
        <v>0</v>
      </c>
      <c r="AH35" s="108">
        <f t="shared" si="1"/>
        <v>0</v>
      </c>
      <c r="AI35" s="108">
        <f t="shared" si="10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1</v>
      </c>
      <c r="H36" s="379" t="s">
        <v>9</v>
      </c>
      <c r="I36" s="442">
        <v>1</v>
      </c>
      <c r="J36" s="381">
        <f t="shared" si="5"/>
        <v>3</v>
      </c>
      <c r="K36" s="363">
        <f t="shared" si="6"/>
        <v>1</v>
      </c>
      <c r="L36" s="363">
        <f t="shared" si="7"/>
        <v>1</v>
      </c>
      <c r="M36" s="352"/>
      <c r="N36" s="352"/>
      <c r="O36" s="401" t="s">
        <v>28</v>
      </c>
      <c r="P36" s="402">
        <f>SUMIF($D$8:$D$55,$O36,$G$8:$G$55)+SUMIF($F$8:$F$55,$O36,$I$8:$I$55)</f>
        <v>1</v>
      </c>
      <c r="Q36" s="402">
        <f>SUMIF($D$8:$D$55,$O36,$I$8:$I$55)+SUMIF($F$8:$F$55,$O36,$G$8:$G$55)</f>
        <v>7</v>
      </c>
      <c r="R36" s="402">
        <f>P36-Q36</f>
        <v>-6</v>
      </c>
      <c r="S36" s="403">
        <f>SUMIF($D$8:$D$55,$O36,$K$8:$K$55)+SUMIF($F$8:$F$55,$O36,$L$8:$L$55)</f>
        <v>0</v>
      </c>
      <c r="T36" s="446" t="s">
        <v>70</v>
      </c>
      <c r="U36" s="40"/>
      <c r="V36" s="40" t="str">
        <f>O36</f>
        <v>Honduras</v>
      </c>
      <c r="W36" s="40" t="s">
        <v>70</v>
      </c>
      <c r="Y36" s="109">
        <f t="shared" si="8"/>
        <v>1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1</v>
      </c>
      <c r="AG36" s="108">
        <f t="shared" si="0"/>
        <v>1</v>
      </c>
      <c r="AH36" s="108">
        <f t="shared" si="1"/>
        <v>0</v>
      </c>
      <c r="AI36" s="108">
        <f t="shared" si="10"/>
        <v>0</v>
      </c>
      <c r="AJ36" s="108">
        <f t="shared" si="2"/>
        <v>0</v>
      </c>
      <c r="AK36" s="108">
        <f t="shared" si="3"/>
        <v>0</v>
      </c>
      <c r="AL36" s="108">
        <f t="shared" si="4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2</v>
      </c>
      <c r="H37" s="367" t="s">
        <v>9</v>
      </c>
      <c r="I37" s="440">
        <v>1</v>
      </c>
      <c r="J37" s="369">
        <f t="shared" si="5"/>
        <v>1</v>
      </c>
      <c r="K37" s="363">
        <f t="shared" si="6"/>
        <v>3</v>
      </c>
      <c r="L37" s="363">
        <f t="shared" si="7"/>
        <v>0</v>
      </c>
      <c r="M37" s="352"/>
      <c r="N37" s="352"/>
      <c r="O37" s="392"/>
      <c r="P37" s="393"/>
      <c r="Q37" s="393"/>
      <c r="R37" s="393"/>
      <c r="S37" s="393"/>
      <c r="T37" s="393"/>
      <c r="U37" s="40"/>
      <c r="V37" s="40"/>
      <c r="W37" s="40"/>
      <c r="Y37" s="109">
        <f t="shared" si="8"/>
        <v>5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5</v>
      </c>
      <c r="AG37" s="108">
        <f t="shared" si="0"/>
        <v>0</v>
      </c>
      <c r="AH37" s="108">
        <f t="shared" si="1"/>
        <v>0</v>
      </c>
      <c r="AI37" s="108">
        <f t="shared" si="10"/>
        <v>0</v>
      </c>
      <c r="AJ37" s="108">
        <f t="shared" si="2"/>
        <v>5</v>
      </c>
      <c r="AK37" s="108">
        <f t="shared" si="3"/>
        <v>0</v>
      </c>
      <c r="AL37" s="108">
        <f t="shared" si="4"/>
        <v>0</v>
      </c>
      <c r="AN37" s="40"/>
      <c r="AO37" s="41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2</v>
      </c>
      <c r="H38" s="373" t="s">
        <v>9</v>
      </c>
      <c r="I38" s="441">
        <v>1</v>
      </c>
      <c r="J38" s="375">
        <f t="shared" si="5"/>
        <v>1</v>
      </c>
      <c r="K38" s="363">
        <f t="shared" si="6"/>
        <v>3</v>
      </c>
      <c r="L38" s="363">
        <f t="shared" si="7"/>
        <v>0</v>
      </c>
      <c r="M38" s="352"/>
      <c r="N38" s="352"/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40"/>
      <c r="V38" s="40"/>
      <c r="W38" s="40"/>
      <c r="Y38" s="109">
        <f t="shared" si="8"/>
        <v>1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1</v>
      </c>
      <c r="AG38" s="108">
        <f t="shared" si="0"/>
        <v>1</v>
      </c>
      <c r="AH38" s="108">
        <f t="shared" si="1"/>
        <v>0</v>
      </c>
      <c r="AI38" s="108">
        <f t="shared" si="10"/>
        <v>0</v>
      </c>
      <c r="AJ38" s="108">
        <f t="shared" si="2"/>
        <v>0</v>
      </c>
      <c r="AK38" s="108">
        <f t="shared" si="3"/>
        <v>0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1</v>
      </c>
      <c r="H39" s="379" t="s">
        <v>9</v>
      </c>
      <c r="I39" s="442">
        <v>2</v>
      </c>
      <c r="J39" s="381">
        <f t="shared" si="5"/>
        <v>2</v>
      </c>
      <c r="K39" s="363">
        <f t="shared" si="6"/>
        <v>0</v>
      </c>
      <c r="L39" s="363">
        <f t="shared" si="7"/>
        <v>3</v>
      </c>
      <c r="M39" s="352"/>
      <c r="N39" s="352"/>
      <c r="O39" s="394" t="s">
        <v>29</v>
      </c>
      <c r="P39" s="395">
        <f>SUMIF($D$8:$D$55,$O39,$G$8:$G$55)+SUMIF($F$8:$F$55,$O39,$I$8:$I$55)</f>
        <v>8</v>
      </c>
      <c r="Q39" s="395">
        <f>SUMIF($D$8:$D$55,$O39,$I$8:$I$55)+SUMIF($F$8:$F$55,$O39,$G$8:$G$55)</f>
        <v>2</v>
      </c>
      <c r="R39" s="396">
        <f>P39-Q39</f>
        <v>6</v>
      </c>
      <c r="S39" s="397">
        <f>SUMIF($D$8:$D$55,$O39,$K$8:$K$55)+SUMIF($F$8:$F$55,$O39,$L$8:$L$55)</f>
        <v>9</v>
      </c>
      <c r="T39" s="444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1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1</v>
      </c>
      <c r="AG39" s="108">
        <f t="shared" si="0"/>
        <v>0</v>
      </c>
      <c r="AH39" s="108">
        <f t="shared" si="1"/>
        <v>1</v>
      </c>
      <c r="AI39" s="108">
        <f t="shared" si="10"/>
        <v>0</v>
      </c>
      <c r="AJ39" s="108">
        <f t="shared" si="2"/>
        <v>0</v>
      </c>
      <c r="AK39" s="108">
        <f t="shared" si="3"/>
        <v>0</v>
      </c>
      <c r="AL39" s="108">
        <f t="shared" si="4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0</v>
      </c>
      <c r="H40" s="367" t="s">
        <v>9</v>
      </c>
      <c r="I40" s="440">
        <v>2</v>
      </c>
      <c r="J40" s="369">
        <f t="shared" si="5"/>
        <v>2</v>
      </c>
      <c r="K40" s="363">
        <f t="shared" si="6"/>
        <v>0</v>
      </c>
      <c r="L40" s="363">
        <f t="shared" si="7"/>
        <v>3</v>
      </c>
      <c r="M40" s="352"/>
      <c r="N40" s="352"/>
      <c r="O40" s="398" t="s">
        <v>30</v>
      </c>
      <c r="P40" s="399">
        <f>SUMIF($D$8:$D$55,$O40,$G$8:$G$55)+SUMIF($F$8:$F$55,$O40,$I$8:$I$55)</f>
        <v>3</v>
      </c>
      <c r="Q40" s="399">
        <f>SUMIF($D$8:$D$55,$O40,$I$8:$I$55)+SUMIF($F$8:$F$55,$O40,$G$8:$G$55)</f>
        <v>3</v>
      </c>
      <c r="R40" s="399">
        <f>P40-Q40</f>
        <v>0</v>
      </c>
      <c r="S40" s="400">
        <f>SUMIF($D$8:$D$55,$O40,$K$8:$K$55)+SUMIF($F$8:$F$55,$O40,$L$8:$L$55)</f>
        <v>4</v>
      </c>
      <c r="T40" s="445" t="s">
        <v>74</v>
      </c>
      <c r="U40" s="40"/>
      <c r="V40" s="40" t="str">
        <f>O40</f>
        <v>Bosnië H.</v>
      </c>
      <c r="W40" s="40" t="s">
        <v>73</v>
      </c>
      <c r="Y40" s="109">
        <f t="shared" si="8"/>
        <v>6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6</v>
      </c>
      <c r="AG40" s="108">
        <f t="shared" si="0"/>
        <v>1</v>
      </c>
      <c r="AH40" s="108">
        <f t="shared" si="1"/>
        <v>0</v>
      </c>
      <c r="AI40" s="108">
        <f t="shared" si="10"/>
        <v>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2</v>
      </c>
      <c r="H41" s="373" t="s">
        <v>9</v>
      </c>
      <c r="I41" s="441">
        <v>1</v>
      </c>
      <c r="J41" s="375">
        <f t="shared" si="5"/>
        <v>1</v>
      </c>
      <c r="K41" s="363">
        <f t="shared" si="6"/>
        <v>3</v>
      </c>
      <c r="L41" s="363">
        <f t="shared" si="7"/>
        <v>0</v>
      </c>
      <c r="M41" s="352"/>
      <c r="N41" s="352"/>
      <c r="O41" s="398" t="s">
        <v>33</v>
      </c>
      <c r="P41" s="399">
        <f>SUMIF($D$8:$D$55,$O41,$G$8:$G$55)+SUMIF($F$8:$F$55,$O41,$I$8:$I$55)</f>
        <v>0</v>
      </c>
      <c r="Q41" s="399">
        <f>SUMIF($D$8:$D$55,$O41,$I$8:$I$55)+SUMIF($F$8:$F$55,$O41,$G$8:$G$55)</f>
        <v>7</v>
      </c>
      <c r="R41" s="399">
        <f>P41-Q41</f>
        <v>-7</v>
      </c>
      <c r="S41" s="400">
        <f>SUMIF($D$8:$D$55,$O41,$K$8:$K$55)+SUMIF($F$8:$F$55,$O41,$L$8:$L$55)</f>
        <v>0</v>
      </c>
      <c r="T41" s="445" t="s">
        <v>75</v>
      </c>
      <c r="U41" s="40"/>
      <c r="V41" s="40" t="str">
        <f>O41</f>
        <v>Iran</v>
      </c>
      <c r="W41" s="40" t="s">
        <v>74</v>
      </c>
      <c r="Y41" s="109">
        <f t="shared" si="8"/>
        <v>6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6</v>
      </c>
      <c r="AG41" s="108">
        <f t="shared" si="0"/>
        <v>1</v>
      </c>
      <c r="AH41" s="108">
        <f t="shared" si="1"/>
        <v>0</v>
      </c>
      <c r="AI41" s="108">
        <f t="shared" si="10"/>
        <v>0</v>
      </c>
      <c r="AJ41" s="108">
        <f t="shared" si="2"/>
        <v>5</v>
      </c>
      <c r="AK41" s="108">
        <f t="shared" si="3"/>
        <v>0</v>
      </c>
      <c r="AL41" s="108">
        <f t="shared" si="4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1</v>
      </c>
      <c r="H42" s="373" t="s">
        <v>9</v>
      </c>
      <c r="I42" s="441">
        <v>3</v>
      </c>
      <c r="J42" s="375">
        <f t="shared" si="5"/>
        <v>2</v>
      </c>
      <c r="K42" s="363">
        <f t="shared" si="6"/>
        <v>0</v>
      </c>
      <c r="L42" s="363">
        <f t="shared" si="7"/>
        <v>3</v>
      </c>
      <c r="M42" s="352"/>
      <c r="N42" s="352"/>
      <c r="O42" s="401" t="s">
        <v>34</v>
      </c>
      <c r="P42" s="402">
        <f>SUMIF($D$8:$D$55,$O42,$G$8:$G$55)+SUMIF($F$8:$F$55,$O42,$I$8:$I$55)</f>
        <v>4</v>
      </c>
      <c r="Q42" s="402">
        <f>SUMIF($D$8:$D$55,$O42,$I$8:$I$55)+SUMIF($F$8:$F$55,$O42,$G$8:$G$55)</f>
        <v>3</v>
      </c>
      <c r="R42" s="402">
        <f>P42-Q42</f>
        <v>1</v>
      </c>
      <c r="S42" s="403">
        <f>SUMIF($D$8:$D$55,$O42,$K$8:$K$55)+SUMIF($F$8:$F$55,$O42,$L$8:$L$55)</f>
        <v>4</v>
      </c>
      <c r="T42" s="446" t="s">
        <v>73</v>
      </c>
      <c r="U42" s="40"/>
      <c r="V42" s="40" t="str">
        <f>O42</f>
        <v>Nigeria</v>
      </c>
      <c r="W42" s="40" t="s">
        <v>75</v>
      </c>
      <c r="Y42" s="109">
        <f t="shared" si="8"/>
        <v>6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6</v>
      </c>
      <c r="AG42" s="108">
        <f t="shared" si="0"/>
        <v>1</v>
      </c>
      <c r="AH42" s="108">
        <f t="shared" si="1"/>
        <v>0</v>
      </c>
      <c r="AI42" s="108">
        <f t="shared" si="10"/>
        <v>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2</v>
      </c>
      <c r="H43" s="379" t="s">
        <v>9</v>
      </c>
      <c r="I43" s="442">
        <v>2</v>
      </c>
      <c r="J43" s="381">
        <f t="shared" si="5"/>
        <v>3</v>
      </c>
      <c r="K43" s="363">
        <f t="shared" si="6"/>
        <v>1</v>
      </c>
      <c r="L43" s="363">
        <f t="shared" si="7"/>
        <v>1</v>
      </c>
      <c r="M43" s="352"/>
      <c r="N43" s="352"/>
      <c r="O43" s="392"/>
      <c r="P43" s="393"/>
      <c r="Q43" s="393"/>
      <c r="R43" s="393"/>
      <c r="S43" s="393"/>
      <c r="T43" s="393"/>
      <c r="U43" s="40"/>
      <c r="V43" s="40"/>
      <c r="W43" s="40"/>
      <c r="Y43" s="109">
        <f t="shared" si="8"/>
        <v>0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0</v>
      </c>
      <c r="AG43" s="108">
        <f t="shared" si="0"/>
        <v>0</v>
      </c>
      <c r="AH43" s="108">
        <f t="shared" si="1"/>
        <v>0</v>
      </c>
      <c r="AI43" s="108">
        <f t="shared" si="10"/>
        <v>0</v>
      </c>
      <c r="AJ43" s="108">
        <f t="shared" si="2"/>
        <v>0</v>
      </c>
      <c r="AK43" s="108">
        <f t="shared" si="3"/>
        <v>0</v>
      </c>
      <c r="AL43" s="108">
        <f t="shared" si="4"/>
        <v>0</v>
      </c>
      <c r="AN43" s="40"/>
      <c r="AO43" s="41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1</v>
      </c>
      <c r="H44" s="367" t="s">
        <v>9</v>
      </c>
      <c r="I44" s="440">
        <v>1</v>
      </c>
      <c r="J44" s="369">
        <f t="shared" si="5"/>
        <v>3</v>
      </c>
      <c r="K44" s="363">
        <f t="shared" si="6"/>
        <v>1</v>
      </c>
      <c r="L44" s="363">
        <f t="shared" si="7"/>
        <v>1</v>
      </c>
      <c r="M44" s="352"/>
      <c r="N44" s="352"/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40"/>
      <c r="V44" s="40"/>
      <c r="W44" s="40"/>
      <c r="Y44" s="109">
        <f t="shared" si="8"/>
        <v>1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1</v>
      </c>
      <c r="AG44" s="108">
        <f t="shared" si="0"/>
        <v>0</v>
      </c>
      <c r="AH44" s="108">
        <f t="shared" si="1"/>
        <v>1</v>
      </c>
      <c r="AI44" s="108">
        <f t="shared" si="10"/>
        <v>0</v>
      </c>
      <c r="AJ44" s="108">
        <f t="shared" si="2"/>
        <v>0</v>
      </c>
      <c r="AK44" s="108">
        <f t="shared" si="3"/>
        <v>0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1</v>
      </c>
      <c r="H45" s="373" t="s">
        <v>9</v>
      </c>
      <c r="I45" s="441">
        <v>3</v>
      </c>
      <c r="J45" s="375">
        <f t="shared" si="5"/>
        <v>2</v>
      </c>
      <c r="K45" s="363">
        <f t="shared" si="6"/>
        <v>0</v>
      </c>
      <c r="L45" s="363">
        <f t="shared" si="7"/>
        <v>3</v>
      </c>
      <c r="M45" s="352"/>
      <c r="N45" s="352"/>
      <c r="O45" s="394" t="s">
        <v>31</v>
      </c>
      <c r="P45" s="395">
        <f>SUMIF($D$8:$D$55,$O45,$G$8:$G$55)+SUMIF($F$8:$F$55,$O45,$I$8:$I$55)</f>
        <v>8</v>
      </c>
      <c r="Q45" s="395">
        <f>SUMIF($D$8:$D$55,$O45,$I$8:$I$55)+SUMIF($F$8:$F$55,$O45,$G$8:$G$55)</f>
        <v>4</v>
      </c>
      <c r="R45" s="396">
        <f>P45-Q45</f>
        <v>4</v>
      </c>
      <c r="S45" s="397">
        <f>SUMIF($D$8:$D$55,$O45,$K$8:$K$55)+SUMIF($F$8:$F$55,$O45,$L$8:$L$55)</f>
        <v>7</v>
      </c>
      <c r="T45" s="444" t="s">
        <v>77</v>
      </c>
      <c r="U45" s="40"/>
      <c r="V45" s="40" t="str">
        <f>O45</f>
        <v>Duitsland</v>
      </c>
      <c r="W45" s="40" t="s">
        <v>77</v>
      </c>
      <c r="Y45" s="109">
        <f t="shared" si="8"/>
        <v>0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0</v>
      </c>
      <c r="AG45" s="108">
        <f t="shared" si="0"/>
        <v>0</v>
      </c>
      <c r="AH45" s="108">
        <f t="shared" si="1"/>
        <v>0</v>
      </c>
      <c r="AI45" s="108">
        <f t="shared" si="10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1</v>
      </c>
      <c r="H46" s="373" t="s">
        <v>9</v>
      </c>
      <c r="I46" s="441">
        <v>1</v>
      </c>
      <c r="J46" s="375">
        <f t="shared" si="5"/>
        <v>3</v>
      </c>
      <c r="K46" s="363">
        <f t="shared" si="6"/>
        <v>1</v>
      </c>
      <c r="L46" s="363">
        <f t="shared" si="7"/>
        <v>1</v>
      </c>
      <c r="M46" s="352"/>
      <c r="N46" s="352"/>
      <c r="O46" s="398" t="s">
        <v>32</v>
      </c>
      <c r="P46" s="399">
        <f>SUMIF($D$8:$D$55,$O46,$G$8:$G$55)+SUMIF($F$8:$F$55,$O46,$I$8:$I$55)</f>
        <v>6</v>
      </c>
      <c r="Q46" s="399">
        <f>SUMIF($D$8:$D$55,$O46,$I$8:$I$55)+SUMIF($F$8:$F$55,$O46,$G$8:$G$55)</f>
        <v>4</v>
      </c>
      <c r="R46" s="399">
        <f>P46-Q46</f>
        <v>2</v>
      </c>
      <c r="S46" s="400">
        <f>SUMIF($D$8:$D$55,$O46,$K$8:$K$55)+SUMIF($F$8:$F$55,$O46,$L$8:$L$55)</f>
        <v>7</v>
      </c>
      <c r="T46" s="445" t="s">
        <v>78</v>
      </c>
      <c r="U46" s="40"/>
      <c r="V46" s="40" t="str">
        <f>O46</f>
        <v>Portugal</v>
      </c>
      <c r="W46" s="40" t="s">
        <v>78</v>
      </c>
      <c r="Y46" s="109">
        <f t="shared" si="8"/>
        <v>1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1</v>
      </c>
      <c r="AG46" s="108">
        <f t="shared" si="0"/>
        <v>1</v>
      </c>
      <c r="AH46" s="108">
        <f t="shared" si="1"/>
        <v>0</v>
      </c>
      <c r="AI46" s="108">
        <f t="shared" si="10"/>
        <v>0</v>
      </c>
      <c r="AJ46" s="108">
        <f t="shared" si="2"/>
        <v>0</v>
      </c>
      <c r="AK46" s="108">
        <f t="shared" si="3"/>
        <v>0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0</v>
      </c>
      <c r="H47" s="379" t="s">
        <v>9</v>
      </c>
      <c r="I47" s="442">
        <v>0</v>
      </c>
      <c r="J47" s="381">
        <f t="shared" si="5"/>
        <v>3</v>
      </c>
      <c r="K47" s="363">
        <f t="shared" si="6"/>
        <v>1</v>
      </c>
      <c r="L47" s="363">
        <f t="shared" si="7"/>
        <v>1</v>
      </c>
      <c r="M47" s="352"/>
      <c r="N47" s="352"/>
      <c r="O47" s="398" t="s">
        <v>35</v>
      </c>
      <c r="P47" s="399">
        <f>SUMIF($D$8:$D$55,$O47,$G$8:$G$55)+SUMIF($F$8:$F$55,$O47,$I$8:$I$55)</f>
        <v>3</v>
      </c>
      <c r="Q47" s="399">
        <f>SUMIF($D$8:$D$55,$O47,$I$8:$I$55)+SUMIF($F$8:$F$55,$O47,$G$8:$G$55)</f>
        <v>6</v>
      </c>
      <c r="R47" s="399">
        <f>P47-Q47</f>
        <v>-3</v>
      </c>
      <c r="S47" s="400">
        <f>SUMIF($D$8:$D$55,$O47,$K$8:$K$55)+SUMIF($F$8:$F$55,$O47,$L$8:$L$55)</f>
        <v>1</v>
      </c>
      <c r="T47" s="445" t="s">
        <v>79</v>
      </c>
      <c r="U47" s="40"/>
      <c r="V47" s="40" t="str">
        <f>O47</f>
        <v>Ghana</v>
      </c>
      <c r="W47" s="40" t="s">
        <v>79</v>
      </c>
      <c r="Y47" s="109">
        <f t="shared" si="8"/>
        <v>0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0</v>
      </c>
      <c r="AG47" s="108">
        <f t="shared" si="0"/>
        <v>0</v>
      </c>
      <c r="AH47" s="108">
        <f t="shared" si="1"/>
        <v>0</v>
      </c>
      <c r="AI47" s="108">
        <f t="shared" si="10"/>
        <v>0</v>
      </c>
      <c r="AJ47" s="108">
        <f t="shared" si="2"/>
        <v>0</v>
      </c>
      <c r="AK47" s="108">
        <f t="shared" si="3"/>
        <v>0</v>
      </c>
      <c r="AL47" s="108">
        <f t="shared" si="4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1</v>
      </c>
      <c r="H48" s="367" t="s">
        <v>9</v>
      </c>
      <c r="I48" s="440">
        <v>2</v>
      </c>
      <c r="J48" s="369">
        <f t="shared" si="5"/>
        <v>2</v>
      </c>
      <c r="K48" s="363">
        <f t="shared" si="6"/>
        <v>0</v>
      </c>
      <c r="L48" s="363">
        <f t="shared" si="7"/>
        <v>3</v>
      </c>
      <c r="M48" s="352"/>
      <c r="N48" s="352"/>
      <c r="O48" s="401" t="s">
        <v>36</v>
      </c>
      <c r="P48" s="402">
        <f>SUMIF($D$8:$D$55,$O48,$G$8:$G$55)+SUMIF($F$8:$F$55,$O48,$I$8:$I$55)</f>
        <v>3</v>
      </c>
      <c r="Q48" s="402">
        <f>SUMIF($D$8:$D$55,$O48,$I$8:$I$55)+SUMIF($F$8:$F$55,$O48,$G$8:$G$55)</f>
        <v>6</v>
      </c>
      <c r="R48" s="402">
        <f>P48-Q48</f>
        <v>-3</v>
      </c>
      <c r="S48" s="403">
        <f>SUMIF($D$8:$D$55,$O48,$K$8:$K$55)+SUMIF($F$8:$F$55,$O48,$L$8:$L$55)</f>
        <v>1</v>
      </c>
      <c r="T48" s="446" t="s">
        <v>80</v>
      </c>
      <c r="U48" s="40"/>
      <c r="V48" s="40" t="str">
        <f>O48</f>
        <v>Verenigde Staten</v>
      </c>
      <c r="W48" s="40" t="s">
        <v>80</v>
      </c>
      <c r="Y48" s="109">
        <f t="shared" si="8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5</v>
      </c>
      <c r="AG48" s="108">
        <f t="shared" si="0"/>
        <v>0</v>
      </c>
      <c r="AH48" s="108">
        <f t="shared" si="1"/>
        <v>0</v>
      </c>
      <c r="AI48" s="108">
        <f t="shared" si="10"/>
        <v>0</v>
      </c>
      <c r="AJ48" s="108">
        <f t="shared" si="2"/>
        <v>0</v>
      </c>
      <c r="AK48" s="108">
        <f t="shared" si="3"/>
        <v>5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1</v>
      </c>
      <c r="H49" s="373" t="s">
        <v>9</v>
      </c>
      <c r="I49" s="441">
        <v>0</v>
      </c>
      <c r="J49" s="375">
        <f t="shared" si="5"/>
        <v>1</v>
      </c>
      <c r="K49" s="363">
        <f t="shared" si="6"/>
        <v>3</v>
      </c>
      <c r="L49" s="363">
        <f t="shared" si="7"/>
        <v>0</v>
      </c>
      <c r="M49" s="352"/>
      <c r="N49" s="352"/>
      <c r="O49" s="392"/>
      <c r="P49" s="393"/>
      <c r="Q49" s="393"/>
      <c r="R49" s="393"/>
      <c r="S49" s="393"/>
      <c r="T49" s="393"/>
      <c r="U49" s="40"/>
      <c r="V49" s="40"/>
      <c r="W49" s="40"/>
      <c r="Y49" s="109">
        <f t="shared" si="8"/>
        <v>5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5</v>
      </c>
      <c r="AG49" s="108">
        <f t="shared" si="0"/>
        <v>0</v>
      </c>
      <c r="AH49" s="108">
        <f t="shared" si="1"/>
        <v>0</v>
      </c>
      <c r="AI49" s="108">
        <f t="shared" si="10"/>
        <v>0</v>
      </c>
      <c r="AJ49" s="108">
        <f t="shared" si="2"/>
        <v>5</v>
      </c>
      <c r="AK49" s="108">
        <f t="shared" si="3"/>
        <v>0</v>
      </c>
      <c r="AL49" s="108">
        <f t="shared" si="4"/>
        <v>0</v>
      </c>
      <c r="AN49" s="40"/>
      <c r="AO49" s="41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1</v>
      </c>
      <c r="H50" s="373" t="s">
        <v>9</v>
      </c>
      <c r="I50" s="441">
        <v>2</v>
      </c>
      <c r="J50" s="375">
        <f t="shared" si="5"/>
        <v>2</v>
      </c>
      <c r="K50" s="363">
        <f t="shared" si="6"/>
        <v>0</v>
      </c>
      <c r="L50" s="363">
        <f t="shared" si="7"/>
        <v>3</v>
      </c>
      <c r="M50" s="352"/>
      <c r="N50" s="352"/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40"/>
      <c r="V50" s="40"/>
      <c r="W50" s="40"/>
      <c r="Y50" s="109">
        <f t="shared" si="8"/>
        <v>5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5</v>
      </c>
      <c r="AG50" s="108">
        <f t="shared" si="0"/>
        <v>0</v>
      </c>
      <c r="AH50" s="108">
        <f t="shared" si="1"/>
        <v>0</v>
      </c>
      <c r="AI50" s="108">
        <f t="shared" si="10"/>
        <v>0</v>
      </c>
      <c r="AJ50" s="108">
        <f t="shared" si="2"/>
        <v>0</v>
      </c>
      <c r="AK50" s="108">
        <f t="shared" si="3"/>
        <v>5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1</v>
      </c>
      <c r="H51" s="379" t="s">
        <v>9</v>
      </c>
      <c r="I51" s="442">
        <v>3</v>
      </c>
      <c r="J51" s="381">
        <f t="shared" si="5"/>
        <v>2</v>
      </c>
      <c r="K51" s="363">
        <f t="shared" si="6"/>
        <v>0</v>
      </c>
      <c r="L51" s="363">
        <f>IF(I51="","",IF($G51&lt;$I51,3,IF($G51=$I51,1,0)))</f>
        <v>3</v>
      </c>
      <c r="M51" s="352"/>
      <c r="N51" s="352"/>
      <c r="O51" s="394" t="s">
        <v>37</v>
      </c>
      <c r="P51" s="395">
        <f>SUMIF($D$8:$D$55,$O51,$G$8:$G$55)+SUMIF($F$8:$F$55,$O51,$I$8:$I$55)</f>
        <v>7</v>
      </c>
      <c r="Q51" s="395">
        <f>SUMIF($D$8:$D$55,$O51,$I$8:$I$55)+SUMIF($F$8:$F$55,$O51,$G$8:$G$55)</f>
        <v>2</v>
      </c>
      <c r="R51" s="396">
        <f>P51-Q51</f>
        <v>5</v>
      </c>
      <c r="S51" s="397">
        <f>SUMIF($D$8:$D$55,$O51,$K$8:$K$55)+SUMIF($F$8:$F$55,$O51,$L$8:$L$55)</f>
        <v>9</v>
      </c>
      <c r="T51" s="444" t="s">
        <v>82</v>
      </c>
      <c r="U51" s="40"/>
      <c r="V51" s="40" t="str">
        <f>O51</f>
        <v>België</v>
      </c>
      <c r="W51" s="40" t="s">
        <v>82</v>
      </c>
      <c r="Y51" s="109">
        <f t="shared" si="8"/>
        <v>0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0</v>
      </c>
      <c r="AG51" s="108">
        <f t="shared" si="0"/>
        <v>0</v>
      </c>
      <c r="AH51" s="108">
        <f t="shared" si="1"/>
        <v>0</v>
      </c>
      <c r="AI51" s="108">
        <f t="shared" si="10"/>
        <v>0</v>
      </c>
      <c r="AJ51" s="108">
        <f t="shared" si="2"/>
        <v>0</v>
      </c>
      <c r="AK51" s="108">
        <f t="shared" si="3"/>
        <v>0</v>
      </c>
      <c r="AL51" s="108">
        <f t="shared" si="4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1</v>
      </c>
      <c r="H52" s="373" t="s">
        <v>9</v>
      </c>
      <c r="I52" s="441">
        <v>3</v>
      </c>
      <c r="J52" s="369">
        <f t="shared" si="5"/>
        <v>2</v>
      </c>
      <c r="K52" s="363">
        <f t="shared" si="6"/>
        <v>0</v>
      </c>
      <c r="L52" s="363">
        <f t="shared" si="7"/>
        <v>3</v>
      </c>
      <c r="M52" s="352"/>
      <c r="N52" s="352"/>
      <c r="O52" s="398" t="s">
        <v>38</v>
      </c>
      <c r="P52" s="399">
        <f>SUMIF($D$8:$D$55,$O52,$G$8:$G$55)+SUMIF($F$8:$F$55,$O52,$I$8:$I$55)</f>
        <v>2</v>
      </c>
      <c r="Q52" s="399">
        <f>SUMIF($D$8:$D$55,$O52,$I$8:$I$55)+SUMIF($F$8:$F$55,$O52,$G$8:$G$55)</f>
        <v>5</v>
      </c>
      <c r="R52" s="399">
        <f>P52-Q52</f>
        <v>-3</v>
      </c>
      <c r="S52" s="400">
        <f>SUMIF($D$8:$D$55,$O52,$K$8:$K$55)+SUMIF($F$8:$F$55,$O52,$L$8:$L$55)</f>
        <v>1</v>
      </c>
      <c r="T52" s="445" t="s">
        <v>85</v>
      </c>
      <c r="U52" s="40"/>
      <c r="V52" s="40" t="str">
        <f>O52</f>
        <v>Algerije</v>
      </c>
      <c r="W52" s="40" t="s">
        <v>83</v>
      </c>
      <c r="Y52" s="109">
        <f t="shared" si="8"/>
        <v>5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5</v>
      </c>
      <c r="AG52" s="108">
        <f t="shared" si="0"/>
        <v>0</v>
      </c>
      <c r="AH52" s="108">
        <f t="shared" si="1"/>
        <v>0</v>
      </c>
      <c r="AI52" s="108">
        <f t="shared" si="10"/>
        <v>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2</v>
      </c>
      <c r="H53" s="373" t="s">
        <v>9</v>
      </c>
      <c r="I53" s="441">
        <v>1</v>
      </c>
      <c r="J53" s="375">
        <f t="shared" si="5"/>
        <v>1</v>
      </c>
      <c r="K53" s="363">
        <f t="shared" si="6"/>
        <v>3</v>
      </c>
      <c r="L53" s="363">
        <f t="shared" si="7"/>
        <v>0</v>
      </c>
      <c r="M53" s="352"/>
      <c r="N53" s="352"/>
      <c r="O53" s="398" t="s">
        <v>39</v>
      </c>
      <c r="P53" s="399">
        <f>SUMIF($D$8:$D$55,$O53,$G$8:$G$55)+SUMIF($F$8:$F$55,$O53,$I$8:$I$55)</f>
        <v>4</v>
      </c>
      <c r="Q53" s="399">
        <f>SUMIF($D$8:$D$55,$O53,$I$8:$I$55)+SUMIF($F$8:$F$55,$O53,$G$8:$G$55)</f>
        <v>3</v>
      </c>
      <c r="R53" s="399">
        <f>P53-Q53</f>
        <v>1</v>
      </c>
      <c r="S53" s="400">
        <f>SUMIF($D$8:$D$55,$O53,$K$8:$K$55)+SUMIF($F$8:$F$55,$O53,$L$8:$L$55)</f>
        <v>4</v>
      </c>
      <c r="T53" s="445" t="s">
        <v>83</v>
      </c>
      <c r="U53" s="40"/>
      <c r="V53" s="40" t="str">
        <f>O53</f>
        <v>Rusland</v>
      </c>
      <c r="W53" s="40" t="s">
        <v>84</v>
      </c>
      <c r="Y53" s="109">
        <f t="shared" si="8"/>
        <v>10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10</v>
      </c>
      <c r="AG53" s="108">
        <f t="shared" si="0"/>
        <v>1</v>
      </c>
      <c r="AH53" s="108">
        <f t="shared" si="1"/>
        <v>1</v>
      </c>
      <c r="AI53" s="108">
        <f t="shared" si="10"/>
        <v>10</v>
      </c>
      <c r="AJ53" s="108">
        <f t="shared" si="2"/>
        <v>5</v>
      </c>
      <c r="AK53" s="108">
        <f t="shared" si="3"/>
        <v>0</v>
      </c>
      <c r="AL53" s="108">
        <f t="shared" si="4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1</v>
      </c>
      <c r="H54" s="373" t="s">
        <v>9</v>
      </c>
      <c r="I54" s="441">
        <v>3</v>
      </c>
      <c r="J54" s="375">
        <f t="shared" si="5"/>
        <v>2</v>
      </c>
      <c r="K54" s="363">
        <f t="shared" si="6"/>
        <v>0</v>
      </c>
      <c r="L54" s="363">
        <f t="shared" si="7"/>
        <v>3</v>
      </c>
      <c r="M54" s="352"/>
      <c r="N54" s="352"/>
      <c r="O54" s="401" t="s">
        <v>40</v>
      </c>
      <c r="P54" s="402">
        <f>SUMIF($D$8:$D$55,$O54,$G$8:$G$55)+SUMIF($F$8:$F$55,$O54,$I$8:$I$55)</f>
        <v>3</v>
      </c>
      <c r="Q54" s="402">
        <f>SUMIF($D$8:$D$55,$O54,$I$8:$I$55)+SUMIF($F$8:$F$55,$O54,$G$8:$G$55)</f>
        <v>6</v>
      </c>
      <c r="R54" s="402">
        <f>P54-Q54</f>
        <v>-3</v>
      </c>
      <c r="S54" s="403">
        <f>SUMIF($D$8:$D$55,$O54,$K$8:$K$55)+SUMIF($F$8:$F$55,$O54,$L$8:$L$55)</f>
        <v>3</v>
      </c>
      <c r="T54" s="446" t="s">
        <v>84</v>
      </c>
      <c r="U54" s="40"/>
      <c r="V54" s="40" t="str">
        <f>O54</f>
        <v>Zuid Korea</v>
      </c>
      <c r="W54" s="40" t="s">
        <v>85</v>
      </c>
      <c r="Y54" s="109">
        <f t="shared" si="8"/>
        <v>5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5</v>
      </c>
      <c r="AG54" s="108">
        <f t="shared" si="0"/>
        <v>0</v>
      </c>
      <c r="AH54" s="108">
        <f t="shared" si="1"/>
        <v>0</v>
      </c>
      <c r="AI54" s="108">
        <f t="shared" si="10"/>
        <v>0</v>
      </c>
      <c r="AJ54" s="108">
        <f t="shared" si="2"/>
        <v>0</v>
      </c>
      <c r="AK54" s="108">
        <f t="shared" si="3"/>
        <v>5</v>
      </c>
      <c r="AL54" s="108">
        <f t="shared" si="4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1</v>
      </c>
      <c r="H55" s="388" t="s">
        <v>9</v>
      </c>
      <c r="I55" s="443">
        <v>1</v>
      </c>
      <c r="J55" s="390">
        <f t="shared" si="5"/>
        <v>3</v>
      </c>
      <c r="K55" s="363">
        <f t="shared" si="6"/>
        <v>1</v>
      </c>
      <c r="L55" s="363">
        <f t="shared" si="7"/>
        <v>1</v>
      </c>
      <c r="M55" s="352"/>
      <c r="N55" s="352"/>
      <c r="O55" s="392"/>
      <c r="P55" s="393"/>
      <c r="Q55" s="393"/>
      <c r="R55" s="393"/>
      <c r="S55" s="393"/>
      <c r="T55" s="393"/>
      <c r="U55" s="40"/>
      <c r="V55" s="40"/>
      <c r="W55" s="40"/>
      <c r="Y55" s="109">
        <f t="shared" si="8"/>
        <v>10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10</v>
      </c>
      <c r="AG55" s="108">
        <f t="shared" si="0"/>
        <v>1</v>
      </c>
      <c r="AH55" s="108">
        <f t="shared" si="1"/>
        <v>1</v>
      </c>
      <c r="AI55" s="108">
        <f t="shared" si="10"/>
        <v>10</v>
      </c>
      <c r="AJ55" s="108">
        <f t="shared" si="2"/>
        <v>0</v>
      </c>
      <c r="AK55" s="108">
        <f t="shared" si="3"/>
        <v>0</v>
      </c>
      <c r="AL55" s="108">
        <f t="shared" si="4"/>
        <v>5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N56" s="352"/>
      <c r="O56" s="352"/>
      <c r="P56" s="352"/>
      <c r="Q56" s="352"/>
      <c r="R56" s="352"/>
      <c r="S56" s="352"/>
      <c r="T56" s="352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27"/>
      <c r="K57" s="353"/>
      <c r="L57" s="353"/>
      <c r="M57" s="353"/>
      <c r="N57" s="352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32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N58" s="352"/>
      <c r="O58" s="458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>IF(ISERROR(Z59),K59,Z59)</f>
        <v>Brazilië</v>
      </c>
      <c r="E59" s="367" t="s">
        <v>9</v>
      </c>
      <c r="F59" s="406" t="str">
        <f>IF(ISERROR(AA59),L59,AA59)</f>
        <v>Nederland</v>
      </c>
      <c r="G59" s="435">
        <v>3</v>
      </c>
      <c r="H59" s="367" t="s">
        <v>9</v>
      </c>
      <c r="I59" s="447">
        <v>1</v>
      </c>
      <c r="J59" s="448">
        <v>1</v>
      </c>
      <c r="K59" s="407" t="s">
        <v>48</v>
      </c>
      <c r="L59" s="407" t="s">
        <v>53</v>
      </c>
      <c r="M59" s="407">
        <v>1</v>
      </c>
      <c r="N59" s="352"/>
      <c r="O59" s="458">
        <v>2</v>
      </c>
      <c r="P59" s="877" t="s">
        <v>220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3">AF59</f>
        <v>1</v>
      </c>
      <c r="Z59" t="str">
        <f t="shared" ref="Z59:AA65" si="14">IF(K59=""," ",VLOOKUP(K59,$T$9:$V$54,3,FALSE))</f>
        <v>Brazilië</v>
      </c>
      <c r="AA59" t="str">
        <f t="shared" si="14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1</v>
      </c>
      <c r="AG59" s="108">
        <f t="shared" ref="AG59:AG66" si="16">IF(AC59="",0,(IF(G59=AC59,1,0)))</f>
        <v>0</v>
      </c>
      <c r="AH59" s="108">
        <f t="shared" ref="AH59:AH66" si="17">IF(AD59="",0,(IF(I59=AD59,1,0)))</f>
        <v>1</v>
      </c>
      <c r="AI59" s="108">
        <f t="shared" ref="AI59:AI66" si="18">IF(AND(AG59=1,AH59=1),10,0)</f>
        <v>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376">
        <v>50</v>
      </c>
      <c r="C60" s="466">
        <v>41818</v>
      </c>
      <c r="D60" s="460" t="str">
        <f t="shared" ref="D60:D66" si="23">IF(ISERROR(Z60),K60,Z60)</f>
        <v>Japan</v>
      </c>
      <c r="E60" s="379" t="s">
        <v>9</v>
      </c>
      <c r="F60" s="409" t="str">
        <f t="shared" ref="F60:F66" si="24">IF(ISERROR(AA60),L60,AA60)</f>
        <v>Uruguay</v>
      </c>
      <c r="G60" s="437">
        <v>1</v>
      </c>
      <c r="H60" s="379" t="s">
        <v>9</v>
      </c>
      <c r="I60" s="449">
        <v>3</v>
      </c>
      <c r="J60" s="450">
        <v>2</v>
      </c>
      <c r="K60" s="407" t="s">
        <v>57</v>
      </c>
      <c r="L60" s="407" t="s">
        <v>63</v>
      </c>
      <c r="M60" s="407">
        <v>2</v>
      </c>
      <c r="N60" s="352"/>
      <c r="O60" s="458">
        <v>3</v>
      </c>
      <c r="P60" s="877" t="s">
        <v>211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3"/>
        <v>0</v>
      </c>
      <c r="Z60" t="str">
        <f t="shared" si="14"/>
        <v>Japan</v>
      </c>
      <c r="AA60" t="str">
        <f t="shared" si="14"/>
        <v>Uruguay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0</v>
      </c>
      <c r="AG60" s="108">
        <f t="shared" si="16"/>
        <v>0</v>
      </c>
      <c r="AH60" s="108">
        <f t="shared" si="17"/>
        <v>0</v>
      </c>
      <c r="AI60" s="108">
        <f t="shared" si="18"/>
        <v>0</v>
      </c>
      <c r="AJ60" s="108">
        <f t="shared" si="19"/>
        <v>0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2"/>
        <v>3</v>
      </c>
    </row>
    <row r="61" spans="2:54">
      <c r="B61" s="364">
        <v>51</v>
      </c>
      <c r="C61" s="465">
        <v>41819</v>
      </c>
      <c r="D61" s="464" t="str">
        <f t="shared" si="23"/>
        <v>Spanje</v>
      </c>
      <c r="E61" s="367" t="s">
        <v>9</v>
      </c>
      <c r="F61" s="406" t="str">
        <f t="shared" si="24"/>
        <v>Kroatië</v>
      </c>
      <c r="G61" s="435">
        <v>2</v>
      </c>
      <c r="H61" s="367" t="s">
        <v>9</v>
      </c>
      <c r="I61" s="447">
        <v>0</v>
      </c>
      <c r="J61" s="448">
        <v>1</v>
      </c>
      <c r="K61" s="407" t="s">
        <v>52</v>
      </c>
      <c r="L61" s="407" t="s">
        <v>49</v>
      </c>
      <c r="M61" s="407"/>
      <c r="N61" s="352"/>
      <c r="O61" s="458">
        <v>4</v>
      </c>
      <c r="P61" s="877" t="s">
        <v>225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3"/>
        <v>6</v>
      </c>
      <c r="Z61" t="str">
        <f t="shared" si="14"/>
        <v>Spanje</v>
      </c>
      <c r="AA61" t="str">
        <f t="shared" si="14"/>
        <v>Kroatië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6</v>
      </c>
      <c r="AG61" s="108">
        <f t="shared" si="16"/>
        <v>1</v>
      </c>
      <c r="AH61" s="108">
        <f t="shared" si="17"/>
        <v>0</v>
      </c>
      <c r="AI61" s="108">
        <f t="shared" si="18"/>
        <v>0</v>
      </c>
      <c r="AJ61" s="108">
        <f t="shared" si="19"/>
        <v>5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3</v>
      </c>
      <c r="BB61" s="139">
        <f t="shared" si="22"/>
        <v>3</v>
      </c>
    </row>
    <row r="62" spans="2:54">
      <c r="B62" s="376">
        <v>52</v>
      </c>
      <c r="C62" s="466">
        <v>41819</v>
      </c>
      <c r="D62" s="464" t="str">
        <f t="shared" si="23"/>
        <v>Engeland</v>
      </c>
      <c r="E62" s="379" t="s">
        <v>9</v>
      </c>
      <c r="F62" s="409" t="str">
        <f t="shared" si="24"/>
        <v>Griekenland</v>
      </c>
      <c r="G62" s="437">
        <v>1</v>
      </c>
      <c r="H62" s="379" t="s">
        <v>9</v>
      </c>
      <c r="I62" s="449">
        <v>0</v>
      </c>
      <c r="J62" s="450">
        <v>1</v>
      </c>
      <c r="K62" s="407" t="s">
        <v>62</v>
      </c>
      <c r="L62" s="407" t="s">
        <v>58</v>
      </c>
      <c r="M62" s="407"/>
      <c r="N62" s="352"/>
      <c r="O62" s="458">
        <v>5</v>
      </c>
      <c r="P62" s="877" t="s">
        <v>230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3"/>
        <v>1</v>
      </c>
      <c r="Z62" t="str">
        <f t="shared" si="14"/>
        <v>Engeland</v>
      </c>
      <c r="AA62" t="str">
        <f t="shared" si="14"/>
        <v>Griekenland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1</v>
      </c>
      <c r="AG62" s="108">
        <f t="shared" si="16"/>
        <v>1</v>
      </c>
      <c r="AH62" s="108">
        <f t="shared" si="17"/>
        <v>0</v>
      </c>
      <c r="AI62" s="108">
        <f t="shared" si="18"/>
        <v>0</v>
      </c>
      <c r="AJ62" s="108">
        <f t="shared" si="19"/>
        <v>0</v>
      </c>
      <c r="AK62" s="108">
        <f t="shared" si="20"/>
        <v>0</v>
      </c>
      <c r="AL62" s="108">
        <f t="shared" si="21"/>
        <v>0</v>
      </c>
      <c r="AZ62" s="138" t="str">
        <f>Uitslag!P62</f>
        <v>Bruno Martins Indi (v)</v>
      </c>
      <c r="BA62" s="140">
        <f t="shared" si="12"/>
        <v>0</v>
      </c>
      <c r="BB62" s="139">
        <f t="shared" si="22"/>
        <v>0</v>
      </c>
    </row>
    <row r="63" spans="2:54">
      <c r="B63" s="364">
        <v>53</v>
      </c>
      <c r="C63" s="465">
        <v>41820</v>
      </c>
      <c r="D63" s="459" t="str">
        <f t="shared" si="23"/>
        <v>Frankrijk</v>
      </c>
      <c r="E63" s="367" t="s">
        <v>9</v>
      </c>
      <c r="F63" s="406" t="str">
        <f t="shared" si="24"/>
        <v>Nigeria</v>
      </c>
      <c r="G63" s="435">
        <v>2</v>
      </c>
      <c r="H63" s="367" t="s">
        <v>9</v>
      </c>
      <c r="I63" s="447">
        <v>1</v>
      </c>
      <c r="J63" s="448">
        <v>1</v>
      </c>
      <c r="K63" s="407" t="s">
        <v>67</v>
      </c>
      <c r="L63" s="407" t="s">
        <v>73</v>
      </c>
      <c r="M63" s="407"/>
      <c r="N63" s="352"/>
      <c r="O63" s="458">
        <v>6</v>
      </c>
      <c r="P63" s="877" t="s">
        <v>212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3"/>
        <v>6</v>
      </c>
      <c r="Z63" t="str">
        <f t="shared" si="14"/>
        <v>Frankrijk</v>
      </c>
      <c r="AA63" t="str">
        <f t="shared" si="14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6</v>
      </c>
      <c r="AG63" s="108">
        <f t="shared" si="16"/>
        <v>1</v>
      </c>
      <c r="AH63" s="108">
        <f t="shared" si="17"/>
        <v>0</v>
      </c>
      <c r="AI63" s="108">
        <f t="shared" si="18"/>
        <v>0</v>
      </c>
      <c r="AJ63" s="108">
        <f t="shared" si="19"/>
        <v>5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3</v>
      </c>
      <c r="BB63" s="139">
        <f t="shared" si="22"/>
        <v>3</v>
      </c>
    </row>
    <row r="64" spans="2:54">
      <c r="B64" s="376">
        <v>54</v>
      </c>
      <c r="C64" s="466">
        <v>41820</v>
      </c>
      <c r="D64" s="460" t="str">
        <f t="shared" si="23"/>
        <v>Duitsland</v>
      </c>
      <c r="E64" s="379" t="s">
        <v>9</v>
      </c>
      <c r="F64" s="409" t="str">
        <f t="shared" si="24"/>
        <v>Rusland</v>
      </c>
      <c r="G64" s="437">
        <v>3</v>
      </c>
      <c r="H64" s="379" t="s">
        <v>9</v>
      </c>
      <c r="I64" s="449">
        <v>1</v>
      </c>
      <c r="J64" s="450">
        <v>1</v>
      </c>
      <c r="K64" s="407" t="s">
        <v>77</v>
      </c>
      <c r="L64" s="407" t="s">
        <v>83</v>
      </c>
      <c r="M64" s="407"/>
      <c r="N64" s="352"/>
      <c r="O64" s="458">
        <v>7</v>
      </c>
      <c r="P64" s="877" t="s">
        <v>213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3"/>
        <v>0</v>
      </c>
      <c r="Z64" t="str">
        <f t="shared" si="14"/>
        <v>Duitsland</v>
      </c>
      <c r="AA64" t="str">
        <f t="shared" si="14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0</v>
      </c>
      <c r="AG64" s="108">
        <f t="shared" si="16"/>
        <v>0</v>
      </c>
      <c r="AH64" s="108">
        <f t="shared" si="17"/>
        <v>0</v>
      </c>
      <c r="AI64" s="108">
        <f t="shared" si="18"/>
        <v>0</v>
      </c>
      <c r="AJ64" s="108">
        <f t="shared" si="19"/>
        <v>0</v>
      </c>
      <c r="AK64" s="108">
        <f t="shared" si="20"/>
        <v>0</v>
      </c>
      <c r="AL64" s="108">
        <f t="shared" si="21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2"/>
        <v>3</v>
      </c>
    </row>
    <row r="65" spans="2:54">
      <c r="B65" s="370">
        <v>55</v>
      </c>
      <c r="C65" s="467">
        <v>41821</v>
      </c>
      <c r="D65" s="459" t="str">
        <f t="shared" si="23"/>
        <v>Argentinië</v>
      </c>
      <c r="E65" s="373" t="s">
        <v>9</v>
      </c>
      <c r="F65" s="410" t="str">
        <f t="shared" si="24"/>
        <v>Zwitserland</v>
      </c>
      <c r="G65" s="436">
        <v>2</v>
      </c>
      <c r="H65" s="373" t="s">
        <v>9</v>
      </c>
      <c r="I65" s="451">
        <v>0</v>
      </c>
      <c r="J65" s="452">
        <v>1</v>
      </c>
      <c r="K65" s="407" t="s">
        <v>72</v>
      </c>
      <c r="L65" s="407" t="s">
        <v>68</v>
      </c>
      <c r="M65" s="407"/>
      <c r="N65" s="352"/>
      <c r="O65" s="458">
        <v>8</v>
      </c>
      <c r="P65" s="877" t="s">
        <v>221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3"/>
        <v>1</v>
      </c>
      <c r="Z65" t="str">
        <f t="shared" si="14"/>
        <v>Argentinië</v>
      </c>
      <c r="AA65" t="str">
        <f t="shared" si="14"/>
        <v>Zwitserland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1</v>
      </c>
      <c r="AG65" s="108">
        <f t="shared" si="16"/>
        <v>0</v>
      </c>
      <c r="AH65" s="108">
        <f t="shared" si="17"/>
        <v>1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0</v>
      </c>
      <c r="AZ65" s="138" t="str">
        <f>Uitslag!P65</f>
        <v>Nigel de Jong (m)</v>
      </c>
      <c r="BA65" s="140">
        <f t="shared" si="12"/>
        <v>0</v>
      </c>
      <c r="BB65" s="139">
        <f t="shared" si="22"/>
        <v>0</v>
      </c>
    </row>
    <row r="66" spans="2:54" ht="15.75" thickBot="1">
      <c r="B66" s="385">
        <v>56</v>
      </c>
      <c r="C66" s="462">
        <v>41821</v>
      </c>
      <c r="D66" s="461" t="str">
        <f t="shared" si="23"/>
        <v>België</v>
      </c>
      <c r="E66" s="388" t="s">
        <v>9</v>
      </c>
      <c r="F66" s="412" t="str">
        <f t="shared" si="24"/>
        <v>Portugal</v>
      </c>
      <c r="G66" s="438">
        <v>3</v>
      </c>
      <c r="H66" s="388" t="s">
        <v>9</v>
      </c>
      <c r="I66" s="453">
        <v>1</v>
      </c>
      <c r="J66" s="454">
        <v>1</v>
      </c>
      <c r="K66" s="407" t="s">
        <v>82</v>
      </c>
      <c r="L66" s="407" t="s">
        <v>78</v>
      </c>
      <c r="M66" s="407"/>
      <c r="N66" s="352"/>
      <c r="O66" s="458">
        <v>9</v>
      </c>
      <c r="P66" s="877" t="s">
        <v>214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3"/>
        <v>0</v>
      </c>
      <c r="Z66" t="str">
        <f>IF(K66=""," ",VLOOKUP(K66,$T$9:$V$54,3,FALSE))</f>
        <v>België</v>
      </c>
      <c r="AA66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0</v>
      </c>
      <c r="AG66" s="108">
        <f t="shared" si="16"/>
        <v>0</v>
      </c>
      <c r="AH66" s="108">
        <f t="shared" si="17"/>
        <v>0</v>
      </c>
      <c r="AI66" s="108">
        <f t="shared" si="18"/>
        <v>0</v>
      </c>
      <c r="AJ66" s="108">
        <f t="shared" si="19"/>
        <v>0</v>
      </c>
      <c r="AK66" s="108">
        <f t="shared" si="20"/>
        <v>0</v>
      </c>
      <c r="AL66" s="108">
        <f t="shared" si="21"/>
        <v>0</v>
      </c>
      <c r="AZ66" s="138" t="str">
        <f>Uitslag!P66</f>
        <v>Jonathan de Guzman (m)</v>
      </c>
      <c r="BA66" s="140">
        <f t="shared" si="12"/>
        <v>3</v>
      </c>
      <c r="BB66" s="139">
        <f t="shared" si="22"/>
        <v>3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N67" s="352"/>
      <c r="O67" s="458">
        <v>10</v>
      </c>
      <c r="P67" s="877" t="s">
        <v>216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2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27"/>
      <c r="K68" s="353"/>
      <c r="L68" s="353"/>
      <c r="M68" s="353"/>
      <c r="N68" s="352"/>
      <c r="O68" s="458">
        <v>11</v>
      </c>
      <c r="P68" s="877" t="s">
        <v>215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2"/>
        <v>3</v>
      </c>
    </row>
    <row r="69" spans="2:54">
      <c r="B69" s="428" t="s">
        <v>1</v>
      </c>
      <c r="C69" s="429" t="s">
        <v>2</v>
      </c>
      <c r="D69" s="430" t="s">
        <v>3</v>
      </c>
      <c r="E69" s="431"/>
      <c r="F69" s="432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N69" s="352"/>
      <c r="O69" s="352"/>
      <c r="P69" s="352"/>
      <c r="Q69" s="352"/>
      <c r="R69" s="352"/>
      <c r="S69" s="352"/>
      <c r="T69" s="352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27</v>
      </c>
      <c r="BB69" s="139" t="str">
        <f>IF(AND(BA69&lt;&gt;"",BA69=33),15,"nvt")</f>
        <v>nvt</v>
      </c>
    </row>
    <row r="70" spans="2:54">
      <c r="B70" s="364">
        <v>57</v>
      </c>
      <c r="C70" s="365">
        <v>41824</v>
      </c>
      <c r="D70" s="405" t="str">
        <f>IF(J63="","Winnaar 53",IF(J63=1,D63,F63))</f>
        <v>Frankrijk</v>
      </c>
      <c r="E70" s="367" t="s">
        <v>9</v>
      </c>
      <c r="F70" s="406" t="str">
        <f>IF(J64="","Winnaar 54",IF(J64=1,D64,F64))</f>
        <v>Duitsland</v>
      </c>
      <c r="G70" s="435">
        <v>1</v>
      </c>
      <c r="H70" s="367" t="s">
        <v>9</v>
      </c>
      <c r="I70" s="447">
        <v>2</v>
      </c>
      <c r="J70" s="448">
        <v>2</v>
      </c>
      <c r="K70" s="353"/>
      <c r="L70" s="353"/>
      <c r="M70" s="353"/>
      <c r="N70" s="352"/>
      <c r="O70" s="352"/>
      <c r="P70" s="352"/>
      <c r="Q70" s="352"/>
      <c r="R70" s="352"/>
      <c r="S70" s="352"/>
      <c r="T70" s="352"/>
      <c r="V70" t="s">
        <v>133</v>
      </c>
      <c r="W70" t="s">
        <v>126</v>
      </c>
      <c r="X70" t="str">
        <f t="shared" si="11"/>
        <v>Karim Rekik (v)</v>
      </c>
      <c r="Y70" s="109">
        <f>AF70</f>
        <v>5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5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Brazilië</v>
      </c>
      <c r="E71" s="379" t="s">
        <v>9</v>
      </c>
      <c r="F71" s="409" t="str">
        <f>IF(J60="","Winnaar 50",IF(J60=1,D60,F60))</f>
        <v>Uruguay</v>
      </c>
      <c r="G71" s="437">
        <v>2</v>
      </c>
      <c r="H71" s="379" t="s">
        <v>9</v>
      </c>
      <c r="I71" s="449">
        <v>2</v>
      </c>
      <c r="J71" s="450">
        <v>2</v>
      </c>
      <c r="K71" s="353"/>
      <c r="L71" s="353"/>
      <c r="M71" s="353"/>
      <c r="N71" s="352"/>
      <c r="O71" s="352"/>
      <c r="P71" s="352"/>
      <c r="Q71" s="352"/>
      <c r="R71" s="352"/>
      <c r="S71" s="352"/>
      <c r="T71" s="352"/>
      <c r="V71" t="s">
        <v>133</v>
      </c>
      <c r="W71" t="s">
        <v>194</v>
      </c>
      <c r="X71" t="str">
        <f t="shared" si="11"/>
        <v>Ron Vlaar (v)</v>
      </c>
      <c r="Y71" s="109">
        <f>AF71</f>
        <v>1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1</v>
      </c>
      <c r="AG71" s="108">
        <f>IF(AC71="",0,(IF(G71=AC71,1,0)))</f>
        <v>1</v>
      </c>
      <c r="AH71" s="108">
        <f>IF(AD71="",0,(IF(I71=AD71,1,0)))</f>
        <v>0</v>
      </c>
      <c r="AI71" s="108">
        <f>IF(AND(AG71=1,AH71=1),10,0)</f>
        <v>0</v>
      </c>
      <c r="AJ71" s="108">
        <f>IF(AND(G71&gt;I71,AC71&gt;AD71),5,0)</f>
        <v>0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Argentinië</v>
      </c>
      <c r="E72" s="367" t="s">
        <v>9</v>
      </c>
      <c r="F72" s="406" t="str">
        <f>IF(J66="","Winnaar 56",IF(J66=1,D66,F66))</f>
        <v>België</v>
      </c>
      <c r="G72" s="435">
        <v>1</v>
      </c>
      <c r="H72" s="367" t="s">
        <v>9</v>
      </c>
      <c r="I72" s="447">
        <v>1</v>
      </c>
      <c r="J72" s="448">
        <v>2</v>
      </c>
      <c r="K72" s="353"/>
      <c r="L72" s="353"/>
      <c r="M72" s="353"/>
      <c r="N72" s="352"/>
      <c r="O72" s="352"/>
      <c r="P72" s="352"/>
      <c r="Q72" s="352"/>
      <c r="R72" s="352"/>
      <c r="S72" s="352"/>
      <c r="T72" s="352"/>
      <c r="V72" t="s">
        <v>133</v>
      </c>
      <c r="W72" t="s">
        <v>195</v>
      </c>
      <c r="X72" t="str">
        <f t="shared" si="11"/>
        <v>John Heitinga (v)</v>
      </c>
      <c r="Y72" s="109">
        <f>AF72</f>
        <v>1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1</v>
      </c>
      <c r="AG72" s="108">
        <f>IF(AC72="",0,(IF(G72=AC72,1,0)))</f>
        <v>1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0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Spanje</v>
      </c>
      <c r="E73" s="388" t="s">
        <v>9</v>
      </c>
      <c r="F73" s="412" t="str">
        <f>IF(J62="","Winnaar 52",IF(J62=1,D62,F62))</f>
        <v>Engeland</v>
      </c>
      <c r="G73" s="438">
        <v>2</v>
      </c>
      <c r="H73" s="388" t="s">
        <v>9</v>
      </c>
      <c r="I73" s="453">
        <v>1</v>
      </c>
      <c r="J73" s="454">
        <v>1</v>
      </c>
      <c r="K73" s="353"/>
      <c r="L73" s="353"/>
      <c r="M73" s="353"/>
      <c r="N73" s="352"/>
      <c r="O73" s="352"/>
      <c r="P73" s="352"/>
      <c r="Q73" s="352"/>
      <c r="R73" s="352"/>
      <c r="S73" s="352"/>
      <c r="T73" s="352"/>
      <c r="V73" t="s">
        <v>133</v>
      </c>
      <c r="W73" t="s">
        <v>196</v>
      </c>
      <c r="X73" t="str">
        <f t="shared" si="11"/>
        <v>Urby Emanuelson (v)</v>
      </c>
      <c r="Y73" s="109">
        <f>AF73</f>
        <v>0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0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N74" s="352"/>
      <c r="O74" s="352"/>
      <c r="P74" s="352"/>
      <c r="Q74" s="352"/>
      <c r="R74" s="352"/>
      <c r="S74" s="352"/>
      <c r="T74" s="352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27"/>
      <c r="K75" s="353"/>
      <c r="L75" s="353"/>
      <c r="M75" s="353"/>
      <c r="N75" s="352"/>
      <c r="O75" s="352"/>
      <c r="P75" s="352"/>
      <c r="Q75" s="352"/>
      <c r="R75" s="352"/>
      <c r="S75" s="352"/>
      <c r="T75" s="352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30" t="s">
        <v>3</v>
      </c>
      <c r="E76" s="431"/>
      <c r="F76" s="432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N76" s="352"/>
      <c r="O76" s="352"/>
      <c r="P76" s="352"/>
      <c r="Q76" s="352"/>
      <c r="R76" s="352"/>
      <c r="S76" s="352"/>
      <c r="T76" s="352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Duitsland</v>
      </c>
      <c r="E77" s="367" t="s">
        <v>9</v>
      </c>
      <c r="F77" s="406" t="str">
        <f>IF(J71="","Winnaar 58",IF(J71=1,D71,F71))</f>
        <v>Uruguay</v>
      </c>
      <c r="G77" s="435">
        <v>2</v>
      </c>
      <c r="H77" s="367" t="s">
        <v>9</v>
      </c>
      <c r="I77" s="447">
        <v>1</v>
      </c>
      <c r="J77" s="448">
        <v>1</v>
      </c>
      <c r="K77" s="353"/>
      <c r="L77" s="353"/>
      <c r="M77" s="353"/>
      <c r="N77" s="352"/>
      <c r="O77" s="352"/>
      <c r="P77" s="352"/>
      <c r="Q77" s="352"/>
      <c r="R77" s="352"/>
      <c r="S77" s="352"/>
      <c r="T77" s="352"/>
      <c r="V77" t="s">
        <v>134</v>
      </c>
      <c r="W77" t="s">
        <v>203</v>
      </c>
      <c r="X77" t="str">
        <f t="shared" si="11"/>
        <v>Marco van Ginkel (m)</v>
      </c>
      <c r="Y77" s="109">
        <f>AF77</f>
        <v>6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6</v>
      </c>
      <c r="AG77" s="108">
        <f>IF(AC77="",0,(IF(G77=AC77,1,0)))</f>
        <v>0</v>
      </c>
      <c r="AH77" s="108">
        <f>IF(AD77="",0,(IF(I77=AD77,1,0)))</f>
        <v>1</v>
      </c>
      <c r="AI77" s="108">
        <f>IF(AND(AG77=1,AH77=1),10,0)</f>
        <v>0</v>
      </c>
      <c r="AJ77" s="108">
        <f>IF(AND(G77&gt;I77,AC77&gt;AD77),5,0)</f>
        <v>5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België</v>
      </c>
      <c r="E78" s="388" t="s">
        <v>9</v>
      </c>
      <c r="F78" s="412" t="str">
        <f>IF(J73="","Winnaar 60",IF(J73=1,D73,F73))</f>
        <v>Spanje</v>
      </c>
      <c r="G78" s="438">
        <v>2</v>
      </c>
      <c r="H78" s="388" t="s">
        <v>9</v>
      </c>
      <c r="I78" s="453">
        <v>3</v>
      </c>
      <c r="J78" s="454">
        <v>2</v>
      </c>
      <c r="K78" s="353"/>
      <c r="L78" s="353"/>
      <c r="M78" s="353"/>
      <c r="N78" s="352"/>
      <c r="O78" s="352"/>
      <c r="P78" s="352"/>
      <c r="Q78" s="352"/>
      <c r="R78" s="352"/>
      <c r="S78" s="352"/>
      <c r="T78" s="352"/>
      <c r="V78" t="s">
        <v>134</v>
      </c>
      <c r="W78" t="s">
        <v>199</v>
      </c>
      <c r="X78" t="str">
        <f t="shared" si="11"/>
        <v>Leroy Fer (m)</v>
      </c>
      <c r="Y78" s="109">
        <f>AF78</f>
        <v>0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0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N79" s="352"/>
      <c r="O79" s="352"/>
      <c r="P79" s="352"/>
      <c r="Q79" s="352"/>
      <c r="R79" s="352"/>
      <c r="S79" s="352"/>
      <c r="T79" s="352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27"/>
      <c r="K80" s="353"/>
      <c r="L80" s="353"/>
      <c r="M80" s="353"/>
      <c r="N80" s="352"/>
      <c r="O80" s="352"/>
      <c r="P80" s="352"/>
      <c r="Q80" s="352"/>
      <c r="R80" s="352"/>
      <c r="S80" s="352"/>
      <c r="T80" s="352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30" t="s">
        <v>3</v>
      </c>
      <c r="E81" s="431"/>
      <c r="F81" s="432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N81" s="352"/>
      <c r="O81" s="352"/>
      <c r="P81" s="352"/>
      <c r="Q81" s="352"/>
      <c r="R81" s="352"/>
      <c r="S81" s="352"/>
      <c r="T81" s="352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Uruguay</v>
      </c>
      <c r="E82" s="355" t="s">
        <v>9</v>
      </c>
      <c r="F82" s="415" t="str">
        <f>IF(J78="","Verliezer 62",IF(J78=1,F78,D78))</f>
        <v>België</v>
      </c>
      <c r="G82" s="455">
        <v>0</v>
      </c>
      <c r="H82" s="355" t="s">
        <v>9</v>
      </c>
      <c r="I82" s="456">
        <v>2</v>
      </c>
      <c r="J82" s="457">
        <v>2</v>
      </c>
      <c r="K82" s="353"/>
      <c r="L82" s="353"/>
      <c r="M82" s="353"/>
      <c r="N82" s="352"/>
      <c r="O82" s="352"/>
      <c r="P82" s="352"/>
      <c r="Q82" s="352"/>
      <c r="R82" s="352"/>
      <c r="S82" s="352"/>
      <c r="T82" s="352"/>
      <c r="V82" t="s">
        <v>134</v>
      </c>
      <c r="W82" t="s">
        <v>125</v>
      </c>
      <c r="X82" t="str">
        <f t="shared" si="11"/>
        <v>Georginio Wijnaldum (m)</v>
      </c>
      <c r="Y82" s="109">
        <f>AF82</f>
        <v>6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6</v>
      </c>
      <c r="AG82" s="108">
        <f>IF(AC82="",0,(IF(G82=AC82,1,0)))</f>
        <v>1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5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N83" s="352"/>
      <c r="O83" s="352"/>
      <c r="P83" s="352"/>
      <c r="Q83" s="352"/>
      <c r="R83" s="352"/>
      <c r="S83" s="352"/>
      <c r="T83" s="352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27"/>
      <c r="K84" s="353"/>
      <c r="L84" s="353"/>
      <c r="M84" s="353"/>
      <c r="N84" s="352"/>
      <c r="O84" s="352"/>
      <c r="P84" s="352"/>
      <c r="Q84" s="352"/>
      <c r="R84" s="352"/>
      <c r="S84" s="352"/>
      <c r="T84" s="352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30" t="s">
        <v>3</v>
      </c>
      <c r="E85" s="431"/>
      <c r="F85" s="432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N85" s="352"/>
      <c r="O85" s="352"/>
      <c r="P85" s="352"/>
      <c r="Q85" s="352"/>
      <c r="R85" s="352"/>
      <c r="S85" s="352"/>
      <c r="T85" s="352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Duitsland</v>
      </c>
      <c r="E86" s="355" t="s">
        <v>9</v>
      </c>
      <c r="F86" s="415" t="str">
        <f>IF(J78="","Winnaar 62",IF(J78=1,D78,F78))</f>
        <v>Spanje</v>
      </c>
      <c r="G86" s="455">
        <v>3</v>
      </c>
      <c r="H86" s="355" t="s">
        <v>9</v>
      </c>
      <c r="I86" s="456">
        <v>1</v>
      </c>
      <c r="J86" s="457">
        <v>1</v>
      </c>
      <c r="K86" s="353"/>
      <c r="L86" s="353"/>
      <c r="M86" s="353"/>
      <c r="N86" s="352"/>
      <c r="O86" s="352"/>
      <c r="P86" s="352"/>
      <c r="Q86" s="352"/>
      <c r="R86" s="352"/>
      <c r="S86" s="352"/>
      <c r="T86" s="352"/>
      <c r="V86" t="s">
        <v>134</v>
      </c>
      <c r="W86" t="s">
        <v>139</v>
      </c>
      <c r="X86" t="str">
        <f t="shared" si="11"/>
        <v>Nigel de Jong (m)</v>
      </c>
      <c r="Y86" s="109">
        <f>AF86</f>
        <v>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0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Duitsland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50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50</v>
      </c>
      <c r="AV89">
        <f>IF(AR89=0,0,IF(E89=AR89,50,0))</f>
        <v>50</v>
      </c>
      <c r="AW89">
        <f>IF(E89=0,0,IF(OR(E89=AR90),15,0))</f>
        <v>0</v>
      </c>
      <c r="AX89">
        <f>IF(E89=0,0,IF(OR(E89=AR91,E89=AR92),5,0))</f>
        <v>0</v>
      </c>
    </row>
    <row r="90" spans="2:50">
      <c r="C90" s="870">
        <v>2</v>
      </c>
      <c r="D90" s="871"/>
      <c r="E90" s="872" t="str">
        <f>IF(J86=2,D86,IF(J86=1,F86,"Wie wordt 2de?"))</f>
        <v>Spanje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0</v>
      </c>
      <c r="AV90">
        <f>IF(AR90=0,0,IF(AR90=E90,25,0))</f>
        <v>0</v>
      </c>
      <c r="AW90">
        <f>IF(E90=0,0,IF(OR(E90=AR89,),15,0))</f>
        <v>0</v>
      </c>
      <c r="AX90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België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0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0</v>
      </c>
      <c r="AV91">
        <f>IF(AR91=0,0,IF(AR91=E91,15,0))</f>
        <v>0</v>
      </c>
      <c r="AW91">
        <f>IF(E91=0,0,IF(OR(E91=AR92),10,0))</f>
        <v>0</v>
      </c>
      <c r="AX91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Uruguay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0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0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50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conditionalFormatting sqref="AO9:AO12 AO15:AO18 AO21:AO24 AO27:AO30 AO33:AO36 AO39:AO42 AO45:AO48 AO51:AO54">
    <cfRule type="cellIs" dxfId="140" priority="3" operator="equal">
      <formula>10</formula>
    </cfRule>
  </conditionalFormatting>
  <conditionalFormatting sqref="P58:T58">
    <cfRule type="duplicateValues" dxfId="139" priority="2"/>
  </conditionalFormatting>
  <conditionalFormatting sqref="P58:T68">
    <cfRule type="duplicateValues" dxfId="138" priority="1"/>
  </conditionalFormatting>
  <dataValidations count="10">
    <dataValidation type="list" allowBlank="1" showInputMessage="1" showErrorMessage="1" sqref="T51:T54">
      <formula1>$W$51:$W$54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P58:P68">
      <formula1>$X$58:$X$98</formula1>
    </dataValidation>
  </dataValidation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B1:BB98"/>
  <sheetViews>
    <sheetView topLeftCell="A37" zoomScale="70" zoomScaleNormal="70" workbookViewId="0">
      <selection activeCell="P58" sqref="P58:T68"/>
    </sheetView>
  </sheetViews>
  <sheetFormatPr defaultRowHeight="15" outlineLevelCol="2"/>
  <cols>
    <col min="1" max="1" width="3.42578125" customWidth="1"/>
    <col min="2" max="2" width="3.5703125" bestFit="1" customWidth="1"/>
    <col min="3" max="3" width="11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274</v>
      </c>
      <c r="E3" s="145"/>
      <c r="F3" s="145"/>
      <c r="N3" t="str">
        <f>D3</f>
        <v>Maurice vd K.</v>
      </c>
      <c r="O3" s="144">
        <f>SUM(P3:S3)</f>
        <v>409</v>
      </c>
      <c r="P3" s="109">
        <f>SUM(Y8:Y86)</f>
        <v>229</v>
      </c>
      <c r="Q3" s="109">
        <f>SUM(AM4:AM55)</f>
        <v>140</v>
      </c>
      <c r="R3" s="109">
        <f>SUM(AP89:AP92)</f>
        <v>10</v>
      </c>
      <c r="S3" s="109">
        <f>SUM(BB58:BB69)</f>
        <v>30</v>
      </c>
      <c r="T3" s="109">
        <f>COUNTIF(AF8:AF86,10)</f>
        <v>5</v>
      </c>
      <c r="U3" s="109" t="str">
        <f>E89</f>
        <v>Brazilië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M6" s="352"/>
      <c r="N6" s="352"/>
      <c r="O6" s="392"/>
      <c r="P6" s="393"/>
      <c r="Q6" s="393"/>
      <c r="R6" s="393"/>
      <c r="S6" s="393"/>
      <c r="T6" s="393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18" t="s">
        <v>3</v>
      </c>
      <c r="E7" s="419"/>
      <c r="F7" s="420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M7" s="352"/>
      <c r="N7" s="352"/>
      <c r="O7" s="353"/>
      <c r="P7" s="393"/>
      <c r="Q7" s="393"/>
      <c r="R7" s="393"/>
      <c r="S7" s="393"/>
      <c r="T7" s="393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2</v>
      </c>
      <c r="H8" s="360" t="s">
        <v>9</v>
      </c>
      <c r="I8" s="439">
        <v>0</v>
      </c>
      <c r="J8" s="362">
        <f t="shared" ref="J8:J55" si="0">IF(I8="","",IF(G8&gt;I8,1,IF(G8&lt;I8,2,3)))</f>
        <v>1</v>
      </c>
      <c r="K8" s="363">
        <f t="shared" ref="K8:K55" si="1">IF(I8="","",IF($G8&gt;$I8,3,IF($G8=$I8,1,0)))</f>
        <v>3</v>
      </c>
      <c r="L8" s="363">
        <f t="shared" ref="L8:L55" si="2">IF(I8="","",IF($G8&lt;$I8,3,IF($G8=$I8,1,0)))</f>
        <v>0</v>
      </c>
      <c r="M8" s="352"/>
      <c r="N8" s="352"/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40"/>
      <c r="V8" s="40"/>
      <c r="W8" s="40"/>
      <c r="Y8" s="109">
        <f>AF8</f>
        <v>5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5</v>
      </c>
      <c r="AG8" s="108">
        <f t="shared" ref="AG8:AG55" si="3">IF(AC8="",0,(IF(G8=AC8,1,0)))</f>
        <v>0</v>
      </c>
      <c r="AH8" s="108">
        <f t="shared" ref="AH8:AH55" si="4">IF(AD8="",0,(IF(I8=AD8,1,0)))</f>
        <v>0</v>
      </c>
      <c r="AI8" s="108">
        <f>IF(AND(AG8=1,AH8=1),10,0)</f>
        <v>0</v>
      </c>
      <c r="AJ8" s="108">
        <f t="shared" ref="AJ8:AJ55" si="5">IF(AND(G8&gt;I8,AC8&gt;AD8),5,0)</f>
        <v>5</v>
      </c>
      <c r="AK8" s="108">
        <f t="shared" ref="AK8:AK55" si="6">IF(AND(G8&lt;I8,AC8&lt;AD8),5,0)</f>
        <v>0</v>
      </c>
      <c r="AL8" s="108">
        <f t="shared" ref="AL8:AL55" si="7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2</v>
      </c>
      <c r="H9" s="367" t="s">
        <v>9</v>
      </c>
      <c r="I9" s="440">
        <v>1</v>
      </c>
      <c r="J9" s="369">
        <f t="shared" si="0"/>
        <v>1</v>
      </c>
      <c r="K9" s="363">
        <f t="shared" si="1"/>
        <v>3</v>
      </c>
      <c r="L9" s="363">
        <f t="shared" si="2"/>
        <v>0</v>
      </c>
      <c r="M9" s="352"/>
      <c r="N9" s="352"/>
      <c r="O9" s="394" t="s">
        <v>8</v>
      </c>
      <c r="P9" s="395">
        <f>SUMIF($D$8:$D$55,$O9,$G$8:$G$55)+SUMIF($F$8:$F$55,$O9,$I$8:$I$55)</f>
        <v>8</v>
      </c>
      <c r="Q9" s="395">
        <f>SUMIF($D$8:$D$55,$O9,$I$8:$I$55)+SUMIF($F$8:$F$55,$O9,$G$8:$G$55)</f>
        <v>1</v>
      </c>
      <c r="R9" s="396">
        <f>P9-Q9</f>
        <v>7</v>
      </c>
      <c r="S9" s="397">
        <f>SUMIF($D$8:$D$55,$O9,$K$8:$K$55)+SUMIF($F$8:$F$55,$O9,$L$8:$L$55)</f>
        <v>9</v>
      </c>
      <c r="T9" s="444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5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5</v>
      </c>
      <c r="AG9" s="108">
        <f t="shared" si="3"/>
        <v>0</v>
      </c>
      <c r="AH9" s="108">
        <f t="shared" si="4"/>
        <v>0</v>
      </c>
      <c r="AI9" s="108">
        <f t="shared" ref="AI9:AI55" si="10">IF(AND(AG9=1,AH9=1),10,0)</f>
        <v>0</v>
      </c>
      <c r="AJ9" s="108">
        <f t="shared" si="5"/>
        <v>5</v>
      </c>
      <c r="AK9" s="108">
        <f t="shared" si="6"/>
        <v>0</v>
      </c>
      <c r="AL9" s="108">
        <f t="shared" si="7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2</v>
      </c>
      <c r="H10" s="373" t="s">
        <v>9</v>
      </c>
      <c r="I10" s="441">
        <v>1</v>
      </c>
      <c r="J10" s="375">
        <f t="shared" si="0"/>
        <v>1</v>
      </c>
      <c r="K10" s="363">
        <f t="shared" si="1"/>
        <v>3</v>
      </c>
      <c r="L10" s="363">
        <f t="shared" si="2"/>
        <v>0</v>
      </c>
      <c r="M10" s="352"/>
      <c r="N10" s="352"/>
      <c r="O10" s="398" t="s">
        <v>10</v>
      </c>
      <c r="P10" s="399">
        <f>SUMIF($D$8:$D$55,$O10,$G$8:$G$55)+SUMIF($F$8:$F$55,$O10,$I$8:$I$55)</f>
        <v>3</v>
      </c>
      <c r="Q10" s="399">
        <f>SUMIF($D$8:$D$55,$O10,$I$8:$I$55)+SUMIF($F$8:$F$55,$O10,$G$8:$G$55)</f>
        <v>5</v>
      </c>
      <c r="R10" s="399">
        <f>P10-Q10</f>
        <v>-2</v>
      </c>
      <c r="S10" s="400">
        <f>SUMIF($D$8:$D$55,$O10,$K$8:$K$55)+SUMIF($F$8:$F$55,$O10,$L$8:$L$55)</f>
        <v>3</v>
      </c>
      <c r="T10" s="445" t="s">
        <v>47</v>
      </c>
      <c r="U10" s="40"/>
      <c r="V10" s="40" t="str">
        <f>O10</f>
        <v>Kroatië</v>
      </c>
      <c r="W10" s="40" t="s">
        <v>49</v>
      </c>
      <c r="Y10" s="109">
        <f t="shared" si="8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0</v>
      </c>
      <c r="AG10" s="108">
        <f t="shared" si="3"/>
        <v>0</v>
      </c>
      <c r="AH10" s="108">
        <f t="shared" si="4"/>
        <v>0</v>
      </c>
      <c r="AI10" s="108">
        <f t="shared" si="10"/>
        <v>0</v>
      </c>
      <c r="AJ10" s="108">
        <f t="shared" si="5"/>
        <v>0</v>
      </c>
      <c r="AK10" s="108">
        <f t="shared" si="6"/>
        <v>0</v>
      </c>
      <c r="AL10" s="108">
        <f t="shared" si="7"/>
        <v>0</v>
      </c>
      <c r="AM10" s="120">
        <f>AO10</f>
        <v>10</v>
      </c>
      <c r="AN10" s="117" t="s">
        <v>10</v>
      </c>
      <c r="AO10" s="115">
        <f>IF(Uitslag!T10="",0,IF(T10=Uitslag!T10,10,0))</f>
        <v>10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2</v>
      </c>
      <c r="H11" s="379" t="s">
        <v>9</v>
      </c>
      <c r="I11" s="442">
        <v>0</v>
      </c>
      <c r="J11" s="381">
        <f t="shared" si="0"/>
        <v>1</v>
      </c>
      <c r="K11" s="363">
        <f t="shared" si="1"/>
        <v>3</v>
      </c>
      <c r="L11" s="363">
        <f t="shared" si="2"/>
        <v>0</v>
      </c>
      <c r="M11" s="352"/>
      <c r="N11" s="352"/>
      <c r="O11" s="398" t="s">
        <v>11</v>
      </c>
      <c r="P11" s="399">
        <f>SUMIF($D$8:$D$55,$O11,$G$8:$G$55)+SUMIF($F$8:$F$55,$O11,$I$8:$I$55)</f>
        <v>5</v>
      </c>
      <c r="Q11" s="399">
        <f>SUMIF($D$8:$D$55,$O11,$I$8:$I$55)+SUMIF($F$8:$F$55,$O11,$G$8:$G$55)</f>
        <v>5</v>
      </c>
      <c r="R11" s="399">
        <f>P11-Q11</f>
        <v>0</v>
      </c>
      <c r="S11" s="400">
        <f>SUMIF($D$8:$D$55,$O11,$K$8:$K$55)+SUMIF($F$8:$F$55,$O11,$L$8:$L$55)</f>
        <v>6</v>
      </c>
      <c r="T11" s="445" t="s">
        <v>49</v>
      </c>
      <c r="U11" s="40"/>
      <c r="V11" s="40" t="str">
        <f>O11</f>
        <v>Mexico</v>
      </c>
      <c r="W11" s="40" t="s">
        <v>47</v>
      </c>
      <c r="Y11" s="109">
        <f t="shared" si="8"/>
        <v>5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5</v>
      </c>
      <c r="AG11" s="108">
        <f t="shared" si="3"/>
        <v>0</v>
      </c>
      <c r="AH11" s="108">
        <f t="shared" si="4"/>
        <v>0</v>
      </c>
      <c r="AI11" s="108">
        <f t="shared" si="10"/>
        <v>0</v>
      </c>
      <c r="AJ11" s="108">
        <f t="shared" si="5"/>
        <v>5</v>
      </c>
      <c r="AK11" s="108">
        <f t="shared" si="6"/>
        <v>0</v>
      </c>
      <c r="AL11" s="108">
        <f t="shared" si="7"/>
        <v>0</v>
      </c>
      <c r="AM11" s="120">
        <f>AO11</f>
        <v>10</v>
      </c>
      <c r="AN11" s="117" t="s">
        <v>11</v>
      </c>
      <c r="AO11" s="115">
        <f>IF(Uitslag!T11="",0,IF(T11=Uitslag!T11,10,0))</f>
        <v>10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2</v>
      </c>
      <c r="H12" s="367" t="s">
        <v>9</v>
      </c>
      <c r="I12" s="440">
        <v>0</v>
      </c>
      <c r="J12" s="369">
        <f t="shared" si="0"/>
        <v>1</v>
      </c>
      <c r="K12" s="363">
        <f t="shared" si="1"/>
        <v>3</v>
      </c>
      <c r="L12" s="363">
        <f t="shared" si="2"/>
        <v>0</v>
      </c>
      <c r="M12" s="352"/>
      <c r="N12" s="352"/>
      <c r="O12" s="401" t="s">
        <v>12</v>
      </c>
      <c r="P12" s="402">
        <f>SUMIF($D$8:$D$55,$O12,$G$8:$G$55)+SUMIF($F$8:$F$55,$O12,$I$8:$I$55)</f>
        <v>2</v>
      </c>
      <c r="Q12" s="402">
        <f>SUMIF($D$8:$D$55,$O12,$I$8:$I$55)+SUMIF($F$8:$F$55,$O12,$G$8:$G$55)</f>
        <v>7</v>
      </c>
      <c r="R12" s="402">
        <f>P12-Q12</f>
        <v>-5</v>
      </c>
      <c r="S12" s="403">
        <f>SUMIF($D$8:$D$55,$O12,$K$8:$K$55)+SUMIF($F$8:$F$55,$O12,$L$8:$L$55)</f>
        <v>0</v>
      </c>
      <c r="T12" s="446" t="s">
        <v>50</v>
      </c>
      <c r="U12" s="40"/>
      <c r="V12" s="40" t="str">
        <f>O12</f>
        <v>Kameroen</v>
      </c>
      <c r="W12" s="40" t="s">
        <v>50</v>
      </c>
      <c r="Y12" s="109">
        <f t="shared" si="8"/>
        <v>6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6</v>
      </c>
      <c r="AG12" s="108">
        <f t="shared" si="3"/>
        <v>0</v>
      </c>
      <c r="AH12" s="108">
        <f t="shared" si="4"/>
        <v>1</v>
      </c>
      <c r="AI12" s="108">
        <f t="shared" si="10"/>
        <v>0</v>
      </c>
      <c r="AJ12" s="108">
        <f t="shared" si="5"/>
        <v>5</v>
      </c>
      <c r="AK12" s="108">
        <f t="shared" si="6"/>
        <v>0</v>
      </c>
      <c r="AL12" s="108">
        <f t="shared" si="7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3</v>
      </c>
      <c r="H13" s="373" t="s">
        <v>9</v>
      </c>
      <c r="I13" s="441">
        <v>0</v>
      </c>
      <c r="J13" s="375">
        <f t="shared" si="0"/>
        <v>1</v>
      </c>
      <c r="K13" s="363">
        <f t="shared" si="1"/>
        <v>3</v>
      </c>
      <c r="L13" s="363">
        <f t="shared" si="2"/>
        <v>0</v>
      </c>
      <c r="M13" s="352"/>
      <c r="N13" s="352"/>
      <c r="O13" s="392"/>
      <c r="P13" s="393"/>
      <c r="Q13" s="393"/>
      <c r="R13" s="393"/>
      <c r="S13" s="393"/>
      <c r="T13" s="393"/>
      <c r="U13" s="40"/>
      <c r="V13" s="40"/>
      <c r="W13" s="40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3"/>
        <v>0</v>
      </c>
      <c r="AH13" s="108">
        <f t="shared" si="4"/>
        <v>0</v>
      </c>
      <c r="AI13" s="108">
        <f t="shared" si="10"/>
        <v>0</v>
      </c>
      <c r="AJ13" s="108">
        <f t="shared" si="5"/>
        <v>0</v>
      </c>
      <c r="AK13" s="108">
        <f t="shared" si="6"/>
        <v>0</v>
      </c>
      <c r="AL13" s="108">
        <f t="shared" si="7"/>
        <v>0</v>
      </c>
      <c r="AN13" s="40"/>
      <c r="AO13" s="41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1</v>
      </c>
      <c r="H14" s="373" t="s">
        <v>9</v>
      </c>
      <c r="I14" s="441">
        <v>2</v>
      </c>
      <c r="J14" s="375">
        <f t="shared" si="0"/>
        <v>2</v>
      </c>
      <c r="K14" s="363">
        <f t="shared" si="1"/>
        <v>0</v>
      </c>
      <c r="L14" s="363">
        <f t="shared" si="2"/>
        <v>3</v>
      </c>
      <c r="M14" s="352"/>
      <c r="N14" s="352"/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40"/>
      <c r="V14" s="40"/>
      <c r="W14" s="40"/>
      <c r="Y14" s="109">
        <f t="shared" si="8"/>
        <v>10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10</v>
      </c>
      <c r="AG14" s="108">
        <f t="shared" si="3"/>
        <v>1</v>
      </c>
      <c r="AH14" s="108">
        <f t="shared" si="4"/>
        <v>1</v>
      </c>
      <c r="AI14" s="108">
        <f t="shared" si="10"/>
        <v>10</v>
      </c>
      <c r="AJ14" s="108">
        <f t="shared" si="5"/>
        <v>0</v>
      </c>
      <c r="AK14" s="108">
        <f t="shared" si="6"/>
        <v>5</v>
      </c>
      <c r="AL14" s="108">
        <f t="shared" si="7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1</v>
      </c>
      <c r="H15" s="379" t="s">
        <v>9</v>
      </c>
      <c r="I15" s="442">
        <v>2</v>
      </c>
      <c r="J15" s="381">
        <f t="shared" si="0"/>
        <v>2</v>
      </c>
      <c r="K15" s="363">
        <f t="shared" si="1"/>
        <v>0</v>
      </c>
      <c r="L15" s="363">
        <f t="shared" si="2"/>
        <v>3</v>
      </c>
      <c r="M15" s="352"/>
      <c r="N15" s="352"/>
      <c r="O15" s="394" t="s">
        <v>13</v>
      </c>
      <c r="P15" s="395">
        <f>SUMIF($D$8:$D$55,$O15,$G$8:$G$55)+SUMIF($F$8:$F$55,$O15,$I$8:$I$55)</f>
        <v>7</v>
      </c>
      <c r="Q15" s="395">
        <f>SUMIF($D$8:$D$55,$O15,$I$8:$I$55)+SUMIF($F$8:$F$55,$O15,$G$8:$G$55)</f>
        <v>3</v>
      </c>
      <c r="R15" s="396">
        <f>P15-Q15</f>
        <v>4</v>
      </c>
      <c r="S15" s="397">
        <f>SUMIF($D$8:$D$55,$O15,$K$8:$K$55)+SUMIF($F$8:$F$55,$O15,$L$8:$L$55)</f>
        <v>6</v>
      </c>
      <c r="T15" s="444" t="s">
        <v>52</v>
      </c>
      <c r="U15" s="40"/>
      <c r="V15" s="40" t="str">
        <f>O15</f>
        <v>Spanje</v>
      </c>
      <c r="W15" s="40" t="s">
        <v>52</v>
      </c>
      <c r="Y15" s="109">
        <f t="shared" si="8"/>
        <v>0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0</v>
      </c>
      <c r="AG15" s="108">
        <f t="shared" si="3"/>
        <v>0</v>
      </c>
      <c r="AH15" s="108">
        <f t="shared" si="4"/>
        <v>0</v>
      </c>
      <c r="AI15" s="108">
        <f t="shared" si="10"/>
        <v>0</v>
      </c>
      <c r="AJ15" s="108">
        <f t="shared" si="5"/>
        <v>0</v>
      </c>
      <c r="AK15" s="108">
        <f t="shared" si="6"/>
        <v>0</v>
      </c>
      <c r="AL15" s="108">
        <f t="shared" si="7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1</v>
      </c>
      <c r="H16" s="367" t="s">
        <v>9</v>
      </c>
      <c r="I16" s="440">
        <v>2</v>
      </c>
      <c r="J16" s="369">
        <f t="shared" si="0"/>
        <v>2</v>
      </c>
      <c r="K16" s="363">
        <f t="shared" si="1"/>
        <v>0</v>
      </c>
      <c r="L16" s="363">
        <f t="shared" si="2"/>
        <v>3</v>
      </c>
      <c r="M16" s="352"/>
      <c r="N16" s="352"/>
      <c r="O16" s="404" t="s">
        <v>14</v>
      </c>
      <c r="P16" s="399">
        <f>SUMIF($D$8:$D$55,$O16,$G$8:$G$55)+SUMIF($F$8:$F$55,$O16,$I$8:$I$55)</f>
        <v>6</v>
      </c>
      <c r="Q16" s="399">
        <f>SUMIF($D$8:$D$55,$O16,$I$8:$I$55)+SUMIF($F$8:$F$55,$O16,$G$8:$G$55)</f>
        <v>3</v>
      </c>
      <c r="R16" s="399">
        <f>P16-Q16</f>
        <v>3</v>
      </c>
      <c r="S16" s="400">
        <f>SUMIF($D$8:$D$55,$O16,$K$8:$K$55)+SUMIF($F$8:$F$55,$O16,$L$8:$L$55)</f>
        <v>6</v>
      </c>
      <c r="T16" s="445" t="s">
        <v>53</v>
      </c>
      <c r="U16" s="40"/>
      <c r="V16" s="40" t="str">
        <f>O16</f>
        <v>Nederland</v>
      </c>
      <c r="W16" s="40" t="s">
        <v>53</v>
      </c>
      <c r="Y16" s="109">
        <f t="shared" si="8"/>
        <v>0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0</v>
      </c>
      <c r="AG16" s="108">
        <f t="shared" si="3"/>
        <v>0</v>
      </c>
      <c r="AH16" s="108">
        <f t="shared" si="4"/>
        <v>0</v>
      </c>
      <c r="AI16" s="108">
        <f t="shared" si="10"/>
        <v>0</v>
      </c>
      <c r="AJ16" s="108">
        <f t="shared" si="5"/>
        <v>0</v>
      </c>
      <c r="AK16" s="108">
        <f t="shared" si="6"/>
        <v>0</v>
      </c>
      <c r="AL16" s="108">
        <f t="shared" si="7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2</v>
      </c>
      <c r="H17" s="373" t="s">
        <v>9</v>
      </c>
      <c r="I17" s="441">
        <v>0</v>
      </c>
      <c r="J17" s="375">
        <f t="shared" si="0"/>
        <v>1</v>
      </c>
      <c r="K17" s="363">
        <f t="shared" si="1"/>
        <v>3</v>
      </c>
      <c r="L17" s="363">
        <f t="shared" si="2"/>
        <v>0</v>
      </c>
      <c r="M17" s="352"/>
      <c r="N17" s="352"/>
      <c r="O17" s="398" t="s">
        <v>15</v>
      </c>
      <c r="P17" s="399">
        <f>SUMIF($D$8:$D$55,$O17,$G$8:$G$55)+SUMIF($F$8:$F$55,$O17,$I$8:$I$55)</f>
        <v>5</v>
      </c>
      <c r="Q17" s="399">
        <f>SUMIF($D$8:$D$55,$O17,$I$8:$I$55)+SUMIF($F$8:$F$55,$O17,$G$8:$G$55)</f>
        <v>3</v>
      </c>
      <c r="R17" s="399">
        <f>P17-Q17</f>
        <v>2</v>
      </c>
      <c r="S17" s="400">
        <f>SUMIF($D$8:$D$55,$O17,$K$8:$K$55)+SUMIF($F$8:$F$55,$O17,$L$8:$L$55)</f>
        <v>6</v>
      </c>
      <c r="T17" s="445" t="s">
        <v>54</v>
      </c>
      <c r="U17" s="40"/>
      <c r="V17" s="40" t="str">
        <f>O17</f>
        <v>Chili</v>
      </c>
      <c r="W17" s="40" t="s">
        <v>54</v>
      </c>
      <c r="Y17" s="109">
        <f t="shared" si="8"/>
        <v>6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6</v>
      </c>
      <c r="AG17" s="108">
        <f t="shared" si="3"/>
        <v>0</v>
      </c>
      <c r="AH17" s="108">
        <f t="shared" si="4"/>
        <v>1</v>
      </c>
      <c r="AI17" s="108">
        <f t="shared" si="10"/>
        <v>0</v>
      </c>
      <c r="AJ17" s="108">
        <f t="shared" si="5"/>
        <v>5</v>
      </c>
      <c r="AK17" s="108">
        <f t="shared" si="6"/>
        <v>0</v>
      </c>
      <c r="AL17" s="108">
        <f t="shared" si="7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3</v>
      </c>
      <c r="H18" s="379" t="s">
        <v>9</v>
      </c>
      <c r="I18" s="442">
        <v>0</v>
      </c>
      <c r="J18" s="381">
        <f t="shared" si="0"/>
        <v>1</v>
      </c>
      <c r="K18" s="363">
        <f t="shared" si="1"/>
        <v>3</v>
      </c>
      <c r="L18" s="363">
        <f t="shared" si="2"/>
        <v>0</v>
      </c>
      <c r="M18" s="352"/>
      <c r="N18" s="352"/>
      <c r="O18" s="401" t="s">
        <v>16</v>
      </c>
      <c r="P18" s="402">
        <f>SUMIF($D$8:$D$55,$O18,$G$8:$G$55)+SUMIF($F$8:$F$55,$O18,$I$8:$I$55)</f>
        <v>0</v>
      </c>
      <c r="Q18" s="402">
        <f>SUMIF($D$8:$D$55,$O18,$I$8:$I$55)+SUMIF($F$8:$F$55,$O18,$G$8:$G$55)</f>
        <v>9</v>
      </c>
      <c r="R18" s="402">
        <f>P18-Q18</f>
        <v>-9</v>
      </c>
      <c r="S18" s="403">
        <f>SUMIF($D$8:$D$55,$O18,$K$8:$K$55)+SUMIF($F$8:$F$55,$O18,$L$8:$L$55)</f>
        <v>0</v>
      </c>
      <c r="T18" s="446" t="s">
        <v>55</v>
      </c>
      <c r="U18" s="40"/>
      <c r="V18" s="40" t="str">
        <f>O18</f>
        <v>Australië</v>
      </c>
      <c r="W18" s="40" t="s">
        <v>55</v>
      </c>
      <c r="Y18" s="109">
        <f t="shared" si="8"/>
        <v>5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5</v>
      </c>
      <c r="AG18" s="108">
        <f t="shared" si="3"/>
        <v>0</v>
      </c>
      <c r="AH18" s="108">
        <f t="shared" si="4"/>
        <v>0</v>
      </c>
      <c r="AI18" s="108">
        <f t="shared" si="10"/>
        <v>0</v>
      </c>
      <c r="AJ18" s="108">
        <f t="shared" si="5"/>
        <v>5</v>
      </c>
      <c r="AK18" s="108">
        <f t="shared" si="6"/>
        <v>0</v>
      </c>
      <c r="AL18" s="108">
        <f t="shared" si="7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2</v>
      </c>
      <c r="H19" s="367" t="s">
        <v>9</v>
      </c>
      <c r="I19" s="440">
        <v>1</v>
      </c>
      <c r="J19" s="369">
        <f t="shared" si="0"/>
        <v>1</v>
      </c>
      <c r="K19" s="363">
        <f t="shared" si="1"/>
        <v>3</v>
      </c>
      <c r="L19" s="363">
        <f t="shared" si="2"/>
        <v>0</v>
      </c>
      <c r="M19" s="352"/>
      <c r="N19" s="352"/>
      <c r="O19" s="392"/>
      <c r="P19" s="393"/>
      <c r="Q19" s="393"/>
      <c r="R19" s="393"/>
      <c r="S19" s="393"/>
      <c r="T19" s="393"/>
      <c r="U19" s="40"/>
      <c r="V19" s="40"/>
      <c r="W19" s="40"/>
      <c r="Y19" s="109">
        <f t="shared" si="8"/>
        <v>5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5</v>
      </c>
      <c r="AG19" s="108">
        <f t="shared" si="3"/>
        <v>0</v>
      </c>
      <c r="AH19" s="108">
        <f t="shared" si="4"/>
        <v>0</v>
      </c>
      <c r="AI19" s="108">
        <f t="shared" si="10"/>
        <v>0</v>
      </c>
      <c r="AJ19" s="108">
        <f t="shared" si="5"/>
        <v>5</v>
      </c>
      <c r="AK19" s="108">
        <f t="shared" si="6"/>
        <v>0</v>
      </c>
      <c r="AL19" s="108">
        <f t="shared" si="7"/>
        <v>0</v>
      </c>
      <c r="AN19" s="40"/>
      <c r="AO19" s="41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0</v>
      </c>
      <c r="H20" s="373" t="s">
        <v>9</v>
      </c>
      <c r="I20" s="441">
        <v>2</v>
      </c>
      <c r="J20" s="375">
        <f t="shared" si="0"/>
        <v>2</v>
      </c>
      <c r="K20" s="363">
        <f t="shared" si="1"/>
        <v>0</v>
      </c>
      <c r="L20" s="363">
        <f t="shared" si="2"/>
        <v>3</v>
      </c>
      <c r="M20" s="352"/>
      <c r="N20" s="352"/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40"/>
      <c r="V20" s="40"/>
      <c r="W20" s="40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3"/>
        <v>1</v>
      </c>
      <c r="AH20" s="108">
        <f t="shared" si="4"/>
        <v>0</v>
      </c>
      <c r="AI20" s="108">
        <f t="shared" si="10"/>
        <v>0</v>
      </c>
      <c r="AJ20" s="108">
        <f t="shared" si="5"/>
        <v>0</v>
      </c>
      <c r="AK20" s="108">
        <f t="shared" si="6"/>
        <v>0</v>
      </c>
      <c r="AL20" s="108">
        <f t="shared" si="7"/>
        <v>0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2</v>
      </c>
      <c r="H21" s="379" t="s">
        <v>9</v>
      </c>
      <c r="I21" s="442">
        <v>0</v>
      </c>
      <c r="J21" s="381">
        <f t="shared" si="0"/>
        <v>1</v>
      </c>
      <c r="K21" s="363">
        <f t="shared" si="1"/>
        <v>3</v>
      </c>
      <c r="L21" s="363">
        <f t="shared" si="2"/>
        <v>0</v>
      </c>
      <c r="M21" s="352"/>
      <c r="N21" s="352"/>
      <c r="O21" s="394" t="s">
        <v>17</v>
      </c>
      <c r="P21" s="395">
        <f>SUMIF($D$8:$D$55,$O21,$G$8:$G$55)+SUMIF($F$8:$F$55,$O21,$I$8:$I$55)</f>
        <v>6</v>
      </c>
      <c r="Q21" s="395">
        <f>SUMIF($D$8:$D$55,$O21,$I$8:$I$55)+SUMIF($F$8:$F$55,$O21,$G$8:$G$55)</f>
        <v>2</v>
      </c>
      <c r="R21" s="396">
        <f>P21-Q21</f>
        <v>4</v>
      </c>
      <c r="S21" s="397">
        <f>SUMIF($D$8:$D$55,$O21,$K$8:$K$55)+SUMIF($F$8:$F$55,$O21,$L$8:$L$55)</f>
        <v>9</v>
      </c>
      <c r="T21" s="444" t="s">
        <v>57</v>
      </c>
      <c r="U21" s="40"/>
      <c r="V21" s="40" t="str">
        <f>O21</f>
        <v>Colombia</v>
      </c>
      <c r="W21" s="40" t="s">
        <v>57</v>
      </c>
      <c r="Y21" s="109">
        <f t="shared" si="8"/>
        <v>0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0</v>
      </c>
      <c r="AG21" s="108">
        <f t="shared" si="3"/>
        <v>0</v>
      </c>
      <c r="AH21" s="108">
        <f t="shared" si="4"/>
        <v>0</v>
      </c>
      <c r="AI21" s="108">
        <f t="shared" si="10"/>
        <v>0</v>
      </c>
      <c r="AJ21" s="108">
        <f t="shared" si="5"/>
        <v>0</v>
      </c>
      <c r="AK21" s="108">
        <f t="shared" si="6"/>
        <v>0</v>
      </c>
      <c r="AL21" s="108">
        <f t="shared" si="7"/>
        <v>0</v>
      </c>
      <c r="AM21" s="120">
        <f>AO21</f>
        <v>10</v>
      </c>
      <c r="AN21" s="116" t="s">
        <v>17</v>
      </c>
      <c r="AO21" s="115">
        <f>IF(Uitslag!T21="",0,IF(T21=Uitslag!T21,10,0))</f>
        <v>10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2</v>
      </c>
      <c r="H22" s="367" t="s">
        <v>9</v>
      </c>
      <c r="I22" s="440">
        <v>0</v>
      </c>
      <c r="J22" s="369">
        <f t="shared" si="0"/>
        <v>1</v>
      </c>
      <c r="K22" s="363">
        <f t="shared" si="1"/>
        <v>3</v>
      </c>
      <c r="L22" s="363">
        <f t="shared" si="2"/>
        <v>0</v>
      </c>
      <c r="M22" s="352"/>
      <c r="N22" s="352"/>
      <c r="O22" s="398" t="s">
        <v>18</v>
      </c>
      <c r="P22" s="399">
        <f>SUMIF($D$8:$D$55,$O22,$G$8:$G$55)+SUMIF($F$8:$F$55,$O22,$I$8:$I$55)</f>
        <v>2</v>
      </c>
      <c r="Q22" s="399">
        <f>SUMIF($D$8:$D$55,$O22,$I$8:$I$55)+SUMIF($F$8:$F$55,$O22,$G$8:$G$55)</f>
        <v>4</v>
      </c>
      <c r="R22" s="399">
        <f>P22-Q22</f>
        <v>-2</v>
      </c>
      <c r="S22" s="400">
        <f>SUMIF($D$8:$D$55,$O22,$K$8:$K$55)+SUMIF($F$8:$F$55,$O22,$L$8:$L$55)</f>
        <v>3</v>
      </c>
      <c r="T22" s="445" t="s">
        <v>59</v>
      </c>
      <c r="U22" s="40"/>
      <c r="V22" s="40" t="str">
        <f>O22</f>
        <v>Griekenland</v>
      </c>
      <c r="W22" s="40" t="s">
        <v>58</v>
      </c>
      <c r="Y22" s="109">
        <f t="shared" si="8"/>
        <v>6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6</v>
      </c>
      <c r="AG22" s="108">
        <f t="shared" si="3"/>
        <v>1</v>
      </c>
      <c r="AH22" s="108">
        <f t="shared" si="4"/>
        <v>0</v>
      </c>
      <c r="AI22" s="108">
        <f t="shared" si="10"/>
        <v>0</v>
      </c>
      <c r="AJ22" s="108">
        <f t="shared" si="5"/>
        <v>5</v>
      </c>
      <c r="AK22" s="108">
        <f t="shared" si="6"/>
        <v>0</v>
      </c>
      <c r="AL22" s="108">
        <f t="shared" si="7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3</v>
      </c>
      <c r="H23" s="373" t="s">
        <v>9</v>
      </c>
      <c r="I23" s="441">
        <v>1</v>
      </c>
      <c r="J23" s="375">
        <f t="shared" si="0"/>
        <v>1</v>
      </c>
      <c r="K23" s="363">
        <f t="shared" si="1"/>
        <v>3</v>
      </c>
      <c r="L23" s="363">
        <f t="shared" si="2"/>
        <v>0</v>
      </c>
      <c r="M23" s="352"/>
      <c r="N23" s="352"/>
      <c r="O23" s="398" t="s">
        <v>23</v>
      </c>
      <c r="P23" s="399">
        <f>SUMIF($D$8:$D$55,$O23,$G$8:$G$55)+SUMIF($F$8:$F$55,$O23,$I$8:$I$55)</f>
        <v>2</v>
      </c>
      <c r="Q23" s="399">
        <f>SUMIF($D$8:$D$55,$O23,$I$8:$I$55)+SUMIF($F$8:$F$55,$O23,$G$8:$G$55)</f>
        <v>6</v>
      </c>
      <c r="R23" s="399">
        <f>P23-Q23</f>
        <v>-4</v>
      </c>
      <c r="S23" s="400">
        <f>SUMIF($D$8:$D$55,$O23,$K$8:$K$55)+SUMIF($F$8:$F$55,$O23,$L$8:$L$55)</f>
        <v>0</v>
      </c>
      <c r="T23" s="445" t="s">
        <v>60</v>
      </c>
      <c r="U23" s="40"/>
      <c r="V23" s="40" t="str">
        <f>O23</f>
        <v>Ivoorkust</v>
      </c>
      <c r="W23" s="40" t="s">
        <v>59</v>
      </c>
      <c r="Y23" s="109">
        <f t="shared" si="8"/>
        <v>0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0</v>
      </c>
      <c r="AG23" s="108">
        <f t="shared" si="3"/>
        <v>0</v>
      </c>
      <c r="AH23" s="108">
        <f t="shared" si="4"/>
        <v>0</v>
      </c>
      <c r="AI23" s="108">
        <f t="shared" si="10"/>
        <v>0</v>
      </c>
      <c r="AJ23" s="108">
        <f t="shared" si="5"/>
        <v>0</v>
      </c>
      <c r="AK23" s="108">
        <f t="shared" si="6"/>
        <v>0</v>
      </c>
      <c r="AL23" s="108">
        <f t="shared" si="7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2</v>
      </c>
      <c r="H24" s="379" t="s">
        <v>9</v>
      </c>
      <c r="I24" s="442">
        <v>1</v>
      </c>
      <c r="J24" s="381">
        <f t="shared" si="0"/>
        <v>1</v>
      </c>
      <c r="K24" s="363">
        <f t="shared" si="1"/>
        <v>3</v>
      </c>
      <c r="L24" s="363">
        <f t="shared" si="2"/>
        <v>0</v>
      </c>
      <c r="M24" s="352"/>
      <c r="N24" s="352"/>
      <c r="O24" s="401" t="s">
        <v>24</v>
      </c>
      <c r="P24" s="402">
        <f>SUMIF($D$8:$D$55,$O24,$G$8:$G$55)+SUMIF($F$8:$F$55,$O24,$I$8:$I$55)</f>
        <v>5</v>
      </c>
      <c r="Q24" s="402">
        <f>SUMIF($D$8:$D$55,$O24,$I$8:$I$55)+SUMIF($F$8:$F$55,$O24,$G$8:$G$55)</f>
        <v>3</v>
      </c>
      <c r="R24" s="402">
        <f>P24-Q24</f>
        <v>2</v>
      </c>
      <c r="S24" s="403">
        <f>SUMIF($D$8:$D$55,$O24,$K$8:$K$55)+SUMIF($F$8:$F$55,$O24,$L$8:$L$55)</f>
        <v>6</v>
      </c>
      <c r="T24" s="446" t="s">
        <v>58</v>
      </c>
      <c r="U24" s="40"/>
      <c r="V24" s="40" t="str">
        <f>O24</f>
        <v>Japan</v>
      </c>
      <c r="W24" s="40" t="s">
        <v>60</v>
      </c>
      <c r="Y24" s="109">
        <f t="shared" si="8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</v>
      </c>
      <c r="AG24" s="108">
        <f t="shared" si="3"/>
        <v>0</v>
      </c>
      <c r="AH24" s="108">
        <f t="shared" si="4"/>
        <v>1</v>
      </c>
      <c r="AI24" s="108">
        <f t="shared" si="10"/>
        <v>0</v>
      </c>
      <c r="AJ24" s="108">
        <f t="shared" si="5"/>
        <v>0</v>
      </c>
      <c r="AK24" s="108">
        <f t="shared" si="6"/>
        <v>0</v>
      </c>
      <c r="AL24" s="108">
        <f t="shared" si="7"/>
        <v>0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0</v>
      </c>
      <c r="H25" s="367" t="s">
        <v>9</v>
      </c>
      <c r="I25" s="440">
        <v>3</v>
      </c>
      <c r="J25" s="369">
        <f t="shared" si="0"/>
        <v>2</v>
      </c>
      <c r="K25" s="363">
        <f t="shared" si="1"/>
        <v>0</v>
      </c>
      <c r="L25" s="363">
        <f t="shared" si="2"/>
        <v>3</v>
      </c>
      <c r="M25" s="352"/>
      <c r="N25" s="352"/>
      <c r="O25" s="392"/>
      <c r="P25" s="393"/>
      <c r="Q25" s="393"/>
      <c r="R25" s="393"/>
      <c r="S25" s="393"/>
      <c r="T25" s="393"/>
      <c r="U25" s="40"/>
      <c r="V25" s="40"/>
      <c r="W25" s="40"/>
      <c r="Y25" s="109">
        <f t="shared" si="8"/>
        <v>6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6</v>
      </c>
      <c r="AG25" s="108">
        <f t="shared" si="3"/>
        <v>0</v>
      </c>
      <c r="AH25" s="108">
        <f t="shared" si="4"/>
        <v>1</v>
      </c>
      <c r="AI25" s="108">
        <f t="shared" si="10"/>
        <v>0</v>
      </c>
      <c r="AJ25" s="108">
        <f t="shared" si="5"/>
        <v>0</v>
      </c>
      <c r="AK25" s="108">
        <f t="shared" si="6"/>
        <v>5</v>
      </c>
      <c r="AL25" s="108">
        <f t="shared" si="7"/>
        <v>0</v>
      </c>
      <c r="AN25" s="40"/>
      <c r="AO25" s="41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1</v>
      </c>
      <c r="H26" s="373" t="s">
        <v>9</v>
      </c>
      <c r="I26" s="441">
        <v>2</v>
      </c>
      <c r="J26" s="375">
        <f t="shared" si="0"/>
        <v>2</v>
      </c>
      <c r="K26" s="363">
        <f t="shared" si="1"/>
        <v>0</v>
      </c>
      <c r="L26" s="363">
        <f t="shared" si="2"/>
        <v>3</v>
      </c>
      <c r="M26" s="352"/>
      <c r="N26" s="352"/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40"/>
      <c r="V26" s="40"/>
      <c r="W26" s="40"/>
      <c r="Y26" s="109">
        <f t="shared" si="8"/>
        <v>6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6</v>
      </c>
      <c r="AG26" s="108">
        <f t="shared" si="3"/>
        <v>0</v>
      </c>
      <c r="AH26" s="108">
        <f t="shared" si="4"/>
        <v>1</v>
      </c>
      <c r="AI26" s="108">
        <f t="shared" si="10"/>
        <v>0</v>
      </c>
      <c r="AJ26" s="108">
        <f t="shared" si="5"/>
        <v>0</v>
      </c>
      <c r="AK26" s="108">
        <f t="shared" si="6"/>
        <v>5</v>
      </c>
      <c r="AL26" s="108">
        <f t="shared" si="7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1</v>
      </c>
      <c r="H27" s="379" t="s">
        <v>9</v>
      </c>
      <c r="I27" s="442">
        <v>2</v>
      </c>
      <c r="J27" s="381">
        <f t="shared" si="0"/>
        <v>2</v>
      </c>
      <c r="K27" s="363">
        <f t="shared" si="1"/>
        <v>0</v>
      </c>
      <c r="L27" s="363">
        <f t="shared" si="2"/>
        <v>3</v>
      </c>
      <c r="M27" s="352"/>
      <c r="N27" s="352"/>
      <c r="O27" s="394" t="s">
        <v>19</v>
      </c>
      <c r="P27" s="395">
        <f>SUMIF($D$8:$D$55,$O27,$G$8:$G$55)+SUMIF($F$8:$F$55,$O27,$I$8:$I$55)</f>
        <v>7</v>
      </c>
      <c r="Q27" s="395">
        <f>SUMIF($D$8:$D$55,$O27,$I$8:$I$55)+SUMIF($F$8:$F$55,$O27,$G$8:$G$55)</f>
        <v>4</v>
      </c>
      <c r="R27" s="396">
        <f>P27-Q27</f>
        <v>3</v>
      </c>
      <c r="S27" s="397">
        <f>SUMIF($D$8:$D$55,$O27,$K$8:$K$55)+SUMIF($F$8:$F$55,$O27,$L$8:$L$55)</f>
        <v>6</v>
      </c>
      <c r="T27" s="444" t="s">
        <v>63</v>
      </c>
      <c r="U27" s="40"/>
      <c r="V27" s="40" t="str">
        <f>O27</f>
        <v>Uruguay</v>
      </c>
      <c r="W27" s="40" t="s">
        <v>62</v>
      </c>
      <c r="Y27" s="109">
        <f t="shared" si="8"/>
        <v>5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5</v>
      </c>
      <c r="AG27" s="108">
        <f t="shared" si="3"/>
        <v>0</v>
      </c>
      <c r="AH27" s="108">
        <f t="shared" si="4"/>
        <v>0</v>
      </c>
      <c r="AI27" s="108">
        <f t="shared" si="10"/>
        <v>0</v>
      </c>
      <c r="AJ27" s="108">
        <f t="shared" si="5"/>
        <v>0</v>
      </c>
      <c r="AK27" s="108">
        <f t="shared" si="6"/>
        <v>5</v>
      </c>
      <c r="AL27" s="108">
        <f t="shared" si="7"/>
        <v>0</v>
      </c>
      <c r="AM27" s="120">
        <f>AO27</f>
        <v>10</v>
      </c>
      <c r="AN27" s="116" t="s">
        <v>19</v>
      </c>
      <c r="AO27" s="115">
        <f>IF(Uitslag!T27="",0,IF(T27=Uitslag!T27,10,0))</f>
        <v>10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2</v>
      </c>
      <c r="H28" s="367" t="s">
        <v>9</v>
      </c>
      <c r="I28" s="440">
        <v>1</v>
      </c>
      <c r="J28" s="369">
        <f t="shared" si="0"/>
        <v>1</v>
      </c>
      <c r="K28" s="363">
        <f t="shared" si="1"/>
        <v>3</v>
      </c>
      <c r="L28" s="363">
        <f t="shared" si="2"/>
        <v>0</v>
      </c>
      <c r="M28" s="352"/>
      <c r="N28" s="352"/>
      <c r="O28" s="398" t="s">
        <v>20</v>
      </c>
      <c r="P28" s="399">
        <f>SUMIF($D$8:$D$55,$O28,$G$8:$G$55)+SUMIF($F$8:$F$55,$O28,$I$8:$I$55)</f>
        <v>0</v>
      </c>
      <c r="Q28" s="399">
        <f>SUMIF($D$8:$D$55,$O28,$I$8:$I$55)+SUMIF($F$8:$F$55,$O28,$G$8:$G$55)</f>
        <v>9</v>
      </c>
      <c r="R28" s="399">
        <f>P28-Q28</f>
        <v>-9</v>
      </c>
      <c r="S28" s="400">
        <f>SUMIF($D$8:$D$55,$O28,$K$8:$K$55)+SUMIF($F$8:$F$55,$O28,$L$8:$L$55)</f>
        <v>0</v>
      </c>
      <c r="T28" s="445" t="s">
        <v>65</v>
      </c>
      <c r="U28" s="40"/>
      <c r="V28" s="40" t="str">
        <f>O28</f>
        <v>Costa Rica</v>
      </c>
      <c r="W28" s="40" t="s">
        <v>63</v>
      </c>
      <c r="Y28" s="109">
        <f t="shared" si="8"/>
        <v>10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10</v>
      </c>
      <c r="AG28" s="108">
        <f t="shared" si="3"/>
        <v>1</v>
      </c>
      <c r="AH28" s="108">
        <f t="shared" si="4"/>
        <v>1</v>
      </c>
      <c r="AI28" s="108">
        <f t="shared" si="10"/>
        <v>10</v>
      </c>
      <c r="AJ28" s="108">
        <f t="shared" si="5"/>
        <v>5</v>
      </c>
      <c r="AK28" s="108">
        <f t="shared" si="6"/>
        <v>0</v>
      </c>
      <c r="AL28" s="108">
        <f t="shared" si="7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1</v>
      </c>
      <c r="H29" s="373" t="s">
        <v>9</v>
      </c>
      <c r="I29" s="441">
        <v>2</v>
      </c>
      <c r="J29" s="375">
        <f t="shared" si="0"/>
        <v>2</v>
      </c>
      <c r="K29" s="363">
        <f t="shared" si="1"/>
        <v>0</v>
      </c>
      <c r="L29" s="363">
        <f t="shared" si="2"/>
        <v>3</v>
      </c>
      <c r="M29" s="352"/>
      <c r="N29" s="352"/>
      <c r="O29" s="398" t="s">
        <v>21</v>
      </c>
      <c r="P29" s="399">
        <f>SUMIF($D$8:$D$55,$O29,$G$8:$G$55)+SUMIF($F$8:$F$55,$O29,$I$8:$I$55)</f>
        <v>7</v>
      </c>
      <c r="Q29" s="399">
        <f>SUMIF($D$8:$D$55,$O29,$I$8:$I$55)+SUMIF($F$8:$F$55,$O29,$G$8:$G$55)</f>
        <v>3</v>
      </c>
      <c r="R29" s="399">
        <f>P29-Q29</f>
        <v>4</v>
      </c>
      <c r="S29" s="400">
        <f>SUMIF($D$8:$D$55,$O29,$K$8:$K$55)+SUMIF($F$8:$F$55,$O29,$L$8:$L$55)</f>
        <v>6</v>
      </c>
      <c r="T29" s="445" t="s">
        <v>62</v>
      </c>
      <c r="U29" s="40"/>
      <c r="V29" s="40" t="str">
        <f>O29</f>
        <v>Engeland</v>
      </c>
      <c r="W29" s="40" t="s">
        <v>64</v>
      </c>
      <c r="Y29" s="109">
        <f t="shared" si="8"/>
        <v>0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0</v>
      </c>
      <c r="AG29" s="108">
        <f t="shared" si="3"/>
        <v>0</v>
      </c>
      <c r="AH29" s="108">
        <f t="shared" si="4"/>
        <v>0</v>
      </c>
      <c r="AI29" s="108">
        <f t="shared" si="10"/>
        <v>0</v>
      </c>
      <c r="AJ29" s="108">
        <f t="shared" si="5"/>
        <v>0</v>
      </c>
      <c r="AK29" s="108">
        <f t="shared" si="6"/>
        <v>0</v>
      </c>
      <c r="AL29" s="108">
        <f t="shared" si="7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2</v>
      </c>
      <c r="H30" s="379" t="s">
        <v>9</v>
      </c>
      <c r="I30" s="442">
        <v>0</v>
      </c>
      <c r="J30" s="381">
        <f t="shared" si="0"/>
        <v>1</v>
      </c>
      <c r="K30" s="363">
        <f t="shared" si="1"/>
        <v>3</v>
      </c>
      <c r="L30" s="363">
        <f t="shared" si="2"/>
        <v>0</v>
      </c>
      <c r="M30" s="352"/>
      <c r="N30" s="352"/>
      <c r="O30" s="401" t="s">
        <v>22</v>
      </c>
      <c r="P30" s="402">
        <f>SUMIF($D$8:$D$55,$O30,$G$8:$G$55)+SUMIF($F$8:$F$55,$O30,$I$8:$I$55)</f>
        <v>6</v>
      </c>
      <c r="Q30" s="402">
        <f>SUMIF($D$8:$D$55,$O30,$I$8:$I$55)+SUMIF($F$8:$F$55,$O30,$G$8:$G$55)</f>
        <v>4</v>
      </c>
      <c r="R30" s="402">
        <f>P30-Q30</f>
        <v>2</v>
      </c>
      <c r="S30" s="403">
        <f>SUMIF($D$8:$D$55,$O30,$K$8:$K$55)+SUMIF($F$8:$F$55,$O30,$L$8:$L$55)</f>
        <v>6</v>
      </c>
      <c r="T30" s="446" t="s">
        <v>64</v>
      </c>
      <c r="U30" s="40"/>
      <c r="V30" s="40" t="str">
        <f>O30</f>
        <v>Italië</v>
      </c>
      <c r="W30" s="40" t="s">
        <v>65</v>
      </c>
      <c r="Y30" s="109">
        <f t="shared" si="8"/>
        <v>1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1</v>
      </c>
      <c r="AG30" s="108">
        <f t="shared" si="3"/>
        <v>0</v>
      </c>
      <c r="AH30" s="108">
        <f t="shared" si="4"/>
        <v>1</v>
      </c>
      <c r="AI30" s="108">
        <f t="shared" si="10"/>
        <v>0</v>
      </c>
      <c r="AJ30" s="108">
        <f t="shared" si="5"/>
        <v>0</v>
      </c>
      <c r="AK30" s="108">
        <f t="shared" si="6"/>
        <v>0</v>
      </c>
      <c r="AL30" s="108">
        <f t="shared" si="7"/>
        <v>0</v>
      </c>
      <c r="AM30" s="120">
        <f>AO30</f>
        <v>10</v>
      </c>
      <c r="AN30" s="118" t="s">
        <v>22</v>
      </c>
      <c r="AO30" s="115">
        <f>IF(Uitslag!T30="",0,IF(T30=Uitslag!T30,10,0))</f>
        <v>10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2</v>
      </c>
      <c r="H31" s="367" t="s">
        <v>9</v>
      </c>
      <c r="I31" s="440">
        <v>0</v>
      </c>
      <c r="J31" s="369">
        <f t="shared" si="0"/>
        <v>1</v>
      </c>
      <c r="K31" s="363">
        <f t="shared" si="1"/>
        <v>3</v>
      </c>
      <c r="L31" s="363">
        <f t="shared" si="2"/>
        <v>0</v>
      </c>
      <c r="M31" s="352"/>
      <c r="N31" s="352"/>
      <c r="O31" s="392"/>
      <c r="P31" s="393"/>
      <c r="Q31" s="393"/>
      <c r="R31" s="393"/>
      <c r="S31" s="393"/>
      <c r="T31" s="393"/>
      <c r="U31" s="40"/>
      <c r="V31" s="40"/>
      <c r="W31" s="40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3"/>
        <v>0</v>
      </c>
      <c r="AH31" s="108">
        <f t="shared" si="4"/>
        <v>0</v>
      </c>
      <c r="AI31" s="108">
        <f t="shared" si="10"/>
        <v>0</v>
      </c>
      <c r="AJ31" s="108">
        <f t="shared" si="5"/>
        <v>0</v>
      </c>
      <c r="AK31" s="108">
        <f t="shared" si="6"/>
        <v>0</v>
      </c>
      <c r="AL31" s="108">
        <f t="shared" si="7"/>
        <v>0</v>
      </c>
      <c r="AN31" s="40"/>
      <c r="AO31" s="41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1</v>
      </c>
      <c r="H32" s="373" t="s">
        <v>9</v>
      </c>
      <c r="I32" s="441">
        <v>2</v>
      </c>
      <c r="J32" s="375">
        <f t="shared" si="0"/>
        <v>2</v>
      </c>
      <c r="K32" s="363">
        <f t="shared" si="1"/>
        <v>0</v>
      </c>
      <c r="L32" s="363">
        <f t="shared" si="2"/>
        <v>3</v>
      </c>
      <c r="M32" s="352"/>
      <c r="N32" s="352"/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40"/>
      <c r="V32" s="40"/>
      <c r="W32" s="40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3"/>
        <v>0</v>
      </c>
      <c r="AH32" s="108">
        <f t="shared" si="4"/>
        <v>0</v>
      </c>
      <c r="AI32" s="108">
        <f t="shared" si="10"/>
        <v>0</v>
      </c>
      <c r="AJ32" s="108">
        <f t="shared" si="5"/>
        <v>0</v>
      </c>
      <c r="AK32" s="108">
        <f t="shared" si="6"/>
        <v>5</v>
      </c>
      <c r="AL32" s="108">
        <f t="shared" si="7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1</v>
      </c>
      <c r="H33" s="379" t="s">
        <v>9</v>
      </c>
      <c r="I33" s="442">
        <v>3</v>
      </c>
      <c r="J33" s="381">
        <f t="shared" si="0"/>
        <v>2</v>
      </c>
      <c r="K33" s="363">
        <f t="shared" si="1"/>
        <v>0</v>
      </c>
      <c r="L33" s="363">
        <f t="shared" si="2"/>
        <v>3</v>
      </c>
      <c r="M33" s="352"/>
      <c r="N33" s="352"/>
      <c r="O33" s="394" t="s">
        <v>25</v>
      </c>
      <c r="P33" s="395">
        <f>SUMIF($D$8:$D$55,$O33,$G$8:$G$55)+SUMIF($F$8:$F$55,$O33,$I$8:$I$55)</f>
        <v>4</v>
      </c>
      <c r="Q33" s="395">
        <f>SUMIF($D$8:$D$55,$O33,$I$8:$I$55)+SUMIF($F$8:$F$55,$O33,$G$8:$G$55)</f>
        <v>4</v>
      </c>
      <c r="R33" s="396">
        <f>P33-Q33</f>
        <v>0</v>
      </c>
      <c r="S33" s="397">
        <f>SUMIF($D$8:$D$55,$O33,$K$8:$K$55)+SUMIF($F$8:$F$55,$O33,$L$8:$L$55)</f>
        <v>3</v>
      </c>
      <c r="T33" s="444" t="s">
        <v>69</v>
      </c>
      <c r="U33" s="40"/>
      <c r="V33" s="40" t="str">
        <f>O33</f>
        <v>Zwitserland</v>
      </c>
      <c r="W33" s="40" t="s">
        <v>67</v>
      </c>
      <c r="Y33" s="109">
        <f t="shared" si="8"/>
        <v>6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6</v>
      </c>
      <c r="AG33" s="108">
        <f t="shared" si="3"/>
        <v>1</v>
      </c>
      <c r="AH33" s="108">
        <f t="shared" si="4"/>
        <v>0</v>
      </c>
      <c r="AI33" s="108">
        <f t="shared" si="10"/>
        <v>0</v>
      </c>
      <c r="AJ33" s="108">
        <f t="shared" si="5"/>
        <v>0</v>
      </c>
      <c r="AK33" s="108">
        <f t="shared" si="6"/>
        <v>5</v>
      </c>
      <c r="AL33" s="108">
        <f t="shared" si="7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4</v>
      </c>
      <c r="H34" s="367" t="s">
        <v>9</v>
      </c>
      <c r="I34" s="440">
        <v>0</v>
      </c>
      <c r="J34" s="369">
        <f t="shared" si="0"/>
        <v>1</v>
      </c>
      <c r="K34" s="363">
        <f t="shared" si="1"/>
        <v>3</v>
      </c>
      <c r="L34" s="363">
        <f t="shared" si="2"/>
        <v>0</v>
      </c>
      <c r="M34" s="352"/>
      <c r="N34" s="352"/>
      <c r="O34" s="398" t="s">
        <v>26</v>
      </c>
      <c r="P34" s="399">
        <f>SUMIF($D$8:$D$55,$O34,$G$8:$G$55)+SUMIF($F$8:$F$55,$O34,$I$8:$I$55)</f>
        <v>6</v>
      </c>
      <c r="Q34" s="399">
        <f>SUMIF($D$8:$D$55,$O34,$I$8:$I$55)+SUMIF($F$8:$F$55,$O34,$G$8:$G$55)</f>
        <v>3</v>
      </c>
      <c r="R34" s="399">
        <f>P34-Q34</f>
        <v>3</v>
      </c>
      <c r="S34" s="400">
        <f>SUMIF($D$8:$D$55,$O34,$K$8:$K$55)+SUMIF($F$8:$F$55,$O34,$L$8:$L$55)</f>
        <v>7</v>
      </c>
      <c r="T34" s="445" t="s">
        <v>67</v>
      </c>
      <c r="U34" s="40"/>
      <c r="V34" s="40" t="str">
        <f>O34</f>
        <v>Ecuador</v>
      </c>
      <c r="W34" s="40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3"/>
        <v>0</v>
      </c>
      <c r="AH34" s="108">
        <f t="shared" si="4"/>
        <v>1</v>
      </c>
      <c r="AI34" s="108">
        <f t="shared" si="10"/>
        <v>0</v>
      </c>
      <c r="AJ34" s="108">
        <f t="shared" si="5"/>
        <v>5</v>
      </c>
      <c r="AK34" s="108">
        <f t="shared" si="6"/>
        <v>0</v>
      </c>
      <c r="AL34" s="108">
        <f t="shared" si="7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2</v>
      </c>
      <c r="H35" s="373" t="s">
        <v>9</v>
      </c>
      <c r="I35" s="441">
        <v>0</v>
      </c>
      <c r="J35" s="375">
        <f t="shared" si="0"/>
        <v>1</v>
      </c>
      <c r="K35" s="363">
        <f t="shared" si="1"/>
        <v>3</v>
      </c>
      <c r="L35" s="363">
        <f t="shared" si="2"/>
        <v>0</v>
      </c>
      <c r="M35" s="352"/>
      <c r="N35" s="352"/>
      <c r="O35" s="398" t="s">
        <v>27</v>
      </c>
      <c r="P35" s="399">
        <f>SUMIF($D$8:$D$55,$O35,$G$8:$G$55)+SUMIF($F$8:$F$55,$O35,$I$8:$I$55)</f>
        <v>5</v>
      </c>
      <c r="Q35" s="399">
        <f>SUMIF($D$8:$D$55,$O35,$I$8:$I$55)+SUMIF($F$8:$F$55,$O35,$G$8:$G$55)</f>
        <v>2</v>
      </c>
      <c r="R35" s="399">
        <f>P35-Q35</f>
        <v>3</v>
      </c>
      <c r="S35" s="400">
        <f>SUMIF($D$8:$D$55,$O35,$K$8:$K$55)+SUMIF($F$8:$F$55,$O35,$L$8:$L$55)</f>
        <v>7</v>
      </c>
      <c r="T35" s="445" t="s">
        <v>68</v>
      </c>
      <c r="U35" s="40"/>
      <c r="V35" s="40" t="str">
        <f>O35</f>
        <v>Frankrijk</v>
      </c>
      <c r="W35" s="40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3"/>
        <v>1</v>
      </c>
      <c r="AH35" s="108">
        <f t="shared" si="4"/>
        <v>0</v>
      </c>
      <c r="AI35" s="108">
        <f t="shared" si="10"/>
        <v>0</v>
      </c>
      <c r="AJ35" s="108">
        <f t="shared" si="5"/>
        <v>0</v>
      </c>
      <c r="AK35" s="108">
        <f t="shared" si="6"/>
        <v>0</v>
      </c>
      <c r="AL35" s="108">
        <f t="shared" si="7"/>
        <v>0</v>
      </c>
      <c r="AM35" s="120">
        <f>AO35</f>
        <v>0</v>
      </c>
      <c r="AN35" s="117" t="s">
        <v>27</v>
      </c>
      <c r="AO35" s="115">
        <f>IF(Uitslag!T35="",0,IF(T35=Uitslag!T35,10,0))</f>
        <v>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2</v>
      </c>
      <c r="H36" s="379" t="s">
        <v>9</v>
      </c>
      <c r="I36" s="442">
        <v>1</v>
      </c>
      <c r="J36" s="381">
        <f t="shared" si="0"/>
        <v>1</v>
      </c>
      <c r="K36" s="363">
        <f t="shared" si="1"/>
        <v>3</v>
      </c>
      <c r="L36" s="363">
        <f t="shared" si="2"/>
        <v>0</v>
      </c>
      <c r="M36" s="352"/>
      <c r="N36" s="352"/>
      <c r="O36" s="401" t="s">
        <v>28</v>
      </c>
      <c r="P36" s="402">
        <f>SUMIF($D$8:$D$55,$O36,$G$8:$G$55)+SUMIF($F$8:$F$55,$O36,$I$8:$I$55)</f>
        <v>1</v>
      </c>
      <c r="Q36" s="402">
        <f>SUMIF($D$8:$D$55,$O36,$I$8:$I$55)+SUMIF($F$8:$F$55,$O36,$G$8:$G$55)</f>
        <v>7</v>
      </c>
      <c r="R36" s="402">
        <f>P36-Q36</f>
        <v>-6</v>
      </c>
      <c r="S36" s="403">
        <f>SUMIF($D$8:$D$55,$O36,$K$8:$K$55)+SUMIF($F$8:$F$55,$O36,$L$8:$L$55)</f>
        <v>0</v>
      </c>
      <c r="T36" s="446" t="s">
        <v>70</v>
      </c>
      <c r="U36" s="40"/>
      <c r="V36" s="40" t="str">
        <f>O36</f>
        <v>Honduras</v>
      </c>
      <c r="W36" s="40" t="s">
        <v>70</v>
      </c>
      <c r="Y36" s="109">
        <f t="shared" si="8"/>
        <v>5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5</v>
      </c>
      <c r="AG36" s="108">
        <f t="shared" si="3"/>
        <v>0</v>
      </c>
      <c r="AH36" s="108">
        <f t="shared" si="4"/>
        <v>0</v>
      </c>
      <c r="AI36" s="108">
        <f t="shared" si="10"/>
        <v>0</v>
      </c>
      <c r="AJ36" s="108">
        <f t="shared" si="5"/>
        <v>5</v>
      </c>
      <c r="AK36" s="108">
        <f t="shared" si="6"/>
        <v>0</v>
      </c>
      <c r="AL36" s="108">
        <f t="shared" si="7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2</v>
      </c>
      <c r="H37" s="367" t="s">
        <v>9</v>
      </c>
      <c r="I37" s="440">
        <v>1</v>
      </c>
      <c r="J37" s="369">
        <f t="shared" si="0"/>
        <v>1</v>
      </c>
      <c r="K37" s="363">
        <f t="shared" si="1"/>
        <v>3</v>
      </c>
      <c r="L37" s="363">
        <f t="shared" si="2"/>
        <v>0</v>
      </c>
      <c r="M37" s="352"/>
      <c r="N37" s="352"/>
      <c r="O37" s="392"/>
      <c r="P37" s="393"/>
      <c r="Q37" s="393"/>
      <c r="R37" s="393"/>
      <c r="S37" s="393"/>
      <c r="T37" s="393"/>
      <c r="U37" s="40"/>
      <c r="V37" s="40"/>
      <c r="W37" s="40"/>
      <c r="Y37" s="109">
        <f t="shared" si="8"/>
        <v>5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5</v>
      </c>
      <c r="AG37" s="108">
        <f t="shared" si="3"/>
        <v>0</v>
      </c>
      <c r="AH37" s="108">
        <f t="shared" si="4"/>
        <v>0</v>
      </c>
      <c r="AI37" s="108">
        <f t="shared" si="10"/>
        <v>0</v>
      </c>
      <c r="AJ37" s="108">
        <f t="shared" si="5"/>
        <v>5</v>
      </c>
      <c r="AK37" s="108">
        <f t="shared" si="6"/>
        <v>0</v>
      </c>
      <c r="AL37" s="108">
        <f t="shared" si="7"/>
        <v>0</v>
      </c>
      <c r="AN37" s="40"/>
      <c r="AO37" s="41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0</v>
      </c>
      <c r="H38" s="373" t="s">
        <v>9</v>
      </c>
      <c r="I38" s="441">
        <v>1</v>
      </c>
      <c r="J38" s="375">
        <f t="shared" si="0"/>
        <v>2</v>
      </c>
      <c r="K38" s="363">
        <f t="shared" si="1"/>
        <v>0</v>
      </c>
      <c r="L38" s="363">
        <f t="shared" si="2"/>
        <v>3</v>
      </c>
      <c r="M38" s="352"/>
      <c r="N38" s="352"/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40"/>
      <c r="V38" s="40"/>
      <c r="W38" s="40"/>
      <c r="Y38" s="109">
        <f t="shared" si="8"/>
        <v>5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5</v>
      </c>
      <c r="AG38" s="108">
        <f t="shared" si="3"/>
        <v>0</v>
      </c>
      <c r="AH38" s="108">
        <f t="shared" si="4"/>
        <v>0</v>
      </c>
      <c r="AI38" s="108">
        <f t="shared" si="10"/>
        <v>0</v>
      </c>
      <c r="AJ38" s="108">
        <f t="shared" si="5"/>
        <v>0</v>
      </c>
      <c r="AK38" s="108">
        <f t="shared" si="6"/>
        <v>5</v>
      </c>
      <c r="AL38" s="108">
        <f t="shared" si="7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0</v>
      </c>
      <c r="H39" s="379" t="s">
        <v>9</v>
      </c>
      <c r="I39" s="442">
        <v>2</v>
      </c>
      <c r="J39" s="381">
        <f t="shared" si="0"/>
        <v>2</v>
      </c>
      <c r="K39" s="363">
        <f t="shared" si="1"/>
        <v>0</v>
      </c>
      <c r="L39" s="363">
        <f t="shared" si="2"/>
        <v>3</v>
      </c>
      <c r="M39" s="352"/>
      <c r="N39" s="352"/>
      <c r="O39" s="394" t="s">
        <v>29</v>
      </c>
      <c r="P39" s="395">
        <f>SUMIF($D$8:$D$55,$O39,$G$8:$G$55)+SUMIF($F$8:$F$55,$O39,$I$8:$I$55)</f>
        <v>8</v>
      </c>
      <c r="Q39" s="395">
        <f>SUMIF($D$8:$D$55,$O39,$I$8:$I$55)+SUMIF($F$8:$F$55,$O39,$G$8:$G$55)</f>
        <v>2</v>
      </c>
      <c r="R39" s="396">
        <f>P39-Q39</f>
        <v>6</v>
      </c>
      <c r="S39" s="397">
        <f>SUMIF($D$8:$D$55,$O39,$K$8:$K$55)+SUMIF($F$8:$F$55,$O39,$L$8:$L$55)</f>
        <v>6</v>
      </c>
      <c r="T39" s="444" t="s">
        <v>73</v>
      </c>
      <c r="U39" s="40"/>
      <c r="V39" s="40" t="str">
        <f>O39</f>
        <v>Argentinië</v>
      </c>
      <c r="W39" s="40" t="s">
        <v>72</v>
      </c>
      <c r="Y39" s="109">
        <f t="shared" si="8"/>
        <v>1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1</v>
      </c>
      <c r="AG39" s="108">
        <f t="shared" si="3"/>
        <v>0</v>
      </c>
      <c r="AH39" s="108">
        <f t="shared" si="4"/>
        <v>1</v>
      </c>
      <c r="AI39" s="108">
        <f t="shared" si="10"/>
        <v>0</v>
      </c>
      <c r="AJ39" s="108">
        <f t="shared" si="5"/>
        <v>0</v>
      </c>
      <c r="AK39" s="108">
        <f t="shared" si="6"/>
        <v>0</v>
      </c>
      <c r="AL39" s="108">
        <f t="shared" si="7"/>
        <v>0</v>
      </c>
      <c r="AM39" s="120">
        <f>AO39</f>
        <v>0</v>
      </c>
      <c r="AN39" s="116" t="s">
        <v>29</v>
      </c>
      <c r="AO39" s="115">
        <f>IF(Uitslag!T39="",0,IF(T39=Uitslag!T39,10,0))</f>
        <v>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0</v>
      </c>
      <c r="H40" s="367" t="s">
        <v>9</v>
      </c>
      <c r="I40" s="440">
        <v>4</v>
      </c>
      <c r="J40" s="369">
        <f t="shared" si="0"/>
        <v>2</v>
      </c>
      <c r="K40" s="363">
        <f t="shared" si="1"/>
        <v>0</v>
      </c>
      <c r="L40" s="363">
        <f t="shared" si="2"/>
        <v>3</v>
      </c>
      <c r="M40" s="352"/>
      <c r="N40" s="352"/>
      <c r="O40" s="398" t="s">
        <v>30</v>
      </c>
      <c r="P40" s="399">
        <f>SUMIF($D$8:$D$55,$O40,$G$8:$G$55)+SUMIF($F$8:$F$55,$O40,$I$8:$I$55)</f>
        <v>2</v>
      </c>
      <c r="Q40" s="399">
        <f>SUMIF($D$8:$D$55,$O40,$I$8:$I$55)+SUMIF($F$8:$F$55,$O40,$G$8:$G$55)</f>
        <v>7</v>
      </c>
      <c r="R40" s="399">
        <f>P40-Q40</f>
        <v>-5</v>
      </c>
      <c r="S40" s="400">
        <f>SUMIF($D$8:$D$55,$O40,$K$8:$K$55)+SUMIF($F$8:$F$55,$O40,$L$8:$L$55)</f>
        <v>0</v>
      </c>
      <c r="T40" s="445" t="s">
        <v>75</v>
      </c>
      <c r="U40" s="40"/>
      <c r="V40" s="40" t="str">
        <f>O40</f>
        <v>Bosnië H.</v>
      </c>
      <c r="W40" s="40" t="s">
        <v>73</v>
      </c>
      <c r="Y40" s="109">
        <f t="shared" si="8"/>
        <v>6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6</v>
      </c>
      <c r="AG40" s="108">
        <f t="shared" si="3"/>
        <v>1</v>
      </c>
      <c r="AH40" s="108">
        <f t="shared" si="4"/>
        <v>0</v>
      </c>
      <c r="AI40" s="108">
        <f t="shared" si="10"/>
        <v>0</v>
      </c>
      <c r="AJ40" s="108">
        <f t="shared" si="5"/>
        <v>0</v>
      </c>
      <c r="AK40" s="108">
        <f t="shared" si="6"/>
        <v>5</v>
      </c>
      <c r="AL40" s="108">
        <f t="shared" si="7"/>
        <v>0</v>
      </c>
      <c r="AM40" s="120">
        <f>AO40</f>
        <v>0</v>
      </c>
      <c r="AN40" s="117" t="s">
        <v>30</v>
      </c>
      <c r="AO40" s="115">
        <f>IF(Uitslag!T40="",0,IF(T40=Uitslag!T40,10,0))</f>
        <v>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2</v>
      </c>
      <c r="H41" s="373" t="s">
        <v>9</v>
      </c>
      <c r="I41" s="441">
        <v>1</v>
      </c>
      <c r="J41" s="375">
        <f t="shared" si="0"/>
        <v>1</v>
      </c>
      <c r="K41" s="363">
        <f t="shared" si="1"/>
        <v>3</v>
      </c>
      <c r="L41" s="363">
        <f t="shared" si="2"/>
        <v>0</v>
      </c>
      <c r="M41" s="352"/>
      <c r="N41" s="352"/>
      <c r="O41" s="398" t="s">
        <v>33</v>
      </c>
      <c r="P41" s="399">
        <f>SUMIF($D$8:$D$55,$O41,$G$8:$G$55)+SUMIF($F$8:$F$55,$O41,$I$8:$I$55)</f>
        <v>2</v>
      </c>
      <c r="Q41" s="399">
        <f>SUMIF($D$8:$D$55,$O41,$I$8:$I$55)+SUMIF($F$8:$F$55,$O41,$G$8:$G$55)</f>
        <v>7</v>
      </c>
      <c r="R41" s="399">
        <f>P41-Q41</f>
        <v>-5</v>
      </c>
      <c r="S41" s="400">
        <f>SUMIF($D$8:$D$55,$O41,$K$8:$K$55)+SUMIF($F$8:$F$55,$O41,$L$8:$L$55)</f>
        <v>3</v>
      </c>
      <c r="T41" s="445" t="s">
        <v>74</v>
      </c>
      <c r="U41" s="40"/>
      <c r="V41" s="40" t="str">
        <f>O41</f>
        <v>Iran</v>
      </c>
      <c r="W41" s="40" t="s">
        <v>74</v>
      </c>
      <c r="Y41" s="109">
        <f t="shared" si="8"/>
        <v>6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6</v>
      </c>
      <c r="AG41" s="108">
        <f t="shared" si="3"/>
        <v>1</v>
      </c>
      <c r="AH41" s="108">
        <f t="shared" si="4"/>
        <v>0</v>
      </c>
      <c r="AI41" s="108">
        <f t="shared" si="10"/>
        <v>0</v>
      </c>
      <c r="AJ41" s="108">
        <f t="shared" si="5"/>
        <v>5</v>
      </c>
      <c r="AK41" s="108">
        <f t="shared" si="6"/>
        <v>0</v>
      </c>
      <c r="AL41" s="108">
        <f t="shared" si="7"/>
        <v>0</v>
      </c>
      <c r="AM41" s="120">
        <f>AO41</f>
        <v>0</v>
      </c>
      <c r="AN41" s="117" t="s">
        <v>33</v>
      </c>
      <c r="AO41" s="115">
        <f>IF(Uitslag!T41="",0,IF(T41=Uitslag!T41,10,0))</f>
        <v>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0</v>
      </c>
      <c r="H42" s="373" t="s">
        <v>9</v>
      </c>
      <c r="I42" s="441">
        <v>3</v>
      </c>
      <c r="J42" s="375">
        <f t="shared" si="0"/>
        <v>2</v>
      </c>
      <c r="K42" s="363">
        <f t="shared" si="1"/>
        <v>0</v>
      </c>
      <c r="L42" s="363">
        <f t="shared" si="2"/>
        <v>3</v>
      </c>
      <c r="M42" s="352"/>
      <c r="N42" s="352"/>
      <c r="O42" s="401" t="s">
        <v>34</v>
      </c>
      <c r="P42" s="402">
        <f>SUMIF($D$8:$D$55,$O42,$G$8:$G$55)+SUMIF($F$8:$F$55,$O42,$I$8:$I$55)</f>
        <v>6</v>
      </c>
      <c r="Q42" s="402">
        <f>SUMIF($D$8:$D$55,$O42,$I$8:$I$55)+SUMIF($F$8:$F$55,$O42,$G$8:$G$55)</f>
        <v>2</v>
      </c>
      <c r="R42" s="402">
        <f>P42-Q42</f>
        <v>4</v>
      </c>
      <c r="S42" s="403">
        <f>SUMIF($D$8:$D$55,$O42,$K$8:$K$55)+SUMIF($F$8:$F$55,$O42,$L$8:$L$55)</f>
        <v>9</v>
      </c>
      <c r="T42" s="446" t="s">
        <v>72</v>
      </c>
      <c r="U42" s="40"/>
      <c r="V42" s="40" t="str">
        <f>O42</f>
        <v>Nigeria</v>
      </c>
      <c r="W42" s="40" t="s">
        <v>75</v>
      </c>
      <c r="Y42" s="109">
        <f t="shared" si="8"/>
        <v>5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5</v>
      </c>
      <c r="AG42" s="108">
        <f t="shared" si="3"/>
        <v>0</v>
      </c>
      <c r="AH42" s="108">
        <f t="shared" si="4"/>
        <v>0</v>
      </c>
      <c r="AI42" s="108">
        <f t="shared" si="10"/>
        <v>0</v>
      </c>
      <c r="AJ42" s="108">
        <f t="shared" si="5"/>
        <v>0</v>
      </c>
      <c r="AK42" s="108">
        <f t="shared" si="6"/>
        <v>5</v>
      </c>
      <c r="AL42" s="108">
        <f t="shared" si="7"/>
        <v>0</v>
      </c>
      <c r="AM42" s="120">
        <f>AO42</f>
        <v>0</v>
      </c>
      <c r="AN42" s="118" t="s">
        <v>34</v>
      </c>
      <c r="AO42" s="115">
        <f>IF(Uitslag!T42="",0,IF(T42=Uitslag!T42,10,0))</f>
        <v>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1</v>
      </c>
      <c r="H43" s="379" t="s">
        <v>9</v>
      </c>
      <c r="I43" s="442">
        <v>2</v>
      </c>
      <c r="J43" s="381">
        <f t="shared" si="0"/>
        <v>2</v>
      </c>
      <c r="K43" s="363">
        <f t="shared" si="1"/>
        <v>0</v>
      </c>
      <c r="L43" s="363">
        <f t="shared" si="2"/>
        <v>3</v>
      </c>
      <c r="M43" s="352"/>
      <c r="N43" s="352"/>
      <c r="O43" s="392"/>
      <c r="P43" s="393"/>
      <c r="Q43" s="393"/>
      <c r="R43" s="393"/>
      <c r="S43" s="393"/>
      <c r="T43" s="393"/>
      <c r="U43" s="40"/>
      <c r="V43" s="40"/>
      <c r="W43" s="40"/>
      <c r="Y43" s="109">
        <f t="shared" si="8"/>
        <v>6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6</v>
      </c>
      <c r="AG43" s="108">
        <f t="shared" si="3"/>
        <v>1</v>
      </c>
      <c r="AH43" s="108">
        <f t="shared" si="4"/>
        <v>0</v>
      </c>
      <c r="AI43" s="108">
        <f t="shared" si="10"/>
        <v>0</v>
      </c>
      <c r="AJ43" s="108">
        <f t="shared" si="5"/>
        <v>0</v>
      </c>
      <c r="AK43" s="108">
        <f t="shared" si="6"/>
        <v>5</v>
      </c>
      <c r="AL43" s="108">
        <f t="shared" si="7"/>
        <v>0</v>
      </c>
      <c r="AN43" s="40"/>
      <c r="AO43" s="41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2</v>
      </c>
      <c r="H44" s="367" t="s">
        <v>9</v>
      </c>
      <c r="I44" s="440">
        <v>3</v>
      </c>
      <c r="J44" s="369">
        <f t="shared" si="0"/>
        <v>2</v>
      </c>
      <c r="K44" s="363">
        <f t="shared" si="1"/>
        <v>0</v>
      </c>
      <c r="L44" s="363">
        <f t="shared" si="2"/>
        <v>3</v>
      </c>
      <c r="M44" s="352"/>
      <c r="N44" s="352"/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40"/>
      <c r="V44" s="40"/>
      <c r="W44" s="40"/>
      <c r="Y44" s="109">
        <f t="shared" si="8"/>
        <v>5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5</v>
      </c>
      <c r="AG44" s="108">
        <f t="shared" si="3"/>
        <v>0</v>
      </c>
      <c r="AH44" s="108">
        <f t="shared" si="4"/>
        <v>0</v>
      </c>
      <c r="AI44" s="108">
        <f t="shared" si="10"/>
        <v>0</v>
      </c>
      <c r="AJ44" s="108">
        <f t="shared" si="5"/>
        <v>0</v>
      </c>
      <c r="AK44" s="108">
        <f t="shared" si="6"/>
        <v>5</v>
      </c>
      <c r="AL44" s="108">
        <f t="shared" si="7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0</v>
      </c>
      <c r="H45" s="373" t="s">
        <v>9</v>
      </c>
      <c r="I45" s="441">
        <v>4</v>
      </c>
      <c r="J45" s="375">
        <f t="shared" si="0"/>
        <v>2</v>
      </c>
      <c r="K45" s="363">
        <f t="shared" si="1"/>
        <v>0</v>
      </c>
      <c r="L45" s="363">
        <f t="shared" si="2"/>
        <v>3</v>
      </c>
      <c r="M45" s="352"/>
      <c r="N45" s="352"/>
      <c r="O45" s="394" t="s">
        <v>31</v>
      </c>
      <c r="P45" s="395">
        <f>SUMIF($D$8:$D$55,$O45,$G$8:$G$55)+SUMIF($F$8:$F$55,$O45,$I$8:$I$55)</f>
        <v>7</v>
      </c>
      <c r="Q45" s="395">
        <f>SUMIF($D$8:$D$55,$O45,$I$8:$I$55)+SUMIF($F$8:$F$55,$O45,$G$8:$G$55)</f>
        <v>1</v>
      </c>
      <c r="R45" s="396">
        <f>P45-Q45</f>
        <v>6</v>
      </c>
      <c r="S45" s="397">
        <f>SUMIF($D$8:$D$55,$O45,$K$8:$K$55)+SUMIF($F$8:$F$55,$O45,$L$8:$L$55)</f>
        <v>9</v>
      </c>
      <c r="T45" s="444" t="s">
        <v>77</v>
      </c>
      <c r="U45" s="40"/>
      <c r="V45" s="40" t="str">
        <f>O45</f>
        <v>Duitsland</v>
      </c>
      <c r="W45" s="40" t="s">
        <v>77</v>
      </c>
      <c r="Y45" s="109">
        <f t="shared" si="8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1</v>
      </c>
      <c r="AG45" s="108">
        <f t="shared" si="3"/>
        <v>1</v>
      </c>
      <c r="AH45" s="108">
        <f t="shared" si="4"/>
        <v>0</v>
      </c>
      <c r="AI45" s="108">
        <f t="shared" si="10"/>
        <v>0</v>
      </c>
      <c r="AJ45" s="108">
        <f t="shared" si="5"/>
        <v>0</v>
      </c>
      <c r="AK45" s="108">
        <f t="shared" si="6"/>
        <v>0</v>
      </c>
      <c r="AL45" s="108">
        <f t="shared" si="7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1</v>
      </c>
      <c r="H46" s="373" t="s">
        <v>9</v>
      </c>
      <c r="I46" s="441">
        <v>2</v>
      </c>
      <c r="J46" s="375">
        <f t="shared" si="0"/>
        <v>2</v>
      </c>
      <c r="K46" s="363">
        <f t="shared" si="1"/>
        <v>0</v>
      </c>
      <c r="L46" s="363">
        <f t="shared" si="2"/>
        <v>3</v>
      </c>
      <c r="M46" s="352"/>
      <c r="N46" s="352"/>
      <c r="O46" s="398" t="s">
        <v>32</v>
      </c>
      <c r="P46" s="399">
        <f>SUMIF($D$8:$D$55,$O46,$G$8:$G$55)+SUMIF($F$8:$F$55,$O46,$I$8:$I$55)</f>
        <v>5</v>
      </c>
      <c r="Q46" s="399">
        <f>SUMIF($D$8:$D$55,$O46,$I$8:$I$55)+SUMIF($F$8:$F$55,$O46,$G$8:$G$55)</f>
        <v>3</v>
      </c>
      <c r="R46" s="399">
        <f>P46-Q46</f>
        <v>2</v>
      </c>
      <c r="S46" s="400">
        <f>SUMIF($D$8:$D$55,$O46,$K$8:$K$55)+SUMIF($F$8:$F$55,$O46,$L$8:$L$55)</f>
        <v>6</v>
      </c>
      <c r="T46" s="445" t="s">
        <v>78</v>
      </c>
      <c r="U46" s="40"/>
      <c r="V46" s="40" t="str">
        <f>O46</f>
        <v>Portugal</v>
      </c>
      <c r="W46" s="40" t="s">
        <v>78</v>
      </c>
      <c r="Y46" s="109">
        <f t="shared" si="8"/>
        <v>6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6</v>
      </c>
      <c r="AG46" s="108">
        <f t="shared" si="3"/>
        <v>1</v>
      </c>
      <c r="AH46" s="108">
        <f t="shared" si="4"/>
        <v>0</v>
      </c>
      <c r="AI46" s="108">
        <f t="shared" si="10"/>
        <v>0</v>
      </c>
      <c r="AJ46" s="108">
        <f t="shared" si="5"/>
        <v>0</v>
      </c>
      <c r="AK46" s="108">
        <f t="shared" si="6"/>
        <v>5</v>
      </c>
      <c r="AL46" s="108">
        <f t="shared" si="7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2</v>
      </c>
      <c r="H47" s="379" t="s">
        <v>9</v>
      </c>
      <c r="I47" s="442">
        <v>0</v>
      </c>
      <c r="J47" s="381">
        <f t="shared" si="0"/>
        <v>1</v>
      </c>
      <c r="K47" s="363">
        <f t="shared" si="1"/>
        <v>3</v>
      </c>
      <c r="L47" s="363">
        <f t="shared" si="2"/>
        <v>0</v>
      </c>
      <c r="M47" s="352"/>
      <c r="N47" s="352"/>
      <c r="O47" s="398" t="s">
        <v>35</v>
      </c>
      <c r="P47" s="399">
        <f>SUMIF($D$8:$D$55,$O47,$G$8:$G$55)+SUMIF($F$8:$F$55,$O47,$I$8:$I$55)</f>
        <v>3</v>
      </c>
      <c r="Q47" s="399">
        <f>SUMIF($D$8:$D$55,$O47,$I$8:$I$55)+SUMIF($F$8:$F$55,$O47,$G$8:$G$55)</f>
        <v>4</v>
      </c>
      <c r="R47" s="399">
        <f>P47-Q47</f>
        <v>-1</v>
      </c>
      <c r="S47" s="400">
        <f>SUMIF($D$8:$D$55,$O47,$K$8:$K$55)+SUMIF($F$8:$F$55,$O47,$L$8:$L$55)</f>
        <v>3</v>
      </c>
      <c r="T47" s="445" t="s">
        <v>79</v>
      </c>
      <c r="U47" s="40"/>
      <c r="V47" s="40" t="str">
        <f>O47</f>
        <v>Ghana</v>
      </c>
      <c r="W47" s="40" t="s">
        <v>79</v>
      </c>
      <c r="Y47" s="109">
        <f t="shared" si="8"/>
        <v>6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6</v>
      </c>
      <c r="AG47" s="108">
        <f t="shared" si="3"/>
        <v>1</v>
      </c>
      <c r="AH47" s="108">
        <f t="shared" si="4"/>
        <v>0</v>
      </c>
      <c r="AI47" s="108">
        <f t="shared" si="10"/>
        <v>0</v>
      </c>
      <c r="AJ47" s="108">
        <f t="shared" si="5"/>
        <v>5</v>
      </c>
      <c r="AK47" s="108">
        <f t="shared" si="6"/>
        <v>0</v>
      </c>
      <c r="AL47" s="108">
        <f t="shared" si="7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2</v>
      </c>
      <c r="H48" s="367" t="s">
        <v>9</v>
      </c>
      <c r="I48" s="440">
        <v>1</v>
      </c>
      <c r="J48" s="369">
        <f t="shared" si="0"/>
        <v>1</v>
      </c>
      <c r="K48" s="363">
        <f t="shared" si="1"/>
        <v>3</v>
      </c>
      <c r="L48" s="363">
        <f t="shared" si="2"/>
        <v>0</v>
      </c>
      <c r="M48" s="352"/>
      <c r="N48" s="352"/>
      <c r="O48" s="401" t="s">
        <v>36</v>
      </c>
      <c r="P48" s="402">
        <f>SUMIF($D$8:$D$55,$O48,$G$8:$G$55)+SUMIF($F$8:$F$55,$O48,$I$8:$I$55)</f>
        <v>0</v>
      </c>
      <c r="Q48" s="402">
        <f>SUMIF($D$8:$D$55,$O48,$I$8:$I$55)+SUMIF($F$8:$F$55,$O48,$G$8:$G$55)</f>
        <v>7</v>
      </c>
      <c r="R48" s="402">
        <f>P48-Q48</f>
        <v>-7</v>
      </c>
      <c r="S48" s="403">
        <f>SUMIF($D$8:$D$55,$O48,$K$8:$K$55)+SUMIF($F$8:$F$55,$O48,$L$8:$L$55)</f>
        <v>0</v>
      </c>
      <c r="T48" s="446" t="s">
        <v>80</v>
      </c>
      <c r="U48" s="40"/>
      <c r="V48" s="40" t="str">
        <f>O48</f>
        <v>Verenigde Staten</v>
      </c>
      <c r="W48" s="40" t="s">
        <v>80</v>
      </c>
      <c r="Y48" s="109">
        <f t="shared" si="8"/>
        <v>1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1</v>
      </c>
      <c r="AG48" s="108">
        <f t="shared" si="3"/>
        <v>1</v>
      </c>
      <c r="AH48" s="108">
        <f t="shared" si="4"/>
        <v>0</v>
      </c>
      <c r="AI48" s="108">
        <f t="shared" si="10"/>
        <v>0</v>
      </c>
      <c r="AJ48" s="108">
        <f t="shared" si="5"/>
        <v>0</v>
      </c>
      <c r="AK48" s="108">
        <f t="shared" si="6"/>
        <v>0</v>
      </c>
      <c r="AL48" s="108">
        <f t="shared" si="7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1</v>
      </c>
      <c r="H49" s="373" t="s">
        <v>9</v>
      </c>
      <c r="I49" s="441">
        <v>2</v>
      </c>
      <c r="J49" s="375">
        <f t="shared" si="0"/>
        <v>2</v>
      </c>
      <c r="K49" s="363">
        <f t="shared" si="1"/>
        <v>0</v>
      </c>
      <c r="L49" s="363">
        <f t="shared" si="2"/>
        <v>3</v>
      </c>
      <c r="M49" s="352"/>
      <c r="N49" s="352"/>
      <c r="O49" s="392"/>
      <c r="P49" s="393"/>
      <c r="Q49" s="393"/>
      <c r="R49" s="393"/>
      <c r="S49" s="393"/>
      <c r="T49" s="393"/>
      <c r="U49" s="40"/>
      <c r="V49" s="40"/>
      <c r="W49" s="40"/>
      <c r="Y49" s="109">
        <f t="shared" si="8"/>
        <v>0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0</v>
      </c>
      <c r="AG49" s="108">
        <f t="shared" si="3"/>
        <v>0</v>
      </c>
      <c r="AH49" s="108">
        <f t="shared" si="4"/>
        <v>0</v>
      </c>
      <c r="AI49" s="108">
        <f t="shared" si="10"/>
        <v>0</v>
      </c>
      <c r="AJ49" s="108">
        <f t="shared" si="5"/>
        <v>0</v>
      </c>
      <c r="AK49" s="108">
        <f t="shared" si="6"/>
        <v>0</v>
      </c>
      <c r="AL49" s="108">
        <f t="shared" si="7"/>
        <v>0</v>
      </c>
      <c r="AN49" s="40"/>
      <c r="AO49" s="41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0</v>
      </c>
      <c r="H50" s="373" t="s">
        <v>9</v>
      </c>
      <c r="I50" s="441">
        <v>2</v>
      </c>
      <c r="J50" s="375">
        <f t="shared" si="0"/>
        <v>2</v>
      </c>
      <c r="K50" s="363">
        <f t="shared" si="1"/>
        <v>0</v>
      </c>
      <c r="L50" s="363">
        <f t="shared" si="2"/>
        <v>3</v>
      </c>
      <c r="M50" s="352"/>
      <c r="N50" s="352"/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40"/>
      <c r="V50" s="40"/>
      <c r="W50" s="40"/>
      <c r="Y50" s="109">
        <f t="shared" si="8"/>
        <v>6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6</v>
      </c>
      <c r="AG50" s="108">
        <f t="shared" si="3"/>
        <v>1</v>
      </c>
      <c r="AH50" s="108">
        <f t="shared" si="4"/>
        <v>0</v>
      </c>
      <c r="AI50" s="108">
        <f t="shared" si="10"/>
        <v>0</v>
      </c>
      <c r="AJ50" s="108">
        <f t="shared" si="5"/>
        <v>0</v>
      </c>
      <c r="AK50" s="108">
        <f t="shared" si="6"/>
        <v>5</v>
      </c>
      <c r="AL50" s="108">
        <f t="shared" si="7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1</v>
      </c>
      <c r="H51" s="379" t="s">
        <v>9</v>
      </c>
      <c r="I51" s="442">
        <v>1</v>
      </c>
      <c r="J51" s="381">
        <f t="shared" si="0"/>
        <v>3</v>
      </c>
      <c r="K51" s="363">
        <f t="shared" si="1"/>
        <v>1</v>
      </c>
      <c r="L51" s="363">
        <f t="shared" si="2"/>
        <v>1</v>
      </c>
      <c r="M51" s="352"/>
      <c r="N51" s="352"/>
      <c r="O51" s="394" t="s">
        <v>37</v>
      </c>
      <c r="P51" s="395">
        <f>SUMIF($D$8:$D$55,$O51,$G$8:$G$55)+SUMIF($F$8:$F$55,$O51,$I$8:$I$55)</f>
        <v>6</v>
      </c>
      <c r="Q51" s="395">
        <f>SUMIF($D$8:$D$55,$O51,$I$8:$I$55)+SUMIF($F$8:$F$55,$O51,$G$8:$G$55)</f>
        <v>2</v>
      </c>
      <c r="R51" s="396">
        <f>P51-Q51</f>
        <v>4</v>
      </c>
      <c r="S51" s="397">
        <f>SUMIF($D$8:$D$55,$O51,$K$8:$K$55)+SUMIF($F$8:$F$55,$O51,$L$8:$L$55)</f>
        <v>9</v>
      </c>
      <c r="T51" s="444" t="s">
        <v>82</v>
      </c>
      <c r="U51" s="40"/>
      <c r="V51" s="40" t="str">
        <f>O51</f>
        <v>België</v>
      </c>
      <c r="W51" s="40" t="s">
        <v>82</v>
      </c>
      <c r="Y51" s="109">
        <f t="shared" si="8"/>
        <v>5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5</v>
      </c>
      <c r="AG51" s="108">
        <f t="shared" si="3"/>
        <v>0</v>
      </c>
      <c r="AH51" s="108">
        <f t="shared" si="4"/>
        <v>0</v>
      </c>
      <c r="AI51" s="108">
        <f t="shared" si="10"/>
        <v>0</v>
      </c>
      <c r="AJ51" s="108">
        <f t="shared" si="5"/>
        <v>0</v>
      </c>
      <c r="AK51" s="108">
        <f t="shared" si="6"/>
        <v>0</v>
      </c>
      <c r="AL51" s="108">
        <f t="shared" si="7"/>
        <v>5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0</v>
      </c>
      <c r="H52" s="373" t="s">
        <v>9</v>
      </c>
      <c r="I52" s="441">
        <v>3</v>
      </c>
      <c r="J52" s="369">
        <f t="shared" si="0"/>
        <v>2</v>
      </c>
      <c r="K52" s="363">
        <f t="shared" si="1"/>
        <v>0</v>
      </c>
      <c r="L52" s="363">
        <f t="shared" si="2"/>
        <v>3</v>
      </c>
      <c r="M52" s="352"/>
      <c r="N52" s="352"/>
      <c r="O52" s="398" t="s">
        <v>38</v>
      </c>
      <c r="P52" s="399">
        <f>SUMIF($D$8:$D$55,$O52,$G$8:$G$55)+SUMIF($F$8:$F$55,$O52,$I$8:$I$55)</f>
        <v>3</v>
      </c>
      <c r="Q52" s="399">
        <f>SUMIF($D$8:$D$55,$O52,$I$8:$I$55)+SUMIF($F$8:$F$55,$O52,$G$8:$G$55)</f>
        <v>3</v>
      </c>
      <c r="R52" s="399">
        <f>P52-Q52</f>
        <v>0</v>
      </c>
      <c r="S52" s="400">
        <f>SUMIF($D$8:$D$55,$O52,$K$8:$K$55)+SUMIF($F$8:$F$55,$O52,$L$8:$L$55)</f>
        <v>6</v>
      </c>
      <c r="T52" s="445" t="s">
        <v>83</v>
      </c>
      <c r="U52" s="40"/>
      <c r="V52" s="40" t="str">
        <f>O52</f>
        <v>Algerije</v>
      </c>
      <c r="W52" s="40" t="s">
        <v>83</v>
      </c>
      <c r="Y52" s="109">
        <f t="shared" si="8"/>
        <v>6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6</v>
      </c>
      <c r="AG52" s="108">
        <f t="shared" si="3"/>
        <v>1</v>
      </c>
      <c r="AH52" s="108">
        <f t="shared" si="4"/>
        <v>0</v>
      </c>
      <c r="AI52" s="108">
        <f t="shared" si="10"/>
        <v>0</v>
      </c>
      <c r="AJ52" s="108">
        <f t="shared" si="5"/>
        <v>0</v>
      </c>
      <c r="AK52" s="108">
        <f t="shared" si="6"/>
        <v>5</v>
      </c>
      <c r="AL52" s="108">
        <f t="shared" si="7"/>
        <v>0</v>
      </c>
      <c r="AM52" s="120">
        <f>AO52</f>
        <v>10</v>
      </c>
      <c r="AN52" s="117" t="s">
        <v>38</v>
      </c>
      <c r="AO52" s="115">
        <f>IF(Uitslag!T52="",0,IF(T52=Uitslag!T52,10,0))</f>
        <v>10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2</v>
      </c>
      <c r="H53" s="373" t="s">
        <v>9</v>
      </c>
      <c r="I53" s="441">
        <v>1</v>
      </c>
      <c r="J53" s="375">
        <f t="shared" si="0"/>
        <v>1</v>
      </c>
      <c r="K53" s="363">
        <f t="shared" si="1"/>
        <v>3</v>
      </c>
      <c r="L53" s="363">
        <f t="shared" si="2"/>
        <v>0</v>
      </c>
      <c r="M53" s="352"/>
      <c r="N53" s="352"/>
      <c r="O53" s="398" t="s">
        <v>39</v>
      </c>
      <c r="P53" s="399">
        <f>SUMIF($D$8:$D$55,$O53,$G$8:$G$55)+SUMIF($F$8:$F$55,$O53,$I$8:$I$55)</f>
        <v>4</v>
      </c>
      <c r="Q53" s="399">
        <f>SUMIF($D$8:$D$55,$O53,$I$8:$I$55)+SUMIF($F$8:$F$55,$O53,$G$8:$G$55)</f>
        <v>5</v>
      </c>
      <c r="R53" s="399">
        <f>P53-Q53</f>
        <v>-1</v>
      </c>
      <c r="S53" s="400">
        <f>SUMIF($D$8:$D$55,$O53,$K$8:$K$55)+SUMIF($F$8:$F$55,$O53,$L$8:$L$55)</f>
        <v>3</v>
      </c>
      <c r="T53" s="445" t="s">
        <v>84</v>
      </c>
      <c r="U53" s="40"/>
      <c r="V53" s="40" t="str">
        <f>O53</f>
        <v>Rusland</v>
      </c>
      <c r="W53" s="40" t="s">
        <v>84</v>
      </c>
      <c r="Y53" s="109">
        <f t="shared" si="8"/>
        <v>10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10</v>
      </c>
      <c r="AG53" s="108">
        <f t="shared" si="3"/>
        <v>1</v>
      </c>
      <c r="AH53" s="108">
        <f t="shared" si="4"/>
        <v>1</v>
      </c>
      <c r="AI53" s="108">
        <f t="shared" si="10"/>
        <v>10</v>
      </c>
      <c r="AJ53" s="108">
        <f t="shared" si="5"/>
        <v>5</v>
      </c>
      <c r="AK53" s="108">
        <f t="shared" si="6"/>
        <v>0</v>
      </c>
      <c r="AL53" s="108">
        <f t="shared" si="7"/>
        <v>0</v>
      </c>
      <c r="AM53" s="120">
        <f>AO53</f>
        <v>10</v>
      </c>
      <c r="AN53" s="117" t="s">
        <v>39</v>
      </c>
      <c r="AO53" s="115">
        <f>IF(Uitslag!T53="",0,IF(T53=Uitslag!T53,10,0))</f>
        <v>10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1</v>
      </c>
      <c r="H54" s="373" t="s">
        <v>9</v>
      </c>
      <c r="I54" s="441">
        <v>2</v>
      </c>
      <c r="J54" s="375">
        <f t="shared" si="0"/>
        <v>2</v>
      </c>
      <c r="K54" s="363">
        <f t="shared" si="1"/>
        <v>0</v>
      </c>
      <c r="L54" s="363">
        <f t="shared" si="2"/>
        <v>3</v>
      </c>
      <c r="M54" s="352"/>
      <c r="N54" s="352"/>
      <c r="O54" s="401" t="s">
        <v>40</v>
      </c>
      <c r="P54" s="402">
        <f>SUMIF($D$8:$D$55,$O54,$G$8:$G$55)+SUMIF($F$8:$F$55,$O54,$I$8:$I$55)</f>
        <v>2</v>
      </c>
      <c r="Q54" s="402">
        <f>SUMIF($D$8:$D$55,$O54,$I$8:$I$55)+SUMIF($F$8:$F$55,$O54,$G$8:$G$55)</f>
        <v>5</v>
      </c>
      <c r="R54" s="402">
        <f>P54-Q54</f>
        <v>-3</v>
      </c>
      <c r="S54" s="403">
        <f>SUMIF($D$8:$D$55,$O54,$K$8:$K$55)+SUMIF($F$8:$F$55,$O54,$L$8:$L$55)</f>
        <v>0</v>
      </c>
      <c r="T54" s="446" t="s">
        <v>85</v>
      </c>
      <c r="U54" s="40"/>
      <c r="V54" s="40" t="str">
        <f>O54</f>
        <v>Zuid Korea</v>
      </c>
      <c r="W54" s="40" t="s">
        <v>85</v>
      </c>
      <c r="Y54" s="109">
        <f t="shared" si="8"/>
        <v>5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5</v>
      </c>
      <c r="AG54" s="108">
        <f t="shared" si="3"/>
        <v>0</v>
      </c>
      <c r="AH54" s="108">
        <f t="shared" si="4"/>
        <v>0</v>
      </c>
      <c r="AI54" s="108">
        <f t="shared" si="10"/>
        <v>0</v>
      </c>
      <c r="AJ54" s="108">
        <f t="shared" si="5"/>
        <v>0</v>
      </c>
      <c r="AK54" s="108">
        <f t="shared" si="6"/>
        <v>5</v>
      </c>
      <c r="AL54" s="108">
        <f t="shared" si="7"/>
        <v>0</v>
      </c>
      <c r="AM54" s="120">
        <f>AO54</f>
        <v>10</v>
      </c>
      <c r="AN54" s="118" t="s">
        <v>40</v>
      </c>
      <c r="AO54" s="115">
        <f>IF(Uitslag!T54="",0,IF(T54=Uitslag!T54,10,0))</f>
        <v>10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2</v>
      </c>
      <c r="H55" s="388" t="s">
        <v>9</v>
      </c>
      <c r="I55" s="443">
        <v>1</v>
      </c>
      <c r="J55" s="390">
        <f t="shared" si="0"/>
        <v>1</v>
      </c>
      <c r="K55" s="363">
        <f t="shared" si="1"/>
        <v>3</v>
      </c>
      <c r="L55" s="363">
        <f t="shared" si="2"/>
        <v>0</v>
      </c>
      <c r="M55" s="352"/>
      <c r="N55" s="352"/>
      <c r="O55" s="392"/>
      <c r="P55" s="393"/>
      <c r="Q55" s="393"/>
      <c r="R55" s="393"/>
      <c r="S55" s="393"/>
      <c r="T55" s="393"/>
      <c r="U55" s="40"/>
      <c r="V55" s="40"/>
      <c r="W55" s="40"/>
      <c r="Y55" s="109">
        <f t="shared" si="8"/>
        <v>1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</v>
      </c>
      <c r="AG55" s="108">
        <f t="shared" si="3"/>
        <v>0</v>
      </c>
      <c r="AH55" s="108">
        <f t="shared" si="4"/>
        <v>1</v>
      </c>
      <c r="AI55" s="108">
        <f t="shared" si="10"/>
        <v>0</v>
      </c>
      <c r="AJ55" s="108">
        <f t="shared" si="5"/>
        <v>0</v>
      </c>
      <c r="AK55" s="108">
        <f t="shared" si="6"/>
        <v>0</v>
      </c>
      <c r="AL55" s="108">
        <f t="shared" si="7"/>
        <v>0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N56" s="352"/>
      <c r="O56" s="352"/>
      <c r="P56" s="352"/>
      <c r="Q56" s="352"/>
      <c r="R56" s="352"/>
      <c r="S56" s="352"/>
      <c r="T56" s="352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27"/>
      <c r="K57" s="353"/>
      <c r="L57" s="353"/>
      <c r="M57" s="353"/>
      <c r="N57" s="352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32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N58" s="352"/>
      <c r="O58" s="458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 t="shared" ref="D59:D66" si="13">IF(ISERROR(Z59),K59,Z59)</f>
        <v>Brazilië</v>
      </c>
      <c r="E59" s="367" t="s">
        <v>9</v>
      </c>
      <c r="F59" s="406" t="str">
        <f t="shared" ref="F59:F66" si="14">IF(ISERROR(AA59),L59,AA59)</f>
        <v>Nederland</v>
      </c>
      <c r="G59" s="435">
        <v>2</v>
      </c>
      <c r="H59" s="367" t="s">
        <v>9</v>
      </c>
      <c r="I59" s="447">
        <v>1</v>
      </c>
      <c r="J59" s="448">
        <v>1</v>
      </c>
      <c r="K59" s="407" t="s">
        <v>48</v>
      </c>
      <c r="L59" s="407" t="s">
        <v>53</v>
      </c>
      <c r="M59" s="407">
        <v>1</v>
      </c>
      <c r="N59" s="352"/>
      <c r="O59" s="458">
        <v>2</v>
      </c>
      <c r="P59" s="877" t="s">
        <v>220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5">AF59</f>
        <v>1</v>
      </c>
      <c r="Z59" t="str">
        <f t="shared" ref="Z59:AA65" si="16">IF(K59=""," ",VLOOKUP(K59,$T$9:$V$54,3,FALSE))</f>
        <v>Brazilië</v>
      </c>
      <c r="AA59" t="str">
        <f t="shared" si="16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7">IF(OR(AC59="",AD59=""),0,(IF(SUM(AG59:AL59)&gt;10,10,SUM(AG59:AL59))))</f>
        <v>1</v>
      </c>
      <c r="AG59" s="108">
        <f t="shared" ref="AG59:AG66" si="18">IF(AC59="",0,(IF(G59=AC59,1,0)))</f>
        <v>0</v>
      </c>
      <c r="AH59" s="108">
        <f t="shared" ref="AH59:AH66" si="19">IF(AD59="",0,(IF(I59=AD59,1,0)))</f>
        <v>1</v>
      </c>
      <c r="AI59" s="108">
        <f t="shared" ref="AI59:AI66" si="20">IF(AND(AG59=1,AH59=1),10,0)</f>
        <v>0</v>
      </c>
      <c r="AJ59" s="108">
        <f t="shared" ref="AJ59:AJ66" si="21">IF(AND(G59&gt;I59,AC59&gt;AD59),5,0)</f>
        <v>0</v>
      </c>
      <c r="AK59" s="108">
        <f t="shared" ref="AK59:AK66" si="22">IF(AND(G59&lt;I59,AC59&lt;AD59),5,0)</f>
        <v>0</v>
      </c>
      <c r="AL59" s="108">
        <f t="shared" ref="AL59:AL66" si="23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4">BA59</f>
        <v>3</v>
      </c>
    </row>
    <row r="60" spans="2:54">
      <c r="B60" s="376">
        <v>50</v>
      </c>
      <c r="C60" s="466">
        <v>41818</v>
      </c>
      <c r="D60" s="460" t="str">
        <f t="shared" si="13"/>
        <v>Colombia</v>
      </c>
      <c r="E60" s="379" t="s">
        <v>9</v>
      </c>
      <c r="F60" s="409" t="str">
        <f t="shared" si="14"/>
        <v>Uruguay</v>
      </c>
      <c r="G60" s="437">
        <v>3</v>
      </c>
      <c r="H60" s="379" t="s">
        <v>9</v>
      </c>
      <c r="I60" s="449">
        <v>2</v>
      </c>
      <c r="J60" s="450">
        <v>1</v>
      </c>
      <c r="K60" s="407" t="s">
        <v>57</v>
      </c>
      <c r="L60" s="407" t="s">
        <v>63</v>
      </c>
      <c r="M60" s="407">
        <v>2</v>
      </c>
      <c r="N60" s="352"/>
      <c r="O60" s="458">
        <v>3</v>
      </c>
      <c r="P60" s="877" t="s">
        <v>225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5"/>
        <v>5</v>
      </c>
      <c r="Z60" t="str">
        <f t="shared" si="16"/>
        <v>Colombia</v>
      </c>
      <c r="AA60" t="str">
        <f t="shared" si="16"/>
        <v>Uruguay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7"/>
        <v>5</v>
      </c>
      <c r="AG60" s="108">
        <f t="shared" si="18"/>
        <v>0</v>
      </c>
      <c r="AH60" s="108">
        <f t="shared" si="19"/>
        <v>0</v>
      </c>
      <c r="AI60" s="108">
        <f t="shared" si="20"/>
        <v>0</v>
      </c>
      <c r="AJ60" s="108">
        <f t="shared" si="21"/>
        <v>5</v>
      </c>
      <c r="AK60" s="108">
        <f t="shared" si="22"/>
        <v>0</v>
      </c>
      <c r="AL60" s="108">
        <f t="shared" si="23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4"/>
        <v>3</v>
      </c>
    </row>
    <row r="61" spans="2:54">
      <c r="B61" s="364">
        <v>51</v>
      </c>
      <c r="C61" s="465">
        <v>41819</v>
      </c>
      <c r="D61" s="464" t="str">
        <f t="shared" si="13"/>
        <v>Spanje</v>
      </c>
      <c r="E61" s="367" t="s">
        <v>9</v>
      </c>
      <c r="F61" s="406" t="str">
        <f t="shared" si="14"/>
        <v>Mexico</v>
      </c>
      <c r="G61" s="435">
        <v>2</v>
      </c>
      <c r="H61" s="367" t="s">
        <v>9</v>
      </c>
      <c r="I61" s="447">
        <v>1</v>
      </c>
      <c r="J61" s="448">
        <v>1</v>
      </c>
      <c r="K61" s="407" t="s">
        <v>52</v>
      </c>
      <c r="L61" s="407" t="s">
        <v>49</v>
      </c>
      <c r="M61" s="407"/>
      <c r="N61" s="352"/>
      <c r="O61" s="458">
        <v>4</v>
      </c>
      <c r="P61" s="877" t="s">
        <v>209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5"/>
        <v>10</v>
      </c>
      <c r="Z61" t="str">
        <f t="shared" si="16"/>
        <v>Spanje</v>
      </c>
      <c r="AA61" t="str">
        <f t="shared" si="16"/>
        <v>Mexico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7"/>
        <v>10</v>
      </c>
      <c r="AG61" s="108">
        <f t="shared" si="18"/>
        <v>1</v>
      </c>
      <c r="AH61" s="108">
        <f t="shared" si="19"/>
        <v>1</v>
      </c>
      <c r="AI61" s="108">
        <f t="shared" si="20"/>
        <v>10</v>
      </c>
      <c r="AJ61" s="108">
        <f t="shared" si="21"/>
        <v>5</v>
      </c>
      <c r="AK61" s="108">
        <f t="shared" si="22"/>
        <v>0</v>
      </c>
      <c r="AL61" s="108">
        <f t="shared" si="23"/>
        <v>0</v>
      </c>
      <c r="AZ61" s="138" t="str">
        <f>Uitslag!P61</f>
        <v>Ron Vlaar (v)</v>
      </c>
      <c r="BA61" s="140">
        <f t="shared" si="12"/>
        <v>3</v>
      </c>
      <c r="BB61" s="139">
        <f t="shared" si="24"/>
        <v>3</v>
      </c>
    </row>
    <row r="62" spans="2:54">
      <c r="B62" s="376">
        <v>52</v>
      </c>
      <c r="C62" s="466">
        <v>41819</v>
      </c>
      <c r="D62" s="464" t="str">
        <f t="shared" si="13"/>
        <v>Engeland</v>
      </c>
      <c r="E62" s="379" t="s">
        <v>9</v>
      </c>
      <c r="F62" s="409" t="str">
        <f t="shared" si="14"/>
        <v>Japan</v>
      </c>
      <c r="G62" s="437">
        <v>1</v>
      </c>
      <c r="H62" s="379" t="s">
        <v>9</v>
      </c>
      <c r="I62" s="449">
        <v>0</v>
      </c>
      <c r="J62" s="450">
        <v>1</v>
      </c>
      <c r="K62" s="407" t="s">
        <v>62</v>
      </c>
      <c r="L62" s="407" t="s">
        <v>58</v>
      </c>
      <c r="M62" s="407"/>
      <c r="N62" s="352"/>
      <c r="O62" s="458">
        <v>5</v>
      </c>
      <c r="P62" s="877" t="s">
        <v>212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5"/>
        <v>1</v>
      </c>
      <c r="Z62" t="str">
        <f t="shared" si="16"/>
        <v>Engeland</v>
      </c>
      <c r="AA62" t="str">
        <f t="shared" si="16"/>
        <v>Japan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7"/>
        <v>1</v>
      </c>
      <c r="AG62" s="108">
        <f t="shared" si="18"/>
        <v>1</v>
      </c>
      <c r="AH62" s="108">
        <f t="shared" si="19"/>
        <v>0</v>
      </c>
      <c r="AI62" s="108">
        <f t="shared" si="20"/>
        <v>0</v>
      </c>
      <c r="AJ62" s="108">
        <f t="shared" si="21"/>
        <v>0</v>
      </c>
      <c r="AK62" s="108">
        <f t="shared" si="22"/>
        <v>0</v>
      </c>
      <c r="AL62" s="108">
        <f t="shared" si="23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4"/>
        <v>3</v>
      </c>
    </row>
    <row r="63" spans="2:54">
      <c r="B63" s="364">
        <v>53</v>
      </c>
      <c r="C63" s="465">
        <v>41820</v>
      </c>
      <c r="D63" s="459" t="str">
        <f t="shared" si="13"/>
        <v>Ecuador</v>
      </c>
      <c r="E63" s="367" t="s">
        <v>9</v>
      </c>
      <c r="F63" s="406" t="str">
        <f t="shared" si="14"/>
        <v>Argentinië</v>
      </c>
      <c r="G63" s="435">
        <v>2</v>
      </c>
      <c r="H63" s="367" t="s">
        <v>9</v>
      </c>
      <c r="I63" s="447">
        <v>3</v>
      </c>
      <c r="J63" s="448">
        <v>2</v>
      </c>
      <c r="K63" s="407" t="s">
        <v>67</v>
      </c>
      <c r="L63" s="407" t="s">
        <v>73</v>
      </c>
      <c r="M63" s="407"/>
      <c r="N63" s="352"/>
      <c r="O63" s="458">
        <v>6</v>
      </c>
      <c r="P63" s="877" t="s">
        <v>211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5"/>
        <v>1</v>
      </c>
      <c r="Z63" t="str">
        <f t="shared" si="16"/>
        <v>Ecuador</v>
      </c>
      <c r="AA63" t="str">
        <f t="shared" si="16"/>
        <v>Argentinië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7"/>
        <v>1</v>
      </c>
      <c r="AG63" s="108">
        <f t="shared" si="18"/>
        <v>1</v>
      </c>
      <c r="AH63" s="108">
        <f t="shared" si="19"/>
        <v>0</v>
      </c>
      <c r="AI63" s="108">
        <f t="shared" si="20"/>
        <v>0</v>
      </c>
      <c r="AJ63" s="108">
        <f t="shared" si="21"/>
        <v>0</v>
      </c>
      <c r="AK63" s="108">
        <f t="shared" si="22"/>
        <v>0</v>
      </c>
      <c r="AL63" s="108">
        <f t="shared" si="23"/>
        <v>0</v>
      </c>
      <c r="AZ63" s="138" t="str">
        <f>Uitslag!P63</f>
        <v>Daley Blind (v)</v>
      </c>
      <c r="BA63" s="140">
        <f t="shared" si="12"/>
        <v>3</v>
      </c>
      <c r="BB63" s="139">
        <f t="shared" si="24"/>
        <v>3</v>
      </c>
    </row>
    <row r="64" spans="2:54">
      <c r="B64" s="376">
        <v>54</v>
      </c>
      <c r="C64" s="466">
        <v>41820</v>
      </c>
      <c r="D64" s="460" t="str">
        <f t="shared" si="13"/>
        <v>Duitsland</v>
      </c>
      <c r="E64" s="379" t="s">
        <v>9</v>
      </c>
      <c r="F64" s="409" t="str">
        <f t="shared" si="14"/>
        <v>Algerije</v>
      </c>
      <c r="G64" s="437">
        <v>2</v>
      </c>
      <c r="H64" s="379" t="s">
        <v>9</v>
      </c>
      <c r="I64" s="449">
        <v>1</v>
      </c>
      <c r="J64" s="450">
        <v>1</v>
      </c>
      <c r="K64" s="407" t="s">
        <v>77</v>
      </c>
      <c r="L64" s="407" t="s">
        <v>83</v>
      </c>
      <c r="M64" s="407"/>
      <c r="N64" s="352"/>
      <c r="O64" s="458">
        <v>7</v>
      </c>
      <c r="P64" s="877" t="s">
        <v>213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5"/>
        <v>0</v>
      </c>
      <c r="Z64" t="str">
        <f t="shared" si="16"/>
        <v>Duitsland</v>
      </c>
      <c r="AA64" t="str">
        <f t="shared" si="16"/>
        <v>Algerije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7"/>
        <v>0</v>
      </c>
      <c r="AG64" s="108">
        <f t="shared" si="18"/>
        <v>0</v>
      </c>
      <c r="AH64" s="108">
        <f t="shared" si="19"/>
        <v>0</v>
      </c>
      <c r="AI64" s="108">
        <f t="shared" si="20"/>
        <v>0</v>
      </c>
      <c r="AJ64" s="108">
        <f t="shared" si="21"/>
        <v>0</v>
      </c>
      <c r="AK64" s="108">
        <f t="shared" si="22"/>
        <v>0</v>
      </c>
      <c r="AL64" s="108">
        <f t="shared" si="23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4"/>
        <v>3</v>
      </c>
    </row>
    <row r="65" spans="2:54">
      <c r="B65" s="370">
        <v>55</v>
      </c>
      <c r="C65" s="467">
        <v>41821</v>
      </c>
      <c r="D65" s="459" t="str">
        <f t="shared" si="13"/>
        <v>Nigeria</v>
      </c>
      <c r="E65" s="373" t="s">
        <v>9</v>
      </c>
      <c r="F65" s="410" t="str">
        <f t="shared" si="14"/>
        <v>Frankrijk</v>
      </c>
      <c r="G65" s="436">
        <v>0</v>
      </c>
      <c r="H65" s="373" t="s">
        <v>9</v>
      </c>
      <c r="I65" s="451">
        <v>1</v>
      </c>
      <c r="J65" s="452">
        <v>2</v>
      </c>
      <c r="K65" s="407" t="s">
        <v>72</v>
      </c>
      <c r="L65" s="407" t="s">
        <v>68</v>
      </c>
      <c r="M65" s="407"/>
      <c r="N65" s="352"/>
      <c r="O65" s="458">
        <v>8</v>
      </c>
      <c r="P65" s="877" t="s">
        <v>221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5"/>
        <v>1</v>
      </c>
      <c r="Z65" t="str">
        <f t="shared" si="16"/>
        <v>Nigeria</v>
      </c>
      <c r="AA65" t="str">
        <f t="shared" si="16"/>
        <v>Frankrijk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7"/>
        <v>1</v>
      </c>
      <c r="AG65" s="108">
        <f t="shared" si="18"/>
        <v>1</v>
      </c>
      <c r="AH65" s="108">
        <f t="shared" si="19"/>
        <v>0</v>
      </c>
      <c r="AI65" s="108">
        <f t="shared" si="20"/>
        <v>0</v>
      </c>
      <c r="AJ65" s="108">
        <f t="shared" si="21"/>
        <v>0</v>
      </c>
      <c r="AK65" s="108">
        <f t="shared" si="22"/>
        <v>0</v>
      </c>
      <c r="AL65" s="108">
        <f t="shared" si="23"/>
        <v>0</v>
      </c>
      <c r="AZ65" s="138" t="str">
        <f>Uitslag!P65</f>
        <v>Nigel de Jong (m)</v>
      </c>
      <c r="BA65" s="140">
        <f t="shared" si="12"/>
        <v>0</v>
      </c>
      <c r="BB65" s="139">
        <f t="shared" si="24"/>
        <v>0</v>
      </c>
    </row>
    <row r="66" spans="2:54" ht="15.75" thickBot="1">
      <c r="B66" s="385">
        <v>56</v>
      </c>
      <c r="C66" s="462">
        <v>41821</v>
      </c>
      <c r="D66" s="461" t="str">
        <f t="shared" si="13"/>
        <v>België</v>
      </c>
      <c r="E66" s="388" t="s">
        <v>9</v>
      </c>
      <c r="F66" s="412" t="str">
        <f t="shared" si="14"/>
        <v>Portugal</v>
      </c>
      <c r="G66" s="438">
        <v>0</v>
      </c>
      <c r="H66" s="388" t="s">
        <v>9</v>
      </c>
      <c r="I66" s="453">
        <v>1</v>
      </c>
      <c r="J66" s="454">
        <v>2</v>
      </c>
      <c r="K66" s="407" t="s">
        <v>82</v>
      </c>
      <c r="L66" s="407" t="s">
        <v>78</v>
      </c>
      <c r="M66" s="407"/>
      <c r="N66" s="352"/>
      <c r="O66" s="458">
        <v>9</v>
      </c>
      <c r="P66" s="877" t="s">
        <v>214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5"/>
        <v>1</v>
      </c>
      <c r="Z66" t="str">
        <f>IF(K66=""," ",VLOOKUP(K66,$T$9:$V$54,3,FALSE))</f>
        <v>België</v>
      </c>
      <c r="AA66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7"/>
        <v>1</v>
      </c>
      <c r="AG66" s="108">
        <f t="shared" si="18"/>
        <v>1</v>
      </c>
      <c r="AH66" s="108">
        <f t="shared" si="19"/>
        <v>0</v>
      </c>
      <c r="AI66" s="108">
        <f t="shared" si="20"/>
        <v>0</v>
      </c>
      <c r="AJ66" s="108">
        <f t="shared" si="21"/>
        <v>0</v>
      </c>
      <c r="AK66" s="108">
        <f t="shared" si="22"/>
        <v>0</v>
      </c>
      <c r="AL66" s="108">
        <f t="shared" si="23"/>
        <v>0</v>
      </c>
      <c r="AZ66" s="138" t="str">
        <f>Uitslag!P66</f>
        <v>Jonathan de Guzman (m)</v>
      </c>
      <c r="BA66" s="140">
        <f t="shared" si="12"/>
        <v>3</v>
      </c>
      <c r="BB66" s="139">
        <f t="shared" si="24"/>
        <v>3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N67" s="352"/>
      <c r="O67" s="458">
        <v>10</v>
      </c>
      <c r="P67" s="877" t="s">
        <v>216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4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27"/>
      <c r="K68" s="353"/>
      <c r="L68" s="353"/>
      <c r="M68" s="353"/>
      <c r="N68" s="352"/>
      <c r="O68" s="458">
        <v>11</v>
      </c>
      <c r="P68" s="877" t="s">
        <v>215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4"/>
        <v>3</v>
      </c>
    </row>
    <row r="69" spans="2:54">
      <c r="B69" s="428" t="s">
        <v>1</v>
      </c>
      <c r="C69" s="429" t="s">
        <v>2</v>
      </c>
      <c r="D69" s="430" t="s">
        <v>3</v>
      </c>
      <c r="E69" s="431"/>
      <c r="F69" s="432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N69" s="352"/>
      <c r="O69" s="352"/>
      <c r="P69" s="352"/>
      <c r="Q69" s="352"/>
      <c r="R69" s="352"/>
      <c r="S69" s="352"/>
      <c r="T69" s="352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30</v>
      </c>
      <c r="BB69" s="139" t="str">
        <f>IF(AND(BA69&lt;&gt;"",BA69=33),15,"nvt")</f>
        <v>nvt</v>
      </c>
    </row>
    <row r="70" spans="2:54">
      <c r="B70" s="364">
        <v>57</v>
      </c>
      <c r="C70" s="365">
        <v>41824</v>
      </c>
      <c r="D70" s="405" t="str">
        <f>IF(J63="","Winnaar 53",IF(J63=1,D63,F63))</f>
        <v>Argentinië</v>
      </c>
      <c r="E70" s="367" t="s">
        <v>9</v>
      </c>
      <c r="F70" s="406" t="str">
        <f>IF(J64="","Winnaar 54",IF(J64=1,D64,F64))</f>
        <v>Duitsland</v>
      </c>
      <c r="G70" s="435">
        <v>2</v>
      </c>
      <c r="H70" s="367" t="s">
        <v>9</v>
      </c>
      <c r="I70" s="447">
        <v>1</v>
      </c>
      <c r="J70" s="448">
        <v>1</v>
      </c>
      <c r="K70" s="353"/>
      <c r="L70" s="353"/>
      <c r="M70" s="353"/>
      <c r="N70" s="352"/>
      <c r="O70" s="352"/>
      <c r="P70" s="352"/>
      <c r="Q70" s="352"/>
      <c r="R70" s="352"/>
      <c r="S70" s="352"/>
      <c r="T70" s="352"/>
      <c r="V70" t="s">
        <v>133</v>
      </c>
      <c r="W70" t="s">
        <v>126</v>
      </c>
      <c r="X70" t="str">
        <f t="shared" si="11"/>
        <v>Karim Rekik (v)</v>
      </c>
      <c r="Y70" s="109">
        <f>AF70</f>
        <v>1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1</v>
      </c>
      <c r="AG70" s="108">
        <f>IF(AC70="",0,(IF(G70=AC70,1,0)))</f>
        <v>0</v>
      </c>
      <c r="AH70" s="108">
        <f>IF(AD70="",0,(IF(I70=AD70,1,0)))</f>
        <v>1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0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Brazilië</v>
      </c>
      <c r="E71" s="379" t="s">
        <v>9</v>
      </c>
      <c r="F71" s="409" t="str">
        <f>IF(J60="","Winnaar 50",IF(J60=1,D60,F60))</f>
        <v>Colombia</v>
      </c>
      <c r="G71" s="437">
        <v>3</v>
      </c>
      <c r="H71" s="379" t="s">
        <v>9</v>
      </c>
      <c r="I71" s="449">
        <v>2</v>
      </c>
      <c r="J71" s="450">
        <v>1</v>
      </c>
      <c r="K71" s="353"/>
      <c r="L71" s="353"/>
      <c r="M71" s="353"/>
      <c r="N71" s="352"/>
      <c r="O71" s="352"/>
      <c r="P71" s="352"/>
      <c r="Q71" s="352"/>
      <c r="R71" s="352"/>
      <c r="S71" s="352"/>
      <c r="T71" s="352"/>
      <c r="V71" t="s">
        <v>133</v>
      </c>
      <c r="W71" t="s">
        <v>194</v>
      </c>
      <c r="X71" t="str">
        <f t="shared" si="11"/>
        <v>Ron Vlaar (v)</v>
      </c>
      <c r="Y71" s="109">
        <f>AF71</f>
        <v>5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5</v>
      </c>
      <c r="AG71" s="108">
        <f>IF(AC71="",0,(IF(G71=AC71,1,0)))</f>
        <v>0</v>
      </c>
      <c r="AH71" s="108">
        <f>IF(AD71="",0,(IF(I71=AD71,1,0)))</f>
        <v>0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Frankrijk</v>
      </c>
      <c r="E72" s="367" t="s">
        <v>9</v>
      </c>
      <c r="F72" s="406" t="str">
        <f>IF(J66="","Winnaar 56",IF(J66=1,D66,F66))</f>
        <v>Portugal</v>
      </c>
      <c r="G72" s="435">
        <v>1</v>
      </c>
      <c r="H72" s="367" t="s">
        <v>9</v>
      </c>
      <c r="I72" s="447">
        <v>0</v>
      </c>
      <c r="J72" s="448">
        <v>1</v>
      </c>
      <c r="K72" s="353"/>
      <c r="L72" s="353"/>
      <c r="M72" s="353"/>
      <c r="N72" s="352"/>
      <c r="O72" s="352"/>
      <c r="P72" s="352"/>
      <c r="Q72" s="352"/>
      <c r="R72" s="352"/>
      <c r="S72" s="352"/>
      <c r="T72" s="352"/>
      <c r="V72" t="s">
        <v>133</v>
      </c>
      <c r="W72" t="s">
        <v>195</v>
      </c>
      <c r="X72" t="str">
        <f t="shared" si="11"/>
        <v>John Heitinga (v)</v>
      </c>
      <c r="Y72" s="109">
        <f>AF72</f>
        <v>10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10</v>
      </c>
      <c r="AG72" s="108">
        <f>IF(AC72="",0,(IF(G72=AC72,1,0)))</f>
        <v>1</v>
      </c>
      <c r="AH72" s="108">
        <f>IF(AD72="",0,(IF(I72=AD72,1,0)))</f>
        <v>1</v>
      </c>
      <c r="AI72" s="108">
        <f>IF(AND(AG72=1,AH72=1),10,0)</f>
        <v>10</v>
      </c>
      <c r="AJ72" s="108">
        <f>IF(AND(G72&gt;I72,AC72&gt;AD72),5,0)</f>
        <v>5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Spanje</v>
      </c>
      <c r="E73" s="388" t="s">
        <v>9</v>
      </c>
      <c r="F73" s="412" t="str">
        <f>IF(J62="","Winnaar 52",IF(J62=1,D62,F62))</f>
        <v>Engeland</v>
      </c>
      <c r="G73" s="438">
        <v>2</v>
      </c>
      <c r="H73" s="388" t="s">
        <v>9</v>
      </c>
      <c r="I73" s="453">
        <v>1</v>
      </c>
      <c r="J73" s="454">
        <v>1</v>
      </c>
      <c r="K73" s="353"/>
      <c r="L73" s="353"/>
      <c r="M73" s="353"/>
      <c r="N73" s="352"/>
      <c r="O73" s="352"/>
      <c r="P73" s="352"/>
      <c r="Q73" s="352"/>
      <c r="R73" s="352"/>
      <c r="S73" s="352"/>
      <c r="T73" s="352"/>
      <c r="V73" t="s">
        <v>133</v>
      </c>
      <c r="W73" t="s">
        <v>196</v>
      </c>
      <c r="X73" t="str">
        <f t="shared" si="11"/>
        <v>Urby Emanuelson (v)</v>
      </c>
      <c r="Y73" s="109">
        <f>AF73</f>
        <v>0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0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N74" s="352"/>
      <c r="O74" s="352"/>
      <c r="P74" s="352"/>
      <c r="Q74" s="352"/>
      <c r="R74" s="352"/>
      <c r="S74" s="352"/>
      <c r="T74" s="352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27"/>
      <c r="K75" s="353"/>
      <c r="L75" s="353"/>
      <c r="M75" s="353"/>
      <c r="N75" s="352"/>
      <c r="O75" s="352"/>
      <c r="P75" s="352"/>
      <c r="Q75" s="352"/>
      <c r="R75" s="352"/>
      <c r="S75" s="352"/>
      <c r="T75" s="352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30" t="s">
        <v>3</v>
      </c>
      <c r="E76" s="431"/>
      <c r="F76" s="432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N76" s="352"/>
      <c r="O76" s="352"/>
      <c r="P76" s="352"/>
      <c r="Q76" s="352"/>
      <c r="R76" s="352"/>
      <c r="S76" s="352"/>
      <c r="T76" s="352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Argentinië</v>
      </c>
      <c r="E77" s="367" t="s">
        <v>9</v>
      </c>
      <c r="F77" s="406" t="str">
        <f>IF(J71="","Winnaar 58",IF(J71=1,D71,F71))</f>
        <v>Brazilië</v>
      </c>
      <c r="G77" s="435">
        <v>2</v>
      </c>
      <c r="H77" s="367" t="s">
        <v>9</v>
      </c>
      <c r="I77" s="447">
        <v>3</v>
      </c>
      <c r="J77" s="448">
        <v>2</v>
      </c>
      <c r="K77" s="353"/>
      <c r="L77" s="353"/>
      <c r="M77" s="353"/>
      <c r="N77" s="352"/>
      <c r="O77" s="352"/>
      <c r="P77" s="352"/>
      <c r="Q77" s="352"/>
      <c r="R77" s="352"/>
      <c r="S77" s="352"/>
      <c r="T77" s="352"/>
      <c r="V77" t="s">
        <v>134</v>
      </c>
      <c r="W77" t="s">
        <v>203</v>
      </c>
      <c r="X77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Frankrijk</v>
      </c>
      <c r="E78" s="388" t="s">
        <v>9</v>
      </c>
      <c r="F78" s="412" t="str">
        <f>IF(J73="","Winnaar 60",IF(J73=1,D73,F73))</f>
        <v>Spanje</v>
      </c>
      <c r="G78" s="438">
        <v>1</v>
      </c>
      <c r="H78" s="388" t="s">
        <v>9</v>
      </c>
      <c r="I78" s="453">
        <v>2</v>
      </c>
      <c r="J78" s="454">
        <v>2</v>
      </c>
      <c r="K78" s="353"/>
      <c r="L78" s="353"/>
      <c r="M78" s="353"/>
      <c r="N78" s="352"/>
      <c r="O78" s="352"/>
      <c r="P78" s="352"/>
      <c r="Q78" s="352"/>
      <c r="R78" s="352"/>
      <c r="S78" s="352"/>
      <c r="T78" s="352"/>
      <c r="V78" t="s">
        <v>134</v>
      </c>
      <c r="W78" t="s">
        <v>199</v>
      </c>
      <c r="X78" t="str">
        <f t="shared" si="11"/>
        <v>Leroy Fer (m)</v>
      </c>
      <c r="Y78" s="109">
        <f>AF78</f>
        <v>0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0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N79" s="352"/>
      <c r="O79" s="352"/>
      <c r="P79" s="352"/>
      <c r="Q79" s="352"/>
      <c r="R79" s="352"/>
      <c r="S79" s="352"/>
      <c r="T79" s="352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27"/>
      <c r="K80" s="353"/>
      <c r="L80" s="353"/>
      <c r="M80" s="353"/>
      <c r="N80" s="352"/>
      <c r="O80" s="352"/>
      <c r="P80" s="352"/>
      <c r="Q80" s="352"/>
      <c r="R80" s="352"/>
      <c r="S80" s="352"/>
      <c r="T80" s="352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30" t="s">
        <v>3</v>
      </c>
      <c r="E81" s="431"/>
      <c r="F81" s="432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N81" s="352"/>
      <c r="O81" s="352"/>
      <c r="P81" s="352"/>
      <c r="Q81" s="352"/>
      <c r="R81" s="352"/>
      <c r="S81" s="352"/>
      <c r="T81" s="352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Argentinië</v>
      </c>
      <c r="E82" s="355" t="s">
        <v>9</v>
      </c>
      <c r="F82" s="415" t="str">
        <f>IF(J78="","Verliezer 62",IF(J78=1,F78,D78))</f>
        <v>Frankrijk</v>
      </c>
      <c r="G82" s="455">
        <v>3</v>
      </c>
      <c r="H82" s="355" t="s">
        <v>9</v>
      </c>
      <c r="I82" s="456">
        <v>1</v>
      </c>
      <c r="J82" s="457">
        <v>1</v>
      </c>
      <c r="K82" s="353"/>
      <c r="L82" s="353"/>
      <c r="M82" s="353"/>
      <c r="N82" s="352"/>
      <c r="O82" s="352"/>
      <c r="P82" s="352"/>
      <c r="Q82" s="352"/>
      <c r="R82" s="352"/>
      <c r="S82" s="352"/>
      <c r="T82" s="352"/>
      <c r="V82" t="s">
        <v>134</v>
      </c>
      <c r="W82" t="s">
        <v>125</v>
      </c>
      <c r="X8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N83" s="352"/>
      <c r="O83" s="352"/>
      <c r="P83" s="352"/>
      <c r="Q83" s="352"/>
      <c r="R83" s="352"/>
      <c r="S83" s="352"/>
      <c r="T83" s="352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27"/>
      <c r="K84" s="353"/>
      <c r="L84" s="353"/>
      <c r="M84" s="353"/>
      <c r="N84" s="352"/>
      <c r="O84" s="352"/>
      <c r="P84" s="352"/>
      <c r="Q84" s="352"/>
      <c r="R84" s="352"/>
      <c r="S84" s="352"/>
      <c r="T84" s="352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30" t="s">
        <v>3</v>
      </c>
      <c r="E85" s="431"/>
      <c r="F85" s="432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N85" s="352"/>
      <c r="O85" s="352"/>
      <c r="P85" s="352"/>
      <c r="Q85" s="352"/>
      <c r="R85" s="352"/>
      <c r="S85" s="352"/>
      <c r="T85" s="352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Brazilië</v>
      </c>
      <c r="E86" s="355" t="s">
        <v>9</v>
      </c>
      <c r="F86" s="415" t="str">
        <f>IF(J78="","Winnaar 62",IF(J78=1,D78,F78))</f>
        <v>Spanje</v>
      </c>
      <c r="G86" s="455">
        <v>2</v>
      </c>
      <c r="H86" s="355" t="s">
        <v>9</v>
      </c>
      <c r="I86" s="456">
        <v>0</v>
      </c>
      <c r="J86" s="457">
        <v>1</v>
      </c>
      <c r="K86" s="353"/>
      <c r="L86" s="353"/>
      <c r="M86" s="353"/>
      <c r="N86" s="352"/>
      <c r="O86" s="352"/>
      <c r="P86" s="352"/>
      <c r="Q86" s="352"/>
      <c r="R86" s="352"/>
      <c r="S86" s="352"/>
      <c r="T86" s="352"/>
      <c r="V86" t="s">
        <v>134</v>
      </c>
      <c r="W86" t="s">
        <v>139</v>
      </c>
      <c r="X86" t="str">
        <f t="shared" si="11"/>
        <v>Nigel de Jong (m)</v>
      </c>
      <c r="Y86" s="109">
        <f>AF86</f>
        <v>1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1</v>
      </c>
      <c r="AG86" s="108">
        <f>IF(AC86="",0,(IF(G86=AC86,1,0)))</f>
        <v>0</v>
      </c>
      <c r="AH86" s="108">
        <f>IF(AD86="",0,(IF(I86=AD86,1,0)))</f>
        <v>1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Brazilië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5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5</v>
      </c>
      <c r="AV89">
        <f>IF(AR89=0,0,IF(E89=AR89,50,0))</f>
        <v>0</v>
      </c>
      <c r="AW89">
        <f>IF(E89=0,0,IF(OR(E89=AR90),15,0))</f>
        <v>0</v>
      </c>
      <c r="AX89">
        <f>IF(E89=0,0,IF(OR(E89=AR91,E89=AR92),5,0))</f>
        <v>5</v>
      </c>
    </row>
    <row r="90" spans="2:50">
      <c r="C90" s="870">
        <v>2</v>
      </c>
      <c r="D90" s="871"/>
      <c r="E90" s="872" t="str">
        <f>IF(J86=2,D86,IF(J86=1,F86,"Wie wordt 2de?"))</f>
        <v>Spanje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0</v>
      </c>
      <c r="AV90">
        <f>IF(AR90=0,0,IF(AR90=E90,25,0))</f>
        <v>0</v>
      </c>
      <c r="AW90">
        <f>IF(E90=0,0,IF(OR(E90=AR89,),15,0))</f>
        <v>0</v>
      </c>
      <c r="AX90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Argentinië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5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5</v>
      </c>
      <c r="AV91">
        <f>IF(AR91=0,0,IF(AR91=E91,15,0))</f>
        <v>0</v>
      </c>
      <c r="AW91">
        <f>IF(E91=0,0,IF(OR(E91=AR92),10,0))</f>
        <v>0</v>
      </c>
      <c r="AX91">
        <f>IF(E91=0,0,IF(OR(E91=AR89,E91=AR90),5,0))</f>
        <v>5</v>
      </c>
    </row>
    <row r="92" spans="2:50">
      <c r="C92" s="870">
        <v>4</v>
      </c>
      <c r="D92" s="871"/>
      <c r="E92" s="872" t="str">
        <f>IF(J82=2,D82,IF(J82=1,F82,"Wie wordt 4de?"))</f>
        <v>Frankrijk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0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0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10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conditionalFormatting sqref="AO9:AO12 AO15:AO18 AO21:AO24 AO27:AO30 AO33:AO36 AO39:AO42 AO45:AO48 AO51:AO54">
    <cfRule type="cellIs" dxfId="137" priority="3" operator="equal">
      <formula>10</formula>
    </cfRule>
  </conditionalFormatting>
  <conditionalFormatting sqref="P58:T58">
    <cfRule type="duplicateValues" dxfId="136" priority="2"/>
  </conditionalFormatting>
  <conditionalFormatting sqref="P58:T68">
    <cfRule type="duplicateValues" dxfId="135" priority="1"/>
  </conditionalFormatting>
  <dataValidations count="10">
    <dataValidation type="list" allowBlank="1" showInputMessage="1" showErrorMessage="1" sqref="T51:T54">
      <formula1>$W$51:$W$54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P58:P68">
      <formula1>$X$58:$X$98</formula1>
    </dataValidation>
  </dataValidation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B1:BB98"/>
  <sheetViews>
    <sheetView topLeftCell="A46" zoomScale="70" zoomScaleNormal="70" workbookViewId="0">
      <selection activeCell="P58" sqref="P58:T68"/>
    </sheetView>
  </sheetViews>
  <sheetFormatPr defaultRowHeight="15" outlineLevelCol="2"/>
  <cols>
    <col min="1" max="1" width="3.42578125" customWidth="1"/>
    <col min="2" max="2" width="3.5703125" bestFit="1" customWidth="1"/>
    <col min="3" max="3" width="11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276</v>
      </c>
      <c r="E3" s="145"/>
      <c r="F3" s="145"/>
      <c r="N3" t="str">
        <f>D3</f>
        <v>Jos S.</v>
      </c>
      <c r="O3" s="144">
        <f>SUM(P3:S3)</f>
        <v>372</v>
      </c>
      <c r="P3" s="109">
        <f>SUM(Y8:Y86)</f>
        <v>190</v>
      </c>
      <c r="Q3" s="109">
        <f>SUM(AM4:AM55)</f>
        <v>120</v>
      </c>
      <c r="R3" s="109">
        <f>SUM(AP89:AP92)</f>
        <v>35</v>
      </c>
      <c r="S3" s="109">
        <f>SUM(BB58:BB69)</f>
        <v>27</v>
      </c>
      <c r="T3" s="109">
        <f>COUNTIF(AF8:AF86,10)</f>
        <v>4</v>
      </c>
      <c r="U3" s="109" t="str">
        <f>E89</f>
        <v>Brazilië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M6" s="352"/>
      <c r="N6" s="352"/>
      <c r="O6" s="392"/>
      <c r="P6" s="393"/>
      <c r="Q6" s="393"/>
      <c r="R6" s="393"/>
      <c r="S6" s="393"/>
      <c r="T6" s="393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18" t="s">
        <v>3</v>
      </c>
      <c r="E7" s="419"/>
      <c r="F7" s="420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M7" s="352"/>
      <c r="N7" s="352"/>
      <c r="O7" s="353"/>
      <c r="P7" s="393"/>
      <c r="Q7" s="393"/>
      <c r="R7" s="393"/>
      <c r="S7" s="393"/>
      <c r="T7" s="393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2</v>
      </c>
      <c r="H8" s="360" t="s">
        <v>9</v>
      </c>
      <c r="I8" s="439">
        <v>0</v>
      </c>
      <c r="J8" s="362">
        <f t="shared" ref="J8:J55" si="0">IF(I8="","",IF(G8&gt;I8,1,IF(G8&lt;I8,2,3)))</f>
        <v>1</v>
      </c>
      <c r="K8" s="363">
        <f t="shared" ref="K8:K55" si="1">IF(I8="","",IF($G8&gt;$I8,3,IF($G8=$I8,1,0)))</f>
        <v>3</v>
      </c>
      <c r="L8" s="363">
        <f t="shared" ref="L8:L55" si="2">IF(I8="","",IF($G8&lt;$I8,3,IF($G8=$I8,1,0)))</f>
        <v>0</v>
      </c>
      <c r="M8" s="352"/>
      <c r="N8" s="352"/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40"/>
      <c r="V8" s="40"/>
      <c r="W8" s="40"/>
      <c r="Y8" s="109">
        <f>AF8</f>
        <v>5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5</v>
      </c>
      <c r="AG8" s="108">
        <f t="shared" ref="AG8:AG55" si="3">IF(AC8="",0,(IF(G8=AC8,1,0)))</f>
        <v>0</v>
      </c>
      <c r="AH8" s="108">
        <f t="shared" ref="AH8:AH55" si="4">IF(AD8="",0,(IF(I8=AD8,1,0)))</f>
        <v>0</v>
      </c>
      <c r="AI8" s="108">
        <f>IF(AND(AG8=1,AH8=1),10,0)</f>
        <v>0</v>
      </c>
      <c r="AJ8" s="108">
        <f t="shared" ref="AJ8:AJ55" si="5">IF(AND(G8&gt;I8,AC8&gt;AD8),5,0)</f>
        <v>5</v>
      </c>
      <c r="AK8" s="108">
        <f t="shared" ref="AK8:AK55" si="6">IF(AND(G8&lt;I8,AC8&lt;AD8),5,0)</f>
        <v>0</v>
      </c>
      <c r="AL8" s="108">
        <f t="shared" ref="AL8:AL55" si="7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2</v>
      </c>
      <c r="H9" s="367" t="s">
        <v>9</v>
      </c>
      <c r="I9" s="440">
        <v>1</v>
      </c>
      <c r="J9" s="369">
        <f t="shared" si="0"/>
        <v>1</v>
      </c>
      <c r="K9" s="363">
        <f t="shared" si="1"/>
        <v>3</v>
      </c>
      <c r="L9" s="363">
        <f t="shared" si="2"/>
        <v>0</v>
      </c>
      <c r="M9" s="352"/>
      <c r="N9" s="352"/>
      <c r="O9" s="394" t="s">
        <v>8</v>
      </c>
      <c r="P9" s="395">
        <f>SUMIF($D$8:$D$55,$O9,$G$8:$G$55)+SUMIF($F$8:$F$55,$O9,$I$8:$I$55)</f>
        <v>9</v>
      </c>
      <c r="Q9" s="395">
        <f>SUMIF($D$8:$D$55,$O9,$I$8:$I$55)+SUMIF($F$8:$F$55,$O9,$G$8:$G$55)</f>
        <v>2</v>
      </c>
      <c r="R9" s="396">
        <f>P9-Q9</f>
        <v>7</v>
      </c>
      <c r="S9" s="397">
        <f>SUMIF($D$8:$D$55,$O9,$K$8:$K$55)+SUMIF($F$8:$F$55,$O9,$L$8:$L$55)</f>
        <v>9</v>
      </c>
      <c r="T9" s="444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5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5</v>
      </c>
      <c r="AG9" s="108">
        <f t="shared" si="3"/>
        <v>0</v>
      </c>
      <c r="AH9" s="108">
        <f t="shared" si="4"/>
        <v>0</v>
      </c>
      <c r="AI9" s="108">
        <f t="shared" ref="AI9:AI55" si="10">IF(AND(AG9=1,AH9=1),10,0)</f>
        <v>0</v>
      </c>
      <c r="AJ9" s="108">
        <f t="shared" si="5"/>
        <v>5</v>
      </c>
      <c r="AK9" s="108">
        <f t="shared" si="6"/>
        <v>0</v>
      </c>
      <c r="AL9" s="108">
        <f t="shared" si="7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3</v>
      </c>
      <c r="H10" s="373" t="s">
        <v>9</v>
      </c>
      <c r="I10" s="441">
        <v>1</v>
      </c>
      <c r="J10" s="375">
        <f t="shared" si="0"/>
        <v>1</v>
      </c>
      <c r="K10" s="363">
        <f t="shared" si="1"/>
        <v>3</v>
      </c>
      <c r="L10" s="363">
        <f t="shared" si="2"/>
        <v>0</v>
      </c>
      <c r="M10" s="352"/>
      <c r="N10" s="352"/>
      <c r="O10" s="398" t="s">
        <v>10</v>
      </c>
      <c r="P10" s="399">
        <f>SUMIF($D$8:$D$55,$O10,$G$8:$G$55)+SUMIF($F$8:$F$55,$O10,$I$8:$I$55)</f>
        <v>3</v>
      </c>
      <c r="Q10" s="399">
        <f>SUMIF($D$8:$D$55,$O10,$I$8:$I$55)+SUMIF($F$8:$F$55,$O10,$G$8:$G$55)</f>
        <v>4</v>
      </c>
      <c r="R10" s="399">
        <f>P10-Q10</f>
        <v>-1</v>
      </c>
      <c r="S10" s="400">
        <f>SUMIF($D$8:$D$55,$O10,$K$8:$K$55)+SUMIF($F$8:$F$55,$O10,$L$8:$L$55)</f>
        <v>4</v>
      </c>
      <c r="T10" s="445" t="s">
        <v>49</v>
      </c>
      <c r="U10" s="40"/>
      <c r="V10" s="40" t="str">
        <f>O10</f>
        <v>Kroatië</v>
      </c>
      <c r="W10" s="40" t="s">
        <v>49</v>
      </c>
      <c r="Y10" s="109">
        <f t="shared" si="8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0</v>
      </c>
      <c r="AG10" s="108">
        <f t="shared" si="3"/>
        <v>0</v>
      </c>
      <c r="AH10" s="108">
        <f t="shared" si="4"/>
        <v>0</v>
      </c>
      <c r="AI10" s="108">
        <f t="shared" si="10"/>
        <v>0</v>
      </c>
      <c r="AJ10" s="108">
        <f t="shared" si="5"/>
        <v>0</v>
      </c>
      <c r="AK10" s="108">
        <f t="shared" si="6"/>
        <v>0</v>
      </c>
      <c r="AL10" s="108">
        <f t="shared" si="7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2</v>
      </c>
      <c r="H11" s="379" t="s">
        <v>9</v>
      </c>
      <c r="I11" s="442">
        <v>1</v>
      </c>
      <c r="J11" s="381">
        <f t="shared" si="0"/>
        <v>1</v>
      </c>
      <c r="K11" s="363">
        <f t="shared" si="1"/>
        <v>3</v>
      </c>
      <c r="L11" s="363">
        <f t="shared" si="2"/>
        <v>0</v>
      </c>
      <c r="M11" s="352"/>
      <c r="N11" s="352"/>
      <c r="O11" s="398" t="s">
        <v>11</v>
      </c>
      <c r="P11" s="399">
        <f>SUMIF($D$8:$D$55,$O11,$G$8:$G$55)+SUMIF($F$8:$F$55,$O11,$I$8:$I$55)</f>
        <v>4</v>
      </c>
      <c r="Q11" s="399">
        <f>SUMIF($D$8:$D$55,$O11,$I$8:$I$55)+SUMIF($F$8:$F$55,$O11,$G$8:$G$55)</f>
        <v>5</v>
      </c>
      <c r="R11" s="399">
        <f>P11-Q11</f>
        <v>-1</v>
      </c>
      <c r="S11" s="400">
        <f>SUMIF($D$8:$D$55,$O11,$K$8:$K$55)+SUMIF($F$8:$F$55,$O11,$L$8:$L$55)</f>
        <v>4</v>
      </c>
      <c r="T11" s="445" t="s">
        <v>47</v>
      </c>
      <c r="U11" s="40"/>
      <c r="V11" s="40" t="str">
        <f>O11</f>
        <v>Mexico</v>
      </c>
      <c r="W11" s="40" t="s">
        <v>47</v>
      </c>
      <c r="Y11" s="109">
        <f t="shared" si="8"/>
        <v>6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6</v>
      </c>
      <c r="AG11" s="108">
        <f t="shared" si="3"/>
        <v>0</v>
      </c>
      <c r="AH11" s="108">
        <f t="shared" si="4"/>
        <v>1</v>
      </c>
      <c r="AI11" s="108">
        <f t="shared" si="10"/>
        <v>0</v>
      </c>
      <c r="AJ11" s="108">
        <f t="shared" si="5"/>
        <v>5</v>
      </c>
      <c r="AK11" s="108">
        <f t="shared" si="6"/>
        <v>0</v>
      </c>
      <c r="AL11" s="108">
        <f t="shared" si="7"/>
        <v>0</v>
      </c>
      <c r="AM11" s="120">
        <f>AO11</f>
        <v>0</v>
      </c>
      <c r="AN11" s="117" t="s">
        <v>11</v>
      </c>
      <c r="AO11" s="115">
        <f>IF(Uitslag!T11="",0,IF(T11=Uitslag!T11,10,0))</f>
        <v>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2</v>
      </c>
      <c r="H12" s="367" t="s">
        <v>9</v>
      </c>
      <c r="I12" s="440">
        <v>0</v>
      </c>
      <c r="J12" s="369">
        <f t="shared" si="0"/>
        <v>1</v>
      </c>
      <c r="K12" s="363">
        <f t="shared" si="1"/>
        <v>3</v>
      </c>
      <c r="L12" s="363">
        <f t="shared" si="2"/>
        <v>0</v>
      </c>
      <c r="M12" s="352"/>
      <c r="N12" s="352"/>
      <c r="O12" s="401" t="s">
        <v>12</v>
      </c>
      <c r="P12" s="402">
        <f>SUMIF($D$8:$D$55,$O12,$G$8:$G$55)+SUMIF($F$8:$F$55,$O12,$I$8:$I$55)</f>
        <v>3</v>
      </c>
      <c r="Q12" s="402">
        <f>SUMIF($D$8:$D$55,$O12,$I$8:$I$55)+SUMIF($F$8:$F$55,$O12,$G$8:$G$55)</f>
        <v>8</v>
      </c>
      <c r="R12" s="402">
        <f>P12-Q12</f>
        <v>-5</v>
      </c>
      <c r="S12" s="403">
        <f>SUMIF($D$8:$D$55,$O12,$K$8:$K$55)+SUMIF($F$8:$F$55,$O12,$L$8:$L$55)</f>
        <v>0</v>
      </c>
      <c r="T12" s="446" t="s">
        <v>50</v>
      </c>
      <c r="U12" s="40"/>
      <c r="V12" s="40" t="str">
        <f>O12</f>
        <v>Kameroen</v>
      </c>
      <c r="W12" s="40" t="s">
        <v>50</v>
      </c>
      <c r="Y12" s="109">
        <f t="shared" si="8"/>
        <v>6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6</v>
      </c>
      <c r="AG12" s="108">
        <f t="shared" si="3"/>
        <v>0</v>
      </c>
      <c r="AH12" s="108">
        <f t="shared" si="4"/>
        <v>1</v>
      </c>
      <c r="AI12" s="108">
        <f t="shared" si="10"/>
        <v>0</v>
      </c>
      <c r="AJ12" s="108">
        <f t="shared" si="5"/>
        <v>5</v>
      </c>
      <c r="AK12" s="108">
        <f t="shared" si="6"/>
        <v>0</v>
      </c>
      <c r="AL12" s="108">
        <f t="shared" si="7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2</v>
      </c>
      <c r="H13" s="373" t="s">
        <v>9</v>
      </c>
      <c r="I13" s="441">
        <v>1</v>
      </c>
      <c r="J13" s="375">
        <f t="shared" si="0"/>
        <v>1</v>
      </c>
      <c r="K13" s="363">
        <f t="shared" si="1"/>
        <v>3</v>
      </c>
      <c r="L13" s="363">
        <f t="shared" si="2"/>
        <v>0</v>
      </c>
      <c r="M13" s="352"/>
      <c r="N13" s="352"/>
      <c r="O13" s="392"/>
      <c r="P13" s="393"/>
      <c r="Q13" s="393"/>
      <c r="R13" s="393"/>
      <c r="S13" s="393"/>
      <c r="T13" s="393"/>
      <c r="U13" s="40"/>
      <c r="V13" s="40"/>
      <c r="W13" s="40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3"/>
        <v>0</v>
      </c>
      <c r="AH13" s="108">
        <f t="shared" si="4"/>
        <v>0</v>
      </c>
      <c r="AI13" s="108">
        <f t="shared" si="10"/>
        <v>0</v>
      </c>
      <c r="AJ13" s="108">
        <f t="shared" si="5"/>
        <v>0</v>
      </c>
      <c r="AK13" s="108">
        <f t="shared" si="6"/>
        <v>0</v>
      </c>
      <c r="AL13" s="108">
        <f t="shared" si="7"/>
        <v>0</v>
      </c>
      <c r="AN13" s="40"/>
      <c r="AO13" s="41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1</v>
      </c>
      <c r="H14" s="373" t="s">
        <v>9</v>
      </c>
      <c r="I14" s="441">
        <v>1</v>
      </c>
      <c r="J14" s="375">
        <f t="shared" si="0"/>
        <v>3</v>
      </c>
      <c r="K14" s="363">
        <f t="shared" si="1"/>
        <v>1</v>
      </c>
      <c r="L14" s="363">
        <f t="shared" si="2"/>
        <v>1</v>
      </c>
      <c r="M14" s="352"/>
      <c r="N14" s="352"/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40"/>
      <c r="V14" s="40"/>
      <c r="W14" s="40"/>
      <c r="Y14" s="109">
        <f t="shared" si="8"/>
        <v>1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</v>
      </c>
      <c r="AG14" s="108">
        <f t="shared" si="3"/>
        <v>1</v>
      </c>
      <c r="AH14" s="108">
        <f t="shared" si="4"/>
        <v>0</v>
      </c>
      <c r="AI14" s="108">
        <f t="shared" si="10"/>
        <v>0</v>
      </c>
      <c r="AJ14" s="108">
        <f t="shared" si="5"/>
        <v>0</v>
      </c>
      <c r="AK14" s="108">
        <f t="shared" si="6"/>
        <v>0</v>
      </c>
      <c r="AL14" s="108">
        <f t="shared" si="7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2</v>
      </c>
      <c r="H15" s="379" t="s">
        <v>9</v>
      </c>
      <c r="I15" s="442">
        <v>1</v>
      </c>
      <c r="J15" s="381">
        <f t="shared" si="0"/>
        <v>1</v>
      </c>
      <c r="K15" s="363">
        <f t="shared" si="1"/>
        <v>3</v>
      </c>
      <c r="L15" s="363">
        <f t="shared" si="2"/>
        <v>0</v>
      </c>
      <c r="M15" s="352"/>
      <c r="N15" s="352"/>
      <c r="O15" s="394" t="s">
        <v>13</v>
      </c>
      <c r="P15" s="395">
        <f>SUMIF($D$8:$D$55,$O15,$G$8:$G$55)+SUMIF($F$8:$F$55,$O15,$I$8:$I$55)</f>
        <v>10</v>
      </c>
      <c r="Q15" s="395">
        <f>SUMIF($D$8:$D$55,$O15,$I$8:$I$55)+SUMIF($F$8:$F$55,$O15,$G$8:$G$55)</f>
        <v>2</v>
      </c>
      <c r="R15" s="396">
        <f>P15-Q15</f>
        <v>8</v>
      </c>
      <c r="S15" s="397">
        <f>SUMIF($D$8:$D$55,$O15,$K$8:$K$55)+SUMIF($F$8:$F$55,$O15,$L$8:$L$55)</f>
        <v>9</v>
      </c>
      <c r="T15" s="444" t="s">
        <v>52</v>
      </c>
      <c r="U15" s="40"/>
      <c r="V15" s="40" t="str">
        <f>O15</f>
        <v>Spanje</v>
      </c>
      <c r="W15" s="40" t="s">
        <v>52</v>
      </c>
      <c r="Y15" s="109">
        <f t="shared" si="8"/>
        <v>10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10</v>
      </c>
      <c r="AG15" s="108">
        <f t="shared" si="3"/>
        <v>1</v>
      </c>
      <c r="AH15" s="108">
        <f t="shared" si="4"/>
        <v>1</v>
      </c>
      <c r="AI15" s="108">
        <f t="shared" si="10"/>
        <v>10</v>
      </c>
      <c r="AJ15" s="108">
        <f t="shared" si="5"/>
        <v>5</v>
      </c>
      <c r="AK15" s="108">
        <f t="shared" si="6"/>
        <v>0</v>
      </c>
      <c r="AL15" s="108">
        <f t="shared" si="7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1</v>
      </c>
      <c r="H16" s="367" t="s">
        <v>9</v>
      </c>
      <c r="I16" s="440">
        <v>1</v>
      </c>
      <c r="J16" s="369">
        <f t="shared" si="0"/>
        <v>3</v>
      </c>
      <c r="K16" s="363">
        <f t="shared" si="1"/>
        <v>1</v>
      </c>
      <c r="L16" s="363">
        <f t="shared" si="2"/>
        <v>1</v>
      </c>
      <c r="M16" s="352"/>
      <c r="N16" s="352"/>
      <c r="O16" s="404" t="s">
        <v>14</v>
      </c>
      <c r="P16" s="399">
        <f>SUMIF($D$8:$D$55,$O16,$G$8:$G$55)+SUMIF($F$8:$F$55,$O16,$I$8:$I$55)</f>
        <v>5</v>
      </c>
      <c r="Q16" s="399">
        <f>SUMIF($D$8:$D$55,$O16,$I$8:$I$55)+SUMIF($F$8:$F$55,$O16,$G$8:$G$55)</f>
        <v>5</v>
      </c>
      <c r="R16" s="399">
        <f>P16-Q16</f>
        <v>0</v>
      </c>
      <c r="S16" s="400">
        <f>SUMIF($D$8:$D$55,$O16,$K$8:$K$55)+SUMIF($F$8:$F$55,$O16,$L$8:$L$55)</f>
        <v>4</v>
      </c>
      <c r="T16" s="445" t="s">
        <v>53</v>
      </c>
      <c r="U16" s="40"/>
      <c r="V16" s="40" t="str">
        <f>O16</f>
        <v>Nederland</v>
      </c>
      <c r="W16" s="40" t="s">
        <v>53</v>
      </c>
      <c r="Y16" s="109">
        <f t="shared" si="8"/>
        <v>1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1</v>
      </c>
      <c r="AG16" s="108">
        <f t="shared" si="3"/>
        <v>0</v>
      </c>
      <c r="AH16" s="108">
        <f t="shared" si="4"/>
        <v>1</v>
      </c>
      <c r="AI16" s="108">
        <f t="shared" si="10"/>
        <v>0</v>
      </c>
      <c r="AJ16" s="108">
        <f t="shared" si="5"/>
        <v>0</v>
      </c>
      <c r="AK16" s="108">
        <f t="shared" si="6"/>
        <v>0</v>
      </c>
      <c r="AL16" s="108">
        <f t="shared" si="7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4</v>
      </c>
      <c r="H17" s="373" t="s">
        <v>9</v>
      </c>
      <c r="I17" s="441">
        <v>1</v>
      </c>
      <c r="J17" s="375">
        <f t="shared" si="0"/>
        <v>1</v>
      </c>
      <c r="K17" s="363">
        <f t="shared" si="1"/>
        <v>3</v>
      </c>
      <c r="L17" s="363">
        <f t="shared" si="2"/>
        <v>0</v>
      </c>
      <c r="M17" s="352"/>
      <c r="N17" s="352"/>
      <c r="O17" s="398" t="s">
        <v>15</v>
      </c>
      <c r="P17" s="399">
        <f>SUMIF($D$8:$D$55,$O17,$G$8:$G$55)+SUMIF($F$8:$F$55,$O17,$I$8:$I$55)</f>
        <v>3</v>
      </c>
      <c r="Q17" s="399">
        <f>SUMIF($D$8:$D$55,$O17,$I$8:$I$55)+SUMIF($F$8:$F$55,$O17,$G$8:$G$55)</f>
        <v>4</v>
      </c>
      <c r="R17" s="399">
        <f>P17-Q17</f>
        <v>-1</v>
      </c>
      <c r="S17" s="400">
        <f>SUMIF($D$8:$D$55,$O17,$K$8:$K$55)+SUMIF($F$8:$F$55,$O17,$L$8:$L$55)</f>
        <v>4</v>
      </c>
      <c r="T17" s="445" t="s">
        <v>54</v>
      </c>
      <c r="U17" s="40"/>
      <c r="V17" s="40" t="str">
        <f>O17</f>
        <v>Chili</v>
      </c>
      <c r="W17" s="40" t="s">
        <v>54</v>
      </c>
      <c r="Y17" s="109">
        <f t="shared" si="8"/>
        <v>5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5</v>
      </c>
      <c r="AG17" s="108">
        <f t="shared" si="3"/>
        <v>0</v>
      </c>
      <c r="AH17" s="108">
        <f t="shared" si="4"/>
        <v>0</v>
      </c>
      <c r="AI17" s="108">
        <f t="shared" si="10"/>
        <v>0</v>
      </c>
      <c r="AJ17" s="108">
        <f t="shared" si="5"/>
        <v>5</v>
      </c>
      <c r="AK17" s="108">
        <f t="shared" si="6"/>
        <v>0</v>
      </c>
      <c r="AL17" s="108">
        <f t="shared" si="7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3</v>
      </c>
      <c r="H18" s="379" t="s">
        <v>9</v>
      </c>
      <c r="I18" s="442">
        <v>1</v>
      </c>
      <c r="J18" s="381">
        <f t="shared" si="0"/>
        <v>1</v>
      </c>
      <c r="K18" s="363">
        <f t="shared" si="1"/>
        <v>3</v>
      </c>
      <c r="L18" s="363">
        <f t="shared" si="2"/>
        <v>0</v>
      </c>
      <c r="M18" s="352"/>
      <c r="N18" s="352"/>
      <c r="O18" s="401" t="s">
        <v>16</v>
      </c>
      <c r="P18" s="402">
        <f>SUMIF($D$8:$D$55,$O18,$G$8:$G$55)+SUMIF($F$8:$F$55,$O18,$I$8:$I$55)</f>
        <v>3</v>
      </c>
      <c r="Q18" s="402">
        <f>SUMIF($D$8:$D$55,$O18,$I$8:$I$55)+SUMIF($F$8:$F$55,$O18,$G$8:$G$55)</f>
        <v>10</v>
      </c>
      <c r="R18" s="402">
        <f>P18-Q18</f>
        <v>-7</v>
      </c>
      <c r="S18" s="403">
        <f>SUMIF($D$8:$D$55,$O18,$K$8:$K$55)+SUMIF($F$8:$F$55,$O18,$L$8:$L$55)</f>
        <v>0</v>
      </c>
      <c r="T18" s="446" t="s">
        <v>55</v>
      </c>
      <c r="U18" s="40"/>
      <c r="V18" s="40" t="str">
        <f>O18</f>
        <v>Australië</v>
      </c>
      <c r="W18" s="40" t="s">
        <v>55</v>
      </c>
      <c r="Y18" s="109">
        <f t="shared" si="8"/>
        <v>6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6</v>
      </c>
      <c r="AG18" s="108">
        <f t="shared" si="3"/>
        <v>0</v>
      </c>
      <c r="AH18" s="108">
        <f t="shared" si="4"/>
        <v>1</v>
      </c>
      <c r="AI18" s="108">
        <f t="shared" si="10"/>
        <v>0</v>
      </c>
      <c r="AJ18" s="108">
        <f t="shared" si="5"/>
        <v>5</v>
      </c>
      <c r="AK18" s="108">
        <f t="shared" si="6"/>
        <v>0</v>
      </c>
      <c r="AL18" s="108">
        <f t="shared" si="7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1</v>
      </c>
      <c r="H19" s="367" t="s">
        <v>9</v>
      </c>
      <c r="I19" s="440">
        <v>1</v>
      </c>
      <c r="J19" s="369">
        <f t="shared" si="0"/>
        <v>3</v>
      </c>
      <c r="K19" s="363">
        <f t="shared" si="1"/>
        <v>1</v>
      </c>
      <c r="L19" s="363">
        <f t="shared" si="2"/>
        <v>1</v>
      </c>
      <c r="M19" s="352"/>
      <c r="N19" s="352"/>
      <c r="O19" s="392"/>
      <c r="P19" s="393"/>
      <c r="Q19" s="393"/>
      <c r="R19" s="393"/>
      <c r="S19" s="393"/>
      <c r="T19" s="393"/>
      <c r="U19" s="40"/>
      <c r="V19" s="40"/>
      <c r="W19" s="40"/>
      <c r="Y19" s="109">
        <f t="shared" si="8"/>
        <v>0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0</v>
      </c>
      <c r="AG19" s="108">
        <f t="shared" si="3"/>
        <v>0</v>
      </c>
      <c r="AH19" s="108">
        <f t="shared" si="4"/>
        <v>0</v>
      </c>
      <c r="AI19" s="108">
        <f t="shared" si="10"/>
        <v>0</v>
      </c>
      <c r="AJ19" s="108">
        <f t="shared" si="5"/>
        <v>0</v>
      </c>
      <c r="AK19" s="108">
        <f t="shared" si="6"/>
        <v>0</v>
      </c>
      <c r="AL19" s="108">
        <f t="shared" si="7"/>
        <v>0</v>
      </c>
      <c r="AN19" s="40"/>
      <c r="AO19" s="41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1</v>
      </c>
      <c r="H20" s="373" t="s">
        <v>9</v>
      </c>
      <c r="I20" s="441">
        <v>1</v>
      </c>
      <c r="J20" s="375">
        <f t="shared" si="0"/>
        <v>3</v>
      </c>
      <c r="K20" s="363">
        <f t="shared" si="1"/>
        <v>1</v>
      </c>
      <c r="L20" s="363">
        <f t="shared" si="2"/>
        <v>1</v>
      </c>
      <c r="M20" s="352"/>
      <c r="N20" s="352"/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40"/>
      <c r="V20" s="40"/>
      <c r="W20" s="40"/>
      <c r="Y20" s="109">
        <f t="shared" si="8"/>
        <v>5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5</v>
      </c>
      <c r="AG20" s="108">
        <f t="shared" si="3"/>
        <v>0</v>
      </c>
      <c r="AH20" s="108">
        <f t="shared" si="4"/>
        <v>0</v>
      </c>
      <c r="AI20" s="108">
        <f t="shared" si="10"/>
        <v>0</v>
      </c>
      <c r="AJ20" s="108">
        <f t="shared" si="5"/>
        <v>0</v>
      </c>
      <c r="AK20" s="108">
        <f t="shared" si="6"/>
        <v>0</v>
      </c>
      <c r="AL20" s="108">
        <f t="shared" si="7"/>
        <v>5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1</v>
      </c>
      <c r="H21" s="379" t="s">
        <v>9</v>
      </c>
      <c r="I21" s="442">
        <v>1</v>
      </c>
      <c r="J21" s="381">
        <f t="shared" si="0"/>
        <v>3</v>
      </c>
      <c r="K21" s="363">
        <f t="shared" si="1"/>
        <v>1</v>
      </c>
      <c r="L21" s="363">
        <f t="shared" si="2"/>
        <v>1</v>
      </c>
      <c r="M21" s="352"/>
      <c r="N21" s="352"/>
      <c r="O21" s="394" t="s">
        <v>17</v>
      </c>
      <c r="P21" s="395">
        <f>SUMIF($D$8:$D$55,$O21,$G$8:$G$55)+SUMIF($F$8:$F$55,$O21,$I$8:$I$55)</f>
        <v>5</v>
      </c>
      <c r="Q21" s="395">
        <f>SUMIF($D$8:$D$55,$O21,$I$8:$I$55)+SUMIF($F$8:$F$55,$O21,$G$8:$G$55)</f>
        <v>2</v>
      </c>
      <c r="R21" s="396">
        <f>P21-Q21</f>
        <v>3</v>
      </c>
      <c r="S21" s="397">
        <f>SUMIF($D$8:$D$55,$O21,$K$8:$K$55)+SUMIF($F$8:$F$55,$O21,$L$8:$L$55)</f>
        <v>7</v>
      </c>
      <c r="T21" s="444" t="s">
        <v>57</v>
      </c>
      <c r="U21" s="40"/>
      <c r="V21" s="40" t="str">
        <f>O21</f>
        <v>Colombia</v>
      </c>
      <c r="W21" s="40" t="s">
        <v>57</v>
      </c>
      <c r="Y21" s="109">
        <f t="shared" si="8"/>
        <v>1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1</v>
      </c>
      <c r="AG21" s="108">
        <f t="shared" si="3"/>
        <v>1</v>
      </c>
      <c r="AH21" s="108">
        <f t="shared" si="4"/>
        <v>0</v>
      </c>
      <c r="AI21" s="108">
        <f t="shared" si="10"/>
        <v>0</v>
      </c>
      <c r="AJ21" s="108">
        <f t="shared" si="5"/>
        <v>0</v>
      </c>
      <c r="AK21" s="108">
        <f t="shared" si="6"/>
        <v>0</v>
      </c>
      <c r="AL21" s="108">
        <f t="shared" si="7"/>
        <v>0</v>
      </c>
      <c r="AM21" s="120">
        <f>AO21</f>
        <v>10</v>
      </c>
      <c r="AN21" s="116" t="s">
        <v>17</v>
      </c>
      <c r="AO21" s="115">
        <f>IF(Uitslag!T21="",0,IF(T21=Uitslag!T21,10,0))</f>
        <v>10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3</v>
      </c>
      <c r="H22" s="367" t="s">
        <v>9</v>
      </c>
      <c r="I22" s="440" t="s">
        <v>275</v>
      </c>
      <c r="J22" s="369">
        <f t="shared" si="0"/>
        <v>2</v>
      </c>
      <c r="K22" s="363">
        <f t="shared" si="1"/>
        <v>0</v>
      </c>
      <c r="L22" s="363">
        <f t="shared" si="2"/>
        <v>3</v>
      </c>
      <c r="M22" s="352"/>
      <c r="N22" s="352"/>
      <c r="O22" s="398" t="s">
        <v>18</v>
      </c>
      <c r="P22" s="399">
        <f>SUMIF($D$8:$D$55,$O22,$G$8:$G$55)+SUMIF($F$8:$F$55,$O22,$I$8:$I$55)</f>
        <v>3</v>
      </c>
      <c r="Q22" s="399">
        <f>SUMIF($D$8:$D$55,$O22,$I$8:$I$55)+SUMIF($F$8:$F$55,$O22,$G$8:$G$55)</f>
        <v>5</v>
      </c>
      <c r="R22" s="399">
        <f>P22-Q22</f>
        <v>-2</v>
      </c>
      <c r="S22" s="400">
        <f>SUMIF($D$8:$D$55,$O22,$K$8:$K$55)+SUMIF($F$8:$F$55,$O22,$L$8:$L$55)</f>
        <v>2</v>
      </c>
      <c r="T22" s="445" t="s">
        <v>59</v>
      </c>
      <c r="U22" s="40"/>
      <c r="V22" s="40" t="str">
        <f>O22</f>
        <v>Griekenland</v>
      </c>
      <c r="W22" s="40" t="s">
        <v>58</v>
      </c>
      <c r="Y22" s="109">
        <f t="shared" si="8"/>
        <v>0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0</v>
      </c>
      <c r="AG22" s="108">
        <f t="shared" si="3"/>
        <v>0</v>
      </c>
      <c r="AH22" s="108">
        <f t="shared" si="4"/>
        <v>0</v>
      </c>
      <c r="AI22" s="108">
        <f t="shared" si="10"/>
        <v>0</v>
      </c>
      <c r="AJ22" s="108">
        <f t="shared" si="5"/>
        <v>0</v>
      </c>
      <c r="AK22" s="108">
        <f t="shared" si="6"/>
        <v>0</v>
      </c>
      <c r="AL22" s="108">
        <f t="shared" si="7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3</v>
      </c>
      <c r="H23" s="373" t="s">
        <v>9</v>
      </c>
      <c r="I23" s="441">
        <v>1</v>
      </c>
      <c r="J23" s="375">
        <f t="shared" si="0"/>
        <v>1</v>
      </c>
      <c r="K23" s="363">
        <f t="shared" si="1"/>
        <v>3</v>
      </c>
      <c r="L23" s="363">
        <f t="shared" si="2"/>
        <v>0</v>
      </c>
      <c r="M23" s="352"/>
      <c r="N23" s="352"/>
      <c r="O23" s="398" t="s">
        <v>23</v>
      </c>
      <c r="P23" s="399">
        <f>SUMIF($D$8:$D$55,$O23,$G$8:$G$55)+SUMIF($F$8:$F$55,$O23,$I$8:$I$55)</f>
        <v>4</v>
      </c>
      <c r="Q23" s="399">
        <f>SUMIF($D$8:$D$55,$O23,$I$8:$I$55)+SUMIF($F$8:$F$55,$O23,$G$8:$G$55)</f>
        <v>3</v>
      </c>
      <c r="R23" s="399">
        <f>P23-Q23</f>
        <v>1</v>
      </c>
      <c r="S23" s="400">
        <f>SUMIF($D$8:$D$55,$O23,$K$8:$K$55)+SUMIF($F$8:$F$55,$O23,$L$8:$L$55)</f>
        <v>5</v>
      </c>
      <c r="T23" s="445" t="s">
        <v>58</v>
      </c>
      <c r="U23" s="40"/>
      <c r="V23" s="40" t="str">
        <f>O23</f>
        <v>Ivoorkust</v>
      </c>
      <c r="W23" s="40" t="s">
        <v>59</v>
      </c>
      <c r="Y23" s="109">
        <f t="shared" si="8"/>
        <v>0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0</v>
      </c>
      <c r="AG23" s="108">
        <f t="shared" si="3"/>
        <v>0</v>
      </c>
      <c r="AH23" s="108">
        <f t="shared" si="4"/>
        <v>0</v>
      </c>
      <c r="AI23" s="108">
        <f t="shared" si="10"/>
        <v>0</v>
      </c>
      <c r="AJ23" s="108">
        <f t="shared" si="5"/>
        <v>0</v>
      </c>
      <c r="AK23" s="108">
        <f t="shared" si="6"/>
        <v>0</v>
      </c>
      <c r="AL23" s="108">
        <f t="shared" si="7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2</v>
      </c>
      <c r="H24" s="379" t="s">
        <v>9</v>
      </c>
      <c r="I24" s="442">
        <v>1</v>
      </c>
      <c r="J24" s="381">
        <f t="shared" si="0"/>
        <v>1</v>
      </c>
      <c r="K24" s="363">
        <f t="shared" si="1"/>
        <v>3</v>
      </c>
      <c r="L24" s="363">
        <f t="shared" si="2"/>
        <v>0</v>
      </c>
      <c r="M24" s="352"/>
      <c r="N24" s="352"/>
      <c r="O24" s="401" t="s">
        <v>24</v>
      </c>
      <c r="P24" s="402">
        <f>SUMIF($D$8:$D$55,$O24,$G$8:$G$55)+SUMIF($F$8:$F$55,$O24,$I$8:$I$55)</f>
        <v>4</v>
      </c>
      <c r="Q24" s="402">
        <f>SUMIF($D$8:$D$55,$O24,$I$8:$I$55)+SUMIF($F$8:$F$55,$O24,$G$8:$G$55)</f>
        <v>6</v>
      </c>
      <c r="R24" s="402">
        <f>P24-Q24</f>
        <v>-2</v>
      </c>
      <c r="S24" s="403">
        <f>SUMIF($D$8:$D$55,$O24,$K$8:$K$55)+SUMIF($F$8:$F$55,$O24,$L$8:$L$55)</f>
        <v>1</v>
      </c>
      <c r="T24" s="446" t="s">
        <v>60</v>
      </c>
      <c r="U24" s="40"/>
      <c r="V24" s="40" t="str">
        <f>O24</f>
        <v>Japan</v>
      </c>
      <c r="W24" s="40" t="s">
        <v>60</v>
      </c>
      <c r="Y24" s="109">
        <f t="shared" si="8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</v>
      </c>
      <c r="AG24" s="108">
        <f t="shared" si="3"/>
        <v>0</v>
      </c>
      <c r="AH24" s="108">
        <f t="shared" si="4"/>
        <v>1</v>
      </c>
      <c r="AI24" s="108">
        <f t="shared" si="10"/>
        <v>0</v>
      </c>
      <c r="AJ24" s="108">
        <f t="shared" si="5"/>
        <v>0</v>
      </c>
      <c r="AK24" s="108">
        <f t="shared" si="6"/>
        <v>0</v>
      </c>
      <c r="AL24" s="108">
        <f t="shared" si="7"/>
        <v>0</v>
      </c>
      <c r="AM24" s="120">
        <f>AO24</f>
        <v>10</v>
      </c>
      <c r="AN24" s="118" t="s">
        <v>24</v>
      </c>
      <c r="AO24" s="115">
        <f>IF(Uitslag!T24="",0,IF(T24=Uitslag!T24,10,0))</f>
        <v>10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1</v>
      </c>
      <c r="H25" s="367" t="s">
        <v>9</v>
      </c>
      <c r="I25" s="440">
        <v>3</v>
      </c>
      <c r="J25" s="369">
        <f t="shared" si="0"/>
        <v>2</v>
      </c>
      <c r="K25" s="363">
        <f t="shared" si="1"/>
        <v>0</v>
      </c>
      <c r="L25" s="363">
        <f t="shared" si="2"/>
        <v>3</v>
      </c>
      <c r="M25" s="352"/>
      <c r="N25" s="352"/>
      <c r="O25" s="392"/>
      <c r="P25" s="393"/>
      <c r="Q25" s="393"/>
      <c r="R25" s="393"/>
      <c r="S25" s="393"/>
      <c r="T25" s="393"/>
      <c r="U25" s="40"/>
      <c r="V25" s="40"/>
      <c r="W25" s="40"/>
      <c r="Y25" s="109">
        <f t="shared" si="8"/>
        <v>6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6</v>
      </c>
      <c r="AG25" s="108">
        <f t="shared" si="3"/>
        <v>0</v>
      </c>
      <c r="AH25" s="108">
        <f t="shared" si="4"/>
        <v>1</v>
      </c>
      <c r="AI25" s="108">
        <f t="shared" si="10"/>
        <v>0</v>
      </c>
      <c r="AJ25" s="108">
        <f t="shared" si="5"/>
        <v>0</v>
      </c>
      <c r="AK25" s="108">
        <f t="shared" si="6"/>
        <v>5</v>
      </c>
      <c r="AL25" s="108">
        <f t="shared" si="7"/>
        <v>0</v>
      </c>
      <c r="AN25" s="40"/>
      <c r="AO25" s="41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2</v>
      </c>
      <c r="H26" s="373" t="s">
        <v>9</v>
      </c>
      <c r="I26" s="441">
        <v>0</v>
      </c>
      <c r="J26" s="375">
        <f t="shared" si="0"/>
        <v>1</v>
      </c>
      <c r="K26" s="363">
        <f t="shared" si="1"/>
        <v>3</v>
      </c>
      <c r="L26" s="363">
        <f t="shared" si="2"/>
        <v>0</v>
      </c>
      <c r="M26" s="352"/>
      <c r="N26" s="352"/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40"/>
      <c r="V26" s="40"/>
      <c r="W26" s="40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3"/>
        <v>0</v>
      </c>
      <c r="AH26" s="108">
        <f t="shared" si="4"/>
        <v>0</v>
      </c>
      <c r="AI26" s="108">
        <f t="shared" si="10"/>
        <v>0</v>
      </c>
      <c r="AJ26" s="108">
        <f t="shared" si="5"/>
        <v>0</v>
      </c>
      <c r="AK26" s="108">
        <f t="shared" si="6"/>
        <v>0</v>
      </c>
      <c r="AL26" s="108">
        <f t="shared" si="7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1</v>
      </c>
      <c r="H27" s="379" t="s">
        <v>9</v>
      </c>
      <c r="I27" s="442">
        <v>2</v>
      </c>
      <c r="J27" s="381">
        <f t="shared" si="0"/>
        <v>2</v>
      </c>
      <c r="K27" s="363">
        <f t="shared" si="1"/>
        <v>0</v>
      </c>
      <c r="L27" s="363">
        <f t="shared" si="2"/>
        <v>3</v>
      </c>
      <c r="M27" s="352"/>
      <c r="N27" s="352"/>
      <c r="O27" s="394" t="s">
        <v>19</v>
      </c>
      <c r="P27" s="395">
        <f>SUMIF($D$8:$D$55,$O27,$G$8:$G$55)+SUMIF($F$8:$F$55,$O27,$I$8:$I$55)</f>
        <v>4</v>
      </c>
      <c r="Q27" s="395">
        <f>SUMIF($D$8:$D$55,$O27,$I$8:$I$55)+SUMIF($F$8:$F$55,$O27,$G$8:$G$55)</f>
        <v>4</v>
      </c>
      <c r="R27" s="396">
        <f>P27-Q27</f>
        <v>0</v>
      </c>
      <c r="S27" s="397">
        <f>SUMIF($D$8:$D$55,$O27,$K$8:$K$55)+SUMIF($F$8:$F$55,$O27,$L$8:$L$55)</f>
        <v>4</v>
      </c>
      <c r="T27" s="444" t="s">
        <v>64</v>
      </c>
      <c r="U27" s="40"/>
      <c r="V27" s="40" t="str">
        <f>O27</f>
        <v>Uruguay</v>
      </c>
      <c r="W27" s="40" t="s">
        <v>62</v>
      </c>
      <c r="Y27" s="109">
        <f t="shared" si="8"/>
        <v>5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5</v>
      </c>
      <c r="AG27" s="108">
        <f t="shared" si="3"/>
        <v>0</v>
      </c>
      <c r="AH27" s="108">
        <f t="shared" si="4"/>
        <v>0</v>
      </c>
      <c r="AI27" s="108">
        <f t="shared" si="10"/>
        <v>0</v>
      </c>
      <c r="AJ27" s="108">
        <f t="shared" si="5"/>
        <v>0</v>
      </c>
      <c r="AK27" s="108">
        <f t="shared" si="6"/>
        <v>5</v>
      </c>
      <c r="AL27" s="108">
        <f t="shared" si="7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1</v>
      </c>
      <c r="H28" s="367" t="s">
        <v>9</v>
      </c>
      <c r="I28" s="440">
        <v>1</v>
      </c>
      <c r="J28" s="369">
        <f t="shared" si="0"/>
        <v>3</v>
      </c>
      <c r="K28" s="363">
        <f t="shared" si="1"/>
        <v>1</v>
      </c>
      <c r="L28" s="363">
        <f t="shared" si="2"/>
        <v>1</v>
      </c>
      <c r="M28" s="352"/>
      <c r="N28" s="352"/>
      <c r="O28" s="398" t="s">
        <v>20</v>
      </c>
      <c r="P28" s="399">
        <f>SUMIF($D$8:$D$55,$O28,$G$8:$G$55)+SUMIF($F$8:$F$55,$O28,$I$8:$I$55)</f>
        <v>2</v>
      </c>
      <c r="Q28" s="399">
        <f>SUMIF($D$8:$D$55,$O28,$I$8:$I$55)+SUMIF($F$8:$F$55,$O28,$G$8:$G$55)</f>
        <v>7</v>
      </c>
      <c r="R28" s="399">
        <f>P28-Q28</f>
        <v>-5</v>
      </c>
      <c r="S28" s="400">
        <f>SUMIF($D$8:$D$55,$O28,$K$8:$K$55)+SUMIF($F$8:$F$55,$O28,$L$8:$L$55)</f>
        <v>0</v>
      </c>
      <c r="T28" s="445" t="s">
        <v>65</v>
      </c>
      <c r="U28" s="40"/>
      <c r="V28" s="40" t="str">
        <f>O28</f>
        <v>Costa Rica</v>
      </c>
      <c r="W28" s="40" t="s">
        <v>63</v>
      </c>
      <c r="Y28" s="109">
        <f t="shared" si="8"/>
        <v>1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1</v>
      </c>
      <c r="AG28" s="108">
        <f t="shared" si="3"/>
        <v>0</v>
      </c>
      <c r="AH28" s="108">
        <f t="shared" si="4"/>
        <v>1</v>
      </c>
      <c r="AI28" s="108">
        <f t="shared" si="10"/>
        <v>0</v>
      </c>
      <c r="AJ28" s="108">
        <f t="shared" si="5"/>
        <v>0</v>
      </c>
      <c r="AK28" s="108">
        <f t="shared" si="6"/>
        <v>0</v>
      </c>
      <c r="AL28" s="108">
        <f t="shared" si="7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1</v>
      </c>
      <c r="H29" s="373" t="s">
        <v>9</v>
      </c>
      <c r="I29" s="441">
        <v>1</v>
      </c>
      <c r="J29" s="375">
        <f t="shared" si="0"/>
        <v>3</v>
      </c>
      <c r="K29" s="363">
        <f t="shared" si="1"/>
        <v>1</v>
      </c>
      <c r="L29" s="363">
        <f t="shared" si="2"/>
        <v>1</v>
      </c>
      <c r="M29" s="352"/>
      <c r="N29" s="352"/>
      <c r="O29" s="398" t="s">
        <v>21</v>
      </c>
      <c r="P29" s="399">
        <f>SUMIF($D$8:$D$55,$O29,$G$8:$G$55)+SUMIF($F$8:$F$55,$O29,$I$8:$I$55)</f>
        <v>5</v>
      </c>
      <c r="Q29" s="399">
        <f>SUMIF($D$8:$D$55,$O29,$I$8:$I$55)+SUMIF($F$8:$F$55,$O29,$G$8:$G$55)</f>
        <v>3</v>
      </c>
      <c r="R29" s="399">
        <f>P29-Q29</f>
        <v>2</v>
      </c>
      <c r="S29" s="400">
        <f>SUMIF($D$8:$D$55,$O29,$K$8:$K$55)+SUMIF($F$8:$F$55,$O29,$L$8:$L$55)</f>
        <v>5</v>
      </c>
      <c r="T29" s="445" t="s">
        <v>63</v>
      </c>
      <c r="U29" s="40"/>
      <c r="V29" s="40" t="str">
        <f>O29</f>
        <v>Engeland</v>
      </c>
      <c r="W29" s="40" t="s">
        <v>64</v>
      </c>
      <c r="Y29" s="109">
        <f t="shared" si="8"/>
        <v>1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1</v>
      </c>
      <c r="AG29" s="108">
        <f t="shared" si="3"/>
        <v>0</v>
      </c>
      <c r="AH29" s="108">
        <f t="shared" si="4"/>
        <v>1</v>
      </c>
      <c r="AI29" s="108">
        <f t="shared" si="10"/>
        <v>0</v>
      </c>
      <c r="AJ29" s="108">
        <f t="shared" si="5"/>
        <v>0</v>
      </c>
      <c r="AK29" s="108">
        <f t="shared" si="6"/>
        <v>0</v>
      </c>
      <c r="AL29" s="108">
        <f t="shared" si="7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2</v>
      </c>
      <c r="H30" s="379" t="s">
        <v>9</v>
      </c>
      <c r="I30" s="442">
        <v>2</v>
      </c>
      <c r="J30" s="381">
        <f t="shared" si="0"/>
        <v>3</v>
      </c>
      <c r="K30" s="363">
        <f t="shared" si="1"/>
        <v>1</v>
      </c>
      <c r="L30" s="363">
        <f t="shared" si="2"/>
        <v>1</v>
      </c>
      <c r="M30" s="352"/>
      <c r="N30" s="352"/>
      <c r="O30" s="401" t="s">
        <v>22</v>
      </c>
      <c r="P30" s="402">
        <f>SUMIF($D$8:$D$55,$O30,$G$8:$G$55)+SUMIF($F$8:$F$55,$O30,$I$8:$I$55)</f>
        <v>5</v>
      </c>
      <c r="Q30" s="402">
        <f>SUMIF($D$8:$D$55,$O30,$I$8:$I$55)+SUMIF($F$8:$F$55,$O30,$G$8:$G$55)</f>
        <v>2</v>
      </c>
      <c r="R30" s="402">
        <f>P30-Q30</f>
        <v>3</v>
      </c>
      <c r="S30" s="403">
        <f>SUMIF($D$8:$D$55,$O30,$K$8:$K$55)+SUMIF($F$8:$F$55,$O30,$L$8:$L$55)</f>
        <v>7</v>
      </c>
      <c r="T30" s="446" t="s">
        <v>62</v>
      </c>
      <c r="U30" s="40"/>
      <c r="V30" s="40" t="str">
        <f>O30</f>
        <v>Italië</v>
      </c>
      <c r="W30" s="40" t="s">
        <v>65</v>
      </c>
      <c r="Y30" s="109">
        <f t="shared" si="8"/>
        <v>5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5</v>
      </c>
      <c r="AG30" s="108">
        <f t="shared" si="3"/>
        <v>0</v>
      </c>
      <c r="AH30" s="108">
        <f t="shared" si="4"/>
        <v>0</v>
      </c>
      <c r="AI30" s="108">
        <f t="shared" si="10"/>
        <v>0</v>
      </c>
      <c r="AJ30" s="108">
        <f t="shared" si="5"/>
        <v>0</v>
      </c>
      <c r="AK30" s="108">
        <f t="shared" si="6"/>
        <v>0</v>
      </c>
      <c r="AL30" s="108">
        <f t="shared" si="7"/>
        <v>5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2</v>
      </c>
      <c r="H31" s="367" t="s">
        <v>9</v>
      </c>
      <c r="I31" s="440">
        <v>0</v>
      </c>
      <c r="J31" s="369">
        <f t="shared" si="0"/>
        <v>1</v>
      </c>
      <c r="K31" s="363">
        <f t="shared" si="1"/>
        <v>3</v>
      </c>
      <c r="L31" s="363">
        <f t="shared" si="2"/>
        <v>0</v>
      </c>
      <c r="M31" s="352"/>
      <c r="N31" s="352"/>
      <c r="O31" s="392"/>
      <c r="P31" s="393"/>
      <c r="Q31" s="393"/>
      <c r="R31" s="393"/>
      <c r="S31" s="393"/>
      <c r="T31" s="393"/>
      <c r="U31" s="40"/>
      <c r="V31" s="40"/>
      <c r="W31" s="40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3"/>
        <v>0</v>
      </c>
      <c r="AH31" s="108">
        <f t="shared" si="4"/>
        <v>0</v>
      </c>
      <c r="AI31" s="108">
        <f t="shared" si="10"/>
        <v>0</v>
      </c>
      <c r="AJ31" s="108">
        <f t="shared" si="5"/>
        <v>0</v>
      </c>
      <c r="AK31" s="108">
        <f t="shared" si="6"/>
        <v>0</v>
      </c>
      <c r="AL31" s="108">
        <f t="shared" si="7"/>
        <v>0</v>
      </c>
      <c r="AN31" s="40"/>
      <c r="AO31" s="41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1</v>
      </c>
      <c r="H32" s="373" t="s">
        <v>9</v>
      </c>
      <c r="I32" s="441">
        <v>2</v>
      </c>
      <c r="J32" s="375">
        <f t="shared" si="0"/>
        <v>2</v>
      </c>
      <c r="K32" s="363">
        <f t="shared" si="1"/>
        <v>0</v>
      </c>
      <c r="L32" s="363">
        <f t="shared" si="2"/>
        <v>3</v>
      </c>
      <c r="M32" s="352"/>
      <c r="N32" s="352"/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40"/>
      <c r="V32" s="40"/>
      <c r="W32" s="40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3"/>
        <v>0</v>
      </c>
      <c r="AH32" s="108">
        <f t="shared" si="4"/>
        <v>0</v>
      </c>
      <c r="AI32" s="108">
        <f t="shared" si="10"/>
        <v>0</v>
      </c>
      <c r="AJ32" s="108">
        <f t="shared" si="5"/>
        <v>0</v>
      </c>
      <c r="AK32" s="108">
        <f t="shared" si="6"/>
        <v>5</v>
      </c>
      <c r="AL32" s="108">
        <f t="shared" si="7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2</v>
      </c>
      <c r="H33" s="379" t="s">
        <v>9</v>
      </c>
      <c r="I33" s="442">
        <v>1</v>
      </c>
      <c r="J33" s="381">
        <f t="shared" si="0"/>
        <v>1</v>
      </c>
      <c r="K33" s="363">
        <f t="shared" si="1"/>
        <v>3</v>
      </c>
      <c r="L33" s="363">
        <f t="shared" si="2"/>
        <v>0</v>
      </c>
      <c r="M33" s="352"/>
      <c r="N33" s="352"/>
      <c r="O33" s="394" t="s">
        <v>25</v>
      </c>
      <c r="P33" s="395">
        <f>SUMIF($D$8:$D$55,$O33,$G$8:$G$55)+SUMIF($F$8:$F$55,$O33,$I$8:$I$55)</f>
        <v>4</v>
      </c>
      <c r="Q33" s="395">
        <f>SUMIF($D$8:$D$55,$O33,$I$8:$I$55)+SUMIF($F$8:$F$55,$O33,$G$8:$G$55)</f>
        <v>4</v>
      </c>
      <c r="R33" s="396">
        <f>P33-Q33</f>
        <v>0</v>
      </c>
      <c r="S33" s="397">
        <f>SUMIF($D$8:$D$55,$O33,$K$8:$K$55)+SUMIF($F$8:$F$55,$O33,$L$8:$L$55)</f>
        <v>4</v>
      </c>
      <c r="T33" s="444" t="s">
        <v>68</v>
      </c>
      <c r="U33" s="40"/>
      <c r="V33" s="40" t="str">
        <f>O33</f>
        <v>Zwitserland</v>
      </c>
      <c r="W33" s="40" t="s">
        <v>67</v>
      </c>
      <c r="Y33" s="109">
        <f t="shared" si="8"/>
        <v>0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0</v>
      </c>
      <c r="AG33" s="108">
        <f t="shared" si="3"/>
        <v>0</v>
      </c>
      <c r="AH33" s="108">
        <f t="shared" si="4"/>
        <v>0</v>
      </c>
      <c r="AI33" s="108">
        <f t="shared" si="10"/>
        <v>0</v>
      </c>
      <c r="AJ33" s="108">
        <f t="shared" si="5"/>
        <v>0</v>
      </c>
      <c r="AK33" s="108">
        <f t="shared" si="6"/>
        <v>0</v>
      </c>
      <c r="AL33" s="108">
        <f t="shared" si="7"/>
        <v>0</v>
      </c>
      <c r="AM33" s="120">
        <f>AO33</f>
        <v>10</v>
      </c>
      <c r="AN33" s="116" t="s">
        <v>25</v>
      </c>
      <c r="AO33" s="115">
        <f>IF(Uitslag!T33="",0,IF(T33=Uitslag!T33,10,0))</f>
        <v>10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5</v>
      </c>
      <c r="H34" s="367" t="s">
        <v>9</v>
      </c>
      <c r="I34" s="440">
        <v>1</v>
      </c>
      <c r="J34" s="369">
        <f t="shared" si="0"/>
        <v>1</v>
      </c>
      <c r="K34" s="363">
        <f t="shared" si="1"/>
        <v>3</v>
      </c>
      <c r="L34" s="363">
        <f t="shared" si="2"/>
        <v>0</v>
      </c>
      <c r="M34" s="352"/>
      <c r="N34" s="352"/>
      <c r="O34" s="398" t="s">
        <v>26</v>
      </c>
      <c r="P34" s="399">
        <f>SUMIF($D$8:$D$55,$O34,$G$8:$G$55)+SUMIF($F$8:$F$55,$O34,$I$8:$I$55)</f>
        <v>3</v>
      </c>
      <c r="Q34" s="399">
        <f>SUMIF($D$8:$D$55,$O34,$I$8:$I$55)+SUMIF($F$8:$F$55,$O34,$G$8:$G$55)</f>
        <v>6</v>
      </c>
      <c r="R34" s="399">
        <f>P34-Q34</f>
        <v>-3</v>
      </c>
      <c r="S34" s="400">
        <f>SUMIF($D$8:$D$55,$O34,$K$8:$K$55)+SUMIF($F$8:$F$55,$O34,$L$8:$L$55)</f>
        <v>1</v>
      </c>
      <c r="T34" s="445" t="s">
        <v>70</v>
      </c>
      <c r="U34" s="40"/>
      <c r="V34" s="40" t="str">
        <f>O34</f>
        <v>Ecuador</v>
      </c>
      <c r="W34" s="40" t="s">
        <v>68</v>
      </c>
      <c r="Y34" s="109">
        <f t="shared" si="8"/>
        <v>5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5</v>
      </c>
      <c r="AG34" s="108">
        <f t="shared" si="3"/>
        <v>0</v>
      </c>
      <c r="AH34" s="108">
        <f t="shared" si="4"/>
        <v>0</v>
      </c>
      <c r="AI34" s="108">
        <f t="shared" si="10"/>
        <v>0</v>
      </c>
      <c r="AJ34" s="108">
        <f t="shared" si="5"/>
        <v>5</v>
      </c>
      <c r="AK34" s="108">
        <f t="shared" si="6"/>
        <v>0</v>
      </c>
      <c r="AL34" s="108">
        <f t="shared" si="7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3</v>
      </c>
      <c r="H35" s="373" t="s">
        <v>9</v>
      </c>
      <c r="I35" s="441">
        <v>1</v>
      </c>
      <c r="J35" s="375">
        <f t="shared" si="0"/>
        <v>1</v>
      </c>
      <c r="K35" s="363">
        <f t="shared" si="1"/>
        <v>3</v>
      </c>
      <c r="L35" s="363">
        <f t="shared" si="2"/>
        <v>0</v>
      </c>
      <c r="M35" s="352"/>
      <c r="N35" s="352"/>
      <c r="O35" s="398" t="s">
        <v>27</v>
      </c>
      <c r="P35" s="399">
        <f>SUMIF($D$8:$D$55,$O35,$G$8:$G$55)+SUMIF($F$8:$F$55,$O35,$I$8:$I$55)</f>
        <v>9</v>
      </c>
      <c r="Q35" s="399">
        <f>SUMIF($D$8:$D$55,$O35,$I$8:$I$55)+SUMIF($F$8:$F$55,$O35,$G$8:$G$55)</f>
        <v>3</v>
      </c>
      <c r="R35" s="399">
        <f>P35-Q35</f>
        <v>6</v>
      </c>
      <c r="S35" s="400">
        <f>SUMIF($D$8:$D$55,$O35,$K$8:$K$55)+SUMIF($F$8:$F$55,$O35,$L$8:$L$55)</f>
        <v>9</v>
      </c>
      <c r="T35" s="445" t="s">
        <v>67</v>
      </c>
      <c r="U35" s="40"/>
      <c r="V35" s="40" t="str">
        <f>O35</f>
        <v>Frankrijk</v>
      </c>
      <c r="W35" s="40" t="s">
        <v>69</v>
      </c>
      <c r="Y35" s="109">
        <f t="shared" si="8"/>
        <v>0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0</v>
      </c>
      <c r="AG35" s="108">
        <f t="shared" si="3"/>
        <v>0</v>
      </c>
      <c r="AH35" s="108">
        <f t="shared" si="4"/>
        <v>0</v>
      </c>
      <c r="AI35" s="108">
        <f t="shared" si="10"/>
        <v>0</v>
      </c>
      <c r="AJ35" s="108">
        <f t="shared" si="5"/>
        <v>0</v>
      </c>
      <c r="AK35" s="108">
        <f t="shared" si="6"/>
        <v>0</v>
      </c>
      <c r="AL35" s="108">
        <f t="shared" si="7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1</v>
      </c>
      <c r="H36" s="379" t="s">
        <v>9</v>
      </c>
      <c r="I36" s="442">
        <v>1</v>
      </c>
      <c r="J36" s="381">
        <f t="shared" si="0"/>
        <v>3</v>
      </c>
      <c r="K36" s="363">
        <f t="shared" si="1"/>
        <v>1</v>
      </c>
      <c r="L36" s="363">
        <f t="shared" si="2"/>
        <v>1</v>
      </c>
      <c r="M36" s="352"/>
      <c r="N36" s="352"/>
      <c r="O36" s="401" t="s">
        <v>28</v>
      </c>
      <c r="P36" s="402">
        <f>SUMIF($D$8:$D$55,$O36,$G$8:$G$55)+SUMIF($F$8:$F$55,$O36,$I$8:$I$55)</f>
        <v>4</v>
      </c>
      <c r="Q36" s="402">
        <f>SUMIF($D$8:$D$55,$O36,$I$8:$I$55)+SUMIF($F$8:$F$55,$O36,$G$8:$G$55)</f>
        <v>7</v>
      </c>
      <c r="R36" s="402">
        <f>P36-Q36</f>
        <v>-3</v>
      </c>
      <c r="S36" s="403">
        <f>SUMIF($D$8:$D$55,$O36,$K$8:$K$55)+SUMIF($F$8:$F$55,$O36,$L$8:$L$55)</f>
        <v>3</v>
      </c>
      <c r="T36" s="446" t="s">
        <v>69</v>
      </c>
      <c r="U36" s="40"/>
      <c r="V36" s="40" t="str">
        <f>O36</f>
        <v>Honduras</v>
      </c>
      <c r="W36" s="40" t="s">
        <v>70</v>
      </c>
      <c r="Y36" s="109">
        <f t="shared" si="8"/>
        <v>1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1</v>
      </c>
      <c r="AG36" s="108">
        <f t="shared" si="3"/>
        <v>1</v>
      </c>
      <c r="AH36" s="108">
        <f t="shared" si="4"/>
        <v>0</v>
      </c>
      <c r="AI36" s="108">
        <f t="shared" si="10"/>
        <v>0</v>
      </c>
      <c r="AJ36" s="108">
        <f t="shared" si="5"/>
        <v>0</v>
      </c>
      <c r="AK36" s="108">
        <f t="shared" si="6"/>
        <v>0</v>
      </c>
      <c r="AL36" s="108">
        <f t="shared" si="7"/>
        <v>0</v>
      </c>
      <c r="AM36" s="120">
        <f>AO36</f>
        <v>0</v>
      </c>
      <c r="AN36" s="118" t="s">
        <v>28</v>
      </c>
      <c r="AO36" s="115">
        <f>IF(Uitslag!T36="",0,IF(T36=Uitslag!T36,10,0))</f>
        <v>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3</v>
      </c>
      <c r="H37" s="367" t="s">
        <v>9</v>
      </c>
      <c r="I37" s="440">
        <v>2</v>
      </c>
      <c r="J37" s="369">
        <f t="shared" si="0"/>
        <v>1</v>
      </c>
      <c r="K37" s="363">
        <f t="shared" si="1"/>
        <v>3</v>
      </c>
      <c r="L37" s="363">
        <f t="shared" si="2"/>
        <v>0</v>
      </c>
      <c r="M37" s="352"/>
      <c r="N37" s="352"/>
      <c r="O37" s="392"/>
      <c r="P37" s="393"/>
      <c r="Q37" s="393"/>
      <c r="R37" s="393"/>
      <c r="S37" s="393"/>
      <c r="T37" s="393"/>
      <c r="U37" s="40"/>
      <c r="V37" s="40"/>
      <c r="W37" s="40"/>
      <c r="Y37" s="109">
        <f t="shared" si="8"/>
        <v>5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5</v>
      </c>
      <c r="AG37" s="108">
        <f t="shared" si="3"/>
        <v>0</v>
      </c>
      <c r="AH37" s="108">
        <f t="shared" si="4"/>
        <v>0</v>
      </c>
      <c r="AI37" s="108">
        <f t="shared" si="10"/>
        <v>0</v>
      </c>
      <c r="AJ37" s="108">
        <f t="shared" si="5"/>
        <v>5</v>
      </c>
      <c r="AK37" s="108">
        <f t="shared" si="6"/>
        <v>0</v>
      </c>
      <c r="AL37" s="108">
        <f t="shared" si="7"/>
        <v>0</v>
      </c>
      <c r="AN37" s="40"/>
      <c r="AO37" s="41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0</v>
      </c>
      <c r="H38" s="373" t="s">
        <v>9</v>
      </c>
      <c r="I38" s="441">
        <v>0</v>
      </c>
      <c r="J38" s="375">
        <f t="shared" si="0"/>
        <v>3</v>
      </c>
      <c r="K38" s="363">
        <f t="shared" si="1"/>
        <v>1</v>
      </c>
      <c r="L38" s="363">
        <f t="shared" si="2"/>
        <v>1</v>
      </c>
      <c r="M38" s="352"/>
      <c r="N38" s="352"/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40"/>
      <c r="V38" s="40"/>
      <c r="W38" s="40"/>
      <c r="Y38" s="109">
        <f t="shared" si="8"/>
        <v>0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0</v>
      </c>
      <c r="AG38" s="108">
        <f t="shared" si="3"/>
        <v>0</v>
      </c>
      <c r="AH38" s="108">
        <f t="shared" si="4"/>
        <v>0</v>
      </c>
      <c r="AI38" s="108">
        <f t="shared" si="10"/>
        <v>0</v>
      </c>
      <c r="AJ38" s="108">
        <f t="shared" si="5"/>
        <v>0</v>
      </c>
      <c r="AK38" s="108">
        <f t="shared" si="6"/>
        <v>0</v>
      </c>
      <c r="AL38" s="108">
        <f t="shared" si="7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1</v>
      </c>
      <c r="H39" s="379" t="s">
        <v>9</v>
      </c>
      <c r="I39" s="442">
        <v>3</v>
      </c>
      <c r="J39" s="381">
        <f t="shared" si="0"/>
        <v>2</v>
      </c>
      <c r="K39" s="363">
        <f t="shared" si="1"/>
        <v>0</v>
      </c>
      <c r="L39" s="363">
        <f t="shared" si="2"/>
        <v>3</v>
      </c>
      <c r="M39" s="352"/>
      <c r="N39" s="352"/>
      <c r="O39" s="394" t="s">
        <v>29</v>
      </c>
      <c r="P39" s="395">
        <f>SUMIF($D$8:$D$55,$O39,$G$8:$G$55)+SUMIF($F$8:$F$55,$O39,$I$8:$I$55)</f>
        <v>11</v>
      </c>
      <c r="Q39" s="395">
        <f>SUMIF($D$8:$D$55,$O39,$I$8:$I$55)+SUMIF($F$8:$F$55,$O39,$G$8:$G$55)</f>
        <v>3</v>
      </c>
      <c r="R39" s="396">
        <f>P39-Q39</f>
        <v>8</v>
      </c>
      <c r="S39" s="397">
        <f>SUMIF($D$8:$D$55,$O39,$K$8:$K$55)+SUMIF($F$8:$F$55,$O39,$L$8:$L$55)</f>
        <v>9</v>
      </c>
      <c r="T39" s="444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0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0</v>
      </c>
      <c r="AG39" s="108">
        <f t="shared" si="3"/>
        <v>0</v>
      </c>
      <c r="AH39" s="108">
        <f t="shared" si="4"/>
        <v>0</v>
      </c>
      <c r="AI39" s="108">
        <f t="shared" si="10"/>
        <v>0</v>
      </c>
      <c r="AJ39" s="108">
        <f t="shared" si="5"/>
        <v>0</v>
      </c>
      <c r="AK39" s="108">
        <f t="shared" si="6"/>
        <v>0</v>
      </c>
      <c r="AL39" s="108">
        <f t="shared" si="7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1</v>
      </c>
      <c r="H40" s="367" t="s">
        <v>9</v>
      </c>
      <c r="I40" s="440">
        <v>5</v>
      </c>
      <c r="J40" s="369">
        <f t="shared" si="0"/>
        <v>2</v>
      </c>
      <c r="K40" s="363">
        <f t="shared" si="1"/>
        <v>0</v>
      </c>
      <c r="L40" s="363">
        <f t="shared" si="2"/>
        <v>3</v>
      </c>
      <c r="M40" s="352"/>
      <c r="N40" s="352"/>
      <c r="O40" s="398" t="s">
        <v>30</v>
      </c>
      <c r="P40" s="399">
        <f>SUMIF($D$8:$D$55,$O40,$G$8:$G$55)+SUMIF($F$8:$F$55,$O40,$I$8:$I$55)</f>
        <v>3</v>
      </c>
      <c r="Q40" s="399">
        <f>SUMIF($D$8:$D$55,$O40,$I$8:$I$55)+SUMIF($F$8:$F$55,$O40,$G$8:$G$55)</f>
        <v>4</v>
      </c>
      <c r="R40" s="399">
        <f>P40-Q40</f>
        <v>-1</v>
      </c>
      <c r="S40" s="400">
        <f>SUMIF($D$8:$D$55,$O40,$K$8:$K$55)+SUMIF($F$8:$F$55,$O40,$L$8:$L$55)</f>
        <v>4</v>
      </c>
      <c r="T40" s="445" t="s">
        <v>73</v>
      </c>
      <c r="U40" s="40"/>
      <c r="V40" s="40" t="str">
        <f>O40</f>
        <v>Bosnië H.</v>
      </c>
      <c r="W40" s="40" t="s">
        <v>73</v>
      </c>
      <c r="Y40" s="109">
        <f t="shared" si="8"/>
        <v>5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5</v>
      </c>
      <c r="AG40" s="108">
        <f t="shared" si="3"/>
        <v>0</v>
      </c>
      <c r="AH40" s="108">
        <f t="shared" si="4"/>
        <v>0</v>
      </c>
      <c r="AI40" s="108">
        <f t="shared" si="10"/>
        <v>0</v>
      </c>
      <c r="AJ40" s="108">
        <f t="shared" si="5"/>
        <v>0</v>
      </c>
      <c r="AK40" s="108">
        <f t="shared" si="6"/>
        <v>5</v>
      </c>
      <c r="AL40" s="108">
        <f t="shared" si="7"/>
        <v>0</v>
      </c>
      <c r="AM40" s="120">
        <f>AO40</f>
        <v>0</v>
      </c>
      <c r="AN40" s="117" t="s">
        <v>30</v>
      </c>
      <c r="AO40" s="115">
        <f>IF(Uitslag!T40="",0,IF(T40=Uitslag!T40,10,0))</f>
        <v>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1</v>
      </c>
      <c r="H41" s="373" t="s">
        <v>9</v>
      </c>
      <c r="I41" s="441">
        <v>1</v>
      </c>
      <c r="J41" s="375">
        <f t="shared" si="0"/>
        <v>3</v>
      </c>
      <c r="K41" s="363">
        <f t="shared" si="1"/>
        <v>1</v>
      </c>
      <c r="L41" s="363">
        <f t="shared" si="2"/>
        <v>1</v>
      </c>
      <c r="M41" s="352"/>
      <c r="N41" s="352"/>
      <c r="O41" s="398" t="s">
        <v>33</v>
      </c>
      <c r="P41" s="399">
        <f>SUMIF($D$8:$D$55,$O41,$G$8:$G$55)+SUMIF($F$8:$F$55,$O41,$I$8:$I$55)</f>
        <v>2</v>
      </c>
      <c r="Q41" s="399">
        <f>SUMIF($D$8:$D$55,$O41,$I$8:$I$55)+SUMIF($F$8:$F$55,$O41,$G$8:$G$55)</f>
        <v>7</v>
      </c>
      <c r="R41" s="399">
        <f>P41-Q41</f>
        <v>-5</v>
      </c>
      <c r="S41" s="400">
        <f>SUMIF($D$8:$D$55,$O41,$K$8:$K$55)+SUMIF($F$8:$F$55,$O41,$L$8:$L$55)</f>
        <v>1</v>
      </c>
      <c r="T41" s="445" t="s">
        <v>75</v>
      </c>
      <c r="U41" s="40"/>
      <c r="V41" s="40" t="str">
        <f>O41</f>
        <v>Iran</v>
      </c>
      <c r="W41" s="40" t="s">
        <v>74</v>
      </c>
      <c r="Y41" s="109">
        <f t="shared" si="8"/>
        <v>0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0</v>
      </c>
      <c r="AG41" s="108">
        <f t="shared" si="3"/>
        <v>0</v>
      </c>
      <c r="AH41" s="108">
        <f t="shared" si="4"/>
        <v>0</v>
      </c>
      <c r="AI41" s="108">
        <f t="shared" si="10"/>
        <v>0</v>
      </c>
      <c r="AJ41" s="108">
        <f t="shared" si="5"/>
        <v>0</v>
      </c>
      <c r="AK41" s="108">
        <f t="shared" si="6"/>
        <v>0</v>
      </c>
      <c r="AL41" s="108">
        <f t="shared" si="7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1</v>
      </c>
      <c r="H42" s="373" t="s">
        <v>9</v>
      </c>
      <c r="I42" s="441">
        <v>4</v>
      </c>
      <c r="J42" s="375">
        <f t="shared" si="0"/>
        <v>2</v>
      </c>
      <c r="K42" s="363">
        <f t="shared" si="1"/>
        <v>0</v>
      </c>
      <c r="L42" s="363">
        <f t="shared" si="2"/>
        <v>3</v>
      </c>
      <c r="M42" s="352"/>
      <c r="N42" s="352"/>
      <c r="O42" s="401" t="s">
        <v>34</v>
      </c>
      <c r="P42" s="402">
        <f>SUMIF($D$8:$D$55,$O42,$G$8:$G$55)+SUMIF($F$8:$F$55,$O42,$I$8:$I$55)</f>
        <v>3</v>
      </c>
      <c r="Q42" s="402">
        <f>SUMIF($D$8:$D$55,$O42,$I$8:$I$55)+SUMIF($F$8:$F$55,$O42,$G$8:$G$55)</f>
        <v>5</v>
      </c>
      <c r="R42" s="402">
        <f>P42-Q42</f>
        <v>-2</v>
      </c>
      <c r="S42" s="403">
        <f>SUMIF($D$8:$D$55,$O42,$K$8:$K$55)+SUMIF($F$8:$F$55,$O42,$L$8:$L$55)</f>
        <v>2</v>
      </c>
      <c r="T42" s="446" t="s">
        <v>74</v>
      </c>
      <c r="U42" s="40"/>
      <c r="V42" s="40" t="str">
        <f>O42</f>
        <v>Nigeria</v>
      </c>
      <c r="W42" s="40" t="s">
        <v>75</v>
      </c>
      <c r="Y42" s="109">
        <f t="shared" si="8"/>
        <v>10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10</v>
      </c>
      <c r="AG42" s="108">
        <f t="shared" si="3"/>
        <v>1</v>
      </c>
      <c r="AH42" s="108">
        <f t="shared" si="4"/>
        <v>1</v>
      </c>
      <c r="AI42" s="108">
        <f t="shared" si="10"/>
        <v>10</v>
      </c>
      <c r="AJ42" s="108">
        <f t="shared" si="5"/>
        <v>0</v>
      </c>
      <c r="AK42" s="108">
        <f t="shared" si="6"/>
        <v>5</v>
      </c>
      <c r="AL42" s="108">
        <f t="shared" si="7"/>
        <v>0</v>
      </c>
      <c r="AM42" s="120">
        <f>AO42</f>
        <v>0</v>
      </c>
      <c r="AN42" s="118" t="s">
        <v>34</v>
      </c>
      <c r="AO42" s="115">
        <f>IF(Uitslag!T42="",0,IF(T42=Uitslag!T42,10,0))</f>
        <v>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1</v>
      </c>
      <c r="H43" s="379" t="s">
        <v>9</v>
      </c>
      <c r="I43" s="442">
        <v>1</v>
      </c>
      <c r="J43" s="381">
        <f t="shared" si="0"/>
        <v>3</v>
      </c>
      <c r="K43" s="363">
        <f t="shared" si="1"/>
        <v>1</v>
      </c>
      <c r="L43" s="363">
        <f t="shared" si="2"/>
        <v>1</v>
      </c>
      <c r="M43" s="352"/>
      <c r="N43" s="352"/>
      <c r="O43" s="392"/>
      <c r="P43" s="393"/>
      <c r="Q43" s="393"/>
      <c r="R43" s="393"/>
      <c r="S43" s="393"/>
      <c r="T43" s="393"/>
      <c r="U43" s="40"/>
      <c r="V43" s="40"/>
      <c r="W43" s="40"/>
      <c r="Y43" s="109">
        <f t="shared" si="8"/>
        <v>1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1</v>
      </c>
      <c r="AG43" s="108">
        <f t="shared" si="3"/>
        <v>1</v>
      </c>
      <c r="AH43" s="108">
        <f t="shared" si="4"/>
        <v>0</v>
      </c>
      <c r="AI43" s="108">
        <f t="shared" si="10"/>
        <v>0</v>
      </c>
      <c r="AJ43" s="108">
        <f t="shared" si="5"/>
        <v>0</v>
      </c>
      <c r="AK43" s="108">
        <f t="shared" si="6"/>
        <v>0</v>
      </c>
      <c r="AL43" s="108">
        <f t="shared" si="7"/>
        <v>0</v>
      </c>
      <c r="AN43" s="40"/>
      <c r="AO43" s="41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2</v>
      </c>
      <c r="H44" s="367" t="s">
        <v>9</v>
      </c>
      <c r="I44" s="440">
        <v>1</v>
      </c>
      <c r="J44" s="369">
        <f t="shared" si="0"/>
        <v>1</v>
      </c>
      <c r="K44" s="363">
        <f t="shared" si="1"/>
        <v>3</v>
      </c>
      <c r="L44" s="363">
        <f t="shared" si="2"/>
        <v>0</v>
      </c>
      <c r="M44" s="352"/>
      <c r="N44" s="352"/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40"/>
      <c r="V44" s="40"/>
      <c r="W44" s="40"/>
      <c r="Y44" s="109">
        <f t="shared" si="8"/>
        <v>1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1</v>
      </c>
      <c r="AG44" s="108">
        <f t="shared" si="3"/>
        <v>0</v>
      </c>
      <c r="AH44" s="108">
        <f t="shared" si="4"/>
        <v>1</v>
      </c>
      <c r="AI44" s="108">
        <f t="shared" si="10"/>
        <v>0</v>
      </c>
      <c r="AJ44" s="108">
        <f t="shared" si="5"/>
        <v>0</v>
      </c>
      <c r="AK44" s="108">
        <f t="shared" si="6"/>
        <v>0</v>
      </c>
      <c r="AL44" s="108">
        <f t="shared" si="7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1</v>
      </c>
      <c r="H45" s="373" t="s">
        <v>9</v>
      </c>
      <c r="I45" s="441">
        <v>3</v>
      </c>
      <c r="J45" s="375">
        <f t="shared" si="0"/>
        <v>2</v>
      </c>
      <c r="K45" s="363">
        <f t="shared" si="1"/>
        <v>0</v>
      </c>
      <c r="L45" s="363">
        <f t="shared" si="2"/>
        <v>3</v>
      </c>
      <c r="M45" s="352"/>
      <c r="N45" s="352"/>
      <c r="O45" s="394" t="s">
        <v>31</v>
      </c>
      <c r="P45" s="395">
        <f>SUMIF($D$8:$D$55,$O45,$G$8:$G$55)+SUMIF($F$8:$F$55,$O45,$I$8:$I$55)</f>
        <v>8</v>
      </c>
      <c r="Q45" s="395">
        <f>SUMIF($D$8:$D$55,$O45,$I$8:$I$55)+SUMIF($F$8:$F$55,$O45,$G$8:$G$55)</f>
        <v>3</v>
      </c>
      <c r="R45" s="396">
        <f>P45-Q45</f>
        <v>5</v>
      </c>
      <c r="S45" s="397">
        <f>SUMIF($D$8:$D$55,$O45,$K$8:$K$55)+SUMIF($F$8:$F$55,$O45,$L$8:$L$55)</f>
        <v>7</v>
      </c>
      <c r="T45" s="444" t="s">
        <v>77</v>
      </c>
      <c r="U45" s="40"/>
      <c r="V45" s="40" t="str">
        <f>O45</f>
        <v>Duitsland</v>
      </c>
      <c r="W45" s="40" t="s">
        <v>77</v>
      </c>
      <c r="Y45" s="109">
        <f t="shared" si="8"/>
        <v>0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0</v>
      </c>
      <c r="AG45" s="108">
        <f t="shared" si="3"/>
        <v>0</v>
      </c>
      <c r="AH45" s="108">
        <f t="shared" si="4"/>
        <v>0</v>
      </c>
      <c r="AI45" s="108">
        <f t="shared" si="10"/>
        <v>0</v>
      </c>
      <c r="AJ45" s="108">
        <f t="shared" si="5"/>
        <v>0</v>
      </c>
      <c r="AK45" s="108">
        <f t="shared" si="6"/>
        <v>0</v>
      </c>
      <c r="AL45" s="108">
        <f t="shared" si="7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1</v>
      </c>
      <c r="H46" s="373" t="s">
        <v>9</v>
      </c>
      <c r="I46" s="441">
        <v>2</v>
      </c>
      <c r="J46" s="375">
        <f t="shared" si="0"/>
        <v>2</v>
      </c>
      <c r="K46" s="363">
        <f t="shared" si="1"/>
        <v>0</v>
      </c>
      <c r="L46" s="363">
        <f t="shared" si="2"/>
        <v>3</v>
      </c>
      <c r="M46" s="352"/>
      <c r="N46" s="352"/>
      <c r="O46" s="398" t="s">
        <v>32</v>
      </c>
      <c r="P46" s="399">
        <f>SUMIF($D$8:$D$55,$O46,$G$8:$G$55)+SUMIF($F$8:$F$55,$O46,$I$8:$I$55)</f>
        <v>6</v>
      </c>
      <c r="Q46" s="399">
        <f>SUMIF($D$8:$D$55,$O46,$I$8:$I$55)+SUMIF($F$8:$F$55,$O46,$G$8:$G$55)</f>
        <v>2</v>
      </c>
      <c r="R46" s="399">
        <f>P46-Q46</f>
        <v>4</v>
      </c>
      <c r="S46" s="400">
        <f>SUMIF($D$8:$D$55,$O46,$K$8:$K$55)+SUMIF($F$8:$F$55,$O46,$L$8:$L$55)</f>
        <v>7</v>
      </c>
      <c r="T46" s="445" t="s">
        <v>78</v>
      </c>
      <c r="U46" s="40"/>
      <c r="V46" s="40" t="str">
        <f>O46</f>
        <v>Portugal</v>
      </c>
      <c r="W46" s="40" t="s">
        <v>78</v>
      </c>
      <c r="Y46" s="109">
        <f t="shared" si="8"/>
        <v>6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6</v>
      </c>
      <c r="AG46" s="108">
        <f t="shared" si="3"/>
        <v>1</v>
      </c>
      <c r="AH46" s="108">
        <f t="shared" si="4"/>
        <v>0</v>
      </c>
      <c r="AI46" s="108">
        <f t="shared" si="10"/>
        <v>0</v>
      </c>
      <c r="AJ46" s="108">
        <f t="shared" si="5"/>
        <v>0</v>
      </c>
      <c r="AK46" s="108">
        <f t="shared" si="6"/>
        <v>5</v>
      </c>
      <c r="AL46" s="108">
        <f t="shared" si="7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1</v>
      </c>
      <c r="H47" s="379" t="s">
        <v>9</v>
      </c>
      <c r="I47" s="442">
        <v>1</v>
      </c>
      <c r="J47" s="381">
        <f t="shared" si="0"/>
        <v>3</v>
      </c>
      <c r="K47" s="363">
        <f t="shared" si="1"/>
        <v>1</v>
      </c>
      <c r="L47" s="363">
        <f t="shared" si="2"/>
        <v>1</v>
      </c>
      <c r="M47" s="352"/>
      <c r="N47" s="352"/>
      <c r="O47" s="398" t="s">
        <v>35</v>
      </c>
      <c r="P47" s="399">
        <f>SUMIF($D$8:$D$55,$O47,$G$8:$G$55)+SUMIF($F$8:$F$55,$O47,$I$8:$I$55)</f>
        <v>2</v>
      </c>
      <c r="Q47" s="399">
        <f>SUMIF($D$8:$D$55,$O47,$I$8:$I$55)+SUMIF($F$8:$F$55,$O47,$G$8:$G$55)</f>
        <v>6</v>
      </c>
      <c r="R47" s="399">
        <f>P47-Q47</f>
        <v>-4</v>
      </c>
      <c r="S47" s="400">
        <f>SUMIF($D$8:$D$55,$O47,$K$8:$K$55)+SUMIF($F$8:$F$55,$O47,$L$8:$L$55)</f>
        <v>1</v>
      </c>
      <c r="T47" s="445" t="s">
        <v>79</v>
      </c>
      <c r="U47" s="40"/>
      <c r="V47" s="40" t="str">
        <f>O47</f>
        <v>Ghana</v>
      </c>
      <c r="W47" s="40" t="s">
        <v>79</v>
      </c>
      <c r="Y47" s="109">
        <f t="shared" si="8"/>
        <v>1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1</v>
      </c>
      <c r="AG47" s="108">
        <f t="shared" si="3"/>
        <v>0</v>
      </c>
      <c r="AH47" s="108">
        <f t="shared" si="4"/>
        <v>1</v>
      </c>
      <c r="AI47" s="108">
        <f t="shared" si="10"/>
        <v>0</v>
      </c>
      <c r="AJ47" s="108">
        <f t="shared" si="5"/>
        <v>0</v>
      </c>
      <c r="AK47" s="108">
        <f t="shared" si="6"/>
        <v>0</v>
      </c>
      <c r="AL47" s="108">
        <f t="shared" si="7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1</v>
      </c>
      <c r="H48" s="367" t="s">
        <v>9</v>
      </c>
      <c r="I48" s="440">
        <v>3</v>
      </c>
      <c r="J48" s="369">
        <f t="shared" si="0"/>
        <v>2</v>
      </c>
      <c r="K48" s="363">
        <f t="shared" si="1"/>
        <v>0</v>
      </c>
      <c r="L48" s="363">
        <f t="shared" si="2"/>
        <v>3</v>
      </c>
      <c r="M48" s="352"/>
      <c r="N48" s="352"/>
      <c r="O48" s="401" t="s">
        <v>36</v>
      </c>
      <c r="P48" s="402">
        <f>SUMIF($D$8:$D$55,$O48,$G$8:$G$55)+SUMIF($F$8:$F$55,$O48,$I$8:$I$55)</f>
        <v>3</v>
      </c>
      <c r="Q48" s="402">
        <f>SUMIF($D$8:$D$55,$O48,$I$8:$I$55)+SUMIF($F$8:$F$55,$O48,$G$8:$G$55)</f>
        <v>8</v>
      </c>
      <c r="R48" s="402">
        <f>P48-Q48</f>
        <v>-5</v>
      </c>
      <c r="S48" s="403">
        <f>SUMIF($D$8:$D$55,$O48,$K$8:$K$55)+SUMIF($F$8:$F$55,$O48,$L$8:$L$55)</f>
        <v>1</v>
      </c>
      <c r="T48" s="446" t="s">
        <v>80</v>
      </c>
      <c r="U48" s="40"/>
      <c r="V48" s="40" t="str">
        <f>O48</f>
        <v>Verenigde Staten</v>
      </c>
      <c r="W48" s="40" t="s">
        <v>80</v>
      </c>
      <c r="Y48" s="109">
        <f t="shared" si="8"/>
        <v>6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6</v>
      </c>
      <c r="AG48" s="108">
        <f t="shared" si="3"/>
        <v>0</v>
      </c>
      <c r="AH48" s="108">
        <f t="shared" si="4"/>
        <v>1</v>
      </c>
      <c r="AI48" s="108">
        <f t="shared" si="10"/>
        <v>0</v>
      </c>
      <c r="AJ48" s="108">
        <f t="shared" si="5"/>
        <v>0</v>
      </c>
      <c r="AK48" s="108">
        <f t="shared" si="6"/>
        <v>5</v>
      </c>
      <c r="AL48" s="108">
        <f t="shared" si="7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1</v>
      </c>
      <c r="H49" s="373" t="s">
        <v>9</v>
      </c>
      <c r="I49" s="441">
        <v>0</v>
      </c>
      <c r="J49" s="375">
        <f t="shared" si="0"/>
        <v>1</v>
      </c>
      <c r="K49" s="363">
        <f t="shared" si="1"/>
        <v>3</v>
      </c>
      <c r="L49" s="363">
        <f t="shared" si="2"/>
        <v>0</v>
      </c>
      <c r="M49" s="352"/>
      <c r="N49" s="352"/>
      <c r="O49" s="392"/>
      <c r="P49" s="393"/>
      <c r="Q49" s="393"/>
      <c r="R49" s="393"/>
      <c r="S49" s="393"/>
      <c r="T49" s="393"/>
      <c r="U49" s="40"/>
      <c r="V49" s="40"/>
      <c r="W49" s="40"/>
      <c r="Y49" s="109">
        <f t="shared" si="8"/>
        <v>5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5</v>
      </c>
      <c r="AG49" s="108">
        <f t="shared" si="3"/>
        <v>0</v>
      </c>
      <c r="AH49" s="108">
        <f t="shared" si="4"/>
        <v>0</v>
      </c>
      <c r="AI49" s="108">
        <f t="shared" si="10"/>
        <v>0</v>
      </c>
      <c r="AJ49" s="108">
        <f t="shared" si="5"/>
        <v>5</v>
      </c>
      <c r="AK49" s="108">
        <f t="shared" si="6"/>
        <v>0</v>
      </c>
      <c r="AL49" s="108">
        <f t="shared" si="7"/>
        <v>0</v>
      </c>
      <c r="AN49" s="40"/>
      <c r="AO49" s="41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1</v>
      </c>
      <c r="H50" s="373" t="s">
        <v>9</v>
      </c>
      <c r="I50" s="441">
        <v>2</v>
      </c>
      <c r="J50" s="375">
        <f t="shared" si="0"/>
        <v>2</v>
      </c>
      <c r="K50" s="363">
        <f t="shared" si="1"/>
        <v>0</v>
      </c>
      <c r="L50" s="363">
        <f t="shared" si="2"/>
        <v>3</v>
      </c>
      <c r="M50" s="352"/>
      <c r="N50" s="352"/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40"/>
      <c r="V50" s="40"/>
      <c r="W50" s="40"/>
      <c r="Y50" s="109">
        <f t="shared" si="8"/>
        <v>5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5</v>
      </c>
      <c r="AG50" s="108">
        <f t="shared" si="3"/>
        <v>0</v>
      </c>
      <c r="AH50" s="108">
        <f t="shared" si="4"/>
        <v>0</v>
      </c>
      <c r="AI50" s="108">
        <f t="shared" si="10"/>
        <v>0</v>
      </c>
      <c r="AJ50" s="108">
        <f t="shared" si="5"/>
        <v>0</v>
      </c>
      <c r="AK50" s="108">
        <f t="shared" si="6"/>
        <v>5</v>
      </c>
      <c r="AL50" s="108">
        <f t="shared" si="7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1</v>
      </c>
      <c r="H51" s="379" t="s">
        <v>9</v>
      </c>
      <c r="I51" s="442">
        <v>3</v>
      </c>
      <c r="J51" s="381">
        <f t="shared" si="0"/>
        <v>2</v>
      </c>
      <c r="K51" s="363">
        <f t="shared" si="1"/>
        <v>0</v>
      </c>
      <c r="L51" s="363">
        <f t="shared" si="2"/>
        <v>3</v>
      </c>
      <c r="M51" s="352"/>
      <c r="N51" s="352"/>
      <c r="O51" s="394" t="s">
        <v>37</v>
      </c>
      <c r="P51" s="395">
        <f>SUMIF($D$8:$D$55,$O51,$G$8:$G$55)+SUMIF($F$8:$F$55,$O51,$I$8:$I$55)</f>
        <v>9</v>
      </c>
      <c r="Q51" s="395">
        <f>SUMIF($D$8:$D$55,$O51,$I$8:$I$55)+SUMIF($F$8:$F$55,$O51,$G$8:$G$55)</f>
        <v>3</v>
      </c>
      <c r="R51" s="396">
        <f>P51-Q51</f>
        <v>6</v>
      </c>
      <c r="S51" s="397">
        <f>SUMIF($D$8:$D$55,$O51,$K$8:$K$55)+SUMIF($F$8:$F$55,$O51,$L$8:$L$55)</f>
        <v>6</v>
      </c>
      <c r="T51" s="444" t="s">
        <v>82</v>
      </c>
      <c r="U51" s="40"/>
      <c r="V51" s="40" t="str">
        <f>O51</f>
        <v>België</v>
      </c>
      <c r="W51" s="40" t="s">
        <v>82</v>
      </c>
      <c r="Y51" s="109">
        <f t="shared" si="8"/>
        <v>0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0</v>
      </c>
      <c r="AG51" s="108">
        <f t="shared" si="3"/>
        <v>0</v>
      </c>
      <c r="AH51" s="108">
        <f t="shared" si="4"/>
        <v>0</v>
      </c>
      <c r="AI51" s="108">
        <f t="shared" si="10"/>
        <v>0</v>
      </c>
      <c r="AJ51" s="108">
        <f t="shared" si="5"/>
        <v>0</v>
      </c>
      <c r="AK51" s="108">
        <f t="shared" si="6"/>
        <v>0</v>
      </c>
      <c r="AL51" s="108">
        <f t="shared" si="7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1</v>
      </c>
      <c r="H52" s="373" t="s">
        <v>9</v>
      </c>
      <c r="I52" s="441">
        <v>4</v>
      </c>
      <c r="J52" s="369">
        <f t="shared" si="0"/>
        <v>2</v>
      </c>
      <c r="K52" s="363">
        <f t="shared" si="1"/>
        <v>0</v>
      </c>
      <c r="L52" s="363">
        <f t="shared" si="2"/>
        <v>3</v>
      </c>
      <c r="M52" s="352"/>
      <c r="N52" s="352"/>
      <c r="O52" s="398" t="s">
        <v>38</v>
      </c>
      <c r="P52" s="399">
        <f>SUMIF($D$8:$D$55,$O52,$G$8:$G$55)+SUMIF($F$8:$F$55,$O52,$I$8:$I$55)</f>
        <v>1</v>
      </c>
      <c r="Q52" s="399">
        <f>SUMIF($D$8:$D$55,$O52,$I$8:$I$55)+SUMIF($F$8:$F$55,$O52,$G$8:$G$55)</f>
        <v>5</v>
      </c>
      <c r="R52" s="399">
        <f>P52-Q52</f>
        <v>-4</v>
      </c>
      <c r="S52" s="400">
        <f>SUMIF($D$8:$D$55,$O52,$K$8:$K$55)+SUMIF($F$8:$F$55,$O52,$L$8:$L$55)</f>
        <v>4</v>
      </c>
      <c r="T52" s="445" t="s">
        <v>84</v>
      </c>
      <c r="U52" s="40"/>
      <c r="V52" s="40" t="str">
        <f>O52</f>
        <v>Algerije</v>
      </c>
      <c r="W52" s="40" t="s">
        <v>83</v>
      </c>
      <c r="Y52" s="109">
        <f t="shared" si="8"/>
        <v>5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5</v>
      </c>
      <c r="AG52" s="108">
        <f t="shared" si="3"/>
        <v>0</v>
      </c>
      <c r="AH52" s="108">
        <f t="shared" si="4"/>
        <v>0</v>
      </c>
      <c r="AI52" s="108">
        <f t="shared" si="10"/>
        <v>0</v>
      </c>
      <c r="AJ52" s="108">
        <f t="shared" si="5"/>
        <v>0</v>
      </c>
      <c r="AK52" s="108">
        <f t="shared" si="6"/>
        <v>5</v>
      </c>
      <c r="AL52" s="108">
        <f t="shared" si="7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2</v>
      </c>
      <c r="H53" s="373" t="s">
        <v>9</v>
      </c>
      <c r="I53" s="441">
        <v>0</v>
      </c>
      <c r="J53" s="375">
        <f t="shared" si="0"/>
        <v>1</v>
      </c>
      <c r="K53" s="363">
        <f t="shared" si="1"/>
        <v>3</v>
      </c>
      <c r="L53" s="363">
        <f t="shared" si="2"/>
        <v>0</v>
      </c>
      <c r="M53" s="352"/>
      <c r="N53" s="352"/>
      <c r="O53" s="398" t="s">
        <v>39</v>
      </c>
      <c r="P53" s="399">
        <f>SUMIF($D$8:$D$55,$O53,$G$8:$G$55)+SUMIF($F$8:$F$55,$O53,$I$8:$I$55)</f>
        <v>6</v>
      </c>
      <c r="Q53" s="399">
        <f>SUMIF($D$8:$D$55,$O53,$I$8:$I$55)+SUMIF($F$8:$F$55,$O53,$G$8:$G$55)</f>
        <v>5</v>
      </c>
      <c r="R53" s="399">
        <f>P53-Q53</f>
        <v>1</v>
      </c>
      <c r="S53" s="400">
        <f>SUMIF($D$8:$D$55,$O53,$K$8:$K$55)+SUMIF($F$8:$F$55,$O53,$L$8:$L$55)</f>
        <v>6</v>
      </c>
      <c r="T53" s="445" t="s">
        <v>83</v>
      </c>
      <c r="U53" s="40"/>
      <c r="V53" s="40" t="str">
        <f>O53</f>
        <v>Rusland</v>
      </c>
      <c r="W53" s="40" t="s">
        <v>84</v>
      </c>
      <c r="Y53" s="109">
        <f t="shared" si="8"/>
        <v>6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6</v>
      </c>
      <c r="AG53" s="108">
        <f t="shared" si="3"/>
        <v>1</v>
      </c>
      <c r="AH53" s="108">
        <f t="shared" si="4"/>
        <v>0</v>
      </c>
      <c r="AI53" s="108">
        <f t="shared" si="10"/>
        <v>0</v>
      </c>
      <c r="AJ53" s="108">
        <f t="shared" si="5"/>
        <v>5</v>
      </c>
      <c r="AK53" s="108">
        <f t="shared" si="6"/>
        <v>0</v>
      </c>
      <c r="AL53" s="108">
        <f t="shared" si="7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1</v>
      </c>
      <c r="H54" s="373" t="s">
        <v>9</v>
      </c>
      <c r="I54" s="441">
        <v>3</v>
      </c>
      <c r="J54" s="375">
        <f t="shared" si="0"/>
        <v>2</v>
      </c>
      <c r="K54" s="363">
        <f t="shared" si="1"/>
        <v>0</v>
      </c>
      <c r="L54" s="363">
        <f t="shared" si="2"/>
        <v>3</v>
      </c>
      <c r="M54" s="352"/>
      <c r="N54" s="352"/>
      <c r="O54" s="401" t="s">
        <v>40</v>
      </c>
      <c r="P54" s="402">
        <f>SUMIF($D$8:$D$55,$O54,$G$8:$G$55)+SUMIF($F$8:$F$55,$O54,$I$8:$I$55)</f>
        <v>2</v>
      </c>
      <c r="Q54" s="402">
        <f>SUMIF($D$8:$D$55,$O54,$I$8:$I$55)+SUMIF($F$8:$F$55,$O54,$G$8:$G$55)</f>
        <v>5</v>
      </c>
      <c r="R54" s="402">
        <f>P54-Q54</f>
        <v>-3</v>
      </c>
      <c r="S54" s="403">
        <f>SUMIF($D$8:$D$55,$O54,$K$8:$K$55)+SUMIF($F$8:$F$55,$O54,$L$8:$L$55)</f>
        <v>1</v>
      </c>
      <c r="T54" s="446" t="s">
        <v>85</v>
      </c>
      <c r="U54" s="40"/>
      <c r="V54" s="40" t="str">
        <f>O54</f>
        <v>Zuid Korea</v>
      </c>
      <c r="W54" s="40" t="s">
        <v>85</v>
      </c>
      <c r="Y54" s="109">
        <f t="shared" si="8"/>
        <v>5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5</v>
      </c>
      <c r="AG54" s="108">
        <f t="shared" si="3"/>
        <v>0</v>
      </c>
      <c r="AH54" s="108">
        <f t="shared" si="4"/>
        <v>0</v>
      </c>
      <c r="AI54" s="108">
        <f t="shared" si="10"/>
        <v>0</v>
      </c>
      <c r="AJ54" s="108">
        <f t="shared" si="5"/>
        <v>0</v>
      </c>
      <c r="AK54" s="108">
        <f t="shared" si="6"/>
        <v>5</v>
      </c>
      <c r="AL54" s="108">
        <f t="shared" si="7"/>
        <v>0</v>
      </c>
      <c r="AM54" s="120">
        <f>AO54</f>
        <v>10</v>
      </c>
      <c r="AN54" s="118" t="s">
        <v>40</v>
      </c>
      <c r="AO54" s="115">
        <f>IF(Uitslag!T54="",0,IF(T54=Uitslag!T54,10,0))</f>
        <v>10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1</v>
      </c>
      <c r="H55" s="388" t="s">
        <v>9</v>
      </c>
      <c r="I55" s="443">
        <v>2</v>
      </c>
      <c r="J55" s="390">
        <f t="shared" si="0"/>
        <v>2</v>
      </c>
      <c r="K55" s="363">
        <f t="shared" si="1"/>
        <v>0</v>
      </c>
      <c r="L55" s="363">
        <f t="shared" si="2"/>
        <v>3</v>
      </c>
      <c r="M55" s="352"/>
      <c r="N55" s="352"/>
      <c r="O55" s="392"/>
      <c r="P55" s="393"/>
      <c r="Q55" s="393"/>
      <c r="R55" s="393"/>
      <c r="S55" s="393"/>
      <c r="T55" s="393"/>
      <c r="U55" s="40"/>
      <c r="V55" s="40"/>
      <c r="W55" s="40"/>
      <c r="Y55" s="109">
        <f t="shared" si="8"/>
        <v>1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</v>
      </c>
      <c r="AG55" s="108">
        <f t="shared" si="3"/>
        <v>1</v>
      </c>
      <c r="AH55" s="108">
        <f t="shared" si="4"/>
        <v>0</v>
      </c>
      <c r="AI55" s="108">
        <f t="shared" si="10"/>
        <v>0</v>
      </c>
      <c r="AJ55" s="108">
        <f t="shared" si="5"/>
        <v>0</v>
      </c>
      <c r="AK55" s="108">
        <f t="shared" si="6"/>
        <v>0</v>
      </c>
      <c r="AL55" s="108">
        <f t="shared" si="7"/>
        <v>0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N56" s="352"/>
      <c r="O56" s="352"/>
      <c r="P56" s="352"/>
      <c r="Q56" s="352"/>
      <c r="R56" s="352"/>
      <c r="S56" s="352"/>
      <c r="T56" s="352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27"/>
      <c r="K57" s="353"/>
      <c r="L57" s="353"/>
      <c r="M57" s="353"/>
      <c r="N57" s="352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32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N58" s="352"/>
      <c r="O58" s="458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 t="shared" ref="D59:D66" si="13">IF(ISERROR(Z59),K59,Z59)</f>
        <v>Brazilië</v>
      </c>
      <c r="E59" s="367" t="s">
        <v>9</v>
      </c>
      <c r="F59" s="406" t="str">
        <f t="shared" ref="F59:F66" si="14">IF(ISERROR(AA59),L59,AA59)</f>
        <v>Nederland</v>
      </c>
      <c r="G59" s="435">
        <v>2</v>
      </c>
      <c r="H59" s="367" t="s">
        <v>9</v>
      </c>
      <c r="I59" s="447">
        <v>0</v>
      </c>
      <c r="J59" s="448">
        <v>1</v>
      </c>
      <c r="K59" s="407" t="s">
        <v>48</v>
      </c>
      <c r="L59" s="407" t="s">
        <v>53</v>
      </c>
      <c r="M59" s="407">
        <v>1</v>
      </c>
      <c r="N59" s="352"/>
      <c r="O59" s="458">
        <v>2</v>
      </c>
      <c r="P59" s="877" t="s">
        <v>225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5">AF59</f>
        <v>0</v>
      </c>
      <c r="Z59" t="str">
        <f t="shared" ref="Z59:AA65" si="16">IF(K59=""," ",VLOOKUP(K59,$T$9:$V$54,3,FALSE))</f>
        <v>Brazilië</v>
      </c>
      <c r="AA59" t="str">
        <f t="shared" si="16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7">IF(OR(AC59="",AD59=""),0,(IF(SUM(AG59:AL59)&gt;10,10,SUM(AG59:AL59))))</f>
        <v>0</v>
      </c>
      <c r="AG59" s="108">
        <f t="shared" ref="AG59:AG66" si="18">IF(AC59="",0,(IF(G59=AC59,1,0)))</f>
        <v>0</v>
      </c>
      <c r="AH59" s="108">
        <f t="shared" ref="AH59:AH66" si="19">IF(AD59="",0,(IF(I59=AD59,1,0)))</f>
        <v>0</v>
      </c>
      <c r="AI59" s="108">
        <f t="shared" ref="AI59:AI66" si="20">IF(AND(AG59=1,AH59=1),10,0)</f>
        <v>0</v>
      </c>
      <c r="AJ59" s="108">
        <f t="shared" ref="AJ59:AJ66" si="21">IF(AND(G59&gt;I59,AC59&gt;AD59),5,0)</f>
        <v>0</v>
      </c>
      <c r="AK59" s="108">
        <f t="shared" ref="AK59:AK66" si="22">IF(AND(G59&lt;I59,AC59&lt;AD59),5,0)</f>
        <v>0</v>
      </c>
      <c r="AL59" s="108">
        <f t="shared" ref="AL59:AL66" si="23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4">BA59</f>
        <v>3</v>
      </c>
    </row>
    <row r="60" spans="2:54">
      <c r="B60" s="376">
        <v>50</v>
      </c>
      <c r="C60" s="466">
        <v>41818</v>
      </c>
      <c r="D60" s="460" t="str">
        <f t="shared" si="13"/>
        <v>Colombia</v>
      </c>
      <c r="E60" s="379" t="s">
        <v>9</v>
      </c>
      <c r="F60" s="409" t="str">
        <f t="shared" si="14"/>
        <v>Engeland</v>
      </c>
      <c r="G60" s="437">
        <v>1</v>
      </c>
      <c r="H60" s="379" t="s">
        <v>9</v>
      </c>
      <c r="I60" s="449">
        <v>2</v>
      </c>
      <c r="J60" s="450">
        <v>2</v>
      </c>
      <c r="K60" s="407" t="s">
        <v>57</v>
      </c>
      <c r="L60" s="407" t="s">
        <v>63</v>
      </c>
      <c r="M60" s="407">
        <v>2</v>
      </c>
      <c r="N60" s="352"/>
      <c r="O60" s="458">
        <v>3</v>
      </c>
      <c r="P60" s="877" t="s">
        <v>209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5"/>
        <v>0</v>
      </c>
      <c r="Z60" t="str">
        <f t="shared" si="16"/>
        <v>Colombia</v>
      </c>
      <c r="AA60" t="str">
        <f t="shared" si="16"/>
        <v>Engeland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7"/>
        <v>0</v>
      </c>
      <c r="AG60" s="108">
        <f t="shared" si="18"/>
        <v>0</v>
      </c>
      <c r="AH60" s="108">
        <f t="shared" si="19"/>
        <v>0</v>
      </c>
      <c r="AI60" s="108">
        <f t="shared" si="20"/>
        <v>0</v>
      </c>
      <c r="AJ60" s="108">
        <f t="shared" si="21"/>
        <v>0</v>
      </c>
      <c r="AK60" s="108">
        <f t="shared" si="22"/>
        <v>0</v>
      </c>
      <c r="AL60" s="108">
        <f t="shared" si="23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4"/>
        <v>3</v>
      </c>
    </row>
    <row r="61" spans="2:54">
      <c r="B61" s="364">
        <v>51</v>
      </c>
      <c r="C61" s="465">
        <v>41819</v>
      </c>
      <c r="D61" s="464" t="str">
        <f t="shared" si="13"/>
        <v>Spanje</v>
      </c>
      <c r="E61" s="367" t="s">
        <v>9</v>
      </c>
      <c r="F61" s="406" t="str">
        <f t="shared" si="14"/>
        <v>Kroatië</v>
      </c>
      <c r="G61" s="435">
        <v>2</v>
      </c>
      <c r="H61" s="367" t="s">
        <v>9</v>
      </c>
      <c r="I61" s="447">
        <v>0</v>
      </c>
      <c r="J61" s="448">
        <v>1</v>
      </c>
      <c r="K61" s="407" t="s">
        <v>52</v>
      </c>
      <c r="L61" s="407" t="s">
        <v>49</v>
      </c>
      <c r="M61" s="407"/>
      <c r="N61" s="352"/>
      <c r="O61" s="458">
        <v>4</v>
      </c>
      <c r="P61" s="877" t="s">
        <v>229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5"/>
        <v>6</v>
      </c>
      <c r="Z61" t="str">
        <f t="shared" si="16"/>
        <v>Spanje</v>
      </c>
      <c r="AA61" t="str">
        <f t="shared" si="16"/>
        <v>Kroatië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7"/>
        <v>6</v>
      </c>
      <c r="AG61" s="108">
        <f t="shared" si="18"/>
        <v>1</v>
      </c>
      <c r="AH61" s="108">
        <f t="shared" si="19"/>
        <v>0</v>
      </c>
      <c r="AI61" s="108">
        <f t="shared" si="20"/>
        <v>0</v>
      </c>
      <c r="AJ61" s="108">
        <f t="shared" si="21"/>
        <v>5</v>
      </c>
      <c r="AK61" s="108">
        <f t="shared" si="22"/>
        <v>0</v>
      </c>
      <c r="AL61" s="108">
        <f t="shared" si="23"/>
        <v>0</v>
      </c>
      <c r="AZ61" s="138" t="str">
        <f>Uitslag!P61</f>
        <v>Ron Vlaar (v)</v>
      </c>
      <c r="BA61" s="140">
        <f t="shared" si="12"/>
        <v>0</v>
      </c>
      <c r="BB61" s="139">
        <f t="shared" si="24"/>
        <v>0</v>
      </c>
    </row>
    <row r="62" spans="2:54">
      <c r="B62" s="376">
        <v>52</v>
      </c>
      <c r="C62" s="466">
        <v>41819</v>
      </c>
      <c r="D62" s="464" t="str">
        <f t="shared" si="13"/>
        <v>Italië</v>
      </c>
      <c r="E62" s="379" t="s">
        <v>9</v>
      </c>
      <c r="F62" s="409" t="str">
        <f t="shared" si="14"/>
        <v>Ivoorkust</v>
      </c>
      <c r="G62" s="437">
        <v>3</v>
      </c>
      <c r="H62" s="379" t="s">
        <v>9</v>
      </c>
      <c r="I62" s="449">
        <v>1</v>
      </c>
      <c r="J62" s="450">
        <v>1</v>
      </c>
      <c r="K62" s="407" t="s">
        <v>62</v>
      </c>
      <c r="L62" s="407" t="s">
        <v>58</v>
      </c>
      <c r="M62" s="407"/>
      <c r="N62" s="352"/>
      <c r="O62" s="458">
        <v>5</v>
      </c>
      <c r="P62" s="877" t="s">
        <v>212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5"/>
        <v>1</v>
      </c>
      <c r="Z62" t="str">
        <f t="shared" si="16"/>
        <v>Italië</v>
      </c>
      <c r="AA62" t="str">
        <f t="shared" si="16"/>
        <v>Ivoorkust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7"/>
        <v>1</v>
      </c>
      <c r="AG62" s="108">
        <f t="shared" si="18"/>
        <v>0</v>
      </c>
      <c r="AH62" s="108">
        <f t="shared" si="19"/>
        <v>1</v>
      </c>
      <c r="AI62" s="108">
        <f t="shared" si="20"/>
        <v>0</v>
      </c>
      <c r="AJ62" s="108">
        <f t="shared" si="21"/>
        <v>0</v>
      </c>
      <c r="AK62" s="108">
        <f t="shared" si="22"/>
        <v>0</v>
      </c>
      <c r="AL62" s="108">
        <f t="shared" si="23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4"/>
        <v>3</v>
      </c>
    </row>
    <row r="63" spans="2:54">
      <c r="B63" s="364">
        <v>53</v>
      </c>
      <c r="C63" s="465">
        <v>41820</v>
      </c>
      <c r="D63" s="459" t="str">
        <f t="shared" si="13"/>
        <v>Frankrijk</v>
      </c>
      <c r="E63" s="367" t="s">
        <v>9</v>
      </c>
      <c r="F63" s="406" t="str">
        <f t="shared" si="14"/>
        <v>Bosnië H.</v>
      </c>
      <c r="G63" s="435">
        <v>2</v>
      </c>
      <c r="H63" s="367" t="s">
        <v>9</v>
      </c>
      <c r="I63" s="447">
        <v>0</v>
      </c>
      <c r="J63" s="448">
        <v>1</v>
      </c>
      <c r="K63" s="407" t="s">
        <v>67</v>
      </c>
      <c r="L63" s="407" t="s">
        <v>73</v>
      </c>
      <c r="M63" s="407"/>
      <c r="N63" s="352"/>
      <c r="O63" s="458">
        <v>6</v>
      </c>
      <c r="P63" s="877" t="s">
        <v>214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5"/>
        <v>10</v>
      </c>
      <c r="Z63" t="str">
        <f t="shared" si="16"/>
        <v>Frankrijk</v>
      </c>
      <c r="AA63" t="str">
        <f t="shared" si="16"/>
        <v>Bosnië H.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7"/>
        <v>10</v>
      </c>
      <c r="AG63" s="108">
        <f t="shared" si="18"/>
        <v>1</v>
      </c>
      <c r="AH63" s="108">
        <f t="shared" si="19"/>
        <v>1</v>
      </c>
      <c r="AI63" s="108">
        <f t="shared" si="20"/>
        <v>10</v>
      </c>
      <c r="AJ63" s="108">
        <f t="shared" si="21"/>
        <v>5</v>
      </c>
      <c r="AK63" s="108">
        <f t="shared" si="22"/>
        <v>0</v>
      </c>
      <c r="AL63" s="108">
        <f t="shared" si="23"/>
        <v>0</v>
      </c>
      <c r="AZ63" s="138" t="str">
        <f>Uitslag!P63</f>
        <v>Daley Blind (v)</v>
      </c>
      <c r="BA63" s="140">
        <f t="shared" si="12"/>
        <v>3</v>
      </c>
      <c r="BB63" s="139">
        <f t="shared" si="24"/>
        <v>3</v>
      </c>
    </row>
    <row r="64" spans="2:54">
      <c r="B64" s="376">
        <v>54</v>
      </c>
      <c r="C64" s="466">
        <v>41820</v>
      </c>
      <c r="D64" s="460" t="str">
        <f t="shared" si="13"/>
        <v>Duitsland</v>
      </c>
      <c r="E64" s="379" t="s">
        <v>9</v>
      </c>
      <c r="F64" s="409" t="str">
        <f t="shared" si="14"/>
        <v>Rusland</v>
      </c>
      <c r="G64" s="437">
        <v>3</v>
      </c>
      <c r="H64" s="379" t="s">
        <v>9</v>
      </c>
      <c r="I64" s="449">
        <v>1</v>
      </c>
      <c r="J64" s="450">
        <v>1</v>
      </c>
      <c r="K64" s="407" t="s">
        <v>77</v>
      </c>
      <c r="L64" s="407" t="s">
        <v>83</v>
      </c>
      <c r="M64" s="407"/>
      <c r="N64" s="352"/>
      <c r="O64" s="458">
        <v>7</v>
      </c>
      <c r="P64" s="877" t="s">
        <v>226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5"/>
        <v>0</v>
      </c>
      <c r="Z64" t="str">
        <f t="shared" si="16"/>
        <v>Duitsland</v>
      </c>
      <c r="AA64" t="str">
        <f t="shared" si="16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7"/>
        <v>0</v>
      </c>
      <c r="AG64" s="108">
        <f t="shared" si="18"/>
        <v>0</v>
      </c>
      <c r="AH64" s="108">
        <f t="shared" si="19"/>
        <v>0</v>
      </c>
      <c r="AI64" s="108">
        <f t="shared" si="20"/>
        <v>0</v>
      </c>
      <c r="AJ64" s="108">
        <f t="shared" si="21"/>
        <v>0</v>
      </c>
      <c r="AK64" s="108">
        <f t="shared" si="22"/>
        <v>0</v>
      </c>
      <c r="AL64" s="108">
        <f t="shared" si="23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4"/>
        <v>3</v>
      </c>
    </row>
    <row r="65" spans="2:54">
      <c r="B65" s="370">
        <v>55</v>
      </c>
      <c r="C65" s="467">
        <v>41821</v>
      </c>
      <c r="D65" s="459" t="str">
        <f t="shared" si="13"/>
        <v>Argentinië</v>
      </c>
      <c r="E65" s="373" t="s">
        <v>9</v>
      </c>
      <c r="F65" s="410" t="str">
        <f t="shared" si="14"/>
        <v>Zwitserland</v>
      </c>
      <c r="G65" s="436">
        <v>2</v>
      </c>
      <c r="H65" s="373" t="s">
        <v>9</v>
      </c>
      <c r="I65" s="451">
        <v>0</v>
      </c>
      <c r="J65" s="452">
        <v>1</v>
      </c>
      <c r="K65" s="407" t="s">
        <v>72</v>
      </c>
      <c r="L65" s="407" t="s">
        <v>68</v>
      </c>
      <c r="M65" s="407"/>
      <c r="N65" s="352"/>
      <c r="O65" s="458">
        <v>8</v>
      </c>
      <c r="P65" s="877" t="s">
        <v>213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5"/>
        <v>1</v>
      </c>
      <c r="Z65" t="str">
        <f t="shared" si="16"/>
        <v>Argentinië</v>
      </c>
      <c r="AA65" t="str">
        <f t="shared" si="16"/>
        <v>Zwitserland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7"/>
        <v>1</v>
      </c>
      <c r="AG65" s="108">
        <f t="shared" si="18"/>
        <v>0</v>
      </c>
      <c r="AH65" s="108">
        <f t="shared" si="19"/>
        <v>1</v>
      </c>
      <c r="AI65" s="108">
        <f t="shared" si="20"/>
        <v>0</v>
      </c>
      <c r="AJ65" s="108">
        <f t="shared" si="21"/>
        <v>0</v>
      </c>
      <c r="AK65" s="108">
        <f t="shared" si="22"/>
        <v>0</v>
      </c>
      <c r="AL65" s="108">
        <f t="shared" si="23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4"/>
        <v>3</v>
      </c>
    </row>
    <row r="66" spans="2:54" ht="15.75" thickBot="1">
      <c r="B66" s="385">
        <v>56</v>
      </c>
      <c r="C66" s="462">
        <v>41821</v>
      </c>
      <c r="D66" s="461" t="str">
        <f t="shared" si="13"/>
        <v>België</v>
      </c>
      <c r="E66" s="388" t="s">
        <v>9</v>
      </c>
      <c r="F66" s="412" t="str">
        <f t="shared" si="14"/>
        <v>Portugal</v>
      </c>
      <c r="G66" s="438">
        <v>1</v>
      </c>
      <c r="H66" s="388" t="s">
        <v>9</v>
      </c>
      <c r="I66" s="453">
        <v>2</v>
      </c>
      <c r="J66" s="454">
        <v>2</v>
      </c>
      <c r="K66" s="407" t="s">
        <v>82</v>
      </c>
      <c r="L66" s="407" t="s">
        <v>78</v>
      </c>
      <c r="M66" s="407"/>
      <c r="N66" s="352"/>
      <c r="O66" s="458">
        <v>9</v>
      </c>
      <c r="P66" s="877" t="s">
        <v>216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5"/>
        <v>0</v>
      </c>
      <c r="Z66" t="str">
        <f>IF(K66=""," ",VLOOKUP(K66,$T$9:$V$54,3,FALSE))</f>
        <v>België</v>
      </c>
      <c r="AA66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7"/>
        <v>0</v>
      </c>
      <c r="AG66" s="108">
        <f t="shared" si="18"/>
        <v>0</v>
      </c>
      <c r="AH66" s="108">
        <f t="shared" si="19"/>
        <v>0</v>
      </c>
      <c r="AI66" s="108">
        <f t="shared" si="20"/>
        <v>0</v>
      </c>
      <c r="AJ66" s="108">
        <f t="shared" si="21"/>
        <v>0</v>
      </c>
      <c r="AK66" s="108">
        <f t="shared" si="22"/>
        <v>0</v>
      </c>
      <c r="AL66" s="108">
        <f t="shared" si="23"/>
        <v>0</v>
      </c>
      <c r="AZ66" s="138" t="str">
        <f>Uitslag!P66</f>
        <v>Jonathan de Guzman (m)</v>
      </c>
      <c r="BA66" s="140">
        <f t="shared" si="12"/>
        <v>3</v>
      </c>
      <c r="BB66" s="139">
        <f t="shared" si="24"/>
        <v>3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N67" s="352"/>
      <c r="O67" s="458">
        <v>10</v>
      </c>
      <c r="P67" s="877" t="s">
        <v>215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4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27"/>
      <c r="K68" s="353"/>
      <c r="L68" s="353"/>
      <c r="M68" s="353"/>
      <c r="N68" s="352"/>
      <c r="O68" s="458">
        <v>11</v>
      </c>
      <c r="P68" s="877" t="s">
        <v>230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0</v>
      </c>
      <c r="BB68" s="139">
        <f t="shared" si="24"/>
        <v>0</v>
      </c>
    </row>
    <row r="69" spans="2:54">
      <c r="B69" s="428" t="s">
        <v>1</v>
      </c>
      <c r="C69" s="429" t="s">
        <v>2</v>
      </c>
      <c r="D69" s="430" t="s">
        <v>3</v>
      </c>
      <c r="E69" s="431"/>
      <c r="F69" s="432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N69" s="352"/>
      <c r="O69" s="352"/>
      <c r="P69" s="352"/>
      <c r="Q69" s="352"/>
      <c r="R69" s="352"/>
      <c r="S69" s="352"/>
      <c r="T69" s="352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27</v>
      </c>
      <c r="BB69" s="139" t="str">
        <f>IF(AND(BA69&lt;&gt;"",BA69=33),15,"nvt")</f>
        <v>nvt</v>
      </c>
    </row>
    <row r="70" spans="2:54">
      <c r="B70" s="364">
        <v>57</v>
      </c>
      <c r="C70" s="365">
        <v>41824</v>
      </c>
      <c r="D70" s="405" t="str">
        <f>IF(J63="","Winnaar 53",IF(J63=1,D63,F63))</f>
        <v>Frankrijk</v>
      </c>
      <c r="E70" s="367" t="s">
        <v>9</v>
      </c>
      <c r="F70" s="406" t="str">
        <f>IF(J64="","Winnaar 54",IF(J64=1,D64,F64))</f>
        <v>Duitsland</v>
      </c>
      <c r="G70" s="435">
        <v>1</v>
      </c>
      <c r="H70" s="367" t="s">
        <v>9</v>
      </c>
      <c r="I70" s="447">
        <v>3</v>
      </c>
      <c r="J70" s="448">
        <v>2</v>
      </c>
      <c r="K70" s="353"/>
      <c r="L70" s="353"/>
      <c r="M70" s="353"/>
      <c r="N70" s="352"/>
      <c r="O70" s="352"/>
      <c r="P70" s="352"/>
      <c r="Q70" s="352"/>
      <c r="R70" s="352"/>
      <c r="S70" s="352"/>
      <c r="T70" s="352"/>
      <c r="V70" t="s">
        <v>133</v>
      </c>
      <c r="W70" t="s">
        <v>126</v>
      </c>
      <c r="X70" t="str">
        <f t="shared" si="11"/>
        <v>Karim Rekik (v)</v>
      </c>
      <c r="Y70" s="109">
        <f>AF70</f>
        <v>5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5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Brazilië</v>
      </c>
      <c r="E71" s="379" t="s">
        <v>9</v>
      </c>
      <c r="F71" s="409" t="str">
        <f>IF(J60="","Winnaar 50",IF(J60=1,D60,F60))</f>
        <v>Engeland</v>
      </c>
      <c r="G71" s="437">
        <v>3</v>
      </c>
      <c r="H71" s="379" t="s">
        <v>9</v>
      </c>
      <c r="I71" s="449">
        <v>1</v>
      </c>
      <c r="J71" s="450">
        <v>1</v>
      </c>
      <c r="K71" s="353"/>
      <c r="L71" s="353"/>
      <c r="M71" s="353"/>
      <c r="N71" s="352"/>
      <c r="O71" s="352"/>
      <c r="P71" s="352"/>
      <c r="Q71" s="352"/>
      <c r="R71" s="352"/>
      <c r="S71" s="352"/>
      <c r="T71" s="352"/>
      <c r="V71" t="s">
        <v>133</v>
      </c>
      <c r="W71" t="s">
        <v>194</v>
      </c>
      <c r="X71" t="str">
        <f t="shared" si="11"/>
        <v>Ron Vlaar (v)</v>
      </c>
      <c r="Y71" s="109">
        <f>AF71</f>
        <v>6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6</v>
      </c>
      <c r="AG71" s="108">
        <f>IF(AC71="",0,(IF(G71=AC71,1,0)))</f>
        <v>0</v>
      </c>
      <c r="AH71" s="108">
        <f>IF(AD71="",0,(IF(I71=AD71,1,0)))</f>
        <v>1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Argentinië</v>
      </c>
      <c r="E72" s="367" t="s">
        <v>9</v>
      </c>
      <c r="F72" s="406" t="str">
        <f>IF(J66="","Winnaar 56",IF(J66=1,D66,F66))</f>
        <v>Portugal</v>
      </c>
      <c r="G72" s="435">
        <v>1</v>
      </c>
      <c r="H72" s="367" t="s">
        <v>9</v>
      </c>
      <c r="I72" s="447">
        <v>0</v>
      </c>
      <c r="J72" s="448">
        <v>1</v>
      </c>
      <c r="K72" s="353"/>
      <c r="L72" s="353"/>
      <c r="M72" s="353"/>
      <c r="N72" s="352"/>
      <c r="O72" s="352"/>
      <c r="P72" s="352"/>
      <c r="Q72" s="352"/>
      <c r="R72" s="352"/>
      <c r="S72" s="352"/>
      <c r="T72" s="352"/>
      <c r="V72" t="s">
        <v>133</v>
      </c>
      <c r="W72" t="s">
        <v>195</v>
      </c>
      <c r="X72" t="str">
        <f t="shared" si="11"/>
        <v>John Heitinga (v)</v>
      </c>
      <c r="Y72" s="109">
        <f>AF72</f>
        <v>10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10</v>
      </c>
      <c r="AG72" s="108">
        <f>IF(AC72="",0,(IF(G72=AC72,1,0)))</f>
        <v>1</v>
      </c>
      <c r="AH72" s="108">
        <f>IF(AD72="",0,(IF(I72=AD72,1,0)))</f>
        <v>1</v>
      </c>
      <c r="AI72" s="108">
        <f>IF(AND(AG72=1,AH72=1),10,0)</f>
        <v>10</v>
      </c>
      <c r="AJ72" s="108">
        <f>IF(AND(G72&gt;I72,AC72&gt;AD72),5,0)</f>
        <v>5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Spanje</v>
      </c>
      <c r="E73" s="388" t="s">
        <v>9</v>
      </c>
      <c r="F73" s="412" t="str">
        <f>IF(J62="","Winnaar 52",IF(J62=1,D62,F62))</f>
        <v>Italië</v>
      </c>
      <c r="G73" s="438">
        <v>1</v>
      </c>
      <c r="H73" s="388" t="s">
        <v>9</v>
      </c>
      <c r="I73" s="453">
        <v>0</v>
      </c>
      <c r="J73" s="454">
        <v>1</v>
      </c>
      <c r="K73" s="353"/>
      <c r="L73" s="353"/>
      <c r="M73" s="353"/>
      <c r="N73" s="352"/>
      <c r="O73" s="352"/>
      <c r="P73" s="352"/>
      <c r="Q73" s="352"/>
      <c r="R73" s="352"/>
      <c r="S73" s="352"/>
      <c r="T73" s="352"/>
      <c r="V73" t="s">
        <v>133</v>
      </c>
      <c r="W73" t="s">
        <v>196</v>
      </c>
      <c r="X73" t="str">
        <f t="shared" si="11"/>
        <v>Urby Emanuelson (v)</v>
      </c>
      <c r="Y73" s="109">
        <f>AF73</f>
        <v>1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1</v>
      </c>
      <c r="AG73" s="108">
        <f>IF(AC73="",0,(IF(G73=AC73,1,0)))</f>
        <v>0</v>
      </c>
      <c r="AH73" s="108">
        <f>IF(AD73="",0,(IF(I73=AD73,1,0)))</f>
        <v>1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N74" s="352"/>
      <c r="O74" s="352"/>
      <c r="P74" s="352"/>
      <c r="Q74" s="352"/>
      <c r="R74" s="352"/>
      <c r="S74" s="352"/>
      <c r="T74" s="352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27"/>
      <c r="K75" s="353"/>
      <c r="L75" s="353"/>
      <c r="M75" s="353"/>
      <c r="N75" s="352"/>
      <c r="O75" s="352"/>
      <c r="P75" s="352"/>
      <c r="Q75" s="352"/>
      <c r="R75" s="352"/>
      <c r="S75" s="352"/>
      <c r="T75" s="352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30" t="s">
        <v>3</v>
      </c>
      <c r="E76" s="431"/>
      <c r="F76" s="432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N76" s="352"/>
      <c r="O76" s="352"/>
      <c r="P76" s="352"/>
      <c r="Q76" s="352"/>
      <c r="R76" s="352"/>
      <c r="S76" s="352"/>
      <c r="T76" s="352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Duitsland</v>
      </c>
      <c r="E77" s="367" t="s">
        <v>9</v>
      </c>
      <c r="F77" s="406" t="str">
        <f>IF(J71="","Winnaar 58",IF(J71=1,D71,F71))</f>
        <v>Brazilië</v>
      </c>
      <c r="G77" s="435">
        <v>1</v>
      </c>
      <c r="H77" s="367" t="s">
        <v>9</v>
      </c>
      <c r="I77" s="447">
        <v>1</v>
      </c>
      <c r="J77" s="448">
        <v>2</v>
      </c>
      <c r="K77" s="353"/>
      <c r="L77" s="353"/>
      <c r="M77" s="353"/>
      <c r="N77" s="352"/>
      <c r="O77" s="352"/>
      <c r="P77" s="352"/>
      <c r="Q77" s="352"/>
      <c r="R77" s="352"/>
      <c r="S77" s="352"/>
      <c r="T77" s="352"/>
      <c r="V77" t="s">
        <v>134</v>
      </c>
      <c r="W77" t="s">
        <v>203</v>
      </c>
      <c r="X77" t="str">
        <f t="shared" si="11"/>
        <v>Marco van Ginkel (m)</v>
      </c>
      <c r="Y77" s="109">
        <f>AF77</f>
        <v>1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1</v>
      </c>
      <c r="AG77" s="108">
        <f>IF(AC77="",0,(IF(G77=AC77,1,0)))</f>
        <v>0</v>
      </c>
      <c r="AH77" s="108">
        <f>IF(AD77="",0,(IF(I77=AD77,1,0)))</f>
        <v>1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Argentinië</v>
      </c>
      <c r="E78" s="388" t="s">
        <v>9</v>
      </c>
      <c r="F78" s="412" t="str">
        <f>IF(J73="","Winnaar 60",IF(J73=1,D73,F73))</f>
        <v>Spanje</v>
      </c>
      <c r="G78" s="438">
        <v>1</v>
      </c>
      <c r="H78" s="388" t="s">
        <v>9</v>
      </c>
      <c r="I78" s="453">
        <v>1</v>
      </c>
      <c r="J78" s="454">
        <v>1</v>
      </c>
      <c r="K78" s="353"/>
      <c r="L78" s="353"/>
      <c r="M78" s="353"/>
      <c r="N78" s="352"/>
      <c r="O78" s="352"/>
      <c r="P78" s="352"/>
      <c r="Q78" s="352"/>
      <c r="R78" s="352"/>
      <c r="S78" s="352"/>
      <c r="T78" s="352"/>
      <c r="V78" t="s">
        <v>134</v>
      </c>
      <c r="W78" t="s">
        <v>199</v>
      </c>
      <c r="X78" t="str">
        <f t="shared" si="11"/>
        <v>Leroy Fer (m)</v>
      </c>
      <c r="Y78" s="109">
        <f>AF78</f>
        <v>5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5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5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N79" s="352"/>
      <c r="O79" s="352"/>
      <c r="P79" s="352"/>
      <c r="Q79" s="352"/>
      <c r="R79" s="352"/>
      <c r="S79" s="352"/>
      <c r="T79" s="352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27"/>
      <c r="K80" s="353"/>
      <c r="L80" s="353"/>
      <c r="M80" s="353"/>
      <c r="N80" s="352"/>
      <c r="O80" s="352"/>
      <c r="P80" s="352"/>
      <c r="Q80" s="352"/>
      <c r="R80" s="352"/>
      <c r="S80" s="352"/>
      <c r="T80" s="352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30" t="s">
        <v>3</v>
      </c>
      <c r="E81" s="431"/>
      <c r="F81" s="432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N81" s="352"/>
      <c r="O81" s="352"/>
      <c r="P81" s="352"/>
      <c r="Q81" s="352"/>
      <c r="R81" s="352"/>
      <c r="S81" s="352"/>
      <c r="T81" s="352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Duitsland</v>
      </c>
      <c r="E82" s="355" t="s">
        <v>9</v>
      </c>
      <c r="F82" s="415" t="str">
        <f>IF(J78="","Verliezer 62",IF(J78=1,F78,D78))</f>
        <v>Spanje</v>
      </c>
      <c r="G82" s="455">
        <v>1</v>
      </c>
      <c r="H82" s="355" t="s">
        <v>9</v>
      </c>
      <c r="I82" s="456">
        <v>0</v>
      </c>
      <c r="J82" s="457">
        <v>1</v>
      </c>
      <c r="K82" s="353"/>
      <c r="L82" s="353"/>
      <c r="M82" s="353"/>
      <c r="N82" s="352"/>
      <c r="O82" s="352"/>
      <c r="P82" s="352"/>
      <c r="Q82" s="352"/>
      <c r="R82" s="352"/>
      <c r="S82" s="352"/>
      <c r="T82" s="352"/>
      <c r="V82" t="s">
        <v>134</v>
      </c>
      <c r="W82" t="s">
        <v>125</v>
      </c>
      <c r="X8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N83" s="352"/>
      <c r="O83" s="352"/>
      <c r="P83" s="352"/>
      <c r="Q83" s="352"/>
      <c r="R83" s="352"/>
      <c r="S83" s="352"/>
      <c r="T83" s="352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27"/>
      <c r="K84" s="353"/>
      <c r="L84" s="353"/>
      <c r="M84" s="353"/>
      <c r="N84" s="352"/>
      <c r="O84" s="352"/>
      <c r="P84" s="352"/>
      <c r="Q84" s="352"/>
      <c r="R84" s="352"/>
      <c r="S84" s="352"/>
      <c r="T84" s="352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30" t="s">
        <v>3</v>
      </c>
      <c r="E85" s="431"/>
      <c r="F85" s="432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N85" s="352"/>
      <c r="O85" s="352"/>
      <c r="P85" s="352"/>
      <c r="Q85" s="352"/>
      <c r="R85" s="352"/>
      <c r="S85" s="352"/>
      <c r="T85" s="352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Brazilië</v>
      </c>
      <c r="E86" s="355" t="s">
        <v>9</v>
      </c>
      <c r="F86" s="415" t="str">
        <f>IF(J78="","Winnaar 62",IF(J78=1,D78,F78))</f>
        <v>Argentinië</v>
      </c>
      <c r="G86" s="455">
        <v>2</v>
      </c>
      <c r="H86" s="355" t="s">
        <v>9</v>
      </c>
      <c r="I86" s="456">
        <v>0</v>
      </c>
      <c r="J86" s="457">
        <v>1</v>
      </c>
      <c r="K86" s="353"/>
      <c r="L86" s="353"/>
      <c r="M86" s="353"/>
      <c r="N86" s="352"/>
      <c r="O86" s="352"/>
      <c r="P86" s="352"/>
      <c r="Q86" s="352"/>
      <c r="R86" s="352"/>
      <c r="S86" s="352"/>
      <c r="T86" s="352"/>
      <c r="V86" t="s">
        <v>134</v>
      </c>
      <c r="W86" t="s">
        <v>139</v>
      </c>
      <c r="X86" t="str">
        <f t="shared" si="11"/>
        <v>Nigel de Jong (m)</v>
      </c>
      <c r="Y86" s="109">
        <f>AF86</f>
        <v>1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1</v>
      </c>
      <c r="AG86" s="108">
        <f>IF(AC86="",0,(IF(G86=AC86,1,0)))</f>
        <v>0</v>
      </c>
      <c r="AH86" s="108">
        <f>IF(AD86="",0,(IF(I86=AD86,1,0)))</f>
        <v>1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Brazilië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5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5</v>
      </c>
      <c r="AV89">
        <f>IF(AR89=0,0,IF(E89=AR89,50,0))</f>
        <v>0</v>
      </c>
      <c r="AW89">
        <f>IF(E89=0,0,IF(OR(E89=AR90),15,0))</f>
        <v>0</v>
      </c>
      <c r="AX89">
        <f>IF(E89=0,0,IF(OR(E89=AR91,E89=AR92),5,0))</f>
        <v>5</v>
      </c>
    </row>
    <row r="90" spans="2:50">
      <c r="C90" s="870">
        <v>2</v>
      </c>
      <c r="D90" s="871"/>
      <c r="E90" s="872" t="str">
        <f>IF(J86=2,D86,IF(J86=1,F86,"Wie wordt 2de?"))</f>
        <v>Argentinië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25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25</v>
      </c>
      <c r="AV90">
        <f>IF(AR90=0,0,IF(AR90=E90,25,0))</f>
        <v>25</v>
      </c>
      <c r="AW90">
        <f>IF(E90=0,0,IF(OR(E90=AR89,),15,0))</f>
        <v>0</v>
      </c>
      <c r="AX90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Duitsland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5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5</v>
      </c>
      <c r="AV91">
        <f>IF(AR91=0,0,IF(AR91=E91,15,0))</f>
        <v>0</v>
      </c>
      <c r="AW91">
        <f>IF(E91=0,0,IF(OR(E91=AR92),10,0))</f>
        <v>0</v>
      </c>
      <c r="AX91">
        <f>IF(E91=0,0,IF(OR(E91=AR89,E91=AR90),5,0))</f>
        <v>5</v>
      </c>
    </row>
    <row r="92" spans="2:50">
      <c r="C92" s="870">
        <v>4</v>
      </c>
      <c r="D92" s="871"/>
      <c r="E92" s="872" t="str">
        <f>IF(J82=2,D82,IF(J82=1,F82,"Wie wordt 4de?"))</f>
        <v>Spanje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0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0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35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conditionalFormatting sqref="AO9:AO12 AO15:AO18 AO21:AO24 AO27:AO30 AO33:AO36 AO39:AO42 AO45:AO48 AO51:AO54">
    <cfRule type="cellIs" dxfId="134" priority="3" operator="equal">
      <formula>10</formula>
    </cfRule>
  </conditionalFormatting>
  <conditionalFormatting sqref="P58:T58">
    <cfRule type="duplicateValues" dxfId="133" priority="2"/>
  </conditionalFormatting>
  <conditionalFormatting sqref="P58:T68">
    <cfRule type="duplicateValues" dxfId="132" priority="1"/>
  </conditionalFormatting>
  <dataValidations count="10">
    <dataValidation type="list" allowBlank="1" showInputMessage="1" showErrorMessage="1" sqref="T51:T54">
      <formula1>$W$51:$W$54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P58:P68">
      <formula1>$X$58:$X$98</formula1>
    </dataValidation>
  </dataValidation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B1:BB98"/>
  <sheetViews>
    <sheetView topLeftCell="A52" zoomScale="70" zoomScaleNormal="70" workbookViewId="0">
      <selection activeCell="P58" sqref="P58:T68"/>
    </sheetView>
  </sheetViews>
  <sheetFormatPr defaultRowHeight="15" outlineLevelCol="2"/>
  <cols>
    <col min="1" max="1" width="3.42578125" customWidth="1"/>
    <col min="2" max="2" width="3.5703125" bestFit="1" customWidth="1"/>
    <col min="3" max="3" width="11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277</v>
      </c>
      <c r="E3" s="145"/>
      <c r="F3" s="145"/>
      <c r="N3" t="str">
        <f>D3</f>
        <v>René vd S.</v>
      </c>
      <c r="O3" s="144">
        <f>SUM(P3:S3)</f>
        <v>438</v>
      </c>
      <c r="P3" s="109">
        <f>SUM(Y8:Y86)</f>
        <v>236</v>
      </c>
      <c r="Q3" s="109">
        <f>SUM(AM4:AM55)</f>
        <v>140</v>
      </c>
      <c r="R3" s="109">
        <f>SUM(AP89:AP92)</f>
        <v>35</v>
      </c>
      <c r="S3" s="109">
        <f>SUM(BB58:BB69)</f>
        <v>27</v>
      </c>
      <c r="T3" s="109">
        <f>COUNTIF(AF8:AF86,10)</f>
        <v>7</v>
      </c>
      <c r="U3" s="109" t="str">
        <f>E89</f>
        <v>Frankrijk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M6" s="352"/>
      <c r="N6" s="352"/>
      <c r="O6" s="392"/>
      <c r="P6" s="393"/>
      <c r="Q6" s="393"/>
      <c r="R6" s="393"/>
      <c r="S6" s="393"/>
      <c r="T6" s="393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18" t="s">
        <v>3</v>
      </c>
      <c r="E7" s="419"/>
      <c r="F7" s="420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M7" s="352"/>
      <c r="N7" s="352"/>
      <c r="O7" s="353"/>
      <c r="P7" s="393"/>
      <c r="Q7" s="393"/>
      <c r="R7" s="393"/>
      <c r="S7" s="393"/>
      <c r="T7" s="393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3</v>
      </c>
      <c r="H8" s="360" t="s">
        <v>9</v>
      </c>
      <c r="I8" s="439">
        <v>1</v>
      </c>
      <c r="J8" s="362">
        <f t="shared" ref="J8:J55" si="0">IF(I8="","",IF(G8&gt;I8,1,IF(G8&lt;I8,2,3)))</f>
        <v>1</v>
      </c>
      <c r="K8" s="363">
        <f t="shared" ref="K8:K55" si="1">IF(I8="","",IF($G8&gt;$I8,3,IF($G8=$I8,1,0)))</f>
        <v>3</v>
      </c>
      <c r="L8" s="363">
        <f t="shared" ref="L8:L55" si="2">IF(I8="","",IF($G8&lt;$I8,3,IF($G8=$I8,1,0)))</f>
        <v>0</v>
      </c>
      <c r="M8" s="352"/>
      <c r="N8" s="352"/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40"/>
      <c r="V8" s="40"/>
      <c r="W8" s="40"/>
      <c r="Y8" s="109">
        <f>AF8</f>
        <v>10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10</v>
      </c>
      <c r="AG8" s="108">
        <f t="shared" ref="AG8:AG55" si="3">IF(AC8="",0,(IF(G8=AC8,1,0)))</f>
        <v>1</v>
      </c>
      <c r="AH8" s="108">
        <f t="shared" ref="AH8:AH55" si="4">IF(AD8="",0,(IF(I8=AD8,1,0)))</f>
        <v>1</v>
      </c>
      <c r="AI8" s="108">
        <f>IF(AND(AG8=1,AH8=1),10,0)</f>
        <v>10</v>
      </c>
      <c r="AJ8" s="108">
        <f t="shared" ref="AJ8:AJ55" si="5">IF(AND(G8&gt;I8,AC8&gt;AD8),5,0)</f>
        <v>5</v>
      </c>
      <c r="AK8" s="108">
        <f t="shared" ref="AK8:AK55" si="6">IF(AND(G8&lt;I8,AC8&lt;AD8),5,0)</f>
        <v>0</v>
      </c>
      <c r="AL8" s="108">
        <f t="shared" ref="AL8:AL55" si="7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2</v>
      </c>
      <c r="H9" s="367" t="s">
        <v>9</v>
      </c>
      <c r="I9" s="440">
        <v>0</v>
      </c>
      <c r="J9" s="369">
        <f t="shared" si="0"/>
        <v>1</v>
      </c>
      <c r="K9" s="363">
        <f t="shared" si="1"/>
        <v>3</v>
      </c>
      <c r="L9" s="363">
        <f t="shared" si="2"/>
        <v>0</v>
      </c>
      <c r="M9" s="352"/>
      <c r="N9" s="352"/>
      <c r="O9" s="394" t="s">
        <v>8</v>
      </c>
      <c r="P9" s="395">
        <f>SUMIF($D$8:$D$55,$O9,$G$8:$G$55)+SUMIF($F$8:$F$55,$O9,$I$8:$I$55)</f>
        <v>8</v>
      </c>
      <c r="Q9" s="395">
        <f>SUMIF($D$8:$D$55,$O9,$I$8:$I$55)+SUMIF($F$8:$F$55,$O9,$G$8:$G$55)</f>
        <v>1</v>
      </c>
      <c r="R9" s="396">
        <f>P9-Q9</f>
        <v>7</v>
      </c>
      <c r="S9" s="397">
        <f>SUMIF($D$8:$D$55,$O9,$K$8:$K$55)+SUMIF($F$8:$F$55,$O9,$L$8:$L$55)</f>
        <v>9</v>
      </c>
      <c r="T9" s="444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6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6</v>
      </c>
      <c r="AG9" s="108">
        <f t="shared" si="3"/>
        <v>0</v>
      </c>
      <c r="AH9" s="108">
        <f t="shared" si="4"/>
        <v>1</v>
      </c>
      <c r="AI9" s="108">
        <f t="shared" ref="AI9:AI55" si="10">IF(AND(AG9=1,AH9=1),10,0)</f>
        <v>0</v>
      </c>
      <c r="AJ9" s="108">
        <f t="shared" si="5"/>
        <v>5</v>
      </c>
      <c r="AK9" s="108">
        <f t="shared" si="6"/>
        <v>0</v>
      </c>
      <c r="AL9" s="108">
        <f t="shared" si="7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3</v>
      </c>
      <c r="H10" s="373" t="s">
        <v>9</v>
      </c>
      <c r="I10" s="441">
        <v>1</v>
      </c>
      <c r="J10" s="375">
        <f t="shared" si="0"/>
        <v>1</v>
      </c>
      <c r="K10" s="363">
        <f t="shared" si="1"/>
        <v>3</v>
      </c>
      <c r="L10" s="363">
        <f t="shared" si="2"/>
        <v>0</v>
      </c>
      <c r="M10" s="352"/>
      <c r="N10" s="352"/>
      <c r="O10" s="398" t="s">
        <v>10</v>
      </c>
      <c r="P10" s="399">
        <f>SUMIF($D$8:$D$55,$O10,$G$8:$G$55)+SUMIF($F$8:$F$55,$O10,$I$8:$I$55)</f>
        <v>4</v>
      </c>
      <c r="Q10" s="399">
        <f>SUMIF($D$8:$D$55,$O10,$I$8:$I$55)+SUMIF($F$8:$F$55,$O10,$G$8:$G$55)</f>
        <v>5</v>
      </c>
      <c r="R10" s="399">
        <f>P10-Q10</f>
        <v>-1</v>
      </c>
      <c r="S10" s="400">
        <f>SUMIF($D$8:$D$55,$O10,$K$8:$K$55)+SUMIF($F$8:$F$55,$O10,$L$8:$L$55)</f>
        <v>3</v>
      </c>
      <c r="T10" s="445" t="s">
        <v>47</v>
      </c>
      <c r="U10" s="40"/>
      <c r="V10" s="40" t="str">
        <f>O10</f>
        <v>Kroatië</v>
      </c>
      <c r="W10" s="40" t="s">
        <v>49</v>
      </c>
      <c r="Y10" s="109">
        <f t="shared" si="8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0</v>
      </c>
      <c r="AG10" s="108">
        <f t="shared" si="3"/>
        <v>0</v>
      </c>
      <c r="AH10" s="108">
        <f t="shared" si="4"/>
        <v>0</v>
      </c>
      <c r="AI10" s="108">
        <f t="shared" si="10"/>
        <v>0</v>
      </c>
      <c r="AJ10" s="108">
        <f t="shared" si="5"/>
        <v>0</v>
      </c>
      <c r="AK10" s="108">
        <f t="shared" si="6"/>
        <v>0</v>
      </c>
      <c r="AL10" s="108">
        <f t="shared" si="7"/>
        <v>0</v>
      </c>
      <c r="AM10" s="120">
        <f>AO10</f>
        <v>10</v>
      </c>
      <c r="AN10" s="117" t="s">
        <v>10</v>
      </c>
      <c r="AO10" s="115">
        <f>IF(Uitslag!T10="",0,IF(T10=Uitslag!T10,10,0))</f>
        <v>10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1</v>
      </c>
      <c r="H11" s="379" t="s">
        <v>9</v>
      </c>
      <c r="I11" s="442">
        <v>0</v>
      </c>
      <c r="J11" s="381">
        <f t="shared" si="0"/>
        <v>1</v>
      </c>
      <c r="K11" s="363">
        <f t="shared" si="1"/>
        <v>3</v>
      </c>
      <c r="L11" s="363">
        <f t="shared" si="2"/>
        <v>0</v>
      </c>
      <c r="M11" s="352"/>
      <c r="N11" s="352"/>
      <c r="O11" s="398" t="s">
        <v>11</v>
      </c>
      <c r="P11" s="399">
        <f>SUMIF($D$8:$D$55,$O11,$G$8:$G$55)+SUMIF($F$8:$F$55,$O11,$I$8:$I$55)</f>
        <v>4</v>
      </c>
      <c r="Q11" s="399">
        <f>SUMIF($D$8:$D$55,$O11,$I$8:$I$55)+SUMIF($F$8:$F$55,$O11,$G$8:$G$55)</f>
        <v>3</v>
      </c>
      <c r="R11" s="399">
        <f>P11-Q11</f>
        <v>1</v>
      </c>
      <c r="S11" s="400">
        <f>SUMIF($D$8:$D$55,$O11,$K$8:$K$55)+SUMIF($F$8:$F$55,$O11,$L$8:$L$55)</f>
        <v>6</v>
      </c>
      <c r="T11" s="445" t="s">
        <v>49</v>
      </c>
      <c r="U11" s="40"/>
      <c r="V11" s="40" t="str">
        <f>O11</f>
        <v>Mexico</v>
      </c>
      <c r="W11" s="40" t="s">
        <v>47</v>
      </c>
      <c r="Y11" s="109">
        <f t="shared" si="8"/>
        <v>5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5</v>
      </c>
      <c r="AG11" s="108">
        <f t="shared" si="3"/>
        <v>0</v>
      </c>
      <c r="AH11" s="108">
        <f t="shared" si="4"/>
        <v>0</v>
      </c>
      <c r="AI11" s="108">
        <f t="shared" si="10"/>
        <v>0</v>
      </c>
      <c r="AJ11" s="108">
        <f t="shared" si="5"/>
        <v>5</v>
      </c>
      <c r="AK11" s="108">
        <f t="shared" si="6"/>
        <v>0</v>
      </c>
      <c r="AL11" s="108">
        <f t="shared" si="7"/>
        <v>0</v>
      </c>
      <c r="AM11" s="120">
        <f>AO11</f>
        <v>10</v>
      </c>
      <c r="AN11" s="117" t="s">
        <v>11</v>
      </c>
      <c r="AO11" s="115">
        <f>IF(Uitslag!T11="",0,IF(T11=Uitslag!T11,10,0))</f>
        <v>10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2</v>
      </c>
      <c r="H12" s="367" t="s">
        <v>9</v>
      </c>
      <c r="I12" s="440">
        <v>1</v>
      </c>
      <c r="J12" s="369">
        <f t="shared" si="0"/>
        <v>1</v>
      </c>
      <c r="K12" s="363">
        <f t="shared" si="1"/>
        <v>3</v>
      </c>
      <c r="L12" s="363">
        <f t="shared" si="2"/>
        <v>0</v>
      </c>
      <c r="M12" s="352"/>
      <c r="N12" s="352"/>
      <c r="O12" s="401" t="s">
        <v>12</v>
      </c>
      <c r="P12" s="402">
        <f>SUMIF($D$8:$D$55,$O12,$G$8:$G$55)+SUMIF($F$8:$F$55,$O12,$I$8:$I$55)</f>
        <v>0</v>
      </c>
      <c r="Q12" s="402">
        <f>SUMIF($D$8:$D$55,$O12,$I$8:$I$55)+SUMIF($F$8:$F$55,$O12,$G$8:$G$55)</f>
        <v>7</v>
      </c>
      <c r="R12" s="402">
        <f>P12-Q12</f>
        <v>-7</v>
      </c>
      <c r="S12" s="403">
        <f>SUMIF($D$8:$D$55,$O12,$K$8:$K$55)+SUMIF($F$8:$F$55,$O12,$L$8:$L$55)</f>
        <v>0</v>
      </c>
      <c r="T12" s="446" t="s">
        <v>50</v>
      </c>
      <c r="U12" s="40"/>
      <c r="V12" s="40" t="str">
        <f>O12</f>
        <v>Kameroen</v>
      </c>
      <c r="W12" s="40" t="s">
        <v>50</v>
      </c>
      <c r="Y12" s="109">
        <f t="shared" si="8"/>
        <v>5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5</v>
      </c>
      <c r="AG12" s="108">
        <f t="shared" si="3"/>
        <v>0</v>
      </c>
      <c r="AH12" s="108">
        <f t="shared" si="4"/>
        <v>0</v>
      </c>
      <c r="AI12" s="108">
        <f t="shared" si="10"/>
        <v>0</v>
      </c>
      <c r="AJ12" s="108">
        <f t="shared" si="5"/>
        <v>5</v>
      </c>
      <c r="AK12" s="108">
        <f t="shared" si="6"/>
        <v>0</v>
      </c>
      <c r="AL12" s="108">
        <f t="shared" si="7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3</v>
      </c>
      <c r="H13" s="373" t="s">
        <v>9</v>
      </c>
      <c r="I13" s="441">
        <v>0</v>
      </c>
      <c r="J13" s="375">
        <f t="shared" si="0"/>
        <v>1</v>
      </c>
      <c r="K13" s="363">
        <f t="shared" si="1"/>
        <v>3</v>
      </c>
      <c r="L13" s="363">
        <f t="shared" si="2"/>
        <v>0</v>
      </c>
      <c r="M13" s="352"/>
      <c r="N13" s="352"/>
      <c r="O13" s="392"/>
      <c r="P13" s="393"/>
      <c r="Q13" s="393"/>
      <c r="R13" s="393"/>
      <c r="S13" s="393"/>
      <c r="T13" s="393"/>
      <c r="U13" s="40"/>
      <c r="V13" s="40"/>
      <c r="W13" s="40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3"/>
        <v>0</v>
      </c>
      <c r="AH13" s="108">
        <f t="shared" si="4"/>
        <v>0</v>
      </c>
      <c r="AI13" s="108">
        <f t="shared" si="10"/>
        <v>0</v>
      </c>
      <c r="AJ13" s="108">
        <f t="shared" si="5"/>
        <v>0</v>
      </c>
      <c r="AK13" s="108">
        <f t="shared" si="6"/>
        <v>0</v>
      </c>
      <c r="AL13" s="108">
        <f t="shared" si="7"/>
        <v>0</v>
      </c>
      <c r="AN13" s="40"/>
      <c r="AO13" s="41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1</v>
      </c>
      <c r="H14" s="373" t="s">
        <v>9</v>
      </c>
      <c r="I14" s="441">
        <v>1</v>
      </c>
      <c r="J14" s="375">
        <f t="shared" si="0"/>
        <v>3</v>
      </c>
      <c r="K14" s="363">
        <f t="shared" si="1"/>
        <v>1</v>
      </c>
      <c r="L14" s="363">
        <f t="shared" si="2"/>
        <v>1</v>
      </c>
      <c r="M14" s="352"/>
      <c r="N14" s="352"/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40"/>
      <c r="V14" s="40"/>
      <c r="W14" s="40"/>
      <c r="Y14" s="109">
        <f t="shared" si="8"/>
        <v>1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</v>
      </c>
      <c r="AG14" s="108">
        <f t="shared" si="3"/>
        <v>1</v>
      </c>
      <c r="AH14" s="108">
        <f t="shared" si="4"/>
        <v>0</v>
      </c>
      <c r="AI14" s="108">
        <f t="shared" si="10"/>
        <v>0</v>
      </c>
      <c r="AJ14" s="108">
        <f t="shared" si="5"/>
        <v>0</v>
      </c>
      <c r="AK14" s="108">
        <f t="shared" si="6"/>
        <v>0</v>
      </c>
      <c r="AL14" s="108">
        <f t="shared" si="7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1</v>
      </c>
      <c r="H15" s="379" t="s">
        <v>9</v>
      </c>
      <c r="I15" s="442">
        <v>1</v>
      </c>
      <c r="J15" s="381">
        <f t="shared" si="0"/>
        <v>3</v>
      </c>
      <c r="K15" s="363">
        <f t="shared" si="1"/>
        <v>1</v>
      </c>
      <c r="L15" s="363">
        <f t="shared" si="2"/>
        <v>1</v>
      </c>
      <c r="M15" s="352"/>
      <c r="N15" s="352"/>
      <c r="O15" s="394" t="s">
        <v>13</v>
      </c>
      <c r="P15" s="395">
        <f>SUMIF($D$8:$D$55,$O15,$G$8:$G$55)+SUMIF($F$8:$F$55,$O15,$I$8:$I$55)</f>
        <v>7</v>
      </c>
      <c r="Q15" s="395">
        <f>SUMIF($D$8:$D$55,$O15,$I$8:$I$55)+SUMIF($F$8:$F$55,$O15,$G$8:$G$55)</f>
        <v>1</v>
      </c>
      <c r="R15" s="396">
        <f>P15-Q15</f>
        <v>6</v>
      </c>
      <c r="S15" s="397">
        <f>SUMIF($D$8:$D$55,$O15,$K$8:$K$55)+SUMIF($F$8:$F$55,$O15,$L$8:$L$55)</f>
        <v>9</v>
      </c>
      <c r="T15" s="444" t="s">
        <v>52</v>
      </c>
      <c r="U15" s="40"/>
      <c r="V15" s="40" t="str">
        <f>O15</f>
        <v>Spanje</v>
      </c>
      <c r="W15" s="40" t="s">
        <v>52</v>
      </c>
      <c r="Y15" s="109">
        <f t="shared" si="8"/>
        <v>1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1</v>
      </c>
      <c r="AG15" s="108">
        <f t="shared" si="3"/>
        <v>0</v>
      </c>
      <c r="AH15" s="108">
        <f t="shared" si="4"/>
        <v>1</v>
      </c>
      <c r="AI15" s="108">
        <f t="shared" si="10"/>
        <v>0</v>
      </c>
      <c r="AJ15" s="108">
        <f t="shared" si="5"/>
        <v>0</v>
      </c>
      <c r="AK15" s="108">
        <f t="shared" si="6"/>
        <v>0</v>
      </c>
      <c r="AL15" s="108">
        <f t="shared" si="7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1</v>
      </c>
      <c r="H16" s="367" t="s">
        <v>9</v>
      </c>
      <c r="I16" s="440">
        <v>0</v>
      </c>
      <c r="J16" s="369">
        <f t="shared" si="0"/>
        <v>1</v>
      </c>
      <c r="K16" s="363">
        <f t="shared" si="1"/>
        <v>3</v>
      </c>
      <c r="L16" s="363">
        <f t="shared" si="2"/>
        <v>0</v>
      </c>
      <c r="M16" s="352"/>
      <c r="N16" s="352"/>
      <c r="O16" s="404" t="s">
        <v>14</v>
      </c>
      <c r="P16" s="399">
        <f>SUMIF($D$8:$D$55,$O16,$G$8:$G$55)+SUMIF($F$8:$F$55,$O16,$I$8:$I$55)</f>
        <v>5</v>
      </c>
      <c r="Q16" s="399">
        <f>SUMIF($D$8:$D$55,$O16,$I$8:$I$55)+SUMIF($F$8:$F$55,$O16,$G$8:$G$55)</f>
        <v>5</v>
      </c>
      <c r="R16" s="399">
        <f>P16-Q16</f>
        <v>0</v>
      </c>
      <c r="S16" s="400">
        <f>SUMIF($D$8:$D$55,$O16,$K$8:$K$55)+SUMIF($F$8:$F$55,$O16,$L$8:$L$55)</f>
        <v>6</v>
      </c>
      <c r="T16" s="445" t="s">
        <v>53</v>
      </c>
      <c r="U16" s="40"/>
      <c r="V16" s="40" t="str">
        <f>O16</f>
        <v>Nederland</v>
      </c>
      <c r="W16" s="40" t="s">
        <v>53</v>
      </c>
      <c r="Y16" s="109">
        <f t="shared" si="8"/>
        <v>5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5</v>
      </c>
      <c r="AG16" s="108">
        <f t="shared" si="3"/>
        <v>0</v>
      </c>
      <c r="AH16" s="108">
        <f t="shared" si="4"/>
        <v>0</v>
      </c>
      <c r="AI16" s="108">
        <f t="shared" si="10"/>
        <v>0</v>
      </c>
      <c r="AJ16" s="108">
        <f t="shared" si="5"/>
        <v>5</v>
      </c>
      <c r="AK16" s="108">
        <f t="shared" si="6"/>
        <v>0</v>
      </c>
      <c r="AL16" s="108">
        <f t="shared" si="7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3</v>
      </c>
      <c r="H17" s="373" t="s">
        <v>9</v>
      </c>
      <c r="I17" s="441">
        <v>0</v>
      </c>
      <c r="J17" s="375">
        <f t="shared" si="0"/>
        <v>1</v>
      </c>
      <c r="K17" s="363">
        <f t="shared" si="1"/>
        <v>3</v>
      </c>
      <c r="L17" s="363">
        <f t="shared" si="2"/>
        <v>0</v>
      </c>
      <c r="M17" s="352"/>
      <c r="N17" s="352"/>
      <c r="O17" s="398" t="s">
        <v>15</v>
      </c>
      <c r="P17" s="399">
        <f>SUMIF($D$8:$D$55,$O17,$G$8:$G$55)+SUMIF($F$8:$F$55,$O17,$I$8:$I$55)</f>
        <v>2</v>
      </c>
      <c r="Q17" s="399">
        <f>SUMIF($D$8:$D$55,$O17,$I$8:$I$55)+SUMIF($F$8:$F$55,$O17,$G$8:$G$55)</f>
        <v>4</v>
      </c>
      <c r="R17" s="399">
        <f>P17-Q17</f>
        <v>-2</v>
      </c>
      <c r="S17" s="400">
        <f>SUMIF($D$8:$D$55,$O17,$K$8:$K$55)+SUMIF($F$8:$F$55,$O17,$L$8:$L$55)</f>
        <v>3</v>
      </c>
      <c r="T17" s="445" t="s">
        <v>54</v>
      </c>
      <c r="U17" s="40"/>
      <c r="V17" s="40" t="str">
        <f>O17</f>
        <v>Chili</v>
      </c>
      <c r="W17" s="40" t="s">
        <v>54</v>
      </c>
      <c r="Y17" s="109">
        <f t="shared" si="8"/>
        <v>10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10</v>
      </c>
      <c r="AG17" s="108">
        <f t="shared" si="3"/>
        <v>1</v>
      </c>
      <c r="AH17" s="108">
        <f t="shared" si="4"/>
        <v>1</v>
      </c>
      <c r="AI17" s="108">
        <f t="shared" si="10"/>
        <v>10</v>
      </c>
      <c r="AJ17" s="108">
        <f t="shared" si="5"/>
        <v>5</v>
      </c>
      <c r="AK17" s="108">
        <f t="shared" si="6"/>
        <v>0</v>
      </c>
      <c r="AL17" s="108">
        <f t="shared" si="7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4</v>
      </c>
      <c r="H18" s="379" t="s">
        <v>9</v>
      </c>
      <c r="I18" s="442">
        <v>1</v>
      </c>
      <c r="J18" s="381">
        <f t="shared" si="0"/>
        <v>1</v>
      </c>
      <c r="K18" s="363">
        <f t="shared" si="1"/>
        <v>3</v>
      </c>
      <c r="L18" s="363">
        <f t="shared" si="2"/>
        <v>0</v>
      </c>
      <c r="M18" s="352"/>
      <c r="N18" s="352"/>
      <c r="O18" s="401" t="s">
        <v>16</v>
      </c>
      <c r="P18" s="402">
        <f>SUMIF($D$8:$D$55,$O18,$G$8:$G$55)+SUMIF($F$8:$F$55,$O18,$I$8:$I$55)</f>
        <v>1</v>
      </c>
      <c r="Q18" s="402">
        <f>SUMIF($D$8:$D$55,$O18,$I$8:$I$55)+SUMIF($F$8:$F$55,$O18,$G$8:$G$55)</f>
        <v>5</v>
      </c>
      <c r="R18" s="402">
        <f>P18-Q18</f>
        <v>-4</v>
      </c>
      <c r="S18" s="403">
        <f>SUMIF($D$8:$D$55,$O18,$K$8:$K$55)+SUMIF($F$8:$F$55,$O18,$L$8:$L$55)</f>
        <v>0</v>
      </c>
      <c r="T18" s="446" t="s">
        <v>55</v>
      </c>
      <c r="U18" s="40"/>
      <c r="V18" s="40" t="str">
        <f>O18</f>
        <v>Australië</v>
      </c>
      <c r="W18" s="40" t="s">
        <v>55</v>
      </c>
      <c r="Y18" s="109">
        <f t="shared" si="8"/>
        <v>6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6</v>
      </c>
      <c r="AG18" s="108">
        <f t="shared" si="3"/>
        <v>0</v>
      </c>
      <c r="AH18" s="108">
        <f t="shared" si="4"/>
        <v>1</v>
      </c>
      <c r="AI18" s="108">
        <f t="shared" si="10"/>
        <v>0</v>
      </c>
      <c r="AJ18" s="108">
        <f t="shared" si="5"/>
        <v>5</v>
      </c>
      <c r="AK18" s="108">
        <f t="shared" si="6"/>
        <v>0</v>
      </c>
      <c r="AL18" s="108">
        <f t="shared" si="7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2</v>
      </c>
      <c r="H19" s="367" t="s">
        <v>9</v>
      </c>
      <c r="I19" s="440">
        <v>2</v>
      </c>
      <c r="J19" s="369">
        <f t="shared" si="0"/>
        <v>3</v>
      </c>
      <c r="K19" s="363">
        <f t="shared" si="1"/>
        <v>1</v>
      </c>
      <c r="L19" s="363">
        <f t="shared" si="2"/>
        <v>1</v>
      </c>
      <c r="M19" s="352"/>
      <c r="N19" s="352"/>
      <c r="O19" s="392"/>
      <c r="P19" s="393"/>
      <c r="Q19" s="393"/>
      <c r="R19" s="393"/>
      <c r="S19" s="393"/>
      <c r="T19" s="393"/>
      <c r="U19" s="40"/>
      <c r="V19" s="40"/>
      <c r="W19" s="40"/>
      <c r="Y19" s="109">
        <f t="shared" si="8"/>
        <v>0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0</v>
      </c>
      <c r="AG19" s="108">
        <f t="shared" si="3"/>
        <v>0</v>
      </c>
      <c r="AH19" s="108">
        <f t="shared" si="4"/>
        <v>0</v>
      </c>
      <c r="AI19" s="108">
        <f t="shared" si="10"/>
        <v>0</v>
      </c>
      <c r="AJ19" s="108">
        <f t="shared" si="5"/>
        <v>0</v>
      </c>
      <c r="AK19" s="108">
        <f t="shared" si="6"/>
        <v>0</v>
      </c>
      <c r="AL19" s="108">
        <f t="shared" si="7"/>
        <v>0</v>
      </c>
      <c r="AN19" s="40"/>
      <c r="AO19" s="41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0</v>
      </c>
      <c r="H20" s="373" t="s">
        <v>9</v>
      </c>
      <c r="I20" s="441">
        <v>1</v>
      </c>
      <c r="J20" s="375">
        <f t="shared" si="0"/>
        <v>2</v>
      </c>
      <c r="K20" s="363">
        <f t="shared" si="1"/>
        <v>0</v>
      </c>
      <c r="L20" s="363">
        <f t="shared" si="2"/>
        <v>3</v>
      </c>
      <c r="M20" s="352"/>
      <c r="N20" s="352"/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40"/>
      <c r="V20" s="40"/>
      <c r="W20" s="40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3"/>
        <v>1</v>
      </c>
      <c r="AH20" s="108">
        <f t="shared" si="4"/>
        <v>0</v>
      </c>
      <c r="AI20" s="108">
        <f t="shared" si="10"/>
        <v>0</v>
      </c>
      <c r="AJ20" s="108">
        <f t="shared" si="5"/>
        <v>0</v>
      </c>
      <c r="AK20" s="108">
        <f t="shared" si="6"/>
        <v>0</v>
      </c>
      <c r="AL20" s="108">
        <f t="shared" si="7"/>
        <v>0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1</v>
      </c>
      <c r="H21" s="379" t="s">
        <v>9</v>
      </c>
      <c r="I21" s="442">
        <v>1</v>
      </c>
      <c r="J21" s="381">
        <f t="shared" si="0"/>
        <v>3</v>
      </c>
      <c r="K21" s="363">
        <f t="shared" si="1"/>
        <v>1</v>
      </c>
      <c r="L21" s="363">
        <f t="shared" si="2"/>
        <v>1</v>
      </c>
      <c r="M21" s="352"/>
      <c r="N21" s="352"/>
      <c r="O21" s="394" t="s">
        <v>17</v>
      </c>
      <c r="P21" s="395">
        <f>SUMIF($D$8:$D$55,$O21,$G$8:$G$55)+SUMIF($F$8:$F$55,$O21,$I$8:$I$55)</f>
        <v>6</v>
      </c>
      <c r="Q21" s="395">
        <f>SUMIF($D$8:$D$55,$O21,$I$8:$I$55)+SUMIF($F$8:$F$55,$O21,$G$8:$G$55)</f>
        <v>2</v>
      </c>
      <c r="R21" s="396">
        <f>P21-Q21</f>
        <v>4</v>
      </c>
      <c r="S21" s="397">
        <f>SUMIF($D$8:$D$55,$O21,$K$8:$K$55)+SUMIF($F$8:$F$55,$O21,$L$8:$L$55)</f>
        <v>9</v>
      </c>
      <c r="T21" s="444" t="s">
        <v>57</v>
      </c>
      <c r="U21" s="40"/>
      <c r="V21" s="40" t="str">
        <f>O21</f>
        <v>Colombia</v>
      </c>
      <c r="W21" s="40" t="s">
        <v>57</v>
      </c>
      <c r="Y21" s="109">
        <f t="shared" si="8"/>
        <v>1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1</v>
      </c>
      <c r="AG21" s="108">
        <f t="shared" si="3"/>
        <v>1</v>
      </c>
      <c r="AH21" s="108">
        <f t="shared" si="4"/>
        <v>0</v>
      </c>
      <c r="AI21" s="108">
        <f t="shared" si="10"/>
        <v>0</v>
      </c>
      <c r="AJ21" s="108">
        <f t="shared" si="5"/>
        <v>0</v>
      </c>
      <c r="AK21" s="108">
        <f t="shared" si="6"/>
        <v>0</v>
      </c>
      <c r="AL21" s="108">
        <f t="shared" si="7"/>
        <v>0</v>
      </c>
      <c r="AM21" s="120">
        <f>AO21</f>
        <v>10</v>
      </c>
      <c r="AN21" s="116" t="s">
        <v>17</v>
      </c>
      <c r="AO21" s="115">
        <f>IF(Uitslag!T21="",0,IF(T21=Uitslag!T21,10,0))</f>
        <v>10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2</v>
      </c>
      <c r="H22" s="367" t="s">
        <v>9</v>
      </c>
      <c r="I22" s="440">
        <v>1</v>
      </c>
      <c r="J22" s="369">
        <f t="shared" si="0"/>
        <v>1</v>
      </c>
      <c r="K22" s="363">
        <f t="shared" si="1"/>
        <v>3</v>
      </c>
      <c r="L22" s="363">
        <f t="shared" si="2"/>
        <v>0</v>
      </c>
      <c r="M22" s="352"/>
      <c r="N22" s="352"/>
      <c r="O22" s="398" t="s">
        <v>18</v>
      </c>
      <c r="P22" s="399">
        <f>SUMIF($D$8:$D$55,$O22,$G$8:$G$55)+SUMIF($F$8:$F$55,$O22,$I$8:$I$55)</f>
        <v>4</v>
      </c>
      <c r="Q22" s="399">
        <f>SUMIF($D$8:$D$55,$O22,$I$8:$I$55)+SUMIF($F$8:$F$55,$O22,$G$8:$G$55)</f>
        <v>4</v>
      </c>
      <c r="R22" s="399">
        <f>P22-Q22</f>
        <v>0</v>
      </c>
      <c r="S22" s="400">
        <f>SUMIF($D$8:$D$55,$O22,$K$8:$K$55)+SUMIF($F$8:$F$55,$O22,$L$8:$L$55)</f>
        <v>4</v>
      </c>
      <c r="T22" s="445" t="s">
        <v>58</v>
      </c>
      <c r="U22" s="40"/>
      <c r="V22" s="40" t="str">
        <f>O22</f>
        <v>Griekenland</v>
      </c>
      <c r="W22" s="40" t="s">
        <v>58</v>
      </c>
      <c r="Y22" s="109">
        <f t="shared" si="8"/>
        <v>10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10</v>
      </c>
      <c r="AG22" s="108">
        <f t="shared" si="3"/>
        <v>1</v>
      </c>
      <c r="AH22" s="108">
        <f t="shared" si="4"/>
        <v>1</v>
      </c>
      <c r="AI22" s="108">
        <f t="shared" si="10"/>
        <v>10</v>
      </c>
      <c r="AJ22" s="108">
        <f t="shared" si="5"/>
        <v>5</v>
      </c>
      <c r="AK22" s="108">
        <f t="shared" si="6"/>
        <v>0</v>
      </c>
      <c r="AL22" s="108">
        <f t="shared" si="7"/>
        <v>0</v>
      </c>
      <c r="AM22" s="120">
        <f>AO22</f>
        <v>10</v>
      </c>
      <c r="AN22" s="117" t="s">
        <v>18</v>
      </c>
      <c r="AO22" s="115">
        <f>IF(Uitslag!T22="",0,IF(T22=Uitslag!T22,10,0))</f>
        <v>10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2</v>
      </c>
      <c r="H23" s="373" t="s">
        <v>9</v>
      </c>
      <c r="I23" s="441">
        <v>0</v>
      </c>
      <c r="J23" s="375">
        <f t="shared" si="0"/>
        <v>1</v>
      </c>
      <c r="K23" s="363">
        <f t="shared" si="1"/>
        <v>3</v>
      </c>
      <c r="L23" s="363">
        <f t="shared" si="2"/>
        <v>0</v>
      </c>
      <c r="M23" s="352"/>
      <c r="N23" s="352"/>
      <c r="O23" s="398" t="s">
        <v>23</v>
      </c>
      <c r="P23" s="399">
        <f>SUMIF($D$8:$D$55,$O23,$G$8:$G$55)+SUMIF($F$8:$F$55,$O23,$I$8:$I$55)</f>
        <v>2</v>
      </c>
      <c r="Q23" s="399">
        <f>SUMIF($D$8:$D$55,$O23,$I$8:$I$55)+SUMIF($F$8:$F$55,$O23,$G$8:$G$55)</f>
        <v>5</v>
      </c>
      <c r="R23" s="399">
        <f>P23-Q23</f>
        <v>-3</v>
      </c>
      <c r="S23" s="400">
        <f>SUMIF($D$8:$D$55,$O23,$K$8:$K$55)+SUMIF($F$8:$F$55,$O23,$L$8:$L$55)</f>
        <v>1</v>
      </c>
      <c r="T23" s="445" t="s">
        <v>60</v>
      </c>
      <c r="U23" s="40"/>
      <c r="V23" s="40" t="str">
        <f>O23</f>
        <v>Ivoorkust</v>
      </c>
      <c r="W23" s="40" t="s">
        <v>59</v>
      </c>
      <c r="Y23" s="109">
        <f t="shared" si="8"/>
        <v>1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1</v>
      </c>
      <c r="AG23" s="108">
        <f t="shared" si="3"/>
        <v>0</v>
      </c>
      <c r="AH23" s="108">
        <f t="shared" si="4"/>
        <v>1</v>
      </c>
      <c r="AI23" s="108">
        <f t="shared" si="10"/>
        <v>0</v>
      </c>
      <c r="AJ23" s="108">
        <f t="shared" si="5"/>
        <v>0</v>
      </c>
      <c r="AK23" s="108">
        <f t="shared" si="6"/>
        <v>0</v>
      </c>
      <c r="AL23" s="108">
        <f t="shared" si="7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1</v>
      </c>
      <c r="H24" s="379" t="s">
        <v>9</v>
      </c>
      <c r="I24" s="442">
        <v>1</v>
      </c>
      <c r="J24" s="381">
        <f t="shared" si="0"/>
        <v>3</v>
      </c>
      <c r="K24" s="363">
        <f t="shared" si="1"/>
        <v>1</v>
      </c>
      <c r="L24" s="363">
        <f t="shared" si="2"/>
        <v>1</v>
      </c>
      <c r="M24" s="352"/>
      <c r="N24" s="352"/>
      <c r="O24" s="401" t="s">
        <v>24</v>
      </c>
      <c r="P24" s="402">
        <f>SUMIF($D$8:$D$55,$O24,$G$8:$G$55)+SUMIF($F$8:$F$55,$O24,$I$8:$I$55)</f>
        <v>3</v>
      </c>
      <c r="Q24" s="402">
        <f>SUMIF($D$8:$D$55,$O24,$I$8:$I$55)+SUMIF($F$8:$F$55,$O24,$G$8:$G$55)</f>
        <v>4</v>
      </c>
      <c r="R24" s="402">
        <f>P24-Q24</f>
        <v>-1</v>
      </c>
      <c r="S24" s="403">
        <f>SUMIF($D$8:$D$55,$O24,$K$8:$K$55)+SUMIF($F$8:$F$55,$O24,$L$8:$L$55)</f>
        <v>2</v>
      </c>
      <c r="T24" s="446" t="s">
        <v>59</v>
      </c>
      <c r="U24" s="40"/>
      <c r="V24" s="40" t="str">
        <f>O24</f>
        <v>Japan</v>
      </c>
      <c r="W24" s="40" t="s">
        <v>60</v>
      </c>
      <c r="Y24" s="109">
        <f t="shared" si="8"/>
        <v>10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10</v>
      </c>
      <c r="AG24" s="108">
        <f t="shared" si="3"/>
        <v>1</v>
      </c>
      <c r="AH24" s="108">
        <f t="shared" si="4"/>
        <v>1</v>
      </c>
      <c r="AI24" s="108">
        <f t="shared" si="10"/>
        <v>10</v>
      </c>
      <c r="AJ24" s="108">
        <f t="shared" si="5"/>
        <v>0</v>
      </c>
      <c r="AK24" s="108">
        <f t="shared" si="6"/>
        <v>0</v>
      </c>
      <c r="AL24" s="108">
        <f t="shared" si="7"/>
        <v>5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1</v>
      </c>
      <c r="H25" s="367" t="s">
        <v>9</v>
      </c>
      <c r="I25" s="440">
        <v>2</v>
      </c>
      <c r="J25" s="369">
        <f t="shared" si="0"/>
        <v>2</v>
      </c>
      <c r="K25" s="363">
        <f t="shared" si="1"/>
        <v>0</v>
      </c>
      <c r="L25" s="363">
        <f t="shared" si="2"/>
        <v>3</v>
      </c>
      <c r="M25" s="352"/>
      <c r="N25" s="352"/>
      <c r="O25" s="392"/>
      <c r="P25" s="393"/>
      <c r="Q25" s="393"/>
      <c r="R25" s="393"/>
      <c r="S25" s="393"/>
      <c r="T25" s="393"/>
      <c r="U25" s="40"/>
      <c r="V25" s="40"/>
      <c r="W25" s="40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3"/>
        <v>0</v>
      </c>
      <c r="AH25" s="108">
        <f t="shared" si="4"/>
        <v>0</v>
      </c>
      <c r="AI25" s="108">
        <f t="shared" si="10"/>
        <v>0</v>
      </c>
      <c r="AJ25" s="108">
        <f t="shared" si="5"/>
        <v>0</v>
      </c>
      <c r="AK25" s="108">
        <f t="shared" si="6"/>
        <v>5</v>
      </c>
      <c r="AL25" s="108">
        <f t="shared" si="7"/>
        <v>0</v>
      </c>
      <c r="AN25" s="40"/>
      <c r="AO25" s="41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2</v>
      </c>
      <c r="H26" s="373" t="s">
        <v>9</v>
      </c>
      <c r="I26" s="441">
        <v>0</v>
      </c>
      <c r="J26" s="375">
        <f t="shared" si="0"/>
        <v>1</v>
      </c>
      <c r="K26" s="363">
        <f t="shared" si="1"/>
        <v>3</v>
      </c>
      <c r="L26" s="363">
        <f t="shared" si="2"/>
        <v>0</v>
      </c>
      <c r="M26" s="352"/>
      <c r="N26" s="352"/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40"/>
      <c r="V26" s="40"/>
      <c r="W26" s="40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3"/>
        <v>0</v>
      </c>
      <c r="AH26" s="108">
        <f t="shared" si="4"/>
        <v>0</v>
      </c>
      <c r="AI26" s="108">
        <f t="shared" si="10"/>
        <v>0</v>
      </c>
      <c r="AJ26" s="108">
        <f t="shared" si="5"/>
        <v>0</v>
      </c>
      <c r="AK26" s="108">
        <f t="shared" si="6"/>
        <v>0</v>
      </c>
      <c r="AL26" s="108">
        <f t="shared" si="7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0</v>
      </c>
      <c r="H27" s="379" t="s">
        <v>9</v>
      </c>
      <c r="I27" s="442">
        <v>2</v>
      </c>
      <c r="J27" s="381">
        <f t="shared" si="0"/>
        <v>2</v>
      </c>
      <c r="K27" s="363">
        <f t="shared" si="1"/>
        <v>0</v>
      </c>
      <c r="L27" s="363">
        <f t="shared" si="2"/>
        <v>3</v>
      </c>
      <c r="M27" s="352"/>
      <c r="N27" s="352"/>
      <c r="O27" s="394" t="s">
        <v>19</v>
      </c>
      <c r="P27" s="395">
        <f>SUMIF($D$8:$D$55,$O27,$G$8:$G$55)+SUMIF($F$8:$F$55,$O27,$I$8:$I$55)</f>
        <v>7</v>
      </c>
      <c r="Q27" s="395">
        <f>SUMIF($D$8:$D$55,$O27,$I$8:$I$55)+SUMIF($F$8:$F$55,$O27,$G$8:$G$55)</f>
        <v>4</v>
      </c>
      <c r="R27" s="396">
        <f>P27-Q27</f>
        <v>3</v>
      </c>
      <c r="S27" s="397">
        <f>SUMIF($D$8:$D$55,$O27,$K$8:$K$55)+SUMIF($F$8:$F$55,$O27,$L$8:$L$55)</f>
        <v>5</v>
      </c>
      <c r="T27" s="444" t="s">
        <v>62</v>
      </c>
      <c r="U27" s="40"/>
      <c r="V27" s="40" t="str">
        <f>O27</f>
        <v>Uruguay</v>
      </c>
      <c r="W27" s="40" t="s">
        <v>62</v>
      </c>
      <c r="Y27" s="109">
        <f t="shared" si="8"/>
        <v>6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6</v>
      </c>
      <c r="AG27" s="108">
        <f t="shared" si="3"/>
        <v>1</v>
      </c>
      <c r="AH27" s="108">
        <f t="shared" si="4"/>
        <v>0</v>
      </c>
      <c r="AI27" s="108">
        <f t="shared" si="10"/>
        <v>0</v>
      </c>
      <c r="AJ27" s="108">
        <f t="shared" si="5"/>
        <v>0</v>
      </c>
      <c r="AK27" s="108">
        <f t="shared" si="6"/>
        <v>5</v>
      </c>
      <c r="AL27" s="108">
        <f t="shared" si="7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2</v>
      </c>
      <c r="H28" s="367" t="s">
        <v>9</v>
      </c>
      <c r="I28" s="440">
        <v>0</v>
      </c>
      <c r="J28" s="369">
        <f t="shared" si="0"/>
        <v>1</v>
      </c>
      <c r="K28" s="363">
        <f t="shared" si="1"/>
        <v>3</v>
      </c>
      <c r="L28" s="363">
        <f t="shared" si="2"/>
        <v>0</v>
      </c>
      <c r="M28" s="352"/>
      <c r="N28" s="352"/>
      <c r="O28" s="398" t="s">
        <v>20</v>
      </c>
      <c r="P28" s="399">
        <f>SUMIF($D$8:$D$55,$O28,$G$8:$G$55)+SUMIF($F$8:$F$55,$O28,$I$8:$I$55)</f>
        <v>1</v>
      </c>
      <c r="Q28" s="399">
        <f>SUMIF($D$8:$D$55,$O28,$I$8:$I$55)+SUMIF($F$8:$F$55,$O28,$G$8:$G$55)</f>
        <v>6</v>
      </c>
      <c r="R28" s="399">
        <f>P28-Q28</f>
        <v>-5</v>
      </c>
      <c r="S28" s="400">
        <f>SUMIF($D$8:$D$55,$O28,$K$8:$K$55)+SUMIF($F$8:$F$55,$O28,$L$8:$L$55)</f>
        <v>1</v>
      </c>
      <c r="T28" s="445" t="s">
        <v>65</v>
      </c>
      <c r="U28" s="40"/>
      <c r="V28" s="40" t="str">
        <f>O28</f>
        <v>Costa Rica</v>
      </c>
      <c r="W28" s="40" t="s">
        <v>63</v>
      </c>
      <c r="Y28" s="109">
        <f t="shared" si="8"/>
        <v>6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6</v>
      </c>
      <c r="AG28" s="108">
        <f t="shared" si="3"/>
        <v>1</v>
      </c>
      <c r="AH28" s="108">
        <f t="shared" si="4"/>
        <v>0</v>
      </c>
      <c r="AI28" s="108">
        <f t="shared" si="10"/>
        <v>0</v>
      </c>
      <c r="AJ28" s="108">
        <f t="shared" si="5"/>
        <v>5</v>
      </c>
      <c r="AK28" s="108">
        <f t="shared" si="6"/>
        <v>0</v>
      </c>
      <c r="AL28" s="108">
        <f t="shared" si="7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2</v>
      </c>
      <c r="H29" s="373" t="s">
        <v>9</v>
      </c>
      <c r="I29" s="441">
        <v>2</v>
      </c>
      <c r="J29" s="375">
        <f t="shared" si="0"/>
        <v>3</v>
      </c>
      <c r="K29" s="363">
        <f t="shared" si="1"/>
        <v>1</v>
      </c>
      <c r="L29" s="363">
        <f t="shared" si="2"/>
        <v>1</v>
      </c>
      <c r="M29" s="352"/>
      <c r="N29" s="352"/>
      <c r="O29" s="398" t="s">
        <v>21</v>
      </c>
      <c r="P29" s="399">
        <f>SUMIF($D$8:$D$55,$O29,$G$8:$G$55)+SUMIF($F$8:$F$55,$O29,$I$8:$I$55)</f>
        <v>4</v>
      </c>
      <c r="Q29" s="399">
        <f>SUMIF($D$8:$D$55,$O29,$I$8:$I$55)+SUMIF($F$8:$F$55,$O29,$G$8:$G$55)</f>
        <v>4</v>
      </c>
      <c r="R29" s="399">
        <f>P29-Q29</f>
        <v>0</v>
      </c>
      <c r="S29" s="400">
        <f>SUMIF($D$8:$D$55,$O29,$K$8:$K$55)+SUMIF($F$8:$F$55,$O29,$L$8:$L$55)</f>
        <v>3</v>
      </c>
      <c r="T29" s="445" t="s">
        <v>64</v>
      </c>
      <c r="U29" s="40"/>
      <c r="V29" s="40" t="str">
        <f>O29</f>
        <v>Engeland</v>
      </c>
      <c r="W29" s="40" t="s">
        <v>64</v>
      </c>
      <c r="Y29" s="109">
        <f t="shared" si="8"/>
        <v>1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1</v>
      </c>
      <c r="AG29" s="108">
        <f t="shared" si="3"/>
        <v>1</v>
      </c>
      <c r="AH29" s="108">
        <f t="shared" si="4"/>
        <v>0</v>
      </c>
      <c r="AI29" s="108">
        <f t="shared" si="10"/>
        <v>0</v>
      </c>
      <c r="AJ29" s="108">
        <f t="shared" si="5"/>
        <v>0</v>
      </c>
      <c r="AK29" s="108">
        <f t="shared" si="6"/>
        <v>0</v>
      </c>
      <c r="AL29" s="108">
        <f t="shared" si="7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1</v>
      </c>
      <c r="H30" s="379" t="s">
        <v>9</v>
      </c>
      <c r="I30" s="442">
        <v>1</v>
      </c>
      <c r="J30" s="381">
        <f t="shared" si="0"/>
        <v>3</v>
      </c>
      <c r="K30" s="363">
        <f t="shared" si="1"/>
        <v>1</v>
      </c>
      <c r="L30" s="363">
        <f t="shared" si="2"/>
        <v>1</v>
      </c>
      <c r="M30" s="352"/>
      <c r="N30" s="352"/>
      <c r="O30" s="401" t="s">
        <v>22</v>
      </c>
      <c r="P30" s="402">
        <f>SUMIF($D$8:$D$55,$O30,$G$8:$G$55)+SUMIF($F$8:$F$55,$O30,$I$8:$I$55)</f>
        <v>5</v>
      </c>
      <c r="Q30" s="402">
        <f>SUMIF($D$8:$D$55,$O30,$I$8:$I$55)+SUMIF($F$8:$F$55,$O30,$G$8:$G$55)</f>
        <v>3</v>
      </c>
      <c r="R30" s="402">
        <f>P30-Q30</f>
        <v>2</v>
      </c>
      <c r="S30" s="403">
        <f>SUMIF($D$8:$D$55,$O30,$K$8:$K$55)+SUMIF($F$8:$F$55,$O30,$L$8:$L$55)</f>
        <v>5</v>
      </c>
      <c r="T30" s="446" t="s">
        <v>63</v>
      </c>
      <c r="U30" s="40"/>
      <c r="V30" s="40" t="str">
        <f>O30</f>
        <v>Italië</v>
      </c>
      <c r="W30" s="40" t="s">
        <v>65</v>
      </c>
      <c r="Y30" s="109">
        <f t="shared" si="8"/>
        <v>5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5</v>
      </c>
      <c r="AG30" s="108">
        <f t="shared" si="3"/>
        <v>0</v>
      </c>
      <c r="AH30" s="108">
        <f t="shared" si="4"/>
        <v>0</v>
      </c>
      <c r="AI30" s="108">
        <f t="shared" si="10"/>
        <v>0</v>
      </c>
      <c r="AJ30" s="108">
        <f t="shared" si="5"/>
        <v>0</v>
      </c>
      <c r="AK30" s="108">
        <f t="shared" si="6"/>
        <v>0</v>
      </c>
      <c r="AL30" s="108">
        <f t="shared" si="7"/>
        <v>5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2</v>
      </c>
      <c r="H31" s="367" t="s">
        <v>9</v>
      </c>
      <c r="I31" s="440">
        <v>0</v>
      </c>
      <c r="J31" s="369">
        <f t="shared" si="0"/>
        <v>1</v>
      </c>
      <c r="K31" s="363">
        <f t="shared" si="1"/>
        <v>3</v>
      </c>
      <c r="L31" s="363">
        <f t="shared" si="2"/>
        <v>0</v>
      </c>
      <c r="M31" s="352"/>
      <c r="N31" s="352"/>
      <c r="O31" s="392"/>
      <c r="P31" s="393"/>
      <c r="Q31" s="393"/>
      <c r="R31" s="393"/>
      <c r="S31" s="393"/>
      <c r="T31" s="393"/>
      <c r="U31" s="40"/>
      <c r="V31" s="40"/>
      <c r="W31" s="40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3"/>
        <v>0</v>
      </c>
      <c r="AH31" s="108">
        <f t="shared" si="4"/>
        <v>0</v>
      </c>
      <c r="AI31" s="108">
        <f t="shared" si="10"/>
        <v>0</v>
      </c>
      <c r="AJ31" s="108">
        <f t="shared" si="5"/>
        <v>0</v>
      </c>
      <c r="AK31" s="108">
        <f t="shared" si="6"/>
        <v>0</v>
      </c>
      <c r="AL31" s="108">
        <f t="shared" si="7"/>
        <v>0</v>
      </c>
      <c r="AN31" s="40"/>
      <c r="AO31" s="41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1</v>
      </c>
      <c r="H32" s="373" t="s">
        <v>9</v>
      </c>
      <c r="I32" s="441">
        <v>3</v>
      </c>
      <c r="J32" s="375">
        <f t="shared" si="0"/>
        <v>2</v>
      </c>
      <c r="K32" s="363">
        <f t="shared" si="1"/>
        <v>0</v>
      </c>
      <c r="L32" s="363">
        <f t="shared" si="2"/>
        <v>3</v>
      </c>
      <c r="M32" s="352"/>
      <c r="N32" s="352"/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40"/>
      <c r="V32" s="40"/>
      <c r="W32" s="40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3"/>
        <v>0</v>
      </c>
      <c r="AH32" s="108">
        <f t="shared" si="4"/>
        <v>0</v>
      </c>
      <c r="AI32" s="108">
        <f t="shared" si="10"/>
        <v>0</v>
      </c>
      <c r="AJ32" s="108">
        <f t="shared" si="5"/>
        <v>0</v>
      </c>
      <c r="AK32" s="108">
        <f t="shared" si="6"/>
        <v>5</v>
      </c>
      <c r="AL32" s="108">
        <f t="shared" si="7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1</v>
      </c>
      <c r="H33" s="379" t="s">
        <v>9</v>
      </c>
      <c r="I33" s="442">
        <v>2</v>
      </c>
      <c r="J33" s="381">
        <f t="shared" si="0"/>
        <v>2</v>
      </c>
      <c r="K33" s="363">
        <f t="shared" si="1"/>
        <v>0</v>
      </c>
      <c r="L33" s="363">
        <f t="shared" si="2"/>
        <v>3</v>
      </c>
      <c r="M33" s="352"/>
      <c r="N33" s="352"/>
      <c r="O33" s="394" t="s">
        <v>25</v>
      </c>
      <c r="P33" s="395">
        <f>SUMIF($D$8:$D$55,$O33,$G$8:$G$55)+SUMIF($F$8:$F$55,$O33,$I$8:$I$55)</f>
        <v>4</v>
      </c>
      <c r="Q33" s="395">
        <f>SUMIF($D$8:$D$55,$O33,$I$8:$I$55)+SUMIF($F$8:$F$55,$O33,$G$8:$G$55)</f>
        <v>3</v>
      </c>
      <c r="R33" s="396">
        <f>P33-Q33</f>
        <v>1</v>
      </c>
      <c r="S33" s="397">
        <f>SUMIF($D$8:$D$55,$O33,$K$8:$K$55)+SUMIF($F$8:$F$55,$O33,$L$8:$L$55)</f>
        <v>6</v>
      </c>
      <c r="T33" s="444" t="s">
        <v>68</v>
      </c>
      <c r="U33" s="40"/>
      <c r="V33" s="40" t="str">
        <f>O33</f>
        <v>Zwitserland</v>
      </c>
      <c r="W33" s="40" t="s">
        <v>67</v>
      </c>
      <c r="Y33" s="109">
        <f t="shared" si="8"/>
        <v>10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10</v>
      </c>
      <c r="AG33" s="108">
        <f t="shared" si="3"/>
        <v>1</v>
      </c>
      <c r="AH33" s="108">
        <f t="shared" si="4"/>
        <v>1</v>
      </c>
      <c r="AI33" s="108">
        <f t="shared" si="10"/>
        <v>10</v>
      </c>
      <c r="AJ33" s="108">
        <f t="shared" si="5"/>
        <v>0</v>
      </c>
      <c r="AK33" s="108">
        <f t="shared" si="6"/>
        <v>5</v>
      </c>
      <c r="AL33" s="108">
        <f t="shared" si="7"/>
        <v>0</v>
      </c>
      <c r="AM33" s="120">
        <f>AO33</f>
        <v>10</v>
      </c>
      <c r="AN33" s="116" t="s">
        <v>25</v>
      </c>
      <c r="AO33" s="115">
        <f>IF(Uitslag!T33="",0,IF(T33=Uitslag!T33,10,0))</f>
        <v>10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3</v>
      </c>
      <c r="H34" s="367" t="s">
        <v>9</v>
      </c>
      <c r="I34" s="440">
        <v>1</v>
      </c>
      <c r="J34" s="369">
        <f t="shared" si="0"/>
        <v>1</v>
      </c>
      <c r="K34" s="363">
        <f t="shared" si="1"/>
        <v>3</v>
      </c>
      <c r="L34" s="363">
        <f t="shared" si="2"/>
        <v>0</v>
      </c>
      <c r="M34" s="352"/>
      <c r="N34" s="352"/>
      <c r="O34" s="398" t="s">
        <v>26</v>
      </c>
      <c r="P34" s="399">
        <f>SUMIF($D$8:$D$55,$O34,$G$8:$G$55)+SUMIF($F$8:$F$55,$O34,$I$8:$I$55)</f>
        <v>2</v>
      </c>
      <c r="Q34" s="399">
        <f>SUMIF($D$8:$D$55,$O34,$I$8:$I$55)+SUMIF($F$8:$F$55,$O34,$G$8:$G$55)</f>
        <v>4</v>
      </c>
      <c r="R34" s="399">
        <f>P34-Q34</f>
        <v>-2</v>
      </c>
      <c r="S34" s="400">
        <f>SUMIF($D$8:$D$55,$O34,$K$8:$K$55)+SUMIF($F$8:$F$55,$O34,$L$8:$L$55)</f>
        <v>3</v>
      </c>
      <c r="T34" s="445" t="s">
        <v>69</v>
      </c>
      <c r="U34" s="40"/>
      <c r="V34" s="40" t="str">
        <f>O34</f>
        <v>Ecuador</v>
      </c>
      <c r="W34" s="40" t="s">
        <v>68</v>
      </c>
      <c r="Y34" s="109">
        <f t="shared" si="8"/>
        <v>5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5</v>
      </c>
      <c r="AG34" s="108">
        <f t="shared" si="3"/>
        <v>0</v>
      </c>
      <c r="AH34" s="108">
        <f t="shared" si="4"/>
        <v>0</v>
      </c>
      <c r="AI34" s="108">
        <f t="shared" si="10"/>
        <v>0</v>
      </c>
      <c r="AJ34" s="108">
        <f t="shared" si="5"/>
        <v>5</v>
      </c>
      <c r="AK34" s="108">
        <f t="shared" si="6"/>
        <v>0</v>
      </c>
      <c r="AL34" s="108">
        <f t="shared" si="7"/>
        <v>0</v>
      </c>
      <c r="AM34" s="120">
        <f>AO34</f>
        <v>10</v>
      </c>
      <c r="AN34" s="117" t="s">
        <v>26</v>
      </c>
      <c r="AO34" s="115">
        <f>IF(Uitslag!T34="",0,IF(T34=Uitslag!T34,10,0))</f>
        <v>10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2</v>
      </c>
      <c r="H35" s="373" t="s">
        <v>9</v>
      </c>
      <c r="I35" s="441">
        <v>1</v>
      </c>
      <c r="J35" s="375">
        <f t="shared" si="0"/>
        <v>1</v>
      </c>
      <c r="K35" s="363">
        <f t="shared" si="1"/>
        <v>3</v>
      </c>
      <c r="L35" s="363">
        <f t="shared" si="2"/>
        <v>0</v>
      </c>
      <c r="M35" s="352"/>
      <c r="N35" s="352"/>
      <c r="O35" s="398" t="s">
        <v>27</v>
      </c>
      <c r="P35" s="399">
        <f>SUMIF($D$8:$D$55,$O35,$G$8:$G$55)+SUMIF($F$8:$F$55,$O35,$I$8:$I$55)</f>
        <v>8</v>
      </c>
      <c r="Q35" s="399">
        <f>SUMIF($D$8:$D$55,$O35,$I$8:$I$55)+SUMIF($F$8:$F$55,$O35,$G$8:$G$55)</f>
        <v>1</v>
      </c>
      <c r="R35" s="399">
        <f>P35-Q35</f>
        <v>7</v>
      </c>
      <c r="S35" s="400">
        <f>SUMIF($D$8:$D$55,$O35,$K$8:$K$55)+SUMIF($F$8:$F$55,$O35,$L$8:$L$55)</f>
        <v>9</v>
      </c>
      <c r="T35" s="445" t="s">
        <v>67</v>
      </c>
      <c r="U35" s="40"/>
      <c r="V35" s="40" t="str">
        <f>O35</f>
        <v>Frankrijk</v>
      </c>
      <c r="W35" s="40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3"/>
        <v>1</v>
      </c>
      <c r="AH35" s="108">
        <f t="shared" si="4"/>
        <v>0</v>
      </c>
      <c r="AI35" s="108">
        <f t="shared" si="10"/>
        <v>0</v>
      </c>
      <c r="AJ35" s="108">
        <f t="shared" si="5"/>
        <v>0</v>
      </c>
      <c r="AK35" s="108">
        <f t="shared" si="6"/>
        <v>0</v>
      </c>
      <c r="AL35" s="108">
        <f t="shared" si="7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2</v>
      </c>
      <c r="H36" s="379" t="s">
        <v>9</v>
      </c>
      <c r="I36" s="442">
        <v>1</v>
      </c>
      <c r="J36" s="381">
        <f t="shared" si="0"/>
        <v>1</v>
      </c>
      <c r="K36" s="363">
        <f t="shared" si="1"/>
        <v>3</v>
      </c>
      <c r="L36" s="363">
        <f t="shared" si="2"/>
        <v>0</v>
      </c>
      <c r="M36" s="352"/>
      <c r="N36" s="352"/>
      <c r="O36" s="401" t="s">
        <v>28</v>
      </c>
      <c r="P36" s="402">
        <f>SUMIF($D$8:$D$55,$O36,$G$8:$G$55)+SUMIF($F$8:$F$55,$O36,$I$8:$I$55)</f>
        <v>1</v>
      </c>
      <c r="Q36" s="402">
        <f>SUMIF($D$8:$D$55,$O36,$I$8:$I$55)+SUMIF($F$8:$F$55,$O36,$G$8:$G$55)</f>
        <v>7</v>
      </c>
      <c r="R36" s="402">
        <f>P36-Q36</f>
        <v>-6</v>
      </c>
      <c r="S36" s="403">
        <f>SUMIF($D$8:$D$55,$O36,$K$8:$K$55)+SUMIF($F$8:$F$55,$O36,$L$8:$L$55)</f>
        <v>0</v>
      </c>
      <c r="T36" s="446" t="s">
        <v>70</v>
      </c>
      <c r="U36" s="40"/>
      <c r="V36" s="40" t="str">
        <f>O36</f>
        <v>Honduras</v>
      </c>
      <c r="W36" s="40" t="s">
        <v>70</v>
      </c>
      <c r="Y36" s="109">
        <f t="shared" si="8"/>
        <v>5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5</v>
      </c>
      <c r="AG36" s="108">
        <f t="shared" si="3"/>
        <v>0</v>
      </c>
      <c r="AH36" s="108">
        <f t="shared" si="4"/>
        <v>0</v>
      </c>
      <c r="AI36" s="108">
        <f t="shared" si="10"/>
        <v>0</v>
      </c>
      <c r="AJ36" s="108">
        <f t="shared" si="5"/>
        <v>5</v>
      </c>
      <c r="AK36" s="108">
        <f t="shared" si="6"/>
        <v>0</v>
      </c>
      <c r="AL36" s="108">
        <f t="shared" si="7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1</v>
      </c>
      <c r="H37" s="367" t="s">
        <v>9</v>
      </c>
      <c r="I37" s="440">
        <v>1</v>
      </c>
      <c r="J37" s="369">
        <f t="shared" si="0"/>
        <v>3</v>
      </c>
      <c r="K37" s="363">
        <f t="shared" si="1"/>
        <v>1</v>
      </c>
      <c r="L37" s="363">
        <f t="shared" si="2"/>
        <v>1</v>
      </c>
      <c r="M37" s="352"/>
      <c r="N37" s="352"/>
      <c r="O37" s="392"/>
      <c r="P37" s="393"/>
      <c r="Q37" s="393"/>
      <c r="R37" s="393"/>
      <c r="S37" s="393"/>
      <c r="T37" s="393"/>
      <c r="U37" s="40"/>
      <c r="V37" s="40"/>
      <c r="W37" s="40"/>
      <c r="Y37" s="109">
        <f t="shared" si="8"/>
        <v>1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1</v>
      </c>
      <c r="AG37" s="108">
        <f t="shared" si="3"/>
        <v>1</v>
      </c>
      <c r="AH37" s="108">
        <f t="shared" si="4"/>
        <v>0</v>
      </c>
      <c r="AI37" s="108">
        <f t="shared" si="10"/>
        <v>0</v>
      </c>
      <c r="AJ37" s="108">
        <f t="shared" si="5"/>
        <v>0</v>
      </c>
      <c r="AK37" s="108">
        <f t="shared" si="6"/>
        <v>0</v>
      </c>
      <c r="AL37" s="108">
        <f t="shared" si="7"/>
        <v>0</v>
      </c>
      <c r="AN37" s="40"/>
      <c r="AO37" s="41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2</v>
      </c>
      <c r="H38" s="373" t="s">
        <v>9</v>
      </c>
      <c r="I38" s="441">
        <v>1</v>
      </c>
      <c r="J38" s="375">
        <f t="shared" si="0"/>
        <v>1</v>
      </c>
      <c r="K38" s="363">
        <f t="shared" si="1"/>
        <v>3</v>
      </c>
      <c r="L38" s="363">
        <f t="shared" si="2"/>
        <v>0</v>
      </c>
      <c r="M38" s="352"/>
      <c r="N38" s="352"/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40"/>
      <c r="V38" s="40"/>
      <c r="W38" s="40"/>
      <c r="Y38" s="109">
        <f t="shared" si="8"/>
        <v>1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1</v>
      </c>
      <c r="AG38" s="108">
        <f t="shared" si="3"/>
        <v>1</v>
      </c>
      <c r="AH38" s="108">
        <f t="shared" si="4"/>
        <v>0</v>
      </c>
      <c r="AI38" s="108">
        <f t="shared" si="10"/>
        <v>0</v>
      </c>
      <c r="AJ38" s="108">
        <f t="shared" si="5"/>
        <v>0</v>
      </c>
      <c r="AK38" s="108">
        <f t="shared" si="6"/>
        <v>0</v>
      </c>
      <c r="AL38" s="108">
        <f t="shared" si="7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0</v>
      </c>
      <c r="H39" s="379" t="s">
        <v>9</v>
      </c>
      <c r="I39" s="442">
        <v>2</v>
      </c>
      <c r="J39" s="381">
        <f t="shared" si="0"/>
        <v>2</v>
      </c>
      <c r="K39" s="363">
        <f t="shared" si="1"/>
        <v>0</v>
      </c>
      <c r="L39" s="363">
        <f t="shared" si="2"/>
        <v>3</v>
      </c>
      <c r="M39" s="352"/>
      <c r="N39" s="352"/>
      <c r="O39" s="394" t="s">
        <v>29</v>
      </c>
      <c r="P39" s="395">
        <f>SUMIF($D$8:$D$55,$O39,$G$8:$G$55)+SUMIF($F$8:$F$55,$O39,$I$8:$I$55)</f>
        <v>9</v>
      </c>
      <c r="Q39" s="395">
        <f>SUMIF($D$8:$D$55,$O39,$I$8:$I$55)+SUMIF($F$8:$F$55,$O39,$G$8:$G$55)</f>
        <v>2</v>
      </c>
      <c r="R39" s="396">
        <f>P39-Q39</f>
        <v>7</v>
      </c>
      <c r="S39" s="397">
        <f>SUMIF($D$8:$D$55,$O39,$K$8:$K$55)+SUMIF($F$8:$F$55,$O39,$L$8:$L$55)</f>
        <v>9</v>
      </c>
      <c r="T39" s="444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1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1</v>
      </c>
      <c r="AG39" s="108">
        <f t="shared" si="3"/>
        <v>0</v>
      </c>
      <c r="AH39" s="108">
        <f t="shared" si="4"/>
        <v>1</v>
      </c>
      <c r="AI39" s="108">
        <f t="shared" si="10"/>
        <v>0</v>
      </c>
      <c r="AJ39" s="108">
        <f t="shared" si="5"/>
        <v>0</v>
      </c>
      <c r="AK39" s="108">
        <f t="shared" si="6"/>
        <v>0</v>
      </c>
      <c r="AL39" s="108">
        <f t="shared" si="7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0</v>
      </c>
      <c r="H40" s="367" t="s">
        <v>9</v>
      </c>
      <c r="I40" s="440">
        <v>2</v>
      </c>
      <c r="J40" s="369">
        <f t="shared" si="0"/>
        <v>2</v>
      </c>
      <c r="K40" s="363">
        <f t="shared" si="1"/>
        <v>0</v>
      </c>
      <c r="L40" s="363">
        <f t="shared" si="2"/>
        <v>3</v>
      </c>
      <c r="M40" s="352"/>
      <c r="N40" s="352"/>
      <c r="O40" s="398" t="s">
        <v>30</v>
      </c>
      <c r="P40" s="399">
        <f>SUMIF($D$8:$D$55,$O40,$G$8:$G$55)+SUMIF($F$8:$F$55,$O40,$I$8:$I$55)</f>
        <v>3</v>
      </c>
      <c r="Q40" s="399">
        <f>SUMIF($D$8:$D$55,$O40,$I$8:$I$55)+SUMIF($F$8:$F$55,$O40,$G$8:$G$55)</f>
        <v>7</v>
      </c>
      <c r="R40" s="399">
        <f>P40-Q40</f>
        <v>-4</v>
      </c>
      <c r="S40" s="400">
        <f>SUMIF($D$8:$D$55,$O40,$K$8:$K$55)+SUMIF($F$8:$F$55,$O40,$L$8:$L$55)</f>
        <v>1</v>
      </c>
      <c r="T40" s="445" t="s">
        <v>75</v>
      </c>
      <c r="U40" s="40"/>
      <c r="V40" s="40" t="str">
        <f>O40</f>
        <v>Bosnië H.</v>
      </c>
      <c r="W40" s="40" t="s">
        <v>73</v>
      </c>
      <c r="Y40" s="109">
        <f t="shared" si="8"/>
        <v>6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6</v>
      </c>
      <c r="AG40" s="108">
        <f t="shared" si="3"/>
        <v>1</v>
      </c>
      <c r="AH40" s="108">
        <f t="shared" si="4"/>
        <v>0</v>
      </c>
      <c r="AI40" s="108">
        <f t="shared" si="10"/>
        <v>0</v>
      </c>
      <c r="AJ40" s="108">
        <f t="shared" si="5"/>
        <v>0</v>
      </c>
      <c r="AK40" s="108">
        <f t="shared" si="6"/>
        <v>5</v>
      </c>
      <c r="AL40" s="108">
        <f t="shared" si="7"/>
        <v>0</v>
      </c>
      <c r="AM40" s="120">
        <f>AO40</f>
        <v>0</v>
      </c>
      <c r="AN40" s="117" t="s">
        <v>30</v>
      </c>
      <c r="AO40" s="115">
        <f>IF(Uitslag!T40="",0,IF(T40=Uitslag!T40,10,0))</f>
        <v>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2</v>
      </c>
      <c r="H41" s="373" t="s">
        <v>9</v>
      </c>
      <c r="I41" s="441">
        <v>1</v>
      </c>
      <c r="J41" s="375">
        <f t="shared" si="0"/>
        <v>1</v>
      </c>
      <c r="K41" s="363">
        <f t="shared" si="1"/>
        <v>3</v>
      </c>
      <c r="L41" s="363">
        <f t="shared" si="2"/>
        <v>0</v>
      </c>
      <c r="M41" s="352"/>
      <c r="N41" s="352"/>
      <c r="O41" s="398" t="s">
        <v>33</v>
      </c>
      <c r="P41" s="399">
        <f>SUMIF($D$8:$D$55,$O41,$G$8:$G$55)+SUMIF($F$8:$F$55,$O41,$I$8:$I$55)</f>
        <v>2</v>
      </c>
      <c r="Q41" s="399">
        <f>SUMIF($D$8:$D$55,$O41,$I$8:$I$55)+SUMIF($F$8:$F$55,$O41,$G$8:$G$55)</f>
        <v>5</v>
      </c>
      <c r="R41" s="399">
        <f>P41-Q41</f>
        <v>-3</v>
      </c>
      <c r="S41" s="400">
        <f>SUMIF($D$8:$D$55,$O41,$K$8:$K$55)+SUMIF($F$8:$F$55,$O41,$L$8:$L$55)</f>
        <v>1</v>
      </c>
      <c r="T41" s="445" t="s">
        <v>74</v>
      </c>
      <c r="U41" s="40"/>
      <c r="V41" s="40" t="str">
        <f>O41</f>
        <v>Iran</v>
      </c>
      <c r="W41" s="40" t="s">
        <v>74</v>
      </c>
      <c r="Y41" s="109">
        <f t="shared" si="8"/>
        <v>6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6</v>
      </c>
      <c r="AG41" s="108">
        <f t="shared" si="3"/>
        <v>1</v>
      </c>
      <c r="AH41" s="108">
        <f t="shared" si="4"/>
        <v>0</v>
      </c>
      <c r="AI41" s="108">
        <f t="shared" si="10"/>
        <v>0</v>
      </c>
      <c r="AJ41" s="108">
        <f t="shared" si="5"/>
        <v>5</v>
      </c>
      <c r="AK41" s="108">
        <f t="shared" si="6"/>
        <v>0</v>
      </c>
      <c r="AL41" s="108">
        <f t="shared" si="7"/>
        <v>0</v>
      </c>
      <c r="AM41" s="120">
        <f>AO41</f>
        <v>0</v>
      </c>
      <c r="AN41" s="117" t="s">
        <v>33</v>
      </c>
      <c r="AO41" s="115">
        <f>IF(Uitslag!T41="",0,IF(T41=Uitslag!T41,10,0))</f>
        <v>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0</v>
      </c>
      <c r="H42" s="373" t="s">
        <v>9</v>
      </c>
      <c r="I42" s="441">
        <v>3</v>
      </c>
      <c r="J42" s="375">
        <f t="shared" si="0"/>
        <v>2</v>
      </c>
      <c r="K42" s="363">
        <f t="shared" si="1"/>
        <v>0</v>
      </c>
      <c r="L42" s="363">
        <f t="shared" si="2"/>
        <v>3</v>
      </c>
      <c r="M42" s="352"/>
      <c r="N42" s="352"/>
      <c r="O42" s="401" t="s">
        <v>34</v>
      </c>
      <c r="P42" s="402">
        <f>SUMIF($D$8:$D$55,$O42,$G$8:$G$55)+SUMIF($F$8:$F$55,$O42,$I$8:$I$55)</f>
        <v>3</v>
      </c>
      <c r="Q42" s="402">
        <f>SUMIF($D$8:$D$55,$O42,$I$8:$I$55)+SUMIF($F$8:$F$55,$O42,$G$8:$G$55)</f>
        <v>3</v>
      </c>
      <c r="R42" s="402">
        <f>P42-Q42</f>
        <v>0</v>
      </c>
      <c r="S42" s="403">
        <f>SUMIF($D$8:$D$55,$O42,$K$8:$K$55)+SUMIF($F$8:$F$55,$O42,$L$8:$L$55)</f>
        <v>6</v>
      </c>
      <c r="T42" s="446" t="s">
        <v>73</v>
      </c>
      <c r="U42" s="40"/>
      <c r="V42" s="40" t="str">
        <f>O42</f>
        <v>Nigeria</v>
      </c>
      <c r="W42" s="40" t="s">
        <v>75</v>
      </c>
      <c r="Y42" s="109">
        <f t="shared" si="8"/>
        <v>5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5</v>
      </c>
      <c r="AG42" s="108">
        <f t="shared" si="3"/>
        <v>0</v>
      </c>
      <c r="AH42" s="108">
        <f t="shared" si="4"/>
        <v>0</v>
      </c>
      <c r="AI42" s="108">
        <f t="shared" si="10"/>
        <v>0</v>
      </c>
      <c r="AJ42" s="108">
        <f t="shared" si="5"/>
        <v>0</v>
      </c>
      <c r="AK42" s="108">
        <f t="shared" si="6"/>
        <v>5</v>
      </c>
      <c r="AL42" s="108">
        <f t="shared" si="7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1</v>
      </c>
      <c r="H43" s="379" t="s">
        <v>9</v>
      </c>
      <c r="I43" s="442">
        <v>2</v>
      </c>
      <c r="J43" s="381">
        <f t="shared" si="0"/>
        <v>2</v>
      </c>
      <c r="K43" s="363">
        <f t="shared" si="1"/>
        <v>0</v>
      </c>
      <c r="L43" s="363">
        <f t="shared" si="2"/>
        <v>3</v>
      </c>
      <c r="M43" s="352"/>
      <c r="N43" s="352"/>
      <c r="O43" s="392"/>
      <c r="P43" s="393"/>
      <c r="Q43" s="393"/>
      <c r="R43" s="393"/>
      <c r="S43" s="393"/>
      <c r="T43" s="393"/>
      <c r="U43" s="40"/>
      <c r="V43" s="40"/>
      <c r="W43" s="40"/>
      <c r="Y43" s="109">
        <f t="shared" si="8"/>
        <v>6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6</v>
      </c>
      <c r="AG43" s="108">
        <f t="shared" si="3"/>
        <v>1</v>
      </c>
      <c r="AH43" s="108">
        <f t="shared" si="4"/>
        <v>0</v>
      </c>
      <c r="AI43" s="108">
        <f t="shared" si="10"/>
        <v>0</v>
      </c>
      <c r="AJ43" s="108">
        <f t="shared" si="5"/>
        <v>0</v>
      </c>
      <c r="AK43" s="108">
        <f t="shared" si="6"/>
        <v>5</v>
      </c>
      <c r="AL43" s="108">
        <f t="shared" si="7"/>
        <v>0</v>
      </c>
      <c r="AN43" s="40"/>
      <c r="AO43" s="41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2</v>
      </c>
      <c r="H44" s="367" t="s">
        <v>9</v>
      </c>
      <c r="I44" s="440">
        <v>2</v>
      </c>
      <c r="J44" s="369">
        <f t="shared" si="0"/>
        <v>3</v>
      </c>
      <c r="K44" s="363">
        <f t="shared" si="1"/>
        <v>1</v>
      </c>
      <c r="L44" s="363">
        <f t="shared" si="2"/>
        <v>1</v>
      </c>
      <c r="M44" s="352"/>
      <c r="N44" s="352"/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40"/>
      <c r="V44" s="40"/>
      <c r="W44" s="40"/>
      <c r="Y44" s="109">
        <f t="shared" si="8"/>
        <v>0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0</v>
      </c>
      <c r="AG44" s="108">
        <f t="shared" si="3"/>
        <v>0</v>
      </c>
      <c r="AH44" s="108">
        <f t="shared" si="4"/>
        <v>0</v>
      </c>
      <c r="AI44" s="108">
        <f t="shared" si="10"/>
        <v>0</v>
      </c>
      <c r="AJ44" s="108">
        <f t="shared" si="5"/>
        <v>0</v>
      </c>
      <c r="AK44" s="108">
        <f t="shared" si="6"/>
        <v>0</v>
      </c>
      <c r="AL44" s="108">
        <f t="shared" si="7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1</v>
      </c>
      <c r="H45" s="373" t="s">
        <v>9</v>
      </c>
      <c r="I45" s="441">
        <v>1</v>
      </c>
      <c r="J45" s="375">
        <f t="shared" si="0"/>
        <v>3</v>
      </c>
      <c r="K45" s="363">
        <f t="shared" si="1"/>
        <v>1</v>
      </c>
      <c r="L45" s="363">
        <f t="shared" si="2"/>
        <v>1</v>
      </c>
      <c r="M45" s="352"/>
      <c r="N45" s="352"/>
      <c r="O45" s="394" t="s">
        <v>31</v>
      </c>
      <c r="P45" s="395">
        <f>SUMIF($D$8:$D$55,$O45,$G$8:$G$55)+SUMIF($F$8:$F$55,$O45,$I$8:$I$55)</f>
        <v>6</v>
      </c>
      <c r="Q45" s="395">
        <f>SUMIF($D$8:$D$55,$O45,$I$8:$I$55)+SUMIF($F$8:$F$55,$O45,$G$8:$G$55)</f>
        <v>3</v>
      </c>
      <c r="R45" s="396">
        <f>P45-Q45</f>
        <v>3</v>
      </c>
      <c r="S45" s="397">
        <f>SUMIF($D$8:$D$55,$O45,$K$8:$K$55)+SUMIF($F$8:$F$55,$O45,$L$8:$L$55)</f>
        <v>7</v>
      </c>
      <c r="T45" s="444" t="s">
        <v>78</v>
      </c>
      <c r="U45" s="40"/>
      <c r="V45" s="40" t="str">
        <f>O45</f>
        <v>Duitsland</v>
      </c>
      <c r="W45" s="40" t="s">
        <v>77</v>
      </c>
      <c r="Y45" s="109">
        <f t="shared" si="8"/>
        <v>5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5</v>
      </c>
      <c r="AG45" s="108">
        <f t="shared" si="3"/>
        <v>0</v>
      </c>
      <c r="AH45" s="108">
        <f t="shared" si="4"/>
        <v>0</v>
      </c>
      <c r="AI45" s="108">
        <f t="shared" si="10"/>
        <v>0</v>
      </c>
      <c r="AJ45" s="108">
        <f t="shared" si="5"/>
        <v>0</v>
      </c>
      <c r="AK45" s="108">
        <f t="shared" si="6"/>
        <v>0</v>
      </c>
      <c r="AL45" s="108">
        <f t="shared" si="7"/>
        <v>5</v>
      </c>
      <c r="AM45" s="120">
        <f>AO45</f>
        <v>0</v>
      </c>
      <c r="AN45" s="116" t="s">
        <v>31</v>
      </c>
      <c r="AO45" s="115">
        <f>IF(Uitslag!T45="",0,IF(T45=Uitslag!T45,10,0))</f>
        <v>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1</v>
      </c>
      <c r="H46" s="373" t="s">
        <v>9</v>
      </c>
      <c r="I46" s="441">
        <v>2</v>
      </c>
      <c r="J46" s="375">
        <f t="shared" si="0"/>
        <v>2</v>
      </c>
      <c r="K46" s="363">
        <f t="shared" si="1"/>
        <v>0</v>
      </c>
      <c r="L46" s="363">
        <f t="shared" si="2"/>
        <v>3</v>
      </c>
      <c r="M46" s="352"/>
      <c r="N46" s="352"/>
      <c r="O46" s="398" t="s">
        <v>32</v>
      </c>
      <c r="P46" s="399">
        <f>SUMIF($D$8:$D$55,$O46,$G$8:$G$55)+SUMIF($F$8:$F$55,$O46,$I$8:$I$55)</f>
        <v>6</v>
      </c>
      <c r="Q46" s="399">
        <f>SUMIF($D$8:$D$55,$O46,$I$8:$I$55)+SUMIF($F$8:$F$55,$O46,$G$8:$G$55)</f>
        <v>2</v>
      </c>
      <c r="R46" s="399">
        <f>P46-Q46</f>
        <v>4</v>
      </c>
      <c r="S46" s="400">
        <f>SUMIF($D$8:$D$55,$O46,$K$8:$K$55)+SUMIF($F$8:$F$55,$O46,$L$8:$L$55)</f>
        <v>7</v>
      </c>
      <c r="T46" s="445" t="s">
        <v>77</v>
      </c>
      <c r="U46" s="40"/>
      <c r="V46" s="40" t="str">
        <f>O46</f>
        <v>Portugal</v>
      </c>
      <c r="W46" s="40" t="s">
        <v>78</v>
      </c>
      <c r="Y46" s="109">
        <f t="shared" si="8"/>
        <v>6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6</v>
      </c>
      <c r="AG46" s="108">
        <f t="shared" si="3"/>
        <v>1</v>
      </c>
      <c r="AH46" s="108">
        <f t="shared" si="4"/>
        <v>0</v>
      </c>
      <c r="AI46" s="108">
        <f t="shared" si="10"/>
        <v>0</v>
      </c>
      <c r="AJ46" s="108">
        <f t="shared" si="5"/>
        <v>0</v>
      </c>
      <c r="AK46" s="108">
        <f t="shared" si="6"/>
        <v>5</v>
      </c>
      <c r="AL46" s="108">
        <f t="shared" si="7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2</v>
      </c>
      <c r="H47" s="379" t="s">
        <v>9</v>
      </c>
      <c r="I47" s="442">
        <v>1</v>
      </c>
      <c r="J47" s="381">
        <f t="shared" si="0"/>
        <v>1</v>
      </c>
      <c r="K47" s="363">
        <f t="shared" si="1"/>
        <v>3</v>
      </c>
      <c r="L47" s="363">
        <f t="shared" si="2"/>
        <v>0</v>
      </c>
      <c r="M47" s="352"/>
      <c r="N47" s="352"/>
      <c r="O47" s="398" t="s">
        <v>35</v>
      </c>
      <c r="P47" s="399">
        <f>SUMIF($D$8:$D$55,$O47,$G$8:$G$55)+SUMIF($F$8:$F$55,$O47,$I$8:$I$55)</f>
        <v>2</v>
      </c>
      <c r="Q47" s="399">
        <f>SUMIF($D$8:$D$55,$O47,$I$8:$I$55)+SUMIF($F$8:$F$55,$O47,$G$8:$G$55)</f>
        <v>5</v>
      </c>
      <c r="R47" s="399">
        <f>P47-Q47</f>
        <v>-3</v>
      </c>
      <c r="S47" s="400">
        <f>SUMIF($D$8:$D$55,$O47,$K$8:$K$55)+SUMIF($F$8:$F$55,$O47,$L$8:$L$55)</f>
        <v>1</v>
      </c>
      <c r="T47" s="445" t="s">
        <v>79</v>
      </c>
      <c r="U47" s="40"/>
      <c r="V47" s="40" t="str">
        <f>O47</f>
        <v>Ghana</v>
      </c>
      <c r="W47" s="40" t="s">
        <v>79</v>
      </c>
      <c r="Y47" s="109">
        <f t="shared" si="8"/>
        <v>10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10</v>
      </c>
      <c r="AG47" s="108">
        <f t="shared" si="3"/>
        <v>1</v>
      </c>
      <c r="AH47" s="108">
        <f t="shared" si="4"/>
        <v>1</v>
      </c>
      <c r="AI47" s="108">
        <f t="shared" si="10"/>
        <v>10</v>
      </c>
      <c r="AJ47" s="108">
        <f t="shared" si="5"/>
        <v>5</v>
      </c>
      <c r="AK47" s="108">
        <f t="shared" si="6"/>
        <v>0</v>
      </c>
      <c r="AL47" s="108">
        <f t="shared" si="7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0</v>
      </c>
      <c r="H48" s="367" t="s">
        <v>9</v>
      </c>
      <c r="I48" s="440">
        <v>2</v>
      </c>
      <c r="J48" s="369">
        <f t="shared" si="0"/>
        <v>2</v>
      </c>
      <c r="K48" s="363">
        <f t="shared" si="1"/>
        <v>0</v>
      </c>
      <c r="L48" s="363">
        <f t="shared" si="2"/>
        <v>3</v>
      </c>
      <c r="M48" s="352"/>
      <c r="N48" s="352"/>
      <c r="O48" s="401" t="s">
        <v>36</v>
      </c>
      <c r="P48" s="402">
        <f>SUMIF($D$8:$D$55,$O48,$G$8:$G$55)+SUMIF($F$8:$F$55,$O48,$I$8:$I$55)</f>
        <v>1</v>
      </c>
      <c r="Q48" s="402">
        <f>SUMIF($D$8:$D$55,$O48,$I$8:$I$55)+SUMIF($F$8:$F$55,$O48,$G$8:$G$55)</f>
        <v>5</v>
      </c>
      <c r="R48" s="402">
        <f>P48-Q48</f>
        <v>-4</v>
      </c>
      <c r="S48" s="403">
        <f>SUMIF($D$8:$D$55,$O48,$K$8:$K$55)+SUMIF($F$8:$F$55,$O48,$L$8:$L$55)</f>
        <v>1</v>
      </c>
      <c r="T48" s="446" t="s">
        <v>80</v>
      </c>
      <c r="U48" s="40"/>
      <c r="V48" s="40" t="str">
        <f>O48</f>
        <v>Verenigde Staten</v>
      </c>
      <c r="W48" s="40" t="s">
        <v>80</v>
      </c>
      <c r="Y48" s="109">
        <f t="shared" si="8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5</v>
      </c>
      <c r="AG48" s="108">
        <f t="shared" si="3"/>
        <v>0</v>
      </c>
      <c r="AH48" s="108">
        <f t="shared" si="4"/>
        <v>0</v>
      </c>
      <c r="AI48" s="108">
        <f t="shared" si="10"/>
        <v>0</v>
      </c>
      <c r="AJ48" s="108">
        <f t="shared" si="5"/>
        <v>0</v>
      </c>
      <c r="AK48" s="108">
        <f t="shared" si="6"/>
        <v>5</v>
      </c>
      <c r="AL48" s="108">
        <f t="shared" si="7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1</v>
      </c>
      <c r="H49" s="373" t="s">
        <v>9</v>
      </c>
      <c r="I49" s="441">
        <v>1</v>
      </c>
      <c r="J49" s="375">
        <f t="shared" si="0"/>
        <v>3</v>
      </c>
      <c r="K49" s="363">
        <f t="shared" si="1"/>
        <v>1</v>
      </c>
      <c r="L49" s="363">
        <f t="shared" si="2"/>
        <v>1</v>
      </c>
      <c r="M49" s="352"/>
      <c r="N49" s="352"/>
      <c r="O49" s="392"/>
      <c r="P49" s="393"/>
      <c r="Q49" s="393"/>
      <c r="R49" s="393"/>
      <c r="S49" s="393"/>
      <c r="T49" s="393"/>
      <c r="U49" s="40"/>
      <c r="V49" s="40"/>
      <c r="W49" s="40"/>
      <c r="Y49" s="109">
        <f t="shared" si="8"/>
        <v>1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1</v>
      </c>
      <c r="AG49" s="108">
        <f t="shared" si="3"/>
        <v>0</v>
      </c>
      <c r="AH49" s="108">
        <f t="shared" si="4"/>
        <v>1</v>
      </c>
      <c r="AI49" s="108">
        <f t="shared" si="10"/>
        <v>0</v>
      </c>
      <c r="AJ49" s="108">
        <f t="shared" si="5"/>
        <v>0</v>
      </c>
      <c r="AK49" s="108">
        <f t="shared" si="6"/>
        <v>0</v>
      </c>
      <c r="AL49" s="108">
        <f t="shared" si="7"/>
        <v>0</v>
      </c>
      <c r="AN49" s="40"/>
      <c r="AO49" s="41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0</v>
      </c>
      <c r="H50" s="373" t="s">
        <v>9</v>
      </c>
      <c r="I50" s="441">
        <v>2</v>
      </c>
      <c r="J50" s="375">
        <f t="shared" si="0"/>
        <v>2</v>
      </c>
      <c r="K50" s="363">
        <f t="shared" si="1"/>
        <v>0</v>
      </c>
      <c r="L50" s="363">
        <f t="shared" si="2"/>
        <v>3</v>
      </c>
      <c r="M50" s="352"/>
      <c r="N50" s="352"/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40"/>
      <c r="V50" s="40"/>
      <c r="W50" s="40"/>
      <c r="Y50" s="109">
        <f t="shared" si="8"/>
        <v>6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6</v>
      </c>
      <c r="AG50" s="108">
        <f t="shared" si="3"/>
        <v>1</v>
      </c>
      <c r="AH50" s="108">
        <f t="shared" si="4"/>
        <v>0</v>
      </c>
      <c r="AI50" s="108">
        <f t="shared" si="10"/>
        <v>0</v>
      </c>
      <c r="AJ50" s="108">
        <f t="shared" si="5"/>
        <v>0</v>
      </c>
      <c r="AK50" s="108">
        <f t="shared" si="6"/>
        <v>5</v>
      </c>
      <c r="AL50" s="108">
        <f t="shared" si="7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0</v>
      </c>
      <c r="H51" s="379" t="s">
        <v>9</v>
      </c>
      <c r="I51" s="442">
        <v>2</v>
      </c>
      <c r="J51" s="381">
        <f t="shared" si="0"/>
        <v>2</v>
      </c>
      <c r="K51" s="363">
        <f t="shared" si="1"/>
        <v>0</v>
      </c>
      <c r="L51" s="363">
        <f t="shared" si="2"/>
        <v>3</v>
      </c>
      <c r="M51" s="352"/>
      <c r="N51" s="352"/>
      <c r="O51" s="394" t="s">
        <v>37</v>
      </c>
      <c r="P51" s="395">
        <f>SUMIF($D$8:$D$55,$O51,$G$8:$G$55)+SUMIF($F$8:$F$55,$O51,$I$8:$I$55)</f>
        <v>5</v>
      </c>
      <c r="Q51" s="395">
        <f>SUMIF($D$8:$D$55,$O51,$I$8:$I$55)+SUMIF($F$8:$F$55,$O51,$G$8:$G$55)</f>
        <v>3</v>
      </c>
      <c r="R51" s="396">
        <f>P51-Q51</f>
        <v>2</v>
      </c>
      <c r="S51" s="397">
        <f>SUMIF($D$8:$D$55,$O51,$K$8:$K$55)+SUMIF($F$8:$F$55,$O51,$L$8:$L$55)</f>
        <v>7</v>
      </c>
      <c r="T51" s="444" t="s">
        <v>82</v>
      </c>
      <c r="U51" s="40"/>
      <c r="V51" s="40" t="str">
        <f>O51</f>
        <v>België</v>
      </c>
      <c r="W51" s="40" t="s">
        <v>82</v>
      </c>
      <c r="Y51" s="109">
        <f t="shared" si="8"/>
        <v>1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1</v>
      </c>
      <c r="AG51" s="108">
        <f t="shared" si="3"/>
        <v>1</v>
      </c>
      <c r="AH51" s="108">
        <f t="shared" si="4"/>
        <v>0</v>
      </c>
      <c r="AI51" s="108">
        <f t="shared" si="10"/>
        <v>0</v>
      </c>
      <c r="AJ51" s="108">
        <f t="shared" si="5"/>
        <v>0</v>
      </c>
      <c r="AK51" s="108">
        <f t="shared" si="6"/>
        <v>0</v>
      </c>
      <c r="AL51" s="108">
        <f t="shared" si="7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0</v>
      </c>
      <c r="H52" s="373" t="s">
        <v>9</v>
      </c>
      <c r="I52" s="441">
        <v>2</v>
      </c>
      <c r="J52" s="369">
        <f t="shared" si="0"/>
        <v>2</v>
      </c>
      <c r="K52" s="363">
        <f t="shared" si="1"/>
        <v>0</v>
      </c>
      <c r="L52" s="363">
        <f t="shared" si="2"/>
        <v>3</v>
      </c>
      <c r="M52" s="352"/>
      <c r="N52" s="352"/>
      <c r="O52" s="398" t="s">
        <v>38</v>
      </c>
      <c r="P52" s="399">
        <f>SUMIF($D$8:$D$55,$O52,$G$8:$G$55)+SUMIF($F$8:$F$55,$O52,$I$8:$I$55)</f>
        <v>2</v>
      </c>
      <c r="Q52" s="399">
        <f>SUMIF($D$8:$D$55,$O52,$I$8:$I$55)+SUMIF($F$8:$F$55,$O52,$G$8:$G$55)</f>
        <v>5</v>
      </c>
      <c r="R52" s="399">
        <f>P52-Q52</f>
        <v>-3</v>
      </c>
      <c r="S52" s="400">
        <f>SUMIF($D$8:$D$55,$O52,$K$8:$K$55)+SUMIF($F$8:$F$55,$O52,$L$8:$L$55)</f>
        <v>0</v>
      </c>
      <c r="T52" s="445" t="s">
        <v>85</v>
      </c>
      <c r="U52" s="40"/>
      <c r="V52" s="40" t="str">
        <f>O52</f>
        <v>Algerije</v>
      </c>
      <c r="W52" s="40" t="s">
        <v>83</v>
      </c>
      <c r="Y52" s="109">
        <f t="shared" si="8"/>
        <v>6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6</v>
      </c>
      <c r="AG52" s="108">
        <f t="shared" si="3"/>
        <v>1</v>
      </c>
      <c r="AH52" s="108">
        <f t="shared" si="4"/>
        <v>0</v>
      </c>
      <c r="AI52" s="108">
        <f t="shared" si="10"/>
        <v>0</v>
      </c>
      <c r="AJ52" s="108">
        <f t="shared" si="5"/>
        <v>0</v>
      </c>
      <c r="AK52" s="108">
        <f t="shared" si="6"/>
        <v>5</v>
      </c>
      <c r="AL52" s="108">
        <f t="shared" si="7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2</v>
      </c>
      <c r="H53" s="373" t="s">
        <v>9</v>
      </c>
      <c r="I53" s="441">
        <v>0</v>
      </c>
      <c r="J53" s="375">
        <f t="shared" si="0"/>
        <v>1</v>
      </c>
      <c r="K53" s="363">
        <f t="shared" si="1"/>
        <v>3</v>
      </c>
      <c r="L53" s="363">
        <f t="shared" si="2"/>
        <v>0</v>
      </c>
      <c r="M53" s="352"/>
      <c r="N53" s="352"/>
      <c r="O53" s="398" t="s">
        <v>39</v>
      </c>
      <c r="P53" s="399">
        <f>SUMIF($D$8:$D$55,$O53,$G$8:$G$55)+SUMIF($F$8:$F$55,$O53,$I$8:$I$55)</f>
        <v>3</v>
      </c>
      <c r="Q53" s="399">
        <f>SUMIF($D$8:$D$55,$O53,$I$8:$I$55)+SUMIF($F$8:$F$55,$O53,$G$8:$G$55)</f>
        <v>2</v>
      </c>
      <c r="R53" s="399">
        <f>P53-Q53</f>
        <v>1</v>
      </c>
      <c r="S53" s="400">
        <f>SUMIF($D$8:$D$55,$O53,$K$8:$K$55)+SUMIF($F$8:$F$55,$O53,$L$8:$L$55)</f>
        <v>5</v>
      </c>
      <c r="T53" s="445" t="s">
        <v>83</v>
      </c>
      <c r="U53" s="40"/>
      <c r="V53" s="40" t="str">
        <f>O53</f>
        <v>Rusland</v>
      </c>
      <c r="W53" s="40" t="s">
        <v>84</v>
      </c>
      <c r="Y53" s="109">
        <f t="shared" si="8"/>
        <v>6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6</v>
      </c>
      <c r="AG53" s="108">
        <f t="shared" si="3"/>
        <v>1</v>
      </c>
      <c r="AH53" s="108">
        <f t="shared" si="4"/>
        <v>0</v>
      </c>
      <c r="AI53" s="108">
        <f t="shared" si="10"/>
        <v>0</v>
      </c>
      <c r="AJ53" s="108">
        <f t="shared" si="5"/>
        <v>5</v>
      </c>
      <c r="AK53" s="108">
        <f t="shared" si="6"/>
        <v>0</v>
      </c>
      <c r="AL53" s="108">
        <f t="shared" si="7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1</v>
      </c>
      <c r="H54" s="373" t="s">
        <v>9</v>
      </c>
      <c r="I54" s="441">
        <v>2</v>
      </c>
      <c r="J54" s="375">
        <f t="shared" si="0"/>
        <v>2</v>
      </c>
      <c r="K54" s="363">
        <f t="shared" si="1"/>
        <v>0</v>
      </c>
      <c r="L54" s="363">
        <f t="shared" si="2"/>
        <v>3</v>
      </c>
      <c r="M54" s="352"/>
      <c r="N54" s="352"/>
      <c r="O54" s="401" t="s">
        <v>40</v>
      </c>
      <c r="P54" s="402">
        <f>SUMIF($D$8:$D$55,$O54,$G$8:$G$55)+SUMIF($F$8:$F$55,$O54,$I$8:$I$55)</f>
        <v>4</v>
      </c>
      <c r="Q54" s="402">
        <f>SUMIF($D$8:$D$55,$O54,$I$8:$I$55)+SUMIF($F$8:$F$55,$O54,$G$8:$G$55)</f>
        <v>4</v>
      </c>
      <c r="R54" s="402">
        <f>P54-Q54</f>
        <v>0</v>
      </c>
      <c r="S54" s="403">
        <f>SUMIF($D$8:$D$55,$O54,$K$8:$K$55)+SUMIF($F$8:$F$55,$O54,$L$8:$L$55)</f>
        <v>4</v>
      </c>
      <c r="T54" s="446" t="s">
        <v>84</v>
      </c>
      <c r="U54" s="40"/>
      <c r="V54" s="40" t="str">
        <f>O54</f>
        <v>Zuid Korea</v>
      </c>
      <c r="W54" s="40" t="s">
        <v>85</v>
      </c>
      <c r="Y54" s="109">
        <f t="shared" si="8"/>
        <v>5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5</v>
      </c>
      <c r="AG54" s="108">
        <f t="shared" si="3"/>
        <v>0</v>
      </c>
      <c r="AH54" s="108">
        <f t="shared" si="4"/>
        <v>0</v>
      </c>
      <c r="AI54" s="108">
        <f t="shared" si="10"/>
        <v>0</v>
      </c>
      <c r="AJ54" s="108">
        <f t="shared" si="5"/>
        <v>0</v>
      </c>
      <c r="AK54" s="108">
        <f t="shared" si="6"/>
        <v>5</v>
      </c>
      <c r="AL54" s="108">
        <f t="shared" si="7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0</v>
      </c>
      <c r="H55" s="388" t="s">
        <v>9</v>
      </c>
      <c r="I55" s="443">
        <v>1</v>
      </c>
      <c r="J55" s="390">
        <f t="shared" si="0"/>
        <v>2</v>
      </c>
      <c r="K55" s="363">
        <f t="shared" si="1"/>
        <v>0</v>
      </c>
      <c r="L55" s="363">
        <f t="shared" si="2"/>
        <v>3</v>
      </c>
      <c r="M55" s="352"/>
      <c r="N55" s="352"/>
      <c r="O55" s="392"/>
      <c r="P55" s="393"/>
      <c r="Q55" s="393"/>
      <c r="R55" s="393"/>
      <c r="S55" s="393"/>
      <c r="T55" s="393"/>
      <c r="U55" s="40"/>
      <c r="V55" s="40"/>
      <c r="W55" s="40"/>
      <c r="Y55" s="109">
        <f t="shared" si="8"/>
        <v>1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</v>
      </c>
      <c r="AG55" s="108">
        <f t="shared" si="3"/>
        <v>0</v>
      </c>
      <c r="AH55" s="108">
        <f t="shared" si="4"/>
        <v>1</v>
      </c>
      <c r="AI55" s="108">
        <f t="shared" si="10"/>
        <v>0</v>
      </c>
      <c r="AJ55" s="108">
        <f t="shared" si="5"/>
        <v>0</v>
      </c>
      <c r="AK55" s="108">
        <f t="shared" si="6"/>
        <v>0</v>
      </c>
      <c r="AL55" s="108">
        <f t="shared" si="7"/>
        <v>0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N56" s="352"/>
      <c r="O56" s="352"/>
      <c r="P56" s="352"/>
      <c r="Q56" s="352"/>
      <c r="R56" s="352"/>
      <c r="S56" s="352"/>
      <c r="T56" s="352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27"/>
      <c r="K57" s="353"/>
      <c r="L57" s="353"/>
      <c r="M57" s="353"/>
      <c r="N57" s="352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32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N58" s="352"/>
      <c r="O58" s="458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 t="shared" ref="D59:D66" si="13">IF(ISERROR(Z59),K59,Z59)</f>
        <v>Brazilië</v>
      </c>
      <c r="E59" s="367" t="s">
        <v>9</v>
      </c>
      <c r="F59" s="406" t="str">
        <f t="shared" ref="F59:F66" si="14">IF(ISERROR(AA59),L59,AA59)</f>
        <v>Nederland</v>
      </c>
      <c r="G59" s="435">
        <v>2</v>
      </c>
      <c r="H59" s="367" t="s">
        <v>9</v>
      </c>
      <c r="I59" s="447">
        <v>1</v>
      </c>
      <c r="J59" s="448">
        <v>1</v>
      </c>
      <c r="K59" s="407" t="s">
        <v>48</v>
      </c>
      <c r="L59" s="407" t="s">
        <v>53</v>
      </c>
      <c r="M59" s="407">
        <v>1</v>
      </c>
      <c r="N59" s="352"/>
      <c r="O59" s="458">
        <v>2</v>
      </c>
      <c r="P59" s="877" t="s">
        <v>212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5">AF59</f>
        <v>1</v>
      </c>
      <c r="Z59" t="str">
        <f t="shared" ref="Z59:AA65" si="16">IF(K59=""," ",VLOOKUP(K59,$T$9:$V$54,3,FALSE))</f>
        <v>Brazilië</v>
      </c>
      <c r="AA59" t="str">
        <f t="shared" si="16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7">IF(OR(AC59="",AD59=""),0,(IF(SUM(AG59:AL59)&gt;10,10,SUM(AG59:AL59))))</f>
        <v>1</v>
      </c>
      <c r="AG59" s="108">
        <f t="shared" ref="AG59:AG66" si="18">IF(AC59="",0,(IF(G59=AC59,1,0)))</f>
        <v>0</v>
      </c>
      <c r="AH59" s="108">
        <f t="shared" ref="AH59:AH66" si="19">IF(AD59="",0,(IF(I59=AD59,1,0)))</f>
        <v>1</v>
      </c>
      <c r="AI59" s="108">
        <f t="shared" ref="AI59:AI66" si="20">IF(AND(AG59=1,AH59=1),10,0)</f>
        <v>0</v>
      </c>
      <c r="AJ59" s="108">
        <f t="shared" ref="AJ59:AJ66" si="21">IF(AND(G59&gt;I59,AC59&gt;AD59),5,0)</f>
        <v>0</v>
      </c>
      <c r="AK59" s="108">
        <f t="shared" ref="AK59:AK66" si="22">IF(AND(G59&lt;I59,AC59&lt;AD59),5,0)</f>
        <v>0</v>
      </c>
      <c r="AL59" s="108">
        <f t="shared" ref="AL59:AL66" si="23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4">BA59</f>
        <v>3</v>
      </c>
    </row>
    <row r="60" spans="2:54">
      <c r="B60" s="376">
        <v>50</v>
      </c>
      <c r="C60" s="466">
        <v>41818</v>
      </c>
      <c r="D60" s="460" t="str">
        <f t="shared" si="13"/>
        <v>Colombia</v>
      </c>
      <c r="E60" s="379" t="s">
        <v>9</v>
      </c>
      <c r="F60" s="409" t="str">
        <f t="shared" si="14"/>
        <v>Italië</v>
      </c>
      <c r="G60" s="437">
        <v>0</v>
      </c>
      <c r="H60" s="379" t="s">
        <v>9</v>
      </c>
      <c r="I60" s="449">
        <v>1</v>
      </c>
      <c r="J60" s="450">
        <v>2</v>
      </c>
      <c r="K60" s="407" t="s">
        <v>57</v>
      </c>
      <c r="L60" s="407" t="s">
        <v>63</v>
      </c>
      <c r="M60" s="407">
        <v>2</v>
      </c>
      <c r="N60" s="352"/>
      <c r="O60" s="458">
        <v>3</v>
      </c>
      <c r="P60" s="877" t="s">
        <v>220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5"/>
        <v>0</v>
      </c>
      <c r="Z60" t="str">
        <f t="shared" si="16"/>
        <v>Colombia</v>
      </c>
      <c r="AA60" t="str">
        <f t="shared" si="16"/>
        <v>Italië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7"/>
        <v>0</v>
      </c>
      <c r="AG60" s="108">
        <f t="shared" si="18"/>
        <v>0</v>
      </c>
      <c r="AH60" s="108">
        <f t="shared" si="19"/>
        <v>0</v>
      </c>
      <c r="AI60" s="108">
        <f t="shared" si="20"/>
        <v>0</v>
      </c>
      <c r="AJ60" s="108">
        <f t="shared" si="21"/>
        <v>0</v>
      </c>
      <c r="AK60" s="108">
        <f t="shared" si="22"/>
        <v>0</v>
      </c>
      <c r="AL60" s="108">
        <f t="shared" si="23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4"/>
        <v>3</v>
      </c>
    </row>
    <row r="61" spans="2:54">
      <c r="B61" s="364">
        <v>51</v>
      </c>
      <c r="C61" s="465">
        <v>41819</v>
      </c>
      <c r="D61" s="464" t="str">
        <f t="shared" si="13"/>
        <v>Spanje</v>
      </c>
      <c r="E61" s="367" t="s">
        <v>9</v>
      </c>
      <c r="F61" s="406" t="str">
        <f t="shared" si="14"/>
        <v>Mexico</v>
      </c>
      <c r="G61" s="435">
        <v>2</v>
      </c>
      <c r="H61" s="367" t="s">
        <v>9</v>
      </c>
      <c r="I61" s="447">
        <v>0</v>
      </c>
      <c r="J61" s="448">
        <v>1</v>
      </c>
      <c r="K61" s="407" t="s">
        <v>52</v>
      </c>
      <c r="L61" s="407" t="s">
        <v>49</v>
      </c>
      <c r="M61" s="407"/>
      <c r="N61" s="352"/>
      <c r="O61" s="458">
        <v>4</v>
      </c>
      <c r="P61" s="877" t="s">
        <v>211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5"/>
        <v>6</v>
      </c>
      <c r="Z61" t="str">
        <f t="shared" si="16"/>
        <v>Spanje</v>
      </c>
      <c r="AA61" t="str">
        <f t="shared" si="16"/>
        <v>Mexico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7"/>
        <v>6</v>
      </c>
      <c r="AG61" s="108">
        <f t="shared" si="18"/>
        <v>1</v>
      </c>
      <c r="AH61" s="108">
        <f t="shared" si="19"/>
        <v>0</v>
      </c>
      <c r="AI61" s="108">
        <f t="shared" si="20"/>
        <v>0</v>
      </c>
      <c r="AJ61" s="108">
        <f t="shared" si="21"/>
        <v>5</v>
      </c>
      <c r="AK61" s="108">
        <f t="shared" si="22"/>
        <v>0</v>
      </c>
      <c r="AL61" s="108">
        <f t="shared" si="23"/>
        <v>0</v>
      </c>
      <c r="AZ61" s="138" t="str">
        <f>Uitslag!P61</f>
        <v>Ron Vlaar (v)</v>
      </c>
      <c r="BA61" s="140">
        <f t="shared" si="12"/>
        <v>3</v>
      </c>
      <c r="BB61" s="139">
        <f t="shared" si="24"/>
        <v>3</v>
      </c>
    </row>
    <row r="62" spans="2:54">
      <c r="B62" s="376">
        <v>52</v>
      </c>
      <c r="C62" s="466">
        <v>41819</v>
      </c>
      <c r="D62" s="464" t="str">
        <f t="shared" si="13"/>
        <v>Uruguay</v>
      </c>
      <c r="E62" s="379" t="s">
        <v>9</v>
      </c>
      <c r="F62" s="409" t="str">
        <f t="shared" si="14"/>
        <v>Griekenland</v>
      </c>
      <c r="G62" s="437">
        <v>2</v>
      </c>
      <c r="H62" s="379" t="s">
        <v>9</v>
      </c>
      <c r="I62" s="449">
        <v>1</v>
      </c>
      <c r="J62" s="450">
        <v>1</v>
      </c>
      <c r="K62" s="407" t="s">
        <v>62</v>
      </c>
      <c r="L62" s="407" t="s">
        <v>58</v>
      </c>
      <c r="M62" s="407"/>
      <c r="N62" s="352"/>
      <c r="O62" s="458">
        <v>5</v>
      </c>
      <c r="P62" s="877" t="s">
        <v>225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5"/>
        <v>1</v>
      </c>
      <c r="Z62" t="str">
        <f t="shared" si="16"/>
        <v>Uruguay</v>
      </c>
      <c r="AA62" t="str">
        <f t="shared" si="16"/>
        <v>Griekenland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7"/>
        <v>1</v>
      </c>
      <c r="AG62" s="108">
        <f t="shared" si="18"/>
        <v>0</v>
      </c>
      <c r="AH62" s="108">
        <f t="shared" si="19"/>
        <v>1</v>
      </c>
      <c r="AI62" s="108">
        <f t="shared" si="20"/>
        <v>0</v>
      </c>
      <c r="AJ62" s="108">
        <f t="shared" si="21"/>
        <v>0</v>
      </c>
      <c r="AK62" s="108">
        <f t="shared" si="22"/>
        <v>0</v>
      </c>
      <c r="AL62" s="108">
        <f t="shared" si="23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4"/>
        <v>3</v>
      </c>
    </row>
    <row r="63" spans="2:54">
      <c r="B63" s="364">
        <v>53</v>
      </c>
      <c r="C63" s="465">
        <v>41820</v>
      </c>
      <c r="D63" s="459" t="str">
        <f t="shared" si="13"/>
        <v>Frankrijk</v>
      </c>
      <c r="E63" s="367" t="s">
        <v>9</v>
      </c>
      <c r="F63" s="406" t="str">
        <f t="shared" si="14"/>
        <v>Nigeria</v>
      </c>
      <c r="G63" s="435">
        <v>3</v>
      </c>
      <c r="H63" s="367" t="s">
        <v>9</v>
      </c>
      <c r="I63" s="447">
        <v>0</v>
      </c>
      <c r="J63" s="448">
        <v>1</v>
      </c>
      <c r="K63" s="407" t="s">
        <v>67</v>
      </c>
      <c r="L63" s="407" t="s">
        <v>73</v>
      </c>
      <c r="M63" s="407"/>
      <c r="N63" s="352"/>
      <c r="O63" s="458">
        <v>6</v>
      </c>
      <c r="P63" s="877" t="s">
        <v>221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5"/>
        <v>6</v>
      </c>
      <c r="Z63" t="str">
        <f t="shared" si="16"/>
        <v>Frankrijk</v>
      </c>
      <c r="AA63" t="str">
        <f t="shared" si="16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7"/>
        <v>6</v>
      </c>
      <c r="AG63" s="108">
        <f t="shared" si="18"/>
        <v>0</v>
      </c>
      <c r="AH63" s="108">
        <f t="shared" si="19"/>
        <v>1</v>
      </c>
      <c r="AI63" s="108">
        <f t="shared" si="20"/>
        <v>0</v>
      </c>
      <c r="AJ63" s="108">
        <f t="shared" si="21"/>
        <v>5</v>
      </c>
      <c r="AK63" s="108">
        <f t="shared" si="22"/>
        <v>0</v>
      </c>
      <c r="AL63" s="108">
        <f t="shared" si="23"/>
        <v>0</v>
      </c>
      <c r="AZ63" s="138" t="str">
        <f>Uitslag!P63</f>
        <v>Daley Blind (v)</v>
      </c>
      <c r="BA63" s="140">
        <f t="shared" si="12"/>
        <v>0</v>
      </c>
      <c r="BB63" s="139">
        <f t="shared" si="24"/>
        <v>0</v>
      </c>
    </row>
    <row r="64" spans="2:54">
      <c r="B64" s="376">
        <v>54</v>
      </c>
      <c r="C64" s="466">
        <v>41820</v>
      </c>
      <c r="D64" s="460" t="str">
        <f t="shared" si="13"/>
        <v>Portugal</v>
      </c>
      <c r="E64" s="379" t="s">
        <v>9</v>
      </c>
      <c r="F64" s="409" t="str">
        <f t="shared" si="14"/>
        <v>Rusland</v>
      </c>
      <c r="G64" s="437">
        <v>2</v>
      </c>
      <c r="H64" s="379" t="s">
        <v>9</v>
      </c>
      <c r="I64" s="449">
        <v>0</v>
      </c>
      <c r="J64" s="450">
        <v>1</v>
      </c>
      <c r="K64" s="407" t="s">
        <v>77</v>
      </c>
      <c r="L64" s="407" t="s">
        <v>83</v>
      </c>
      <c r="M64" s="407"/>
      <c r="N64" s="352"/>
      <c r="O64" s="458">
        <v>7</v>
      </c>
      <c r="P64" s="877" t="s">
        <v>213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5"/>
        <v>1</v>
      </c>
      <c r="Z64" t="str">
        <f t="shared" si="16"/>
        <v>Portugal</v>
      </c>
      <c r="AA64" t="str">
        <f t="shared" si="16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7"/>
        <v>1</v>
      </c>
      <c r="AG64" s="108">
        <f t="shared" si="18"/>
        <v>0</v>
      </c>
      <c r="AH64" s="108">
        <f t="shared" si="19"/>
        <v>1</v>
      </c>
      <c r="AI64" s="108">
        <f t="shared" si="20"/>
        <v>0</v>
      </c>
      <c r="AJ64" s="108">
        <f t="shared" si="21"/>
        <v>0</v>
      </c>
      <c r="AK64" s="108">
        <f t="shared" si="22"/>
        <v>0</v>
      </c>
      <c r="AL64" s="108">
        <f t="shared" si="23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4"/>
        <v>3</v>
      </c>
    </row>
    <row r="65" spans="2:54">
      <c r="B65" s="370">
        <v>55</v>
      </c>
      <c r="C65" s="467">
        <v>41821</v>
      </c>
      <c r="D65" s="459" t="str">
        <f t="shared" si="13"/>
        <v>Argentinië</v>
      </c>
      <c r="E65" s="373" t="s">
        <v>9</v>
      </c>
      <c r="F65" s="410" t="str">
        <f t="shared" si="14"/>
        <v>Zwitserland</v>
      </c>
      <c r="G65" s="436">
        <v>2</v>
      </c>
      <c r="H65" s="373" t="s">
        <v>9</v>
      </c>
      <c r="I65" s="451">
        <v>1</v>
      </c>
      <c r="J65" s="452">
        <v>1</v>
      </c>
      <c r="K65" s="407" t="s">
        <v>72</v>
      </c>
      <c r="L65" s="407" t="s">
        <v>68</v>
      </c>
      <c r="M65" s="407"/>
      <c r="N65" s="352"/>
      <c r="O65" s="458">
        <v>8</v>
      </c>
      <c r="P65" s="877" t="s">
        <v>214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5"/>
        <v>0</v>
      </c>
      <c r="Z65" t="str">
        <f t="shared" si="16"/>
        <v>Argentinië</v>
      </c>
      <c r="AA65" t="str">
        <f t="shared" si="16"/>
        <v>Zwitserland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7"/>
        <v>0</v>
      </c>
      <c r="AG65" s="108">
        <f t="shared" si="18"/>
        <v>0</v>
      </c>
      <c r="AH65" s="108">
        <f t="shared" si="19"/>
        <v>0</v>
      </c>
      <c r="AI65" s="108">
        <f t="shared" si="20"/>
        <v>0</v>
      </c>
      <c r="AJ65" s="108">
        <f t="shared" si="21"/>
        <v>0</v>
      </c>
      <c r="AK65" s="108">
        <f t="shared" si="22"/>
        <v>0</v>
      </c>
      <c r="AL65" s="108">
        <f t="shared" si="23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4"/>
        <v>3</v>
      </c>
    </row>
    <row r="66" spans="2:54" ht="15.75" thickBot="1">
      <c r="B66" s="385">
        <v>56</v>
      </c>
      <c r="C66" s="462">
        <v>41821</v>
      </c>
      <c r="D66" s="461" t="str">
        <f t="shared" si="13"/>
        <v>België</v>
      </c>
      <c r="E66" s="388" t="s">
        <v>9</v>
      </c>
      <c r="F66" s="412" t="str">
        <f t="shared" si="14"/>
        <v>Duitsland</v>
      </c>
      <c r="G66" s="438">
        <v>2</v>
      </c>
      <c r="H66" s="388" t="s">
        <v>9</v>
      </c>
      <c r="I66" s="453">
        <v>1</v>
      </c>
      <c r="J66" s="454">
        <v>1</v>
      </c>
      <c r="K66" s="407" t="s">
        <v>82</v>
      </c>
      <c r="L66" s="407" t="s">
        <v>78</v>
      </c>
      <c r="M66" s="407"/>
      <c r="N66" s="352"/>
      <c r="O66" s="458">
        <v>9</v>
      </c>
      <c r="P66" s="877" t="s">
        <v>230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5"/>
        <v>0</v>
      </c>
      <c r="Z66" t="str">
        <f>IF(K66=""," ",VLOOKUP(K66,$T$9:$V$54,3,FALSE))</f>
        <v>België</v>
      </c>
      <c r="AA66" t="str">
        <f>IF(L66=""," ",VLOOKUP(L66,$T$9:$V$54,3,FALSE))</f>
        <v>Duitsland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7"/>
        <v>0</v>
      </c>
      <c r="AG66" s="108">
        <f t="shared" si="18"/>
        <v>0</v>
      </c>
      <c r="AH66" s="108">
        <f t="shared" si="19"/>
        <v>0</v>
      </c>
      <c r="AI66" s="108">
        <f t="shared" si="20"/>
        <v>0</v>
      </c>
      <c r="AJ66" s="108">
        <f t="shared" si="21"/>
        <v>0</v>
      </c>
      <c r="AK66" s="108">
        <f t="shared" si="22"/>
        <v>0</v>
      </c>
      <c r="AL66" s="108">
        <f t="shared" si="23"/>
        <v>0</v>
      </c>
      <c r="AZ66" s="138" t="str">
        <f>Uitslag!P66</f>
        <v>Jonathan de Guzman (m)</v>
      </c>
      <c r="BA66" s="140">
        <f t="shared" si="12"/>
        <v>0</v>
      </c>
      <c r="BB66" s="139">
        <f t="shared" si="24"/>
        <v>0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N67" s="352"/>
      <c r="O67" s="458">
        <v>10</v>
      </c>
      <c r="P67" s="877" t="s">
        <v>216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4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27"/>
      <c r="K68" s="353"/>
      <c r="L68" s="353"/>
      <c r="M68" s="353"/>
      <c r="N68" s="352"/>
      <c r="O68" s="458">
        <v>11</v>
      </c>
      <c r="P68" s="877" t="s">
        <v>215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4"/>
        <v>3</v>
      </c>
    </row>
    <row r="69" spans="2:54">
      <c r="B69" s="428" t="s">
        <v>1</v>
      </c>
      <c r="C69" s="429" t="s">
        <v>2</v>
      </c>
      <c r="D69" s="430" t="s">
        <v>3</v>
      </c>
      <c r="E69" s="431"/>
      <c r="F69" s="432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N69" s="352"/>
      <c r="O69" s="352"/>
      <c r="P69" s="352"/>
      <c r="Q69" s="352"/>
      <c r="R69" s="352"/>
      <c r="S69" s="352"/>
      <c r="T69" s="352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27</v>
      </c>
      <c r="BB69" s="139" t="str">
        <f>IF(AND(BA69&lt;&gt;"",BA69=33),15,"nvt")</f>
        <v>nvt</v>
      </c>
    </row>
    <row r="70" spans="2:54">
      <c r="B70" s="364">
        <v>57</v>
      </c>
      <c r="C70" s="365">
        <v>41824</v>
      </c>
      <c r="D70" s="405" t="str">
        <f>IF(J63="","Winnaar 53",IF(J63=1,D63,F63))</f>
        <v>Frankrijk</v>
      </c>
      <c r="E70" s="367" t="s">
        <v>9</v>
      </c>
      <c r="F70" s="406" t="str">
        <f>IF(J64="","Winnaar 54",IF(J64=1,D64,F64))</f>
        <v>Portugal</v>
      </c>
      <c r="G70" s="435">
        <v>2</v>
      </c>
      <c r="H70" s="367" t="s">
        <v>9</v>
      </c>
      <c r="I70" s="447">
        <v>1</v>
      </c>
      <c r="J70" s="448">
        <v>1</v>
      </c>
      <c r="K70" s="353"/>
      <c r="L70" s="353"/>
      <c r="M70" s="353"/>
      <c r="N70" s="352"/>
      <c r="O70" s="352"/>
      <c r="P70" s="352"/>
      <c r="Q70" s="352"/>
      <c r="R70" s="352"/>
      <c r="S70" s="352"/>
      <c r="T70" s="352"/>
      <c r="V70" t="s">
        <v>133</v>
      </c>
      <c r="W70" t="s">
        <v>126</v>
      </c>
      <c r="X70" t="str">
        <f t="shared" si="11"/>
        <v>Karim Rekik (v)</v>
      </c>
      <c r="Y70" s="109">
        <f>AF70</f>
        <v>1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1</v>
      </c>
      <c r="AG70" s="108">
        <f>IF(AC70="",0,(IF(G70=AC70,1,0)))</f>
        <v>0</v>
      </c>
      <c r="AH70" s="108">
        <f>IF(AD70="",0,(IF(I70=AD70,1,0)))</f>
        <v>1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0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Brazilië</v>
      </c>
      <c r="E71" s="379" t="s">
        <v>9</v>
      </c>
      <c r="F71" s="409" t="str">
        <f>IF(J60="","Winnaar 50",IF(J60=1,D60,F60))</f>
        <v>Italië</v>
      </c>
      <c r="G71" s="437">
        <v>2</v>
      </c>
      <c r="H71" s="379" t="s">
        <v>9</v>
      </c>
      <c r="I71" s="449">
        <v>1</v>
      </c>
      <c r="J71" s="450">
        <v>1</v>
      </c>
      <c r="K71" s="353"/>
      <c r="L71" s="353"/>
      <c r="M71" s="353"/>
      <c r="N71" s="352"/>
      <c r="O71" s="352"/>
      <c r="P71" s="352"/>
      <c r="Q71" s="352"/>
      <c r="R71" s="352"/>
      <c r="S71" s="352"/>
      <c r="T71" s="352"/>
      <c r="V71" t="s">
        <v>133</v>
      </c>
      <c r="W71" t="s">
        <v>194</v>
      </c>
      <c r="X71" t="str">
        <f t="shared" si="11"/>
        <v>Ron Vlaar (v)</v>
      </c>
      <c r="Y71" s="109">
        <f>AF71</f>
        <v>10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10</v>
      </c>
      <c r="AG71" s="108">
        <f>IF(AC71="",0,(IF(G71=AC71,1,0)))</f>
        <v>1</v>
      </c>
      <c r="AH71" s="108">
        <f>IF(AD71="",0,(IF(I71=AD71,1,0)))</f>
        <v>1</v>
      </c>
      <c r="AI71" s="108">
        <f>IF(AND(AG71=1,AH71=1),10,0)</f>
        <v>10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Argentinië</v>
      </c>
      <c r="E72" s="367" t="s">
        <v>9</v>
      </c>
      <c r="F72" s="406" t="str">
        <f>IF(J66="","Winnaar 56",IF(J66=1,D66,F66))</f>
        <v>België</v>
      </c>
      <c r="G72" s="435">
        <v>2</v>
      </c>
      <c r="H72" s="367" t="s">
        <v>9</v>
      </c>
      <c r="I72" s="447">
        <v>1</v>
      </c>
      <c r="J72" s="448">
        <v>1</v>
      </c>
      <c r="K72" s="353"/>
      <c r="L72" s="353"/>
      <c r="M72" s="353"/>
      <c r="N72" s="352"/>
      <c r="O72" s="352"/>
      <c r="P72" s="352"/>
      <c r="Q72" s="352"/>
      <c r="R72" s="352"/>
      <c r="S72" s="352"/>
      <c r="T72" s="352"/>
      <c r="V72" t="s">
        <v>133</v>
      </c>
      <c r="W72" t="s">
        <v>195</v>
      </c>
      <c r="X72" t="str">
        <f t="shared" si="11"/>
        <v>John Heitinga (v)</v>
      </c>
      <c r="Y72" s="109">
        <f>AF72</f>
        <v>5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5</v>
      </c>
      <c r="AG72" s="108">
        <f>IF(AC72="",0,(IF(G72=AC72,1,0)))</f>
        <v>0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5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Spanje</v>
      </c>
      <c r="E73" s="388" t="s">
        <v>9</v>
      </c>
      <c r="F73" s="412" t="str">
        <f>IF(J62="","Winnaar 52",IF(J62=1,D62,F62))</f>
        <v>Uruguay</v>
      </c>
      <c r="G73" s="438">
        <v>2</v>
      </c>
      <c r="H73" s="388" t="s">
        <v>9</v>
      </c>
      <c r="I73" s="453">
        <v>1</v>
      </c>
      <c r="J73" s="454">
        <v>1</v>
      </c>
      <c r="K73" s="353"/>
      <c r="L73" s="353"/>
      <c r="M73" s="353"/>
      <c r="N73" s="352"/>
      <c r="O73" s="352"/>
      <c r="P73" s="352"/>
      <c r="Q73" s="352"/>
      <c r="R73" s="352"/>
      <c r="S73" s="352"/>
      <c r="T73" s="352"/>
      <c r="V73" t="s">
        <v>133</v>
      </c>
      <c r="W73" t="s">
        <v>196</v>
      </c>
      <c r="X73" t="str">
        <f t="shared" si="11"/>
        <v>Urby Emanuelson (v)</v>
      </c>
      <c r="Y73" s="109">
        <f>AF73</f>
        <v>0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0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N74" s="352"/>
      <c r="O74" s="352"/>
      <c r="P74" s="352"/>
      <c r="Q74" s="352"/>
      <c r="R74" s="352"/>
      <c r="S74" s="352"/>
      <c r="T74" s="352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27"/>
      <c r="K75" s="353"/>
      <c r="L75" s="353"/>
      <c r="M75" s="353"/>
      <c r="N75" s="352"/>
      <c r="O75" s="352"/>
      <c r="P75" s="352"/>
      <c r="Q75" s="352"/>
      <c r="R75" s="352"/>
      <c r="S75" s="352"/>
      <c r="T75" s="352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30" t="s">
        <v>3</v>
      </c>
      <c r="E76" s="431"/>
      <c r="F76" s="432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N76" s="352"/>
      <c r="O76" s="352"/>
      <c r="P76" s="352"/>
      <c r="Q76" s="352"/>
      <c r="R76" s="352"/>
      <c r="S76" s="352"/>
      <c r="T76" s="352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Frankrijk</v>
      </c>
      <c r="E77" s="367" t="s">
        <v>9</v>
      </c>
      <c r="F77" s="406" t="str">
        <f>IF(J71="","Winnaar 58",IF(J71=1,D71,F71))</f>
        <v>Brazilië</v>
      </c>
      <c r="G77" s="435">
        <v>2</v>
      </c>
      <c r="H77" s="367" t="s">
        <v>9</v>
      </c>
      <c r="I77" s="447">
        <v>1</v>
      </c>
      <c r="J77" s="448">
        <v>1</v>
      </c>
      <c r="K77" s="353"/>
      <c r="L77" s="353"/>
      <c r="M77" s="353"/>
      <c r="N77" s="352"/>
      <c r="O77" s="352"/>
      <c r="P77" s="352"/>
      <c r="Q77" s="352"/>
      <c r="R77" s="352"/>
      <c r="S77" s="352"/>
      <c r="T77" s="352"/>
      <c r="V77" t="s">
        <v>134</v>
      </c>
      <c r="W77" t="s">
        <v>203</v>
      </c>
      <c r="X77" t="str">
        <f t="shared" si="11"/>
        <v>Marco van Ginkel (m)</v>
      </c>
      <c r="Y77" s="109">
        <f>AF77</f>
        <v>6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6</v>
      </c>
      <c r="AG77" s="108">
        <f>IF(AC77="",0,(IF(G77=AC77,1,0)))</f>
        <v>0</v>
      </c>
      <c r="AH77" s="108">
        <f>IF(AD77="",0,(IF(I77=AD77,1,0)))</f>
        <v>1</v>
      </c>
      <c r="AI77" s="108">
        <f>IF(AND(AG77=1,AH77=1),10,0)</f>
        <v>0</v>
      </c>
      <c r="AJ77" s="108">
        <f>IF(AND(G77&gt;I77,AC77&gt;AD77),5,0)</f>
        <v>5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Argentinië</v>
      </c>
      <c r="E78" s="388" t="s">
        <v>9</v>
      </c>
      <c r="F78" s="412" t="str">
        <f>IF(J73="","Winnaar 60",IF(J73=1,D73,F73))</f>
        <v>Spanje</v>
      </c>
      <c r="G78" s="438">
        <v>2</v>
      </c>
      <c r="H78" s="388" t="s">
        <v>9</v>
      </c>
      <c r="I78" s="453">
        <v>1</v>
      </c>
      <c r="J78" s="454">
        <v>1</v>
      </c>
      <c r="K78" s="353"/>
      <c r="L78" s="353"/>
      <c r="M78" s="353"/>
      <c r="N78" s="352"/>
      <c r="O78" s="352"/>
      <c r="P78" s="352"/>
      <c r="Q78" s="352"/>
      <c r="R78" s="352"/>
      <c r="S78" s="352"/>
      <c r="T78" s="352"/>
      <c r="V78" t="s">
        <v>134</v>
      </c>
      <c r="W78" t="s">
        <v>199</v>
      </c>
      <c r="X78" t="str">
        <f t="shared" si="11"/>
        <v>Leroy Fer (m)</v>
      </c>
      <c r="Y78" s="109">
        <f>AF78</f>
        <v>0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0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N79" s="352"/>
      <c r="O79" s="352"/>
      <c r="P79" s="352"/>
      <c r="Q79" s="352"/>
      <c r="R79" s="352"/>
      <c r="S79" s="352"/>
      <c r="T79" s="352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27"/>
      <c r="K80" s="353"/>
      <c r="L80" s="353"/>
      <c r="M80" s="353"/>
      <c r="N80" s="352"/>
      <c r="O80" s="352"/>
      <c r="P80" s="352"/>
      <c r="Q80" s="352"/>
      <c r="R80" s="352"/>
      <c r="S80" s="352"/>
      <c r="T80" s="352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30" t="s">
        <v>3</v>
      </c>
      <c r="E81" s="431"/>
      <c r="F81" s="432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N81" s="352"/>
      <c r="O81" s="352"/>
      <c r="P81" s="352"/>
      <c r="Q81" s="352"/>
      <c r="R81" s="352"/>
      <c r="S81" s="352"/>
      <c r="T81" s="352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Brazilië</v>
      </c>
      <c r="E82" s="355" t="s">
        <v>9</v>
      </c>
      <c r="F82" s="415" t="str">
        <f>IF(J78="","Verliezer 62",IF(J78=1,F78,D78))</f>
        <v>Spanje</v>
      </c>
      <c r="G82" s="455">
        <v>2</v>
      </c>
      <c r="H82" s="355" t="s">
        <v>9</v>
      </c>
      <c r="I82" s="456">
        <v>1</v>
      </c>
      <c r="J82" s="457">
        <v>1</v>
      </c>
      <c r="K82" s="353"/>
      <c r="L82" s="353"/>
      <c r="M82" s="353"/>
      <c r="N82" s="352"/>
      <c r="O82" s="352"/>
      <c r="P82" s="352"/>
      <c r="Q82" s="352"/>
      <c r="R82" s="352"/>
      <c r="S82" s="352"/>
      <c r="T82" s="352"/>
      <c r="V82" t="s">
        <v>134</v>
      </c>
      <c r="W82" t="s">
        <v>125</v>
      </c>
      <c r="X8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N83" s="352"/>
      <c r="O83" s="352"/>
      <c r="P83" s="352"/>
      <c r="Q83" s="352"/>
      <c r="R83" s="352"/>
      <c r="S83" s="352"/>
      <c r="T83" s="352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27"/>
      <c r="K84" s="353"/>
      <c r="L84" s="353"/>
      <c r="M84" s="353"/>
      <c r="N84" s="352"/>
      <c r="O84" s="352"/>
      <c r="P84" s="352"/>
      <c r="Q84" s="352"/>
      <c r="R84" s="352"/>
      <c r="S84" s="352"/>
      <c r="T84" s="352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30" t="s">
        <v>3</v>
      </c>
      <c r="E85" s="431"/>
      <c r="F85" s="432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N85" s="352"/>
      <c r="O85" s="352"/>
      <c r="P85" s="352"/>
      <c r="Q85" s="352"/>
      <c r="R85" s="352"/>
      <c r="S85" s="352"/>
      <c r="T85" s="352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Frankrijk</v>
      </c>
      <c r="E86" s="355" t="s">
        <v>9</v>
      </c>
      <c r="F86" s="415" t="str">
        <f>IF(J78="","Winnaar 62",IF(J78=1,D78,F78))</f>
        <v>Argentinië</v>
      </c>
      <c r="G86" s="455">
        <v>3</v>
      </c>
      <c r="H86" s="355" t="s">
        <v>9</v>
      </c>
      <c r="I86" s="456">
        <v>2</v>
      </c>
      <c r="J86" s="457">
        <v>1</v>
      </c>
      <c r="K86" s="353"/>
      <c r="L86" s="353"/>
      <c r="M86" s="353"/>
      <c r="N86" s="352"/>
      <c r="O86" s="352"/>
      <c r="P86" s="352"/>
      <c r="Q86" s="352"/>
      <c r="R86" s="352"/>
      <c r="S86" s="352"/>
      <c r="T86" s="352"/>
      <c r="V86" t="s">
        <v>134</v>
      </c>
      <c r="W86" t="s">
        <v>139</v>
      </c>
      <c r="X86" t="str">
        <f t="shared" si="11"/>
        <v>Nigel de Jong (m)</v>
      </c>
      <c r="Y86" s="109">
        <f>AF86</f>
        <v>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0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Frankrijk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0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0</v>
      </c>
      <c r="AV89">
        <f>IF(AR89=0,0,IF(E89=AR89,50,0))</f>
        <v>0</v>
      </c>
      <c r="AW89">
        <f>IF(E89=0,0,IF(OR(E89=AR90),15,0))</f>
        <v>0</v>
      </c>
      <c r="AX89">
        <f>IF(E89=0,0,IF(OR(E89=AR91,E89=AR92),5,0))</f>
        <v>0</v>
      </c>
    </row>
    <row r="90" spans="2:50">
      <c r="C90" s="870">
        <v>2</v>
      </c>
      <c r="D90" s="871"/>
      <c r="E90" s="872" t="str">
        <f>IF(J86=2,D86,IF(J86=1,F86,"Wie wordt 2de?"))</f>
        <v>Argentinië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25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25</v>
      </c>
      <c r="AV90">
        <f>IF(AR90=0,0,IF(AR90=E90,25,0))</f>
        <v>25</v>
      </c>
      <c r="AW90">
        <f>IF(E90=0,0,IF(OR(E90=AR89,),15,0))</f>
        <v>0</v>
      </c>
      <c r="AX90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Brazilië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10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10</v>
      </c>
      <c r="AV91">
        <f>IF(AR91=0,0,IF(AR91=E91,15,0))</f>
        <v>0</v>
      </c>
      <c r="AW91">
        <f>IF(E91=0,0,IF(OR(E91=AR92),10,0))</f>
        <v>10</v>
      </c>
      <c r="AX91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Spanje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0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0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35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conditionalFormatting sqref="AO9:AO12 AO15:AO18 AO21:AO24 AO27:AO30 AO33:AO36 AO39:AO42 AO45:AO48 AO51:AO54">
    <cfRule type="cellIs" dxfId="131" priority="3" operator="equal">
      <formula>10</formula>
    </cfRule>
  </conditionalFormatting>
  <conditionalFormatting sqref="P58:T58">
    <cfRule type="duplicateValues" dxfId="130" priority="2"/>
  </conditionalFormatting>
  <conditionalFormatting sqref="P58:T68">
    <cfRule type="duplicateValues" dxfId="129" priority="1"/>
  </conditionalFormatting>
  <dataValidations count="10">
    <dataValidation type="list" allowBlank="1" showInputMessage="1" showErrorMessage="1" sqref="P58:P68">
      <formula1>$X$58:$X$98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51:T54">
      <formula1>$W$51:$W$54</formula1>
    </dataValidation>
  </dataValidation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B1:BB98"/>
  <sheetViews>
    <sheetView topLeftCell="A49" zoomScale="70" zoomScaleNormal="70" workbookViewId="0">
      <selection activeCell="P58" sqref="P58:T68"/>
    </sheetView>
  </sheetViews>
  <sheetFormatPr defaultRowHeight="15" outlineLevelCol="2"/>
  <cols>
    <col min="1" max="1" width="3.42578125" customWidth="1"/>
    <col min="2" max="2" width="3.5703125" bestFit="1" customWidth="1"/>
    <col min="3" max="3" width="11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278</v>
      </c>
      <c r="E3" s="145"/>
      <c r="F3" s="145"/>
      <c r="N3" t="str">
        <f>D3</f>
        <v>Martijn V.</v>
      </c>
      <c r="O3" s="144">
        <f>SUM(P3:S3)</f>
        <v>449</v>
      </c>
      <c r="P3" s="109">
        <f>SUM(Y8:Y86)</f>
        <v>224</v>
      </c>
      <c r="Q3" s="109">
        <f>SUM(AM4:AM55)</f>
        <v>170</v>
      </c>
      <c r="R3" s="109">
        <f>SUM(AP89:AP92)</f>
        <v>25</v>
      </c>
      <c r="S3" s="109">
        <f>SUM(BB58:BB69)</f>
        <v>30</v>
      </c>
      <c r="T3" s="109">
        <f>COUNTIF(AF8:AF86,10)</f>
        <v>4</v>
      </c>
      <c r="U3" s="109" t="str">
        <f>E89</f>
        <v>Argentinië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M6" s="352"/>
      <c r="N6" s="352"/>
      <c r="O6" s="392"/>
      <c r="P6" s="393"/>
      <c r="Q6" s="393"/>
      <c r="R6" s="393"/>
      <c r="S6" s="393"/>
      <c r="T6" s="393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18" t="s">
        <v>3</v>
      </c>
      <c r="E7" s="419"/>
      <c r="F7" s="420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M7" s="352"/>
      <c r="N7" s="352"/>
      <c r="O7" s="353"/>
      <c r="P7" s="393"/>
      <c r="Q7" s="393"/>
      <c r="R7" s="393"/>
      <c r="S7" s="393"/>
      <c r="T7" s="393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2</v>
      </c>
      <c r="H8" s="360" t="s">
        <v>9</v>
      </c>
      <c r="I8" s="439">
        <v>1</v>
      </c>
      <c r="J8" s="362">
        <f>IF(I8="","",IF(G8&gt;I8,1,IF(G8&lt;I8,2,3)))</f>
        <v>1</v>
      </c>
      <c r="K8" s="363">
        <f>IF(I8="","",IF($G8&gt;$I8,3,IF($G8=$I8,1,0)))</f>
        <v>3</v>
      </c>
      <c r="L8" s="363">
        <f>IF(I8="","",IF($G8&lt;$I8,3,IF($G8=$I8,1,0)))</f>
        <v>0</v>
      </c>
      <c r="M8" s="352"/>
      <c r="N8" s="352"/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40"/>
      <c r="V8" s="40"/>
      <c r="W8" s="40"/>
      <c r="Y8" s="109">
        <f>AF8</f>
        <v>6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6</v>
      </c>
      <c r="AG8" s="108">
        <f t="shared" ref="AG8:AG55" si="0">IF(AC8="",0,(IF(G8=AC8,1,0)))</f>
        <v>0</v>
      </c>
      <c r="AH8" s="108">
        <f t="shared" ref="AH8:AH55" si="1">IF(AD8="",0,(IF(I8=AD8,1,0)))</f>
        <v>1</v>
      </c>
      <c r="AI8" s="108">
        <f>IF(AND(AG8=1,AH8=1),10,0)</f>
        <v>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2</v>
      </c>
      <c r="H9" s="367" t="s">
        <v>9</v>
      </c>
      <c r="I9" s="440">
        <v>1</v>
      </c>
      <c r="J9" s="369">
        <f t="shared" ref="J9:J55" si="5">IF(I9="","",IF(G9&gt;I9,1,IF(G9&lt;I9,2,3)))</f>
        <v>1</v>
      </c>
      <c r="K9" s="363">
        <f t="shared" ref="K9:K55" si="6">IF(I9="","",IF($G9&gt;$I9,3,IF($G9=$I9,1,0)))</f>
        <v>3</v>
      </c>
      <c r="L9" s="363">
        <f t="shared" ref="L9:L55" si="7">IF(I9="","",IF($G9&lt;$I9,3,IF($G9=$I9,1,0)))</f>
        <v>0</v>
      </c>
      <c r="M9" s="352"/>
      <c r="N9" s="352"/>
      <c r="O9" s="394" t="s">
        <v>8</v>
      </c>
      <c r="P9" s="395">
        <f>SUMIF($D$8:$D$55,$O9,$G$8:$G$55)+SUMIF($F$8:$F$55,$O9,$I$8:$I$55)</f>
        <v>6</v>
      </c>
      <c r="Q9" s="395">
        <f>SUMIF($D$8:$D$55,$O9,$I$8:$I$55)+SUMIF($F$8:$F$55,$O9,$G$8:$G$55)</f>
        <v>2</v>
      </c>
      <c r="R9" s="396">
        <f>P9-Q9</f>
        <v>4</v>
      </c>
      <c r="S9" s="397">
        <f>SUMIF($D$8:$D$55,$O9,$K$8:$K$55)+SUMIF($F$8:$F$55,$O9,$L$8:$L$55)</f>
        <v>7</v>
      </c>
      <c r="T9" s="444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5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5</v>
      </c>
      <c r="AG9" s="108">
        <f t="shared" si="0"/>
        <v>0</v>
      </c>
      <c r="AH9" s="108">
        <f t="shared" si="1"/>
        <v>0</v>
      </c>
      <c r="AI9" s="108">
        <f t="shared" ref="AI9:AI55" si="10">IF(AND(AG9=1,AH9=1),10,0)</f>
        <v>0</v>
      </c>
      <c r="AJ9" s="108">
        <f t="shared" si="2"/>
        <v>5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1</v>
      </c>
      <c r="H10" s="373" t="s">
        <v>9</v>
      </c>
      <c r="I10" s="441">
        <v>1</v>
      </c>
      <c r="J10" s="375">
        <f t="shared" si="5"/>
        <v>3</v>
      </c>
      <c r="K10" s="363">
        <f t="shared" si="6"/>
        <v>1</v>
      </c>
      <c r="L10" s="363">
        <f t="shared" si="7"/>
        <v>1</v>
      </c>
      <c r="M10" s="352"/>
      <c r="N10" s="352"/>
      <c r="O10" s="398" t="s">
        <v>10</v>
      </c>
      <c r="P10" s="399">
        <f>SUMIF($D$8:$D$55,$O10,$G$8:$G$55)+SUMIF($F$8:$F$55,$O10,$I$8:$I$55)</f>
        <v>1</v>
      </c>
      <c r="Q10" s="399">
        <f>SUMIF($D$8:$D$55,$O10,$I$8:$I$55)+SUMIF($F$8:$F$55,$O10,$G$8:$G$55)</f>
        <v>5</v>
      </c>
      <c r="R10" s="399">
        <f>P10-Q10</f>
        <v>-4</v>
      </c>
      <c r="S10" s="400">
        <f>SUMIF($D$8:$D$55,$O10,$K$8:$K$55)+SUMIF($F$8:$F$55,$O10,$L$8:$L$55)</f>
        <v>0</v>
      </c>
      <c r="T10" s="445" t="s">
        <v>50</v>
      </c>
      <c r="U10" s="40"/>
      <c r="V10" s="40" t="str">
        <f>O10</f>
        <v>Kroatië</v>
      </c>
      <c r="W10" s="40" t="s">
        <v>49</v>
      </c>
      <c r="Y10" s="109">
        <f t="shared" si="8"/>
        <v>1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1</v>
      </c>
      <c r="AG10" s="108">
        <f t="shared" si="0"/>
        <v>1</v>
      </c>
      <c r="AH10" s="108">
        <f t="shared" si="1"/>
        <v>0</v>
      </c>
      <c r="AI10" s="108">
        <f t="shared" si="10"/>
        <v>0</v>
      </c>
      <c r="AJ10" s="108">
        <f t="shared" si="2"/>
        <v>0</v>
      </c>
      <c r="AK10" s="108">
        <f t="shared" si="3"/>
        <v>0</v>
      </c>
      <c r="AL10" s="108">
        <f t="shared" si="4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1</v>
      </c>
      <c r="H11" s="379" t="s">
        <v>9</v>
      </c>
      <c r="I11" s="442">
        <v>1</v>
      </c>
      <c r="J11" s="381">
        <f t="shared" si="5"/>
        <v>3</v>
      </c>
      <c r="K11" s="363">
        <f t="shared" si="6"/>
        <v>1</v>
      </c>
      <c r="L11" s="363">
        <f t="shared" si="7"/>
        <v>1</v>
      </c>
      <c r="M11" s="352"/>
      <c r="N11" s="352"/>
      <c r="O11" s="398" t="s">
        <v>11</v>
      </c>
      <c r="P11" s="399">
        <f>SUMIF($D$8:$D$55,$O11,$G$8:$G$55)+SUMIF($F$8:$F$55,$O11,$I$8:$I$55)</f>
        <v>4</v>
      </c>
      <c r="Q11" s="399">
        <f>SUMIF($D$8:$D$55,$O11,$I$8:$I$55)+SUMIF($F$8:$F$55,$O11,$G$8:$G$55)</f>
        <v>2</v>
      </c>
      <c r="R11" s="399">
        <f>P11-Q11</f>
        <v>2</v>
      </c>
      <c r="S11" s="400">
        <f>SUMIF($D$8:$D$55,$O11,$K$8:$K$55)+SUMIF($F$8:$F$55,$O11,$L$8:$L$55)</f>
        <v>7</v>
      </c>
      <c r="T11" s="445" t="s">
        <v>49</v>
      </c>
      <c r="U11" s="40"/>
      <c r="V11" s="40" t="str">
        <f>O11</f>
        <v>Mexico</v>
      </c>
      <c r="W11" s="40" t="s">
        <v>47</v>
      </c>
      <c r="Y11" s="109">
        <f t="shared" si="8"/>
        <v>1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1</v>
      </c>
      <c r="AG11" s="108">
        <f t="shared" si="0"/>
        <v>0</v>
      </c>
      <c r="AH11" s="108">
        <f t="shared" si="1"/>
        <v>1</v>
      </c>
      <c r="AI11" s="108">
        <f t="shared" si="10"/>
        <v>0</v>
      </c>
      <c r="AJ11" s="108">
        <f t="shared" si="2"/>
        <v>0</v>
      </c>
      <c r="AK11" s="108">
        <f t="shared" si="3"/>
        <v>0</v>
      </c>
      <c r="AL11" s="108">
        <f t="shared" si="4"/>
        <v>0</v>
      </c>
      <c r="AM11" s="120">
        <f>AO11</f>
        <v>10</v>
      </c>
      <c r="AN11" s="117" t="s">
        <v>11</v>
      </c>
      <c r="AO11" s="115">
        <f>IF(Uitslag!T11="",0,IF(T11=Uitslag!T11,10,0))</f>
        <v>10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2</v>
      </c>
      <c r="H12" s="367" t="s">
        <v>9</v>
      </c>
      <c r="I12" s="440">
        <v>2</v>
      </c>
      <c r="J12" s="369">
        <f t="shared" si="5"/>
        <v>3</v>
      </c>
      <c r="K12" s="363">
        <f t="shared" si="6"/>
        <v>1</v>
      </c>
      <c r="L12" s="363">
        <f t="shared" si="7"/>
        <v>1</v>
      </c>
      <c r="M12" s="352"/>
      <c r="N12" s="352"/>
      <c r="O12" s="401" t="s">
        <v>12</v>
      </c>
      <c r="P12" s="402">
        <f>SUMIF($D$8:$D$55,$O12,$G$8:$G$55)+SUMIF($F$8:$F$55,$O12,$I$8:$I$55)</f>
        <v>3</v>
      </c>
      <c r="Q12" s="402">
        <f>SUMIF($D$8:$D$55,$O12,$I$8:$I$55)+SUMIF($F$8:$F$55,$O12,$G$8:$G$55)</f>
        <v>5</v>
      </c>
      <c r="R12" s="402">
        <f>P12-Q12</f>
        <v>-2</v>
      </c>
      <c r="S12" s="403">
        <f>SUMIF($D$8:$D$55,$O12,$K$8:$K$55)+SUMIF($F$8:$F$55,$O12,$L$8:$L$55)</f>
        <v>3</v>
      </c>
      <c r="T12" s="446" t="s">
        <v>47</v>
      </c>
      <c r="U12" s="40"/>
      <c r="V12" s="40" t="str">
        <f>O12</f>
        <v>Kameroen</v>
      </c>
      <c r="W12" s="40" t="s">
        <v>50</v>
      </c>
      <c r="Y12" s="109">
        <f t="shared" si="8"/>
        <v>0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0</v>
      </c>
      <c r="AG12" s="108">
        <f t="shared" si="0"/>
        <v>0</v>
      </c>
      <c r="AH12" s="108">
        <f t="shared" si="1"/>
        <v>0</v>
      </c>
      <c r="AI12" s="108">
        <f t="shared" si="10"/>
        <v>0</v>
      </c>
      <c r="AJ12" s="108">
        <f t="shared" si="2"/>
        <v>0</v>
      </c>
      <c r="AK12" s="108">
        <f t="shared" si="3"/>
        <v>0</v>
      </c>
      <c r="AL12" s="108">
        <f t="shared" si="4"/>
        <v>0</v>
      </c>
      <c r="AM12" s="120">
        <f>AO12</f>
        <v>0</v>
      </c>
      <c r="AN12" s="118" t="s">
        <v>12</v>
      </c>
      <c r="AO12" s="115">
        <f>IF(Uitslag!T12="",0,IF(T12=Uitslag!T12,10,0))</f>
        <v>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2</v>
      </c>
      <c r="H13" s="373" t="s">
        <v>9</v>
      </c>
      <c r="I13" s="441">
        <v>0</v>
      </c>
      <c r="J13" s="375">
        <f t="shared" si="5"/>
        <v>1</v>
      </c>
      <c r="K13" s="363">
        <f t="shared" si="6"/>
        <v>3</v>
      </c>
      <c r="L13" s="363">
        <f t="shared" si="7"/>
        <v>0</v>
      </c>
      <c r="M13" s="352"/>
      <c r="N13" s="352"/>
      <c r="O13" s="392"/>
      <c r="P13" s="393"/>
      <c r="Q13" s="393"/>
      <c r="R13" s="393"/>
      <c r="S13" s="393"/>
      <c r="T13" s="393"/>
      <c r="U13" s="40"/>
      <c r="V13" s="40"/>
      <c r="W13" s="40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0"/>
        <v>0</v>
      </c>
      <c r="AH13" s="108">
        <f t="shared" si="1"/>
        <v>0</v>
      </c>
      <c r="AI13" s="108">
        <f t="shared" si="10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40"/>
      <c r="AO13" s="41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1</v>
      </c>
      <c r="H14" s="373" t="s">
        <v>9</v>
      </c>
      <c r="I14" s="441">
        <v>0</v>
      </c>
      <c r="J14" s="375">
        <f t="shared" si="5"/>
        <v>1</v>
      </c>
      <c r="K14" s="363">
        <f t="shared" si="6"/>
        <v>3</v>
      </c>
      <c r="L14" s="363">
        <f t="shared" si="7"/>
        <v>0</v>
      </c>
      <c r="M14" s="352"/>
      <c r="N14" s="352"/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40"/>
      <c r="V14" s="40"/>
      <c r="W14" s="40"/>
      <c r="Y14" s="109">
        <f t="shared" si="8"/>
        <v>1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</v>
      </c>
      <c r="AG14" s="108">
        <f t="shared" si="0"/>
        <v>1</v>
      </c>
      <c r="AH14" s="108">
        <f t="shared" si="1"/>
        <v>0</v>
      </c>
      <c r="AI14" s="108">
        <f t="shared" si="10"/>
        <v>0</v>
      </c>
      <c r="AJ14" s="108">
        <f t="shared" si="2"/>
        <v>0</v>
      </c>
      <c r="AK14" s="108">
        <f t="shared" si="3"/>
        <v>0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1</v>
      </c>
      <c r="H15" s="379" t="s">
        <v>9</v>
      </c>
      <c r="I15" s="442">
        <v>0</v>
      </c>
      <c r="J15" s="381">
        <f t="shared" si="5"/>
        <v>1</v>
      </c>
      <c r="K15" s="363">
        <f t="shared" si="6"/>
        <v>3</v>
      </c>
      <c r="L15" s="363">
        <f t="shared" si="7"/>
        <v>0</v>
      </c>
      <c r="M15" s="352"/>
      <c r="N15" s="352"/>
      <c r="O15" s="394" t="s">
        <v>13</v>
      </c>
      <c r="P15" s="395">
        <f>SUMIF($D$8:$D$55,$O15,$G$8:$G$55)+SUMIF($F$8:$F$55,$O15,$I$8:$I$55)</f>
        <v>5</v>
      </c>
      <c r="Q15" s="395">
        <f>SUMIF($D$8:$D$55,$O15,$I$8:$I$55)+SUMIF($F$8:$F$55,$O15,$G$8:$G$55)</f>
        <v>2</v>
      </c>
      <c r="R15" s="396">
        <f>P15-Q15</f>
        <v>3</v>
      </c>
      <c r="S15" s="397">
        <f>SUMIF($D$8:$D$55,$O15,$K$8:$K$55)+SUMIF($F$8:$F$55,$O15,$L$8:$L$55)</f>
        <v>7</v>
      </c>
      <c r="T15" s="444" t="s">
        <v>52</v>
      </c>
      <c r="U15" s="40"/>
      <c r="V15" s="40" t="str">
        <f>O15</f>
        <v>Spanje</v>
      </c>
      <c r="W15" s="40" t="s">
        <v>52</v>
      </c>
      <c r="Y15" s="109">
        <f t="shared" si="8"/>
        <v>5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5</v>
      </c>
      <c r="AG15" s="108">
        <f t="shared" si="0"/>
        <v>0</v>
      </c>
      <c r="AH15" s="108">
        <f t="shared" si="1"/>
        <v>0</v>
      </c>
      <c r="AI15" s="108">
        <f t="shared" si="10"/>
        <v>0</v>
      </c>
      <c r="AJ15" s="108">
        <f t="shared" si="2"/>
        <v>5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2</v>
      </c>
      <c r="H16" s="367" t="s">
        <v>9</v>
      </c>
      <c r="I16" s="440">
        <v>1</v>
      </c>
      <c r="J16" s="369">
        <f t="shared" si="5"/>
        <v>1</v>
      </c>
      <c r="K16" s="363">
        <f t="shared" si="6"/>
        <v>3</v>
      </c>
      <c r="L16" s="363">
        <f t="shared" si="7"/>
        <v>0</v>
      </c>
      <c r="M16" s="352"/>
      <c r="N16" s="352"/>
      <c r="O16" s="404" t="s">
        <v>14</v>
      </c>
      <c r="P16" s="399">
        <f>SUMIF($D$8:$D$55,$O16,$G$8:$G$55)+SUMIF($F$8:$F$55,$O16,$I$8:$I$55)</f>
        <v>6</v>
      </c>
      <c r="Q16" s="399">
        <f>SUMIF($D$8:$D$55,$O16,$I$8:$I$55)+SUMIF($F$8:$F$55,$O16,$G$8:$G$55)</f>
        <v>3</v>
      </c>
      <c r="R16" s="399">
        <f>P16-Q16</f>
        <v>3</v>
      </c>
      <c r="S16" s="400">
        <f>SUMIF($D$8:$D$55,$O16,$K$8:$K$55)+SUMIF($F$8:$F$55,$O16,$L$8:$L$55)</f>
        <v>7</v>
      </c>
      <c r="T16" s="445" t="s">
        <v>53</v>
      </c>
      <c r="U16" s="40"/>
      <c r="V16" s="40" t="str">
        <f>O16</f>
        <v>Nederland</v>
      </c>
      <c r="W16" s="40" t="s">
        <v>53</v>
      </c>
      <c r="Y16" s="109">
        <f t="shared" si="8"/>
        <v>10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10</v>
      </c>
      <c r="AG16" s="108">
        <f t="shared" si="0"/>
        <v>1</v>
      </c>
      <c r="AH16" s="108">
        <f t="shared" si="1"/>
        <v>1</v>
      </c>
      <c r="AI16" s="108">
        <f t="shared" si="10"/>
        <v>10</v>
      </c>
      <c r="AJ16" s="108">
        <f t="shared" si="2"/>
        <v>5</v>
      </c>
      <c r="AK16" s="108">
        <f t="shared" si="3"/>
        <v>0</v>
      </c>
      <c r="AL16" s="108">
        <f t="shared" si="4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1</v>
      </c>
      <c r="H17" s="373" t="s">
        <v>9</v>
      </c>
      <c r="I17" s="441">
        <v>0</v>
      </c>
      <c r="J17" s="375">
        <f t="shared" si="5"/>
        <v>1</v>
      </c>
      <c r="K17" s="363">
        <f t="shared" si="6"/>
        <v>3</v>
      </c>
      <c r="L17" s="363">
        <f t="shared" si="7"/>
        <v>0</v>
      </c>
      <c r="M17" s="352"/>
      <c r="N17" s="352"/>
      <c r="O17" s="398" t="s">
        <v>15</v>
      </c>
      <c r="P17" s="399">
        <f>SUMIF($D$8:$D$55,$O17,$G$8:$G$55)+SUMIF($F$8:$F$55,$O17,$I$8:$I$55)</f>
        <v>2</v>
      </c>
      <c r="Q17" s="399">
        <f>SUMIF($D$8:$D$55,$O17,$I$8:$I$55)+SUMIF($F$8:$F$55,$O17,$G$8:$G$55)</f>
        <v>5</v>
      </c>
      <c r="R17" s="399">
        <f>P17-Q17</f>
        <v>-3</v>
      </c>
      <c r="S17" s="400">
        <f>SUMIF($D$8:$D$55,$O17,$K$8:$K$55)+SUMIF($F$8:$F$55,$O17,$L$8:$L$55)</f>
        <v>1</v>
      </c>
      <c r="T17" s="445" t="s">
        <v>54</v>
      </c>
      <c r="U17" s="40"/>
      <c r="V17" s="40" t="str">
        <f>O17</f>
        <v>Chili</v>
      </c>
      <c r="W17" s="40" t="s">
        <v>54</v>
      </c>
      <c r="Y17" s="109">
        <f t="shared" si="8"/>
        <v>6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6</v>
      </c>
      <c r="AG17" s="108">
        <f t="shared" si="0"/>
        <v>0</v>
      </c>
      <c r="AH17" s="108">
        <f t="shared" si="1"/>
        <v>1</v>
      </c>
      <c r="AI17" s="108">
        <f t="shared" si="10"/>
        <v>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2</v>
      </c>
      <c r="H18" s="379" t="s">
        <v>9</v>
      </c>
      <c r="I18" s="442">
        <v>0</v>
      </c>
      <c r="J18" s="381">
        <f t="shared" si="5"/>
        <v>1</v>
      </c>
      <c r="K18" s="363">
        <f t="shared" si="6"/>
        <v>3</v>
      </c>
      <c r="L18" s="363">
        <f t="shared" si="7"/>
        <v>0</v>
      </c>
      <c r="M18" s="352"/>
      <c r="N18" s="352"/>
      <c r="O18" s="401" t="s">
        <v>16</v>
      </c>
      <c r="P18" s="402">
        <f>SUMIF($D$8:$D$55,$O18,$G$8:$G$55)+SUMIF($F$8:$F$55,$O18,$I$8:$I$55)</f>
        <v>3</v>
      </c>
      <c r="Q18" s="402">
        <f>SUMIF($D$8:$D$55,$O18,$I$8:$I$55)+SUMIF($F$8:$F$55,$O18,$G$8:$G$55)</f>
        <v>6</v>
      </c>
      <c r="R18" s="402">
        <f>P18-Q18</f>
        <v>-3</v>
      </c>
      <c r="S18" s="403">
        <f>SUMIF($D$8:$D$55,$O18,$K$8:$K$55)+SUMIF($F$8:$F$55,$O18,$L$8:$L$55)</f>
        <v>1</v>
      </c>
      <c r="T18" s="446" t="s">
        <v>55</v>
      </c>
      <c r="U18" s="40"/>
      <c r="V18" s="40" t="str">
        <f>O18</f>
        <v>Australië</v>
      </c>
      <c r="W18" s="40" t="s">
        <v>55</v>
      </c>
      <c r="Y18" s="109">
        <f t="shared" si="8"/>
        <v>6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6</v>
      </c>
      <c r="AG18" s="108">
        <f t="shared" si="0"/>
        <v>1</v>
      </c>
      <c r="AH18" s="108">
        <f t="shared" si="1"/>
        <v>0</v>
      </c>
      <c r="AI18" s="108">
        <f t="shared" si="10"/>
        <v>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1</v>
      </c>
      <c r="H19" s="367" t="s">
        <v>9</v>
      </c>
      <c r="I19" s="440">
        <v>1</v>
      </c>
      <c r="J19" s="369">
        <f t="shared" si="5"/>
        <v>3</v>
      </c>
      <c r="K19" s="363">
        <f t="shared" si="6"/>
        <v>1</v>
      </c>
      <c r="L19" s="363">
        <f t="shared" si="7"/>
        <v>1</v>
      </c>
      <c r="M19" s="352"/>
      <c r="N19" s="352"/>
      <c r="O19" s="392"/>
      <c r="P19" s="393"/>
      <c r="Q19" s="393"/>
      <c r="R19" s="393"/>
      <c r="S19" s="393"/>
      <c r="T19" s="393"/>
      <c r="U19" s="40"/>
      <c r="V19" s="40"/>
      <c r="W19" s="40"/>
      <c r="Y19" s="109">
        <f t="shared" si="8"/>
        <v>0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0</v>
      </c>
      <c r="AG19" s="108">
        <f t="shared" si="0"/>
        <v>0</v>
      </c>
      <c r="AH19" s="108">
        <f t="shared" si="1"/>
        <v>0</v>
      </c>
      <c r="AI19" s="108">
        <f t="shared" si="10"/>
        <v>0</v>
      </c>
      <c r="AJ19" s="108">
        <f t="shared" si="2"/>
        <v>0</v>
      </c>
      <c r="AK19" s="108">
        <f t="shared" si="3"/>
        <v>0</v>
      </c>
      <c r="AL19" s="108">
        <f t="shared" si="4"/>
        <v>0</v>
      </c>
      <c r="AN19" s="40"/>
      <c r="AO19" s="41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0</v>
      </c>
      <c r="H20" s="373" t="s">
        <v>9</v>
      </c>
      <c r="I20" s="441">
        <v>2</v>
      </c>
      <c r="J20" s="375">
        <f t="shared" si="5"/>
        <v>2</v>
      </c>
      <c r="K20" s="363">
        <f t="shared" si="6"/>
        <v>0</v>
      </c>
      <c r="L20" s="363">
        <f t="shared" si="7"/>
        <v>3</v>
      </c>
      <c r="M20" s="352"/>
      <c r="N20" s="352"/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40"/>
      <c r="V20" s="40"/>
      <c r="W20" s="40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0"/>
        <v>1</v>
      </c>
      <c r="AH20" s="108">
        <f t="shared" si="1"/>
        <v>0</v>
      </c>
      <c r="AI20" s="108">
        <f t="shared" si="10"/>
        <v>0</v>
      </c>
      <c r="AJ20" s="108">
        <f t="shared" si="2"/>
        <v>0</v>
      </c>
      <c r="AK20" s="108">
        <f t="shared" si="3"/>
        <v>0</v>
      </c>
      <c r="AL20" s="108">
        <f t="shared" si="4"/>
        <v>0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0</v>
      </c>
      <c r="H21" s="379" t="s">
        <v>9</v>
      </c>
      <c r="I21" s="442">
        <v>1</v>
      </c>
      <c r="J21" s="381">
        <f t="shared" si="5"/>
        <v>2</v>
      </c>
      <c r="K21" s="363">
        <f t="shared" si="6"/>
        <v>0</v>
      </c>
      <c r="L21" s="363">
        <f t="shared" si="7"/>
        <v>3</v>
      </c>
      <c r="M21" s="352"/>
      <c r="N21" s="352"/>
      <c r="O21" s="394" t="s">
        <v>17</v>
      </c>
      <c r="P21" s="395">
        <f>SUMIF($D$8:$D$55,$O21,$G$8:$G$55)+SUMIF($F$8:$F$55,$O21,$I$8:$I$55)</f>
        <v>5</v>
      </c>
      <c r="Q21" s="395">
        <f>SUMIF($D$8:$D$55,$O21,$I$8:$I$55)+SUMIF($F$8:$F$55,$O21,$G$8:$G$55)</f>
        <v>3</v>
      </c>
      <c r="R21" s="396">
        <f>P21-Q21</f>
        <v>2</v>
      </c>
      <c r="S21" s="397">
        <f>SUMIF($D$8:$D$55,$O21,$K$8:$K$55)+SUMIF($F$8:$F$55,$O21,$L$8:$L$55)</f>
        <v>5</v>
      </c>
      <c r="T21" s="444" t="s">
        <v>57</v>
      </c>
      <c r="U21" s="40"/>
      <c r="V21" s="40" t="str">
        <f>O21</f>
        <v>Colombia</v>
      </c>
      <c r="W21" s="40" t="s">
        <v>57</v>
      </c>
      <c r="Y21" s="109">
        <f t="shared" si="8"/>
        <v>5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5</v>
      </c>
      <c r="AG21" s="108">
        <f t="shared" si="0"/>
        <v>0</v>
      </c>
      <c r="AH21" s="108">
        <f t="shared" si="1"/>
        <v>0</v>
      </c>
      <c r="AI21" s="108">
        <f t="shared" si="10"/>
        <v>0</v>
      </c>
      <c r="AJ21" s="108">
        <f t="shared" si="2"/>
        <v>0</v>
      </c>
      <c r="AK21" s="108">
        <f t="shared" si="3"/>
        <v>5</v>
      </c>
      <c r="AL21" s="108">
        <f t="shared" si="4"/>
        <v>0</v>
      </c>
      <c r="AM21" s="120">
        <f>AO21</f>
        <v>10</v>
      </c>
      <c r="AN21" s="116" t="s">
        <v>17</v>
      </c>
      <c r="AO21" s="115">
        <f>IF(Uitslag!T21="",0,IF(T21=Uitslag!T21,10,0))</f>
        <v>10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1</v>
      </c>
      <c r="H22" s="367" t="s">
        <v>9</v>
      </c>
      <c r="I22" s="440">
        <v>0</v>
      </c>
      <c r="J22" s="369">
        <f t="shared" si="5"/>
        <v>1</v>
      </c>
      <c r="K22" s="363">
        <f t="shared" si="6"/>
        <v>3</v>
      </c>
      <c r="L22" s="363">
        <f t="shared" si="7"/>
        <v>0</v>
      </c>
      <c r="M22" s="352"/>
      <c r="N22" s="352"/>
      <c r="O22" s="398" t="s">
        <v>18</v>
      </c>
      <c r="P22" s="399">
        <f>SUMIF($D$8:$D$55,$O22,$G$8:$G$55)+SUMIF($F$8:$F$55,$O22,$I$8:$I$55)</f>
        <v>5</v>
      </c>
      <c r="Q22" s="399">
        <f>SUMIF($D$8:$D$55,$O22,$I$8:$I$55)+SUMIF($F$8:$F$55,$O22,$G$8:$G$55)</f>
        <v>4</v>
      </c>
      <c r="R22" s="399">
        <f>P22-Q22</f>
        <v>1</v>
      </c>
      <c r="S22" s="400">
        <f>SUMIF($D$8:$D$55,$O22,$K$8:$K$55)+SUMIF($F$8:$F$55,$O22,$L$8:$L$55)</f>
        <v>4</v>
      </c>
      <c r="T22" s="445" t="s">
        <v>59</v>
      </c>
      <c r="U22" s="40"/>
      <c r="V22" s="40" t="str">
        <f>O22</f>
        <v>Griekenland</v>
      </c>
      <c r="W22" s="40" t="s">
        <v>58</v>
      </c>
      <c r="Y22" s="109">
        <f t="shared" si="8"/>
        <v>5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5</v>
      </c>
      <c r="AG22" s="108">
        <f t="shared" si="0"/>
        <v>0</v>
      </c>
      <c r="AH22" s="108">
        <f t="shared" si="1"/>
        <v>0</v>
      </c>
      <c r="AI22" s="108">
        <f t="shared" si="10"/>
        <v>0</v>
      </c>
      <c r="AJ22" s="108">
        <f t="shared" si="2"/>
        <v>5</v>
      </c>
      <c r="AK22" s="108">
        <f t="shared" si="3"/>
        <v>0</v>
      </c>
      <c r="AL22" s="108">
        <f t="shared" si="4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1</v>
      </c>
      <c r="H23" s="373" t="s">
        <v>9</v>
      </c>
      <c r="I23" s="441">
        <v>1</v>
      </c>
      <c r="J23" s="375">
        <f t="shared" si="5"/>
        <v>3</v>
      </c>
      <c r="K23" s="363">
        <f t="shared" si="6"/>
        <v>1</v>
      </c>
      <c r="L23" s="363">
        <f t="shared" si="7"/>
        <v>1</v>
      </c>
      <c r="M23" s="352"/>
      <c r="N23" s="352"/>
      <c r="O23" s="398" t="s">
        <v>23</v>
      </c>
      <c r="P23" s="399">
        <f>SUMIF($D$8:$D$55,$O23,$G$8:$G$55)+SUMIF($F$8:$F$55,$O23,$I$8:$I$55)</f>
        <v>4</v>
      </c>
      <c r="Q23" s="399">
        <f>SUMIF($D$8:$D$55,$O23,$I$8:$I$55)+SUMIF($F$8:$F$55,$O23,$G$8:$G$55)</f>
        <v>2</v>
      </c>
      <c r="R23" s="399">
        <f>P23-Q23</f>
        <v>2</v>
      </c>
      <c r="S23" s="400">
        <f>SUMIF($D$8:$D$55,$O23,$K$8:$K$55)+SUMIF($F$8:$F$55,$O23,$L$8:$L$55)</f>
        <v>7</v>
      </c>
      <c r="T23" s="445" t="s">
        <v>58</v>
      </c>
      <c r="U23" s="40"/>
      <c r="V23" s="40" t="str">
        <f>O23</f>
        <v>Ivoorkust</v>
      </c>
      <c r="W23" s="40" t="s">
        <v>59</v>
      </c>
      <c r="Y23" s="109">
        <f t="shared" si="8"/>
        <v>5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5</v>
      </c>
      <c r="AG23" s="108">
        <f t="shared" si="0"/>
        <v>0</v>
      </c>
      <c r="AH23" s="108">
        <f t="shared" si="1"/>
        <v>0</v>
      </c>
      <c r="AI23" s="108">
        <f t="shared" si="10"/>
        <v>0</v>
      </c>
      <c r="AJ23" s="108">
        <f t="shared" si="2"/>
        <v>0</v>
      </c>
      <c r="AK23" s="108">
        <f t="shared" si="3"/>
        <v>0</v>
      </c>
      <c r="AL23" s="108">
        <f t="shared" si="4"/>
        <v>5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2</v>
      </c>
      <c r="H24" s="379" t="s">
        <v>9</v>
      </c>
      <c r="I24" s="442">
        <v>1</v>
      </c>
      <c r="J24" s="381">
        <f t="shared" si="5"/>
        <v>1</v>
      </c>
      <c r="K24" s="363">
        <f t="shared" si="6"/>
        <v>3</v>
      </c>
      <c r="L24" s="363">
        <f t="shared" si="7"/>
        <v>0</v>
      </c>
      <c r="M24" s="352"/>
      <c r="N24" s="352"/>
      <c r="O24" s="401" t="s">
        <v>24</v>
      </c>
      <c r="P24" s="402">
        <f>SUMIF($D$8:$D$55,$O24,$G$8:$G$55)+SUMIF($F$8:$F$55,$O24,$I$8:$I$55)</f>
        <v>0</v>
      </c>
      <c r="Q24" s="402">
        <f>SUMIF($D$8:$D$55,$O24,$I$8:$I$55)+SUMIF($F$8:$F$55,$O24,$G$8:$G$55)</f>
        <v>5</v>
      </c>
      <c r="R24" s="402">
        <f>P24-Q24</f>
        <v>-5</v>
      </c>
      <c r="S24" s="403">
        <f>SUMIF($D$8:$D$55,$O24,$K$8:$K$55)+SUMIF($F$8:$F$55,$O24,$L$8:$L$55)</f>
        <v>0</v>
      </c>
      <c r="T24" s="446" t="s">
        <v>60</v>
      </c>
      <c r="U24" s="40"/>
      <c r="V24" s="40" t="str">
        <f>O24</f>
        <v>Japan</v>
      </c>
      <c r="W24" s="40" t="s">
        <v>60</v>
      </c>
      <c r="Y24" s="109">
        <f t="shared" si="8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</v>
      </c>
      <c r="AG24" s="108">
        <f t="shared" si="0"/>
        <v>0</v>
      </c>
      <c r="AH24" s="108">
        <f t="shared" si="1"/>
        <v>1</v>
      </c>
      <c r="AI24" s="108">
        <f t="shared" si="10"/>
        <v>0</v>
      </c>
      <c r="AJ24" s="108">
        <f t="shared" si="2"/>
        <v>0</v>
      </c>
      <c r="AK24" s="108">
        <f t="shared" si="3"/>
        <v>0</v>
      </c>
      <c r="AL24" s="108">
        <f t="shared" si="4"/>
        <v>0</v>
      </c>
      <c r="AM24" s="120">
        <f>AO24</f>
        <v>10</v>
      </c>
      <c r="AN24" s="118" t="s">
        <v>24</v>
      </c>
      <c r="AO24" s="115">
        <f>IF(Uitslag!T24="",0,IF(T24=Uitslag!T24,10,0))</f>
        <v>10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1</v>
      </c>
      <c r="H25" s="367" t="s">
        <v>9</v>
      </c>
      <c r="I25" s="440">
        <v>3</v>
      </c>
      <c r="J25" s="369">
        <f t="shared" si="5"/>
        <v>2</v>
      </c>
      <c r="K25" s="363">
        <f t="shared" si="6"/>
        <v>0</v>
      </c>
      <c r="L25" s="363">
        <f t="shared" si="7"/>
        <v>3</v>
      </c>
      <c r="M25" s="352"/>
      <c r="N25" s="352"/>
      <c r="O25" s="392"/>
      <c r="P25" s="393"/>
      <c r="Q25" s="393"/>
      <c r="R25" s="393"/>
      <c r="S25" s="393"/>
      <c r="T25" s="393"/>
      <c r="U25" s="40"/>
      <c r="V25" s="40"/>
      <c r="W25" s="40"/>
      <c r="Y25" s="109">
        <f t="shared" si="8"/>
        <v>6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6</v>
      </c>
      <c r="AG25" s="108">
        <f t="shared" si="0"/>
        <v>0</v>
      </c>
      <c r="AH25" s="108">
        <f t="shared" si="1"/>
        <v>1</v>
      </c>
      <c r="AI25" s="108">
        <f t="shared" si="10"/>
        <v>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40"/>
      <c r="AO25" s="41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2</v>
      </c>
      <c r="H26" s="373" t="s">
        <v>9</v>
      </c>
      <c r="I26" s="441">
        <v>0</v>
      </c>
      <c r="J26" s="375">
        <f t="shared" si="5"/>
        <v>1</v>
      </c>
      <c r="K26" s="363">
        <f t="shared" si="6"/>
        <v>3</v>
      </c>
      <c r="L26" s="363">
        <f t="shared" si="7"/>
        <v>0</v>
      </c>
      <c r="M26" s="352"/>
      <c r="N26" s="352"/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40"/>
      <c r="V26" s="40"/>
      <c r="W26" s="40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0"/>
        <v>0</v>
      </c>
      <c r="AH26" s="108">
        <f t="shared" si="1"/>
        <v>0</v>
      </c>
      <c r="AI26" s="108">
        <f t="shared" si="10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2</v>
      </c>
      <c r="H27" s="379" t="s">
        <v>9</v>
      </c>
      <c r="I27" s="442">
        <v>0</v>
      </c>
      <c r="J27" s="381">
        <f t="shared" si="5"/>
        <v>1</v>
      </c>
      <c r="K27" s="363">
        <f t="shared" si="6"/>
        <v>3</v>
      </c>
      <c r="L27" s="363">
        <f t="shared" si="7"/>
        <v>0</v>
      </c>
      <c r="M27" s="352"/>
      <c r="N27" s="352"/>
      <c r="O27" s="394" t="s">
        <v>19</v>
      </c>
      <c r="P27" s="395">
        <f>SUMIF($D$8:$D$55,$O27,$G$8:$G$55)+SUMIF($F$8:$F$55,$O27,$I$8:$I$55)</f>
        <v>3</v>
      </c>
      <c r="Q27" s="395">
        <f>SUMIF($D$8:$D$55,$O27,$I$8:$I$55)+SUMIF($F$8:$F$55,$O27,$G$8:$G$55)</f>
        <v>1</v>
      </c>
      <c r="R27" s="396">
        <f>P27-Q27</f>
        <v>2</v>
      </c>
      <c r="S27" s="397">
        <f>SUMIF($D$8:$D$55,$O27,$K$8:$K$55)+SUMIF($F$8:$F$55,$O27,$L$8:$L$55)</f>
        <v>6</v>
      </c>
      <c r="T27" s="444" t="s">
        <v>63</v>
      </c>
      <c r="U27" s="40"/>
      <c r="V27" s="40" t="str">
        <f>O27</f>
        <v>Uruguay</v>
      </c>
      <c r="W27" s="40" t="s">
        <v>62</v>
      </c>
      <c r="Y27" s="109">
        <f t="shared" si="8"/>
        <v>0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0</v>
      </c>
      <c r="AG27" s="108">
        <f t="shared" si="0"/>
        <v>0</v>
      </c>
      <c r="AH27" s="108">
        <f t="shared" si="1"/>
        <v>0</v>
      </c>
      <c r="AI27" s="108">
        <f t="shared" si="10"/>
        <v>0</v>
      </c>
      <c r="AJ27" s="108">
        <f t="shared" si="2"/>
        <v>0</v>
      </c>
      <c r="AK27" s="108">
        <f t="shared" si="3"/>
        <v>0</v>
      </c>
      <c r="AL27" s="108">
        <f t="shared" si="4"/>
        <v>0</v>
      </c>
      <c r="AM27" s="120">
        <f>AO27</f>
        <v>10</v>
      </c>
      <c r="AN27" s="116" t="s">
        <v>19</v>
      </c>
      <c r="AO27" s="115">
        <f>IF(Uitslag!T27="",0,IF(T27=Uitslag!T27,10,0))</f>
        <v>10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1</v>
      </c>
      <c r="H28" s="367" t="s">
        <v>9</v>
      </c>
      <c r="I28" s="440">
        <v>1</v>
      </c>
      <c r="J28" s="369">
        <f t="shared" si="5"/>
        <v>3</v>
      </c>
      <c r="K28" s="363">
        <f t="shared" si="6"/>
        <v>1</v>
      </c>
      <c r="L28" s="363">
        <f t="shared" si="7"/>
        <v>1</v>
      </c>
      <c r="M28" s="352"/>
      <c r="N28" s="352"/>
      <c r="O28" s="398" t="s">
        <v>20</v>
      </c>
      <c r="P28" s="399">
        <f>SUMIF($D$8:$D$55,$O28,$G$8:$G$55)+SUMIF($F$8:$F$55,$O28,$I$8:$I$55)</f>
        <v>1</v>
      </c>
      <c r="Q28" s="399">
        <f>SUMIF($D$8:$D$55,$O28,$I$8:$I$55)+SUMIF($F$8:$F$55,$O28,$G$8:$G$55)</f>
        <v>6</v>
      </c>
      <c r="R28" s="399">
        <f>P28-Q28</f>
        <v>-5</v>
      </c>
      <c r="S28" s="400">
        <f>SUMIF($D$8:$D$55,$O28,$K$8:$K$55)+SUMIF($F$8:$F$55,$O28,$L$8:$L$55)</f>
        <v>0</v>
      </c>
      <c r="T28" s="445" t="s">
        <v>65</v>
      </c>
      <c r="U28" s="40"/>
      <c r="V28" s="40" t="str">
        <f>O28</f>
        <v>Costa Rica</v>
      </c>
      <c r="W28" s="40" t="s">
        <v>63</v>
      </c>
      <c r="Y28" s="109">
        <f t="shared" si="8"/>
        <v>1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1</v>
      </c>
      <c r="AG28" s="108">
        <f t="shared" si="0"/>
        <v>0</v>
      </c>
      <c r="AH28" s="108">
        <f t="shared" si="1"/>
        <v>1</v>
      </c>
      <c r="AI28" s="108">
        <f t="shared" si="10"/>
        <v>0</v>
      </c>
      <c r="AJ28" s="108">
        <f t="shared" si="2"/>
        <v>0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0</v>
      </c>
      <c r="H29" s="373" t="s">
        <v>9</v>
      </c>
      <c r="I29" s="441">
        <v>1</v>
      </c>
      <c r="J29" s="375">
        <f t="shared" si="5"/>
        <v>2</v>
      </c>
      <c r="K29" s="363">
        <f t="shared" si="6"/>
        <v>0</v>
      </c>
      <c r="L29" s="363">
        <f t="shared" si="7"/>
        <v>3</v>
      </c>
      <c r="M29" s="352"/>
      <c r="N29" s="352"/>
      <c r="O29" s="398" t="s">
        <v>21</v>
      </c>
      <c r="P29" s="399">
        <f>SUMIF($D$8:$D$55,$O29,$G$8:$G$55)+SUMIF($F$8:$F$55,$O29,$I$8:$I$55)</f>
        <v>4</v>
      </c>
      <c r="Q29" s="399">
        <f>SUMIF($D$8:$D$55,$O29,$I$8:$I$55)+SUMIF($F$8:$F$55,$O29,$G$8:$G$55)</f>
        <v>0</v>
      </c>
      <c r="R29" s="399">
        <f>P29-Q29</f>
        <v>4</v>
      </c>
      <c r="S29" s="400">
        <f>SUMIF($D$8:$D$55,$O29,$K$8:$K$55)+SUMIF($F$8:$F$55,$O29,$L$8:$L$55)</f>
        <v>9</v>
      </c>
      <c r="T29" s="445" t="s">
        <v>62</v>
      </c>
      <c r="U29" s="40"/>
      <c r="V29" s="40" t="str">
        <f>O29</f>
        <v>Engeland</v>
      </c>
      <c r="W29" s="40" t="s">
        <v>64</v>
      </c>
      <c r="Y29" s="109">
        <f t="shared" si="8"/>
        <v>1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1</v>
      </c>
      <c r="AG29" s="108">
        <f t="shared" si="0"/>
        <v>0</v>
      </c>
      <c r="AH29" s="108">
        <f t="shared" si="1"/>
        <v>1</v>
      </c>
      <c r="AI29" s="108">
        <f t="shared" si="10"/>
        <v>0</v>
      </c>
      <c r="AJ29" s="108">
        <f t="shared" si="2"/>
        <v>0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0</v>
      </c>
      <c r="H30" s="379" t="s">
        <v>9</v>
      </c>
      <c r="I30" s="442">
        <v>2</v>
      </c>
      <c r="J30" s="381">
        <f t="shared" si="5"/>
        <v>2</v>
      </c>
      <c r="K30" s="363">
        <f t="shared" si="6"/>
        <v>0</v>
      </c>
      <c r="L30" s="363">
        <f t="shared" si="7"/>
        <v>3</v>
      </c>
      <c r="M30" s="352"/>
      <c r="N30" s="352"/>
      <c r="O30" s="401" t="s">
        <v>22</v>
      </c>
      <c r="P30" s="402">
        <f>SUMIF($D$8:$D$55,$O30,$G$8:$G$55)+SUMIF($F$8:$F$55,$O30,$I$8:$I$55)</f>
        <v>2</v>
      </c>
      <c r="Q30" s="402">
        <f>SUMIF($D$8:$D$55,$O30,$I$8:$I$55)+SUMIF($F$8:$F$55,$O30,$G$8:$G$55)</f>
        <v>3</v>
      </c>
      <c r="R30" s="402">
        <f>P30-Q30</f>
        <v>-1</v>
      </c>
      <c r="S30" s="403">
        <f>SUMIF($D$8:$D$55,$O30,$K$8:$K$55)+SUMIF($F$8:$F$55,$O30,$L$8:$L$55)</f>
        <v>3</v>
      </c>
      <c r="T30" s="446" t="s">
        <v>64</v>
      </c>
      <c r="U30" s="40"/>
      <c r="V30" s="40" t="str">
        <f>O30</f>
        <v>Italië</v>
      </c>
      <c r="W30" s="40" t="s">
        <v>65</v>
      </c>
      <c r="Y30" s="109">
        <f t="shared" si="8"/>
        <v>1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1</v>
      </c>
      <c r="AG30" s="108">
        <f t="shared" si="0"/>
        <v>1</v>
      </c>
      <c r="AH30" s="108">
        <f t="shared" si="1"/>
        <v>0</v>
      </c>
      <c r="AI30" s="108">
        <f t="shared" si="10"/>
        <v>0</v>
      </c>
      <c r="AJ30" s="108">
        <f t="shared" si="2"/>
        <v>0</v>
      </c>
      <c r="AK30" s="108">
        <f t="shared" si="3"/>
        <v>0</v>
      </c>
      <c r="AL30" s="108">
        <f t="shared" si="4"/>
        <v>0</v>
      </c>
      <c r="AM30" s="120">
        <f>AO30</f>
        <v>10</v>
      </c>
      <c r="AN30" s="118" t="s">
        <v>22</v>
      </c>
      <c r="AO30" s="115">
        <f>IF(Uitslag!T30="",0,IF(T30=Uitslag!T30,10,0))</f>
        <v>10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2</v>
      </c>
      <c r="H31" s="367" t="s">
        <v>9</v>
      </c>
      <c r="I31" s="440">
        <v>1</v>
      </c>
      <c r="J31" s="369">
        <f t="shared" si="5"/>
        <v>1</v>
      </c>
      <c r="K31" s="363">
        <f t="shared" si="6"/>
        <v>3</v>
      </c>
      <c r="L31" s="363">
        <f t="shared" si="7"/>
        <v>0</v>
      </c>
      <c r="M31" s="352"/>
      <c r="N31" s="352"/>
      <c r="O31" s="392"/>
      <c r="P31" s="393"/>
      <c r="Q31" s="393"/>
      <c r="R31" s="393"/>
      <c r="S31" s="393"/>
      <c r="T31" s="393"/>
      <c r="U31" s="40"/>
      <c r="V31" s="40"/>
      <c r="W31" s="40"/>
      <c r="Y31" s="109">
        <f t="shared" si="8"/>
        <v>1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1</v>
      </c>
      <c r="AG31" s="108">
        <f t="shared" si="0"/>
        <v>0</v>
      </c>
      <c r="AH31" s="108">
        <f t="shared" si="1"/>
        <v>1</v>
      </c>
      <c r="AI31" s="108">
        <f t="shared" si="10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40"/>
      <c r="AO31" s="41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1</v>
      </c>
      <c r="H32" s="373" t="s">
        <v>9</v>
      </c>
      <c r="I32" s="441">
        <v>0</v>
      </c>
      <c r="J32" s="375">
        <f t="shared" si="5"/>
        <v>1</v>
      </c>
      <c r="K32" s="363">
        <f t="shared" si="6"/>
        <v>3</v>
      </c>
      <c r="L32" s="363">
        <f t="shared" si="7"/>
        <v>0</v>
      </c>
      <c r="M32" s="352"/>
      <c r="N32" s="352"/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40"/>
      <c r="V32" s="40"/>
      <c r="W32" s="40"/>
      <c r="Y32" s="109">
        <f t="shared" si="8"/>
        <v>0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0</v>
      </c>
      <c r="AG32" s="108">
        <f t="shared" si="0"/>
        <v>0</v>
      </c>
      <c r="AH32" s="108">
        <f t="shared" si="1"/>
        <v>0</v>
      </c>
      <c r="AI32" s="108">
        <f t="shared" si="10"/>
        <v>0</v>
      </c>
      <c r="AJ32" s="108">
        <f t="shared" si="2"/>
        <v>0</v>
      </c>
      <c r="AK32" s="108">
        <f t="shared" si="3"/>
        <v>0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0</v>
      </c>
      <c r="H33" s="379" t="s">
        <v>9</v>
      </c>
      <c r="I33" s="442">
        <v>1</v>
      </c>
      <c r="J33" s="381">
        <f t="shared" si="5"/>
        <v>2</v>
      </c>
      <c r="K33" s="363">
        <f t="shared" si="6"/>
        <v>0</v>
      </c>
      <c r="L33" s="363">
        <f t="shared" si="7"/>
        <v>3</v>
      </c>
      <c r="M33" s="352"/>
      <c r="N33" s="352"/>
      <c r="O33" s="394" t="s">
        <v>25</v>
      </c>
      <c r="P33" s="395">
        <f>SUMIF($D$8:$D$55,$O33,$G$8:$G$55)+SUMIF($F$8:$F$55,$O33,$I$8:$I$55)</f>
        <v>5</v>
      </c>
      <c r="Q33" s="395">
        <f>SUMIF($D$8:$D$55,$O33,$I$8:$I$55)+SUMIF($F$8:$F$55,$O33,$G$8:$G$55)</f>
        <v>1</v>
      </c>
      <c r="R33" s="396">
        <f>P33-Q33</f>
        <v>4</v>
      </c>
      <c r="S33" s="397">
        <f>SUMIF($D$8:$D$55,$O33,$K$8:$K$55)+SUMIF($F$8:$F$55,$O33,$L$8:$L$55)</f>
        <v>9</v>
      </c>
      <c r="T33" s="444" t="s">
        <v>67</v>
      </c>
      <c r="U33" s="40"/>
      <c r="V33" s="40" t="str">
        <f>O33</f>
        <v>Zwitserland</v>
      </c>
      <c r="W33" s="40" t="s">
        <v>67</v>
      </c>
      <c r="Y33" s="109">
        <f t="shared" si="8"/>
        <v>5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5</v>
      </c>
      <c r="AG33" s="108">
        <f t="shared" si="0"/>
        <v>0</v>
      </c>
      <c r="AH33" s="108">
        <f t="shared" si="1"/>
        <v>0</v>
      </c>
      <c r="AI33" s="108">
        <f t="shared" si="10"/>
        <v>0</v>
      </c>
      <c r="AJ33" s="108">
        <f t="shared" si="2"/>
        <v>0</v>
      </c>
      <c r="AK33" s="108">
        <f t="shared" si="3"/>
        <v>5</v>
      </c>
      <c r="AL33" s="108">
        <f t="shared" si="4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3</v>
      </c>
      <c r="H34" s="367" t="s">
        <v>9</v>
      </c>
      <c r="I34" s="440">
        <v>0</v>
      </c>
      <c r="J34" s="369">
        <f t="shared" si="5"/>
        <v>1</v>
      </c>
      <c r="K34" s="363">
        <f t="shared" si="6"/>
        <v>3</v>
      </c>
      <c r="L34" s="363">
        <f t="shared" si="7"/>
        <v>0</v>
      </c>
      <c r="M34" s="352"/>
      <c r="N34" s="352"/>
      <c r="O34" s="398" t="s">
        <v>26</v>
      </c>
      <c r="P34" s="399">
        <f>SUMIF($D$8:$D$55,$O34,$G$8:$G$55)+SUMIF($F$8:$F$55,$O34,$I$8:$I$55)</f>
        <v>3</v>
      </c>
      <c r="Q34" s="399">
        <f>SUMIF($D$8:$D$55,$O34,$I$8:$I$55)+SUMIF($F$8:$F$55,$O34,$G$8:$G$55)</f>
        <v>3</v>
      </c>
      <c r="R34" s="399">
        <f>P34-Q34</f>
        <v>0</v>
      </c>
      <c r="S34" s="400">
        <f>SUMIF($D$8:$D$55,$O34,$K$8:$K$55)+SUMIF($F$8:$F$55,$O34,$L$8:$L$55)</f>
        <v>4</v>
      </c>
      <c r="T34" s="445" t="s">
        <v>69</v>
      </c>
      <c r="U34" s="40"/>
      <c r="V34" s="40" t="str">
        <f>O34</f>
        <v>Ecuador</v>
      </c>
      <c r="W34" s="40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0"/>
        <v>0</v>
      </c>
      <c r="AH34" s="108">
        <f t="shared" si="1"/>
        <v>1</v>
      </c>
      <c r="AI34" s="108">
        <f t="shared" si="10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10</v>
      </c>
      <c r="AN34" s="117" t="s">
        <v>26</v>
      </c>
      <c r="AO34" s="115">
        <f>IF(Uitslag!T34="",0,IF(T34=Uitslag!T34,10,0))</f>
        <v>10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2</v>
      </c>
      <c r="H35" s="373" t="s">
        <v>9</v>
      </c>
      <c r="I35" s="441">
        <v>0</v>
      </c>
      <c r="J35" s="375">
        <f t="shared" si="5"/>
        <v>1</v>
      </c>
      <c r="K35" s="363">
        <f t="shared" si="6"/>
        <v>3</v>
      </c>
      <c r="L35" s="363">
        <f t="shared" si="7"/>
        <v>0</v>
      </c>
      <c r="M35" s="352"/>
      <c r="N35" s="352"/>
      <c r="O35" s="398" t="s">
        <v>27</v>
      </c>
      <c r="P35" s="399">
        <f>SUMIF($D$8:$D$55,$O35,$G$8:$G$55)+SUMIF($F$8:$F$55,$O35,$I$8:$I$55)</f>
        <v>2</v>
      </c>
      <c r="Q35" s="399">
        <f>SUMIF($D$8:$D$55,$O35,$I$8:$I$55)+SUMIF($F$8:$F$55,$O35,$G$8:$G$55)</f>
        <v>2</v>
      </c>
      <c r="R35" s="399">
        <f>P35-Q35</f>
        <v>0</v>
      </c>
      <c r="S35" s="400">
        <f>SUMIF($D$8:$D$55,$O35,$K$8:$K$55)+SUMIF($F$8:$F$55,$O35,$L$8:$L$55)</f>
        <v>4</v>
      </c>
      <c r="T35" s="445" t="s">
        <v>68</v>
      </c>
      <c r="U35" s="40"/>
      <c r="V35" s="40" t="str">
        <f>O35</f>
        <v>Frankrijk</v>
      </c>
      <c r="W35" s="40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0"/>
        <v>1</v>
      </c>
      <c r="AH35" s="108">
        <f t="shared" si="1"/>
        <v>0</v>
      </c>
      <c r="AI35" s="108">
        <f t="shared" si="10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0</v>
      </c>
      <c r="AN35" s="117" t="s">
        <v>27</v>
      </c>
      <c r="AO35" s="115">
        <f>IF(Uitslag!T35="",0,IF(T35=Uitslag!T35,10,0))</f>
        <v>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1</v>
      </c>
      <c r="H36" s="379" t="s">
        <v>9</v>
      </c>
      <c r="I36" s="442">
        <v>0</v>
      </c>
      <c r="J36" s="381">
        <f t="shared" si="5"/>
        <v>1</v>
      </c>
      <c r="K36" s="363">
        <f t="shared" si="6"/>
        <v>3</v>
      </c>
      <c r="L36" s="363">
        <f t="shared" si="7"/>
        <v>0</v>
      </c>
      <c r="M36" s="352"/>
      <c r="N36" s="352"/>
      <c r="O36" s="401" t="s">
        <v>28</v>
      </c>
      <c r="P36" s="402">
        <f>SUMIF($D$8:$D$55,$O36,$G$8:$G$55)+SUMIF($F$8:$F$55,$O36,$I$8:$I$55)</f>
        <v>0</v>
      </c>
      <c r="Q36" s="402">
        <f>SUMIF($D$8:$D$55,$O36,$I$8:$I$55)+SUMIF($F$8:$F$55,$O36,$G$8:$G$55)</f>
        <v>4</v>
      </c>
      <c r="R36" s="402">
        <f>P36-Q36</f>
        <v>-4</v>
      </c>
      <c r="S36" s="403">
        <f>SUMIF($D$8:$D$55,$O36,$K$8:$K$55)+SUMIF($F$8:$F$55,$O36,$L$8:$L$55)</f>
        <v>0</v>
      </c>
      <c r="T36" s="446" t="s">
        <v>70</v>
      </c>
      <c r="U36" s="40"/>
      <c r="V36" s="40" t="str">
        <f>O36</f>
        <v>Honduras</v>
      </c>
      <c r="W36" s="40" t="s">
        <v>70</v>
      </c>
      <c r="Y36" s="109">
        <f t="shared" si="8"/>
        <v>10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10</v>
      </c>
      <c r="AG36" s="108">
        <f t="shared" si="0"/>
        <v>1</v>
      </c>
      <c r="AH36" s="108">
        <f t="shared" si="1"/>
        <v>1</v>
      </c>
      <c r="AI36" s="108">
        <f t="shared" si="10"/>
        <v>10</v>
      </c>
      <c r="AJ36" s="108">
        <f t="shared" si="2"/>
        <v>5</v>
      </c>
      <c r="AK36" s="108">
        <f t="shared" si="3"/>
        <v>0</v>
      </c>
      <c r="AL36" s="108">
        <f t="shared" si="4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1</v>
      </c>
      <c r="H37" s="367" t="s">
        <v>9</v>
      </c>
      <c r="I37" s="440">
        <v>1</v>
      </c>
      <c r="J37" s="369">
        <f t="shared" si="5"/>
        <v>3</v>
      </c>
      <c r="K37" s="363">
        <f t="shared" si="6"/>
        <v>1</v>
      </c>
      <c r="L37" s="363">
        <f t="shared" si="7"/>
        <v>1</v>
      </c>
      <c r="M37" s="352"/>
      <c r="N37" s="352"/>
      <c r="O37" s="392"/>
      <c r="P37" s="393"/>
      <c r="Q37" s="393"/>
      <c r="R37" s="393"/>
      <c r="S37" s="393"/>
      <c r="T37" s="393"/>
      <c r="U37" s="40"/>
      <c r="V37" s="40"/>
      <c r="W37" s="40"/>
      <c r="Y37" s="109">
        <f t="shared" si="8"/>
        <v>1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1</v>
      </c>
      <c r="AG37" s="108">
        <f t="shared" si="0"/>
        <v>1</v>
      </c>
      <c r="AH37" s="108">
        <f t="shared" si="1"/>
        <v>0</v>
      </c>
      <c r="AI37" s="108">
        <f t="shared" si="10"/>
        <v>0</v>
      </c>
      <c r="AJ37" s="108">
        <f t="shared" si="2"/>
        <v>0</v>
      </c>
      <c r="AK37" s="108">
        <f t="shared" si="3"/>
        <v>0</v>
      </c>
      <c r="AL37" s="108">
        <f t="shared" si="4"/>
        <v>0</v>
      </c>
      <c r="AN37" s="40"/>
      <c r="AO37" s="41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0</v>
      </c>
      <c r="H38" s="373" t="s">
        <v>9</v>
      </c>
      <c r="I38" s="441">
        <v>1</v>
      </c>
      <c r="J38" s="375">
        <f t="shared" si="5"/>
        <v>2</v>
      </c>
      <c r="K38" s="363">
        <f t="shared" si="6"/>
        <v>0</v>
      </c>
      <c r="L38" s="363">
        <f t="shared" si="7"/>
        <v>3</v>
      </c>
      <c r="M38" s="352"/>
      <c r="N38" s="352"/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40"/>
      <c r="V38" s="40"/>
      <c r="W38" s="40"/>
      <c r="Y38" s="109">
        <f t="shared" si="8"/>
        <v>5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5</v>
      </c>
      <c r="AG38" s="108">
        <f t="shared" si="0"/>
        <v>0</v>
      </c>
      <c r="AH38" s="108">
        <f t="shared" si="1"/>
        <v>0</v>
      </c>
      <c r="AI38" s="108">
        <f t="shared" si="10"/>
        <v>0</v>
      </c>
      <c r="AJ38" s="108">
        <f t="shared" si="2"/>
        <v>0</v>
      </c>
      <c r="AK38" s="108">
        <f t="shared" si="3"/>
        <v>5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0</v>
      </c>
      <c r="H39" s="379" t="s">
        <v>9</v>
      </c>
      <c r="I39" s="442">
        <v>2</v>
      </c>
      <c r="J39" s="381">
        <f t="shared" si="5"/>
        <v>2</v>
      </c>
      <c r="K39" s="363">
        <f t="shared" si="6"/>
        <v>0</v>
      </c>
      <c r="L39" s="363">
        <f t="shared" si="7"/>
        <v>3</v>
      </c>
      <c r="M39" s="352"/>
      <c r="N39" s="352"/>
      <c r="O39" s="394" t="s">
        <v>29</v>
      </c>
      <c r="P39" s="395">
        <f>SUMIF($D$8:$D$55,$O39,$G$8:$G$55)+SUMIF($F$8:$F$55,$O39,$I$8:$I$55)</f>
        <v>7</v>
      </c>
      <c r="Q39" s="395">
        <f>SUMIF($D$8:$D$55,$O39,$I$8:$I$55)+SUMIF($F$8:$F$55,$O39,$G$8:$G$55)</f>
        <v>0</v>
      </c>
      <c r="R39" s="396">
        <f>P39-Q39</f>
        <v>7</v>
      </c>
      <c r="S39" s="397">
        <f>SUMIF($D$8:$D$55,$O39,$K$8:$K$55)+SUMIF($F$8:$F$55,$O39,$L$8:$L$55)</f>
        <v>9</v>
      </c>
      <c r="T39" s="444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1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1</v>
      </c>
      <c r="AG39" s="108">
        <f t="shared" si="0"/>
        <v>0</v>
      </c>
      <c r="AH39" s="108">
        <f t="shared" si="1"/>
        <v>1</v>
      </c>
      <c r="AI39" s="108">
        <f t="shared" si="10"/>
        <v>0</v>
      </c>
      <c r="AJ39" s="108">
        <f t="shared" si="2"/>
        <v>0</v>
      </c>
      <c r="AK39" s="108">
        <f t="shared" si="3"/>
        <v>0</v>
      </c>
      <c r="AL39" s="108">
        <f t="shared" si="4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1</v>
      </c>
      <c r="H40" s="367" t="s">
        <v>9</v>
      </c>
      <c r="I40" s="440">
        <v>2</v>
      </c>
      <c r="J40" s="369">
        <f t="shared" si="5"/>
        <v>2</v>
      </c>
      <c r="K40" s="363">
        <f t="shared" si="6"/>
        <v>0</v>
      </c>
      <c r="L40" s="363">
        <f t="shared" si="7"/>
        <v>3</v>
      </c>
      <c r="M40" s="352"/>
      <c r="N40" s="352"/>
      <c r="O40" s="398" t="s">
        <v>30</v>
      </c>
      <c r="P40" s="399">
        <f>SUMIF($D$8:$D$55,$O40,$G$8:$G$55)+SUMIF($F$8:$F$55,$O40,$I$8:$I$55)</f>
        <v>2</v>
      </c>
      <c r="Q40" s="399">
        <f>SUMIF($D$8:$D$55,$O40,$I$8:$I$55)+SUMIF($F$8:$F$55,$O40,$G$8:$G$55)</f>
        <v>4</v>
      </c>
      <c r="R40" s="399">
        <f>P40-Q40</f>
        <v>-2</v>
      </c>
      <c r="S40" s="400">
        <f>SUMIF($D$8:$D$55,$O40,$K$8:$K$55)+SUMIF($F$8:$F$55,$O40,$L$8:$L$55)</f>
        <v>3</v>
      </c>
      <c r="T40" s="445" t="s">
        <v>74</v>
      </c>
      <c r="U40" s="40"/>
      <c r="V40" s="40" t="str">
        <f>O40</f>
        <v>Bosnië H.</v>
      </c>
      <c r="W40" s="40" t="s">
        <v>73</v>
      </c>
      <c r="Y40" s="109">
        <f t="shared" si="8"/>
        <v>5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5</v>
      </c>
      <c r="AG40" s="108">
        <f t="shared" si="0"/>
        <v>0</v>
      </c>
      <c r="AH40" s="108">
        <f t="shared" si="1"/>
        <v>0</v>
      </c>
      <c r="AI40" s="108">
        <f t="shared" si="10"/>
        <v>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2</v>
      </c>
      <c r="H41" s="373" t="s">
        <v>9</v>
      </c>
      <c r="I41" s="441">
        <v>1</v>
      </c>
      <c r="J41" s="375">
        <f t="shared" si="5"/>
        <v>1</v>
      </c>
      <c r="K41" s="363">
        <f t="shared" si="6"/>
        <v>3</v>
      </c>
      <c r="L41" s="363">
        <f t="shared" si="7"/>
        <v>0</v>
      </c>
      <c r="M41" s="352"/>
      <c r="N41" s="352"/>
      <c r="O41" s="398" t="s">
        <v>33</v>
      </c>
      <c r="P41" s="399">
        <f>SUMIF($D$8:$D$55,$O41,$G$8:$G$55)+SUMIF($F$8:$F$55,$O41,$I$8:$I$55)</f>
        <v>1</v>
      </c>
      <c r="Q41" s="399">
        <f>SUMIF($D$8:$D$55,$O41,$I$8:$I$55)+SUMIF($F$8:$F$55,$O41,$G$8:$G$55)</f>
        <v>7</v>
      </c>
      <c r="R41" s="399">
        <f>P41-Q41</f>
        <v>-6</v>
      </c>
      <c r="S41" s="400">
        <f>SUMIF($D$8:$D$55,$O41,$K$8:$K$55)+SUMIF($F$8:$F$55,$O41,$L$8:$L$55)</f>
        <v>0</v>
      </c>
      <c r="T41" s="445" t="s">
        <v>75</v>
      </c>
      <c r="U41" s="40"/>
      <c r="V41" s="40" t="str">
        <f>O41</f>
        <v>Iran</v>
      </c>
      <c r="W41" s="40" t="s">
        <v>74</v>
      </c>
      <c r="Y41" s="109">
        <f t="shared" si="8"/>
        <v>6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6</v>
      </c>
      <c r="AG41" s="108">
        <f t="shared" si="0"/>
        <v>1</v>
      </c>
      <c r="AH41" s="108">
        <f t="shared" si="1"/>
        <v>0</v>
      </c>
      <c r="AI41" s="108">
        <f t="shared" si="10"/>
        <v>0</v>
      </c>
      <c r="AJ41" s="108">
        <f t="shared" si="2"/>
        <v>5</v>
      </c>
      <c r="AK41" s="108">
        <f t="shared" si="3"/>
        <v>0</v>
      </c>
      <c r="AL41" s="108">
        <f t="shared" si="4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0</v>
      </c>
      <c r="H42" s="373" t="s">
        <v>9</v>
      </c>
      <c r="I42" s="441">
        <v>3</v>
      </c>
      <c r="J42" s="375">
        <f t="shared" si="5"/>
        <v>2</v>
      </c>
      <c r="K42" s="363">
        <f t="shared" si="6"/>
        <v>0</v>
      </c>
      <c r="L42" s="363">
        <f t="shared" si="7"/>
        <v>3</v>
      </c>
      <c r="M42" s="352"/>
      <c r="N42" s="352"/>
      <c r="O42" s="401" t="s">
        <v>34</v>
      </c>
      <c r="P42" s="402">
        <f>SUMIF($D$8:$D$55,$O42,$G$8:$G$55)+SUMIF($F$8:$F$55,$O42,$I$8:$I$55)</f>
        <v>3</v>
      </c>
      <c r="Q42" s="402">
        <f>SUMIF($D$8:$D$55,$O42,$I$8:$I$55)+SUMIF($F$8:$F$55,$O42,$G$8:$G$55)</f>
        <v>2</v>
      </c>
      <c r="R42" s="402">
        <f>P42-Q42</f>
        <v>1</v>
      </c>
      <c r="S42" s="403">
        <f>SUMIF($D$8:$D$55,$O42,$K$8:$K$55)+SUMIF($F$8:$F$55,$O42,$L$8:$L$55)</f>
        <v>6</v>
      </c>
      <c r="T42" s="446" t="s">
        <v>73</v>
      </c>
      <c r="U42" s="40"/>
      <c r="V42" s="40" t="str">
        <f>O42</f>
        <v>Nigeria</v>
      </c>
      <c r="W42" s="40" t="s">
        <v>75</v>
      </c>
      <c r="Y42" s="109">
        <f t="shared" si="8"/>
        <v>5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5</v>
      </c>
      <c r="AG42" s="108">
        <f t="shared" si="0"/>
        <v>0</v>
      </c>
      <c r="AH42" s="108">
        <f t="shared" si="1"/>
        <v>0</v>
      </c>
      <c r="AI42" s="108">
        <f t="shared" si="10"/>
        <v>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0</v>
      </c>
      <c r="H43" s="379" t="s">
        <v>9</v>
      </c>
      <c r="I43" s="442">
        <v>1</v>
      </c>
      <c r="J43" s="381">
        <f t="shared" si="5"/>
        <v>2</v>
      </c>
      <c r="K43" s="363">
        <f t="shared" si="6"/>
        <v>0</v>
      </c>
      <c r="L43" s="363">
        <f t="shared" si="7"/>
        <v>3</v>
      </c>
      <c r="M43" s="352"/>
      <c r="N43" s="352"/>
      <c r="O43" s="392"/>
      <c r="P43" s="393"/>
      <c r="Q43" s="393"/>
      <c r="R43" s="393"/>
      <c r="S43" s="393"/>
      <c r="T43" s="393"/>
      <c r="U43" s="40"/>
      <c r="V43" s="40"/>
      <c r="W43" s="40"/>
      <c r="Y43" s="109">
        <f t="shared" si="8"/>
        <v>5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5</v>
      </c>
      <c r="AG43" s="108">
        <f t="shared" si="0"/>
        <v>0</v>
      </c>
      <c r="AH43" s="108">
        <f t="shared" si="1"/>
        <v>0</v>
      </c>
      <c r="AI43" s="108">
        <f t="shared" si="10"/>
        <v>0</v>
      </c>
      <c r="AJ43" s="108">
        <f t="shared" si="2"/>
        <v>0</v>
      </c>
      <c r="AK43" s="108">
        <f t="shared" si="3"/>
        <v>5</v>
      </c>
      <c r="AL43" s="108">
        <f t="shared" si="4"/>
        <v>0</v>
      </c>
      <c r="AN43" s="40"/>
      <c r="AO43" s="41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0</v>
      </c>
      <c r="H44" s="367" t="s">
        <v>9</v>
      </c>
      <c r="I44" s="440">
        <v>1</v>
      </c>
      <c r="J44" s="369">
        <f t="shared" si="5"/>
        <v>2</v>
      </c>
      <c r="K44" s="363">
        <f t="shared" si="6"/>
        <v>0</v>
      </c>
      <c r="L44" s="363">
        <f t="shared" si="7"/>
        <v>3</v>
      </c>
      <c r="M44" s="352"/>
      <c r="N44" s="352"/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40"/>
      <c r="V44" s="40"/>
      <c r="W44" s="40"/>
      <c r="Y44" s="109">
        <f t="shared" si="8"/>
        <v>10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10</v>
      </c>
      <c r="AG44" s="108">
        <f t="shared" si="0"/>
        <v>1</v>
      </c>
      <c r="AH44" s="108">
        <f t="shared" si="1"/>
        <v>1</v>
      </c>
      <c r="AI44" s="108">
        <f t="shared" si="10"/>
        <v>10</v>
      </c>
      <c r="AJ44" s="108">
        <f t="shared" si="2"/>
        <v>0</v>
      </c>
      <c r="AK44" s="108">
        <f t="shared" si="3"/>
        <v>5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0</v>
      </c>
      <c r="H45" s="373" t="s">
        <v>9</v>
      </c>
      <c r="I45" s="441">
        <v>2</v>
      </c>
      <c r="J45" s="375">
        <f t="shared" si="5"/>
        <v>2</v>
      </c>
      <c r="K45" s="363">
        <f t="shared" si="6"/>
        <v>0</v>
      </c>
      <c r="L45" s="363">
        <f t="shared" si="7"/>
        <v>3</v>
      </c>
      <c r="M45" s="352"/>
      <c r="N45" s="352"/>
      <c r="O45" s="394" t="s">
        <v>31</v>
      </c>
      <c r="P45" s="395">
        <f>SUMIF($D$8:$D$55,$O45,$G$8:$G$55)+SUMIF($F$8:$F$55,$O45,$I$8:$I$55)</f>
        <v>5</v>
      </c>
      <c r="Q45" s="395">
        <f>SUMIF($D$8:$D$55,$O45,$I$8:$I$55)+SUMIF($F$8:$F$55,$O45,$G$8:$G$55)</f>
        <v>1</v>
      </c>
      <c r="R45" s="396">
        <f>P45-Q45</f>
        <v>4</v>
      </c>
      <c r="S45" s="397">
        <f>SUMIF($D$8:$D$55,$O45,$K$8:$K$55)+SUMIF($F$8:$F$55,$O45,$L$8:$L$55)</f>
        <v>7</v>
      </c>
      <c r="T45" s="444" t="s">
        <v>77</v>
      </c>
      <c r="U45" s="40"/>
      <c r="V45" s="40" t="str">
        <f>O45</f>
        <v>Duitsland</v>
      </c>
      <c r="W45" s="40" t="s">
        <v>77</v>
      </c>
      <c r="Y45" s="109">
        <f t="shared" si="8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1</v>
      </c>
      <c r="AG45" s="108">
        <f t="shared" si="0"/>
        <v>1</v>
      </c>
      <c r="AH45" s="108">
        <f t="shared" si="1"/>
        <v>0</v>
      </c>
      <c r="AI45" s="108">
        <f t="shared" si="10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0</v>
      </c>
      <c r="H46" s="373" t="s">
        <v>9</v>
      </c>
      <c r="I46" s="441">
        <v>2</v>
      </c>
      <c r="J46" s="375">
        <f t="shared" si="5"/>
        <v>2</v>
      </c>
      <c r="K46" s="363">
        <f t="shared" si="6"/>
        <v>0</v>
      </c>
      <c r="L46" s="363">
        <f t="shared" si="7"/>
        <v>3</v>
      </c>
      <c r="M46" s="352"/>
      <c r="N46" s="352"/>
      <c r="O46" s="398" t="s">
        <v>32</v>
      </c>
      <c r="P46" s="399">
        <f>SUMIF($D$8:$D$55,$O46,$G$8:$G$55)+SUMIF($F$8:$F$55,$O46,$I$8:$I$55)</f>
        <v>5</v>
      </c>
      <c r="Q46" s="399">
        <f>SUMIF($D$8:$D$55,$O46,$I$8:$I$55)+SUMIF($F$8:$F$55,$O46,$G$8:$G$55)</f>
        <v>1</v>
      </c>
      <c r="R46" s="399">
        <f>P46-Q46</f>
        <v>4</v>
      </c>
      <c r="S46" s="400">
        <f>SUMIF($D$8:$D$55,$O46,$K$8:$K$55)+SUMIF($F$8:$F$55,$O46,$L$8:$L$55)</f>
        <v>7</v>
      </c>
      <c r="T46" s="445" t="s">
        <v>78</v>
      </c>
      <c r="U46" s="40"/>
      <c r="V46" s="40" t="str">
        <f>O46</f>
        <v>Portugal</v>
      </c>
      <c r="W46" s="40" t="s">
        <v>78</v>
      </c>
      <c r="Y46" s="109">
        <f t="shared" si="8"/>
        <v>5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5</v>
      </c>
      <c r="AG46" s="108">
        <f t="shared" si="0"/>
        <v>0</v>
      </c>
      <c r="AH46" s="108">
        <f t="shared" si="1"/>
        <v>0</v>
      </c>
      <c r="AI46" s="108">
        <f t="shared" si="10"/>
        <v>0</v>
      </c>
      <c r="AJ46" s="108">
        <f t="shared" si="2"/>
        <v>0</v>
      </c>
      <c r="AK46" s="108">
        <f t="shared" si="3"/>
        <v>5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1</v>
      </c>
      <c r="H47" s="379" t="s">
        <v>9</v>
      </c>
      <c r="I47" s="442">
        <v>2</v>
      </c>
      <c r="J47" s="381">
        <f t="shared" si="5"/>
        <v>2</v>
      </c>
      <c r="K47" s="363">
        <f t="shared" si="6"/>
        <v>0</v>
      </c>
      <c r="L47" s="363">
        <f t="shared" si="7"/>
        <v>3</v>
      </c>
      <c r="M47" s="352"/>
      <c r="N47" s="352"/>
      <c r="O47" s="398" t="s">
        <v>35</v>
      </c>
      <c r="P47" s="399">
        <f>SUMIF($D$8:$D$55,$O47,$G$8:$G$55)+SUMIF($F$8:$F$55,$O47,$I$8:$I$55)</f>
        <v>0</v>
      </c>
      <c r="Q47" s="399">
        <f>SUMIF($D$8:$D$55,$O47,$I$8:$I$55)+SUMIF($F$8:$F$55,$O47,$G$8:$G$55)</f>
        <v>5</v>
      </c>
      <c r="R47" s="399">
        <f>P47-Q47</f>
        <v>-5</v>
      </c>
      <c r="S47" s="400">
        <f>SUMIF($D$8:$D$55,$O47,$K$8:$K$55)+SUMIF($F$8:$F$55,$O47,$L$8:$L$55)</f>
        <v>0</v>
      </c>
      <c r="T47" s="445" t="s">
        <v>80</v>
      </c>
      <c r="U47" s="40"/>
      <c r="V47" s="40" t="str">
        <f>O47</f>
        <v>Ghana</v>
      </c>
      <c r="W47" s="40" t="s">
        <v>79</v>
      </c>
      <c r="Y47" s="109">
        <f t="shared" si="8"/>
        <v>0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0</v>
      </c>
      <c r="AG47" s="108">
        <f t="shared" si="0"/>
        <v>0</v>
      </c>
      <c r="AH47" s="108">
        <f t="shared" si="1"/>
        <v>0</v>
      </c>
      <c r="AI47" s="108">
        <f t="shared" si="10"/>
        <v>0</v>
      </c>
      <c r="AJ47" s="108">
        <f t="shared" si="2"/>
        <v>0</v>
      </c>
      <c r="AK47" s="108">
        <f t="shared" si="3"/>
        <v>0</v>
      </c>
      <c r="AL47" s="108">
        <f t="shared" si="4"/>
        <v>0</v>
      </c>
      <c r="AM47" s="120">
        <f>AO47</f>
        <v>10</v>
      </c>
      <c r="AN47" s="117" t="s">
        <v>35</v>
      </c>
      <c r="AO47" s="115">
        <f>IF(Uitslag!T47="",0,IF(T47=Uitslag!T47,10,0))</f>
        <v>10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0</v>
      </c>
      <c r="H48" s="367" t="s">
        <v>9</v>
      </c>
      <c r="I48" s="440">
        <v>2</v>
      </c>
      <c r="J48" s="369">
        <f t="shared" si="5"/>
        <v>2</v>
      </c>
      <c r="K48" s="363">
        <f t="shared" si="6"/>
        <v>0</v>
      </c>
      <c r="L48" s="363">
        <f t="shared" si="7"/>
        <v>3</v>
      </c>
      <c r="M48" s="352"/>
      <c r="N48" s="352"/>
      <c r="O48" s="401" t="s">
        <v>36</v>
      </c>
      <c r="P48" s="402">
        <f>SUMIF($D$8:$D$55,$O48,$G$8:$G$55)+SUMIF($F$8:$F$55,$O48,$I$8:$I$55)</f>
        <v>1</v>
      </c>
      <c r="Q48" s="402">
        <f>SUMIF($D$8:$D$55,$O48,$I$8:$I$55)+SUMIF($F$8:$F$55,$O48,$G$8:$G$55)</f>
        <v>4</v>
      </c>
      <c r="R48" s="402">
        <f>P48-Q48</f>
        <v>-3</v>
      </c>
      <c r="S48" s="403">
        <f>SUMIF($D$8:$D$55,$O48,$K$8:$K$55)+SUMIF($F$8:$F$55,$O48,$L$8:$L$55)</f>
        <v>3</v>
      </c>
      <c r="T48" s="446" t="s">
        <v>79</v>
      </c>
      <c r="U48" s="40"/>
      <c r="V48" s="40" t="str">
        <f>O48</f>
        <v>Verenigde Staten</v>
      </c>
      <c r="W48" s="40" t="s">
        <v>80</v>
      </c>
      <c r="Y48" s="109">
        <f t="shared" si="8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5</v>
      </c>
      <c r="AG48" s="108">
        <f t="shared" si="0"/>
        <v>0</v>
      </c>
      <c r="AH48" s="108">
        <f t="shared" si="1"/>
        <v>0</v>
      </c>
      <c r="AI48" s="108">
        <f t="shared" si="10"/>
        <v>0</v>
      </c>
      <c r="AJ48" s="108">
        <f t="shared" si="2"/>
        <v>0</v>
      </c>
      <c r="AK48" s="108">
        <f t="shared" si="3"/>
        <v>5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2</v>
      </c>
      <c r="H49" s="373" t="s">
        <v>9</v>
      </c>
      <c r="I49" s="441">
        <v>1</v>
      </c>
      <c r="J49" s="375">
        <f t="shared" si="5"/>
        <v>1</v>
      </c>
      <c r="K49" s="363">
        <f t="shared" si="6"/>
        <v>3</v>
      </c>
      <c r="L49" s="363">
        <f t="shared" si="7"/>
        <v>0</v>
      </c>
      <c r="M49" s="352"/>
      <c r="N49" s="352"/>
      <c r="O49" s="392"/>
      <c r="P49" s="393"/>
      <c r="Q49" s="393"/>
      <c r="R49" s="393"/>
      <c r="S49" s="393"/>
      <c r="T49" s="393"/>
      <c r="U49" s="40"/>
      <c r="V49" s="40"/>
      <c r="W49" s="40"/>
      <c r="Y49" s="109">
        <f t="shared" si="8"/>
        <v>6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6</v>
      </c>
      <c r="AG49" s="108">
        <f t="shared" si="0"/>
        <v>0</v>
      </c>
      <c r="AH49" s="108">
        <f t="shared" si="1"/>
        <v>1</v>
      </c>
      <c r="AI49" s="108">
        <f t="shared" si="10"/>
        <v>0</v>
      </c>
      <c r="AJ49" s="108">
        <f t="shared" si="2"/>
        <v>5</v>
      </c>
      <c r="AK49" s="108">
        <f t="shared" si="3"/>
        <v>0</v>
      </c>
      <c r="AL49" s="108">
        <f t="shared" si="4"/>
        <v>0</v>
      </c>
      <c r="AN49" s="40"/>
      <c r="AO49" s="41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0</v>
      </c>
      <c r="H50" s="373" t="s">
        <v>9</v>
      </c>
      <c r="I50" s="441">
        <v>2</v>
      </c>
      <c r="J50" s="375">
        <f t="shared" si="5"/>
        <v>2</v>
      </c>
      <c r="K50" s="363">
        <f t="shared" si="6"/>
        <v>0</v>
      </c>
      <c r="L50" s="363">
        <f t="shared" si="7"/>
        <v>3</v>
      </c>
      <c r="M50" s="352"/>
      <c r="N50" s="352"/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40"/>
      <c r="V50" s="40"/>
      <c r="W50" s="40"/>
      <c r="Y50" s="109">
        <f t="shared" si="8"/>
        <v>6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6</v>
      </c>
      <c r="AG50" s="108">
        <f t="shared" si="0"/>
        <v>1</v>
      </c>
      <c r="AH50" s="108">
        <f t="shared" si="1"/>
        <v>0</v>
      </c>
      <c r="AI50" s="108">
        <f t="shared" si="10"/>
        <v>0</v>
      </c>
      <c r="AJ50" s="108">
        <f t="shared" si="2"/>
        <v>0</v>
      </c>
      <c r="AK50" s="108">
        <f t="shared" si="3"/>
        <v>5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1</v>
      </c>
      <c r="H51" s="379" t="s">
        <v>9</v>
      </c>
      <c r="I51" s="442">
        <v>1</v>
      </c>
      <c r="J51" s="381">
        <f t="shared" si="5"/>
        <v>3</v>
      </c>
      <c r="K51" s="363">
        <f t="shared" si="6"/>
        <v>1</v>
      </c>
      <c r="L51" s="363">
        <f>IF(I51="","",IF($G51&lt;$I51,3,IF($G51=$I51,1,0)))</f>
        <v>1</v>
      </c>
      <c r="M51" s="352"/>
      <c r="N51" s="352"/>
      <c r="O51" s="394" t="s">
        <v>37</v>
      </c>
      <c r="P51" s="395">
        <f>SUMIF($D$8:$D$55,$O51,$G$8:$G$55)+SUMIF($F$8:$F$55,$O51,$I$8:$I$55)</f>
        <v>3</v>
      </c>
      <c r="Q51" s="395">
        <f>SUMIF($D$8:$D$55,$O51,$I$8:$I$55)+SUMIF($F$8:$F$55,$O51,$G$8:$G$55)</f>
        <v>1</v>
      </c>
      <c r="R51" s="396">
        <f>P51-Q51</f>
        <v>2</v>
      </c>
      <c r="S51" s="397">
        <f>SUMIF($D$8:$D$55,$O51,$K$8:$K$55)+SUMIF($F$8:$F$55,$O51,$L$8:$L$55)</f>
        <v>7</v>
      </c>
      <c r="T51" s="444" t="s">
        <v>82</v>
      </c>
      <c r="U51" s="40"/>
      <c r="V51" s="40" t="str">
        <f>O51</f>
        <v>België</v>
      </c>
      <c r="W51" s="40" t="s">
        <v>82</v>
      </c>
      <c r="Y51" s="109">
        <f t="shared" si="8"/>
        <v>5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5</v>
      </c>
      <c r="AG51" s="108">
        <f t="shared" si="0"/>
        <v>0</v>
      </c>
      <c r="AH51" s="108">
        <f t="shared" si="1"/>
        <v>0</v>
      </c>
      <c r="AI51" s="108">
        <f t="shared" si="10"/>
        <v>0</v>
      </c>
      <c r="AJ51" s="108">
        <f t="shared" si="2"/>
        <v>0</v>
      </c>
      <c r="AK51" s="108">
        <f t="shared" si="3"/>
        <v>0</v>
      </c>
      <c r="AL51" s="108">
        <f t="shared" si="4"/>
        <v>5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0</v>
      </c>
      <c r="H52" s="373" t="s">
        <v>9</v>
      </c>
      <c r="I52" s="441">
        <v>2</v>
      </c>
      <c r="J52" s="369">
        <f t="shared" si="5"/>
        <v>2</v>
      </c>
      <c r="K52" s="363">
        <f t="shared" si="6"/>
        <v>0</v>
      </c>
      <c r="L52" s="363">
        <f t="shared" si="7"/>
        <v>3</v>
      </c>
      <c r="M52" s="352"/>
      <c r="N52" s="352"/>
      <c r="O52" s="398" t="s">
        <v>38</v>
      </c>
      <c r="P52" s="399">
        <f>SUMIF($D$8:$D$55,$O52,$G$8:$G$55)+SUMIF($F$8:$F$55,$O52,$I$8:$I$55)</f>
        <v>2</v>
      </c>
      <c r="Q52" s="399">
        <f>SUMIF($D$8:$D$55,$O52,$I$8:$I$55)+SUMIF($F$8:$F$55,$O52,$G$8:$G$55)</f>
        <v>3</v>
      </c>
      <c r="R52" s="399">
        <f>P52-Q52</f>
        <v>-1</v>
      </c>
      <c r="S52" s="400">
        <f>SUMIF($D$8:$D$55,$O52,$K$8:$K$55)+SUMIF($F$8:$F$55,$O52,$L$8:$L$55)</f>
        <v>3</v>
      </c>
      <c r="T52" s="445" t="s">
        <v>84</v>
      </c>
      <c r="U52" s="40"/>
      <c r="V52" s="40" t="str">
        <f>O52</f>
        <v>Algerije</v>
      </c>
      <c r="W52" s="40" t="s">
        <v>83</v>
      </c>
      <c r="Y52" s="109">
        <f t="shared" si="8"/>
        <v>6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6</v>
      </c>
      <c r="AG52" s="108">
        <f t="shared" si="0"/>
        <v>1</v>
      </c>
      <c r="AH52" s="108">
        <f t="shared" si="1"/>
        <v>0</v>
      </c>
      <c r="AI52" s="108">
        <f t="shared" si="10"/>
        <v>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2</v>
      </c>
      <c r="H53" s="373" t="s">
        <v>9</v>
      </c>
      <c r="I53" s="441">
        <v>0</v>
      </c>
      <c r="J53" s="375">
        <f t="shared" si="5"/>
        <v>1</v>
      </c>
      <c r="K53" s="363">
        <f t="shared" si="6"/>
        <v>3</v>
      </c>
      <c r="L53" s="363">
        <f t="shared" si="7"/>
        <v>0</v>
      </c>
      <c r="M53" s="352"/>
      <c r="N53" s="352"/>
      <c r="O53" s="398" t="s">
        <v>39</v>
      </c>
      <c r="P53" s="399">
        <f>SUMIF($D$8:$D$55,$O53,$G$8:$G$55)+SUMIF($F$8:$F$55,$O53,$I$8:$I$55)</f>
        <v>5</v>
      </c>
      <c r="Q53" s="399">
        <f>SUMIF($D$8:$D$55,$O53,$I$8:$I$55)+SUMIF($F$8:$F$55,$O53,$G$8:$G$55)</f>
        <v>3</v>
      </c>
      <c r="R53" s="399">
        <f>P53-Q53</f>
        <v>2</v>
      </c>
      <c r="S53" s="400">
        <f>SUMIF($D$8:$D$55,$O53,$K$8:$K$55)+SUMIF($F$8:$F$55,$O53,$L$8:$L$55)</f>
        <v>7</v>
      </c>
      <c r="T53" s="445" t="s">
        <v>83</v>
      </c>
      <c r="U53" s="40"/>
      <c r="V53" s="40" t="str">
        <f>O53</f>
        <v>Rusland</v>
      </c>
      <c r="W53" s="40" t="s">
        <v>84</v>
      </c>
      <c r="Y53" s="109">
        <f t="shared" si="8"/>
        <v>6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6</v>
      </c>
      <c r="AG53" s="108">
        <f t="shared" si="0"/>
        <v>1</v>
      </c>
      <c r="AH53" s="108">
        <f t="shared" si="1"/>
        <v>0</v>
      </c>
      <c r="AI53" s="108">
        <f t="shared" si="10"/>
        <v>0</v>
      </c>
      <c r="AJ53" s="108">
        <f t="shared" si="2"/>
        <v>5</v>
      </c>
      <c r="AK53" s="108">
        <f t="shared" si="3"/>
        <v>0</v>
      </c>
      <c r="AL53" s="108">
        <f t="shared" si="4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0</v>
      </c>
      <c r="H54" s="373" t="s">
        <v>9</v>
      </c>
      <c r="I54" s="441">
        <v>1</v>
      </c>
      <c r="J54" s="375">
        <f t="shared" si="5"/>
        <v>2</v>
      </c>
      <c r="K54" s="363">
        <f t="shared" si="6"/>
        <v>0</v>
      </c>
      <c r="L54" s="363">
        <f t="shared" si="7"/>
        <v>3</v>
      </c>
      <c r="M54" s="352"/>
      <c r="N54" s="352"/>
      <c r="O54" s="401" t="s">
        <v>40</v>
      </c>
      <c r="P54" s="402">
        <f>SUMIF($D$8:$D$55,$O54,$G$8:$G$55)+SUMIF($F$8:$F$55,$O54,$I$8:$I$55)</f>
        <v>1</v>
      </c>
      <c r="Q54" s="402">
        <f>SUMIF($D$8:$D$55,$O54,$I$8:$I$55)+SUMIF($F$8:$F$55,$O54,$G$8:$G$55)</f>
        <v>4</v>
      </c>
      <c r="R54" s="402">
        <f>P54-Q54</f>
        <v>-3</v>
      </c>
      <c r="S54" s="403">
        <f>SUMIF($D$8:$D$55,$O54,$K$8:$K$55)+SUMIF($F$8:$F$55,$O54,$L$8:$L$55)</f>
        <v>0</v>
      </c>
      <c r="T54" s="446" t="s">
        <v>85</v>
      </c>
      <c r="U54" s="40"/>
      <c r="V54" s="40" t="str">
        <f>O54</f>
        <v>Zuid Korea</v>
      </c>
      <c r="W54" s="40" t="s">
        <v>85</v>
      </c>
      <c r="Y54" s="109">
        <f t="shared" si="8"/>
        <v>10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10</v>
      </c>
      <c r="AG54" s="108">
        <f t="shared" si="0"/>
        <v>1</v>
      </c>
      <c r="AH54" s="108">
        <f t="shared" si="1"/>
        <v>1</v>
      </c>
      <c r="AI54" s="108">
        <f t="shared" si="10"/>
        <v>10</v>
      </c>
      <c r="AJ54" s="108">
        <f t="shared" si="2"/>
        <v>0</v>
      </c>
      <c r="AK54" s="108">
        <f t="shared" si="3"/>
        <v>5</v>
      </c>
      <c r="AL54" s="108">
        <f t="shared" si="4"/>
        <v>0</v>
      </c>
      <c r="AM54" s="120">
        <f>AO54</f>
        <v>10</v>
      </c>
      <c r="AN54" s="118" t="s">
        <v>40</v>
      </c>
      <c r="AO54" s="115">
        <f>IF(Uitslag!T54="",0,IF(T54=Uitslag!T54,10,0))</f>
        <v>10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1</v>
      </c>
      <c r="H55" s="388" t="s">
        <v>9</v>
      </c>
      <c r="I55" s="443">
        <v>2</v>
      </c>
      <c r="J55" s="390">
        <f t="shared" si="5"/>
        <v>2</v>
      </c>
      <c r="K55" s="363">
        <f t="shared" si="6"/>
        <v>0</v>
      </c>
      <c r="L55" s="363">
        <f t="shared" si="7"/>
        <v>3</v>
      </c>
      <c r="M55" s="352"/>
      <c r="N55" s="352"/>
      <c r="O55" s="392"/>
      <c r="P55" s="393"/>
      <c r="Q55" s="393"/>
      <c r="R55" s="393"/>
      <c r="S55" s="393"/>
      <c r="T55" s="393"/>
      <c r="U55" s="40"/>
      <c r="V55" s="40"/>
      <c r="W55" s="40"/>
      <c r="Y55" s="109">
        <f t="shared" si="8"/>
        <v>1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</v>
      </c>
      <c r="AG55" s="108">
        <f t="shared" si="0"/>
        <v>1</v>
      </c>
      <c r="AH55" s="108">
        <f t="shared" si="1"/>
        <v>0</v>
      </c>
      <c r="AI55" s="108">
        <f t="shared" si="10"/>
        <v>0</v>
      </c>
      <c r="AJ55" s="108">
        <f t="shared" si="2"/>
        <v>0</v>
      </c>
      <c r="AK55" s="108">
        <f t="shared" si="3"/>
        <v>0</v>
      </c>
      <c r="AL55" s="108">
        <f t="shared" si="4"/>
        <v>0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N56" s="352"/>
      <c r="O56" s="352"/>
      <c r="P56" s="352"/>
      <c r="Q56" s="352"/>
      <c r="R56" s="352"/>
      <c r="S56" s="352"/>
      <c r="T56" s="352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27"/>
      <c r="K57" s="353"/>
      <c r="L57" s="353"/>
      <c r="M57" s="353"/>
      <c r="N57" s="352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32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N58" s="352"/>
      <c r="O58" s="458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>IF(ISERROR(Z59),K59,Z59)</f>
        <v>Brazilië</v>
      </c>
      <c r="E59" s="367" t="s">
        <v>9</v>
      </c>
      <c r="F59" s="406" t="str">
        <f>IF(ISERROR(AA59),L59,AA59)</f>
        <v>Nederland</v>
      </c>
      <c r="G59" s="435">
        <v>3</v>
      </c>
      <c r="H59" s="367" t="s">
        <v>9</v>
      </c>
      <c r="I59" s="447">
        <v>1</v>
      </c>
      <c r="J59" s="448">
        <v>1</v>
      </c>
      <c r="K59" s="407" t="s">
        <v>48</v>
      </c>
      <c r="L59" s="407" t="s">
        <v>53</v>
      </c>
      <c r="M59" s="407">
        <v>1</v>
      </c>
      <c r="N59" s="352"/>
      <c r="O59" s="458">
        <v>2</v>
      </c>
      <c r="P59" s="877" t="s">
        <v>209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3">AF59</f>
        <v>1</v>
      </c>
      <c r="Z59" t="str">
        <f t="shared" ref="Z59:AA65" si="14">IF(K59=""," ",VLOOKUP(K59,$T$9:$V$54,3,FALSE))</f>
        <v>Brazilië</v>
      </c>
      <c r="AA59" t="str">
        <f t="shared" si="14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1</v>
      </c>
      <c r="AG59" s="108">
        <f t="shared" ref="AG59:AG66" si="16">IF(AC59="",0,(IF(G59=AC59,1,0)))</f>
        <v>0</v>
      </c>
      <c r="AH59" s="108">
        <f t="shared" ref="AH59:AH66" si="17">IF(AD59="",0,(IF(I59=AD59,1,0)))</f>
        <v>1</v>
      </c>
      <c r="AI59" s="108">
        <f t="shared" ref="AI59:AI66" si="18">IF(AND(AG59=1,AH59=1),10,0)</f>
        <v>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376">
        <v>50</v>
      </c>
      <c r="C60" s="466">
        <v>41818</v>
      </c>
      <c r="D60" s="460" t="str">
        <f t="shared" ref="D60:D66" si="23">IF(ISERROR(Z60),K60,Z60)</f>
        <v>Colombia</v>
      </c>
      <c r="E60" s="379" t="s">
        <v>9</v>
      </c>
      <c r="F60" s="409" t="str">
        <f t="shared" ref="F60:F66" si="24">IF(ISERROR(AA60),L60,AA60)</f>
        <v>Uruguay</v>
      </c>
      <c r="G60" s="437">
        <v>1</v>
      </c>
      <c r="H60" s="379" t="s">
        <v>9</v>
      </c>
      <c r="I60" s="449">
        <v>2</v>
      </c>
      <c r="J60" s="450">
        <v>2</v>
      </c>
      <c r="K60" s="407" t="s">
        <v>57</v>
      </c>
      <c r="L60" s="407" t="s">
        <v>63</v>
      </c>
      <c r="M60" s="407">
        <v>2</v>
      </c>
      <c r="N60" s="352"/>
      <c r="O60" s="458">
        <v>3</v>
      </c>
      <c r="P60" s="877" t="s">
        <v>225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3"/>
        <v>0</v>
      </c>
      <c r="Z60" t="str">
        <f t="shared" si="14"/>
        <v>Colombia</v>
      </c>
      <c r="AA60" t="str">
        <f t="shared" si="14"/>
        <v>Uruguay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0</v>
      </c>
      <c r="AG60" s="108">
        <f t="shared" si="16"/>
        <v>0</v>
      </c>
      <c r="AH60" s="108">
        <f t="shared" si="17"/>
        <v>0</v>
      </c>
      <c r="AI60" s="108">
        <f t="shared" si="18"/>
        <v>0</v>
      </c>
      <c r="AJ60" s="108">
        <f t="shared" si="19"/>
        <v>0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2"/>
        <v>3</v>
      </c>
    </row>
    <row r="61" spans="2:54">
      <c r="B61" s="364">
        <v>51</v>
      </c>
      <c r="C61" s="465">
        <v>41819</v>
      </c>
      <c r="D61" s="464" t="str">
        <f t="shared" si="23"/>
        <v>Spanje</v>
      </c>
      <c r="E61" s="367" t="s">
        <v>9</v>
      </c>
      <c r="F61" s="406" t="str">
        <f t="shared" si="24"/>
        <v>Mexico</v>
      </c>
      <c r="G61" s="435">
        <v>1</v>
      </c>
      <c r="H61" s="367" t="s">
        <v>9</v>
      </c>
      <c r="I61" s="447">
        <v>0</v>
      </c>
      <c r="J61" s="448">
        <v>1</v>
      </c>
      <c r="K61" s="407" t="s">
        <v>52</v>
      </c>
      <c r="L61" s="407" t="s">
        <v>49</v>
      </c>
      <c r="M61" s="407"/>
      <c r="N61" s="352"/>
      <c r="O61" s="458">
        <v>4</v>
      </c>
      <c r="P61" s="877" t="s">
        <v>211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3"/>
        <v>5</v>
      </c>
      <c r="Z61" t="str">
        <f t="shared" si="14"/>
        <v>Spanje</v>
      </c>
      <c r="AA61" t="str">
        <f t="shared" si="14"/>
        <v>Mexico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5</v>
      </c>
      <c r="AG61" s="108">
        <f t="shared" si="16"/>
        <v>0</v>
      </c>
      <c r="AH61" s="108">
        <f t="shared" si="17"/>
        <v>0</v>
      </c>
      <c r="AI61" s="108">
        <f t="shared" si="18"/>
        <v>0</v>
      </c>
      <c r="AJ61" s="108">
        <f t="shared" si="19"/>
        <v>5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3</v>
      </c>
      <c r="BB61" s="139">
        <f t="shared" si="22"/>
        <v>3</v>
      </c>
    </row>
    <row r="62" spans="2:54">
      <c r="B62" s="376">
        <v>52</v>
      </c>
      <c r="C62" s="466">
        <v>41819</v>
      </c>
      <c r="D62" s="464" t="str">
        <f t="shared" si="23"/>
        <v>Engeland</v>
      </c>
      <c r="E62" s="379" t="s">
        <v>9</v>
      </c>
      <c r="F62" s="409" t="str">
        <f t="shared" si="24"/>
        <v>Ivoorkust</v>
      </c>
      <c r="G62" s="437">
        <v>2</v>
      </c>
      <c r="H62" s="379" t="s">
        <v>9</v>
      </c>
      <c r="I62" s="449">
        <v>1</v>
      </c>
      <c r="J62" s="450">
        <v>1</v>
      </c>
      <c r="K62" s="407" t="s">
        <v>62</v>
      </c>
      <c r="L62" s="407" t="s">
        <v>58</v>
      </c>
      <c r="M62" s="407"/>
      <c r="N62" s="352"/>
      <c r="O62" s="458">
        <v>5</v>
      </c>
      <c r="P62" s="877" t="s">
        <v>220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3"/>
        <v>1</v>
      </c>
      <c r="Z62" t="str">
        <f t="shared" si="14"/>
        <v>Engeland</v>
      </c>
      <c r="AA62" t="str">
        <f t="shared" si="14"/>
        <v>Ivoorkust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1</v>
      </c>
      <c r="AG62" s="108">
        <f t="shared" si="16"/>
        <v>0</v>
      </c>
      <c r="AH62" s="108">
        <f t="shared" si="17"/>
        <v>1</v>
      </c>
      <c r="AI62" s="108">
        <f t="shared" si="18"/>
        <v>0</v>
      </c>
      <c r="AJ62" s="108">
        <f t="shared" si="19"/>
        <v>0</v>
      </c>
      <c r="AK62" s="108">
        <f t="shared" si="20"/>
        <v>0</v>
      </c>
      <c r="AL62" s="108">
        <f t="shared" si="21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2"/>
        <v>3</v>
      </c>
    </row>
    <row r="63" spans="2:54">
      <c r="B63" s="364">
        <v>53</v>
      </c>
      <c r="C63" s="465">
        <v>41820</v>
      </c>
      <c r="D63" s="459" t="str">
        <f t="shared" si="23"/>
        <v>Zwitserland</v>
      </c>
      <c r="E63" s="367" t="s">
        <v>9</v>
      </c>
      <c r="F63" s="406" t="str">
        <f t="shared" si="24"/>
        <v>Nigeria</v>
      </c>
      <c r="G63" s="435">
        <v>1</v>
      </c>
      <c r="H63" s="367" t="s">
        <v>9</v>
      </c>
      <c r="I63" s="447">
        <v>0</v>
      </c>
      <c r="J63" s="448">
        <v>1</v>
      </c>
      <c r="K63" s="407" t="s">
        <v>67</v>
      </c>
      <c r="L63" s="407" t="s">
        <v>73</v>
      </c>
      <c r="M63" s="407"/>
      <c r="N63" s="352"/>
      <c r="O63" s="458">
        <v>6</v>
      </c>
      <c r="P63" s="877" t="s">
        <v>213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3"/>
        <v>6</v>
      </c>
      <c r="Z63" t="str">
        <f t="shared" si="14"/>
        <v>Zwitserland</v>
      </c>
      <c r="AA63" t="str">
        <f t="shared" si="14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6</v>
      </c>
      <c r="AG63" s="108">
        <f t="shared" si="16"/>
        <v>0</v>
      </c>
      <c r="AH63" s="108">
        <f t="shared" si="17"/>
        <v>1</v>
      </c>
      <c r="AI63" s="108">
        <f t="shared" si="18"/>
        <v>0</v>
      </c>
      <c r="AJ63" s="108">
        <f t="shared" si="19"/>
        <v>5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3</v>
      </c>
      <c r="BB63" s="139">
        <f t="shared" si="22"/>
        <v>3</v>
      </c>
    </row>
    <row r="64" spans="2:54">
      <c r="B64" s="376">
        <v>54</v>
      </c>
      <c r="C64" s="466">
        <v>41820</v>
      </c>
      <c r="D64" s="460" t="str">
        <f t="shared" si="23"/>
        <v>Duitsland</v>
      </c>
      <c r="E64" s="379" t="s">
        <v>9</v>
      </c>
      <c r="F64" s="409" t="str">
        <f t="shared" si="24"/>
        <v>Rusland</v>
      </c>
      <c r="G64" s="437">
        <v>2</v>
      </c>
      <c r="H64" s="379" t="s">
        <v>9</v>
      </c>
      <c r="I64" s="449">
        <v>1</v>
      </c>
      <c r="J64" s="450">
        <v>1</v>
      </c>
      <c r="K64" s="407" t="s">
        <v>77</v>
      </c>
      <c r="L64" s="407" t="s">
        <v>83</v>
      </c>
      <c r="M64" s="407"/>
      <c r="N64" s="352"/>
      <c r="O64" s="458">
        <v>7</v>
      </c>
      <c r="P64" s="877" t="s">
        <v>221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3"/>
        <v>0</v>
      </c>
      <c r="Z64" t="str">
        <f t="shared" si="14"/>
        <v>Duitsland</v>
      </c>
      <c r="AA64" t="str">
        <f t="shared" si="14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0</v>
      </c>
      <c r="AG64" s="108">
        <f t="shared" si="16"/>
        <v>0</v>
      </c>
      <c r="AH64" s="108">
        <f t="shared" si="17"/>
        <v>0</v>
      </c>
      <c r="AI64" s="108">
        <f t="shared" si="18"/>
        <v>0</v>
      </c>
      <c r="AJ64" s="108">
        <f t="shared" si="19"/>
        <v>0</v>
      </c>
      <c r="AK64" s="108">
        <f t="shared" si="20"/>
        <v>0</v>
      </c>
      <c r="AL64" s="108">
        <f t="shared" si="21"/>
        <v>0</v>
      </c>
      <c r="AZ64" s="138" t="str">
        <f>Uitslag!P64</f>
        <v>Wesley Sneijder (m)</v>
      </c>
      <c r="BA64" s="140">
        <f t="shared" si="12"/>
        <v>0</v>
      </c>
      <c r="BB64" s="139">
        <f t="shared" si="22"/>
        <v>0</v>
      </c>
    </row>
    <row r="65" spans="2:54">
      <c r="B65" s="370">
        <v>55</v>
      </c>
      <c r="C65" s="467">
        <v>41821</v>
      </c>
      <c r="D65" s="459" t="str">
        <f t="shared" si="23"/>
        <v>Argentinië</v>
      </c>
      <c r="E65" s="373" t="s">
        <v>9</v>
      </c>
      <c r="F65" s="410" t="str">
        <f t="shared" si="24"/>
        <v>Frankrijk</v>
      </c>
      <c r="G65" s="436">
        <v>2</v>
      </c>
      <c r="H65" s="373" t="s">
        <v>9</v>
      </c>
      <c r="I65" s="451">
        <v>1</v>
      </c>
      <c r="J65" s="452">
        <v>1</v>
      </c>
      <c r="K65" s="407" t="s">
        <v>72</v>
      </c>
      <c r="L65" s="407" t="s">
        <v>68</v>
      </c>
      <c r="M65" s="407"/>
      <c r="N65" s="352"/>
      <c r="O65" s="458">
        <v>8</v>
      </c>
      <c r="P65" s="877" t="s">
        <v>212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3"/>
        <v>0</v>
      </c>
      <c r="Z65" t="str">
        <f t="shared" si="14"/>
        <v>Argentinië</v>
      </c>
      <c r="AA65" t="str">
        <f t="shared" si="14"/>
        <v>Frankrijk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0</v>
      </c>
      <c r="AG65" s="108">
        <f t="shared" si="16"/>
        <v>0</v>
      </c>
      <c r="AH65" s="108">
        <f t="shared" si="17"/>
        <v>0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2"/>
        <v>3</v>
      </c>
    </row>
    <row r="66" spans="2:54" ht="15.75" thickBot="1">
      <c r="B66" s="385">
        <v>56</v>
      </c>
      <c r="C66" s="462">
        <v>41821</v>
      </c>
      <c r="D66" s="461" t="str">
        <f t="shared" si="23"/>
        <v>België</v>
      </c>
      <c r="E66" s="388" t="s">
        <v>9</v>
      </c>
      <c r="F66" s="412" t="str">
        <f t="shared" si="24"/>
        <v>Portugal</v>
      </c>
      <c r="G66" s="438">
        <v>1</v>
      </c>
      <c r="H66" s="388" t="s">
        <v>9</v>
      </c>
      <c r="I66" s="453">
        <v>1</v>
      </c>
      <c r="J66" s="454">
        <v>2</v>
      </c>
      <c r="K66" s="407" t="s">
        <v>82</v>
      </c>
      <c r="L66" s="407" t="s">
        <v>78</v>
      </c>
      <c r="M66" s="407"/>
      <c r="N66" s="352"/>
      <c r="O66" s="458">
        <v>9</v>
      </c>
      <c r="P66" s="877" t="s">
        <v>214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3"/>
        <v>5</v>
      </c>
      <c r="Z66" t="str">
        <f>IF(K66=""," ",VLOOKUP(K66,$T$9:$V$54,3,FALSE))</f>
        <v>België</v>
      </c>
      <c r="AA66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5</v>
      </c>
      <c r="AG66" s="108">
        <f t="shared" si="16"/>
        <v>0</v>
      </c>
      <c r="AH66" s="108">
        <f t="shared" si="17"/>
        <v>0</v>
      </c>
      <c r="AI66" s="108">
        <f t="shared" si="18"/>
        <v>0</v>
      </c>
      <c r="AJ66" s="108">
        <f t="shared" si="19"/>
        <v>0</v>
      </c>
      <c r="AK66" s="108">
        <f t="shared" si="20"/>
        <v>0</v>
      </c>
      <c r="AL66" s="108">
        <f t="shared" si="21"/>
        <v>5</v>
      </c>
      <c r="AZ66" s="138" t="str">
        <f>Uitslag!P66</f>
        <v>Jonathan de Guzman (m)</v>
      </c>
      <c r="BA66" s="140">
        <f t="shared" si="12"/>
        <v>3</v>
      </c>
      <c r="BB66" s="139">
        <f t="shared" si="22"/>
        <v>3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N67" s="352"/>
      <c r="O67" s="458">
        <v>10</v>
      </c>
      <c r="P67" s="877" t="s">
        <v>215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2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27"/>
      <c r="K68" s="353"/>
      <c r="L68" s="353"/>
      <c r="M68" s="353"/>
      <c r="N68" s="352"/>
      <c r="O68" s="458">
        <v>11</v>
      </c>
      <c r="P68" s="877" t="s">
        <v>216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2"/>
        <v>3</v>
      </c>
    </row>
    <row r="69" spans="2:54">
      <c r="B69" s="428" t="s">
        <v>1</v>
      </c>
      <c r="C69" s="429" t="s">
        <v>2</v>
      </c>
      <c r="D69" s="430" t="s">
        <v>3</v>
      </c>
      <c r="E69" s="431"/>
      <c r="F69" s="432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N69" s="352"/>
      <c r="O69" s="352"/>
      <c r="P69" s="352"/>
      <c r="Q69" s="352"/>
      <c r="R69" s="352"/>
      <c r="S69" s="352"/>
      <c r="T69" s="352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30</v>
      </c>
      <c r="BB69" s="139" t="str">
        <f>IF(AND(BA69&lt;&gt;"",BA69=33),15,"nvt")</f>
        <v>nvt</v>
      </c>
    </row>
    <row r="70" spans="2:54">
      <c r="B70" s="364">
        <v>57</v>
      </c>
      <c r="C70" s="365">
        <v>41824</v>
      </c>
      <c r="D70" s="405" t="str">
        <f>IF(J63="","Winnaar 53",IF(J63=1,D63,F63))</f>
        <v>Zwitserland</v>
      </c>
      <c r="E70" s="367" t="s">
        <v>9</v>
      </c>
      <c r="F70" s="406" t="str">
        <f>IF(J64="","Winnaar 54",IF(J64=1,D64,F64))</f>
        <v>Duitsland</v>
      </c>
      <c r="G70" s="435">
        <v>1</v>
      </c>
      <c r="H70" s="367" t="s">
        <v>9</v>
      </c>
      <c r="I70" s="447">
        <v>2</v>
      </c>
      <c r="J70" s="448">
        <v>2</v>
      </c>
      <c r="K70" s="353"/>
      <c r="L70" s="353"/>
      <c r="M70" s="353"/>
      <c r="N70" s="352"/>
      <c r="O70" s="352"/>
      <c r="P70" s="352"/>
      <c r="Q70" s="352"/>
      <c r="R70" s="352"/>
      <c r="S70" s="352"/>
      <c r="T70" s="352"/>
      <c r="V70" t="s">
        <v>133</v>
      </c>
      <c r="W70" t="s">
        <v>126</v>
      </c>
      <c r="X70" t="str">
        <f t="shared" si="11"/>
        <v>Karim Rekik (v)</v>
      </c>
      <c r="Y70" s="109">
        <f>AF70</f>
        <v>5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5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Brazilië</v>
      </c>
      <c r="E71" s="379" t="s">
        <v>9</v>
      </c>
      <c r="F71" s="409" t="str">
        <f>IF(J60="","Winnaar 50",IF(J60=1,D60,F60))</f>
        <v>Uruguay</v>
      </c>
      <c r="G71" s="437">
        <v>3</v>
      </c>
      <c r="H71" s="379" t="s">
        <v>9</v>
      </c>
      <c r="I71" s="449">
        <v>1</v>
      </c>
      <c r="J71" s="450">
        <v>1</v>
      </c>
      <c r="K71" s="353"/>
      <c r="L71" s="353"/>
      <c r="M71" s="353"/>
      <c r="N71" s="352"/>
      <c r="O71" s="352"/>
      <c r="P71" s="352"/>
      <c r="Q71" s="352"/>
      <c r="R71" s="352"/>
      <c r="S71" s="352"/>
      <c r="T71" s="352"/>
      <c r="V71" t="s">
        <v>133</v>
      </c>
      <c r="W71" t="s">
        <v>194</v>
      </c>
      <c r="X71" t="str">
        <f t="shared" si="11"/>
        <v>Ron Vlaar (v)</v>
      </c>
      <c r="Y71" s="109">
        <f>AF71</f>
        <v>6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6</v>
      </c>
      <c r="AG71" s="108">
        <f>IF(AC71="",0,(IF(G71=AC71,1,0)))</f>
        <v>0</v>
      </c>
      <c r="AH71" s="108">
        <f>IF(AD71="",0,(IF(I71=AD71,1,0)))</f>
        <v>1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Argentinië</v>
      </c>
      <c r="E72" s="367" t="s">
        <v>9</v>
      </c>
      <c r="F72" s="406" t="str">
        <f>IF(J66="","Winnaar 56",IF(J66=1,D66,F66))</f>
        <v>Portugal</v>
      </c>
      <c r="G72" s="435">
        <v>2</v>
      </c>
      <c r="H72" s="367" t="s">
        <v>9</v>
      </c>
      <c r="I72" s="447">
        <v>1</v>
      </c>
      <c r="J72" s="448">
        <v>1</v>
      </c>
      <c r="K72" s="353"/>
      <c r="L72" s="353"/>
      <c r="M72" s="353"/>
      <c r="N72" s="352"/>
      <c r="O72" s="352"/>
      <c r="P72" s="352"/>
      <c r="Q72" s="352"/>
      <c r="R72" s="352"/>
      <c r="S72" s="352"/>
      <c r="T72" s="352"/>
      <c r="V72" t="s">
        <v>133</v>
      </c>
      <c r="W72" t="s">
        <v>195</v>
      </c>
      <c r="X72" t="str">
        <f t="shared" si="11"/>
        <v>John Heitinga (v)</v>
      </c>
      <c r="Y72" s="109">
        <f>AF72</f>
        <v>5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5</v>
      </c>
      <c r="AG72" s="108">
        <f>IF(AC72="",0,(IF(G72=AC72,1,0)))</f>
        <v>0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5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Spanje</v>
      </c>
      <c r="E73" s="388" t="s">
        <v>9</v>
      </c>
      <c r="F73" s="412" t="str">
        <f>IF(J62="","Winnaar 52",IF(J62=1,D62,F62))</f>
        <v>Engeland</v>
      </c>
      <c r="G73" s="438">
        <v>1</v>
      </c>
      <c r="H73" s="388" t="s">
        <v>9</v>
      </c>
      <c r="I73" s="453">
        <v>0</v>
      </c>
      <c r="J73" s="454">
        <v>1</v>
      </c>
      <c r="K73" s="353"/>
      <c r="L73" s="353"/>
      <c r="M73" s="353"/>
      <c r="N73" s="352"/>
      <c r="O73" s="352"/>
      <c r="P73" s="352"/>
      <c r="Q73" s="352"/>
      <c r="R73" s="352"/>
      <c r="S73" s="352"/>
      <c r="T73" s="352"/>
      <c r="V73" t="s">
        <v>133</v>
      </c>
      <c r="W73" t="s">
        <v>196</v>
      </c>
      <c r="X73" t="str">
        <f t="shared" si="11"/>
        <v>Urby Emanuelson (v)</v>
      </c>
      <c r="Y73" s="109">
        <f>AF73</f>
        <v>1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1</v>
      </c>
      <c r="AG73" s="108">
        <f>IF(AC73="",0,(IF(G73=AC73,1,0)))</f>
        <v>0</v>
      </c>
      <c r="AH73" s="108">
        <f>IF(AD73="",0,(IF(I73=AD73,1,0)))</f>
        <v>1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N74" s="352"/>
      <c r="O74" s="352"/>
      <c r="P74" s="352"/>
      <c r="Q74" s="352"/>
      <c r="R74" s="352"/>
      <c r="S74" s="352"/>
      <c r="T74" s="352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27"/>
      <c r="K75" s="353"/>
      <c r="L75" s="353"/>
      <c r="M75" s="353"/>
      <c r="N75" s="352"/>
      <c r="O75" s="352"/>
      <c r="P75" s="352"/>
      <c r="Q75" s="352"/>
      <c r="R75" s="352"/>
      <c r="S75" s="352"/>
      <c r="T75" s="352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30" t="s">
        <v>3</v>
      </c>
      <c r="E76" s="431"/>
      <c r="F76" s="432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N76" s="352"/>
      <c r="O76" s="352"/>
      <c r="P76" s="352"/>
      <c r="Q76" s="352"/>
      <c r="R76" s="352"/>
      <c r="S76" s="352"/>
      <c r="T76" s="352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Duitsland</v>
      </c>
      <c r="E77" s="367" t="s">
        <v>9</v>
      </c>
      <c r="F77" s="406" t="str">
        <f>IF(J71="","Winnaar 58",IF(J71=1,D71,F71))</f>
        <v>Brazilië</v>
      </c>
      <c r="G77" s="435">
        <v>1</v>
      </c>
      <c r="H77" s="367" t="s">
        <v>9</v>
      </c>
      <c r="I77" s="447">
        <v>2</v>
      </c>
      <c r="J77" s="448">
        <v>2</v>
      </c>
      <c r="K77" s="353"/>
      <c r="L77" s="353"/>
      <c r="M77" s="353"/>
      <c r="N77" s="352"/>
      <c r="O77" s="352"/>
      <c r="P77" s="352"/>
      <c r="Q77" s="352"/>
      <c r="R77" s="352"/>
      <c r="S77" s="352"/>
      <c r="T77" s="352"/>
      <c r="V77" t="s">
        <v>134</v>
      </c>
      <c r="W77" t="s">
        <v>203</v>
      </c>
      <c r="X77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Argentinië</v>
      </c>
      <c r="E78" s="388" t="s">
        <v>9</v>
      </c>
      <c r="F78" s="412" t="str">
        <f>IF(J73="","Winnaar 60",IF(J73=1,D73,F73))</f>
        <v>Spanje</v>
      </c>
      <c r="G78" s="438">
        <v>2</v>
      </c>
      <c r="H78" s="388" t="s">
        <v>9</v>
      </c>
      <c r="I78" s="453">
        <v>2</v>
      </c>
      <c r="J78" s="454">
        <v>1</v>
      </c>
      <c r="K78" s="353"/>
      <c r="L78" s="353"/>
      <c r="M78" s="353"/>
      <c r="N78" s="352"/>
      <c r="O78" s="352"/>
      <c r="P78" s="352"/>
      <c r="Q78" s="352"/>
      <c r="R78" s="352"/>
      <c r="S78" s="352"/>
      <c r="T78" s="352"/>
      <c r="V78" t="s">
        <v>134</v>
      </c>
      <c r="W78" t="s">
        <v>199</v>
      </c>
      <c r="X78" t="str">
        <f t="shared" si="11"/>
        <v>Leroy Fer (m)</v>
      </c>
      <c r="Y78" s="109">
        <f>AF78</f>
        <v>5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5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5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N79" s="352"/>
      <c r="O79" s="352"/>
      <c r="P79" s="352"/>
      <c r="Q79" s="352"/>
      <c r="R79" s="352"/>
      <c r="S79" s="352"/>
      <c r="T79" s="352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27"/>
      <c r="K80" s="353"/>
      <c r="L80" s="353"/>
      <c r="M80" s="353"/>
      <c r="N80" s="352"/>
      <c r="O80" s="352"/>
      <c r="P80" s="352"/>
      <c r="Q80" s="352"/>
      <c r="R80" s="352"/>
      <c r="S80" s="352"/>
      <c r="T80" s="352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30" t="s">
        <v>3</v>
      </c>
      <c r="E81" s="431"/>
      <c r="F81" s="432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N81" s="352"/>
      <c r="O81" s="352"/>
      <c r="P81" s="352"/>
      <c r="Q81" s="352"/>
      <c r="R81" s="352"/>
      <c r="S81" s="352"/>
      <c r="T81" s="352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Duitsland</v>
      </c>
      <c r="E82" s="355" t="s">
        <v>9</v>
      </c>
      <c r="F82" s="415" t="str">
        <f>IF(J78="","Verliezer 62",IF(J78=1,F78,D78))</f>
        <v>Spanje</v>
      </c>
      <c r="G82" s="455">
        <v>1</v>
      </c>
      <c r="H82" s="355" t="s">
        <v>9</v>
      </c>
      <c r="I82" s="456">
        <v>1</v>
      </c>
      <c r="J82" s="457">
        <v>2</v>
      </c>
      <c r="K82" s="353"/>
      <c r="L82" s="353"/>
      <c r="M82" s="353"/>
      <c r="N82" s="352"/>
      <c r="O82" s="352"/>
      <c r="P82" s="352"/>
      <c r="Q82" s="352"/>
      <c r="R82" s="352"/>
      <c r="S82" s="352"/>
      <c r="T82" s="352"/>
      <c r="V82" t="s">
        <v>134</v>
      </c>
      <c r="W82" t="s">
        <v>125</v>
      </c>
      <c r="X8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N83" s="352"/>
      <c r="O83" s="352"/>
      <c r="P83" s="352"/>
      <c r="Q83" s="352"/>
      <c r="R83" s="352"/>
      <c r="S83" s="352"/>
      <c r="T83" s="352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27"/>
      <c r="K84" s="353"/>
      <c r="L84" s="353"/>
      <c r="M84" s="353"/>
      <c r="N84" s="352"/>
      <c r="O84" s="352"/>
      <c r="P84" s="352"/>
      <c r="Q84" s="352"/>
      <c r="R84" s="352"/>
      <c r="S84" s="352"/>
      <c r="T84" s="352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30" t="s">
        <v>3</v>
      </c>
      <c r="E85" s="431"/>
      <c r="F85" s="432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N85" s="352"/>
      <c r="O85" s="352"/>
      <c r="P85" s="352"/>
      <c r="Q85" s="352"/>
      <c r="R85" s="352"/>
      <c r="S85" s="352"/>
      <c r="T85" s="352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Brazilië</v>
      </c>
      <c r="E86" s="355" t="s">
        <v>9</v>
      </c>
      <c r="F86" s="415" t="str">
        <f>IF(J78="","Winnaar 62",IF(J78=1,D78,F78))</f>
        <v>Argentinië</v>
      </c>
      <c r="G86" s="455">
        <v>1</v>
      </c>
      <c r="H86" s="355" t="s">
        <v>9</v>
      </c>
      <c r="I86" s="456">
        <v>1</v>
      </c>
      <c r="J86" s="457">
        <v>2</v>
      </c>
      <c r="K86" s="353"/>
      <c r="L86" s="353"/>
      <c r="M86" s="353"/>
      <c r="N86" s="352"/>
      <c r="O86" s="352"/>
      <c r="P86" s="352"/>
      <c r="Q86" s="352"/>
      <c r="R86" s="352"/>
      <c r="S86" s="352"/>
      <c r="T86" s="352"/>
      <c r="V86" t="s">
        <v>134</v>
      </c>
      <c r="W86" t="s">
        <v>139</v>
      </c>
      <c r="X86" t="str">
        <f t="shared" si="11"/>
        <v>Nigel de Jong (m)</v>
      </c>
      <c r="Y86" s="109">
        <f>AF86</f>
        <v>5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5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5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Argentinië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15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15</v>
      </c>
      <c r="AV89">
        <f>IF(AR89=0,0,IF(E89=AR89,50,0))</f>
        <v>0</v>
      </c>
      <c r="AW89">
        <f>IF(E89=0,0,IF(OR(E89=AR90),15,0))</f>
        <v>15</v>
      </c>
      <c r="AX89">
        <f>IF(E89=0,0,IF(OR(E89=AR91,E89=AR92),5,0))</f>
        <v>0</v>
      </c>
    </row>
    <row r="90" spans="2:50">
      <c r="C90" s="870">
        <v>2</v>
      </c>
      <c r="D90" s="871"/>
      <c r="E90" s="872" t="str">
        <f>IF(J86=2,D86,IF(J86=1,F86,"Wie wordt 2de?"))</f>
        <v>Brazilië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5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5</v>
      </c>
      <c r="AV90">
        <f>IF(AR90=0,0,IF(AR90=E90,25,0))</f>
        <v>0</v>
      </c>
      <c r="AW90">
        <f>IF(E90=0,0,IF(OR(E90=AR89,),15,0))</f>
        <v>0</v>
      </c>
      <c r="AX90">
        <f>IF(E90=0,0,IF(OR(E90=AR91,E90=AR92),5,0))</f>
        <v>5</v>
      </c>
    </row>
    <row r="91" spans="2:50">
      <c r="C91" s="870">
        <v>3</v>
      </c>
      <c r="D91" s="871"/>
      <c r="E91" s="872" t="str">
        <f>IF(J82=1,D82,IF(J82=2,F82,"Wie wordt 3de?"))</f>
        <v>Spanje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0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0</v>
      </c>
      <c r="AV91">
        <f>IF(AR91=0,0,IF(AR91=E91,15,0))</f>
        <v>0</v>
      </c>
      <c r="AW91">
        <f>IF(E91=0,0,IF(OR(E91=AR92),10,0))</f>
        <v>0</v>
      </c>
      <c r="AX91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Duitsland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5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5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5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25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conditionalFormatting sqref="AO9:AO12 AO15:AO18 AO21:AO24 AO27:AO30 AO33:AO36 AO39:AO42 AO45:AO48 AO51:AO54">
    <cfRule type="cellIs" dxfId="128" priority="3" operator="equal">
      <formula>10</formula>
    </cfRule>
  </conditionalFormatting>
  <conditionalFormatting sqref="P58:T58">
    <cfRule type="duplicateValues" dxfId="127" priority="2"/>
  </conditionalFormatting>
  <conditionalFormatting sqref="P58:T68">
    <cfRule type="duplicateValues" dxfId="126" priority="1"/>
  </conditionalFormatting>
  <dataValidations count="10">
    <dataValidation type="list" allowBlank="1" showInputMessage="1" showErrorMessage="1" sqref="T51:T54">
      <formula1>$W$51:$W$54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P58:P68">
      <formula1>$X$58:$X$98</formula1>
    </dataValidation>
  </dataValidation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B1:BB98"/>
  <sheetViews>
    <sheetView topLeftCell="A49" zoomScale="70" zoomScaleNormal="70" workbookViewId="0">
      <selection activeCell="P58" sqref="P58:T68"/>
    </sheetView>
  </sheetViews>
  <sheetFormatPr defaultRowHeight="15" outlineLevelCol="2"/>
  <cols>
    <col min="1" max="1" width="3.42578125" customWidth="1"/>
    <col min="2" max="2" width="3.5703125" bestFit="1" customWidth="1"/>
    <col min="3" max="3" width="11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279</v>
      </c>
      <c r="E3" s="145"/>
      <c r="F3" s="145"/>
      <c r="N3" t="str">
        <f>D3</f>
        <v>Jornt B.</v>
      </c>
      <c r="O3" s="144">
        <f>SUM(P3:S3)</f>
        <v>498</v>
      </c>
      <c r="P3" s="109">
        <f>SUM(Y8:Y86)</f>
        <v>213</v>
      </c>
      <c r="Q3" s="109">
        <f>SUM(AM4:AM55)</f>
        <v>170</v>
      </c>
      <c r="R3" s="109">
        <f>SUM(AP89:AP92)</f>
        <v>85</v>
      </c>
      <c r="S3" s="109">
        <f>SUM(BB58:BB69)</f>
        <v>30</v>
      </c>
      <c r="T3" s="109">
        <f>COUNTIF(AF8:AF86,10)</f>
        <v>5</v>
      </c>
      <c r="U3" s="109" t="str">
        <f>E89</f>
        <v>Duitsland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M6" s="352"/>
      <c r="N6" s="352"/>
      <c r="O6" s="392"/>
      <c r="P6" s="393"/>
      <c r="Q6" s="393"/>
      <c r="R6" s="393"/>
      <c r="S6" s="393"/>
      <c r="T6" s="393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80" t="s">
        <v>3</v>
      </c>
      <c r="E7" s="419"/>
      <c r="F7" s="481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M7" s="352"/>
      <c r="N7" s="352"/>
      <c r="O7" s="353"/>
      <c r="P7" s="393"/>
      <c r="Q7" s="393"/>
      <c r="R7" s="393"/>
      <c r="S7" s="393"/>
      <c r="T7" s="393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2</v>
      </c>
      <c r="H8" s="360" t="s">
        <v>9</v>
      </c>
      <c r="I8" s="478">
        <v>0</v>
      </c>
      <c r="J8" s="362">
        <f>IF(I8="","",IF(G8&gt;I8,1,IF(G8&lt;I8,2,3)))</f>
        <v>1</v>
      </c>
      <c r="K8" s="363">
        <f>IF(I8="","",IF($G8&gt;$I8,3,IF($G8=$I8,1,0)))</f>
        <v>3</v>
      </c>
      <c r="L8" s="363">
        <f>IF(I8="","",IF($G8&lt;$I8,3,IF($G8=$I8,1,0)))</f>
        <v>0</v>
      </c>
      <c r="M8" s="352"/>
      <c r="N8" s="352"/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40"/>
      <c r="V8" s="40"/>
      <c r="W8" s="40"/>
      <c r="Y8" s="109">
        <f>AF8</f>
        <v>5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5</v>
      </c>
      <c r="AG8" s="108">
        <f t="shared" ref="AG8:AG55" si="0">IF(AC8="",0,(IF(G8=AC8,1,0)))</f>
        <v>0</v>
      </c>
      <c r="AH8" s="108">
        <f t="shared" ref="AH8:AH55" si="1">IF(AD8="",0,(IF(I8=AD8,1,0)))</f>
        <v>0</v>
      </c>
      <c r="AI8" s="108">
        <f>IF(AND(AG8=1,AH8=1),10,0)</f>
        <v>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2</v>
      </c>
      <c r="H9" s="367" t="s">
        <v>9</v>
      </c>
      <c r="I9" s="440">
        <v>0</v>
      </c>
      <c r="J9" s="369">
        <f t="shared" ref="J9:J55" si="5">IF(I9="","",IF(G9&gt;I9,1,IF(G9&lt;I9,2,3)))</f>
        <v>1</v>
      </c>
      <c r="K9" s="363">
        <f t="shared" ref="K9:K55" si="6">IF(I9="","",IF($G9&gt;$I9,3,IF($G9=$I9,1,0)))</f>
        <v>3</v>
      </c>
      <c r="L9" s="363">
        <f t="shared" ref="L9:L55" si="7">IF(I9="","",IF($G9&lt;$I9,3,IF($G9=$I9,1,0)))</f>
        <v>0</v>
      </c>
      <c r="M9" s="352"/>
      <c r="N9" s="352"/>
      <c r="O9" s="394" t="s">
        <v>8</v>
      </c>
      <c r="P9" s="395">
        <f>SUMIF($D$8:$D$55,$O9,$G$8:$G$55)+SUMIF($F$8:$F$55,$O9,$I$8:$I$55)</f>
        <v>5</v>
      </c>
      <c r="Q9" s="395">
        <f>SUMIF($D$8:$D$55,$O9,$I$8:$I$55)+SUMIF($F$8:$F$55,$O9,$G$8:$G$55)</f>
        <v>0</v>
      </c>
      <c r="R9" s="396">
        <f>P9-Q9</f>
        <v>5</v>
      </c>
      <c r="S9" s="397">
        <f>SUMIF($D$8:$D$55,$O9,$K$8:$K$55)+SUMIF($F$8:$F$55,$O9,$L$8:$L$55)</f>
        <v>9</v>
      </c>
      <c r="T9" s="444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6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6</v>
      </c>
      <c r="AG9" s="108">
        <f t="shared" si="0"/>
        <v>0</v>
      </c>
      <c r="AH9" s="108">
        <f t="shared" si="1"/>
        <v>1</v>
      </c>
      <c r="AI9" s="108">
        <f t="shared" ref="AI9:AI55" si="10">IF(AND(AG9=1,AH9=1),10,0)</f>
        <v>0</v>
      </c>
      <c r="AJ9" s="108">
        <f t="shared" si="2"/>
        <v>5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3</v>
      </c>
      <c r="H10" s="373" t="s">
        <v>9</v>
      </c>
      <c r="I10" s="441">
        <v>1</v>
      </c>
      <c r="J10" s="375">
        <f t="shared" si="5"/>
        <v>1</v>
      </c>
      <c r="K10" s="363">
        <f t="shared" si="6"/>
        <v>3</v>
      </c>
      <c r="L10" s="363">
        <f t="shared" si="7"/>
        <v>0</v>
      </c>
      <c r="M10" s="352"/>
      <c r="N10" s="352"/>
      <c r="O10" s="398" t="s">
        <v>10</v>
      </c>
      <c r="P10" s="399">
        <f>SUMIF($D$8:$D$55,$O10,$G$8:$G$55)+SUMIF($F$8:$F$55,$O10,$I$8:$I$55)</f>
        <v>3</v>
      </c>
      <c r="Q10" s="399">
        <f>SUMIF($D$8:$D$55,$O10,$I$8:$I$55)+SUMIF($F$8:$F$55,$O10,$G$8:$G$55)</f>
        <v>3</v>
      </c>
      <c r="R10" s="399">
        <f>P10-Q10</f>
        <v>0</v>
      </c>
      <c r="S10" s="400">
        <f>SUMIF($D$8:$D$55,$O10,$K$8:$K$55)+SUMIF($F$8:$F$55,$O10,$L$8:$L$55)</f>
        <v>4</v>
      </c>
      <c r="T10" s="445" t="s">
        <v>47</v>
      </c>
      <c r="U10" s="40"/>
      <c r="V10" s="40" t="str">
        <f>O10</f>
        <v>Kroatië</v>
      </c>
      <c r="W10" s="40" t="s">
        <v>49</v>
      </c>
      <c r="Y10" s="109">
        <f t="shared" si="8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0</v>
      </c>
      <c r="AG10" s="108">
        <f t="shared" si="0"/>
        <v>0</v>
      </c>
      <c r="AH10" s="108">
        <f t="shared" si="1"/>
        <v>0</v>
      </c>
      <c r="AI10" s="108">
        <f t="shared" si="10"/>
        <v>0</v>
      </c>
      <c r="AJ10" s="108">
        <f t="shared" si="2"/>
        <v>0</v>
      </c>
      <c r="AK10" s="108">
        <f t="shared" si="3"/>
        <v>0</v>
      </c>
      <c r="AL10" s="108">
        <f t="shared" si="4"/>
        <v>0</v>
      </c>
      <c r="AM10" s="120">
        <f>AO10</f>
        <v>10</v>
      </c>
      <c r="AN10" s="117" t="s">
        <v>10</v>
      </c>
      <c r="AO10" s="115">
        <f>IF(Uitslag!T10="",0,IF(T10=Uitslag!T10,10,0))</f>
        <v>10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2</v>
      </c>
      <c r="H11" s="379" t="s">
        <v>9</v>
      </c>
      <c r="I11" s="442">
        <v>0</v>
      </c>
      <c r="J11" s="381">
        <f t="shared" si="5"/>
        <v>1</v>
      </c>
      <c r="K11" s="363">
        <f t="shared" si="6"/>
        <v>3</v>
      </c>
      <c r="L11" s="363">
        <f t="shared" si="7"/>
        <v>0</v>
      </c>
      <c r="M11" s="352"/>
      <c r="N11" s="352"/>
      <c r="O11" s="398" t="s">
        <v>11</v>
      </c>
      <c r="P11" s="399">
        <f>SUMIF($D$8:$D$55,$O11,$G$8:$G$55)+SUMIF($F$8:$F$55,$O11,$I$8:$I$55)</f>
        <v>3</v>
      </c>
      <c r="Q11" s="399">
        <f>SUMIF($D$8:$D$55,$O11,$I$8:$I$55)+SUMIF($F$8:$F$55,$O11,$G$8:$G$55)</f>
        <v>2</v>
      </c>
      <c r="R11" s="399">
        <f>P11-Q11</f>
        <v>1</v>
      </c>
      <c r="S11" s="400">
        <f>SUMIF($D$8:$D$55,$O11,$K$8:$K$55)+SUMIF($F$8:$F$55,$O11,$L$8:$L$55)</f>
        <v>4</v>
      </c>
      <c r="T11" s="445" t="s">
        <v>49</v>
      </c>
      <c r="U11" s="40"/>
      <c r="V11" s="40" t="str">
        <f>O11</f>
        <v>Mexico</v>
      </c>
      <c r="W11" s="40" t="s">
        <v>47</v>
      </c>
      <c r="Y11" s="109">
        <f t="shared" si="8"/>
        <v>5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5</v>
      </c>
      <c r="AG11" s="108">
        <f t="shared" si="0"/>
        <v>0</v>
      </c>
      <c r="AH11" s="108">
        <f t="shared" si="1"/>
        <v>0</v>
      </c>
      <c r="AI11" s="108">
        <f t="shared" si="10"/>
        <v>0</v>
      </c>
      <c r="AJ11" s="108">
        <f t="shared" si="2"/>
        <v>5</v>
      </c>
      <c r="AK11" s="108">
        <f t="shared" si="3"/>
        <v>0</v>
      </c>
      <c r="AL11" s="108">
        <f t="shared" si="4"/>
        <v>0</v>
      </c>
      <c r="AM11" s="120">
        <f>AO11</f>
        <v>10</v>
      </c>
      <c r="AN11" s="117" t="s">
        <v>11</v>
      </c>
      <c r="AO11" s="115">
        <f>IF(Uitslag!T11="",0,IF(T11=Uitslag!T11,10,0))</f>
        <v>10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2</v>
      </c>
      <c r="H12" s="367" t="s">
        <v>9</v>
      </c>
      <c r="I12" s="440">
        <v>0</v>
      </c>
      <c r="J12" s="369">
        <f t="shared" si="5"/>
        <v>1</v>
      </c>
      <c r="K12" s="363">
        <f t="shared" si="6"/>
        <v>3</v>
      </c>
      <c r="L12" s="363">
        <f t="shared" si="7"/>
        <v>0</v>
      </c>
      <c r="M12" s="352"/>
      <c r="N12" s="352"/>
      <c r="O12" s="401" t="s">
        <v>12</v>
      </c>
      <c r="P12" s="402">
        <f>SUMIF($D$8:$D$55,$O12,$G$8:$G$55)+SUMIF($F$8:$F$55,$O12,$I$8:$I$55)</f>
        <v>0</v>
      </c>
      <c r="Q12" s="402">
        <f>SUMIF($D$8:$D$55,$O12,$I$8:$I$55)+SUMIF($F$8:$F$55,$O12,$G$8:$G$55)</f>
        <v>6</v>
      </c>
      <c r="R12" s="402">
        <f>P12-Q12</f>
        <v>-6</v>
      </c>
      <c r="S12" s="403">
        <f>SUMIF($D$8:$D$55,$O12,$K$8:$K$55)+SUMIF($F$8:$F$55,$O12,$L$8:$L$55)</f>
        <v>0</v>
      </c>
      <c r="T12" s="446" t="s">
        <v>50</v>
      </c>
      <c r="U12" s="40"/>
      <c r="V12" s="40" t="str">
        <f>O12</f>
        <v>Kameroen</v>
      </c>
      <c r="W12" s="40" t="s">
        <v>50</v>
      </c>
      <c r="Y12" s="109">
        <f t="shared" si="8"/>
        <v>6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6</v>
      </c>
      <c r="AG12" s="108">
        <f t="shared" si="0"/>
        <v>0</v>
      </c>
      <c r="AH12" s="108">
        <f t="shared" si="1"/>
        <v>1</v>
      </c>
      <c r="AI12" s="108">
        <f t="shared" si="10"/>
        <v>0</v>
      </c>
      <c r="AJ12" s="108">
        <f t="shared" si="2"/>
        <v>5</v>
      </c>
      <c r="AK12" s="108">
        <f t="shared" si="3"/>
        <v>0</v>
      </c>
      <c r="AL12" s="108">
        <f t="shared" si="4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2</v>
      </c>
      <c r="H13" s="373" t="s">
        <v>9</v>
      </c>
      <c r="I13" s="441">
        <v>0</v>
      </c>
      <c r="J13" s="375">
        <f t="shared" si="5"/>
        <v>1</v>
      </c>
      <c r="K13" s="363">
        <f t="shared" si="6"/>
        <v>3</v>
      </c>
      <c r="L13" s="363">
        <f t="shared" si="7"/>
        <v>0</v>
      </c>
      <c r="M13" s="352"/>
      <c r="N13" s="352"/>
      <c r="O13" s="392"/>
      <c r="P13" s="393"/>
      <c r="Q13" s="393"/>
      <c r="R13" s="393"/>
      <c r="S13" s="393"/>
      <c r="T13" s="393"/>
      <c r="U13" s="40"/>
      <c r="V13" s="40"/>
      <c r="W13" s="40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0"/>
        <v>0</v>
      </c>
      <c r="AH13" s="108">
        <f t="shared" si="1"/>
        <v>0</v>
      </c>
      <c r="AI13" s="108">
        <f t="shared" si="10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40"/>
      <c r="AO13" s="41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1</v>
      </c>
      <c r="H14" s="373" t="s">
        <v>9</v>
      </c>
      <c r="I14" s="441">
        <v>1</v>
      </c>
      <c r="J14" s="375">
        <f t="shared" si="5"/>
        <v>3</v>
      </c>
      <c r="K14" s="363">
        <f t="shared" si="6"/>
        <v>1</v>
      </c>
      <c r="L14" s="363">
        <f t="shared" si="7"/>
        <v>1</v>
      </c>
      <c r="M14" s="352"/>
      <c r="N14" s="352"/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40"/>
      <c r="V14" s="40"/>
      <c r="W14" s="40"/>
      <c r="Y14" s="109">
        <f t="shared" si="8"/>
        <v>1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</v>
      </c>
      <c r="AG14" s="108">
        <f t="shared" si="0"/>
        <v>1</v>
      </c>
      <c r="AH14" s="108">
        <f t="shared" si="1"/>
        <v>0</v>
      </c>
      <c r="AI14" s="108">
        <f t="shared" si="10"/>
        <v>0</v>
      </c>
      <c r="AJ14" s="108">
        <f t="shared" si="2"/>
        <v>0</v>
      </c>
      <c r="AK14" s="108">
        <f t="shared" si="3"/>
        <v>0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1</v>
      </c>
      <c r="H15" s="379" t="s">
        <v>9</v>
      </c>
      <c r="I15" s="442">
        <v>1</v>
      </c>
      <c r="J15" s="381">
        <f t="shared" si="5"/>
        <v>3</v>
      </c>
      <c r="K15" s="363">
        <f t="shared" si="6"/>
        <v>1</v>
      </c>
      <c r="L15" s="363">
        <f t="shared" si="7"/>
        <v>1</v>
      </c>
      <c r="M15" s="352"/>
      <c r="N15" s="352"/>
      <c r="O15" s="394" t="s">
        <v>13</v>
      </c>
      <c r="P15" s="395">
        <f>SUMIF($D$8:$D$55,$O15,$G$8:$G$55)+SUMIF($F$8:$F$55,$O15,$I$8:$I$55)</f>
        <v>7</v>
      </c>
      <c r="Q15" s="395">
        <f>SUMIF($D$8:$D$55,$O15,$I$8:$I$55)+SUMIF($F$8:$F$55,$O15,$G$8:$G$55)</f>
        <v>2</v>
      </c>
      <c r="R15" s="396">
        <f>P15-Q15</f>
        <v>5</v>
      </c>
      <c r="S15" s="397">
        <f>SUMIF($D$8:$D$55,$O15,$K$8:$K$55)+SUMIF($F$8:$F$55,$O15,$L$8:$L$55)</f>
        <v>9</v>
      </c>
      <c r="T15" s="444" t="s">
        <v>52</v>
      </c>
      <c r="U15" s="40"/>
      <c r="V15" s="40" t="str">
        <f>O15</f>
        <v>Spanje</v>
      </c>
      <c r="W15" s="40" t="s">
        <v>52</v>
      </c>
      <c r="Y15" s="109">
        <f t="shared" si="8"/>
        <v>1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1</v>
      </c>
      <c r="AG15" s="108">
        <f t="shared" si="0"/>
        <v>0</v>
      </c>
      <c r="AH15" s="108">
        <f t="shared" si="1"/>
        <v>1</v>
      </c>
      <c r="AI15" s="108">
        <f t="shared" si="10"/>
        <v>0</v>
      </c>
      <c r="AJ15" s="108">
        <f t="shared" si="2"/>
        <v>0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2</v>
      </c>
      <c r="H16" s="367" t="s">
        <v>9</v>
      </c>
      <c r="I16" s="440">
        <v>1</v>
      </c>
      <c r="J16" s="369">
        <f t="shared" si="5"/>
        <v>1</v>
      </c>
      <c r="K16" s="363">
        <f t="shared" si="6"/>
        <v>3</v>
      </c>
      <c r="L16" s="363">
        <f t="shared" si="7"/>
        <v>0</v>
      </c>
      <c r="M16" s="352"/>
      <c r="N16" s="352"/>
      <c r="O16" s="404" t="s">
        <v>14</v>
      </c>
      <c r="P16" s="399">
        <f>SUMIF($D$8:$D$55,$O16,$G$8:$G$55)+SUMIF($F$8:$F$55,$O16,$I$8:$I$55)</f>
        <v>5</v>
      </c>
      <c r="Q16" s="399">
        <f>SUMIF($D$8:$D$55,$O16,$I$8:$I$55)+SUMIF($F$8:$F$55,$O16,$G$8:$G$55)</f>
        <v>3</v>
      </c>
      <c r="R16" s="399">
        <f>P16-Q16</f>
        <v>2</v>
      </c>
      <c r="S16" s="400">
        <f>SUMIF($D$8:$D$55,$O16,$K$8:$K$55)+SUMIF($F$8:$F$55,$O16,$L$8:$L$55)</f>
        <v>6</v>
      </c>
      <c r="T16" s="445" t="s">
        <v>53</v>
      </c>
      <c r="U16" s="40"/>
      <c r="V16" s="40" t="str">
        <f>O16</f>
        <v>Nederland</v>
      </c>
      <c r="W16" s="40" t="s">
        <v>53</v>
      </c>
      <c r="Y16" s="109">
        <f t="shared" si="8"/>
        <v>10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10</v>
      </c>
      <c r="AG16" s="108">
        <f t="shared" si="0"/>
        <v>1</v>
      </c>
      <c r="AH16" s="108">
        <f t="shared" si="1"/>
        <v>1</v>
      </c>
      <c r="AI16" s="108">
        <f t="shared" si="10"/>
        <v>10</v>
      </c>
      <c r="AJ16" s="108">
        <f t="shared" si="2"/>
        <v>5</v>
      </c>
      <c r="AK16" s="108">
        <f t="shared" si="3"/>
        <v>0</v>
      </c>
      <c r="AL16" s="108">
        <f t="shared" si="4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3</v>
      </c>
      <c r="H17" s="373" t="s">
        <v>9</v>
      </c>
      <c r="I17" s="441">
        <v>0</v>
      </c>
      <c r="J17" s="375">
        <f t="shared" si="5"/>
        <v>1</v>
      </c>
      <c r="K17" s="363">
        <f t="shared" si="6"/>
        <v>3</v>
      </c>
      <c r="L17" s="363">
        <f t="shared" si="7"/>
        <v>0</v>
      </c>
      <c r="M17" s="352"/>
      <c r="N17" s="352"/>
      <c r="O17" s="398" t="s">
        <v>15</v>
      </c>
      <c r="P17" s="399">
        <f>SUMIF($D$8:$D$55,$O17,$G$8:$G$55)+SUMIF($F$8:$F$55,$O17,$I$8:$I$55)</f>
        <v>3</v>
      </c>
      <c r="Q17" s="399">
        <f>SUMIF($D$8:$D$55,$O17,$I$8:$I$55)+SUMIF($F$8:$F$55,$O17,$G$8:$G$55)</f>
        <v>3</v>
      </c>
      <c r="R17" s="399">
        <f>P17-Q17</f>
        <v>0</v>
      </c>
      <c r="S17" s="400">
        <f>SUMIF($D$8:$D$55,$O17,$K$8:$K$55)+SUMIF($F$8:$F$55,$O17,$L$8:$L$55)</f>
        <v>3</v>
      </c>
      <c r="T17" s="445" t="s">
        <v>54</v>
      </c>
      <c r="U17" s="40"/>
      <c r="V17" s="40" t="str">
        <f>O17</f>
        <v>Chili</v>
      </c>
      <c r="W17" s="40" t="s">
        <v>54</v>
      </c>
      <c r="Y17" s="109">
        <f t="shared" si="8"/>
        <v>10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10</v>
      </c>
      <c r="AG17" s="108">
        <f t="shared" si="0"/>
        <v>1</v>
      </c>
      <c r="AH17" s="108">
        <f t="shared" si="1"/>
        <v>1</v>
      </c>
      <c r="AI17" s="108">
        <f t="shared" si="10"/>
        <v>10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3</v>
      </c>
      <c r="H18" s="379" t="s">
        <v>9</v>
      </c>
      <c r="I18" s="442">
        <v>1</v>
      </c>
      <c r="J18" s="381">
        <f t="shared" si="5"/>
        <v>1</v>
      </c>
      <c r="K18" s="363">
        <f t="shared" si="6"/>
        <v>3</v>
      </c>
      <c r="L18" s="363">
        <f t="shared" si="7"/>
        <v>0</v>
      </c>
      <c r="M18" s="352"/>
      <c r="N18" s="352"/>
      <c r="O18" s="401" t="s">
        <v>16</v>
      </c>
      <c r="P18" s="402">
        <f>SUMIF($D$8:$D$55,$O18,$G$8:$G$55)+SUMIF($F$8:$F$55,$O18,$I$8:$I$55)</f>
        <v>0</v>
      </c>
      <c r="Q18" s="402">
        <f>SUMIF($D$8:$D$55,$O18,$I$8:$I$55)+SUMIF($F$8:$F$55,$O18,$G$8:$G$55)</f>
        <v>7</v>
      </c>
      <c r="R18" s="402">
        <f>P18-Q18</f>
        <v>-7</v>
      </c>
      <c r="S18" s="403">
        <f>SUMIF($D$8:$D$55,$O18,$K$8:$K$55)+SUMIF($F$8:$F$55,$O18,$L$8:$L$55)</f>
        <v>0</v>
      </c>
      <c r="T18" s="446" t="s">
        <v>55</v>
      </c>
      <c r="U18" s="40"/>
      <c r="V18" s="40" t="str">
        <f>O18</f>
        <v>Australië</v>
      </c>
      <c r="W18" s="40" t="s">
        <v>55</v>
      </c>
      <c r="Y18" s="109">
        <f t="shared" si="8"/>
        <v>6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6</v>
      </c>
      <c r="AG18" s="108">
        <f t="shared" si="0"/>
        <v>0</v>
      </c>
      <c r="AH18" s="108">
        <f t="shared" si="1"/>
        <v>1</v>
      </c>
      <c r="AI18" s="108">
        <f t="shared" si="10"/>
        <v>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2</v>
      </c>
      <c r="H19" s="367" t="s">
        <v>9</v>
      </c>
      <c r="I19" s="440">
        <v>1</v>
      </c>
      <c r="J19" s="369">
        <f t="shared" si="5"/>
        <v>1</v>
      </c>
      <c r="K19" s="363">
        <f t="shared" si="6"/>
        <v>3</v>
      </c>
      <c r="L19" s="363">
        <f t="shared" si="7"/>
        <v>0</v>
      </c>
      <c r="M19" s="352"/>
      <c r="N19" s="352"/>
      <c r="O19" s="392"/>
      <c r="P19" s="393"/>
      <c r="Q19" s="393"/>
      <c r="R19" s="393"/>
      <c r="S19" s="393"/>
      <c r="T19" s="393"/>
      <c r="U19" s="40"/>
      <c r="V19" s="40"/>
      <c r="W19" s="40"/>
      <c r="Y19" s="109">
        <f t="shared" si="8"/>
        <v>5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5</v>
      </c>
      <c r="AG19" s="108">
        <f t="shared" si="0"/>
        <v>0</v>
      </c>
      <c r="AH19" s="108">
        <f t="shared" si="1"/>
        <v>0</v>
      </c>
      <c r="AI19" s="108">
        <f t="shared" si="10"/>
        <v>0</v>
      </c>
      <c r="AJ19" s="108">
        <f t="shared" si="2"/>
        <v>5</v>
      </c>
      <c r="AK19" s="108">
        <f t="shared" si="3"/>
        <v>0</v>
      </c>
      <c r="AL19" s="108">
        <f t="shared" si="4"/>
        <v>0</v>
      </c>
      <c r="AN19" s="40"/>
      <c r="AO19" s="41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0</v>
      </c>
      <c r="H20" s="373" t="s">
        <v>9</v>
      </c>
      <c r="I20" s="441">
        <v>1</v>
      </c>
      <c r="J20" s="375">
        <f t="shared" si="5"/>
        <v>2</v>
      </c>
      <c r="K20" s="363">
        <f t="shared" si="6"/>
        <v>0</v>
      </c>
      <c r="L20" s="363">
        <f t="shared" si="7"/>
        <v>3</v>
      </c>
      <c r="M20" s="352"/>
      <c r="N20" s="352"/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40"/>
      <c r="V20" s="40"/>
      <c r="W20" s="40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0"/>
        <v>1</v>
      </c>
      <c r="AH20" s="108">
        <f t="shared" si="1"/>
        <v>0</v>
      </c>
      <c r="AI20" s="108">
        <f t="shared" si="10"/>
        <v>0</v>
      </c>
      <c r="AJ20" s="108">
        <f t="shared" si="2"/>
        <v>0</v>
      </c>
      <c r="AK20" s="108">
        <f t="shared" si="3"/>
        <v>0</v>
      </c>
      <c r="AL20" s="108">
        <f t="shared" si="4"/>
        <v>0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0</v>
      </c>
      <c r="H21" s="379" t="s">
        <v>9</v>
      </c>
      <c r="I21" s="442">
        <v>0</v>
      </c>
      <c r="J21" s="381">
        <f t="shared" si="5"/>
        <v>3</v>
      </c>
      <c r="K21" s="363">
        <f t="shared" si="6"/>
        <v>1</v>
      </c>
      <c r="L21" s="363">
        <f t="shared" si="7"/>
        <v>1</v>
      </c>
      <c r="M21" s="352"/>
      <c r="N21" s="352"/>
      <c r="O21" s="394" t="s">
        <v>17</v>
      </c>
      <c r="P21" s="395">
        <f>SUMIF($D$8:$D$55,$O21,$G$8:$G$55)+SUMIF($F$8:$F$55,$O21,$I$8:$I$55)</f>
        <v>6</v>
      </c>
      <c r="Q21" s="395">
        <f>SUMIF($D$8:$D$55,$O21,$I$8:$I$55)+SUMIF($F$8:$F$55,$O21,$G$8:$G$55)</f>
        <v>2</v>
      </c>
      <c r="R21" s="396">
        <f>P21-Q21</f>
        <v>4</v>
      </c>
      <c r="S21" s="397">
        <f>SUMIF($D$8:$D$55,$O21,$K$8:$K$55)+SUMIF($F$8:$F$55,$O21,$L$8:$L$55)</f>
        <v>9</v>
      </c>
      <c r="T21" s="444" t="s">
        <v>57</v>
      </c>
      <c r="U21" s="40"/>
      <c r="V21" s="40" t="str">
        <f>O21</f>
        <v>Colombia</v>
      </c>
      <c r="W21" s="40" t="s">
        <v>57</v>
      </c>
      <c r="Y21" s="109">
        <f t="shared" si="8"/>
        <v>0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0</v>
      </c>
      <c r="AG21" s="108">
        <f t="shared" si="0"/>
        <v>0</v>
      </c>
      <c r="AH21" s="108">
        <f t="shared" si="1"/>
        <v>0</v>
      </c>
      <c r="AI21" s="108">
        <f t="shared" si="10"/>
        <v>0</v>
      </c>
      <c r="AJ21" s="108">
        <f t="shared" si="2"/>
        <v>0</v>
      </c>
      <c r="AK21" s="108">
        <f t="shared" si="3"/>
        <v>0</v>
      </c>
      <c r="AL21" s="108">
        <f t="shared" si="4"/>
        <v>0</v>
      </c>
      <c r="AM21" s="120">
        <f>AO21</f>
        <v>10</v>
      </c>
      <c r="AN21" s="116" t="s">
        <v>17</v>
      </c>
      <c r="AO21" s="115">
        <f>IF(Uitslag!T21="",0,IF(T21=Uitslag!T21,10,0))</f>
        <v>10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2</v>
      </c>
      <c r="H22" s="367" t="s">
        <v>9</v>
      </c>
      <c r="I22" s="440">
        <v>0</v>
      </c>
      <c r="J22" s="369">
        <f t="shared" si="5"/>
        <v>1</v>
      </c>
      <c r="K22" s="363">
        <f t="shared" si="6"/>
        <v>3</v>
      </c>
      <c r="L22" s="363">
        <f t="shared" si="7"/>
        <v>0</v>
      </c>
      <c r="M22" s="352"/>
      <c r="N22" s="352"/>
      <c r="O22" s="398" t="s">
        <v>18</v>
      </c>
      <c r="P22" s="399">
        <f>SUMIF($D$8:$D$55,$O22,$G$8:$G$55)+SUMIF($F$8:$F$55,$O22,$I$8:$I$55)</f>
        <v>1</v>
      </c>
      <c r="Q22" s="399">
        <f>SUMIF($D$8:$D$55,$O22,$I$8:$I$55)+SUMIF($F$8:$F$55,$O22,$G$8:$G$55)</f>
        <v>6</v>
      </c>
      <c r="R22" s="399">
        <f>P22-Q22</f>
        <v>-5</v>
      </c>
      <c r="S22" s="400">
        <f>SUMIF($D$8:$D$55,$O22,$K$8:$K$55)+SUMIF($F$8:$F$55,$O22,$L$8:$L$55)</f>
        <v>0</v>
      </c>
      <c r="T22" s="445" t="s">
        <v>60</v>
      </c>
      <c r="U22" s="40"/>
      <c r="V22" s="40" t="str">
        <f>O22</f>
        <v>Griekenland</v>
      </c>
      <c r="W22" s="40" t="s">
        <v>58</v>
      </c>
      <c r="Y22" s="109">
        <f t="shared" si="8"/>
        <v>6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6</v>
      </c>
      <c r="AG22" s="108">
        <f t="shared" si="0"/>
        <v>1</v>
      </c>
      <c r="AH22" s="108">
        <f t="shared" si="1"/>
        <v>0</v>
      </c>
      <c r="AI22" s="108">
        <f t="shared" si="10"/>
        <v>0</v>
      </c>
      <c r="AJ22" s="108">
        <f t="shared" si="2"/>
        <v>5</v>
      </c>
      <c r="AK22" s="108">
        <f t="shared" si="3"/>
        <v>0</v>
      </c>
      <c r="AL22" s="108">
        <f t="shared" si="4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1</v>
      </c>
      <c r="H23" s="373" t="s">
        <v>9</v>
      </c>
      <c r="I23" s="441">
        <v>0</v>
      </c>
      <c r="J23" s="375">
        <f t="shared" si="5"/>
        <v>1</v>
      </c>
      <c r="K23" s="363">
        <f t="shared" si="6"/>
        <v>3</v>
      </c>
      <c r="L23" s="363">
        <f t="shared" si="7"/>
        <v>0</v>
      </c>
      <c r="M23" s="352"/>
      <c r="N23" s="352"/>
      <c r="O23" s="398" t="s">
        <v>23</v>
      </c>
      <c r="P23" s="399">
        <f>SUMIF($D$8:$D$55,$O23,$G$8:$G$55)+SUMIF($F$8:$F$55,$O23,$I$8:$I$55)</f>
        <v>4</v>
      </c>
      <c r="Q23" s="399">
        <f>SUMIF($D$8:$D$55,$O23,$I$8:$I$55)+SUMIF($F$8:$F$55,$O23,$G$8:$G$55)</f>
        <v>3</v>
      </c>
      <c r="R23" s="399">
        <f>P23-Q23</f>
        <v>1</v>
      </c>
      <c r="S23" s="400">
        <f>SUMIF($D$8:$D$55,$O23,$K$8:$K$55)+SUMIF($F$8:$F$55,$O23,$L$8:$L$55)</f>
        <v>4</v>
      </c>
      <c r="T23" s="445" t="s">
        <v>59</v>
      </c>
      <c r="U23" s="40"/>
      <c r="V23" s="40" t="str">
        <f>O23</f>
        <v>Ivoorkust</v>
      </c>
      <c r="W23" s="40" t="s">
        <v>59</v>
      </c>
      <c r="Y23" s="109">
        <f t="shared" si="8"/>
        <v>1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1</v>
      </c>
      <c r="AG23" s="108">
        <f t="shared" si="0"/>
        <v>0</v>
      </c>
      <c r="AH23" s="108">
        <f t="shared" si="1"/>
        <v>1</v>
      </c>
      <c r="AI23" s="108">
        <f t="shared" si="10"/>
        <v>0</v>
      </c>
      <c r="AJ23" s="108">
        <f t="shared" si="2"/>
        <v>0</v>
      </c>
      <c r="AK23" s="108">
        <f t="shared" si="3"/>
        <v>0</v>
      </c>
      <c r="AL23" s="108">
        <f t="shared" si="4"/>
        <v>0</v>
      </c>
      <c r="AM23" s="120">
        <f>AO23</f>
        <v>10</v>
      </c>
      <c r="AN23" s="117" t="s">
        <v>23</v>
      </c>
      <c r="AO23" s="115">
        <f>IF(Uitslag!T23="",0,IF(T23=Uitslag!T23,10,0))</f>
        <v>10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2</v>
      </c>
      <c r="H24" s="379" t="s">
        <v>9</v>
      </c>
      <c r="I24" s="442">
        <v>1</v>
      </c>
      <c r="J24" s="381">
        <f t="shared" si="5"/>
        <v>1</v>
      </c>
      <c r="K24" s="363">
        <f t="shared" si="6"/>
        <v>3</v>
      </c>
      <c r="L24" s="363">
        <f t="shared" si="7"/>
        <v>0</v>
      </c>
      <c r="M24" s="352"/>
      <c r="N24" s="352"/>
      <c r="O24" s="401" t="s">
        <v>24</v>
      </c>
      <c r="P24" s="402">
        <f>SUMIF($D$8:$D$55,$O24,$G$8:$G$55)+SUMIF($F$8:$F$55,$O24,$I$8:$I$55)</f>
        <v>4</v>
      </c>
      <c r="Q24" s="402">
        <f>SUMIF($D$8:$D$55,$O24,$I$8:$I$55)+SUMIF($F$8:$F$55,$O24,$G$8:$G$55)</f>
        <v>4</v>
      </c>
      <c r="R24" s="402">
        <f>P24-Q24</f>
        <v>0</v>
      </c>
      <c r="S24" s="403">
        <f>SUMIF($D$8:$D$55,$O24,$K$8:$K$55)+SUMIF($F$8:$F$55,$O24,$L$8:$L$55)</f>
        <v>4</v>
      </c>
      <c r="T24" s="446" t="s">
        <v>58</v>
      </c>
      <c r="U24" s="40"/>
      <c r="V24" s="40" t="str">
        <f>O24</f>
        <v>Japan</v>
      </c>
      <c r="W24" s="40" t="s">
        <v>60</v>
      </c>
      <c r="Y24" s="109">
        <f t="shared" si="8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</v>
      </c>
      <c r="AG24" s="108">
        <f t="shared" si="0"/>
        <v>0</v>
      </c>
      <c r="AH24" s="108">
        <f t="shared" si="1"/>
        <v>1</v>
      </c>
      <c r="AI24" s="108">
        <f t="shared" si="10"/>
        <v>0</v>
      </c>
      <c r="AJ24" s="108">
        <f t="shared" si="2"/>
        <v>0</v>
      </c>
      <c r="AK24" s="108">
        <f t="shared" si="3"/>
        <v>0</v>
      </c>
      <c r="AL24" s="108">
        <f t="shared" si="4"/>
        <v>0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0</v>
      </c>
      <c r="H25" s="367" t="s">
        <v>9</v>
      </c>
      <c r="I25" s="440">
        <v>3</v>
      </c>
      <c r="J25" s="369">
        <f t="shared" si="5"/>
        <v>2</v>
      </c>
      <c r="K25" s="363">
        <f t="shared" si="6"/>
        <v>0</v>
      </c>
      <c r="L25" s="363">
        <f t="shared" si="7"/>
        <v>3</v>
      </c>
      <c r="M25" s="352"/>
      <c r="N25" s="352"/>
      <c r="O25" s="392"/>
      <c r="P25" s="393"/>
      <c r="Q25" s="393"/>
      <c r="R25" s="393"/>
      <c r="S25" s="393"/>
      <c r="T25" s="393"/>
      <c r="U25" s="40"/>
      <c r="V25" s="40"/>
      <c r="W25" s="40"/>
      <c r="Y25" s="109">
        <f t="shared" si="8"/>
        <v>6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6</v>
      </c>
      <c r="AG25" s="108">
        <f t="shared" si="0"/>
        <v>0</v>
      </c>
      <c r="AH25" s="108">
        <f t="shared" si="1"/>
        <v>1</v>
      </c>
      <c r="AI25" s="108">
        <f t="shared" si="10"/>
        <v>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40"/>
      <c r="AO25" s="41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2</v>
      </c>
      <c r="H26" s="373" t="s">
        <v>9</v>
      </c>
      <c r="I26" s="441">
        <v>1</v>
      </c>
      <c r="J26" s="375">
        <f t="shared" si="5"/>
        <v>1</v>
      </c>
      <c r="K26" s="363">
        <f t="shared" si="6"/>
        <v>3</v>
      </c>
      <c r="L26" s="363">
        <f t="shared" si="7"/>
        <v>0</v>
      </c>
      <c r="M26" s="352"/>
      <c r="N26" s="352"/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40"/>
      <c r="V26" s="40"/>
      <c r="W26" s="40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0"/>
        <v>0</v>
      </c>
      <c r="AH26" s="108">
        <f t="shared" si="1"/>
        <v>0</v>
      </c>
      <c r="AI26" s="108">
        <f t="shared" si="10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0</v>
      </c>
      <c r="H27" s="379" t="s">
        <v>9</v>
      </c>
      <c r="I27" s="442">
        <v>2</v>
      </c>
      <c r="J27" s="381">
        <f t="shared" si="5"/>
        <v>2</v>
      </c>
      <c r="K27" s="363">
        <f t="shared" si="6"/>
        <v>0</v>
      </c>
      <c r="L27" s="363">
        <f t="shared" si="7"/>
        <v>3</v>
      </c>
      <c r="M27" s="352"/>
      <c r="N27" s="352"/>
      <c r="O27" s="394" t="s">
        <v>19</v>
      </c>
      <c r="P27" s="395">
        <f>SUMIF($D$8:$D$55,$O27,$G$8:$G$55)+SUMIF($F$8:$F$55,$O27,$I$8:$I$55)</f>
        <v>5</v>
      </c>
      <c r="Q27" s="395">
        <f>SUMIF($D$8:$D$55,$O27,$I$8:$I$55)+SUMIF($F$8:$F$55,$O27,$G$8:$G$55)</f>
        <v>3</v>
      </c>
      <c r="R27" s="396">
        <f>P27-Q27</f>
        <v>2</v>
      </c>
      <c r="S27" s="397">
        <f>SUMIF($D$8:$D$55,$O27,$K$8:$K$55)+SUMIF($F$8:$F$55,$O27,$L$8:$L$55)</f>
        <v>5</v>
      </c>
      <c r="T27" s="444" t="s">
        <v>62</v>
      </c>
      <c r="U27" s="40"/>
      <c r="V27" s="40" t="str">
        <f>O27</f>
        <v>Uruguay</v>
      </c>
      <c r="W27" s="40" t="s">
        <v>62</v>
      </c>
      <c r="Y27" s="109">
        <f t="shared" si="8"/>
        <v>6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6</v>
      </c>
      <c r="AG27" s="108">
        <f t="shared" si="0"/>
        <v>1</v>
      </c>
      <c r="AH27" s="108">
        <f t="shared" si="1"/>
        <v>0</v>
      </c>
      <c r="AI27" s="108">
        <f t="shared" si="10"/>
        <v>0</v>
      </c>
      <c r="AJ27" s="108">
        <f t="shared" si="2"/>
        <v>0</v>
      </c>
      <c r="AK27" s="108">
        <f t="shared" si="3"/>
        <v>5</v>
      </c>
      <c r="AL27" s="108">
        <f t="shared" si="4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2</v>
      </c>
      <c r="H28" s="367" t="s">
        <v>9</v>
      </c>
      <c r="I28" s="440">
        <v>1</v>
      </c>
      <c r="J28" s="369">
        <f t="shared" si="5"/>
        <v>1</v>
      </c>
      <c r="K28" s="363">
        <f t="shared" si="6"/>
        <v>3</v>
      </c>
      <c r="L28" s="363">
        <f t="shared" si="7"/>
        <v>0</v>
      </c>
      <c r="M28" s="352"/>
      <c r="N28" s="352"/>
      <c r="O28" s="398" t="s">
        <v>20</v>
      </c>
      <c r="P28" s="399">
        <f>SUMIF($D$8:$D$55,$O28,$G$8:$G$55)+SUMIF($F$8:$F$55,$O28,$I$8:$I$55)</f>
        <v>0</v>
      </c>
      <c r="Q28" s="399">
        <f>SUMIF($D$8:$D$55,$O28,$I$8:$I$55)+SUMIF($F$8:$F$55,$O28,$G$8:$G$55)</f>
        <v>7</v>
      </c>
      <c r="R28" s="399">
        <f>P28-Q28</f>
        <v>-7</v>
      </c>
      <c r="S28" s="400">
        <f>SUMIF($D$8:$D$55,$O28,$K$8:$K$55)+SUMIF($F$8:$F$55,$O28,$L$8:$L$55)</f>
        <v>0</v>
      </c>
      <c r="T28" s="445" t="s">
        <v>65</v>
      </c>
      <c r="U28" s="40"/>
      <c r="V28" s="40" t="str">
        <f>O28</f>
        <v>Costa Rica</v>
      </c>
      <c r="W28" s="40" t="s">
        <v>63</v>
      </c>
      <c r="Y28" s="109">
        <f t="shared" si="8"/>
        <v>10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10</v>
      </c>
      <c r="AG28" s="108">
        <f t="shared" si="0"/>
        <v>1</v>
      </c>
      <c r="AH28" s="108">
        <f t="shared" si="1"/>
        <v>1</v>
      </c>
      <c r="AI28" s="108">
        <f t="shared" si="10"/>
        <v>10</v>
      </c>
      <c r="AJ28" s="108">
        <f t="shared" si="2"/>
        <v>5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2</v>
      </c>
      <c r="H29" s="373" t="s">
        <v>9</v>
      </c>
      <c r="I29" s="441">
        <v>2</v>
      </c>
      <c r="J29" s="375">
        <f t="shared" si="5"/>
        <v>3</v>
      </c>
      <c r="K29" s="363">
        <f t="shared" si="6"/>
        <v>1</v>
      </c>
      <c r="L29" s="363">
        <f t="shared" si="7"/>
        <v>1</v>
      </c>
      <c r="M29" s="352"/>
      <c r="N29" s="352"/>
      <c r="O29" s="398" t="s">
        <v>21</v>
      </c>
      <c r="P29" s="399">
        <f>SUMIF($D$8:$D$55,$O29,$G$8:$G$55)+SUMIF($F$8:$F$55,$O29,$I$8:$I$55)</f>
        <v>5</v>
      </c>
      <c r="Q29" s="399">
        <f>SUMIF($D$8:$D$55,$O29,$I$8:$I$55)+SUMIF($F$8:$F$55,$O29,$G$8:$G$55)</f>
        <v>3</v>
      </c>
      <c r="R29" s="399">
        <f>P29-Q29</f>
        <v>2</v>
      </c>
      <c r="S29" s="400">
        <f>SUMIF($D$8:$D$55,$O29,$K$8:$K$55)+SUMIF($F$8:$F$55,$O29,$L$8:$L$55)</f>
        <v>5</v>
      </c>
      <c r="T29" s="445" t="s">
        <v>63</v>
      </c>
      <c r="U29" s="40"/>
      <c r="V29" s="40" t="str">
        <f>O29</f>
        <v>Engeland</v>
      </c>
      <c r="W29" s="40" t="s">
        <v>64</v>
      </c>
      <c r="Y29" s="109">
        <f t="shared" si="8"/>
        <v>1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1</v>
      </c>
      <c r="AG29" s="108">
        <f t="shared" si="0"/>
        <v>1</v>
      </c>
      <c r="AH29" s="108">
        <f t="shared" si="1"/>
        <v>0</v>
      </c>
      <c r="AI29" s="108">
        <f t="shared" si="10"/>
        <v>0</v>
      </c>
      <c r="AJ29" s="108">
        <f t="shared" si="2"/>
        <v>0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2</v>
      </c>
      <c r="H30" s="379" t="s">
        <v>9</v>
      </c>
      <c r="I30" s="442">
        <v>1</v>
      </c>
      <c r="J30" s="381">
        <f t="shared" si="5"/>
        <v>1</v>
      </c>
      <c r="K30" s="363">
        <f t="shared" si="6"/>
        <v>3</v>
      </c>
      <c r="L30" s="363">
        <f t="shared" si="7"/>
        <v>0</v>
      </c>
      <c r="M30" s="352"/>
      <c r="N30" s="352"/>
      <c r="O30" s="401" t="s">
        <v>22</v>
      </c>
      <c r="P30" s="402">
        <f>SUMIF($D$8:$D$55,$O30,$G$8:$G$55)+SUMIF($F$8:$F$55,$O30,$I$8:$I$55)</f>
        <v>5</v>
      </c>
      <c r="Q30" s="402">
        <f>SUMIF($D$8:$D$55,$O30,$I$8:$I$55)+SUMIF($F$8:$F$55,$O30,$G$8:$G$55)</f>
        <v>2</v>
      </c>
      <c r="R30" s="402">
        <f>P30-Q30</f>
        <v>3</v>
      </c>
      <c r="S30" s="403">
        <f>SUMIF($D$8:$D$55,$O30,$K$8:$K$55)+SUMIF($F$8:$F$55,$O30,$L$8:$L$55)</f>
        <v>5</v>
      </c>
      <c r="T30" s="446" t="s">
        <v>64</v>
      </c>
      <c r="U30" s="40"/>
      <c r="V30" s="40" t="str">
        <f>O30</f>
        <v>Italië</v>
      </c>
      <c r="W30" s="40" t="s">
        <v>65</v>
      </c>
      <c r="Y30" s="109">
        <f t="shared" si="8"/>
        <v>0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0</v>
      </c>
      <c r="AG30" s="108">
        <f t="shared" si="0"/>
        <v>0</v>
      </c>
      <c r="AH30" s="108">
        <f t="shared" si="1"/>
        <v>0</v>
      </c>
      <c r="AI30" s="108">
        <f t="shared" si="10"/>
        <v>0</v>
      </c>
      <c r="AJ30" s="108">
        <f t="shared" si="2"/>
        <v>0</v>
      </c>
      <c r="AK30" s="108">
        <f t="shared" si="3"/>
        <v>0</v>
      </c>
      <c r="AL30" s="108">
        <f t="shared" si="4"/>
        <v>0</v>
      </c>
      <c r="AM30" s="120">
        <f>AO30</f>
        <v>10</v>
      </c>
      <c r="AN30" s="118" t="s">
        <v>22</v>
      </c>
      <c r="AO30" s="115">
        <f>IF(Uitslag!T30="",0,IF(T30=Uitslag!T30,10,0))</f>
        <v>10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3</v>
      </c>
      <c r="H31" s="367" t="s">
        <v>9</v>
      </c>
      <c r="I31" s="440">
        <v>0</v>
      </c>
      <c r="J31" s="369">
        <f t="shared" si="5"/>
        <v>1</v>
      </c>
      <c r="K31" s="363">
        <f t="shared" si="6"/>
        <v>3</v>
      </c>
      <c r="L31" s="363">
        <f t="shared" si="7"/>
        <v>0</v>
      </c>
      <c r="M31" s="352"/>
      <c r="N31" s="352"/>
      <c r="O31" s="392"/>
      <c r="P31" s="393"/>
      <c r="Q31" s="393"/>
      <c r="R31" s="393"/>
      <c r="S31" s="393"/>
      <c r="T31" s="393"/>
      <c r="U31" s="40"/>
      <c r="V31" s="40"/>
      <c r="W31" s="40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0"/>
        <v>0</v>
      </c>
      <c r="AH31" s="108">
        <f t="shared" si="1"/>
        <v>0</v>
      </c>
      <c r="AI31" s="108">
        <f t="shared" si="10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40"/>
      <c r="AO31" s="41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1</v>
      </c>
      <c r="H32" s="373" t="s">
        <v>9</v>
      </c>
      <c r="I32" s="441">
        <v>1</v>
      </c>
      <c r="J32" s="375">
        <f t="shared" si="5"/>
        <v>3</v>
      </c>
      <c r="K32" s="363">
        <f t="shared" si="6"/>
        <v>1</v>
      </c>
      <c r="L32" s="363">
        <f t="shared" si="7"/>
        <v>1</v>
      </c>
      <c r="M32" s="352"/>
      <c r="N32" s="352"/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40"/>
      <c r="V32" s="40"/>
      <c r="W32" s="40"/>
      <c r="Y32" s="109">
        <f t="shared" si="8"/>
        <v>0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0</v>
      </c>
      <c r="AG32" s="108">
        <f t="shared" si="0"/>
        <v>0</v>
      </c>
      <c r="AH32" s="108">
        <f t="shared" si="1"/>
        <v>0</v>
      </c>
      <c r="AI32" s="108">
        <f t="shared" si="10"/>
        <v>0</v>
      </c>
      <c r="AJ32" s="108">
        <f t="shared" si="2"/>
        <v>0</v>
      </c>
      <c r="AK32" s="108">
        <f t="shared" si="3"/>
        <v>0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0</v>
      </c>
      <c r="H33" s="379" t="s">
        <v>9</v>
      </c>
      <c r="I33" s="442">
        <v>3</v>
      </c>
      <c r="J33" s="381">
        <f t="shared" si="5"/>
        <v>2</v>
      </c>
      <c r="K33" s="363">
        <f t="shared" si="6"/>
        <v>0</v>
      </c>
      <c r="L33" s="363">
        <f t="shared" si="7"/>
        <v>3</v>
      </c>
      <c r="M33" s="352"/>
      <c r="N33" s="352"/>
      <c r="O33" s="394" t="s">
        <v>25</v>
      </c>
      <c r="P33" s="395">
        <f>SUMIF($D$8:$D$55,$O33,$G$8:$G$55)+SUMIF($F$8:$F$55,$O33,$I$8:$I$55)</f>
        <v>5</v>
      </c>
      <c r="Q33" s="395">
        <f>SUMIF($D$8:$D$55,$O33,$I$8:$I$55)+SUMIF($F$8:$F$55,$O33,$G$8:$G$55)</f>
        <v>2</v>
      </c>
      <c r="R33" s="396">
        <f>P33-Q33</f>
        <v>3</v>
      </c>
      <c r="S33" s="397">
        <f>SUMIF($D$8:$D$55,$O33,$K$8:$K$55)+SUMIF($F$8:$F$55,$O33,$L$8:$L$55)</f>
        <v>7</v>
      </c>
      <c r="T33" s="444" t="s">
        <v>68</v>
      </c>
      <c r="U33" s="40"/>
      <c r="V33" s="40" t="str">
        <f>O33</f>
        <v>Zwitserland</v>
      </c>
      <c r="W33" s="40" t="s">
        <v>67</v>
      </c>
      <c r="Y33" s="109">
        <f t="shared" si="8"/>
        <v>5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5</v>
      </c>
      <c r="AG33" s="108">
        <f t="shared" si="0"/>
        <v>0</v>
      </c>
      <c r="AH33" s="108">
        <f t="shared" si="1"/>
        <v>0</v>
      </c>
      <c r="AI33" s="108">
        <f t="shared" si="10"/>
        <v>0</v>
      </c>
      <c r="AJ33" s="108">
        <f t="shared" si="2"/>
        <v>0</v>
      </c>
      <c r="AK33" s="108">
        <f t="shared" si="3"/>
        <v>5</v>
      </c>
      <c r="AL33" s="108">
        <f t="shared" si="4"/>
        <v>0</v>
      </c>
      <c r="AM33" s="120">
        <f>AO33</f>
        <v>10</v>
      </c>
      <c r="AN33" s="116" t="s">
        <v>25</v>
      </c>
      <c r="AO33" s="115">
        <f>IF(Uitslag!T33="",0,IF(T33=Uitslag!T33,10,0))</f>
        <v>10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3</v>
      </c>
      <c r="H34" s="367" t="s">
        <v>9</v>
      </c>
      <c r="I34" s="440">
        <v>0</v>
      </c>
      <c r="J34" s="369">
        <f t="shared" si="5"/>
        <v>1</v>
      </c>
      <c r="K34" s="363">
        <f t="shared" si="6"/>
        <v>3</v>
      </c>
      <c r="L34" s="363">
        <f t="shared" si="7"/>
        <v>0</v>
      </c>
      <c r="M34" s="352"/>
      <c r="N34" s="352"/>
      <c r="O34" s="398" t="s">
        <v>26</v>
      </c>
      <c r="P34" s="399">
        <f>SUMIF($D$8:$D$55,$O34,$G$8:$G$55)+SUMIF($F$8:$F$55,$O34,$I$8:$I$55)</f>
        <v>4</v>
      </c>
      <c r="Q34" s="399">
        <f>SUMIF($D$8:$D$55,$O34,$I$8:$I$55)+SUMIF($F$8:$F$55,$O34,$G$8:$G$55)</f>
        <v>4</v>
      </c>
      <c r="R34" s="399">
        <f>P34-Q34</f>
        <v>0</v>
      </c>
      <c r="S34" s="400">
        <f>SUMIF($D$8:$D$55,$O34,$K$8:$K$55)+SUMIF($F$8:$F$55,$O34,$L$8:$L$55)</f>
        <v>3</v>
      </c>
      <c r="T34" s="445" t="s">
        <v>69</v>
      </c>
      <c r="U34" s="40"/>
      <c r="V34" s="40" t="str">
        <f>O34</f>
        <v>Ecuador</v>
      </c>
      <c r="W34" s="40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0"/>
        <v>0</v>
      </c>
      <c r="AH34" s="108">
        <f t="shared" si="1"/>
        <v>1</v>
      </c>
      <c r="AI34" s="108">
        <f t="shared" si="10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10</v>
      </c>
      <c r="AN34" s="117" t="s">
        <v>26</v>
      </c>
      <c r="AO34" s="115">
        <f>IF(Uitslag!T34="",0,IF(T34=Uitslag!T34,10,0))</f>
        <v>10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2</v>
      </c>
      <c r="H35" s="373" t="s">
        <v>9</v>
      </c>
      <c r="I35" s="441">
        <v>0</v>
      </c>
      <c r="J35" s="375">
        <f t="shared" si="5"/>
        <v>1</v>
      </c>
      <c r="K35" s="363">
        <f t="shared" si="6"/>
        <v>3</v>
      </c>
      <c r="L35" s="363">
        <f t="shared" si="7"/>
        <v>0</v>
      </c>
      <c r="M35" s="352"/>
      <c r="N35" s="352"/>
      <c r="O35" s="398" t="s">
        <v>27</v>
      </c>
      <c r="P35" s="399">
        <f>SUMIF($D$8:$D$55,$O35,$G$8:$G$55)+SUMIF($F$8:$F$55,$O35,$I$8:$I$55)</f>
        <v>6</v>
      </c>
      <c r="Q35" s="399">
        <f>SUMIF($D$8:$D$55,$O35,$I$8:$I$55)+SUMIF($F$8:$F$55,$O35,$G$8:$G$55)</f>
        <v>1</v>
      </c>
      <c r="R35" s="399">
        <f>P35-Q35</f>
        <v>5</v>
      </c>
      <c r="S35" s="400">
        <f>SUMIF($D$8:$D$55,$O35,$K$8:$K$55)+SUMIF($F$8:$F$55,$O35,$L$8:$L$55)</f>
        <v>7</v>
      </c>
      <c r="T35" s="445" t="s">
        <v>67</v>
      </c>
      <c r="U35" s="40"/>
      <c r="V35" s="40" t="str">
        <f>O35</f>
        <v>Frankrijk</v>
      </c>
      <c r="W35" s="40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0"/>
        <v>1</v>
      </c>
      <c r="AH35" s="108">
        <f t="shared" si="1"/>
        <v>0</v>
      </c>
      <c r="AI35" s="108">
        <f t="shared" si="10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1</v>
      </c>
      <c r="H36" s="379" t="s">
        <v>9</v>
      </c>
      <c r="I36" s="442">
        <v>2</v>
      </c>
      <c r="J36" s="381">
        <f t="shared" si="5"/>
        <v>2</v>
      </c>
      <c r="K36" s="363">
        <f t="shared" si="6"/>
        <v>0</v>
      </c>
      <c r="L36" s="363">
        <f t="shared" si="7"/>
        <v>3</v>
      </c>
      <c r="M36" s="352"/>
      <c r="N36" s="352"/>
      <c r="O36" s="401" t="s">
        <v>28</v>
      </c>
      <c r="P36" s="402">
        <f>SUMIF($D$8:$D$55,$O36,$G$8:$G$55)+SUMIF($F$8:$F$55,$O36,$I$8:$I$55)</f>
        <v>0</v>
      </c>
      <c r="Q36" s="402">
        <f>SUMIF($D$8:$D$55,$O36,$I$8:$I$55)+SUMIF($F$8:$F$55,$O36,$G$8:$G$55)</f>
        <v>8</v>
      </c>
      <c r="R36" s="402">
        <f>P36-Q36</f>
        <v>-8</v>
      </c>
      <c r="S36" s="403">
        <f>SUMIF($D$8:$D$55,$O36,$K$8:$K$55)+SUMIF($F$8:$F$55,$O36,$L$8:$L$55)</f>
        <v>0</v>
      </c>
      <c r="T36" s="446" t="s">
        <v>70</v>
      </c>
      <c r="U36" s="40"/>
      <c r="V36" s="40" t="str">
        <f>O36</f>
        <v>Honduras</v>
      </c>
      <c r="W36" s="40" t="s">
        <v>70</v>
      </c>
      <c r="Y36" s="109">
        <f t="shared" si="8"/>
        <v>1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1</v>
      </c>
      <c r="AG36" s="108">
        <f t="shared" si="0"/>
        <v>1</v>
      </c>
      <c r="AH36" s="108">
        <f t="shared" si="1"/>
        <v>0</v>
      </c>
      <c r="AI36" s="108">
        <f t="shared" si="10"/>
        <v>0</v>
      </c>
      <c r="AJ36" s="108">
        <f t="shared" si="2"/>
        <v>0</v>
      </c>
      <c r="AK36" s="108">
        <f t="shared" si="3"/>
        <v>0</v>
      </c>
      <c r="AL36" s="108">
        <f t="shared" si="4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2</v>
      </c>
      <c r="H37" s="367" t="s">
        <v>9</v>
      </c>
      <c r="I37" s="440">
        <v>1</v>
      </c>
      <c r="J37" s="369">
        <f t="shared" si="5"/>
        <v>1</v>
      </c>
      <c r="K37" s="363">
        <f t="shared" si="6"/>
        <v>3</v>
      </c>
      <c r="L37" s="363">
        <f t="shared" si="7"/>
        <v>0</v>
      </c>
      <c r="M37" s="352"/>
      <c r="N37" s="352"/>
      <c r="O37" s="392"/>
      <c r="P37" s="393"/>
      <c r="Q37" s="393"/>
      <c r="R37" s="393"/>
      <c r="S37" s="393"/>
      <c r="T37" s="393"/>
      <c r="U37" s="40"/>
      <c r="V37" s="40"/>
      <c r="W37" s="40"/>
      <c r="Y37" s="109">
        <f t="shared" si="8"/>
        <v>5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5</v>
      </c>
      <c r="AG37" s="108">
        <f t="shared" si="0"/>
        <v>0</v>
      </c>
      <c r="AH37" s="108">
        <f t="shared" si="1"/>
        <v>0</v>
      </c>
      <c r="AI37" s="108">
        <f t="shared" si="10"/>
        <v>0</v>
      </c>
      <c r="AJ37" s="108">
        <f t="shared" si="2"/>
        <v>5</v>
      </c>
      <c r="AK37" s="108">
        <f t="shared" si="3"/>
        <v>0</v>
      </c>
      <c r="AL37" s="108">
        <f t="shared" si="4"/>
        <v>0</v>
      </c>
      <c r="AN37" s="40"/>
      <c r="AO37" s="41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2</v>
      </c>
      <c r="H38" s="373" t="s">
        <v>9</v>
      </c>
      <c r="I38" s="441">
        <v>0</v>
      </c>
      <c r="J38" s="375">
        <f t="shared" si="5"/>
        <v>1</v>
      </c>
      <c r="K38" s="363">
        <f t="shared" si="6"/>
        <v>3</v>
      </c>
      <c r="L38" s="363">
        <f t="shared" si="7"/>
        <v>0</v>
      </c>
      <c r="M38" s="352"/>
      <c r="N38" s="352"/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40"/>
      <c r="V38" s="40"/>
      <c r="W38" s="40"/>
      <c r="Y38" s="109">
        <f t="shared" si="8"/>
        <v>1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1</v>
      </c>
      <c r="AG38" s="108">
        <f t="shared" si="0"/>
        <v>1</v>
      </c>
      <c r="AH38" s="108">
        <f t="shared" si="1"/>
        <v>0</v>
      </c>
      <c r="AI38" s="108">
        <f t="shared" si="10"/>
        <v>0</v>
      </c>
      <c r="AJ38" s="108">
        <f t="shared" si="2"/>
        <v>0</v>
      </c>
      <c r="AK38" s="108">
        <f t="shared" si="3"/>
        <v>0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0</v>
      </c>
      <c r="H39" s="379" t="s">
        <v>9</v>
      </c>
      <c r="I39" s="442">
        <v>2</v>
      </c>
      <c r="J39" s="381">
        <f t="shared" si="5"/>
        <v>2</v>
      </c>
      <c r="K39" s="363">
        <f t="shared" si="6"/>
        <v>0</v>
      </c>
      <c r="L39" s="363">
        <f t="shared" si="7"/>
        <v>3</v>
      </c>
      <c r="M39" s="352"/>
      <c r="N39" s="352"/>
      <c r="O39" s="394" t="s">
        <v>29</v>
      </c>
      <c r="P39" s="395">
        <f>SUMIF($D$8:$D$55,$O39,$G$8:$G$55)+SUMIF($F$8:$F$55,$O39,$I$8:$I$55)</f>
        <v>8</v>
      </c>
      <c r="Q39" s="395">
        <f>SUMIF($D$8:$D$55,$O39,$I$8:$I$55)+SUMIF($F$8:$F$55,$O39,$G$8:$G$55)</f>
        <v>1</v>
      </c>
      <c r="R39" s="396">
        <f>P39-Q39</f>
        <v>7</v>
      </c>
      <c r="S39" s="397">
        <f>SUMIF($D$8:$D$55,$O39,$K$8:$K$55)+SUMIF($F$8:$F$55,$O39,$L$8:$L$55)</f>
        <v>9</v>
      </c>
      <c r="T39" s="444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1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1</v>
      </c>
      <c r="AG39" s="108">
        <f t="shared" si="0"/>
        <v>0</v>
      </c>
      <c r="AH39" s="108">
        <f t="shared" si="1"/>
        <v>1</v>
      </c>
      <c r="AI39" s="108">
        <f t="shared" si="10"/>
        <v>0</v>
      </c>
      <c r="AJ39" s="108">
        <f t="shared" si="2"/>
        <v>0</v>
      </c>
      <c r="AK39" s="108">
        <f t="shared" si="3"/>
        <v>0</v>
      </c>
      <c r="AL39" s="108">
        <f t="shared" si="4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0</v>
      </c>
      <c r="H40" s="367" t="s">
        <v>9</v>
      </c>
      <c r="I40" s="440">
        <v>2</v>
      </c>
      <c r="J40" s="369">
        <f t="shared" si="5"/>
        <v>2</v>
      </c>
      <c r="K40" s="363">
        <f t="shared" si="6"/>
        <v>0</v>
      </c>
      <c r="L40" s="363">
        <f t="shared" si="7"/>
        <v>3</v>
      </c>
      <c r="M40" s="352"/>
      <c r="N40" s="352"/>
      <c r="O40" s="398" t="s">
        <v>30</v>
      </c>
      <c r="P40" s="399">
        <f>SUMIF($D$8:$D$55,$O40,$G$8:$G$55)+SUMIF($F$8:$F$55,$O40,$I$8:$I$55)</f>
        <v>4</v>
      </c>
      <c r="Q40" s="399">
        <f>SUMIF($D$8:$D$55,$O40,$I$8:$I$55)+SUMIF($F$8:$F$55,$O40,$G$8:$G$55)</f>
        <v>4</v>
      </c>
      <c r="R40" s="399">
        <f>P40-Q40</f>
        <v>0</v>
      </c>
      <c r="S40" s="400">
        <f>SUMIF($D$8:$D$55,$O40,$K$8:$K$55)+SUMIF($F$8:$F$55,$O40,$L$8:$L$55)</f>
        <v>6</v>
      </c>
      <c r="T40" s="445" t="s">
        <v>73</v>
      </c>
      <c r="U40" s="40"/>
      <c r="V40" s="40" t="str">
        <f>O40</f>
        <v>Bosnië H.</v>
      </c>
      <c r="W40" s="40" t="s">
        <v>73</v>
      </c>
      <c r="Y40" s="109">
        <f t="shared" si="8"/>
        <v>6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6</v>
      </c>
      <c r="AG40" s="108">
        <f t="shared" si="0"/>
        <v>1</v>
      </c>
      <c r="AH40" s="108">
        <f t="shared" si="1"/>
        <v>0</v>
      </c>
      <c r="AI40" s="108">
        <f t="shared" si="10"/>
        <v>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0</v>
      </c>
      <c r="AN40" s="117" t="s">
        <v>30</v>
      </c>
      <c r="AO40" s="115">
        <f>IF(Uitslag!T40="",0,IF(T40=Uitslag!T40,10,0))</f>
        <v>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1</v>
      </c>
      <c r="H41" s="373" t="s">
        <v>9</v>
      </c>
      <c r="I41" s="441">
        <v>0</v>
      </c>
      <c r="J41" s="375">
        <f t="shared" si="5"/>
        <v>1</v>
      </c>
      <c r="K41" s="363">
        <f t="shared" si="6"/>
        <v>3</v>
      </c>
      <c r="L41" s="363">
        <f t="shared" si="7"/>
        <v>0</v>
      </c>
      <c r="M41" s="352"/>
      <c r="N41" s="352"/>
      <c r="O41" s="398" t="s">
        <v>33</v>
      </c>
      <c r="P41" s="399">
        <f>SUMIF($D$8:$D$55,$O41,$G$8:$G$55)+SUMIF($F$8:$F$55,$O41,$I$8:$I$55)</f>
        <v>0</v>
      </c>
      <c r="Q41" s="399">
        <f>SUMIF($D$8:$D$55,$O41,$I$8:$I$55)+SUMIF($F$8:$F$55,$O41,$G$8:$G$55)</f>
        <v>5</v>
      </c>
      <c r="R41" s="399">
        <f>P41-Q41</f>
        <v>-5</v>
      </c>
      <c r="S41" s="400">
        <f>SUMIF($D$8:$D$55,$O41,$K$8:$K$55)+SUMIF($F$8:$F$55,$O41,$L$8:$L$55)</f>
        <v>0</v>
      </c>
      <c r="T41" s="445" t="s">
        <v>75</v>
      </c>
      <c r="U41" s="40"/>
      <c r="V41" s="40" t="str">
        <f>O41</f>
        <v>Iran</v>
      </c>
      <c r="W41" s="40" t="s">
        <v>74</v>
      </c>
      <c r="Y41" s="109">
        <f t="shared" si="8"/>
        <v>6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6</v>
      </c>
      <c r="AG41" s="108">
        <f t="shared" si="0"/>
        <v>0</v>
      </c>
      <c r="AH41" s="108">
        <f t="shared" si="1"/>
        <v>1</v>
      </c>
      <c r="AI41" s="108">
        <f t="shared" si="10"/>
        <v>0</v>
      </c>
      <c r="AJ41" s="108">
        <f t="shared" si="2"/>
        <v>5</v>
      </c>
      <c r="AK41" s="108">
        <f t="shared" si="3"/>
        <v>0</v>
      </c>
      <c r="AL41" s="108">
        <f t="shared" si="4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0</v>
      </c>
      <c r="H42" s="373" t="s">
        <v>9</v>
      </c>
      <c r="I42" s="441">
        <v>2</v>
      </c>
      <c r="J42" s="375">
        <f t="shared" si="5"/>
        <v>2</v>
      </c>
      <c r="K42" s="363">
        <f t="shared" si="6"/>
        <v>0</v>
      </c>
      <c r="L42" s="363">
        <f t="shared" si="7"/>
        <v>3</v>
      </c>
      <c r="M42" s="352"/>
      <c r="N42" s="352"/>
      <c r="O42" s="401" t="s">
        <v>34</v>
      </c>
      <c r="P42" s="402">
        <f>SUMIF($D$8:$D$55,$O42,$G$8:$G$55)+SUMIF($F$8:$F$55,$O42,$I$8:$I$55)</f>
        <v>2</v>
      </c>
      <c r="Q42" s="402">
        <f>SUMIF($D$8:$D$55,$O42,$I$8:$I$55)+SUMIF($F$8:$F$55,$O42,$G$8:$G$55)</f>
        <v>4</v>
      </c>
      <c r="R42" s="402">
        <f>P42-Q42</f>
        <v>-2</v>
      </c>
      <c r="S42" s="403">
        <f>SUMIF($D$8:$D$55,$O42,$K$8:$K$55)+SUMIF($F$8:$F$55,$O42,$L$8:$L$55)</f>
        <v>3</v>
      </c>
      <c r="T42" s="446" t="s">
        <v>74</v>
      </c>
      <c r="U42" s="40"/>
      <c r="V42" s="40" t="str">
        <f>O42</f>
        <v>Nigeria</v>
      </c>
      <c r="W42" s="40" t="s">
        <v>75</v>
      </c>
      <c r="Y42" s="109">
        <f t="shared" si="8"/>
        <v>5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5</v>
      </c>
      <c r="AG42" s="108">
        <f t="shared" si="0"/>
        <v>0</v>
      </c>
      <c r="AH42" s="108">
        <f t="shared" si="1"/>
        <v>0</v>
      </c>
      <c r="AI42" s="108">
        <f t="shared" si="10"/>
        <v>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0</v>
      </c>
      <c r="AN42" s="118" t="s">
        <v>34</v>
      </c>
      <c r="AO42" s="115">
        <f>IF(Uitslag!T42="",0,IF(T42=Uitslag!T42,10,0))</f>
        <v>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1</v>
      </c>
      <c r="H43" s="379" t="s">
        <v>9</v>
      </c>
      <c r="I43" s="442">
        <v>1</v>
      </c>
      <c r="J43" s="381">
        <f t="shared" si="5"/>
        <v>3</v>
      </c>
      <c r="K43" s="363">
        <f t="shared" si="6"/>
        <v>1</v>
      </c>
      <c r="L43" s="363">
        <f t="shared" si="7"/>
        <v>1</v>
      </c>
      <c r="M43" s="352"/>
      <c r="N43" s="352"/>
      <c r="O43" s="392"/>
      <c r="P43" s="393"/>
      <c r="Q43" s="393"/>
      <c r="R43" s="393"/>
      <c r="S43" s="393"/>
      <c r="T43" s="393"/>
      <c r="U43" s="40"/>
      <c r="V43" s="40"/>
      <c r="W43" s="40"/>
      <c r="Y43" s="109">
        <f t="shared" si="8"/>
        <v>1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1</v>
      </c>
      <c r="AG43" s="108">
        <f t="shared" si="0"/>
        <v>1</v>
      </c>
      <c r="AH43" s="108">
        <f t="shared" si="1"/>
        <v>0</v>
      </c>
      <c r="AI43" s="108">
        <f t="shared" si="10"/>
        <v>0</v>
      </c>
      <c r="AJ43" s="108">
        <f t="shared" si="2"/>
        <v>0</v>
      </c>
      <c r="AK43" s="108">
        <f t="shared" si="3"/>
        <v>0</v>
      </c>
      <c r="AL43" s="108">
        <f t="shared" si="4"/>
        <v>0</v>
      </c>
      <c r="AN43" s="40"/>
      <c r="AO43" s="41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1</v>
      </c>
      <c r="H44" s="367" t="s">
        <v>9</v>
      </c>
      <c r="I44" s="440">
        <v>1</v>
      </c>
      <c r="J44" s="369">
        <f t="shared" si="5"/>
        <v>3</v>
      </c>
      <c r="K44" s="363">
        <f t="shared" si="6"/>
        <v>1</v>
      </c>
      <c r="L44" s="363">
        <f t="shared" si="7"/>
        <v>1</v>
      </c>
      <c r="M44" s="352"/>
      <c r="N44" s="352"/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40"/>
      <c r="V44" s="40"/>
      <c r="W44" s="40"/>
      <c r="Y44" s="109">
        <f t="shared" si="8"/>
        <v>1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1</v>
      </c>
      <c r="AG44" s="108">
        <f t="shared" si="0"/>
        <v>0</v>
      </c>
      <c r="AH44" s="108">
        <f t="shared" si="1"/>
        <v>1</v>
      </c>
      <c r="AI44" s="108">
        <f t="shared" si="10"/>
        <v>0</v>
      </c>
      <c r="AJ44" s="108">
        <f t="shared" si="2"/>
        <v>0</v>
      </c>
      <c r="AK44" s="108">
        <f t="shared" si="3"/>
        <v>0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0</v>
      </c>
      <c r="H45" s="373" t="s">
        <v>9</v>
      </c>
      <c r="I45" s="441">
        <v>2</v>
      </c>
      <c r="J45" s="375">
        <f t="shared" si="5"/>
        <v>2</v>
      </c>
      <c r="K45" s="363">
        <f t="shared" si="6"/>
        <v>0</v>
      </c>
      <c r="L45" s="363">
        <f t="shared" si="7"/>
        <v>3</v>
      </c>
      <c r="M45" s="352"/>
      <c r="N45" s="352"/>
      <c r="O45" s="394" t="s">
        <v>31</v>
      </c>
      <c r="P45" s="395">
        <f>SUMIF($D$8:$D$55,$O45,$G$8:$G$55)+SUMIF($F$8:$F$55,$O45,$I$8:$I$55)</f>
        <v>6</v>
      </c>
      <c r="Q45" s="395">
        <f>SUMIF($D$8:$D$55,$O45,$I$8:$I$55)+SUMIF($F$8:$F$55,$O45,$G$8:$G$55)</f>
        <v>2</v>
      </c>
      <c r="R45" s="396">
        <f>P45-Q45</f>
        <v>4</v>
      </c>
      <c r="S45" s="397">
        <f>SUMIF($D$8:$D$55,$O45,$K$8:$K$55)+SUMIF($F$8:$F$55,$O45,$L$8:$L$55)</f>
        <v>9</v>
      </c>
      <c r="T45" s="444" t="s">
        <v>77</v>
      </c>
      <c r="U45" s="40"/>
      <c r="V45" s="40" t="str">
        <f>O45</f>
        <v>Duitsland</v>
      </c>
      <c r="W45" s="40" t="s">
        <v>77</v>
      </c>
      <c r="Y45" s="109">
        <f t="shared" si="8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1</v>
      </c>
      <c r="AG45" s="108">
        <f t="shared" si="0"/>
        <v>1</v>
      </c>
      <c r="AH45" s="108">
        <f t="shared" si="1"/>
        <v>0</v>
      </c>
      <c r="AI45" s="108">
        <f t="shared" si="10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1</v>
      </c>
      <c r="H46" s="373" t="s">
        <v>9</v>
      </c>
      <c r="I46" s="441">
        <v>2</v>
      </c>
      <c r="J46" s="375">
        <f t="shared" si="5"/>
        <v>2</v>
      </c>
      <c r="K46" s="363">
        <f t="shared" si="6"/>
        <v>0</v>
      </c>
      <c r="L46" s="363">
        <f t="shared" si="7"/>
        <v>3</v>
      </c>
      <c r="M46" s="352"/>
      <c r="N46" s="352"/>
      <c r="O46" s="398" t="s">
        <v>32</v>
      </c>
      <c r="P46" s="399">
        <f>SUMIF($D$8:$D$55,$O46,$G$8:$G$55)+SUMIF($F$8:$F$55,$O46,$I$8:$I$55)</f>
        <v>5</v>
      </c>
      <c r="Q46" s="399">
        <f>SUMIF($D$8:$D$55,$O46,$I$8:$I$55)+SUMIF($F$8:$F$55,$O46,$G$8:$G$55)</f>
        <v>2</v>
      </c>
      <c r="R46" s="399">
        <f>P46-Q46</f>
        <v>3</v>
      </c>
      <c r="S46" s="400">
        <f>SUMIF($D$8:$D$55,$O46,$K$8:$K$55)+SUMIF($F$8:$F$55,$O46,$L$8:$L$55)</f>
        <v>6</v>
      </c>
      <c r="T46" s="445" t="s">
        <v>78</v>
      </c>
      <c r="U46" s="40"/>
      <c r="V46" s="40" t="str">
        <f>O46</f>
        <v>Portugal</v>
      </c>
      <c r="W46" s="40" t="s">
        <v>78</v>
      </c>
      <c r="Y46" s="109">
        <f t="shared" si="8"/>
        <v>6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6</v>
      </c>
      <c r="AG46" s="108">
        <f t="shared" si="0"/>
        <v>1</v>
      </c>
      <c r="AH46" s="108">
        <f t="shared" si="1"/>
        <v>0</v>
      </c>
      <c r="AI46" s="108">
        <f t="shared" si="10"/>
        <v>0</v>
      </c>
      <c r="AJ46" s="108">
        <f t="shared" si="2"/>
        <v>0</v>
      </c>
      <c r="AK46" s="108">
        <f t="shared" si="3"/>
        <v>5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0</v>
      </c>
      <c r="H47" s="379" t="s">
        <v>9</v>
      </c>
      <c r="I47" s="442">
        <v>2</v>
      </c>
      <c r="J47" s="381">
        <f t="shared" si="5"/>
        <v>2</v>
      </c>
      <c r="K47" s="363">
        <f t="shared" si="6"/>
        <v>0</v>
      </c>
      <c r="L47" s="363">
        <f t="shared" si="7"/>
        <v>3</v>
      </c>
      <c r="M47" s="352"/>
      <c r="N47" s="352"/>
      <c r="O47" s="398" t="s">
        <v>35</v>
      </c>
      <c r="P47" s="399">
        <f>SUMIF($D$8:$D$55,$O47,$G$8:$G$55)+SUMIF($F$8:$F$55,$O47,$I$8:$I$55)</f>
        <v>0</v>
      </c>
      <c r="Q47" s="399">
        <f>SUMIF($D$8:$D$55,$O47,$I$8:$I$55)+SUMIF($F$8:$F$55,$O47,$G$8:$G$55)</f>
        <v>4</v>
      </c>
      <c r="R47" s="399">
        <f>P47-Q47</f>
        <v>-4</v>
      </c>
      <c r="S47" s="400">
        <f>SUMIF($D$8:$D$55,$O47,$K$8:$K$55)+SUMIF($F$8:$F$55,$O47,$L$8:$L$55)</f>
        <v>1</v>
      </c>
      <c r="T47" s="445" t="s">
        <v>80</v>
      </c>
      <c r="U47" s="40"/>
      <c r="V47" s="40" t="str">
        <f>O47</f>
        <v>Ghana</v>
      </c>
      <c r="W47" s="40" t="s">
        <v>79</v>
      </c>
      <c r="Y47" s="109">
        <f t="shared" si="8"/>
        <v>0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0</v>
      </c>
      <c r="AG47" s="108">
        <f t="shared" si="0"/>
        <v>0</v>
      </c>
      <c r="AH47" s="108">
        <f t="shared" si="1"/>
        <v>0</v>
      </c>
      <c r="AI47" s="108">
        <f t="shared" si="10"/>
        <v>0</v>
      </c>
      <c r="AJ47" s="108">
        <f t="shared" si="2"/>
        <v>0</v>
      </c>
      <c r="AK47" s="108">
        <f t="shared" si="3"/>
        <v>0</v>
      </c>
      <c r="AL47" s="108">
        <f t="shared" si="4"/>
        <v>0</v>
      </c>
      <c r="AM47" s="120">
        <f>AO47</f>
        <v>10</v>
      </c>
      <c r="AN47" s="117" t="s">
        <v>35</v>
      </c>
      <c r="AO47" s="115">
        <f>IF(Uitslag!T47="",0,IF(T47=Uitslag!T47,10,0))</f>
        <v>10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0</v>
      </c>
      <c r="H48" s="367" t="s">
        <v>9</v>
      </c>
      <c r="I48" s="440">
        <v>2</v>
      </c>
      <c r="J48" s="369">
        <f t="shared" si="5"/>
        <v>2</v>
      </c>
      <c r="K48" s="363">
        <f t="shared" si="6"/>
        <v>0</v>
      </c>
      <c r="L48" s="363">
        <f t="shared" si="7"/>
        <v>3</v>
      </c>
      <c r="M48" s="352"/>
      <c r="N48" s="352"/>
      <c r="O48" s="401" t="s">
        <v>36</v>
      </c>
      <c r="P48" s="402">
        <f>SUMIF($D$8:$D$55,$O48,$G$8:$G$55)+SUMIF($F$8:$F$55,$O48,$I$8:$I$55)</f>
        <v>1</v>
      </c>
      <c r="Q48" s="402">
        <f>SUMIF($D$8:$D$55,$O48,$I$8:$I$55)+SUMIF($F$8:$F$55,$O48,$G$8:$G$55)</f>
        <v>4</v>
      </c>
      <c r="R48" s="402">
        <f>P48-Q48</f>
        <v>-3</v>
      </c>
      <c r="S48" s="403">
        <f>SUMIF($D$8:$D$55,$O48,$K$8:$K$55)+SUMIF($F$8:$F$55,$O48,$L$8:$L$55)</f>
        <v>1</v>
      </c>
      <c r="T48" s="446" t="s">
        <v>79</v>
      </c>
      <c r="U48" s="40"/>
      <c r="V48" s="40" t="str">
        <f>O48</f>
        <v>Verenigde Staten</v>
      </c>
      <c r="W48" s="40" t="s">
        <v>80</v>
      </c>
      <c r="Y48" s="109">
        <f t="shared" si="8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5</v>
      </c>
      <c r="AG48" s="108">
        <f t="shared" si="0"/>
        <v>0</v>
      </c>
      <c r="AH48" s="108">
        <f t="shared" si="1"/>
        <v>0</v>
      </c>
      <c r="AI48" s="108">
        <f t="shared" si="10"/>
        <v>0</v>
      </c>
      <c r="AJ48" s="108">
        <f t="shared" si="2"/>
        <v>0</v>
      </c>
      <c r="AK48" s="108">
        <f t="shared" si="3"/>
        <v>5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1</v>
      </c>
      <c r="H49" s="373" t="s">
        <v>9</v>
      </c>
      <c r="I49" s="441">
        <v>0</v>
      </c>
      <c r="J49" s="375">
        <f t="shared" si="5"/>
        <v>1</v>
      </c>
      <c r="K49" s="363">
        <f t="shared" si="6"/>
        <v>3</v>
      </c>
      <c r="L49" s="363">
        <f t="shared" si="7"/>
        <v>0</v>
      </c>
      <c r="M49" s="352"/>
      <c r="N49" s="352"/>
      <c r="O49" s="392"/>
      <c r="P49" s="393"/>
      <c r="Q49" s="393"/>
      <c r="R49" s="393"/>
      <c r="S49" s="393"/>
      <c r="T49" s="393"/>
      <c r="U49" s="40"/>
      <c r="V49" s="40"/>
      <c r="W49" s="40"/>
      <c r="Y49" s="109">
        <f t="shared" si="8"/>
        <v>5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5</v>
      </c>
      <c r="AG49" s="108">
        <f t="shared" si="0"/>
        <v>0</v>
      </c>
      <c r="AH49" s="108">
        <f t="shared" si="1"/>
        <v>0</v>
      </c>
      <c r="AI49" s="108">
        <f t="shared" si="10"/>
        <v>0</v>
      </c>
      <c r="AJ49" s="108">
        <f t="shared" si="2"/>
        <v>5</v>
      </c>
      <c r="AK49" s="108">
        <f t="shared" si="3"/>
        <v>0</v>
      </c>
      <c r="AL49" s="108">
        <f t="shared" si="4"/>
        <v>0</v>
      </c>
      <c r="AN49" s="40"/>
      <c r="AO49" s="41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0</v>
      </c>
      <c r="H50" s="373" t="s">
        <v>9</v>
      </c>
      <c r="I50" s="441">
        <v>2</v>
      </c>
      <c r="J50" s="375">
        <f t="shared" si="5"/>
        <v>2</v>
      </c>
      <c r="K50" s="363">
        <f t="shared" si="6"/>
        <v>0</v>
      </c>
      <c r="L50" s="363">
        <f t="shared" si="7"/>
        <v>3</v>
      </c>
      <c r="M50" s="352"/>
      <c r="N50" s="352"/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40"/>
      <c r="V50" s="40"/>
      <c r="W50" s="40"/>
      <c r="Y50" s="109">
        <f t="shared" si="8"/>
        <v>6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6</v>
      </c>
      <c r="AG50" s="108">
        <f t="shared" si="0"/>
        <v>1</v>
      </c>
      <c r="AH50" s="108">
        <f t="shared" si="1"/>
        <v>0</v>
      </c>
      <c r="AI50" s="108">
        <f t="shared" si="10"/>
        <v>0</v>
      </c>
      <c r="AJ50" s="108">
        <f t="shared" si="2"/>
        <v>0</v>
      </c>
      <c r="AK50" s="108">
        <f t="shared" si="3"/>
        <v>5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0</v>
      </c>
      <c r="H51" s="379" t="s">
        <v>9</v>
      </c>
      <c r="I51" s="442">
        <v>2</v>
      </c>
      <c r="J51" s="381">
        <f t="shared" si="5"/>
        <v>2</v>
      </c>
      <c r="K51" s="363">
        <f t="shared" si="6"/>
        <v>0</v>
      </c>
      <c r="L51" s="363">
        <f>IF(I51="","",IF($G51&lt;$I51,3,IF($G51=$I51,1,0)))</f>
        <v>3</v>
      </c>
      <c r="M51" s="352"/>
      <c r="N51" s="352"/>
      <c r="O51" s="394" t="s">
        <v>37</v>
      </c>
      <c r="P51" s="395">
        <f>SUMIF($D$8:$D$55,$O51,$G$8:$G$55)+SUMIF($F$8:$F$55,$O51,$I$8:$I$55)</f>
        <v>6</v>
      </c>
      <c r="Q51" s="395">
        <f>SUMIF($D$8:$D$55,$O51,$I$8:$I$55)+SUMIF($F$8:$F$55,$O51,$G$8:$G$55)</f>
        <v>1</v>
      </c>
      <c r="R51" s="396">
        <f>P51-Q51</f>
        <v>5</v>
      </c>
      <c r="S51" s="397">
        <f>SUMIF($D$8:$D$55,$O51,$K$8:$K$55)+SUMIF($F$8:$F$55,$O51,$L$8:$L$55)</f>
        <v>9</v>
      </c>
      <c r="T51" s="444" t="s">
        <v>82</v>
      </c>
      <c r="U51" s="40"/>
      <c r="V51" s="40" t="str">
        <f>O51</f>
        <v>België</v>
      </c>
      <c r="W51" s="40" t="s">
        <v>82</v>
      </c>
      <c r="Y51" s="109">
        <f t="shared" si="8"/>
        <v>1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1</v>
      </c>
      <c r="AG51" s="108">
        <f t="shared" si="0"/>
        <v>1</v>
      </c>
      <c r="AH51" s="108">
        <f t="shared" si="1"/>
        <v>0</v>
      </c>
      <c r="AI51" s="108">
        <f t="shared" si="10"/>
        <v>0</v>
      </c>
      <c r="AJ51" s="108">
        <f t="shared" si="2"/>
        <v>0</v>
      </c>
      <c r="AK51" s="108">
        <f t="shared" si="3"/>
        <v>0</v>
      </c>
      <c r="AL51" s="108">
        <f t="shared" si="4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1</v>
      </c>
      <c r="H52" s="373" t="s">
        <v>9</v>
      </c>
      <c r="I52" s="441">
        <v>2</v>
      </c>
      <c r="J52" s="369">
        <f t="shared" si="5"/>
        <v>2</v>
      </c>
      <c r="K52" s="363">
        <f t="shared" si="6"/>
        <v>0</v>
      </c>
      <c r="L52" s="363">
        <f t="shared" si="7"/>
        <v>3</v>
      </c>
      <c r="M52" s="352"/>
      <c r="N52" s="352"/>
      <c r="O52" s="398" t="s">
        <v>38</v>
      </c>
      <c r="P52" s="399">
        <f>SUMIF($D$8:$D$55,$O52,$G$8:$G$55)+SUMIF($F$8:$F$55,$O52,$I$8:$I$55)</f>
        <v>0</v>
      </c>
      <c r="Q52" s="399">
        <f>SUMIF($D$8:$D$55,$O52,$I$8:$I$55)+SUMIF($F$8:$F$55,$O52,$G$8:$G$55)</f>
        <v>5</v>
      </c>
      <c r="R52" s="399">
        <f>P52-Q52</f>
        <v>-5</v>
      </c>
      <c r="S52" s="400">
        <f>SUMIF($D$8:$D$55,$O52,$K$8:$K$55)+SUMIF($F$8:$F$55,$O52,$L$8:$L$55)</f>
        <v>0</v>
      </c>
      <c r="T52" s="445" t="s">
        <v>85</v>
      </c>
      <c r="U52" s="40"/>
      <c r="V52" s="40" t="str">
        <f>O52</f>
        <v>Algerije</v>
      </c>
      <c r="W52" s="40" t="s">
        <v>83</v>
      </c>
      <c r="Y52" s="109">
        <f t="shared" si="8"/>
        <v>5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5</v>
      </c>
      <c r="AG52" s="108">
        <f t="shared" si="0"/>
        <v>0</v>
      </c>
      <c r="AH52" s="108">
        <f t="shared" si="1"/>
        <v>0</v>
      </c>
      <c r="AI52" s="108">
        <f t="shared" si="10"/>
        <v>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2</v>
      </c>
      <c r="H53" s="373" t="s">
        <v>9</v>
      </c>
      <c r="I53" s="441">
        <v>0</v>
      </c>
      <c r="J53" s="375">
        <f t="shared" si="5"/>
        <v>1</v>
      </c>
      <c r="K53" s="363">
        <f t="shared" si="6"/>
        <v>3</v>
      </c>
      <c r="L53" s="363">
        <f t="shared" si="7"/>
        <v>0</v>
      </c>
      <c r="M53" s="352"/>
      <c r="N53" s="352"/>
      <c r="O53" s="398" t="s">
        <v>39</v>
      </c>
      <c r="P53" s="399">
        <f>SUMIF($D$8:$D$55,$O53,$G$8:$G$55)+SUMIF($F$8:$F$55,$O53,$I$8:$I$55)</f>
        <v>4</v>
      </c>
      <c r="Q53" s="399">
        <f>SUMIF($D$8:$D$55,$O53,$I$8:$I$55)+SUMIF($F$8:$F$55,$O53,$G$8:$G$55)</f>
        <v>3</v>
      </c>
      <c r="R53" s="399">
        <f>P53-Q53</f>
        <v>1</v>
      </c>
      <c r="S53" s="400">
        <f>SUMIF($D$8:$D$55,$O53,$K$8:$K$55)+SUMIF($F$8:$F$55,$O53,$L$8:$L$55)</f>
        <v>6</v>
      </c>
      <c r="T53" s="445" t="s">
        <v>83</v>
      </c>
      <c r="U53" s="40"/>
      <c r="V53" s="40" t="str">
        <f>O53</f>
        <v>Rusland</v>
      </c>
      <c r="W53" s="40" t="s">
        <v>84</v>
      </c>
      <c r="Y53" s="109">
        <f t="shared" si="8"/>
        <v>6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6</v>
      </c>
      <c r="AG53" s="108">
        <f t="shared" si="0"/>
        <v>1</v>
      </c>
      <c r="AH53" s="108">
        <f t="shared" si="1"/>
        <v>0</v>
      </c>
      <c r="AI53" s="108">
        <f t="shared" si="10"/>
        <v>0</v>
      </c>
      <c r="AJ53" s="108">
        <f t="shared" si="2"/>
        <v>5</v>
      </c>
      <c r="AK53" s="108">
        <f t="shared" si="3"/>
        <v>0</v>
      </c>
      <c r="AL53" s="108">
        <f t="shared" si="4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0</v>
      </c>
      <c r="H54" s="373" t="s">
        <v>9</v>
      </c>
      <c r="I54" s="441">
        <v>2</v>
      </c>
      <c r="J54" s="375">
        <f t="shared" si="5"/>
        <v>2</v>
      </c>
      <c r="K54" s="363">
        <f t="shared" si="6"/>
        <v>0</v>
      </c>
      <c r="L54" s="363">
        <f t="shared" si="7"/>
        <v>3</v>
      </c>
      <c r="M54" s="352"/>
      <c r="N54" s="352"/>
      <c r="O54" s="401" t="s">
        <v>40</v>
      </c>
      <c r="P54" s="402">
        <f>SUMIF($D$8:$D$55,$O54,$G$8:$G$55)+SUMIF($F$8:$F$55,$O54,$I$8:$I$55)</f>
        <v>3</v>
      </c>
      <c r="Q54" s="402">
        <f>SUMIF($D$8:$D$55,$O54,$I$8:$I$55)+SUMIF($F$8:$F$55,$O54,$G$8:$G$55)</f>
        <v>4</v>
      </c>
      <c r="R54" s="402">
        <f>P54-Q54</f>
        <v>-1</v>
      </c>
      <c r="S54" s="403">
        <f>SUMIF($D$8:$D$55,$O54,$K$8:$K$55)+SUMIF($F$8:$F$55,$O54,$L$8:$L$55)</f>
        <v>3</v>
      </c>
      <c r="T54" s="446" t="s">
        <v>84</v>
      </c>
      <c r="U54" s="40"/>
      <c r="V54" s="40" t="str">
        <f>O54</f>
        <v>Zuid Korea</v>
      </c>
      <c r="W54" s="40" t="s">
        <v>85</v>
      </c>
      <c r="Y54" s="109">
        <f t="shared" si="8"/>
        <v>6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6</v>
      </c>
      <c r="AG54" s="108">
        <f t="shared" si="0"/>
        <v>1</v>
      </c>
      <c r="AH54" s="108">
        <f t="shared" si="1"/>
        <v>0</v>
      </c>
      <c r="AI54" s="108">
        <f t="shared" si="10"/>
        <v>0</v>
      </c>
      <c r="AJ54" s="108">
        <f t="shared" si="2"/>
        <v>0</v>
      </c>
      <c r="AK54" s="108">
        <f t="shared" si="3"/>
        <v>5</v>
      </c>
      <c r="AL54" s="108">
        <f t="shared" si="4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0</v>
      </c>
      <c r="H55" s="388" t="s">
        <v>9</v>
      </c>
      <c r="I55" s="443">
        <v>1</v>
      </c>
      <c r="J55" s="390">
        <f t="shared" si="5"/>
        <v>2</v>
      </c>
      <c r="K55" s="363">
        <f t="shared" si="6"/>
        <v>0</v>
      </c>
      <c r="L55" s="363">
        <f t="shared" si="7"/>
        <v>3</v>
      </c>
      <c r="M55" s="352"/>
      <c r="N55" s="352"/>
      <c r="O55" s="392"/>
      <c r="P55" s="393"/>
      <c r="Q55" s="393"/>
      <c r="R55" s="393"/>
      <c r="S55" s="393"/>
      <c r="T55" s="393"/>
      <c r="U55" s="40"/>
      <c r="V55" s="40"/>
      <c r="W55" s="40"/>
      <c r="Y55" s="109">
        <f t="shared" si="8"/>
        <v>1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</v>
      </c>
      <c r="AG55" s="108">
        <f t="shared" si="0"/>
        <v>0</v>
      </c>
      <c r="AH55" s="108">
        <f t="shared" si="1"/>
        <v>1</v>
      </c>
      <c r="AI55" s="108">
        <f t="shared" si="10"/>
        <v>0</v>
      </c>
      <c r="AJ55" s="108">
        <f t="shared" si="2"/>
        <v>0</v>
      </c>
      <c r="AK55" s="108">
        <f t="shared" si="3"/>
        <v>0</v>
      </c>
      <c r="AL55" s="108">
        <f t="shared" si="4"/>
        <v>0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N56" s="352"/>
      <c r="O56" s="352"/>
      <c r="P56" s="352"/>
      <c r="Q56" s="352"/>
      <c r="R56" s="352"/>
      <c r="S56" s="352"/>
      <c r="T56" s="352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79"/>
      <c r="K57" s="353"/>
      <c r="L57" s="353"/>
      <c r="M57" s="353"/>
      <c r="N57" s="352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77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N58" s="352"/>
      <c r="O58" s="458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>IF(ISERROR(Z59),K59,Z59)</f>
        <v>Brazilië</v>
      </c>
      <c r="E59" s="367" t="s">
        <v>9</v>
      </c>
      <c r="F59" s="406" t="str">
        <f>IF(ISERROR(AA59),L59,AA59)</f>
        <v>Nederland</v>
      </c>
      <c r="G59" s="435">
        <v>2</v>
      </c>
      <c r="H59" s="367" t="s">
        <v>9</v>
      </c>
      <c r="I59" s="447">
        <v>0</v>
      </c>
      <c r="J59" s="448">
        <v>1</v>
      </c>
      <c r="K59" s="407" t="s">
        <v>48</v>
      </c>
      <c r="L59" s="407" t="s">
        <v>53</v>
      </c>
      <c r="M59" s="407">
        <v>1</v>
      </c>
      <c r="N59" s="352"/>
      <c r="O59" s="458">
        <v>2</v>
      </c>
      <c r="P59" s="877" t="s">
        <v>220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3">AF59</f>
        <v>0</v>
      </c>
      <c r="Z59" t="str">
        <f t="shared" ref="Z59:AA65" si="14">IF(K59=""," ",VLOOKUP(K59,$T$9:$V$54,3,FALSE))</f>
        <v>Brazilië</v>
      </c>
      <c r="AA59" t="str">
        <f t="shared" si="14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0</v>
      </c>
      <c r="AG59" s="108">
        <f t="shared" ref="AG59:AG66" si="16">IF(AC59="",0,(IF(G59=AC59,1,0)))</f>
        <v>0</v>
      </c>
      <c r="AH59" s="108">
        <f t="shared" ref="AH59:AH66" si="17">IF(AD59="",0,(IF(I59=AD59,1,0)))</f>
        <v>0</v>
      </c>
      <c r="AI59" s="108">
        <f t="shared" ref="AI59:AI66" si="18">IF(AND(AG59=1,AH59=1),10,0)</f>
        <v>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376">
        <v>50</v>
      </c>
      <c r="C60" s="466">
        <v>41818</v>
      </c>
      <c r="D60" s="460" t="str">
        <f t="shared" ref="D60:D66" si="23">IF(ISERROR(Z60),K60,Z60)</f>
        <v>Colombia</v>
      </c>
      <c r="E60" s="379" t="s">
        <v>9</v>
      </c>
      <c r="F60" s="409" t="str">
        <f t="shared" ref="F60:F66" si="24">IF(ISERROR(AA60),L60,AA60)</f>
        <v>Engeland</v>
      </c>
      <c r="G60" s="437">
        <v>1</v>
      </c>
      <c r="H60" s="379" t="s">
        <v>9</v>
      </c>
      <c r="I60" s="449">
        <v>1</v>
      </c>
      <c r="J60" s="450">
        <v>1</v>
      </c>
      <c r="K60" s="407" t="s">
        <v>57</v>
      </c>
      <c r="L60" s="407" t="s">
        <v>63</v>
      </c>
      <c r="M60" s="407">
        <v>2</v>
      </c>
      <c r="N60" s="352"/>
      <c r="O60" s="458">
        <v>3</v>
      </c>
      <c r="P60" s="877" t="s">
        <v>225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3"/>
        <v>0</v>
      </c>
      <c r="Z60" t="str">
        <f t="shared" si="14"/>
        <v>Colombia</v>
      </c>
      <c r="AA60" t="str">
        <f t="shared" si="14"/>
        <v>Engeland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0</v>
      </c>
      <c r="AG60" s="108">
        <f t="shared" si="16"/>
        <v>0</v>
      </c>
      <c r="AH60" s="108">
        <f t="shared" si="17"/>
        <v>0</v>
      </c>
      <c r="AI60" s="108">
        <f t="shared" si="18"/>
        <v>0</v>
      </c>
      <c r="AJ60" s="108">
        <f t="shared" si="19"/>
        <v>0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2"/>
        <v>3</v>
      </c>
    </row>
    <row r="61" spans="2:54">
      <c r="B61" s="364">
        <v>51</v>
      </c>
      <c r="C61" s="465">
        <v>41819</v>
      </c>
      <c r="D61" s="464" t="str">
        <f t="shared" si="23"/>
        <v>Spanje</v>
      </c>
      <c r="E61" s="367" t="s">
        <v>9</v>
      </c>
      <c r="F61" s="406" t="str">
        <f t="shared" si="24"/>
        <v>Mexico</v>
      </c>
      <c r="G61" s="435">
        <v>2</v>
      </c>
      <c r="H61" s="367" t="s">
        <v>9</v>
      </c>
      <c r="I61" s="447">
        <v>1</v>
      </c>
      <c r="J61" s="448">
        <v>1</v>
      </c>
      <c r="K61" s="407" t="s">
        <v>52</v>
      </c>
      <c r="L61" s="407" t="s">
        <v>49</v>
      </c>
      <c r="M61" s="407"/>
      <c r="N61" s="352"/>
      <c r="O61" s="458">
        <v>4</v>
      </c>
      <c r="P61" s="877" t="s">
        <v>209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3"/>
        <v>10</v>
      </c>
      <c r="Z61" t="str">
        <f t="shared" si="14"/>
        <v>Spanje</v>
      </c>
      <c r="AA61" t="str">
        <f t="shared" si="14"/>
        <v>Mexico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10</v>
      </c>
      <c r="AG61" s="108">
        <f t="shared" si="16"/>
        <v>1</v>
      </c>
      <c r="AH61" s="108">
        <f t="shared" si="17"/>
        <v>1</v>
      </c>
      <c r="AI61" s="108">
        <f t="shared" si="18"/>
        <v>10</v>
      </c>
      <c r="AJ61" s="108">
        <f t="shared" si="19"/>
        <v>5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3</v>
      </c>
      <c r="BB61" s="139">
        <f t="shared" si="22"/>
        <v>3</v>
      </c>
    </row>
    <row r="62" spans="2:54">
      <c r="B62" s="376">
        <v>52</v>
      </c>
      <c r="C62" s="466">
        <v>41819</v>
      </c>
      <c r="D62" s="464" t="str">
        <f t="shared" si="23"/>
        <v>Uruguay</v>
      </c>
      <c r="E62" s="379" t="s">
        <v>9</v>
      </c>
      <c r="F62" s="409" t="str">
        <f t="shared" si="24"/>
        <v>Japan</v>
      </c>
      <c r="G62" s="437">
        <v>2</v>
      </c>
      <c r="H62" s="379" t="s">
        <v>9</v>
      </c>
      <c r="I62" s="449">
        <v>0</v>
      </c>
      <c r="J62" s="450">
        <v>1</v>
      </c>
      <c r="K62" s="407" t="s">
        <v>62</v>
      </c>
      <c r="L62" s="407" t="s">
        <v>58</v>
      </c>
      <c r="M62" s="407"/>
      <c r="N62" s="352"/>
      <c r="O62" s="458">
        <v>5</v>
      </c>
      <c r="P62" s="877" t="s">
        <v>211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3"/>
        <v>0</v>
      </c>
      <c r="Z62" t="str">
        <f t="shared" si="14"/>
        <v>Uruguay</v>
      </c>
      <c r="AA62" t="str">
        <f t="shared" si="14"/>
        <v>Japan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0</v>
      </c>
      <c r="AG62" s="108">
        <f t="shared" si="16"/>
        <v>0</v>
      </c>
      <c r="AH62" s="108">
        <f t="shared" si="17"/>
        <v>0</v>
      </c>
      <c r="AI62" s="108">
        <f t="shared" si="18"/>
        <v>0</v>
      </c>
      <c r="AJ62" s="108">
        <f t="shared" si="19"/>
        <v>0</v>
      </c>
      <c r="AK62" s="108">
        <f t="shared" si="20"/>
        <v>0</v>
      </c>
      <c r="AL62" s="108">
        <f t="shared" si="21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2"/>
        <v>3</v>
      </c>
    </row>
    <row r="63" spans="2:54">
      <c r="B63" s="364">
        <v>53</v>
      </c>
      <c r="C63" s="465">
        <v>41820</v>
      </c>
      <c r="D63" s="459" t="str">
        <f t="shared" si="23"/>
        <v>Frankrijk</v>
      </c>
      <c r="E63" s="367" t="s">
        <v>9</v>
      </c>
      <c r="F63" s="406" t="str">
        <f t="shared" si="24"/>
        <v>Bosnië H.</v>
      </c>
      <c r="G63" s="435">
        <v>2</v>
      </c>
      <c r="H63" s="367" t="s">
        <v>9</v>
      </c>
      <c r="I63" s="447">
        <v>1</v>
      </c>
      <c r="J63" s="448">
        <v>1</v>
      </c>
      <c r="K63" s="407" t="s">
        <v>67</v>
      </c>
      <c r="L63" s="407" t="s">
        <v>73</v>
      </c>
      <c r="M63" s="407"/>
      <c r="N63" s="352"/>
      <c r="O63" s="458">
        <v>6</v>
      </c>
      <c r="P63" s="877" t="s">
        <v>212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3"/>
        <v>6</v>
      </c>
      <c r="Z63" t="str">
        <f t="shared" si="14"/>
        <v>Frankrijk</v>
      </c>
      <c r="AA63" t="str">
        <f t="shared" si="14"/>
        <v>Bosnië H.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6</v>
      </c>
      <c r="AG63" s="108">
        <f t="shared" si="16"/>
        <v>1</v>
      </c>
      <c r="AH63" s="108">
        <f t="shared" si="17"/>
        <v>0</v>
      </c>
      <c r="AI63" s="108">
        <f t="shared" si="18"/>
        <v>0</v>
      </c>
      <c r="AJ63" s="108">
        <f t="shared" si="19"/>
        <v>5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3</v>
      </c>
      <c r="BB63" s="139">
        <f t="shared" si="22"/>
        <v>3</v>
      </c>
    </row>
    <row r="64" spans="2:54">
      <c r="B64" s="376">
        <v>54</v>
      </c>
      <c r="C64" s="466">
        <v>41820</v>
      </c>
      <c r="D64" s="460" t="str">
        <f t="shared" si="23"/>
        <v>Duitsland</v>
      </c>
      <c r="E64" s="379" t="s">
        <v>9</v>
      </c>
      <c r="F64" s="409" t="str">
        <f t="shared" si="24"/>
        <v>Rusland</v>
      </c>
      <c r="G64" s="437">
        <v>2</v>
      </c>
      <c r="H64" s="379" t="s">
        <v>9</v>
      </c>
      <c r="I64" s="449">
        <v>1</v>
      </c>
      <c r="J64" s="450">
        <v>1</v>
      </c>
      <c r="K64" s="407" t="s">
        <v>77</v>
      </c>
      <c r="L64" s="407" t="s">
        <v>83</v>
      </c>
      <c r="M64" s="407"/>
      <c r="N64" s="352"/>
      <c r="O64" s="458">
        <v>7</v>
      </c>
      <c r="P64" s="877" t="s">
        <v>213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3"/>
        <v>0</v>
      </c>
      <c r="Z64" t="str">
        <f t="shared" si="14"/>
        <v>Duitsland</v>
      </c>
      <c r="AA64" t="str">
        <f t="shared" si="14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0</v>
      </c>
      <c r="AG64" s="108">
        <f t="shared" si="16"/>
        <v>0</v>
      </c>
      <c r="AH64" s="108">
        <f t="shared" si="17"/>
        <v>0</v>
      </c>
      <c r="AI64" s="108">
        <f t="shared" si="18"/>
        <v>0</v>
      </c>
      <c r="AJ64" s="108">
        <f t="shared" si="19"/>
        <v>0</v>
      </c>
      <c r="AK64" s="108">
        <f t="shared" si="20"/>
        <v>0</v>
      </c>
      <c r="AL64" s="108">
        <f t="shared" si="21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2"/>
        <v>3</v>
      </c>
    </row>
    <row r="65" spans="2:54">
      <c r="B65" s="370">
        <v>55</v>
      </c>
      <c r="C65" s="467">
        <v>41821</v>
      </c>
      <c r="D65" s="459" t="str">
        <f t="shared" si="23"/>
        <v>Argentinië</v>
      </c>
      <c r="E65" s="373" t="s">
        <v>9</v>
      </c>
      <c r="F65" s="410" t="str">
        <f t="shared" si="24"/>
        <v>Zwitserland</v>
      </c>
      <c r="G65" s="436">
        <v>3</v>
      </c>
      <c r="H65" s="373" t="s">
        <v>9</v>
      </c>
      <c r="I65" s="451">
        <v>1</v>
      </c>
      <c r="J65" s="452">
        <v>1</v>
      </c>
      <c r="K65" s="407" t="s">
        <v>72</v>
      </c>
      <c r="L65" s="407" t="s">
        <v>68</v>
      </c>
      <c r="M65" s="407"/>
      <c r="N65" s="352"/>
      <c r="O65" s="458">
        <v>8</v>
      </c>
      <c r="P65" s="877" t="s">
        <v>214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3"/>
        <v>0</v>
      </c>
      <c r="Z65" t="str">
        <f t="shared" si="14"/>
        <v>Argentinië</v>
      </c>
      <c r="AA65" t="str">
        <f t="shared" si="14"/>
        <v>Zwitserland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0</v>
      </c>
      <c r="AG65" s="108">
        <f t="shared" si="16"/>
        <v>0</v>
      </c>
      <c r="AH65" s="108">
        <f t="shared" si="17"/>
        <v>0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2"/>
        <v>3</v>
      </c>
    </row>
    <row r="66" spans="2:54" ht="15.75" thickBot="1">
      <c r="B66" s="385">
        <v>56</v>
      </c>
      <c r="C66" s="462">
        <v>41821</v>
      </c>
      <c r="D66" s="461" t="str">
        <f t="shared" si="23"/>
        <v>België</v>
      </c>
      <c r="E66" s="388" t="s">
        <v>9</v>
      </c>
      <c r="F66" s="412" t="str">
        <f t="shared" si="24"/>
        <v>Portugal</v>
      </c>
      <c r="G66" s="438">
        <v>1</v>
      </c>
      <c r="H66" s="388" t="s">
        <v>9</v>
      </c>
      <c r="I66" s="453">
        <v>0</v>
      </c>
      <c r="J66" s="454">
        <v>1</v>
      </c>
      <c r="K66" s="407" t="s">
        <v>82</v>
      </c>
      <c r="L66" s="407" t="s">
        <v>78</v>
      </c>
      <c r="M66" s="407"/>
      <c r="N66" s="352"/>
      <c r="O66" s="458">
        <v>9</v>
      </c>
      <c r="P66" s="877" t="s">
        <v>235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3"/>
        <v>1</v>
      </c>
      <c r="Z66" t="str">
        <f>IF(K66=""," ",VLOOKUP(K66,$T$9:$V$54,3,FALSE))</f>
        <v>België</v>
      </c>
      <c r="AA66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1</v>
      </c>
      <c r="AG66" s="108">
        <f t="shared" si="16"/>
        <v>0</v>
      </c>
      <c r="AH66" s="108">
        <f t="shared" si="17"/>
        <v>1</v>
      </c>
      <c r="AI66" s="108">
        <f t="shared" si="18"/>
        <v>0</v>
      </c>
      <c r="AJ66" s="108">
        <f t="shared" si="19"/>
        <v>0</v>
      </c>
      <c r="AK66" s="108">
        <f t="shared" si="20"/>
        <v>0</v>
      </c>
      <c r="AL66" s="108">
        <f t="shared" si="21"/>
        <v>0</v>
      </c>
      <c r="AZ66" s="138" t="str">
        <f>Uitslag!P66</f>
        <v>Jonathan de Guzman (m)</v>
      </c>
      <c r="BA66" s="140">
        <f t="shared" si="12"/>
        <v>0</v>
      </c>
      <c r="BB66" s="139">
        <f t="shared" si="22"/>
        <v>0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N67" s="352"/>
      <c r="O67" s="458">
        <v>10</v>
      </c>
      <c r="P67" s="877" t="s">
        <v>216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2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79"/>
      <c r="K68" s="353"/>
      <c r="L68" s="353"/>
      <c r="M68" s="353"/>
      <c r="N68" s="352"/>
      <c r="O68" s="458">
        <v>11</v>
      </c>
      <c r="P68" s="877" t="s">
        <v>215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2"/>
        <v>3</v>
      </c>
    </row>
    <row r="69" spans="2:54">
      <c r="B69" s="428" t="s">
        <v>1</v>
      </c>
      <c r="C69" s="429" t="s">
        <v>2</v>
      </c>
      <c r="D69" s="476" t="s">
        <v>3</v>
      </c>
      <c r="E69" s="431"/>
      <c r="F69" s="477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N69" s="352"/>
      <c r="O69" s="352"/>
      <c r="P69" s="352"/>
      <c r="Q69" s="352"/>
      <c r="R69" s="352"/>
      <c r="S69" s="352"/>
      <c r="T69" s="352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30</v>
      </c>
      <c r="BB69" s="139" t="str">
        <f>IF(AND(BA69&lt;&gt;"",BA69=33),15,"nvt")</f>
        <v>nvt</v>
      </c>
    </row>
    <row r="70" spans="2:54">
      <c r="B70" s="364">
        <v>57</v>
      </c>
      <c r="C70" s="365">
        <v>41824</v>
      </c>
      <c r="D70" s="405" t="str">
        <f>IF(J63="","Winnaar 53",IF(J63=1,D63,F63))</f>
        <v>Frankrijk</v>
      </c>
      <c r="E70" s="367" t="s">
        <v>9</v>
      </c>
      <c r="F70" s="406" t="str">
        <f>IF(J64="","Winnaar 54",IF(J64=1,D64,F64))</f>
        <v>Duitsland</v>
      </c>
      <c r="G70" s="435">
        <v>0</v>
      </c>
      <c r="H70" s="367" t="s">
        <v>9</v>
      </c>
      <c r="I70" s="447">
        <v>2</v>
      </c>
      <c r="J70" s="448">
        <v>2</v>
      </c>
      <c r="K70" s="353"/>
      <c r="L70" s="353"/>
      <c r="M70" s="353"/>
      <c r="N70" s="352"/>
      <c r="O70" s="352"/>
      <c r="P70" s="352"/>
      <c r="Q70" s="352"/>
      <c r="R70" s="352"/>
      <c r="S70" s="352"/>
      <c r="T70" s="352"/>
      <c r="V70" t="s">
        <v>133</v>
      </c>
      <c r="W70" t="s">
        <v>126</v>
      </c>
      <c r="X70" t="str">
        <f t="shared" si="11"/>
        <v>Karim Rekik (v)</v>
      </c>
      <c r="Y70" s="109">
        <f>AF70</f>
        <v>6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6</v>
      </c>
      <c r="AG70" s="108">
        <f>IF(AC70="",0,(IF(G70=AC70,1,0)))</f>
        <v>1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Brazilië</v>
      </c>
      <c r="E71" s="379" t="s">
        <v>9</v>
      </c>
      <c r="F71" s="409" t="str">
        <f>IF(J60="","Winnaar 50",IF(J60=1,D60,F60))</f>
        <v>Colombia</v>
      </c>
      <c r="G71" s="437">
        <v>3</v>
      </c>
      <c r="H71" s="379" t="s">
        <v>9</v>
      </c>
      <c r="I71" s="449">
        <v>1</v>
      </c>
      <c r="J71" s="450">
        <v>1</v>
      </c>
      <c r="K71" s="353"/>
      <c r="L71" s="353"/>
      <c r="M71" s="353"/>
      <c r="N71" s="352"/>
      <c r="O71" s="352"/>
      <c r="P71" s="352"/>
      <c r="Q71" s="352"/>
      <c r="R71" s="352"/>
      <c r="S71" s="352"/>
      <c r="T71" s="352"/>
      <c r="V71" t="s">
        <v>133</v>
      </c>
      <c r="W71" t="s">
        <v>194</v>
      </c>
      <c r="X71" t="str">
        <f t="shared" si="11"/>
        <v>Ron Vlaar (v)</v>
      </c>
      <c r="Y71" s="109">
        <f>AF71</f>
        <v>6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6</v>
      </c>
      <c r="AG71" s="108">
        <f>IF(AC71="",0,(IF(G71=AC71,1,0)))</f>
        <v>0</v>
      </c>
      <c r="AH71" s="108">
        <f>IF(AD71="",0,(IF(I71=AD71,1,0)))</f>
        <v>1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Argentinië</v>
      </c>
      <c r="E72" s="367" t="s">
        <v>9</v>
      </c>
      <c r="F72" s="406" t="str">
        <f>IF(J66="","Winnaar 56",IF(J66=1,D66,F66))</f>
        <v>België</v>
      </c>
      <c r="G72" s="435">
        <v>2</v>
      </c>
      <c r="H72" s="367" t="s">
        <v>9</v>
      </c>
      <c r="I72" s="447">
        <v>1</v>
      </c>
      <c r="J72" s="448">
        <v>1</v>
      </c>
      <c r="K72" s="353"/>
      <c r="L72" s="353"/>
      <c r="M72" s="353"/>
      <c r="N72" s="352"/>
      <c r="O72" s="352"/>
      <c r="P72" s="352"/>
      <c r="Q72" s="352"/>
      <c r="R72" s="352"/>
      <c r="S72" s="352"/>
      <c r="T72" s="352"/>
      <c r="V72" t="s">
        <v>133</v>
      </c>
      <c r="W72" t="s">
        <v>195</v>
      </c>
      <c r="X72" t="str">
        <f t="shared" si="11"/>
        <v>John Heitinga (v)</v>
      </c>
      <c r="Y72" s="109">
        <f>AF72</f>
        <v>5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5</v>
      </c>
      <c r="AG72" s="108">
        <f>IF(AC72="",0,(IF(G72=AC72,1,0)))</f>
        <v>0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5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Spanje</v>
      </c>
      <c r="E73" s="388" t="s">
        <v>9</v>
      </c>
      <c r="F73" s="412" t="str">
        <f>IF(J62="","Winnaar 52",IF(J62=1,D62,F62))</f>
        <v>Uruguay</v>
      </c>
      <c r="G73" s="438">
        <v>0</v>
      </c>
      <c r="H73" s="388" t="s">
        <v>9</v>
      </c>
      <c r="I73" s="453">
        <v>0</v>
      </c>
      <c r="J73" s="454">
        <v>1</v>
      </c>
      <c r="K73" s="353"/>
      <c r="L73" s="353"/>
      <c r="M73" s="353"/>
      <c r="N73" s="352"/>
      <c r="O73" s="352"/>
      <c r="P73" s="352"/>
      <c r="Q73" s="352"/>
      <c r="R73" s="352"/>
      <c r="S73" s="352"/>
      <c r="T73" s="352"/>
      <c r="V73" t="s">
        <v>133</v>
      </c>
      <c r="W73" t="s">
        <v>196</v>
      </c>
      <c r="X73" t="str">
        <f t="shared" si="11"/>
        <v>Urby Emanuelson (v)</v>
      </c>
      <c r="Y73" s="109">
        <f>AF73</f>
        <v>10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10</v>
      </c>
      <c r="AG73" s="108">
        <f>IF(AC73="",0,(IF(G73=AC73,1,0)))</f>
        <v>1</v>
      </c>
      <c r="AH73" s="108">
        <f>IF(AD73="",0,(IF(I73=AD73,1,0)))</f>
        <v>1</v>
      </c>
      <c r="AI73" s="108">
        <f>IF(AND(AG73=1,AH73=1),10,0)</f>
        <v>10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5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N74" s="352"/>
      <c r="O74" s="352"/>
      <c r="P74" s="352"/>
      <c r="Q74" s="352"/>
      <c r="R74" s="352"/>
      <c r="S74" s="352"/>
      <c r="T74" s="352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79"/>
      <c r="K75" s="353"/>
      <c r="L75" s="353"/>
      <c r="M75" s="353"/>
      <c r="N75" s="352"/>
      <c r="O75" s="352"/>
      <c r="P75" s="352"/>
      <c r="Q75" s="352"/>
      <c r="R75" s="352"/>
      <c r="S75" s="352"/>
      <c r="T75" s="352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76" t="s">
        <v>3</v>
      </c>
      <c r="E76" s="431"/>
      <c r="F76" s="477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N76" s="352"/>
      <c r="O76" s="352"/>
      <c r="P76" s="352"/>
      <c r="Q76" s="352"/>
      <c r="R76" s="352"/>
      <c r="S76" s="352"/>
      <c r="T76" s="352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Duitsland</v>
      </c>
      <c r="E77" s="367" t="s">
        <v>9</v>
      </c>
      <c r="F77" s="406" t="str">
        <f>IF(J71="","Winnaar 58",IF(J71=1,D71,F71))</f>
        <v>Brazilië</v>
      </c>
      <c r="G77" s="435">
        <v>1</v>
      </c>
      <c r="H77" s="367" t="s">
        <v>9</v>
      </c>
      <c r="I77" s="447">
        <v>1</v>
      </c>
      <c r="J77" s="448">
        <v>1</v>
      </c>
      <c r="K77" s="353"/>
      <c r="L77" s="353"/>
      <c r="M77" s="353"/>
      <c r="N77" s="352"/>
      <c r="O77" s="352"/>
      <c r="P77" s="352"/>
      <c r="Q77" s="352"/>
      <c r="R77" s="352"/>
      <c r="S77" s="352"/>
      <c r="T77" s="352"/>
      <c r="V77" t="s">
        <v>134</v>
      </c>
      <c r="W77" t="s">
        <v>203</v>
      </c>
      <c r="X77" t="str">
        <f t="shared" si="11"/>
        <v>Marco van Ginkel (m)</v>
      </c>
      <c r="Y77" s="109">
        <f>AF77</f>
        <v>1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1</v>
      </c>
      <c r="AG77" s="108">
        <f>IF(AC77="",0,(IF(G77=AC77,1,0)))</f>
        <v>0</v>
      </c>
      <c r="AH77" s="108">
        <f>IF(AD77="",0,(IF(I77=AD77,1,0)))</f>
        <v>1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Argentinië</v>
      </c>
      <c r="E78" s="388" t="s">
        <v>9</v>
      </c>
      <c r="F78" s="412" t="str">
        <f>IF(J73="","Winnaar 60",IF(J73=1,D73,F73))</f>
        <v>Spanje</v>
      </c>
      <c r="G78" s="438">
        <v>2</v>
      </c>
      <c r="H78" s="388" t="s">
        <v>9</v>
      </c>
      <c r="I78" s="453">
        <v>1</v>
      </c>
      <c r="J78" s="454">
        <v>1</v>
      </c>
      <c r="K78" s="353"/>
      <c r="L78" s="353"/>
      <c r="M78" s="353"/>
      <c r="N78" s="352"/>
      <c r="O78" s="352"/>
      <c r="P78" s="352"/>
      <c r="Q78" s="352"/>
      <c r="R78" s="352"/>
      <c r="S78" s="352"/>
      <c r="T78" s="352"/>
      <c r="V78" t="s">
        <v>134</v>
      </c>
      <c r="W78" t="s">
        <v>199</v>
      </c>
      <c r="X78" t="str">
        <f t="shared" si="11"/>
        <v>Leroy Fer (m)</v>
      </c>
      <c r="Y78" s="109">
        <f>AF78</f>
        <v>0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0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N79" s="352"/>
      <c r="O79" s="352"/>
      <c r="P79" s="352"/>
      <c r="Q79" s="352"/>
      <c r="R79" s="352"/>
      <c r="S79" s="352"/>
      <c r="T79" s="352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79"/>
      <c r="K80" s="353"/>
      <c r="L80" s="353"/>
      <c r="M80" s="353"/>
      <c r="N80" s="352"/>
      <c r="O80" s="352"/>
      <c r="P80" s="352"/>
      <c r="Q80" s="352"/>
      <c r="R80" s="352"/>
      <c r="S80" s="352"/>
      <c r="T80" s="352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76" t="s">
        <v>3</v>
      </c>
      <c r="E81" s="431"/>
      <c r="F81" s="477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N81" s="352"/>
      <c r="O81" s="352"/>
      <c r="P81" s="352"/>
      <c r="Q81" s="352"/>
      <c r="R81" s="352"/>
      <c r="S81" s="352"/>
      <c r="T81" s="352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Brazilië</v>
      </c>
      <c r="E82" s="355" t="s">
        <v>9</v>
      </c>
      <c r="F82" s="415" t="str">
        <f>IF(J78="","Verliezer 62",IF(J78=1,F78,D78))</f>
        <v>Spanje</v>
      </c>
      <c r="G82" s="455">
        <v>2</v>
      </c>
      <c r="H82" s="355" t="s">
        <v>9</v>
      </c>
      <c r="I82" s="456">
        <v>1</v>
      </c>
      <c r="J82" s="457">
        <v>1</v>
      </c>
      <c r="K82" s="353"/>
      <c r="L82" s="353"/>
      <c r="M82" s="353"/>
      <c r="N82" s="352"/>
      <c r="O82" s="352"/>
      <c r="P82" s="352"/>
      <c r="Q82" s="352"/>
      <c r="R82" s="352"/>
      <c r="S82" s="352"/>
      <c r="T82" s="352"/>
      <c r="V82" t="s">
        <v>134</v>
      </c>
      <c r="W82" t="s">
        <v>125</v>
      </c>
      <c r="X8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N83" s="352"/>
      <c r="O83" s="352"/>
      <c r="P83" s="352"/>
      <c r="Q83" s="352"/>
      <c r="R83" s="352"/>
      <c r="S83" s="352"/>
      <c r="T83" s="352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79"/>
      <c r="K84" s="353"/>
      <c r="L84" s="353"/>
      <c r="M84" s="353"/>
      <c r="N84" s="352"/>
      <c r="O84" s="352"/>
      <c r="P84" s="352"/>
      <c r="Q84" s="352"/>
      <c r="R84" s="352"/>
      <c r="S84" s="352"/>
      <c r="T84" s="352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76" t="s">
        <v>3</v>
      </c>
      <c r="E85" s="431"/>
      <c r="F85" s="477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N85" s="352"/>
      <c r="O85" s="352"/>
      <c r="P85" s="352"/>
      <c r="Q85" s="352"/>
      <c r="R85" s="352"/>
      <c r="S85" s="352"/>
      <c r="T85" s="352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Duitsland</v>
      </c>
      <c r="E86" s="355" t="s">
        <v>9</v>
      </c>
      <c r="F86" s="415" t="str">
        <f>IF(J78="","Winnaar 62",IF(J78=1,D78,F78))</f>
        <v>Argentinië</v>
      </c>
      <c r="G86" s="455">
        <v>2</v>
      </c>
      <c r="H86" s="355" t="s">
        <v>9</v>
      </c>
      <c r="I86" s="456">
        <v>1</v>
      </c>
      <c r="J86" s="457">
        <v>1</v>
      </c>
      <c r="K86" s="353"/>
      <c r="L86" s="353"/>
      <c r="M86" s="353"/>
      <c r="N86" s="352"/>
      <c r="O86" s="352"/>
      <c r="P86" s="352"/>
      <c r="Q86" s="352"/>
      <c r="R86" s="352"/>
      <c r="S86" s="352"/>
      <c r="T86" s="352"/>
      <c r="V86" t="s">
        <v>134</v>
      </c>
      <c r="W86" t="s">
        <v>139</v>
      </c>
      <c r="X86" t="str">
        <f t="shared" si="11"/>
        <v>Nigel de Jong (m)</v>
      </c>
      <c r="Y86" s="109">
        <f>AF86</f>
        <v>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0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Duitsland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50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50</v>
      </c>
      <c r="AV89">
        <f>IF(AR89=0,0,IF(E89=AR89,50,0))</f>
        <v>50</v>
      </c>
      <c r="AW89">
        <f>IF(E89=0,0,IF(OR(E89=AR90),15,0))</f>
        <v>0</v>
      </c>
      <c r="AX89">
        <f>IF(E89=0,0,IF(OR(E89=AR91,E89=AR92),5,0))</f>
        <v>0</v>
      </c>
    </row>
    <row r="90" spans="2:50">
      <c r="C90" s="870">
        <v>2</v>
      </c>
      <c r="D90" s="871"/>
      <c r="E90" s="872" t="str">
        <f>IF(J86=2,D86,IF(J86=1,F86,"Wie wordt 2de?"))</f>
        <v>Argentinië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25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25</v>
      </c>
      <c r="AV90">
        <f>IF(AR90=0,0,IF(AR90=E90,25,0))</f>
        <v>25</v>
      </c>
      <c r="AW90">
        <f>IF(E90=0,0,IF(OR(E90=AR89,),15,0))</f>
        <v>0</v>
      </c>
      <c r="AX90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Brazilië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10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10</v>
      </c>
      <c r="AV91">
        <f>IF(AR91=0,0,IF(AR91=E91,15,0))</f>
        <v>0</v>
      </c>
      <c r="AW91">
        <f>IF(E91=0,0,IF(OR(E91=AR92),10,0))</f>
        <v>10</v>
      </c>
      <c r="AX91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Spanje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0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0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85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conditionalFormatting sqref="AO9:AO12 AO15:AO18 AO21:AO24 AO27:AO30 AO33:AO36 AO39:AO42 AO45:AO48 AO51:AO54">
    <cfRule type="cellIs" dxfId="125" priority="3" operator="equal">
      <formula>10</formula>
    </cfRule>
  </conditionalFormatting>
  <conditionalFormatting sqref="P58:T58">
    <cfRule type="duplicateValues" dxfId="124" priority="2"/>
  </conditionalFormatting>
  <conditionalFormatting sqref="P58:T68">
    <cfRule type="duplicateValues" dxfId="123" priority="1"/>
  </conditionalFormatting>
  <dataValidations count="10">
    <dataValidation type="list" allowBlank="1" showInputMessage="1" showErrorMessage="1" sqref="T51:T54">
      <formula1>$W$51:$W$54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P58:P68">
      <formula1>$X$58:$X$98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B1:BB98"/>
  <sheetViews>
    <sheetView topLeftCell="A56" zoomScale="70" zoomScaleNormal="70" workbookViewId="0">
      <selection activeCell="J66" sqref="J66"/>
    </sheetView>
  </sheetViews>
  <sheetFormatPr defaultRowHeight="15" outlineLevelCol="2"/>
  <cols>
    <col min="1" max="1" width="3.42578125" customWidth="1"/>
    <col min="2" max="2" width="3.5703125" bestFit="1" customWidth="1"/>
    <col min="3" max="3" width="11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0" hidden="1" customWidth="1"/>
    <col min="14" max="14" width="11.42578125" bestFit="1" customWidth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7" bestFit="1" customWidth="1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145" t="s">
        <v>206</v>
      </c>
      <c r="E3" s="145"/>
      <c r="F3" s="145"/>
      <c r="N3" t="str">
        <f>D3</f>
        <v>Martin S.</v>
      </c>
      <c r="O3" s="144">
        <f>SUM(P3:S3)</f>
        <v>325</v>
      </c>
      <c r="P3" s="109">
        <f>SUM(Y8:Y86)</f>
        <v>165</v>
      </c>
      <c r="Q3" s="109">
        <f>SUM(AM4:AM55)</f>
        <v>110</v>
      </c>
      <c r="R3" s="109">
        <f>SUM(AP89:AP92)</f>
        <v>20</v>
      </c>
      <c r="S3" s="109">
        <f>SUM(BB58:BB69)</f>
        <v>30</v>
      </c>
      <c r="T3" s="109">
        <f>COUNTIF(AF8:AF86,10)</f>
        <v>5</v>
      </c>
      <c r="U3" s="109" t="str">
        <f>E89</f>
        <v>Brazilië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229"/>
      <c r="L6" s="229"/>
      <c r="M6" s="228"/>
      <c r="N6" s="228"/>
      <c r="O6" s="268"/>
      <c r="P6" s="269"/>
      <c r="Q6" s="269"/>
      <c r="R6" s="269"/>
      <c r="S6" s="269"/>
      <c r="T6" s="269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292" t="s">
        <v>1</v>
      </c>
      <c r="C7" s="293" t="s">
        <v>2</v>
      </c>
      <c r="D7" s="349" t="s">
        <v>3</v>
      </c>
      <c r="E7" s="295"/>
      <c r="F7" s="350" t="s">
        <v>4</v>
      </c>
      <c r="G7" s="880" t="s">
        <v>5</v>
      </c>
      <c r="H7" s="881"/>
      <c r="I7" s="882"/>
      <c r="J7" s="297" t="s">
        <v>6</v>
      </c>
      <c r="K7" s="232" t="s">
        <v>7</v>
      </c>
      <c r="L7" s="232" t="s">
        <v>7</v>
      </c>
      <c r="M7" s="228"/>
      <c r="N7" s="228"/>
      <c r="O7" s="229"/>
      <c r="P7" s="269"/>
      <c r="Q7" s="269"/>
      <c r="R7" s="269"/>
      <c r="S7" s="269"/>
      <c r="T7" s="269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233">
        <v>1</v>
      </c>
      <c r="C8" s="234">
        <v>41802</v>
      </c>
      <c r="D8" s="235" t="s">
        <v>8</v>
      </c>
      <c r="E8" s="236" t="s">
        <v>9</v>
      </c>
      <c r="F8" s="237" t="s">
        <v>10</v>
      </c>
      <c r="G8" s="310">
        <v>2</v>
      </c>
      <c r="H8" s="236" t="s">
        <v>9</v>
      </c>
      <c r="I8" s="347">
        <v>0</v>
      </c>
      <c r="J8" s="238">
        <f t="shared" ref="J8:J55" si="0">IF(I8="","",IF(G8&gt;I8,1,IF(G8&lt;I8,2,3)))</f>
        <v>1</v>
      </c>
      <c r="K8" s="239">
        <f t="shared" ref="K8:K55" si="1">IF(I8="","",IF($G8&gt;$I8,3,IF($G8=$I8,1,0)))</f>
        <v>3</v>
      </c>
      <c r="L8" s="239">
        <f t="shared" ref="L8:L55" si="2">IF(I8="","",IF($G8&lt;$I8,3,IF($G8=$I8,1,0)))</f>
        <v>0</v>
      </c>
      <c r="M8" s="228"/>
      <c r="N8" s="228"/>
      <c r="O8" s="298" t="s">
        <v>41</v>
      </c>
      <c r="P8" s="299" t="s">
        <v>42</v>
      </c>
      <c r="Q8" s="299" t="s">
        <v>43</v>
      </c>
      <c r="R8" s="300" t="s">
        <v>44</v>
      </c>
      <c r="S8" s="301" t="s">
        <v>45</v>
      </c>
      <c r="T8" s="302" t="s">
        <v>46</v>
      </c>
      <c r="U8" s="40"/>
      <c r="V8" s="40"/>
      <c r="W8" s="40"/>
      <c r="Y8" s="109">
        <f>AF8</f>
        <v>5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5</v>
      </c>
      <c r="AG8" s="108">
        <f t="shared" ref="AG8:AG55" si="3">IF(AC8="",0,(IF(G8=AC8,1,0)))</f>
        <v>0</v>
      </c>
      <c r="AH8" s="108">
        <f t="shared" ref="AH8:AH55" si="4">IF(AD8="",0,(IF(I8=AD8,1,0)))</f>
        <v>0</v>
      </c>
      <c r="AI8" s="108">
        <f>IF(AND(AG8=1,AH8=1),10,0)</f>
        <v>0</v>
      </c>
      <c r="AJ8" s="108">
        <f t="shared" ref="AJ8:AJ55" si="5">IF(AND(G8&gt;I8,AC8&gt;AD8),5,0)</f>
        <v>5</v>
      </c>
      <c r="AK8" s="108">
        <f t="shared" ref="AK8:AK55" si="6">IF(AND(G8&lt;I8,AC8&lt;AD8),5,0)</f>
        <v>0</v>
      </c>
      <c r="AL8" s="108">
        <f t="shared" ref="AL8:AL55" si="7">IF(AND(G8=I8,AC8=AD8),5,0)</f>
        <v>0</v>
      </c>
      <c r="AN8" s="42" t="s">
        <v>41</v>
      </c>
      <c r="AO8" s="43" t="s">
        <v>46</v>
      </c>
    </row>
    <row r="9" spans="2:54" ht="15.75" thickBot="1">
      <c r="B9" s="240">
        <v>2</v>
      </c>
      <c r="C9" s="241">
        <v>41803</v>
      </c>
      <c r="D9" s="242" t="s">
        <v>11</v>
      </c>
      <c r="E9" s="243" t="s">
        <v>9</v>
      </c>
      <c r="F9" s="244" t="s">
        <v>12</v>
      </c>
      <c r="G9" s="311">
        <v>1</v>
      </c>
      <c r="H9" s="243" t="s">
        <v>9</v>
      </c>
      <c r="I9" s="316">
        <v>1</v>
      </c>
      <c r="J9" s="245">
        <f t="shared" si="0"/>
        <v>3</v>
      </c>
      <c r="K9" s="239">
        <f t="shared" si="1"/>
        <v>1</v>
      </c>
      <c r="L9" s="239">
        <f t="shared" si="2"/>
        <v>1</v>
      </c>
      <c r="M9" s="228"/>
      <c r="N9" s="228"/>
      <c r="O9" s="270" t="s">
        <v>8</v>
      </c>
      <c r="P9" s="271">
        <f>SUMIF($D$8:$D$55,$O9,$G$8:$G$55)+SUMIF($F$8:$F$55,$O9,$I$8:$I$55)</f>
        <v>6</v>
      </c>
      <c r="Q9" s="271">
        <f>SUMIF($D$8:$D$55,$O9,$I$8:$I$55)+SUMIF($F$8:$F$55,$O9,$G$8:$G$55)</f>
        <v>0</v>
      </c>
      <c r="R9" s="272">
        <f>P9-Q9</f>
        <v>6</v>
      </c>
      <c r="S9" s="273">
        <f>SUMIF($D$8:$D$55,$O9,$K$8:$K$55)+SUMIF($F$8:$F$55,$O9,$L$8:$L$55)</f>
        <v>9</v>
      </c>
      <c r="T9" s="320" t="s">
        <v>48</v>
      </c>
      <c r="U9" s="40"/>
      <c r="V9" s="40" t="str">
        <f>O9</f>
        <v>Brazilië</v>
      </c>
      <c r="W9" s="40" t="s">
        <v>48</v>
      </c>
      <c r="Y9" s="109">
        <f t="shared" ref="Y9:Y41" si="8">AF9</f>
        <v>1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41" si="9">IF(OR(AC9="",AD9=""),0,(IF(SUM(AG9:AL9)&gt;10,10,SUM(AG9:AL9))))</f>
        <v>1</v>
      </c>
      <c r="AG9" s="108">
        <f t="shared" si="3"/>
        <v>1</v>
      </c>
      <c r="AH9" s="108">
        <f t="shared" si="4"/>
        <v>0</v>
      </c>
      <c r="AI9" s="108">
        <f t="shared" ref="AI9:AI41" si="10">IF(AND(AG9=1,AH9=1),10,0)</f>
        <v>0</v>
      </c>
      <c r="AJ9" s="108">
        <f t="shared" si="5"/>
        <v>0</v>
      </c>
      <c r="AK9" s="108">
        <f t="shared" si="6"/>
        <v>0</v>
      </c>
      <c r="AL9" s="108">
        <f t="shared" si="7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246">
        <v>3</v>
      </c>
      <c r="C10" s="247">
        <v>41803</v>
      </c>
      <c r="D10" s="248" t="s">
        <v>13</v>
      </c>
      <c r="E10" s="249" t="s">
        <v>9</v>
      </c>
      <c r="F10" s="250" t="s">
        <v>14</v>
      </c>
      <c r="G10" s="312">
        <v>1</v>
      </c>
      <c r="H10" s="249" t="s">
        <v>9</v>
      </c>
      <c r="I10" s="317">
        <v>1</v>
      </c>
      <c r="J10" s="251">
        <f t="shared" si="0"/>
        <v>3</v>
      </c>
      <c r="K10" s="239">
        <f t="shared" si="1"/>
        <v>1</v>
      </c>
      <c r="L10" s="239">
        <f t="shared" si="2"/>
        <v>1</v>
      </c>
      <c r="M10" s="228"/>
      <c r="N10" s="228"/>
      <c r="O10" s="274" t="s">
        <v>10</v>
      </c>
      <c r="P10" s="275">
        <f>SUMIF($D$8:$D$55,$O10,$G$8:$G$55)+SUMIF($F$8:$F$55,$O10,$I$8:$I$55)</f>
        <v>1</v>
      </c>
      <c r="Q10" s="275">
        <f>SUMIF($D$8:$D$55,$O10,$I$8:$I$55)+SUMIF($F$8:$F$55,$O10,$G$8:$G$55)</f>
        <v>4</v>
      </c>
      <c r="R10" s="275">
        <f>P10-Q10</f>
        <v>-3</v>
      </c>
      <c r="S10" s="276">
        <f>SUMIF($D$8:$D$55,$O10,$K$8:$K$55)+SUMIF($F$8:$F$55,$O10,$L$8:$L$55)</f>
        <v>1</v>
      </c>
      <c r="T10" s="321" t="s">
        <v>50</v>
      </c>
      <c r="U10" s="40"/>
      <c r="V10" s="40" t="str">
        <f>O10</f>
        <v>Kroatië</v>
      </c>
      <c r="W10" s="40" t="s">
        <v>49</v>
      </c>
      <c r="Y10" s="109">
        <f t="shared" si="8"/>
        <v>1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1</v>
      </c>
      <c r="AG10" s="108">
        <f t="shared" si="3"/>
        <v>1</v>
      </c>
      <c r="AH10" s="108">
        <f t="shared" si="4"/>
        <v>0</v>
      </c>
      <c r="AI10" s="108">
        <f t="shared" si="10"/>
        <v>0</v>
      </c>
      <c r="AJ10" s="108">
        <f t="shared" si="5"/>
        <v>0</v>
      </c>
      <c r="AK10" s="108">
        <f t="shared" si="6"/>
        <v>0</v>
      </c>
      <c r="AL10" s="108">
        <f t="shared" si="7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252">
        <v>4</v>
      </c>
      <c r="C11" s="253">
        <v>41803</v>
      </c>
      <c r="D11" s="254" t="s">
        <v>15</v>
      </c>
      <c r="E11" s="255" t="s">
        <v>9</v>
      </c>
      <c r="F11" s="256" t="s">
        <v>16</v>
      </c>
      <c r="G11" s="313">
        <v>1</v>
      </c>
      <c r="H11" s="255" t="s">
        <v>9</v>
      </c>
      <c r="I11" s="318">
        <v>0</v>
      </c>
      <c r="J11" s="257">
        <f t="shared" si="0"/>
        <v>1</v>
      </c>
      <c r="K11" s="239">
        <f t="shared" si="1"/>
        <v>3</v>
      </c>
      <c r="L11" s="239">
        <f t="shared" si="2"/>
        <v>0</v>
      </c>
      <c r="M11" s="228"/>
      <c r="N11" s="228"/>
      <c r="O11" s="274" t="s">
        <v>11</v>
      </c>
      <c r="P11" s="275">
        <f>SUMIF($D$8:$D$55,$O11,$G$8:$G$55)+SUMIF($F$8:$F$55,$O11,$I$8:$I$55)</f>
        <v>2</v>
      </c>
      <c r="Q11" s="275">
        <f>SUMIF($D$8:$D$55,$O11,$I$8:$I$55)+SUMIF($F$8:$F$55,$O11,$G$8:$G$55)</f>
        <v>3</v>
      </c>
      <c r="R11" s="275">
        <f>P11-Q11</f>
        <v>-1</v>
      </c>
      <c r="S11" s="276">
        <f>SUMIF($D$8:$D$55,$O11,$K$8:$K$55)+SUMIF($F$8:$F$55,$O11,$L$8:$L$55)</f>
        <v>4</v>
      </c>
      <c r="T11" s="321" t="s">
        <v>49</v>
      </c>
      <c r="U11" s="40"/>
      <c r="V11" s="40" t="str">
        <f>O11</f>
        <v>Mexico</v>
      </c>
      <c r="W11" s="40" t="s">
        <v>47</v>
      </c>
      <c r="Y11" s="109">
        <f t="shared" si="8"/>
        <v>5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5</v>
      </c>
      <c r="AG11" s="108">
        <f t="shared" si="3"/>
        <v>0</v>
      </c>
      <c r="AH11" s="108">
        <f t="shared" si="4"/>
        <v>0</v>
      </c>
      <c r="AI11" s="108">
        <f t="shared" si="10"/>
        <v>0</v>
      </c>
      <c r="AJ11" s="108">
        <f t="shared" si="5"/>
        <v>5</v>
      </c>
      <c r="AK11" s="108">
        <f t="shared" si="6"/>
        <v>0</v>
      </c>
      <c r="AL11" s="108">
        <f t="shared" si="7"/>
        <v>0</v>
      </c>
      <c r="AM11" s="120">
        <f>AO11</f>
        <v>10</v>
      </c>
      <c r="AN11" s="117" t="s">
        <v>11</v>
      </c>
      <c r="AO11" s="115">
        <f>IF(Uitslag!T11="",0,IF(T11=Uitslag!T11,10,0))</f>
        <v>10</v>
      </c>
    </row>
    <row r="12" spans="2:54" ht="15.75" thickBot="1">
      <c r="B12" s="240">
        <v>5</v>
      </c>
      <c r="C12" s="241">
        <v>41804</v>
      </c>
      <c r="D12" s="242" t="s">
        <v>17</v>
      </c>
      <c r="E12" s="243" t="s">
        <v>9</v>
      </c>
      <c r="F12" s="244" t="s">
        <v>18</v>
      </c>
      <c r="G12" s="311">
        <v>2</v>
      </c>
      <c r="H12" s="243" t="s">
        <v>9</v>
      </c>
      <c r="I12" s="316">
        <v>1</v>
      </c>
      <c r="J12" s="245">
        <f t="shared" si="0"/>
        <v>1</v>
      </c>
      <c r="K12" s="239">
        <f t="shared" si="1"/>
        <v>3</v>
      </c>
      <c r="L12" s="239">
        <f t="shared" si="2"/>
        <v>0</v>
      </c>
      <c r="M12" s="228"/>
      <c r="N12" s="228"/>
      <c r="O12" s="277" t="s">
        <v>12</v>
      </c>
      <c r="P12" s="278">
        <f>SUMIF($D$8:$D$55,$O12,$G$8:$G$55)+SUMIF($F$8:$F$55,$O12,$I$8:$I$55)</f>
        <v>2</v>
      </c>
      <c r="Q12" s="278">
        <f>SUMIF($D$8:$D$55,$O12,$I$8:$I$55)+SUMIF($F$8:$F$55,$O12,$G$8:$G$55)</f>
        <v>4</v>
      </c>
      <c r="R12" s="278">
        <f>P12-Q12</f>
        <v>-2</v>
      </c>
      <c r="S12" s="279">
        <f>SUMIF($D$8:$D$55,$O12,$K$8:$K$55)+SUMIF($F$8:$F$55,$O12,$L$8:$L$55)</f>
        <v>2</v>
      </c>
      <c r="T12" s="322" t="s">
        <v>47</v>
      </c>
      <c r="U12" s="40"/>
      <c r="V12" s="40" t="str">
        <f>O12</f>
        <v>Kameroen</v>
      </c>
      <c r="W12" s="40" t="s">
        <v>50</v>
      </c>
      <c r="Y12" s="109">
        <f t="shared" si="8"/>
        <v>5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5</v>
      </c>
      <c r="AG12" s="108">
        <f t="shared" si="3"/>
        <v>0</v>
      </c>
      <c r="AH12" s="108">
        <f t="shared" si="4"/>
        <v>0</v>
      </c>
      <c r="AI12" s="108">
        <f t="shared" si="10"/>
        <v>0</v>
      </c>
      <c r="AJ12" s="108">
        <f t="shared" si="5"/>
        <v>5</v>
      </c>
      <c r="AK12" s="108">
        <f t="shared" si="6"/>
        <v>0</v>
      </c>
      <c r="AL12" s="108">
        <f t="shared" si="7"/>
        <v>0</v>
      </c>
      <c r="AM12" s="120">
        <f>AO12</f>
        <v>0</v>
      </c>
      <c r="AN12" s="118" t="s">
        <v>12</v>
      </c>
      <c r="AO12" s="115">
        <f>IF(Uitslag!T12="",0,IF(T12=Uitslag!T12,10,0))</f>
        <v>0</v>
      </c>
    </row>
    <row r="13" spans="2:54" ht="15.75" thickBot="1">
      <c r="B13" s="246">
        <v>6</v>
      </c>
      <c r="C13" s="247">
        <v>41804</v>
      </c>
      <c r="D13" s="248" t="s">
        <v>19</v>
      </c>
      <c r="E13" s="249" t="s">
        <v>9</v>
      </c>
      <c r="F13" s="258" t="s">
        <v>20</v>
      </c>
      <c r="G13" s="312">
        <v>2</v>
      </c>
      <c r="H13" s="249" t="s">
        <v>9</v>
      </c>
      <c r="I13" s="317">
        <v>0</v>
      </c>
      <c r="J13" s="251">
        <f t="shared" si="0"/>
        <v>1</v>
      </c>
      <c r="K13" s="239">
        <f t="shared" si="1"/>
        <v>3</v>
      </c>
      <c r="L13" s="239">
        <f t="shared" si="2"/>
        <v>0</v>
      </c>
      <c r="M13" s="228"/>
      <c r="N13" s="228"/>
      <c r="O13" s="268"/>
      <c r="P13" s="269"/>
      <c r="Q13" s="269"/>
      <c r="R13" s="269"/>
      <c r="S13" s="269"/>
      <c r="T13" s="269"/>
      <c r="U13" s="40"/>
      <c r="V13" s="40"/>
      <c r="W13" s="40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3"/>
        <v>0</v>
      </c>
      <c r="AH13" s="108">
        <f t="shared" si="4"/>
        <v>0</v>
      </c>
      <c r="AI13" s="108">
        <f t="shared" si="10"/>
        <v>0</v>
      </c>
      <c r="AJ13" s="108">
        <f t="shared" si="5"/>
        <v>0</v>
      </c>
      <c r="AK13" s="108">
        <f t="shared" si="6"/>
        <v>0</v>
      </c>
      <c r="AL13" s="108">
        <f t="shared" si="7"/>
        <v>0</v>
      </c>
      <c r="AN13" s="40"/>
      <c r="AO13" s="41"/>
    </row>
    <row r="14" spans="2:54" ht="15.75" thickBot="1">
      <c r="B14" s="246">
        <v>7</v>
      </c>
      <c r="C14" s="247">
        <v>41804</v>
      </c>
      <c r="D14" s="248" t="s">
        <v>21</v>
      </c>
      <c r="E14" s="249" t="s">
        <v>9</v>
      </c>
      <c r="F14" s="258" t="s">
        <v>22</v>
      </c>
      <c r="G14" s="312">
        <v>1</v>
      </c>
      <c r="H14" s="249" t="s">
        <v>9</v>
      </c>
      <c r="I14" s="317">
        <v>2</v>
      </c>
      <c r="J14" s="251">
        <f t="shared" si="0"/>
        <v>2</v>
      </c>
      <c r="K14" s="239">
        <f t="shared" si="1"/>
        <v>0</v>
      </c>
      <c r="L14" s="239">
        <f t="shared" si="2"/>
        <v>3</v>
      </c>
      <c r="M14" s="228"/>
      <c r="N14" s="228"/>
      <c r="O14" s="298" t="s">
        <v>51</v>
      </c>
      <c r="P14" s="299" t="s">
        <v>42</v>
      </c>
      <c r="Q14" s="299" t="s">
        <v>43</v>
      </c>
      <c r="R14" s="300" t="s">
        <v>44</v>
      </c>
      <c r="S14" s="301" t="s">
        <v>45</v>
      </c>
      <c r="T14" s="302" t="s">
        <v>46</v>
      </c>
      <c r="U14" s="40"/>
      <c r="V14" s="40"/>
      <c r="W14" s="40"/>
      <c r="Y14" s="109">
        <f t="shared" si="8"/>
        <v>10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10</v>
      </c>
      <c r="AG14" s="108">
        <f t="shared" si="3"/>
        <v>1</v>
      </c>
      <c r="AH14" s="108">
        <f t="shared" si="4"/>
        <v>1</v>
      </c>
      <c r="AI14" s="108">
        <f t="shared" si="10"/>
        <v>10</v>
      </c>
      <c r="AJ14" s="108">
        <f t="shared" si="5"/>
        <v>0</v>
      </c>
      <c r="AK14" s="108">
        <f t="shared" si="6"/>
        <v>5</v>
      </c>
      <c r="AL14" s="108">
        <f t="shared" si="7"/>
        <v>0</v>
      </c>
      <c r="AN14" s="42" t="s">
        <v>51</v>
      </c>
      <c r="AO14" s="43" t="s">
        <v>46</v>
      </c>
    </row>
    <row r="15" spans="2:54" ht="15.75" thickBot="1">
      <c r="B15" s="252">
        <v>8</v>
      </c>
      <c r="C15" s="253">
        <v>41804</v>
      </c>
      <c r="D15" s="254" t="s">
        <v>23</v>
      </c>
      <c r="E15" s="255" t="s">
        <v>9</v>
      </c>
      <c r="F15" s="256" t="s">
        <v>24</v>
      </c>
      <c r="G15" s="313">
        <v>1</v>
      </c>
      <c r="H15" s="255" t="s">
        <v>9</v>
      </c>
      <c r="I15" s="318">
        <v>1</v>
      </c>
      <c r="J15" s="257">
        <f t="shared" si="0"/>
        <v>3</v>
      </c>
      <c r="K15" s="239">
        <f t="shared" si="1"/>
        <v>1</v>
      </c>
      <c r="L15" s="239">
        <f t="shared" si="2"/>
        <v>1</v>
      </c>
      <c r="M15" s="228"/>
      <c r="N15" s="228"/>
      <c r="O15" s="270" t="s">
        <v>13</v>
      </c>
      <c r="P15" s="271">
        <f>SUMIF($D$8:$D$55,$O15,$G$8:$G$55)+SUMIF($F$8:$F$55,$O15,$I$8:$I$55)</f>
        <v>6</v>
      </c>
      <c r="Q15" s="271">
        <f>SUMIF($D$8:$D$55,$O15,$I$8:$I$55)+SUMIF($F$8:$F$55,$O15,$G$8:$G$55)</f>
        <v>1</v>
      </c>
      <c r="R15" s="272">
        <f>P15-Q15</f>
        <v>5</v>
      </c>
      <c r="S15" s="273">
        <f>SUMIF($D$8:$D$55,$O15,$K$8:$K$55)+SUMIF($F$8:$F$55,$O15,$L$8:$L$55)</f>
        <v>7</v>
      </c>
      <c r="T15" s="320" t="s">
        <v>52</v>
      </c>
      <c r="U15" s="40"/>
      <c r="V15" s="40" t="str">
        <f>O15</f>
        <v>Spanje</v>
      </c>
      <c r="W15" s="40" t="s">
        <v>52</v>
      </c>
      <c r="Y15" s="109">
        <f t="shared" si="8"/>
        <v>1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1</v>
      </c>
      <c r="AG15" s="108">
        <f t="shared" si="3"/>
        <v>0</v>
      </c>
      <c r="AH15" s="108">
        <f t="shared" si="4"/>
        <v>1</v>
      </c>
      <c r="AI15" s="108">
        <f t="shared" si="10"/>
        <v>0</v>
      </c>
      <c r="AJ15" s="108">
        <f t="shared" si="5"/>
        <v>0</v>
      </c>
      <c r="AK15" s="108">
        <f t="shared" si="6"/>
        <v>0</v>
      </c>
      <c r="AL15" s="108">
        <f t="shared" si="7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240">
        <v>9</v>
      </c>
      <c r="C16" s="241">
        <v>41805</v>
      </c>
      <c r="D16" s="242" t="s">
        <v>25</v>
      </c>
      <c r="E16" s="243" t="s">
        <v>9</v>
      </c>
      <c r="F16" s="244" t="s">
        <v>26</v>
      </c>
      <c r="G16" s="311">
        <v>0</v>
      </c>
      <c r="H16" s="243" t="s">
        <v>9</v>
      </c>
      <c r="I16" s="316">
        <v>1</v>
      </c>
      <c r="J16" s="245">
        <f t="shared" si="0"/>
        <v>2</v>
      </c>
      <c r="K16" s="239">
        <f t="shared" si="1"/>
        <v>0</v>
      </c>
      <c r="L16" s="239">
        <f t="shared" si="2"/>
        <v>3</v>
      </c>
      <c r="M16" s="228"/>
      <c r="N16" s="228"/>
      <c r="O16" s="280" t="s">
        <v>14</v>
      </c>
      <c r="P16" s="275">
        <f>SUMIF($D$8:$D$55,$O16,$G$8:$G$55)+SUMIF($F$8:$F$55,$O16,$I$8:$I$55)</f>
        <v>5</v>
      </c>
      <c r="Q16" s="275">
        <f>SUMIF($D$8:$D$55,$O16,$I$8:$I$55)+SUMIF($F$8:$F$55,$O16,$G$8:$G$55)</f>
        <v>2</v>
      </c>
      <c r="R16" s="275">
        <f>P16-Q16</f>
        <v>3</v>
      </c>
      <c r="S16" s="276">
        <f>SUMIF($D$8:$D$55,$O16,$K$8:$K$55)+SUMIF($F$8:$F$55,$O16,$L$8:$L$55)</f>
        <v>7</v>
      </c>
      <c r="T16" s="321" t="s">
        <v>53</v>
      </c>
      <c r="U16" s="40"/>
      <c r="V16" s="40" t="str">
        <f>O16</f>
        <v>Nederland</v>
      </c>
      <c r="W16" s="40" t="s">
        <v>53</v>
      </c>
      <c r="Y16" s="109">
        <f t="shared" si="8"/>
        <v>1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1</v>
      </c>
      <c r="AG16" s="108">
        <f t="shared" si="3"/>
        <v>0</v>
      </c>
      <c r="AH16" s="108">
        <f t="shared" si="4"/>
        <v>1</v>
      </c>
      <c r="AI16" s="108">
        <f t="shared" si="10"/>
        <v>0</v>
      </c>
      <c r="AJ16" s="108">
        <f t="shared" si="5"/>
        <v>0</v>
      </c>
      <c r="AK16" s="108">
        <f t="shared" si="6"/>
        <v>0</v>
      </c>
      <c r="AL16" s="108">
        <f t="shared" si="7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246">
        <v>10</v>
      </c>
      <c r="C17" s="247">
        <v>41805</v>
      </c>
      <c r="D17" s="248" t="s">
        <v>27</v>
      </c>
      <c r="E17" s="249" t="s">
        <v>9</v>
      </c>
      <c r="F17" s="258" t="s">
        <v>28</v>
      </c>
      <c r="G17" s="312">
        <v>2</v>
      </c>
      <c r="H17" s="249" t="s">
        <v>9</v>
      </c>
      <c r="I17" s="317">
        <v>0</v>
      </c>
      <c r="J17" s="251">
        <f t="shared" si="0"/>
        <v>1</v>
      </c>
      <c r="K17" s="239">
        <f t="shared" si="1"/>
        <v>3</v>
      </c>
      <c r="L17" s="239">
        <f t="shared" si="2"/>
        <v>0</v>
      </c>
      <c r="M17" s="228"/>
      <c r="N17" s="228"/>
      <c r="O17" s="274" t="s">
        <v>15</v>
      </c>
      <c r="P17" s="275">
        <f>SUMIF($D$8:$D$55,$O17,$G$8:$G$55)+SUMIF($F$8:$F$55,$O17,$I$8:$I$55)</f>
        <v>1</v>
      </c>
      <c r="Q17" s="275">
        <f>SUMIF($D$8:$D$55,$O17,$I$8:$I$55)+SUMIF($F$8:$F$55,$O17,$G$8:$G$55)</f>
        <v>3</v>
      </c>
      <c r="R17" s="275">
        <f>P17-Q17</f>
        <v>-2</v>
      </c>
      <c r="S17" s="276">
        <f>SUMIF($D$8:$D$55,$O17,$K$8:$K$55)+SUMIF($F$8:$F$55,$O17,$L$8:$L$55)</f>
        <v>3</v>
      </c>
      <c r="T17" s="321" t="s">
        <v>54</v>
      </c>
      <c r="U17" s="40"/>
      <c r="V17" s="40" t="str">
        <f>O17</f>
        <v>Chili</v>
      </c>
      <c r="W17" s="40" t="s">
        <v>54</v>
      </c>
      <c r="Y17" s="109">
        <f t="shared" si="8"/>
        <v>6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6</v>
      </c>
      <c r="AG17" s="108">
        <f t="shared" si="3"/>
        <v>0</v>
      </c>
      <c r="AH17" s="108">
        <f t="shared" si="4"/>
        <v>1</v>
      </c>
      <c r="AI17" s="108">
        <f t="shared" si="10"/>
        <v>0</v>
      </c>
      <c r="AJ17" s="108">
        <f t="shared" si="5"/>
        <v>5</v>
      </c>
      <c r="AK17" s="108">
        <f t="shared" si="6"/>
        <v>0</v>
      </c>
      <c r="AL17" s="108">
        <f t="shared" si="7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252">
        <v>11</v>
      </c>
      <c r="C18" s="253">
        <v>41805</v>
      </c>
      <c r="D18" s="254" t="s">
        <v>29</v>
      </c>
      <c r="E18" s="255" t="s">
        <v>9</v>
      </c>
      <c r="F18" s="256" t="s">
        <v>30</v>
      </c>
      <c r="G18" s="313">
        <v>3</v>
      </c>
      <c r="H18" s="255" t="s">
        <v>9</v>
      </c>
      <c r="I18" s="318">
        <v>1</v>
      </c>
      <c r="J18" s="257">
        <f t="shared" si="0"/>
        <v>1</v>
      </c>
      <c r="K18" s="239">
        <f t="shared" si="1"/>
        <v>3</v>
      </c>
      <c r="L18" s="239">
        <f t="shared" si="2"/>
        <v>0</v>
      </c>
      <c r="M18" s="228"/>
      <c r="N18" s="228"/>
      <c r="O18" s="277" t="s">
        <v>16</v>
      </c>
      <c r="P18" s="278">
        <f>SUMIF($D$8:$D$55,$O18,$G$8:$G$55)+SUMIF($F$8:$F$55,$O18,$I$8:$I$55)</f>
        <v>1</v>
      </c>
      <c r="Q18" s="278">
        <f>SUMIF($D$8:$D$55,$O18,$I$8:$I$55)+SUMIF($F$8:$F$55,$O18,$G$8:$G$55)</f>
        <v>7</v>
      </c>
      <c r="R18" s="278">
        <f>P18-Q18</f>
        <v>-6</v>
      </c>
      <c r="S18" s="279">
        <f>SUMIF($D$8:$D$55,$O18,$K$8:$K$55)+SUMIF($F$8:$F$55,$O18,$L$8:$L$55)</f>
        <v>0</v>
      </c>
      <c r="T18" s="322" t="s">
        <v>55</v>
      </c>
      <c r="U18" s="40"/>
      <c r="V18" s="40" t="str">
        <f>O18</f>
        <v>Australië</v>
      </c>
      <c r="W18" s="40" t="s">
        <v>55</v>
      </c>
      <c r="Y18" s="109">
        <f t="shared" si="8"/>
        <v>6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6</v>
      </c>
      <c r="AG18" s="108">
        <f t="shared" si="3"/>
        <v>0</v>
      </c>
      <c r="AH18" s="108">
        <f t="shared" si="4"/>
        <v>1</v>
      </c>
      <c r="AI18" s="108">
        <f t="shared" si="10"/>
        <v>0</v>
      </c>
      <c r="AJ18" s="108">
        <f t="shared" si="5"/>
        <v>5</v>
      </c>
      <c r="AK18" s="108">
        <f t="shared" si="6"/>
        <v>0</v>
      </c>
      <c r="AL18" s="108">
        <f t="shared" si="7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240">
        <v>12</v>
      </c>
      <c r="C19" s="241">
        <v>41806</v>
      </c>
      <c r="D19" s="242" t="s">
        <v>31</v>
      </c>
      <c r="E19" s="243" t="s">
        <v>9</v>
      </c>
      <c r="F19" s="244" t="s">
        <v>32</v>
      </c>
      <c r="G19" s="311">
        <v>2</v>
      </c>
      <c r="H19" s="243" t="s">
        <v>9</v>
      </c>
      <c r="I19" s="316">
        <v>2</v>
      </c>
      <c r="J19" s="245">
        <f t="shared" si="0"/>
        <v>3</v>
      </c>
      <c r="K19" s="239">
        <f t="shared" si="1"/>
        <v>1</v>
      </c>
      <c r="L19" s="239">
        <f t="shared" si="2"/>
        <v>1</v>
      </c>
      <c r="M19" s="228"/>
      <c r="N19" s="228"/>
      <c r="O19" s="268"/>
      <c r="P19" s="269"/>
      <c r="Q19" s="269"/>
      <c r="R19" s="269"/>
      <c r="S19" s="269"/>
      <c r="T19" s="269"/>
      <c r="U19" s="40"/>
      <c r="V19" s="40"/>
      <c r="W19" s="40"/>
      <c r="Y19" s="109">
        <f t="shared" si="8"/>
        <v>0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0</v>
      </c>
      <c r="AG19" s="108">
        <f t="shared" si="3"/>
        <v>0</v>
      </c>
      <c r="AH19" s="108">
        <f t="shared" si="4"/>
        <v>0</v>
      </c>
      <c r="AI19" s="108">
        <f t="shared" si="10"/>
        <v>0</v>
      </c>
      <c r="AJ19" s="108">
        <f t="shared" si="5"/>
        <v>0</v>
      </c>
      <c r="AK19" s="108">
        <f t="shared" si="6"/>
        <v>0</v>
      </c>
      <c r="AL19" s="108">
        <f t="shared" si="7"/>
        <v>0</v>
      </c>
      <c r="AN19" s="40"/>
      <c r="AO19" s="41"/>
    </row>
    <row r="20" spans="2:41" ht="15.75" thickBot="1">
      <c r="B20" s="246">
        <v>13</v>
      </c>
      <c r="C20" s="247">
        <v>41806</v>
      </c>
      <c r="D20" s="248" t="s">
        <v>33</v>
      </c>
      <c r="E20" s="249" t="s">
        <v>9</v>
      </c>
      <c r="F20" s="258" t="s">
        <v>34</v>
      </c>
      <c r="G20" s="312">
        <v>0</v>
      </c>
      <c r="H20" s="249" t="s">
        <v>9</v>
      </c>
      <c r="I20" s="317">
        <v>1</v>
      </c>
      <c r="J20" s="251">
        <f t="shared" si="0"/>
        <v>2</v>
      </c>
      <c r="K20" s="239">
        <f t="shared" si="1"/>
        <v>0</v>
      </c>
      <c r="L20" s="239">
        <f t="shared" si="2"/>
        <v>3</v>
      </c>
      <c r="M20" s="228"/>
      <c r="N20" s="228"/>
      <c r="O20" s="298" t="s">
        <v>56</v>
      </c>
      <c r="P20" s="299" t="s">
        <v>42</v>
      </c>
      <c r="Q20" s="299" t="s">
        <v>43</v>
      </c>
      <c r="R20" s="300" t="s">
        <v>44</v>
      </c>
      <c r="S20" s="301" t="s">
        <v>45</v>
      </c>
      <c r="T20" s="302" t="s">
        <v>46</v>
      </c>
      <c r="U20" s="40"/>
      <c r="V20" s="40"/>
      <c r="W20" s="40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3"/>
        <v>1</v>
      </c>
      <c r="AH20" s="108">
        <f t="shared" si="4"/>
        <v>0</v>
      </c>
      <c r="AI20" s="108">
        <f t="shared" si="10"/>
        <v>0</v>
      </c>
      <c r="AJ20" s="108">
        <f t="shared" si="5"/>
        <v>0</v>
      </c>
      <c r="AK20" s="108">
        <f t="shared" si="6"/>
        <v>0</v>
      </c>
      <c r="AL20" s="108">
        <f t="shared" si="7"/>
        <v>0</v>
      </c>
      <c r="AN20" s="42" t="s">
        <v>56</v>
      </c>
      <c r="AO20" s="43" t="s">
        <v>46</v>
      </c>
    </row>
    <row r="21" spans="2:41" ht="15.75" thickBot="1">
      <c r="B21" s="252">
        <v>14</v>
      </c>
      <c r="C21" s="253">
        <v>41806</v>
      </c>
      <c r="D21" s="254" t="s">
        <v>35</v>
      </c>
      <c r="E21" s="255" t="s">
        <v>9</v>
      </c>
      <c r="F21" s="256" t="s">
        <v>36</v>
      </c>
      <c r="G21" s="313">
        <v>1</v>
      </c>
      <c r="H21" s="255" t="s">
        <v>9</v>
      </c>
      <c r="I21" s="318">
        <v>0</v>
      </c>
      <c r="J21" s="257">
        <f t="shared" si="0"/>
        <v>1</v>
      </c>
      <c r="K21" s="239">
        <f t="shared" si="1"/>
        <v>3</v>
      </c>
      <c r="L21" s="239">
        <f t="shared" si="2"/>
        <v>0</v>
      </c>
      <c r="M21" s="228"/>
      <c r="N21" s="228"/>
      <c r="O21" s="270" t="s">
        <v>17</v>
      </c>
      <c r="P21" s="271">
        <f>SUMIF($D$8:$D$55,$O21,$G$8:$G$55)+SUMIF($F$8:$F$55,$O21,$I$8:$I$55)</f>
        <v>6</v>
      </c>
      <c r="Q21" s="271">
        <f>SUMIF($D$8:$D$55,$O21,$I$8:$I$55)+SUMIF($F$8:$F$55,$O21,$G$8:$G$55)</f>
        <v>4</v>
      </c>
      <c r="R21" s="272">
        <f>P21-Q21</f>
        <v>2</v>
      </c>
      <c r="S21" s="273">
        <f>SUMIF($D$8:$D$55,$O21,$K$8:$K$55)+SUMIF($F$8:$F$55,$O21,$L$8:$L$55)</f>
        <v>7</v>
      </c>
      <c r="T21" s="320" t="s">
        <v>57</v>
      </c>
      <c r="U21" s="40"/>
      <c r="V21" s="40" t="str">
        <f>O21</f>
        <v>Colombia</v>
      </c>
      <c r="W21" s="40" t="s">
        <v>57</v>
      </c>
      <c r="Y21" s="109">
        <f t="shared" si="8"/>
        <v>1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1</v>
      </c>
      <c r="AG21" s="108">
        <f t="shared" si="3"/>
        <v>1</v>
      </c>
      <c r="AH21" s="108">
        <f t="shared" si="4"/>
        <v>0</v>
      </c>
      <c r="AI21" s="108">
        <f t="shared" si="10"/>
        <v>0</v>
      </c>
      <c r="AJ21" s="108">
        <f t="shared" si="5"/>
        <v>0</v>
      </c>
      <c r="AK21" s="108">
        <f t="shared" si="6"/>
        <v>0</v>
      </c>
      <c r="AL21" s="108">
        <f t="shared" si="7"/>
        <v>0</v>
      </c>
      <c r="AM21" s="120">
        <f>AO21</f>
        <v>10</v>
      </c>
      <c r="AN21" s="116" t="s">
        <v>17</v>
      </c>
      <c r="AO21" s="115">
        <f>IF(Uitslag!T21="",0,IF(T21=Uitslag!T21,10,0))</f>
        <v>10</v>
      </c>
    </row>
    <row r="22" spans="2:41" ht="15.75" thickBot="1">
      <c r="B22" s="240">
        <v>15</v>
      </c>
      <c r="C22" s="241">
        <v>41807</v>
      </c>
      <c r="D22" s="242" t="s">
        <v>37</v>
      </c>
      <c r="E22" s="243" t="s">
        <v>9</v>
      </c>
      <c r="F22" s="244" t="s">
        <v>38</v>
      </c>
      <c r="G22" s="311">
        <v>1</v>
      </c>
      <c r="H22" s="243" t="s">
        <v>9</v>
      </c>
      <c r="I22" s="316">
        <v>1</v>
      </c>
      <c r="J22" s="245">
        <f t="shared" si="0"/>
        <v>3</v>
      </c>
      <c r="K22" s="239">
        <f t="shared" si="1"/>
        <v>1</v>
      </c>
      <c r="L22" s="239">
        <f t="shared" si="2"/>
        <v>1</v>
      </c>
      <c r="M22" s="228"/>
      <c r="N22" s="228"/>
      <c r="O22" s="274" t="s">
        <v>18</v>
      </c>
      <c r="P22" s="275">
        <f>SUMIF($D$8:$D$55,$O22,$G$8:$G$55)+SUMIF($F$8:$F$55,$O22,$I$8:$I$55)</f>
        <v>1</v>
      </c>
      <c r="Q22" s="275">
        <f>SUMIF($D$8:$D$55,$O22,$I$8:$I$55)+SUMIF($F$8:$F$55,$O22,$G$8:$G$55)</f>
        <v>5</v>
      </c>
      <c r="R22" s="275">
        <f>P22-Q22</f>
        <v>-4</v>
      </c>
      <c r="S22" s="276">
        <f>SUMIF($D$8:$D$55,$O22,$K$8:$K$55)+SUMIF($F$8:$F$55,$O22,$L$8:$L$55)</f>
        <v>0</v>
      </c>
      <c r="T22" s="321" t="s">
        <v>60</v>
      </c>
      <c r="U22" s="40"/>
      <c r="V22" s="40" t="str">
        <f>O22</f>
        <v>Griekenland</v>
      </c>
      <c r="W22" s="40" t="s">
        <v>58</v>
      </c>
      <c r="Y22" s="109">
        <f t="shared" si="8"/>
        <v>1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1</v>
      </c>
      <c r="AG22" s="108">
        <f t="shared" si="3"/>
        <v>0</v>
      </c>
      <c r="AH22" s="108">
        <f t="shared" si="4"/>
        <v>1</v>
      </c>
      <c r="AI22" s="108">
        <f t="shared" si="10"/>
        <v>0</v>
      </c>
      <c r="AJ22" s="108">
        <f t="shared" si="5"/>
        <v>0</v>
      </c>
      <c r="AK22" s="108">
        <f t="shared" si="6"/>
        <v>0</v>
      </c>
      <c r="AL22" s="108">
        <f t="shared" si="7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246">
        <v>16</v>
      </c>
      <c r="C23" s="247">
        <v>41807</v>
      </c>
      <c r="D23" s="248" t="s">
        <v>8</v>
      </c>
      <c r="E23" s="249" t="s">
        <v>9</v>
      </c>
      <c r="F23" s="258" t="s">
        <v>11</v>
      </c>
      <c r="G23" s="312">
        <v>2</v>
      </c>
      <c r="H23" s="249" t="s">
        <v>9</v>
      </c>
      <c r="I23" s="317">
        <v>0</v>
      </c>
      <c r="J23" s="251">
        <f t="shared" si="0"/>
        <v>1</v>
      </c>
      <c r="K23" s="239">
        <f t="shared" si="1"/>
        <v>3</v>
      </c>
      <c r="L23" s="239">
        <f t="shared" si="2"/>
        <v>0</v>
      </c>
      <c r="M23" s="228"/>
      <c r="N23" s="228"/>
      <c r="O23" s="274" t="s">
        <v>23</v>
      </c>
      <c r="P23" s="275">
        <f>SUMIF($D$8:$D$55,$O23,$G$8:$G$55)+SUMIF($F$8:$F$55,$O23,$I$8:$I$55)</f>
        <v>4</v>
      </c>
      <c r="Q23" s="275">
        <f>SUMIF($D$8:$D$55,$O23,$I$8:$I$55)+SUMIF($F$8:$F$55,$O23,$G$8:$G$55)</f>
        <v>3</v>
      </c>
      <c r="R23" s="275">
        <f>P23-Q23</f>
        <v>1</v>
      </c>
      <c r="S23" s="276">
        <f>SUMIF($D$8:$D$55,$O23,$K$8:$K$55)+SUMIF($F$8:$F$55,$O23,$L$8:$L$55)</f>
        <v>4</v>
      </c>
      <c r="T23" s="321" t="s">
        <v>59</v>
      </c>
      <c r="U23" s="40"/>
      <c r="V23" s="40" t="str">
        <f>O23</f>
        <v>Ivoorkust</v>
      </c>
      <c r="W23" s="40" t="s">
        <v>59</v>
      </c>
      <c r="Y23" s="109">
        <f t="shared" si="8"/>
        <v>1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1</v>
      </c>
      <c r="AG23" s="108">
        <f t="shared" si="3"/>
        <v>0</v>
      </c>
      <c r="AH23" s="108">
        <f t="shared" si="4"/>
        <v>1</v>
      </c>
      <c r="AI23" s="108">
        <f t="shared" si="10"/>
        <v>0</v>
      </c>
      <c r="AJ23" s="108">
        <f t="shared" si="5"/>
        <v>0</v>
      </c>
      <c r="AK23" s="108">
        <f t="shared" si="6"/>
        <v>0</v>
      </c>
      <c r="AL23" s="108">
        <f t="shared" si="7"/>
        <v>0</v>
      </c>
      <c r="AM23" s="120">
        <f>AO23</f>
        <v>10</v>
      </c>
      <c r="AN23" s="117" t="s">
        <v>23</v>
      </c>
      <c r="AO23" s="115">
        <f>IF(Uitslag!T23="",0,IF(T23=Uitslag!T23,10,0))</f>
        <v>10</v>
      </c>
    </row>
    <row r="24" spans="2:41" ht="15.75" thickBot="1">
      <c r="B24" s="252">
        <v>17</v>
      </c>
      <c r="C24" s="253">
        <v>41807</v>
      </c>
      <c r="D24" s="254" t="s">
        <v>39</v>
      </c>
      <c r="E24" s="255" t="s">
        <v>9</v>
      </c>
      <c r="F24" s="256" t="s">
        <v>40</v>
      </c>
      <c r="G24" s="313">
        <v>2</v>
      </c>
      <c r="H24" s="255" t="s">
        <v>9</v>
      </c>
      <c r="I24" s="318">
        <v>1</v>
      </c>
      <c r="J24" s="257">
        <f t="shared" si="0"/>
        <v>1</v>
      </c>
      <c r="K24" s="239">
        <f t="shared" si="1"/>
        <v>3</v>
      </c>
      <c r="L24" s="239">
        <f t="shared" si="2"/>
        <v>0</v>
      </c>
      <c r="M24" s="228"/>
      <c r="N24" s="228"/>
      <c r="O24" s="277" t="s">
        <v>24</v>
      </c>
      <c r="P24" s="278">
        <f>SUMIF($D$8:$D$55,$O24,$G$8:$G$55)+SUMIF($F$8:$F$55,$O24,$I$8:$I$55)</f>
        <v>4</v>
      </c>
      <c r="Q24" s="278">
        <f>SUMIF($D$8:$D$55,$O24,$I$8:$I$55)+SUMIF($F$8:$F$55,$O24,$G$8:$G$55)</f>
        <v>3</v>
      </c>
      <c r="R24" s="278">
        <f>P24-Q24</f>
        <v>1</v>
      </c>
      <c r="S24" s="279">
        <f>SUMIF($D$8:$D$55,$O24,$K$8:$K$55)+SUMIF($F$8:$F$55,$O24,$L$8:$L$55)</f>
        <v>5</v>
      </c>
      <c r="T24" s="322" t="s">
        <v>58</v>
      </c>
      <c r="U24" s="40"/>
      <c r="V24" s="40" t="str">
        <f>O24</f>
        <v>Japan</v>
      </c>
      <c r="W24" s="40" t="s">
        <v>60</v>
      </c>
      <c r="Y24" s="109">
        <f t="shared" si="8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</v>
      </c>
      <c r="AG24" s="108">
        <f t="shared" si="3"/>
        <v>0</v>
      </c>
      <c r="AH24" s="108">
        <f t="shared" si="4"/>
        <v>1</v>
      </c>
      <c r="AI24" s="108">
        <f t="shared" si="10"/>
        <v>0</v>
      </c>
      <c r="AJ24" s="108">
        <f t="shared" si="5"/>
        <v>0</v>
      </c>
      <c r="AK24" s="108">
        <f t="shared" si="6"/>
        <v>0</v>
      </c>
      <c r="AL24" s="108">
        <f t="shared" si="7"/>
        <v>0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240">
        <v>18</v>
      </c>
      <c r="C25" s="241">
        <v>41808</v>
      </c>
      <c r="D25" s="242" t="s">
        <v>16</v>
      </c>
      <c r="E25" s="243" t="s">
        <v>9</v>
      </c>
      <c r="F25" s="259" t="s">
        <v>14</v>
      </c>
      <c r="G25" s="311">
        <v>1</v>
      </c>
      <c r="H25" s="243" t="s">
        <v>9</v>
      </c>
      <c r="I25" s="316">
        <v>3</v>
      </c>
      <c r="J25" s="245">
        <f t="shared" si="0"/>
        <v>2</v>
      </c>
      <c r="K25" s="239">
        <f t="shared" si="1"/>
        <v>0</v>
      </c>
      <c r="L25" s="239">
        <f t="shared" si="2"/>
        <v>3</v>
      </c>
      <c r="M25" s="228"/>
      <c r="N25" s="228"/>
      <c r="O25" s="268"/>
      <c r="P25" s="269"/>
      <c r="Q25" s="269"/>
      <c r="R25" s="269"/>
      <c r="S25" s="269"/>
      <c r="T25" s="269"/>
      <c r="U25" s="40"/>
      <c r="V25" s="40"/>
      <c r="W25" s="40"/>
      <c r="Y25" s="109">
        <f t="shared" si="8"/>
        <v>6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6</v>
      </c>
      <c r="AG25" s="108">
        <f t="shared" si="3"/>
        <v>0</v>
      </c>
      <c r="AH25" s="108">
        <f t="shared" si="4"/>
        <v>1</v>
      </c>
      <c r="AI25" s="108">
        <f t="shared" si="10"/>
        <v>0</v>
      </c>
      <c r="AJ25" s="108">
        <f t="shared" si="5"/>
        <v>0</v>
      </c>
      <c r="AK25" s="108">
        <f t="shared" si="6"/>
        <v>5</v>
      </c>
      <c r="AL25" s="108">
        <f t="shared" si="7"/>
        <v>0</v>
      </c>
      <c r="AN25" s="40"/>
      <c r="AO25" s="41"/>
    </row>
    <row r="26" spans="2:41" ht="15.75" thickBot="1">
      <c r="B26" s="246">
        <v>19</v>
      </c>
      <c r="C26" s="247">
        <v>41808</v>
      </c>
      <c r="D26" s="248" t="s">
        <v>13</v>
      </c>
      <c r="E26" s="249" t="s">
        <v>9</v>
      </c>
      <c r="F26" s="258" t="s">
        <v>15</v>
      </c>
      <c r="G26" s="312">
        <v>2</v>
      </c>
      <c r="H26" s="249" t="s">
        <v>9</v>
      </c>
      <c r="I26" s="317">
        <v>0</v>
      </c>
      <c r="J26" s="251">
        <f t="shared" si="0"/>
        <v>1</v>
      </c>
      <c r="K26" s="239">
        <f t="shared" si="1"/>
        <v>3</v>
      </c>
      <c r="L26" s="239">
        <f t="shared" si="2"/>
        <v>0</v>
      </c>
      <c r="M26" s="228"/>
      <c r="N26" s="228"/>
      <c r="O26" s="298" t="s">
        <v>61</v>
      </c>
      <c r="P26" s="299" t="s">
        <v>42</v>
      </c>
      <c r="Q26" s="299" t="s">
        <v>43</v>
      </c>
      <c r="R26" s="300" t="s">
        <v>44</v>
      </c>
      <c r="S26" s="301" t="s">
        <v>45</v>
      </c>
      <c r="T26" s="302" t="s">
        <v>46</v>
      </c>
      <c r="U26" s="40"/>
      <c r="V26" s="40"/>
      <c r="W26" s="40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3"/>
        <v>0</v>
      </c>
      <c r="AH26" s="108">
        <f t="shared" si="4"/>
        <v>0</v>
      </c>
      <c r="AI26" s="108">
        <f t="shared" si="10"/>
        <v>0</v>
      </c>
      <c r="AJ26" s="108">
        <f t="shared" si="5"/>
        <v>0</v>
      </c>
      <c r="AK26" s="108">
        <f t="shared" si="6"/>
        <v>0</v>
      </c>
      <c r="AL26" s="108">
        <f t="shared" si="7"/>
        <v>0</v>
      </c>
      <c r="AN26" s="42" t="s">
        <v>61</v>
      </c>
      <c r="AO26" s="43" t="s">
        <v>46</v>
      </c>
    </row>
    <row r="27" spans="2:41" ht="15.75" thickBot="1">
      <c r="B27" s="252">
        <v>20</v>
      </c>
      <c r="C27" s="253">
        <v>41808</v>
      </c>
      <c r="D27" s="254" t="s">
        <v>12</v>
      </c>
      <c r="E27" s="255" t="s">
        <v>9</v>
      </c>
      <c r="F27" s="256" t="s">
        <v>10</v>
      </c>
      <c r="G27" s="313">
        <v>1</v>
      </c>
      <c r="H27" s="255" t="s">
        <v>9</v>
      </c>
      <c r="I27" s="318">
        <v>1</v>
      </c>
      <c r="J27" s="257">
        <f t="shared" si="0"/>
        <v>3</v>
      </c>
      <c r="K27" s="239">
        <f t="shared" si="1"/>
        <v>1</v>
      </c>
      <c r="L27" s="239">
        <f t="shared" si="2"/>
        <v>1</v>
      </c>
      <c r="M27" s="228"/>
      <c r="N27" s="228"/>
      <c r="O27" s="270" t="s">
        <v>19</v>
      </c>
      <c r="P27" s="271">
        <f>SUMIF($D$8:$D$55,$O27,$G$8:$G$55)+SUMIF($F$8:$F$55,$O27,$I$8:$I$55)</f>
        <v>4</v>
      </c>
      <c r="Q27" s="271">
        <f>SUMIF($D$8:$D$55,$O27,$I$8:$I$55)+SUMIF($F$8:$F$55,$O27,$G$8:$G$55)</f>
        <v>3</v>
      </c>
      <c r="R27" s="272">
        <f>P27-Q27</f>
        <v>1</v>
      </c>
      <c r="S27" s="273">
        <f>SUMIF($D$8:$D$55,$O27,$K$8:$K$55)+SUMIF($F$8:$F$55,$O27,$L$8:$L$55)</f>
        <v>4</v>
      </c>
      <c r="T27" s="320" t="s">
        <v>64</v>
      </c>
      <c r="U27" s="40"/>
      <c r="V27" s="40" t="str">
        <f>O27</f>
        <v>Uruguay</v>
      </c>
      <c r="W27" s="40" t="s">
        <v>62</v>
      </c>
      <c r="Y27" s="109">
        <f t="shared" si="8"/>
        <v>0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0</v>
      </c>
      <c r="AG27" s="108">
        <f t="shared" si="3"/>
        <v>0</v>
      </c>
      <c r="AH27" s="108">
        <f t="shared" si="4"/>
        <v>0</v>
      </c>
      <c r="AI27" s="108">
        <f t="shared" si="10"/>
        <v>0</v>
      </c>
      <c r="AJ27" s="108">
        <f t="shared" si="5"/>
        <v>0</v>
      </c>
      <c r="AK27" s="108">
        <f t="shared" si="6"/>
        <v>0</v>
      </c>
      <c r="AL27" s="108">
        <f t="shared" si="7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240">
        <v>21</v>
      </c>
      <c r="C28" s="241">
        <v>41809</v>
      </c>
      <c r="D28" s="242" t="s">
        <v>17</v>
      </c>
      <c r="E28" s="243" t="s">
        <v>9</v>
      </c>
      <c r="F28" s="244" t="s">
        <v>23</v>
      </c>
      <c r="G28" s="311">
        <v>2</v>
      </c>
      <c r="H28" s="243" t="s">
        <v>9</v>
      </c>
      <c r="I28" s="316">
        <v>1</v>
      </c>
      <c r="J28" s="245">
        <f t="shared" si="0"/>
        <v>1</v>
      </c>
      <c r="K28" s="239">
        <f t="shared" si="1"/>
        <v>3</v>
      </c>
      <c r="L28" s="239">
        <f t="shared" si="2"/>
        <v>0</v>
      </c>
      <c r="M28" s="228"/>
      <c r="N28" s="228"/>
      <c r="O28" s="274" t="s">
        <v>20</v>
      </c>
      <c r="P28" s="275">
        <f>SUMIF($D$8:$D$55,$O28,$G$8:$G$55)+SUMIF($F$8:$F$55,$O28,$I$8:$I$55)</f>
        <v>1</v>
      </c>
      <c r="Q28" s="275">
        <f>SUMIF($D$8:$D$55,$O28,$I$8:$I$55)+SUMIF($F$8:$F$55,$O28,$G$8:$G$55)</f>
        <v>5</v>
      </c>
      <c r="R28" s="275">
        <f>P28-Q28</f>
        <v>-4</v>
      </c>
      <c r="S28" s="276">
        <f>SUMIF($D$8:$D$55,$O28,$K$8:$K$55)+SUMIF($F$8:$F$55,$O28,$L$8:$L$55)</f>
        <v>1</v>
      </c>
      <c r="T28" s="321" t="s">
        <v>65</v>
      </c>
      <c r="U28" s="40"/>
      <c r="V28" s="40" t="str">
        <f>O28</f>
        <v>Costa Rica</v>
      </c>
      <c r="W28" s="40" t="s">
        <v>63</v>
      </c>
      <c r="Y28" s="109">
        <f t="shared" si="8"/>
        <v>10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10</v>
      </c>
      <c r="AG28" s="108">
        <f t="shared" si="3"/>
        <v>1</v>
      </c>
      <c r="AH28" s="108">
        <f t="shared" si="4"/>
        <v>1</v>
      </c>
      <c r="AI28" s="108">
        <f t="shared" si="10"/>
        <v>10</v>
      </c>
      <c r="AJ28" s="108">
        <f t="shared" si="5"/>
        <v>5</v>
      </c>
      <c r="AK28" s="108">
        <f t="shared" si="6"/>
        <v>0</v>
      </c>
      <c r="AL28" s="108">
        <f t="shared" si="7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246">
        <v>22</v>
      </c>
      <c r="C29" s="247">
        <v>41809</v>
      </c>
      <c r="D29" s="248" t="s">
        <v>19</v>
      </c>
      <c r="E29" s="249" t="s">
        <v>9</v>
      </c>
      <c r="F29" s="258" t="s">
        <v>21</v>
      </c>
      <c r="G29" s="312">
        <v>1</v>
      </c>
      <c r="H29" s="249" t="s">
        <v>9</v>
      </c>
      <c r="I29" s="317">
        <v>1</v>
      </c>
      <c r="J29" s="251">
        <f t="shared" si="0"/>
        <v>3</v>
      </c>
      <c r="K29" s="239">
        <f t="shared" si="1"/>
        <v>1</v>
      </c>
      <c r="L29" s="239">
        <f t="shared" si="2"/>
        <v>1</v>
      </c>
      <c r="M29" s="228"/>
      <c r="N29" s="228"/>
      <c r="O29" s="274" t="s">
        <v>21</v>
      </c>
      <c r="P29" s="275">
        <f>SUMIF($D$8:$D$55,$O29,$G$8:$G$55)+SUMIF($F$8:$F$55,$O29,$I$8:$I$55)</f>
        <v>4</v>
      </c>
      <c r="Q29" s="275">
        <f>SUMIF($D$8:$D$55,$O29,$I$8:$I$55)+SUMIF($F$8:$F$55,$O29,$G$8:$G$55)</f>
        <v>3</v>
      </c>
      <c r="R29" s="275">
        <f>P29-Q29</f>
        <v>1</v>
      </c>
      <c r="S29" s="276">
        <f>SUMIF($D$8:$D$55,$O29,$K$8:$K$55)+SUMIF($F$8:$F$55,$O29,$L$8:$L$55)</f>
        <v>4</v>
      </c>
      <c r="T29" s="321" t="s">
        <v>63</v>
      </c>
      <c r="U29" s="40"/>
      <c r="V29" s="40" t="str">
        <f>O29</f>
        <v>Engeland</v>
      </c>
      <c r="W29" s="40" t="s">
        <v>64</v>
      </c>
      <c r="Y29" s="109">
        <f t="shared" si="8"/>
        <v>1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1</v>
      </c>
      <c r="AG29" s="108">
        <f t="shared" si="3"/>
        <v>0</v>
      </c>
      <c r="AH29" s="108">
        <f t="shared" si="4"/>
        <v>1</v>
      </c>
      <c r="AI29" s="108">
        <f t="shared" si="10"/>
        <v>0</v>
      </c>
      <c r="AJ29" s="108">
        <f t="shared" si="5"/>
        <v>0</v>
      </c>
      <c r="AK29" s="108">
        <f t="shared" si="6"/>
        <v>0</v>
      </c>
      <c r="AL29" s="108">
        <f t="shared" si="7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252">
        <v>23</v>
      </c>
      <c r="C30" s="253">
        <v>41809</v>
      </c>
      <c r="D30" s="254" t="s">
        <v>24</v>
      </c>
      <c r="E30" s="255" t="s">
        <v>9</v>
      </c>
      <c r="F30" s="256" t="s">
        <v>18</v>
      </c>
      <c r="G30" s="313">
        <v>1</v>
      </c>
      <c r="H30" s="255" t="s">
        <v>9</v>
      </c>
      <c r="I30" s="318">
        <v>0</v>
      </c>
      <c r="J30" s="257">
        <f t="shared" si="0"/>
        <v>1</v>
      </c>
      <c r="K30" s="239">
        <f t="shared" si="1"/>
        <v>3</v>
      </c>
      <c r="L30" s="239">
        <f t="shared" si="2"/>
        <v>0</v>
      </c>
      <c r="M30" s="228"/>
      <c r="N30" s="228"/>
      <c r="O30" s="277" t="s">
        <v>22</v>
      </c>
      <c r="P30" s="278">
        <f>SUMIF($D$8:$D$55,$O30,$G$8:$G$55)+SUMIF($F$8:$F$55,$O30,$I$8:$I$55)</f>
        <v>5</v>
      </c>
      <c r="Q30" s="278">
        <f>SUMIF($D$8:$D$55,$O30,$I$8:$I$55)+SUMIF($F$8:$F$55,$O30,$G$8:$G$55)</f>
        <v>3</v>
      </c>
      <c r="R30" s="278">
        <f>P30-Q30</f>
        <v>2</v>
      </c>
      <c r="S30" s="279">
        <f>SUMIF($D$8:$D$55,$O30,$K$8:$K$55)+SUMIF($F$8:$F$55,$O30,$L$8:$L$55)</f>
        <v>7</v>
      </c>
      <c r="T30" s="322" t="s">
        <v>62</v>
      </c>
      <c r="U30" s="40"/>
      <c r="V30" s="40" t="str">
        <f>O30</f>
        <v>Italië</v>
      </c>
      <c r="W30" s="40" t="s">
        <v>65</v>
      </c>
      <c r="Y30" s="109">
        <f t="shared" si="8"/>
        <v>1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1</v>
      </c>
      <c r="AG30" s="108">
        <f t="shared" si="3"/>
        <v>0</v>
      </c>
      <c r="AH30" s="108">
        <f t="shared" si="4"/>
        <v>1</v>
      </c>
      <c r="AI30" s="108">
        <f t="shared" si="10"/>
        <v>0</v>
      </c>
      <c r="AJ30" s="108">
        <f t="shared" si="5"/>
        <v>0</v>
      </c>
      <c r="AK30" s="108">
        <f t="shared" si="6"/>
        <v>0</v>
      </c>
      <c r="AL30" s="108">
        <f t="shared" si="7"/>
        <v>0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240">
        <v>24</v>
      </c>
      <c r="C31" s="241">
        <v>41810</v>
      </c>
      <c r="D31" s="242" t="s">
        <v>22</v>
      </c>
      <c r="E31" s="243" t="s">
        <v>9</v>
      </c>
      <c r="F31" s="244" t="s">
        <v>20</v>
      </c>
      <c r="G31" s="311">
        <v>1</v>
      </c>
      <c r="H31" s="243" t="s">
        <v>9</v>
      </c>
      <c r="I31" s="316">
        <v>1</v>
      </c>
      <c r="J31" s="245">
        <f t="shared" si="0"/>
        <v>3</v>
      </c>
      <c r="K31" s="239">
        <f t="shared" si="1"/>
        <v>1</v>
      </c>
      <c r="L31" s="239">
        <f t="shared" si="2"/>
        <v>1</v>
      </c>
      <c r="M31" s="228"/>
      <c r="N31" s="228"/>
      <c r="O31" s="268"/>
      <c r="P31" s="269"/>
      <c r="Q31" s="269"/>
      <c r="R31" s="269"/>
      <c r="S31" s="269"/>
      <c r="T31" s="269"/>
      <c r="U31" s="40"/>
      <c r="V31" s="40"/>
      <c r="W31" s="40"/>
      <c r="Y31" s="109">
        <f t="shared" si="8"/>
        <v>1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1</v>
      </c>
      <c r="AG31" s="108">
        <f t="shared" si="3"/>
        <v>0</v>
      </c>
      <c r="AH31" s="108">
        <f t="shared" si="4"/>
        <v>1</v>
      </c>
      <c r="AI31" s="108">
        <f t="shared" si="10"/>
        <v>0</v>
      </c>
      <c r="AJ31" s="108">
        <f t="shared" si="5"/>
        <v>0</v>
      </c>
      <c r="AK31" s="108">
        <f t="shared" si="6"/>
        <v>0</v>
      </c>
      <c r="AL31" s="108">
        <f t="shared" si="7"/>
        <v>0</v>
      </c>
      <c r="AN31" s="40"/>
      <c r="AO31" s="41"/>
    </row>
    <row r="32" spans="2:41" ht="15.75" thickBot="1">
      <c r="B32" s="246">
        <v>25</v>
      </c>
      <c r="C32" s="247">
        <v>41810</v>
      </c>
      <c r="D32" s="248" t="s">
        <v>25</v>
      </c>
      <c r="E32" s="249" t="s">
        <v>9</v>
      </c>
      <c r="F32" s="258" t="s">
        <v>27</v>
      </c>
      <c r="G32" s="312">
        <v>0</v>
      </c>
      <c r="H32" s="249" t="s">
        <v>9</v>
      </c>
      <c r="I32" s="317">
        <v>2</v>
      </c>
      <c r="J32" s="251">
        <f t="shared" si="0"/>
        <v>2</v>
      </c>
      <c r="K32" s="239">
        <f t="shared" si="1"/>
        <v>0</v>
      </c>
      <c r="L32" s="239">
        <f t="shared" si="2"/>
        <v>3</v>
      </c>
      <c r="M32" s="228"/>
      <c r="N32" s="228"/>
      <c r="O32" s="298" t="s">
        <v>66</v>
      </c>
      <c r="P32" s="299" t="s">
        <v>42</v>
      </c>
      <c r="Q32" s="299" t="s">
        <v>43</v>
      </c>
      <c r="R32" s="300" t="s">
        <v>44</v>
      </c>
      <c r="S32" s="301" t="s">
        <v>45</v>
      </c>
      <c r="T32" s="302" t="s">
        <v>46</v>
      </c>
      <c r="U32" s="40"/>
      <c r="V32" s="40"/>
      <c r="W32" s="40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3"/>
        <v>0</v>
      </c>
      <c r="AH32" s="108">
        <f t="shared" si="4"/>
        <v>0</v>
      </c>
      <c r="AI32" s="108">
        <f t="shared" si="10"/>
        <v>0</v>
      </c>
      <c r="AJ32" s="108">
        <f t="shared" si="5"/>
        <v>0</v>
      </c>
      <c r="AK32" s="108">
        <f t="shared" si="6"/>
        <v>5</v>
      </c>
      <c r="AL32" s="108">
        <f t="shared" si="7"/>
        <v>0</v>
      </c>
      <c r="AN32" s="42" t="s">
        <v>66</v>
      </c>
      <c r="AO32" s="43" t="s">
        <v>46</v>
      </c>
    </row>
    <row r="33" spans="2:41" ht="15.75" thickBot="1">
      <c r="B33" s="252">
        <v>26</v>
      </c>
      <c r="C33" s="253">
        <v>41810</v>
      </c>
      <c r="D33" s="254" t="s">
        <v>28</v>
      </c>
      <c r="E33" s="255" t="s">
        <v>9</v>
      </c>
      <c r="F33" s="256" t="s">
        <v>26</v>
      </c>
      <c r="G33" s="313">
        <v>2</v>
      </c>
      <c r="H33" s="255" t="s">
        <v>9</v>
      </c>
      <c r="I33" s="318">
        <v>2</v>
      </c>
      <c r="J33" s="257">
        <f t="shared" si="0"/>
        <v>3</v>
      </c>
      <c r="K33" s="239">
        <f t="shared" si="1"/>
        <v>1</v>
      </c>
      <c r="L33" s="239">
        <f t="shared" si="2"/>
        <v>1</v>
      </c>
      <c r="M33" s="228"/>
      <c r="N33" s="228"/>
      <c r="O33" s="270" t="s">
        <v>25</v>
      </c>
      <c r="P33" s="271">
        <f>SUMIF($D$8:$D$55,$O33,$G$8:$G$55)+SUMIF($F$8:$F$55,$O33,$I$8:$I$55)</f>
        <v>0</v>
      </c>
      <c r="Q33" s="271">
        <f>SUMIF($D$8:$D$55,$O33,$I$8:$I$55)+SUMIF($F$8:$F$55,$O33,$G$8:$G$55)</f>
        <v>5</v>
      </c>
      <c r="R33" s="272">
        <f>P33-Q33</f>
        <v>-5</v>
      </c>
      <c r="S33" s="273">
        <f>SUMIF($D$8:$D$55,$O33,$K$8:$K$55)+SUMIF($F$8:$F$55,$O33,$L$8:$L$55)</f>
        <v>0</v>
      </c>
      <c r="T33" s="320" t="s">
        <v>70</v>
      </c>
      <c r="U33" s="40"/>
      <c r="V33" s="40" t="str">
        <f>O33</f>
        <v>Zwitserland</v>
      </c>
      <c r="W33" s="40" t="s">
        <v>67</v>
      </c>
      <c r="Y33" s="109">
        <f t="shared" si="8"/>
        <v>1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1</v>
      </c>
      <c r="AG33" s="108">
        <f t="shared" si="3"/>
        <v>0</v>
      </c>
      <c r="AH33" s="108">
        <f t="shared" si="4"/>
        <v>1</v>
      </c>
      <c r="AI33" s="108">
        <f t="shared" si="10"/>
        <v>0</v>
      </c>
      <c r="AJ33" s="108">
        <f t="shared" si="5"/>
        <v>0</v>
      </c>
      <c r="AK33" s="108">
        <f t="shared" si="6"/>
        <v>0</v>
      </c>
      <c r="AL33" s="108">
        <f t="shared" si="7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240">
        <v>27</v>
      </c>
      <c r="C34" s="241">
        <v>41811</v>
      </c>
      <c r="D34" s="242" t="s">
        <v>29</v>
      </c>
      <c r="E34" s="243" t="s">
        <v>9</v>
      </c>
      <c r="F34" s="244" t="s">
        <v>33</v>
      </c>
      <c r="G34" s="311">
        <v>2</v>
      </c>
      <c r="H34" s="243" t="s">
        <v>9</v>
      </c>
      <c r="I34" s="316">
        <v>0</v>
      </c>
      <c r="J34" s="245">
        <f t="shared" si="0"/>
        <v>1</v>
      </c>
      <c r="K34" s="239">
        <f t="shared" si="1"/>
        <v>3</v>
      </c>
      <c r="L34" s="239">
        <f t="shared" si="2"/>
        <v>0</v>
      </c>
      <c r="M34" s="228"/>
      <c r="N34" s="228"/>
      <c r="O34" s="274" t="s">
        <v>26</v>
      </c>
      <c r="P34" s="275">
        <f>SUMIF($D$8:$D$55,$O34,$G$8:$G$55)+SUMIF($F$8:$F$55,$O34,$I$8:$I$55)</f>
        <v>5</v>
      </c>
      <c r="Q34" s="275">
        <f>SUMIF($D$8:$D$55,$O34,$I$8:$I$55)+SUMIF($F$8:$F$55,$O34,$G$8:$G$55)</f>
        <v>4</v>
      </c>
      <c r="R34" s="275">
        <f>P34-Q34</f>
        <v>1</v>
      </c>
      <c r="S34" s="276">
        <f>SUMIF($D$8:$D$55,$O34,$K$8:$K$55)+SUMIF($F$8:$F$55,$O34,$L$8:$L$55)</f>
        <v>5</v>
      </c>
      <c r="T34" s="321" t="s">
        <v>68</v>
      </c>
      <c r="U34" s="40"/>
      <c r="V34" s="40" t="str">
        <f>O34</f>
        <v>Ecuador</v>
      </c>
      <c r="W34" s="40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3"/>
        <v>0</v>
      </c>
      <c r="AH34" s="108">
        <f t="shared" si="4"/>
        <v>1</v>
      </c>
      <c r="AI34" s="108">
        <f t="shared" si="10"/>
        <v>0</v>
      </c>
      <c r="AJ34" s="108">
        <f t="shared" si="5"/>
        <v>5</v>
      </c>
      <c r="AK34" s="108">
        <f t="shared" si="6"/>
        <v>0</v>
      </c>
      <c r="AL34" s="108">
        <f t="shared" si="7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246">
        <v>28</v>
      </c>
      <c r="C35" s="247">
        <v>41811</v>
      </c>
      <c r="D35" s="248" t="s">
        <v>31</v>
      </c>
      <c r="E35" s="249" t="s">
        <v>9</v>
      </c>
      <c r="F35" s="258" t="s">
        <v>35</v>
      </c>
      <c r="G35" s="312">
        <v>2</v>
      </c>
      <c r="H35" s="249" t="s">
        <v>9</v>
      </c>
      <c r="I35" s="317">
        <v>0</v>
      </c>
      <c r="J35" s="251">
        <f t="shared" si="0"/>
        <v>1</v>
      </c>
      <c r="K35" s="239">
        <f t="shared" si="1"/>
        <v>3</v>
      </c>
      <c r="L35" s="239">
        <f t="shared" si="2"/>
        <v>0</v>
      </c>
      <c r="M35" s="228"/>
      <c r="N35" s="228"/>
      <c r="O35" s="274" t="s">
        <v>27</v>
      </c>
      <c r="P35" s="275">
        <f>SUMIF($D$8:$D$55,$O35,$G$8:$G$55)+SUMIF($F$8:$F$55,$O35,$I$8:$I$55)</f>
        <v>6</v>
      </c>
      <c r="Q35" s="275">
        <f>SUMIF($D$8:$D$55,$O35,$I$8:$I$55)+SUMIF($F$8:$F$55,$O35,$G$8:$G$55)</f>
        <v>2</v>
      </c>
      <c r="R35" s="275">
        <f>P35-Q35</f>
        <v>4</v>
      </c>
      <c r="S35" s="276">
        <f>SUMIF($D$8:$D$55,$O35,$K$8:$K$55)+SUMIF($F$8:$F$55,$O35,$L$8:$L$55)</f>
        <v>7</v>
      </c>
      <c r="T35" s="321" t="s">
        <v>67</v>
      </c>
      <c r="U35" s="40"/>
      <c r="V35" s="40" t="str">
        <f>O35</f>
        <v>Frankrijk</v>
      </c>
      <c r="W35" s="40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3"/>
        <v>1</v>
      </c>
      <c r="AH35" s="108">
        <f t="shared" si="4"/>
        <v>0</v>
      </c>
      <c r="AI35" s="108">
        <f t="shared" si="10"/>
        <v>0</v>
      </c>
      <c r="AJ35" s="108">
        <f t="shared" si="5"/>
        <v>0</v>
      </c>
      <c r="AK35" s="108">
        <f t="shared" si="6"/>
        <v>0</v>
      </c>
      <c r="AL35" s="108">
        <f t="shared" si="7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252">
        <v>29</v>
      </c>
      <c r="C36" s="253">
        <v>41811</v>
      </c>
      <c r="D36" s="254" t="s">
        <v>34</v>
      </c>
      <c r="E36" s="255" t="s">
        <v>9</v>
      </c>
      <c r="F36" s="256" t="s">
        <v>30</v>
      </c>
      <c r="G36" s="313">
        <v>1</v>
      </c>
      <c r="H36" s="255" t="s">
        <v>9</v>
      </c>
      <c r="I36" s="318">
        <v>0</v>
      </c>
      <c r="J36" s="257">
        <f t="shared" si="0"/>
        <v>1</v>
      </c>
      <c r="K36" s="239">
        <f t="shared" si="1"/>
        <v>3</v>
      </c>
      <c r="L36" s="239">
        <f t="shared" si="2"/>
        <v>0</v>
      </c>
      <c r="M36" s="228"/>
      <c r="N36" s="228"/>
      <c r="O36" s="277" t="s">
        <v>28</v>
      </c>
      <c r="P36" s="278">
        <f>SUMIF($D$8:$D$55,$O36,$G$8:$G$55)+SUMIF($F$8:$F$55,$O36,$I$8:$I$55)</f>
        <v>4</v>
      </c>
      <c r="Q36" s="278">
        <f>SUMIF($D$8:$D$55,$O36,$I$8:$I$55)+SUMIF($F$8:$F$55,$O36,$G$8:$G$55)</f>
        <v>4</v>
      </c>
      <c r="R36" s="278">
        <f>P36-Q36</f>
        <v>0</v>
      </c>
      <c r="S36" s="279">
        <f>SUMIF($D$8:$D$55,$O36,$K$8:$K$55)+SUMIF($F$8:$F$55,$O36,$L$8:$L$55)</f>
        <v>4</v>
      </c>
      <c r="T36" s="322" t="s">
        <v>69</v>
      </c>
      <c r="U36" s="40"/>
      <c r="V36" s="40" t="str">
        <f>O36</f>
        <v>Honduras</v>
      </c>
      <c r="W36" s="40" t="s">
        <v>70</v>
      </c>
      <c r="Y36" s="109">
        <f t="shared" si="8"/>
        <v>10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10</v>
      </c>
      <c r="AG36" s="108">
        <f t="shared" si="3"/>
        <v>1</v>
      </c>
      <c r="AH36" s="108">
        <f t="shared" si="4"/>
        <v>1</v>
      </c>
      <c r="AI36" s="108">
        <f t="shared" si="10"/>
        <v>10</v>
      </c>
      <c r="AJ36" s="108">
        <f t="shared" si="5"/>
        <v>5</v>
      </c>
      <c r="AK36" s="108">
        <f t="shared" si="6"/>
        <v>0</v>
      </c>
      <c r="AL36" s="108">
        <f t="shared" si="7"/>
        <v>0</v>
      </c>
      <c r="AM36" s="120">
        <f>AO36</f>
        <v>0</v>
      </c>
      <c r="AN36" s="118" t="s">
        <v>28</v>
      </c>
      <c r="AO36" s="115">
        <f>IF(Uitslag!T36="",0,IF(T36=Uitslag!T36,10,0))</f>
        <v>0</v>
      </c>
    </row>
    <row r="37" spans="2:41" ht="15.75" thickBot="1">
      <c r="B37" s="240">
        <v>30</v>
      </c>
      <c r="C37" s="241">
        <v>41812</v>
      </c>
      <c r="D37" s="242" t="s">
        <v>37</v>
      </c>
      <c r="E37" s="243" t="s">
        <v>9</v>
      </c>
      <c r="F37" s="244" t="s">
        <v>39</v>
      </c>
      <c r="G37" s="311">
        <v>1</v>
      </c>
      <c r="H37" s="243" t="s">
        <v>9</v>
      </c>
      <c r="I37" s="316">
        <v>2</v>
      </c>
      <c r="J37" s="245">
        <f t="shared" si="0"/>
        <v>2</v>
      </c>
      <c r="K37" s="239">
        <f t="shared" si="1"/>
        <v>0</v>
      </c>
      <c r="L37" s="239">
        <f t="shared" si="2"/>
        <v>3</v>
      </c>
      <c r="M37" s="228"/>
      <c r="N37" s="228"/>
      <c r="O37" s="268"/>
      <c r="P37" s="269"/>
      <c r="Q37" s="269"/>
      <c r="R37" s="269"/>
      <c r="S37" s="269"/>
      <c r="T37" s="269"/>
      <c r="U37" s="40"/>
      <c r="V37" s="40"/>
      <c r="W37" s="40"/>
      <c r="Y37" s="109">
        <f t="shared" si="8"/>
        <v>1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1</v>
      </c>
      <c r="AG37" s="108">
        <f t="shared" si="3"/>
        <v>1</v>
      </c>
      <c r="AH37" s="108">
        <f t="shared" si="4"/>
        <v>0</v>
      </c>
      <c r="AI37" s="108">
        <f t="shared" si="10"/>
        <v>0</v>
      </c>
      <c r="AJ37" s="108">
        <f t="shared" si="5"/>
        <v>0</v>
      </c>
      <c r="AK37" s="108">
        <f t="shared" si="6"/>
        <v>0</v>
      </c>
      <c r="AL37" s="108">
        <f t="shared" si="7"/>
        <v>0</v>
      </c>
      <c r="AN37" s="40"/>
      <c r="AO37" s="41"/>
    </row>
    <row r="38" spans="2:41" ht="15.75" thickBot="1">
      <c r="B38" s="246">
        <v>31</v>
      </c>
      <c r="C38" s="247">
        <v>41812</v>
      </c>
      <c r="D38" s="248" t="s">
        <v>40</v>
      </c>
      <c r="E38" s="249" t="s">
        <v>9</v>
      </c>
      <c r="F38" s="258" t="s">
        <v>38</v>
      </c>
      <c r="G38" s="312">
        <v>1</v>
      </c>
      <c r="H38" s="249" t="s">
        <v>9</v>
      </c>
      <c r="I38" s="317">
        <v>1</v>
      </c>
      <c r="J38" s="251">
        <f t="shared" si="0"/>
        <v>3</v>
      </c>
      <c r="K38" s="239">
        <f t="shared" si="1"/>
        <v>1</v>
      </c>
      <c r="L38" s="239">
        <f t="shared" si="2"/>
        <v>1</v>
      </c>
      <c r="M38" s="228"/>
      <c r="N38" s="228"/>
      <c r="O38" s="298" t="s">
        <v>71</v>
      </c>
      <c r="P38" s="299" t="s">
        <v>42</v>
      </c>
      <c r="Q38" s="299" t="s">
        <v>43</v>
      </c>
      <c r="R38" s="300" t="s">
        <v>44</v>
      </c>
      <c r="S38" s="301" t="s">
        <v>45</v>
      </c>
      <c r="T38" s="302" t="s">
        <v>46</v>
      </c>
      <c r="U38" s="40"/>
      <c r="V38" s="40"/>
      <c r="W38" s="40"/>
      <c r="Y38" s="109">
        <f t="shared" si="8"/>
        <v>0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0</v>
      </c>
      <c r="AG38" s="108">
        <f t="shared" si="3"/>
        <v>0</v>
      </c>
      <c r="AH38" s="108">
        <f t="shared" si="4"/>
        <v>0</v>
      </c>
      <c r="AI38" s="108">
        <f t="shared" si="10"/>
        <v>0</v>
      </c>
      <c r="AJ38" s="108">
        <f t="shared" si="5"/>
        <v>0</v>
      </c>
      <c r="AK38" s="108">
        <f t="shared" si="6"/>
        <v>0</v>
      </c>
      <c r="AL38" s="108">
        <f t="shared" si="7"/>
        <v>0</v>
      </c>
      <c r="AN38" s="42" t="s">
        <v>71</v>
      </c>
      <c r="AO38" s="43" t="s">
        <v>46</v>
      </c>
    </row>
    <row r="39" spans="2:41" ht="15.75" thickBot="1">
      <c r="B39" s="252">
        <v>32</v>
      </c>
      <c r="C39" s="253">
        <v>41812</v>
      </c>
      <c r="D39" s="254" t="s">
        <v>36</v>
      </c>
      <c r="E39" s="255" t="s">
        <v>9</v>
      </c>
      <c r="F39" s="256" t="s">
        <v>32</v>
      </c>
      <c r="G39" s="313">
        <v>1</v>
      </c>
      <c r="H39" s="255" t="s">
        <v>9</v>
      </c>
      <c r="I39" s="318">
        <v>3</v>
      </c>
      <c r="J39" s="257">
        <f t="shared" si="0"/>
        <v>2</v>
      </c>
      <c r="K39" s="239">
        <f t="shared" si="1"/>
        <v>0</v>
      </c>
      <c r="L39" s="239">
        <f t="shared" si="2"/>
        <v>3</v>
      </c>
      <c r="M39" s="228"/>
      <c r="N39" s="228"/>
      <c r="O39" s="270" t="s">
        <v>29</v>
      </c>
      <c r="P39" s="271">
        <f>SUMIF($D$8:$D$55,$O39,$G$8:$G$55)+SUMIF($F$8:$F$55,$O39,$I$8:$I$55)</f>
        <v>7</v>
      </c>
      <c r="Q39" s="271">
        <f>SUMIF($D$8:$D$55,$O39,$I$8:$I$55)+SUMIF($F$8:$F$55,$O39,$G$8:$G$55)</f>
        <v>3</v>
      </c>
      <c r="R39" s="272">
        <f>P39-Q39</f>
        <v>4</v>
      </c>
      <c r="S39" s="273">
        <f>SUMIF($D$8:$D$55,$O39,$K$8:$K$55)+SUMIF($F$8:$F$55,$O39,$L$8:$L$55)</f>
        <v>7</v>
      </c>
      <c r="T39" s="320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0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0</v>
      </c>
      <c r="AG39" s="108">
        <f t="shared" si="3"/>
        <v>0</v>
      </c>
      <c r="AH39" s="108">
        <f t="shared" si="4"/>
        <v>0</v>
      </c>
      <c r="AI39" s="108">
        <f t="shared" si="10"/>
        <v>0</v>
      </c>
      <c r="AJ39" s="108">
        <f t="shared" si="5"/>
        <v>0</v>
      </c>
      <c r="AK39" s="108">
        <f t="shared" si="6"/>
        <v>0</v>
      </c>
      <c r="AL39" s="108">
        <f t="shared" si="7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240">
        <v>33</v>
      </c>
      <c r="C40" s="241">
        <v>41813</v>
      </c>
      <c r="D40" s="242" t="s">
        <v>16</v>
      </c>
      <c r="E40" s="243" t="s">
        <v>9</v>
      </c>
      <c r="F40" s="244" t="s">
        <v>13</v>
      </c>
      <c r="G40" s="311">
        <v>0</v>
      </c>
      <c r="H40" s="243" t="s">
        <v>9</v>
      </c>
      <c r="I40" s="316">
        <v>3</v>
      </c>
      <c r="J40" s="245">
        <f t="shared" si="0"/>
        <v>2</v>
      </c>
      <c r="K40" s="239">
        <f t="shared" si="1"/>
        <v>0</v>
      </c>
      <c r="L40" s="239">
        <f t="shared" si="2"/>
        <v>3</v>
      </c>
      <c r="M40" s="228"/>
      <c r="N40" s="228"/>
      <c r="O40" s="274" t="s">
        <v>30</v>
      </c>
      <c r="P40" s="275">
        <f>SUMIF($D$8:$D$55,$O40,$G$8:$G$55)+SUMIF($F$8:$F$55,$O40,$I$8:$I$55)</f>
        <v>1</v>
      </c>
      <c r="Q40" s="275">
        <f>SUMIF($D$8:$D$55,$O40,$I$8:$I$55)+SUMIF($F$8:$F$55,$O40,$G$8:$G$55)</f>
        <v>4</v>
      </c>
      <c r="R40" s="275">
        <f>P40-Q40</f>
        <v>-3</v>
      </c>
      <c r="S40" s="276">
        <f>SUMIF($D$8:$D$55,$O40,$K$8:$K$55)+SUMIF($F$8:$F$55,$O40,$L$8:$L$55)</f>
        <v>1</v>
      </c>
      <c r="T40" s="321" t="s">
        <v>74</v>
      </c>
      <c r="U40" s="40"/>
      <c r="V40" s="40" t="str">
        <f>O40</f>
        <v>Bosnië H.</v>
      </c>
      <c r="W40" s="40" t="s">
        <v>73</v>
      </c>
      <c r="Y40" s="109">
        <f t="shared" si="8"/>
        <v>10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10</v>
      </c>
      <c r="AG40" s="108">
        <f t="shared" si="3"/>
        <v>1</v>
      </c>
      <c r="AH40" s="108">
        <f t="shared" si="4"/>
        <v>1</v>
      </c>
      <c r="AI40" s="108">
        <f t="shared" si="10"/>
        <v>10</v>
      </c>
      <c r="AJ40" s="108">
        <f t="shared" si="5"/>
        <v>0</v>
      </c>
      <c r="AK40" s="108">
        <f t="shared" si="6"/>
        <v>5</v>
      </c>
      <c r="AL40" s="108">
        <f t="shared" si="7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246">
        <v>34</v>
      </c>
      <c r="C41" s="247">
        <v>41813</v>
      </c>
      <c r="D41" s="260" t="s">
        <v>14</v>
      </c>
      <c r="E41" s="249" t="s">
        <v>9</v>
      </c>
      <c r="F41" s="258" t="s">
        <v>15</v>
      </c>
      <c r="G41" s="312">
        <v>1</v>
      </c>
      <c r="H41" s="249" t="s">
        <v>9</v>
      </c>
      <c r="I41" s="317">
        <v>0</v>
      </c>
      <c r="J41" s="251">
        <f t="shared" si="0"/>
        <v>1</v>
      </c>
      <c r="K41" s="239">
        <f t="shared" si="1"/>
        <v>3</v>
      </c>
      <c r="L41" s="239">
        <f t="shared" si="2"/>
        <v>0</v>
      </c>
      <c r="M41" s="228"/>
      <c r="N41" s="228"/>
      <c r="O41" s="274" t="s">
        <v>33</v>
      </c>
      <c r="P41" s="275">
        <f>SUMIF($D$8:$D$55,$O41,$G$8:$G$55)+SUMIF($F$8:$F$55,$O41,$I$8:$I$55)</f>
        <v>0</v>
      </c>
      <c r="Q41" s="275">
        <f>SUMIF($D$8:$D$55,$O41,$I$8:$I$55)+SUMIF($F$8:$F$55,$O41,$G$8:$G$55)</f>
        <v>3</v>
      </c>
      <c r="R41" s="275">
        <f>P41-Q41</f>
        <v>-3</v>
      </c>
      <c r="S41" s="276">
        <f>SUMIF($D$8:$D$55,$O41,$K$8:$K$55)+SUMIF($F$8:$F$55,$O41,$L$8:$L$55)</f>
        <v>1</v>
      </c>
      <c r="T41" s="321" t="s">
        <v>75</v>
      </c>
      <c r="U41" s="40"/>
      <c r="V41" s="40" t="str">
        <f>O41</f>
        <v>Iran</v>
      </c>
      <c r="W41" s="40" t="s">
        <v>74</v>
      </c>
      <c r="Y41" s="109">
        <f t="shared" si="8"/>
        <v>6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6</v>
      </c>
      <c r="AG41" s="108">
        <f t="shared" si="3"/>
        <v>0</v>
      </c>
      <c r="AH41" s="108">
        <f t="shared" si="4"/>
        <v>1</v>
      </c>
      <c r="AI41" s="108">
        <f t="shared" si="10"/>
        <v>0</v>
      </c>
      <c r="AJ41" s="108">
        <f t="shared" si="5"/>
        <v>5</v>
      </c>
      <c r="AK41" s="108">
        <f t="shared" si="6"/>
        <v>0</v>
      </c>
      <c r="AL41" s="108">
        <f t="shared" si="7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246">
        <v>35</v>
      </c>
      <c r="C42" s="247">
        <v>41813</v>
      </c>
      <c r="D42" s="248" t="s">
        <v>12</v>
      </c>
      <c r="E42" s="249" t="s">
        <v>9</v>
      </c>
      <c r="F42" s="258" t="s">
        <v>8</v>
      </c>
      <c r="G42" s="312">
        <v>0</v>
      </c>
      <c r="H42" s="249" t="s">
        <v>9</v>
      </c>
      <c r="I42" s="317">
        <v>2</v>
      </c>
      <c r="J42" s="251">
        <f t="shared" si="0"/>
        <v>2</v>
      </c>
      <c r="K42" s="239">
        <f t="shared" si="1"/>
        <v>0</v>
      </c>
      <c r="L42" s="239">
        <f t="shared" si="2"/>
        <v>3</v>
      </c>
      <c r="M42" s="228"/>
      <c r="N42" s="228"/>
      <c r="O42" s="277" t="s">
        <v>34</v>
      </c>
      <c r="P42" s="278">
        <f>SUMIF($D$8:$D$55,$O42,$G$8:$G$55)+SUMIF($F$8:$F$55,$O42,$I$8:$I$55)</f>
        <v>4</v>
      </c>
      <c r="Q42" s="278">
        <f>SUMIF($D$8:$D$55,$O42,$I$8:$I$55)+SUMIF($F$8:$F$55,$O42,$G$8:$G$55)</f>
        <v>2</v>
      </c>
      <c r="R42" s="278">
        <f>P42-Q42</f>
        <v>2</v>
      </c>
      <c r="S42" s="279">
        <f>SUMIF($D$8:$D$55,$O42,$K$8:$K$55)+SUMIF($F$8:$F$55,$O42,$L$8:$L$55)</f>
        <v>7</v>
      </c>
      <c r="T42" s="322" t="s">
        <v>73</v>
      </c>
      <c r="U42" s="40"/>
      <c r="V42" s="40" t="str">
        <f>O42</f>
        <v>Nigeria</v>
      </c>
      <c r="W42" s="40" t="s">
        <v>75</v>
      </c>
      <c r="Y42" s="109">
        <f t="shared" ref="Y42:Y55" si="11">AF42</f>
        <v>5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ref="AF42:AF55" si="12">IF(OR(AC42="",AD42=""),0,(IF(SUM(AG42:AL42)&gt;10,10,SUM(AG42:AL42))))</f>
        <v>5</v>
      </c>
      <c r="AG42" s="108">
        <f t="shared" si="3"/>
        <v>0</v>
      </c>
      <c r="AH42" s="108">
        <f t="shared" si="4"/>
        <v>0</v>
      </c>
      <c r="AI42" s="108">
        <f t="shared" ref="AI42:AI55" si="13">IF(AND(AG42=1,AH42=1),10,0)</f>
        <v>0</v>
      </c>
      <c r="AJ42" s="108">
        <f t="shared" si="5"/>
        <v>0</v>
      </c>
      <c r="AK42" s="108">
        <f t="shared" si="6"/>
        <v>5</v>
      </c>
      <c r="AL42" s="108">
        <f t="shared" si="7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252">
        <v>36</v>
      </c>
      <c r="C43" s="253">
        <v>41813</v>
      </c>
      <c r="D43" s="254" t="s">
        <v>10</v>
      </c>
      <c r="E43" s="255" t="s">
        <v>9</v>
      </c>
      <c r="F43" s="256" t="s">
        <v>11</v>
      </c>
      <c r="G43" s="313">
        <v>0</v>
      </c>
      <c r="H43" s="255" t="s">
        <v>9</v>
      </c>
      <c r="I43" s="318">
        <v>1</v>
      </c>
      <c r="J43" s="257">
        <f t="shared" si="0"/>
        <v>2</v>
      </c>
      <c r="K43" s="239">
        <f t="shared" si="1"/>
        <v>0</v>
      </c>
      <c r="L43" s="239">
        <f t="shared" si="2"/>
        <v>3</v>
      </c>
      <c r="M43" s="228"/>
      <c r="N43" s="228"/>
      <c r="O43" s="268"/>
      <c r="P43" s="269"/>
      <c r="Q43" s="269"/>
      <c r="R43" s="269"/>
      <c r="S43" s="269"/>
      <c r="T43" s="269"/>
      <c r="U43" s="40"/>
      <c r="V43" s="40"/>
      <c r="W43" s="40"/>
      <c r="Y43" s="109">
        <f t="shared" si="11"/>
        <v>5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12"/>
        <v>5</v>
      </c>
      <c r="AG43" s="108">
        <f t="shared" si="3"/>
        <v>0</v>
      </c>
      <c r="AH43" s="108">
        <f t="shared" si="4"/>
        <v>0</v>
      </c>
      <c r="AI43" s="108">
        <f t="shared" si="13"/>
        <v>0</v>
      </c>
      <c r="AJ43" s="108">
        <f t="shared" si="5"/>
        <v>0</v>
      </c>
      <c r="AK43" s="108">
        <f t="shared" si="6"/>
        <v>5</v>
      </c>
      <c r="AL43" s="108">
        <f t="shared" si="7"/>
        <v>0</v>
      </c>
      <c r="AN43" s="40"/>
      <c r="AO43" s="41"/>
    </row>
    <row r="44" spans="2:41" ht="15.75" thickBot="1">
      <c r="B44" s="240">
        <v>37</v>
      </c>
      <c r="C44" s="241">
        <v>41814</v>
      </c>
      <c r="D44" s="242" t="s">
        <v>22</v>
      </c>
      <c r="E44" s="243" t="s">
        <v>9</v>
      </c>
      <c r="F44" s="244" t="s">
        <v>19</v>
      </c>
      <c r="G44" s="311">
        <v>2</v>
      </c>
      <c r="H44" s="243" t="s">
        <v>9</v>
      </c>
      <c r="I44" s="316">
        <v>1</v>
      </c>
      <c r="J44" s="245">
        <f t="shared" si="0"/>
        <v>1</v>
      </c>
      <c r="K44" s="239">
        <f t="shared" si="1"/>
        <v>3</v>
      </c>
      <c r="L44" s="239">
        <f t="shared" si="2"/>
        <v>0</v>
      </c>
      <c r="M44" s="228"/>
      <c r="N44" s="228"/>
      <c r="O44" s="298" t="s">
        <v>76</v>
      </c>
      <c r="P44" s="299" t="s">
        <v>42</v>
      </c>
      <c r="Q44" s="299" t="s">
        <v>43</v>
      </c>
      <c r="R44" s="300" t="s">
        <v>44</v>
      </c>
      <c r="S44" s="301" t="s">
        <v>45</v>
      </c>
      <c r="T44" s="302" t="s">
        <v>46</v>
      </c>
      <c r="U44" s="40"/>
      <c r="V44" s="40"/>
      <c r="W44" s="40"/>
      <c r="Y44" s="109">
        <f t="shared" si="11"/>
        <v>1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12"/>
        <v>1</v>
      </c>
      <c r="AG44" s="108">
        <f t="shared" si="3"/>
        <v>0</v>
      </c>
      <c r="AH44" s="108">
        <f t="shared" si="4"/>
        <v>1</v>
      </c>
      <c r="AI44" s="108">
        <f t="shared" si="13"/>
        <v>0</v>
      </c>
      <c r="AJ44" s="108">
        <f t="shared" si="5"/>
        <v>0</v>
      </c>
      <c r="AK44" s="108">
        <f t="shared" si="6"/>
        <v>0</v>
      </c>
      <c r="AL44" s="108">
        <f t="shared" si="7"/>
        <v>0</v>
      </c>
      <c r="AN44" s="42" t="s">
        <v>76</v>
      </c>
      <c r="AO44" s="43" t="s">
        <v>46</v>
      </c>
    </row>
    <row r="45" spans="2:41" ht="15.75" thickBot="1">
      <c r="B45" s="246">
        <v>38</v>
      </c>
      <c r="C45" s="247">
        <v>41814</v>
      </c>
      <c r="D45" s="248" t="s">
        <v>20</v>
      </c>
      <c r="E45" s="249" t="s">
        <v>9</v>
      </c>
      <c r="F45" s="258" t="s">
        <v>21</v>
      </c>
      <c r="G45" s="312">
        <v>0</v>
      </c>
      <c r="H45" s="249" t="s">
        <v>9</v>
      </c>
      <c r="I45" s="317">
        <v>2</v>
      </c>
      <c r="J45" s="251">
        <f t="shared" si="0"/>
        <v>2</v>
      </c>
      <c r="K45" s="239">
        <f t="shared" si="1"/>
        <v>0</v>
      </c>
      <c r="L45" s="239">
        <f t="shared" si="2"/>
        <v>3</v>
      </c>
      <c r="M45" s="228"/>
      <c r="N45" s="228"/>
      <c r="O45" s="270" t="s">
        <v>31</v>
      </c>
      <c r="P45" s="271">
        <f>SUMIF($D$8:$D$55,$O45,$G$8:$G$55)+SUMIF($F$8:$F$55,$O45,$I$8:$I$55)</f>
        <v>6</v>
      </c>
      <c r="Q45" s="271">
        <f>SUMIF($D$8:$D$55,$O45,$I$8:$I$55)+SUMIF($F$8:$F$55,$O45,$G$8:$G$55)</f>
        <v>2</v>
      </c>
      <c r="R45" s="272">
        <f>P45-Q45</f>
        <v>4</v>
      </c>
      <c r="S45" s="273">
        <f>SUMIF($D$8:$D$55,$O45,$K$8:$K$55)+SUMIF($F$8:$F$55,$O45,$L$8:$L$55)</f>
        <v>7</v>
      </c>
      <c r="T45" s="320" t="s">
        <v>78</v>
      </c>
      <c r="U45" s="40"/>
      <c r="V45" s="40" t="str">
        <f>O45</f>
        <v>Duitsland</v>
      </c>
      <c r="W45" s="40" t="s">
        <v>77</v>
      </c>
      <c r="Y45" s="109">
        <f t="shared" si="11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12"/>
        <v>1</v>
      </c>
      <c r="AG45" s="108">
        <f t="shared" si="3"/>
        <v>1</v>
      </c>
      <c r="AH45" s="108">
        <f t="shared" si="4"/>
        <v>0</v>
      </c>
      <c r="AI45" s="108">
        <f t="shared" si="13"/>
        <v>0</v>
      </c>
      <c r="AJ45" s="108">
        <f t="shared" si="5"/>
        <v>0</v>
      </c>
      <c r="AK45" s="108">
        <f t="shared" si="6"/>
        <v>0</v>
      </c>
      <c r="AL45" s="108">
        <f t="shared" si="7"/>
        <v>0</v>
      </c>
      <c r="AM45" s="120">
        <f>AO45</f>
        <v>0</v>
      </c>
      <c r="AN45" s="116" t="s">
        <v>31</v>
      </c>
      <c r="AO45" s="115">
        <f>IF(Uitslag!T45="",0,IF(T45=Uitslag!T45,10,0))</f>
        <v>0</v>
      </c>
    </row>
    <row r="46" spans="2:41" ht="15.75" thickBot="1">
      <c r="B46" s="246">
        <v>39</v>
      </c>
      <c r="C46" s="247">
        <v>41814</v>
      </c>
      <c r="D46" s="248" t="s">
        <v>24</v>
      </c>
      <c r="E46" s="249" t="s">
        <v>9</v>
      </c>
      <c r="F46" s="258" t="s">
        <v>17</v>
      </c>
      <c r="G46" s="312">
        <v>2</v>
      </c>
      <c r="H46" s="249" t="s">
        <v>9</v>
      </c>
      <c r="I46" s="317">
        <v>2</v>
      </c>
      <c r="J46" s="251">
        <f t="shared" si="0"/>
        <v>3</v>
      </c>
      <c r="K46" s="239">
        <f t="shared" si="1"/>
        <v>1</v>
      </c>
      <c r="L46" s="239">
        <f t="shared" si="2"/>
        <v>1</v>
      </c>
      <c r="M46" s="228"/>
      <c r="N46" s="228"/>
      <c r="O46" s="274" t="s">
        <v>32</v>
      </c>
      <c r="P46" s="275">
        <f>SUMIF($D$8:$D$55,$O46,$G$8:$G$55)+SUMIF($F$8:$F$55,$O46,$I$8:$I$55)</f>
        <v>8</v>
      </c>
      <c r="Q46" s="275">
        <f>SUMIF($D$8:$D$55,$O46,$I$8:$I$55)+SUMIF($F$8:$F$55,$O46,$G$8:$G$55)</f>
        <v>3</v>
      </c>
      <c r="R46" s="275">
        <f>P46-Q46</f>
        <v>5</v>
      </c>
      <c r="S46" s="276">
        <f>SUMIF($D$8:$D$55,$O46,$K$8:$K$55)+SUMIF($F$8:$F$55,$O46,$L$8:$L$55)</f>
        <v>7</v>
      </c>
      <c r="T46" s="321" t="s">
        <v>77</v>
      </c>
      <c r="U46" s="40"/>
      <c r="V46" s="40" t="str">
        <f>O46</f>
        <v>Portugal</v>
      </c>
      <c r="W46" s="40" t="s">
        <v>78</v>
      </c>
      <c r="Y46" s="109">
        <f t="shared" si="11"/>
        <v>0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12"/>
        <v>0</v>
      </c>
      <c r="AG46" s="108">
        <f t="shared" si="3"/>
        <v>0</v>
      </c>
      <c r="AH46" s="108">
        <f t="shared" si="4"/>
        <v>0</v>
      </c>
      <c r="AI46" s="108">
        <f t="shared" si="13"/>
        <v>0</v>
      </c>
      <c r="AJ46" s="108">
        <f t="shared" si="5"/>
        <v>0</v>
      </c>
      <c r="AK46" s="108">
        <f t="shared" si="6"/>
        <v>0</v>
      </c>
      <c r="AL46" s="108">
        <f t="shared" si="7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252">
        <v>40</v>
      </c>
      <c r="C47" s="253">
        <v>41814</v>
      </c>
      <c r="D47" s="254" t="s">
        <v>18</v>
      </c>
      <c r="E47" s="255" t="s">
        <v>9</v>
      </c>
      <c r="F47" s="256" t="s">
        <v>23</v>
      </c>
      <c r="G47" s="313">
        <v>0</v>
      </c>
      <c r="H47" s="255" t="s">
        <v>9</v>
      </c>
      <c r="I47" s="318">
        <v>2</v>
      </c>
      <c r="J47" s="257">
        <f t="shared" si="0"/>
        <v>2</v>
      </c>
      <c r="K47" s="239">
        <f t="shared" si="1"/>
        <v>0</v>
      </c>
      <c r="L47" s="239">
        <f t="shared" si="2"/>
        <v>3</v>
      </c>
      <c r="M47" s="228"/>
      <c r="N47" s="228"/>
      <c r="O47" s="274" t="s">
        <v>35</v>
      </c>
      <c r="P47" s="275">
        <f>SUMIF($D$8:$D$55,$O47,$G$8:$G$55)+SUMIF($F$8:$F$55,$O47,$I$8:$I$55)</f>
        <v>1</v>
      </c>
      <c r="Q47" s="275">
        <f>SUMIF($D$8:$D$55,$O47,$I$8:$I$55)+SUMIF($F$8:$F$55,$O47,$G$8:$G$55)</f>
        <v>5</v>
      </c>
      <c r="R47" s="275">
        <f>P47-Q47</f>
        <v>-4</v>
      </c>
      <c r="S47" s="276">
        <f>SUMIF($D$8:$D$55,$O47,$K$8:$K$55)+SUMIF($F$8:$F$55,$O47,$L$8:$L$55)</f>
        <v>3</v>
      </c>
      <c r="T47" s="321" t="s">
        <v>79</v>
      </c>
      <c r="U47" s="40"/>
      <c r="V47" s="40" t="str">
        <f>O47</f>
        <v>Ghana</v>
      </c>
      <c r="W47" s="40" t="s">
        <v>79</v>
      </c>
      <c r="Y47" s="109">
        <f t="shared" si="11"/>
        <v>0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12"/>
        <v>0</v>
      </c>
      <c r="AG47" s="108">
        <f t="shared" si="3"/>
        <v>0</v>
      </c>
      <c r="AH47" s="108">
        <f t="shared" si="4"/>
        <v>0</v>
      </c>
      <c r="AI47" s="108">
        <f t="shared" si="13"/>
        <v>0</v>
      </c>
      <c r="AJ47" s="108">
        <f t="shared" si="5"/>
        <v>0</v>
      </c>
      <c r="AK47" s="108">
        <f t="shared" si="6"/>
        <v>0</v>
      </c>
      <c r="AL47" s="108">
        <f t="shared" si="7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240">
        <v>41</v>
      </c>
      <c r="C48" s="241">
        <v>41815</v>
      </c>
      <c r="D48" s="242" t="s">
        <v>34</v>
      </c>
      <c r="E48" s="243" t="s">
        <v>9</v>
      </c>
      <c r="F48" s="244" t="s">
        <v>29</v>
      </c>
      <c r="G48" s="311">
        <v>2</v>
      </c>
      <c r="H48" s="243" t="s">
        <v>9</v>
      </c>
      <c r="I48" s="316">
        <v>2</v>
      </c>
      <c r="J48" s="245">
        <f t="shared" si="0"/>
        <v>3</v>
      </c>
      <c r="K48" s="239">
        <f t="shared" si="1"/>
        <v>1</v>
      </c>
      <c r="L48" s="239">
        <f t="shared" si="2"/>
        <v>1</v>
      </c>
      <c r="M48" s="228"/>
      <c r="N48" s="228"/>
      <c r="O48" s="277" t="s">
        <v>36</v>
      </c>
      <c r="P48" s="278">
        <f>SUMIF($D$8:$D$55,$O48,$G$8:$G$55)+SUMIF($F$8:$F$55,$O48,$I$8:$I$55)</f>
        <v>1</v>
      </c>
      <c r="Q48" s="278">
        <f>SUMIF($D$8:$D$55,$O48,$I$8:$I$55)+SUMIF($F$8:$F$55,$O48,$G$8:$G$55)</f>
        <v>6</v>
      </c>
      <c r="R48" s="278">
        <f>P48-Q48</f>
        <v>-5</v>
      </c>
      <c r="S48" s="279">
        <f>SUMIF($D$8:$D$55,$O48,$K$8:$K$55)+SUMIF($F$8:$F$55,$O48,$L$8:$L$55)</f>
        <v>0</v>
      </c>
      <c r="T48" s="322" t="s">
        <v>80</v>
      </c>
      <c r="U48" s="40"/>
      <c r="V48" s="40" t="str">
        <f>O48</f>
        <v>Verenigde Staten</v>
      </c>
      <c r="W48" s="40" t="s">
        <v>80</v>
      </c>
      <c r="Y48" s="109">
        <f t="shared" si="11"/>
        <v>1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12"/>
        <v>1</v>
      </c>
      <c r="AG48" s="108">
        <f t="shared" si="3"/>
        <v>1</v>
      </c>
      <c r="AH48" s="108">
        <f t="shared" si="4"/>
        <v>0</v>
      </c>
      <c r="AI48" s="108">
        <f t="shared" si="13"/>
        <v>0</v>
      </c>
      <c r="AJ48" s="108">
        <f t="shared" si="5"/>
        <v>0</v>
      </c>
      <c r="AK48" s="108">
        <f t="shared" si="6"/>
        <v>0</v>
      </c>
      <c r="AL48" s="108">
        <f t="shared" si="7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246">
        <v>42</v>
      </c>
      <c r="C49" s="247">
        <v>41815</v>
      </c>
      <c r="D49" s="248" t="s">
        <v>30</v>
      </c>
      <c r="E49" s="249" t="s">
        <v>9</v>
      </c>
      <c r="F49" s="258" t="s">
        <v>33</v>
      </c>
      <c r="G49" s="312">
        <v>0</v>
      </c>
      <c r="H49" s="249" t="s">
        <v>9</v>
      </c>
      <c r="I49" s="317">
        <v>0</v>
      </c>
      <c r="J49" s="251">
        <f t="shared" si="0"/>
        <v>3</v>
      </c>
      <c r="K49" s="239">
        <f t="shared" si="1"/>
        <v>1</v>
      </c>
      <c r="L49" s="239">
        <f t="shared" si="2"/>
        <v>1</v>
      </c>
      <c r="M49" s="228"/>
      <c r="N49" s="228"/>
      <c r="O49" s="268"/>
      <c r="P49" s="269"/>
      <c r="Q49" s="269"/>
      <c r="R49" s="269"/>
      <c r="S49" s="269"/>
      <c r="T49" s="269"/>
      <c r="U49" s="40"/>
      <c r="V49" s="40"/>
      <c r="W49" s="40"/>
      <c r="Y49" s="109">
        <f t="shared" si="11"/>
        <v>0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12"/>
        <v>0</v>
      </c>
      <c r="AG49" s="108">
        <f t="shared" si="3"/>
        <v>0</v>
      </c>
      <c r="AH49" s="108">
        <f t="shared" si="4"/>
        <v>0</v>
      </c>
      <c r="AI49" s="108">
        <f t="shared" si="13"/>
        <v>0</v>
      </c>
      <c r="AJ49" s="108">
        <f t="shared" si="5"/>
        <v>0</v>
      </c>
      <c r="AK49" s="108">
        <f t="shared" si="6"/>
        <v>0</v>
      </c>
      <c r="AL49" s="108">
        <f t="shared" si="7"/>
        <v>0</v>
      </c>
      <c r="AN49" s="40"/>
      <c r="AO49" s="41"/>
    </row>
    <row r="50" spans="2:54" ht="15.75" thickBot="1">
      <c r="B50" s="246">
        <v>43</v>
      </c>
      <c r="C50" s="247">
        <v>41815</v>
      </c>
      <c r="D50" s="248" t="s">
        <v>28</v>
      </c>
      <c r="E50" s="249" t="s">
        <v>9</v>
      </c>
      <c r="F50" s="258" t="s">
        <v>25</v>
      </c>
      <c r="G50" s="312">
        <v>2</v>
      </c>
      <c r="H50" s="249" t="s">
        <v>9</v>
      </c>
      <c r="I50" s="317">
        <v>0</v>
      </c>
      <c r="J50" s="251">
        <f t="shared" si="0"/>
        <v>1</v>
      </c>
      <c r="K50" s="239">
        <f t="shared" si="1"/>
        <v>3</v>
      </c>
      <c r="L50" s="239">
        <f t="shared" si="2"/>
        <v>0</v>
      </c>
      <c r="M50" s="228"/>
      <c r="N50" s="228"/>
      <c r="O50" s="298" t="s">
        <v>81</v>
      </c>
      <c r="P50" s="299" t="s">
        <v>42</v>
      </c>
      <c r="Q50" s="299" t="s">
        <v>43</v>
      </c>
      <c r="R50" s="300" t="s">
        <v>44</v>
      </c>
      <c r="S50" s="301" t="s">
        <v>45</v>
      </c>
      <c r="T50" s="302" t="s">
        <v>46</v>
      </c>
      <c r="U50" s="40"/>
      <c r="V50" s="40"/>
      <c r="W50" s="40"/>
      <c r="Y50" s="109">
        <f t="shared" si="11"/>
        <v>0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12"/>
        <v>0</v>
      </c>
      <c r="AG50" s="108">
        <f t="shared" si="3"/>
        <v>0</v>
      </c>
      <c r="AH50" s="108">
        <f t="shared" si="4"/>
        <v>0</v>
      </c>
      <c r="AI50" s="108">
        <f t="shared" si="13"/>
        <v>0</v>
      </c>
      <c r="AJ50" s="108">
        <f t="shared" si="5"/>
        <v>0</v>
      </c>
      <c r="AK50" s="108">
        <f t="shared" si="6"/>
        <v>0</v>
      </c>
      <c r="AL50" s="108">
        <f t="shared" si="7"/>
        <v>0</v>
      </c>
      <c r="AN50" s="42" t="s">
        <v>81</v>
      </c>
      <c r="AO50" s="43" t="s">
        <v>46</v>
      </c>
    </row>
    <row r="51" spans="2:54" ht="15.75" thickBot="1">
      <c r="B51" s="252">
        <v>44</v>
      </c>
      <c r="C51" s="253">
        <v>41815</v>
      </c>
      <c r="D51" s="254" t="s">
        <v>26</v>
      </c>
      <c r="E51" s="255" t="s">
        <v>9</v>
      </c>
      <c r="F51" s="256" t="s">
        <v>27</v>
      </c>
      <c r="G51" s="313">
        <v>2</v>
      </c>
      <c r="H51" s="255" t="s">
        <v>9</v>
      </c>
      <c r="I51" s="318">
        <v>2</v>
      </c>
      <c r="J51" s="257">
        <f t="shared" si="0"/>
        <v>3</v>
      </c>
      <c r="K51" s="239">
        <f t="shared" si="1"/>
        <v>1</v>
      </c>
      <c r="L51" s="239">
        <f t="shared" si="2"/>
        <v>1</v>
      </c>
      <c r="M51" s="228"/>
      <c r="N51" s="228"/>
      <c r="O51" s="270" t="s">
        <v>37</v>
      </c>
      <c r="P51" s="271">
        <f>SUMIF($D$8:$D$55,$O51,$G$8:$G$55)+SUMIF($F$8:$F$55,$O51,$I$8:$I$55)</f>
        <v>3</v>
      </c>
      <c r="Q51" s="271">
        <f>SUMIF($D$8:$D$55,$O51,$I$8:$I$55)+SUMIF($F$8:$F$55,$O51,$G$8:$G$55)</f>
        <v>4</v>
      </c>
      <c r="R51" s="272">
        <f>P51-Q51</f>
        <v>-1</v>
      </c>
      <c r="S51" s="273">
        <f>SUMIF($D$8:$D$55,$O51,$K$8:$K$55)+SUMIF($F$8:$F$55,$O51,$L$8:$L$55)</f>
        <v>2</v>
      </c>
      <c r="T51" s="320" t="s">
        <v>85</v>
      </c>
      <c r="U51" s="40"/>
      <c r="V51" s="40" t="str">
        <f>O51</f>
        <v>België</v>
      </c>
      <c r="W51" s="40" t="s">
        <v>82</v>
      </c>
      <c r="Y51" s="109">
        <f t="shared" si="11"/>
        <v>5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12"/>
        <v>5</v>
      </c>
      <c r="AG51" s="108">
        <f t="shared" si="3"/>
        <v>0</v>
      </c>
      <c r="AH51" s="108">
        <f t="shared" si="4"/>
        <v>0</v>
      </c>
      <c r="AI51" s="108">
        <f t="shared" si="13"/>
        <v>0</v>
      </c>
      <c r="AJ51" s="108">
        <f t="shared" si="5"/>
        <v>0</v>
      </c>
      <c r="AK51" s="108">
        <f t="shared" si="6"/>
        <v>0</v>
      </c>
      <c r="AL51" s="108">
        <f t="shared" si="7"/>
        <v>5</v>
      </c>
      <c r="AM51" s="120">
        <f>AO51</f>
        <v>0</v>
      </c>
      <c r="AN51" s="116" t="s">
        <v>37</v>
      </c>
      <c r="AO51" s="115">
        <f>IF(Uitslag!T51="",0,IF(T51=Uitslag!T51,10,0))</f>
        <v>0</v>
      </c>
    </row>
    <row r="52" spans="2:54" ht="15.75" thickBot="1">
      <c r="B52" s="246">
        <v>45</v>
      </c>
      <c r="C52" s="247">
        <v>41816</v>
      </c>
      <c r="D52" s="248" t="s">
        <v>36</v>
      </c>
      <c r="E52" s="249" t="s">
        <v>9</v>
      </c>
      <c r="F52" s="258" t="s">
        <v>31</v>
      </c>
      <c r="G52" s="312">
        <v>0</v>
      </c>
      <c r="H52" s="249" t="s">
        <v>9</v>
      </c>
      <c r="I52" s="317">
        <v>2</v>
      </c>
      <c r="J52" s="245">
        <f t="shared" si="0"/>
        <v>2</v>
      </c>
      <c r="K52" s="239">
        <f t="shared" si="1"/>
        <v>0</v>
      </c>
      <c r="L52" s="239">
        <f t="shared" si="2"/>
        <v>3</v>
      </c>
      <c r="M52" s="228"/>
      <c r="N52" s="228"/>
      <c r="O52" s="274" t="s">
        <v>38</v>
      </c>
      <c r="P52" s="275">
        <f>SUMIF($D$8:$D$55,$O52,$G$8:$G$55)+SUMIF($F$8:$F$55,$O52,$I$8:$I$55)</f>
        <v>3</v>
      </c>
      <c r="Q52" s="275">
        <f>SUMIF($D$8:$D$55,$O52,$I$8:$I$55)+SUMIF($F$8:$F$55,$O52,$G$8:$G$55)</f>
        <v>4</v>
      </c>
      <c r="R52" s="275">
        <f>P52-Q52</f>
        <v>-1</v>
      </c>
      <c r="S52" s="276">
        <f>SUMIF($D$8:$D$55,$O52,$K$8:$K$55)+SUMIF($F$8:$F$55,$O52,$L$8:$L$55)</f>
        <v>2</v>
      </c>
      <c r="T52" s="321" t="s">
        <v>83</v>
      </c>
      <c r="U52" s="40"/>
      <c r="V52" s="40" t="str">
        <f>O52</f>
        <v>Algerije</v>
      </c>
      <c r="W52" s="40" t="s">
        <v>83</v>
      </c>
      <c r="Y52" s="109">
        <f t="shared" si="11"/>
        <v>6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12"/>
        <v>6</v>
      </c>
      <c r="AG52" s="108">
        <f t="shared" si="3"/>
        <v>1</v>
      </c>
      <c r="AH52" s="108">
        <f t="shared" si="4"/>
        <v>0</v>
      </c>
      <c r="AI52" s="108">
        <f t="shared" si="13"/>
        <v>0</v>
      </c>
      <c r="AJ52" s="108">
        <f t="shared" si="5"/>
        <v>0</v>
      </c>
      <c r="AK52" s="108">
        <f t="shared" si="6"/>
        <v>5</v>
      </c>
      <c r="AL52" s="108">
        <f t="shared" si="7"/>
        <v>0</v>
      </c>
      <c r="AM52" s="120">
        <f>AO52</f>
        <v>10</v>
      </c>
      <c r="AN52" s="117" t="s">
        <v>38</v>
      </c>
      <c r="AO52" s="115">
        <f>IF(Uitslag!T52="",0,IF(T52=Uitslag!T52,10,0))</f>
        <v>10</v>
      </c>
    </row>
    <row r="53" spans="2:54" ht="15.75" thickBot="1">
      <c r="B53" s="246">
        <v>46</v>
      </c>
      <c r="C53" s="247">
        <v>41816</v>
      </c>
      <c r="D53" s="248" t="s">
        <v>32</v>
      </c>
      <c r="E53" s="249" t="s">
        <v>9</v>
      </c>
      <c r="F53" s="258" t="s">
        <v>35</v>
      </c>
      <c r="G53" s="312">
        <v>3</v>
      </c>
      <c r="H53" s="249" t="s">
        <v>9</v>
      </c>
      <c r="I53" s="317">
        <v>0</v>
      </c>
      <c r="J53" s="251">
        <f t="shared" si="0"/>
        <v>1</v>
      </c>
      <c r="K53" s="239">
        <f t="shared" si="1"/>
        <v>3</v>
      </c>
      <c r="L53" s="239">
        <f t="shared" si="2"/>
        <v>0</v>
      </c>
      <c r="M53" s="228"/>
      <c r="N53" s="228"/>
      <c r="O53" s="274" t="s">
        <v>39</v>
      </c>
      <c r="P53" s="275">
        <f>SUMIF($D$8:$D$55,$O53,$G$8:$G$55)+SUMIF($F$8:$F$55,$O53,$I$8:$I$55)</f>
        <v>6</v>
      </c>
      <c r="Q53" s="275">
        <f>SUMIF($D$8:$D$55,$O53,$I$8:$I$55)+SUMIF($F$8:$F$55,$O53,$G$8:$G$55)</f>
        <v>3</v>
      </c>
      <c r="R53" s="275">
        <f>P53-Q53</f>
        <v>3</v>
      </c>
      <c r="S53" s="276">
        <f>SUMIF($D$8:$D$55,$O53,$K$8:$K$55)+SUMIF($F$8:$F$55,$O53,$L$8:$L$55)</f>
        <v>9</v>
      </c>
      <c r="T53" s="321" t="s">
        <v>82</v>
      </c>
      <c r="U53" s="40"/>
      <c r="V53" s="40" t="str">
        <f>O53</f>
        <v>Rusland</v>
      </c>
      <c r="W53" s="40" t="s">
        <v>84</v>
      </c>
      <c r="Y53" s="109">
        <f t="shared" si="11"/>
        <v>5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12"/>
        <v>5</v>
      </c>
      <c r="AG53" s="108">
        <f t="shared" si="3"/>
        <v>0</v>
      </c>
      <c r="AH53" s="108">
        <f t="shared" si="4"/>
        <v>0</v>
      </c>
      <c r="AI53" s="108">
        <f t="shared" si="13"/>
        <v>0</v>
      </c>
      <c r="AJ53" s="108">
        <f t="shared" si="5"/>
        <v>5</v>
      </c>
      <c r="AK53" s="108">
        <f t="shared" si="6"/>
        <v>0</v>
      </c>
      <c r="AL53" s="108">
        <f t="shared" si="7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246">
        <v>47</v>
      </c>
      <c r="C54" s="247">
        <v>41816</v>
      </c>
      <c r="D54" s="248" t="s">
        <v>40</v>
      </c>
      <c r="E54" s="249" t="s">
        <v>9</v>
      </c>
      <c r="F54" s="258" t="s">
        <v>37</v>
      </c>
      <c r="G54" s="312">
        <v>1</v>
      </c>
      <c r="H54" s="249" t="s">
        <v>9</v>
      </c>
      <c r="I54" s="317">
        <v>1</v>
      </c>
      <c r="J54" s="251">
        <f t="shared" si="0"/>
        <v>3</v>
      </c>
      <c r="K54" s="239">
        <f t="shared" si="1"/>
        <v>1</v>
      </c>
      <c r="L54" s="239">
        <f t="shared" si="2"/>
        <v>1</v>
      </c>
      <c r="M54" s="228"/>
      <c r="N54" s="228"/>
      <c r="O54" s="277" t="s">
        <v>40</v>
      </c>
      <c r="P54" s="278">
        <f>SUMIF($D$8:$D$55,$O54,$G$8:$G$55)+SUMIF($F$8:$F$55,$O54,$I$8:$I$55)</f>
        <v>3</v>
      </c>
      <c r="Q54" s="278">
        <f>SUMIF($D$8:$D$55,$O54,$I$8:$I$55)+SUMIF($F$8:$F$55,$O54,$G$8:$G$55)</f>
        <v>4</v>
      </c>
      <c r="R54" s="278">
        <f>P54-Q54</f>
        <v>-1</v>
      </c>
      <c r="S54" s="279">
        <f>SUMIF($D$8:$D$55,$O54,$K$8:$K$55)+SUMIF($F$8:$F$55,$O54,$L$8:$L$55)</f>
        <v>2</v>
      </c>
      <c r="T54" s="322" t="s">
        <v>84</v>
      </c>
      <c r="U54" s="40"/>
      <c r="V54" s="40" t="str">
        <f>O54</f>
        <v>Zuid Korea</v>
      </c>
      <c r="W54" s="40" t="s">
        <v>85</v>
      </c>
      <c r="Y54" s="109">
        <f t="shared" si="11"/>
        <v>1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12"/>
        <v>1</v>
      </c>
      <c r="AG54" s="108">
        <f t="shared" si="3"/>
        <v>0</v>
      </c>
      <c r="AH54" s="108">
        <f t="shared" si="4"/>
        <v>1</v>
      </c>
      <c r="AI54" s="108">
        <f t="shared" si="13"/>
        <v>0</v>
      </c>
      <c r="AJ54" s="108">
        <f t="shared" si="5"/>
        <v>0</v>
      </c>
      <c r="AK54" s="108">
        <f t="shared" si="6"/>
        <v>0</v>
      </c>
      <c r="AL54" s="108">
        <f t="shared" si="7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261">
        <v>48</v>
      </c>
      <c r="C55" s="262">
        <v>41816</v>
      </c>
      <c r="D55" s="263" t="s">
        <v>38</v>
      </c>
      <c r="E55" s="264" t="s">
        <v>9</v>
      </c>
      <c r="F55" s="265" t="s">
        <v>39</v>
      </c>
      <c r="G55" s="314">
        <v>1</v>
      </c>
      <c r="H55" s="264" t="s">
        <v>9</v>
      </c>
      <c r="I55" s="319">
        <v>2</v>
      </c>
      <c r="J55" s="266">
        <f t="shared" si="0"/>
        <v>2</v>
      </c>
      <c r="K55" s="239">
        <f t="shared" si="1"/>
        <v>0</v>
      </c>
      <c r="L55" s="239">
        <f t="shared" si="2"/>
        <v>3</v>
      </c>
      <c r="M55" s="228"/>
      <c r="N55" s="228"/>
      <c r="O55" s="268"/>
      <c r="P55" s="269"/>
      <c r="Q55" s="269"/>
      <c r="R55" s="269"/>
      <c r="S55" s="269"/>
      <c r="T55" s="269"/>
      <c r="U55" s="40"/>
      <c r="V55" s="40"/>
      <c r="W55" s="40"/>
      <c r="Y55" s="109">
        <f t="shared" si="11"/>
        <v>1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12"/>
        <v>1</v>
      </c>
      <c r="AG55" s="108">
        <f t="shared" si="3"/>
        <v>1</v>
      </c>
      <c r="AH55" s="108">
        <f t="shared" si="4"/>
        <v>0</v>
      </c>
      <c r="AI55" s="108">
        <f t="shared" si="13"/>
        <v>0</v>
      </c>
      <c r="AJ55" s="108">
        <f t="shared" si="5"/>
        <v>0</v>
      </c>
      <c r="AK55" s="108">
        <f t="shared" si="6"/>
        <v>0</v>
      </c>
      <c r="AL55" s="108">
        <f t="shared" si="7"/>
        <v>0</v>
      </c>
    </row>
    <row r="56" spans="2:54" ht="15.75" thickBot="1">
      <c r="B56" s="229"/>
      <c r="C56" s="267"/>
      <c r="D56" s="268"/>
      <c r="E56" s="229"/>
      <c r="F56" s="268"/>
      <c r="G56" s="229"/>
      <c r="H56" s="229"/>
      <c r="I56" s="229"/>
      <c r="J56" s="229"/>
      <c r="K56" s="229"/>
      <c r="L56" s="229"/>
      <c r="M56" s="229"/>
      <c r="N56" s="228"/>
      <c r="O56" s="228"/>
      <c r="P56" s="228"/>
      <c r="Q56" s="228"/>
      <c r="R56" s="228"/>
      <c r="S56" s="228"/>
      <c r="T56" s="228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348"/>
      <c r="K57" s="229"/>
      <c r="L57" s="229"/>
      <c r="M57" s="229"/>
      <c r="N57" s="228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304" t="s">
        <v>1</v>
      </c>
      <c r="C58" s="305" t="s">
        <v>2</v>
      </c>
      <c r="D58" s="340" t="s">
        <v>3</v>
      </c>
      <c r="E58" s="307"/>
      <c r="F58" s="346" t="s">
        <v>4</v>
      </c>
      <c r="G58" s="867" t="s">
        <v>5</v>
      </c>
      <c r="H58" s="868"/>
      <c r="I58" s="869"/>
      <c r="J58" s="309" t="s">
        <v>6</v>
      </c>
      <c r="K58" s="229"/>
      <c r="L58" s="229"/>
      <c r="M58" s="229"/>
      <c r="N58" s="228"/>
      <c r="O58" s="334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4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5">IF(P58="","",COUNTIF($AZ$58:$AZ$68,P58)*3)</f>
        <v>3</v>
      </c>
      <c r="BB58" s="139">
        <f>BA58</f>
        <v>3</v>
      </c>
    </row>
    <row r="59" spans="2:54">
      <c r="B59" s="240">
        <v>49</v>
      </c>
      <c r="C59" s="342">
        <v>41818</v>
      </c>
      <c r="D59" s="336" t="str">
        <f t="shared" ref="D59:D66" si="16">IF(ISERROR(Z59),K59,Z59)</f>
        <v>Brazilië</v>
      </c>
      <c r="E59" s="243" t="s">
        <v>9</v>
      </c>
      <c r="F59" s="282" t="str">
        <f t="shared" ref="F59:F66" si="17">IF(ISERROR(AA59),L59,AA59)</f>
        <v>Nederland</v>
      </c>
      <c r="G59" s="311">
        <v>2</v>
      </c>
      <c r="H59" s="243" t="s">
        <v>9</v>
      </c>
      <c r="I59" s="323">
        <v>1</v>
      </c>
      <c r="J59" s="324">
        <v>1</v>
      </c>
      <c r="K59" s="283" t="s">
        <v>48</v>
      </c>
      <c r="L59" s="283" t="s">
        <v>53</v>
      </c>
      <c r="M59" s="283">
        <v>1</v>
      </c>
      <c r="N59" s="228"/>
      <c r="O59" s="334">
        <v>2</v>
      </c>
      <c r="P59" s="877" t="s">
        <v>209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4"/>
        <v>Jasper Cillessen (k)</v>
      </c>
      <c r="Y59" s="109">
        <f t="shared" ref="Y59:Y66" si="18">AF59</f>
        <v>1</v>
      </c>
      <c r="Z59" t="str">
        <f t="shared" ref="Z59:AA65" si="19">IF(K59=""," ",VLOOKUP(K59,$T$9:$V$54,3,FALSE))</f>
        <v>Brazilië</v>
      </c>
      <c r="AA59" t="str">
        <f t="shared" si="19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20">IF(OR(AC59="",AD59=""),0,(IF(SUM(AG59:AL59)&gt;10,10,SUM(AG59:AL59))))</f>
        <v>1</v>
      </c>
      <c r="AG59" s="108">
        <f t="shared" ref="AG59:AG66" si="21">IF(AC59="",0,(IF(G59=AC59,1,0)))</f>
        <v>0</v>
      </c>
      <c r="AH59" s="108">
        <f t="shared" ref="AH59:AH66" si="22">IF(AD59="",0,(IF(I59=AD59,1,0)))</f>
        <v>1</v>
      </c>
      <c r="AI59" s="108">
        <f t="shared" ref="AI59:AI66" si="23">IF(AND(AG59=1,AH59=1),10,0)</f>
        <v>0</v>
      </c>
      <c r="AJ59" s="108">
        <f t="shared" ref="AJ59:AJ66" si="24">IF(AND(G59&gt;I59,AC59&gt;AD59),5,0)</f>
        <v>0</v>
      </c>
      <c r="AK59" s="108">
        <f t="shared" ref="AK59:AK66" si="25">IF(AND(G59&lt;I59,AC59&lt;AD59),5,0)</f>
        <v>0</v>
      </c>
      <c r="AL59" s="108">
        <f t="shared" ref="AL59:AL66" si="26">IF(AND(G59=I59,AC59=AD59),5,0)</f>
        <v>0</v>
      </c>
      <c r="AZ59" s="138" t="str">
        <f>Uitslag!P59</f>
        <v>Daryl Janmaat (v)</v>
      </c>
      <c r="BA59" s="140">
        <f t="shared" si="15"/>
        <v>3</v>
      </c>
      <c r="BB59" s="139">
        <f t="shared" ref="BB59:BB68" si="27">BA59</f>
        <v>3</v>
      </c>
    </row>
    <row r="60" spans="2:54">
      <c r="B60" s="252">
        <v>50</v>
      </c>
      <c r="C60" s="343">
        <v>41818</v>
      </c>
      <c r="D60" s="337" t="str">
        <f t="shared" si="16"/>
        <v>Colombia</v>
      </c>
      <c r="E60" s="255" t="s">
        <v>9</v>
      </c>
      <c r="F60" s="285" t="str">
        <f t="shared" si="17"/>
        <v>Engeland</v>
      </c>
      <c r="G60" s="313">
        <v>1</v>
      </c>
      <c r="H60" s="255" t="s">
        <v>9</v>
      </c>
      <c r="I60" s="325">
        <v>2</v>
      </c>
      <c r="J60" s="326">
        <v>2</v>
      </c>
      <c r="K60" s="283" t="s">
        <v>57</v>
      </c>
      <c r="L60" s="283" t="s">
        <v>63</v>
      </c>
      <c r="M60" s="283">
        <v>2</v>
      </c>
      <c r="N60" s="228"/>
      <c r="O60" s="334">
        <v>3</v>
      </c>
      <c r="P60" s="877" t="s">
        <v>220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4"/>
        <v>Kenneth Vermeer (k)</v>
      </c>
      <c r="Y60" s="109">
        <f t="shared" si="18"/>
        <v>0</v>
      </c>
      <c r="Z60" t="str">
        <f t="shared" si="19"/>
        <v>Colombia</v>
      </c>
      <c r="AA60" t="str">
        <f t="shared" si="19"/>
        <v>Engeland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20"/>
        <v>0</v>
      </c>
      <c r="AG60" s="108">
        <f t="shared" si="21"/>
        <v>0</v>
      </c>
      <c r="AH60" s="108">
        <f t="shared" si="22"/>
        <v>0</v>
      </c>
      <c r="AI60" s="108">
        <f t="shared" si="23"/>
        <v>0</v>
      </c>
      <c r="AJ60" s="108">
        <f t="shared" si="24"/>
        <v>0</v>
      </c>
      <c r="AK60" s="108">
        <f t="shared" si="25"/>
        <v>0</v>
      </c>
      <c r="AL60" s="108">
        <f t="shared" si="26"/>
        <v>0</v>
      </c>
      <c r="AZ60" s="138" t="str">
        <f>Uitslag!P60</f>
        <v>Stefan de Vrij (v)</v>
      </c>
      <c r="BA60" s="140">
        <f t="shared" si="15"/>
        <v>3</v>
      </c>
      <c r="BB60" s="139">
        <f t="shared" si="27"/>
        <v>3</v>
      </c>
    </row>
    <row r="61" spans="2:54">
      <c r="B61" s="240">
        <v>51</v>
      </c>
      <c r="C61" s="342">
        <v>41819</v>
      </c>
      <c r="D61" s="341" t="str">
        <f t="shared" si="16"/>
        <v>Spanje</v>
      </c>
      <c r="E61" s="243" t="s">
        <v>9</v>
      </c>
      <c r="F61" s="282" t="str">
        <f t="shared" si="17"/>
        <v>Mexico</v>
      </c>
      <c r="G61" s="311">
        <v>2</v>
      </c>
      <c r="H61" s="243" t="s">
        <v>9</v>
      </c>
      <c r="I61" s="323">
        <v>0</v>
      </c>
      <c r="J61" s="324">
        <v>1</v>
      </c>
      <c r="K61" s="283" t="s">
        <v>52</v>
      </c>
      <c r="L61" s="283" t="s">
        <v>49</v>
      </c>
      <c r="M61" s="283"/>
      <c r="N61" s="228"/>
      <c r="O61" s="334">
        <v>4</v>
      </c>
      <c r="P61" s="877" t="s">
        <v>211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4"/>
        <v>Tim Krul (k)</v>
      </c>
      <c r="Y61" s="109">
        <f t="shared" si="18"/>
        <v>6</v>
      </c>
      <c r="Z61" t="str">
        <f t="shared" si="19"/>
        <v>Spanje</v>
      </c>
      <c r="AA61" t="str">
        <f t="shared" si="19"/>
        <v>Mexico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20"/>
        <v>6</v>
      </c>
      <c r="AG61" s="108">
        <f t="shared" si="21"/>
        <v>1</v>
      </c>
      <c r="AH61" s="108">
        <f t="shared" si="22"/>
        <v>0</v>
      </c>
      <c r="AI61" s="108">
        <f t="shared" si="23"/>
        <v>0</v>
      </c>
      <c r="AJ61" s="108">
        <f t="shared" si="24"/>
        <v>5</v>
      </c>
      <c r="AK61" s="108">
        <f t="shared" si="25"/>
        <v>0</v>
      </c>
      <c r="AL61" s="108">
        <f t="shared" si="26"/>
        <v>0</v>
      </c>
      <c r="AZ61" s="138" t="str">
        <f>Uitslag!P61</f>
        <v>Ron Vlaar (v)</v>
      </c>
      <c r="BA61" s="140">
        <f t="shared" si="15"/>
        <v>3</v>
      </c>
      <c r="BB61" s="139">
        <f t="shared" si="27"/>
        <v>3</v>
      </c>
    </row>
    <row r="62" spans="2:54">
      <c r="B62" s="252">
        <v>52</v>
      </c>
      <c r="C62" s="343">
        <v>41819</v>
      </c>
      <c r="D62" s="341" t="str">
        <f t="shared" si="16"/>
        <v>Italië</v>
      </c>
      <c r="E62" s="255" t="s">
        <v>9</v>
      </c>
      <c r="F62" s="285" t="str">
        <f t="shared" si="17"/>
        <v>Japan</v>
      </c>
      <c r="G62" s="313">
        <v>2</v>
      </c>
      <c r="H62" s="255" t="s">
        <v>9</v>
      </c>
      <c r="I62" s="325">
        <v>0</v>
      </c>
      <c r="J62" s="326">
        <v>1</v>
      </c>
      <c r="K62" s="283" t="s">
        <v>62</v>
      </c>
      <c r="L62" s="283" t="s">
        <v>58</v>
      </c>
      <c r="M62" s="283"/>
      <c r="N62" s="228"/>
      <c r="O62" s="334">
        <v>5</v>
      </c>
      <c r="P62" s="877" t="s">
        <v>212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4"/>
        <v>Maarten Stekelenburg (k)</v>
      </c>
      <c r="Y62" s="109">
        <f t="shared" si="18"/>
        <v>0</v>
      </c>
      <c r="Z62" t="str">
        <f t="shared" si="19"/>
        <v>Italië</v>
      </c>
      <c r="AA62" t="str">
        <f t="shared" si="19"/>
        <v>Japan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20"/>
        <v>0</v>
      </c>
      <c r="AG62" s="108">
        <f t="shared" si="21"/>
        <v>0</v>
      </c>
      <c r="AH62" s="108">
        <f t="shared" si="22"/>
        <v>0</v>
      </c>
      <c r="AI62" s="108">
        <f t="shared" si="23"/>
        <v>0</v>
      </c>
      <c r="AJ62" s="108">
        <f t="shared" si="24"/>
        <v>0</v>
      </c>
      <c r="AK62" s="108">
        <f t="shared" si="25"/>
        <v>0</v>
      </c>
      <c r="AL62" s="108">
        <f t="shared" si="26"/>
        <v>0</v>
      </c>
      <c r="AZ62" s="138" t="str">
        <f>Uitslag!P62</f>
        <v>Bruno Martins Indi (v)</v>
      </c>
      <c r="BA62" s="140">
        <f t="shared" si="15"/>
        <v>3</v>
      </c>
      <c r="BB62" s="139">
        <f t="shared" si="27"/>
        <v>3</v>
      </c>
    </row>
    <row r="63" spans="2:54">
      <c r="B63" s="240">
        <v>53</v>
      </c>
      <c r="C63" s="342">
        <v>41820</v>
      </c>
      <c r="D63" s="336" t="str">
        <f t="shared" si="16"/>
        <v>Frankrijk</v>
      </c>
      <c r="E63" s="243" t="s">
        <v>9</v>
      </c>
      <c r="F63" s="282" t="str">
        <f t="shared" si="17"/>
        <v>Nigeria</v>
      </c>
      <c r="G63" s="311">
        <v>1</v>
      </c>
      <c r="H63" s="243" t="s">
        <v>9</v>
      </c>
      <c r="I63" s="323">
        <v>1</v>
      </c>
      <c r="J63" s="324">
        <v>1</v>
      </c>
      <c r="K63" s="283" t="s">
        <v>67</v>
      </c>
      <c r="L63" s="283" t="s">
        <v>73</v>
      </c>
      <c r="M63" s="283"/>
      <c r="N63" s="228"/>
      <c r="O63" s="334">
        <v>6</v>
      </c>
      <c r="P63" s="877" t="s">
        <v>225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4"/>
        <v>Michel Vorm (k)</v>
      </c>
      <c r="Y63" s="109">
        <f t="shared" si="18"/>
        <v>0</v>
      </c>
      <c r="Z63" t="str">
        <f t="shared" si="19"/>
        <v>Frankrijk</v>
      </c>
      <c r="AA63" t="str">
        <f t="shared" si="19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20"/>
        <v>0</v>
      </c>
      <c r="AG63" s="108">
        <f t="shared" si="21"/>
        <v>0</v>
      </c>
      <c r="AH63" s="108">
        <f t="shared" si="22"/>
        <v>0</v>
      </c>
      <c r="AI63" s="108">
        <f t="shared" si="23"/>
        <v>0</v>
      </c>
      <c r="AJ63" s="108">
        <f t="shared" si="24"/>
        <v>0</v>
      </c>
      <c r="AK63" s="108">
        <f t="shared" si="25"/>
        <v>0</v>
      </c>
      <c r="AL63" s="108">
        <f t="shared" si="26"/>
        <v>0</v>
      </c>
      <c r="AZ63" s="138" t="str">
        <f>Uitslag!P63</f>
        <v>Daley Blind (v)</v>
      </c>
      <c r="BA63" s="140">
        <f t="shared" si="15"/>
        <v>3</v>
      </c>
      <c r="BB63" s="139">
        <f t="shared" si="27"/>
        <v>3</v>
      </c>
    </row>
    <row r="64" spans="2:54">
      <c r="B64" s="252">
        <v>54</v>
      </c>
      <c r="C64" s="343">
        <v>41820</v>
      </c>
      <c r="D64" s="337" t="str">
        <f t="shared" si="16"/>
        <v>Portugal</v>
      </c>
      <c r="E64" s="255" t="s">
        <v>9</v>
      </c>
      <c r="F64" s="285" t="str">
        <f t="shared" si="17"/>
        <v>Algerije</v>
      </c>
      <c r="G64" s="313">
        <v>2</v>
      </c>
      <c r="H64" s="255" t="s">
        <v>9</v>
      </c>
      <c r="I64" s="325">
        <v>0</v>
      </c>
      <c r="J64" s="326">
        <v>1</v>
      </c>
      <c r="K64" s="283" t="s">
        <v>77</v>
      </c>
      <c r="L64" s="283" t="s">
        <v>83</v>
      </c>
      <c r="M64" s="283"/>
      <c r="N64" s="228"/>
      <c r="O64" s="334">
        <v>7</v>
      </c>
      <c r="P64" s="877" t="s">
        <v>214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4"/>
        <v>Joël Veltman (v)</v>
      </c>
      <c r="Y64" s="109">
        <f t="shared" si="18"/>
        <v>1</v>
      </c>
      <c r="Z64" t="str">
        <f t="shared" si="19"/>
        <v>Portugal</v>
      </c>
      <c r="AA64" t="str">
        <f t="shared" si="19"/>
        <v>Algerije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20"/>
        <v>1</v>
      </c>
      <c r="AG64" s="108">
        <f t="shared" si="21"/>
        <v>0</v>
      </c>
      <c r="AH64" s="108">
        <f t="shared" si="22"/>
        <v>1</v>
      </c>
      <c r="AI64" s="108">
        <f t="shared" si="23"/>
        <v>0</v>
      </c>
      <c r="AJ64" s="108">
        <f t="shared" si="24"/>
        <v>0</v>
      </c>
      <c r="AK64" s="108">
        <f t="shared" si="25"/>
        <v>0</v>
      </c>
      <c r="AL64" s="108">
        <f t="shared" si="26"/>
        <v>0</v>
      </c>
      <c r="AZ64" s="138" t="str">
        <f>Uitslag!P64</f>
        <v>Wesley Sneijder (m)</v>
      </c>
      <c r="BA64" s="140">
        <f t="shared" si="15"/>
        <v>3</v>
      </c>
      <c r="BB64" s="139">
        <f t="shared" si="27"/>
        <v>3</v>
      </c>
    </row>
    <row r="65" spans="2:54">
      <c r="B65" s="246">
        <v>55</v>
      </c>
      <c r="C65" s="344">
        <v>41821</v>
      </c>
      <c r="D65" s="336" t="str">
        <f t="shared" si="16"/>
        <v>Argentinië</v>
      </c>
      <c r="E65" s="249" t="s">
        <v>9</v>
      </c>
      <c r="F65" s="286" t="str">
        <f t="shared" si="17"/>
        <v>Ecuador</v>
      </c>
      <c r="G65" s="312">
        <v>1</v>
      </c>
      <c r="H65" s="249" t="s">
        <v>9</v>
      </c>
      <c r="I65" s="327">
        <v>0</v>
      </c>
      <c r="J65" s="328">
        <v>1</v>
      </c>
      <c r="K65" s="283" t="s">
        <v>72</v>
      </c>
      <c r="L65" s="283" t="s">
        <v>68</v>
      </c>
      <c r="M65" s="283"/>
      <c r="N65" s="228"/>
      <c r="O65" s="334">
        <v>8</v>
      </c>
      <c r="P65" s="877" t="s">
        <v>221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4"/>
        <v>Daley Blind (v)</v>
      </c>
      <c r="Y65" s="109">
        <f t="shared" si="18"/>
        <v>1</v>
      </c>
      <c r="Z65" t="str">
        <f t="shared" si="19"/>
        <v>Argentinië</v>
      </c>
      <c r="AA65" t="str">
        <f t="shared" si="19"/>
        <v>Ecuador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20"/>
        <v>1</v>
      </c>
      <c r="AG65" s="108">
        <f t="shared" si="21"/>
        <v>0</v>
      </c>
      <c r="AH65" s="108">
        <f t="shared" si="22"/>
        <v>1</v>
      </c>
      <c r="AI65" s="108">
        <f t="shared" si="23"/>
        <v>0</v>
      </c>
      <c r="AJ65" s="108">
        <f t="shared" si="24"/>
        <v>0</v>
      </c>
      <c r="AK65" s="108">
        <f t="shared" si="25"/>
        <v>0</v>
      </c>
      <c r="AL65" s="108">
        <f t="shared" si="26"/>
        <v>0</v>
      </c>
      <c r="AZ65" s="138" t="str">
        <f>Uitslag!P65</f>
        <v>Nigel de Jong (m)</v>
      </c>
      <c r="BA65" s="140">
        <f t="shared" si="15"/>
        <v>0</v>
      </c>
      <c r="BB65" s="139">
        <f t="shared" si="27"/>
        <v>0</v>
      </c>
    </row>
    <row r="66" spans="2:54" ht="15.75" thickBot="1">
      <c r="B66" s="261">
        <v>56</v>
      </c>
      <c r="C66" s="339">
        <v>41821</v>
      </c>
      <c r="D66" s="338" t="str">
        <f t="shared" si="16"/>
        <v>Rusland</v>
      </c>
      <c r="E66" s="264" t="s">
        <v>9</v>
      </c>
      <c r="F66" s="288" t="str">
        <f t="shared" si="17"/>
        <v>Duitsland</v>
      </c>
      <c r="G66" s="314">
        <v>1</v>
      </c>
      <c r="H66" s="264" t="s">
        <v>9</v>
      </c>
      <c r="I66" s="329">
        <v>2</v>
      </c>
      <c r="J66" s="330">
        <v>2</v>
      </c>
      <c r="K66" s="283" t="s">
        <v>82</v>
      </c>
      <c r="L66" s="283" t="s">
        <v>78</v>
      </c>
      <c r="M66" s="283"/>
      <c r="N66" s="228"/>
      <c r="O66" s="334">
        <v>9</v>
      </c>
      <c r="P66" s="877" t="s">
        <v>213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4"/>
        <v>Daryl Janmaat (v)</v>
      </c>
      <c r="Y66" s="109">
        <f t="shared" si="18"/>
        <v>0</v>
      </c>
      <c r="Z66" t="str">
        <f>IF(K66=""," ",VLOOKUP(K66,$T$9:$V$54,3,FALSE))</f>
        <v>Rusland</v>
      </c>
      <c r="AA66" t="str">
        <f>IF(L66=""," ",VLOOKUP(L66,$T$9:$V$54,3,FALSE))</f>
        <v>Duitsland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20"/>
        <v>0</v>
      </c>
      <c r="AG66" s="108">
        <f t="shared" si="21"/>
        <v>0</v>
      </c>
      <c r="AH66" s="108">
        <f t="shared" si="22"/>
        <v>0</v>
      </c>
      <c r="AI66" s="108">
        <f t="shared" si="23"/>
        <v>0</v>
      </c>
      <c r="AJ66" s="108">
        <f t="shared" si="24"/>
        <v>0</v>
      </c>
      <c r="AK66" s="108">
        <f t="shared" si="25"/>
        <v>0</v>
      </c>
      <c r="AL66" s="108">
        <f t="shared" si="26"/>
        <v>0</v>
      </c>
      <c r="AZ66" s="138" t="str">
        <f>Uitslag!P66</f>
        <v>Jonathan de Guzman (m)</v>
      </c>
      <c r="BA66" s="140">
        <f t="shared" si="15"/>
        <v>3</v>
      </c>
      <c r="BB66" s="139">
        <f t="shared" si="27"/>
        <v>3</v>
      </c>
    </row>
    <row r="67" spans="2:54" ht="15.75" thickBot="1">
      <c r="B67" s="229"/>
      <c r="C67" s="267"/>
      <c r="D67" s="268"/>
      <c r="E67" s="229"/>
      <c r="F67" s="268"/>
      <c r="G67" s="229"/>
      <c r="H67" s="229"/>
      <c r="I67" s="229"/>
      <c r="J67" s="229"/>
      <c r="K67" s="229"/>
      <c r="L67" s="229"/>
      <c r="M67" s="229"/>
      <c r="N67" s="228"/>
      <c r="O67" s="334">
        <v>10</v>
      </c>
      <c r="P67" s="877" t="s">
        <v>215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4"/>
        <v>Terence Kongolo (v)</v>
      </c>
      <c r="AZ67" s="138" t="str">
        <f>Uitslag!P67</f>
        <v>Robin van Persie (a)</v>
      </c>
      <c r="BA67" s="140">
        <f t="shared" si="15"/>
        <v>3</v>
      </c>
      <c r="BB67" s="139">
        <f t="shared" si="27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348"/>
      <c r="K68" s="229"/>
      <c r="L68" s="229"/>
      <c r="M68" s="229"/>
      <c r="N68" s="228"/>
      <c r="O68" s="334">
        <v>11</v>
      </c>
      <c r="P68" s="877" t="s">
        <v>216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4"/>
        <v>Bruno Martins Indi (v)</v>
      </c>
      <c r="Y68" s="112" t="s">
        <v>99</v>
      </c>
      <c r="AZ68" s="138" t="str">
        <f>Uitslag!P68</f>
        <v>Arjen Robben (a)</v>
      </c>
      <c r="BA68" s="140">
        <f t="shared" si="15"/>
        <v>3</v>
      </c>
      <c r="BB68" s="139">
        <f t="shared" si="27"/>
        <v>3</v>
      </c>
    </row>
    <row r="69" spans="2:54">
      <c r="B69" s="304" t="s">
        <v>1</v>
      </c>
      <c r="C69" s="305" t="s">
        <v>2</v>
      </c>
      <c r="D69" s="345" t="s">
        <v>3</v>
      </c>
      <c r="E69" s="307"/>
      <c r="F69" s="346" t="s">
        <v>4</v>
      </c>
      <c r="G69" s="867" t="s">
        <v>5</v>
      </c>
      <c r="H69" s="868"/>
      <c r="I69" s="869"/>
      <c r="J69" s="309" t="s">
        <v>6</v>
      </c>
      <c r="K69" s="229"/>
      <c r="L69" s="229"/>
      <c r="M69" s="229"/>
      <c r="N69" s="228"/>
      <c r="O69" s="228"/>
      <c r="P69" s="228"/>
      <c r="Q69" s="228"/>
      <c r="R69" s="228"/>
      <c r="S69" s="228"/>
      <c r="T69" s="228"/>
      <c r="V69" t="s">
        <v>133</v>
      </c>
      <c r="W69" t="s">
        <v>121</v>
      </c>
      <c r="X69" t="str">
        <f t="shared" si="14"/>
        <v>Stefan de Vrij (v)</v>
      </c>
      <c r="Y69" s="113" t="s">
        <v>91</v>
      </c>
      <c r="AP69" s="137" t="s">
        <v>140</v>
      </c>
      <c r="AY69" s="137"/>
      <c r="BA69" s="141">
        <f>SUM(BA58:BA68)</f>
        <v>30</v>
      </c>
      <c r="BB69" s="139" t="str">
        <f>IF(AND(BA69&lt;&gt;"",BA69=33),15,"nvt")</f>
        <v>nvt</v>
      </c>
    </row>
    <row r="70" spans="2:54">
      <c r="B70" s="240">
        <v>57</v>
      </c>
      <c r="C70" s="241">
        <v>41824</v>
      </c>
      <c r="D70" s="281" t="str">
        <f>IF(J63="","Winnaar 53",IF(J63=1,D63,F63))</f>
        <v>Frankrijk</v>
      </c>
      <c r="E70" s="243" t="s">
        <v>9</v>
      </c>
      <c r="F70" s="282" t="str">
        <f>IF(J64="","Winnaar 54",IF(J64=1,D64,F64))</f>
        <v>Portugal</v>
      </c>
      <c r="G70" s="311">
        <v>1</v>
      </c>
      <c r="H70" s="243" t="s">
        <v>9</v>
      </c>
      <c r="I70" s="323">
        <v>1</v>
      </c>
      <c r="J70" s="324">
        <v>2</v>
      </c>
      <c r="K70" s="229"/>
      <c r="L70" s="229"/>
      <c r="M70" s="229"/>
      <c r="N70" s="228"/>
      <c r="O70" s="228"/>
      <c r="P70" s="228"/>
      <c r="Q70" s="228"/>
      <c r="R70" s="228"/>
      <c r="S70" s="228"/>
      <c r="T70" s="228"/>
      <c r="V70" t="s">
        <v>133</v>
      </c>
      <c r="W70" t="s">
        <v>126</v>
      </c>
      <c r="X70" t="str">
        <f t="shared" si="14"/>
        <v>Karim Rekik (v)</v>
      </c>
      <c r="Y70" s="109">
        <f>AF70</f>
        <v>1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1</v>
      </c>
      <c r="AG70" s="108">
        <f>IF(AC70="",0,(IF(G70=AC70,1,0)))</f>
        <v>0</v>
      </c>
      <c r="AH70" s="108">
        <f>IF(AD70="",0,(IF(I70=AD70,1,0)))</f>
        <v>1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0</v>
      </c>
      <c r="AL70" s="108">
        <f>IF(AND(G70=I70,AC70=AD70),5,0)</f>
        <v>0</v>
      </c>
    </row>
    <row r="71" spans="2:54">
      <c r="B71" s="252">
        <v>58</v>
      </c>
      <c r="C71" s="253">
        <v>41824</v>
      </c>
      <c r="D71" s="284" t="str">
        <f>IF(J59="","Winnaar 49",IF(J59=1,D59,F59))</f>
        <v>Brazilië</v>
      </c>
      <c r="E71" s="255" t="s">
        <v>9</v>
      </c>
      <c r="F71" s="285" t="str">
        <f>IF(J60="","Winnaar 50",IF(J60=1,D60,F60))</f>
        <v>Engeland</v>
      </c>
      <c r="G71" s="313">
        <v>2</v>
      </c>
      <c r="H71" s="255" t="s">
        <v>9</v>
      </c>
      <c r="I71" s="325">
        <v>1</v>
      </c>
      <c r="J71" s="326">
        <v>1</v>
      </c>
      <c r="K71" s="229"/>
      <c r="L71" s="229"/>
      <c r="M71" s="229"/>
      <c r="N71" s="228"/>
      <c r="O71" s="228"/>
      <c r="P71" s="228"/>
      <c r="Q71" s="228"/>
      <c r="R71" s="228"/>
      <c r="S71" s="228"/>
      <c r="T71" s="228"/>
      <c r="V71" t="s">
        <v>133</v>
      </c>
      <c r="W71" t="s">
        <v>194</v>
      </c>
      <c r="X71" t="str">
        <f t="shared" si="14"/>
        <v>Ron Vlaar (v)</v>
      </c>
      <c r="Y71" s="109">
        <f>AF71</f>
        <v>10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10</v>
      </c>
      <c r="AG71" s="108">
        <f>IF(AC71="",0,(IF(G71=AC71,1,0)))</f>
        <v>1</v>
      </c>
      <c r="AH71" s="108">
        <f>IF(AD71="",0,(IF(I71=AD71,1,0)))</f>
        <v>1</v>
      </c>
      <c r="AI71" s="108">
        <f>IF(AND(AG71=1,AH71=1),10,0)</f>
        <v>10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240">
        <v>59</v>
      </c>
      <c r="C72" s="241">
        <v>41825</v>
      </c>
      <c r="D72" s="281" t="str">
        <f>IF(J65="","Winnaar 55",IF(J65=1,D65,F65))</f>
        <v>Argentinië</v>
      </c>
      <c r="E72" s="243" t="s">
        <v>9</v>
      </c>
      <c r="F72" s="282" t="str">
        <f>IF(J66="","Winnaar 56",IF(J66=1,D66,F66))</f>
        <v>Duitsland</v>
      </c>
      <c r="G72" s="311">
        <v>0</v>
      </c>
      <c r="H72" s="243" t="s">
        <v>9</v>
      </c>
      <c r="I72" s="323">
        <v>1</v>
      </c>
      <c r="J72" s="324">
        <v>2</v>
      </c>
      <c r="K72" s="229"/>
      <c r="L72" s="229"/>
      <c r="M72" s="229"/>
      <c r="N72" s="228"/>
      <c r="O72" s="228"/>
      <c r="P72" s="228"/>
      <c r="Q72" s="228"/>
      <c r="R72" s="228"/>
      <c r="S72" s="228"/>
      <c r="T72" s="228"/>
      <c r="V72" t="s">
        <v>133</v>
      </c>
      <c r="W72" t="s">
        <v>195</v>
      </c>
      <c r="X72" t="str">
        <f t="shared" si="14"/>
        <v>John Heitinga (v)</v>
      </c>
      <c r="Y72" s="109">
        <f>AF72</f>
        <v>0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0</v>
      </c>
      <c r="AG72" s="108">
        <f>IF(AC72="",0,(IF(G72=AC72,1,0)))</f>
        <v>0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0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261">
        <v>60</v>
      </c>
      <c r="C73" s="262">
        <v>41825</v>
      </c>
      <c r="D73" s="287" t="str">
        <f>IF(J61="","Winnaar 51",IF(J61=1,D61,F61))</f>
        <v>Spanje</v>
      </c>
      <c r="E73" s="264" t="s">
        <v>9</v>
      </c>
      <c r="F73" s="288" t="str">
        <f>IF(J62="","Winnaar 52",IF(J62=1,D62,F62))</f>
        <v>Italië</v>
      </c>
      <c r="G73" s="314">
        <v>2</v>
      </c>
      <c r="H73" s="264" t="s">
        <v>9</v>
      </c>
      <c r="I73" s="329">
        <v>0</v>
      </c>
      <c r="J73" s="330">
        <v>1</v>
      </c>
      <c r="K73" s="229"/>
      <c r="L73" s="229"/>
      <c r="M73" s="229"/>
      <c r="N73" s="228"/>
      <c r="O73" s="228"/>
      <c r="P73" s="228"/>
      <c r="Q73" s="228"/>
      <c r="R73" s="228"/>
      <c r="S73" s="228"/>
      <c r="T73" s="228"/>
      <c r="V73" t="s">
        <v>133</v>
      </c>
      <c r="W73" t="s">
        <v>196</v>
      </c>
      <c r="X73" t="str">
        <f t="shared" si="14"/>
        <v>Urby Emanuelson (v)</v>
      </c>
      <c r="Y73" s="109">
        <f>AF73</f>
        <v>1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1</v>
      </c>
      <c r="AG73" s="108">
        <f>IF(AC73="",0,(IF(G73=AC73,1,0)))</f>
        <v>0</v>
      </c>
      <c r="AH73" s="108">
        <f>IF(AD73="",0,(IF(I73=AD73,1,0)))</f>
        <v>1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229"/>
      <c r="C74" s="267"/>
      <c r="D74" s="268"/>
      <c r="E74" s="229"/>
      <c r="F74" s="268"/>
      <c r="G74" s="229"/>
      <c r="H74" s="229"/>
      <c r="I74" s="229"/>
      <c r="J74" s="229"/>
      <c r="K74" s="229"/>
      <c r="L74" s="229"/>
      <c r="M74" s="229"/>
      <c r="N74" s="228"/>
      <c r="O74" s="228"/>
      <c r="P74" s="228"/>
      <c r="Q74" s="228"/>
      <c r="R74" s="228"/>
      <c r="S74" s="228"/>
      <c r="T74" s="228"/>
      <c r="V74" t="s">
        <v>133</v>
      </c>
      <c r="W74" t="s">
        <v>197</v>
      </c>
      <c r="X74" t="str">
        <f t="shared" si="14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348"/>
      <c r="K75" s="229"/>
      <c r="L75" s="229"/>
      <c r="M75" s="229"/>
      <c r="N75" s="228"/>
      <c r="O75" s="228"/>
      <c r="P75" s="228"/>
      <c r="Q75" s="228"/>
      <c r="R75" s="228"/>
      <c r="S75" s="228"/>
      <c r="T75" s="228"/>
      <c r="V75" t="s">
        <v>133</v>
      </c>
      <c r="W75" t="s">
        <v>198</v>
      </c>
      <c r="X75" t="str">
        <f t="shared" si="14"/>
        <v>Virgil van Dijk (v)</v>
      </c>
      <c r="Y75" s="112" t="s">
        <v>99</v>
      </c>
    </row>
    <row r="76" spans="2:54">
      <c r="B76" s="304" t="s">
        <v>1</v>
      </c>
      <c r="C76" s="305" t="s">
        <v>2</v>
      </c>
      <c r="D76" s="345" t="s">
        <v>3</v>
      </c>
      <c r="E76" s="307"/>
      <c r="F76" s="346" t="s">
        <v>4</v>
      </c>
      <c r="G76" s="867" t="s">
        <v>5</v>
      </c>
      <c r="H76" s="868"/>
      <c r="I76" s="869"/>
      <c r="J76" s="309" t="s">
        <v>6</v>
      </c>
      <c r="K76" s="229"/>
      <c r="L76" s="229"/>
      <c r="M76" s="229"/>
      <c r="N76" s="228"/>
      <c r="O76" s="228"/>
      <c r="P76" s="228"/>
      <c r="Q76" s="228"/>
      <c r="R76" s="228"/>
      <c r="S76" s="228"/>
      <c r="T76" s="228"/>
      <c r="V76" t="s">
        <v>133</v>
      </c>
      <c r="W76" t="s">
        <v>202</v>
      </c>
      <c r="X76" t="str">
        <f t="shared" si="14"/>
        <v>Alexander Buttner (v)</v>
      </c>
      <c r="Y76" s="113" t="s">
        <v>91</v>
      </c>
    </row>
    <row r="77" spans="2:54">
      <c r="B77" s="240">
        <v>61</v>
      </c>
      <c r="C77" s="241">
        <v>41828</v>
      </c>
      <c r="D77" s="281" t="str">
        <f>IF(J70="","Winnaar 57",IF(J70=1,D70,F70))</f>
        <v>Portugal</v>
      </c>
      <c r="E77" s="243" t="s">
        <v>9</v>
      </c>
      <c r="F77" s="282" t="str">
        <f>IF(J71="","Winnaar 58",IF(J71=1,D71,F71))</f>
        <v>Brazilië</v>
      </c>
      <c r="G77" s="311">
        <v>1</v>
      </c>
      <c r="H77" s="243" t="s">
        <v>9</v>
      </c>
      <c r="I77" s="323">
        <v>1</v>
      </c>
      <c r="J77" s="324">
        <v>2</v>
      </c>
      <c r="K77" s="229"/>
      <c r="L77" s="229"/>
      <c r="M77" s="229"/>
      <c r="N77" s="228"/>
      <c r="O77" s="228"/>
      <c r="P77" s="228"/>
      <c r="Q77" s="228"/>
      <c r="R77" s="228"/>
      <c r="S77" s="228"/>
      <c r="T77" s="228"/>
      <c r="V77" t="s">
        <v>134</v>
      </c>
      <c r="W77" t="s">
        <v>203</v>
      </c>
      <c r="X77" t="str">
        <f t="shared" si="14"/>
        <v>Marco van Ginkel (m)</v>
      </c>
      <c r="Y77" s="109">
        <f>AF77</f>
        <v>1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1</v>
      </c>
      <c r="AG77" s="108">
        <f>IF(AC77="",0,(IF(G77=AC77,1,0)))</f>
        <v>0</v>
      </c>
      <c r="AH77" s="108">
        <f>IF(AD77="",0,(IF(I77=AD77,1,0)))</f>
        <v>1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261">
        <v>62</v>
      </c>
      <c r="C78" s="262">
        <v>41829</v>
      </c>
      <c r="D78" s="287" t="str">
        <f>IF(J72="","Winnaar 59",IF(J72=1,D72,F72))</f>
        <v>Duitsland</v>
      </c>
      <c r="E78" s="264" t="s">
        <v>9</v>
      </c>
      <c r="F78" s="288" t="str">
        <f>IF(J73="","Winnaar 60",IF(J73=1,D73,F73))</f>
        <v>Spanje</v>
      </c>
      <c r="G78" s="314">
        <v>1</v>
      </c>
      <c r="H78" s="264" t="s">
        <v>9</v>
      </c>
      <c r="I78" s="329">
        <v>0</v>
      </c>
      <c r="J78" s="330">
        <v>1</v>
      </c>
      <c r="K78" s="229"/>
      <c r="L78" s="229"/>
      <c r="M78" s="229"/>
      <c r="N78" s="228"/>
      <c r="O78" s="228"/>
      <c r="P78" s="228"/>
      <c r="Q78" s="228"/>
      <c r="R78" s="228"/>
      <c r="S78" s="228"/>
      <c r="T78" s="228"/>
      <c r="V78" t="s">
        <v>134</v>
      </c>
      <c r="W78" t="s">
        <v>199</v>
      </c>
      <c r="X78" t="str">
        <f t="shared" si="14"/>
        <v>Leroy Fer (m)</v>
      </c>
      <c r="Y78" s="109">
        <f>AF78</f>
        <v>1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1</v>
      </c>
      <c r="AG78" s="108">
        <f>IF(AC78="",0,(IF(G78=AC78,1,0)))</f>
        <v>0</v>
      </c>
      <c r="AH78" s="108">
        <f>IF(AD78="",0,(IF(I78=AD78,1,0)))</f>
        <v>1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229"/>
      <c r="C79" s="267"/>
      <c r="D79" s="268"/>
      <c r="E79" s="229"/>
      <c r="F79" s="268"/>
      <c r="G79" s="229"/>
      <c r="H79" s="229"/>
      <c r="I79" s="229"/>
      <c r="J79" s="229"/>
      <c r="K79" s="229"/>
      <c r="L79" s="229"/>
      <c r="M79" s="229"/>
      <c r="N79" s="228"/>
      <c r="O79" s="228"/>
      <c r="P79" s="228"/>
      <c r="Q79" s="228"/>
      <c r="R79" s="228"/>
      <c r="S79" s="228"/>
      <c r="T79" s="228"/>
      <c r="V79" t="s">
        <v>134</v>
      </c>
      <c r="W79" t="s">
        <v>114</v>
      </c>
      <c r="X79" t="str">
        <f t="shared" si="14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348"/>
      <c r="K80" s="229"/>
      <c r="L80" s="229"/>
      <c r="M80" s="229"/>
      <c r="N80" s="228"/>
      <c r="O80" s="228"/>
      <c r="P80" s="228"/>
      <c r="Q80" s="228"/>
      <c r="R80" s="228"/>
      <c r="S80" s="228"/>
      <c r="T80" s="228"/>
      <c r="V80" t="s">
        <v>134</v>
      </c>
      <c r="W80" t="s">
        <v>117</v>
      </c>
      <c r="X80" t="str">
        <f t="shared" si="14"/>
        <v>Davy Klaassen (m)</v>
      </c>
      <c r="Y80" s="112" t="s">
        <v>99</v>
      </c>
    </row>
    <row r="81" spans="2:50">
      <c r="B81" s="304" t="s">
        <v>1</v>
      </c>
      <c r="C81" s="305" t="s">
        <v>2</v>
      </c>
      <c r="D81" s="345" t="s">
        <v>3</v>
      </c>
      <c r="E81" s="307"/>
      <c r="F81" s="346" t="s">
        <v>4</v>
      </c>
      <c r="G81" s="867" t="s">
        <v>5</v>
      </c>
      <c r="H81" s="868"/>
      <c r="I81" s="869"/>
      <c r="J81" s="309" t="s">
        <v>6</v>
      </c>
      <c r="K81" s="229"/>
      <c r="L81" s="229"/>
      <c r="M81" s="229"/>
      <c r="N81" s="228"/>
      <c r="O81" s="228"/>
      <c r="P81" s="228"/>
      <c r="Q81" s="228"/>
      <c r="R81" s="228"/>
      <c r="S81" s="228"/>
      <c r="T81" s="228"/>
      <c r="V81" t="s">
        <v>134</v>
      </c>
      <c r="W81" t="s">
        <v>120</v>
      </c>
      <c r="X81" t="str">
        <f t="shared" si="14"/>
        <v>Tonny Trindade de Vilhena (m)</v>
      </c>
      <c r="Y81" s="113" t="s">
        <v>91</v>
      </c>
    </row>
    <row r="82" spans="2:50" ht="15.75" thickBot="1">
      <c r="B82" s="230">
        <v>63</v>
      </c>
      <c r="C82" s="289">
        <v>41832</v>
      </c>
      <c r="D82" s="290" t="str">
        <f>IF(J77="","Verliezer 61",IF(J77=1,F77,D77))</f>
        <v>Portugal</v>
      </c>
      <c r="E82" s="231" t="s">
        <v>9</v>
      </c>
      <c r="F82" s="291" t="str">
        <f>IF(J78="","Verliezer 62",IF(J78=1,F78,D78))</f>
        <v>Spanje</v>
      </c>
      <c r="G82" s="331">
        <v>1</v>
      </c>
      <c r="H82" s="231" t="s">
        <v>9</v>
      </c>
      <c r="I82" s="332">
        <v>2</v>
      </c>
      <c r="J82" s="333">
        <v>2</v>
      </c>
      <c r="K82" s="229"/>
      <c r="L82" s="229"/>
      <c r="M82" s="229"/>
      <c r="N82" s="228"/>
      <c r="O82" s="228"/>
      <c r="P82" s="228"/>
      <c r="Q82" s="228"/>
      <c r="R82" s="228"/>
      <c r="S82" s="228"/>
      <c r="T82" s="228"/>
      <c r="V82" t="s">
        <v>134</v>
      </c>
      <c r="W82" t="s">
        <v>125</v>
      </c>
      <c r="X82" t="str">
        <f t="shared" si="14"/>
        <v>Georginio Wijnaldum (m)</v>
      </c>
      <c r="Y82" s="109">
        <f>AF82</f>
        <v>5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5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5</v>
      </c>
      <c r="AL82" s="108">
        <f>IF(AND(G82=I82,AC82=AD82),5,0)</f>
        <v>0</v>
      </c>
    </row>
    <row r="83" spans="2:50" ht="15.75" thickBot="1">
      <c r="B83" s="229"/>
      <c r="C83" s="267"/>
      <c r="D83" s="268"/>
      <c r="E83" s="229"/>
      <c r="F83" s="268"/>
      <c r="G83" s="229"/>
      <c r="H83" s="229"/>
      <c r="I83" s="229"/>
      <c r="J83" s="229"/>
      <c r="K83" s="229"/>
      <c r="L83" s="229"/>
      <c r="M83" s="229"/>
      <c r="N83" s="228"/>
      <c r="O83" s="228"/>
      <c r="P83" s="228"/>
      <c r="Q83" s="228"/>
      <c r="R83" s="228"/>
      <c r="S83" s="228"/>
      <c r="T83" s="228"/>
      <c r="V83" t="s">
        <v>134</v>
      </c>
      <c r="W83" t="s">
        <v>136</v>
      </c>
      <c r="X83" t="str">
        <f t="shared" si="14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348"/>
      <c r="K84" s="229"/>
      <c r="L84" s="229"/>
      <c r="M84" s="229"/>
      <c r="N84" s="228"/>
      <c r="O84" s="228"/>
      <c r="P84" s="228"/>
      <c r="Q84" s="228"/>
      <c r="R84" s="228"/>
      <c r="S84" s="228"/>
      <c r="T84" s="228"/>
      <c r="V84" t="s">
        <v>134</v>
      </c>
      <c r="W84" t="s">
        <v>137</v>
      </c>
      <c r="X84" t="str">
        <f t="shared" si="14"/>
        <v>Wesley Sneijder (m)</v>
      </c>
      <c r="Y84" s="112" t="s">
        <v>99</v>
      </c>
    </row>
    <row r="85" spans="2:50">
      <c r="B85" s="304" t="s">
        <v>1</v>
      </c>
      <c r="C85" s="305" t="s">
        <v>2</v>
      </c>
      <c r="D85" s="345" t="s">
        <v>3</v>
      </c>
      <c r="E85" s="307"/>
      <c r="F85" s="346" t="s">
        <v>4</v>
      </c>
      <c r="G85" s="867" t="s">
        <v>5</v>
      </c>
      <c r="H85" s="868"/>
      <c r="I85" s="869"/>
      <c r="J85" s="309" t="s">
        <v>6</v>
      </c>
      <c r="K85" s="229"/>
      <c r="L85" s="229"/>
      <c r="M85" s="229"/>
      <c r="N85" s="228"/>
      <c r="O85" s="228"/>
      <c r="P85" s="228"/>
      <c r="Q85" s="228"/>
      <c r="R85" s="228"/>
      <c r="S85" s="228"/>
      <c r="T85" s="228"/>
      <c r="V85" t="s">
        <v>134</v>
      </c>
      <c r="W85" t="s">
        <v>138</v>
      </c>
      <c r="X85" t="str">
        <f t="shared" si="14"/>
        <v>Jonathan de Guzman (m)</v>
      </c>
      <c r="Y85" s="113" t="s">
        <v>91</v>
      </c>
    </row>
    <row r="86" spans="2:50" ht="15.75" thickBot="1">
      <c r="B86" s="230">
        <v>64</v>
      </c>
      <c r="C86" s="289">
        <v>41833</v>
      </c>
      <c r="D86" s="290" t="str">
        <f>IF(J77="","Winnaar 61",IF(J77=1,D77,F77))</f>
        <v>Brazilië</v>
      </c>
      <c r="E86" s="231" t="s">
        <v>9</v>
      </c>
      <c r="F86" s="291" t="str">
        <f>IF(J78="","Winnaar 62",IF(J78=1,D78,F78))</f>
        <v>Duitsland</v>
      </c>
      <c r="G86" s="331">
        <v>1</v>
      </c>
      <c r="H86" s="231" t="s">
        <v>9</v>
      </c>
      <c r="I86" s="332">
        <v>0</v>
      </c>
      <c r="J86" s="333">
        <v>1</v>
      </c>
      <c r="K86" s="229"/>
      <c r="L86" s="229"/>
      <c r="M86" s="229"/>
      <c r="N86" s="228"/>
      <c r="O86" s="228"/>
      <c r="P86" s="228"/>
      <c r="Q86" s="228"/>
      <c r="R86" s="228"/>
      <c r="S86" s="228"/>
      <c r="T86" s="228"/>
      <c r="V86" t="s">
        <v>134</v>
      </c>
      <c r="W86" t="s">
        <v>139</v>
      </c>
      <c r="X86" t="str">
        <f t="shared" si="14"/>
        <v>Nigel de Jong (m)</v>
      </c>
      <c r="Y86" s="109">
        <f>AF86</f>
        <v>1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1</v>
      </c>
      <c r="AG86" s="108">
        <f>IF(AC86="",0,(IF(G86=AC86,1,0)))</f>
        <v>0</v>
      </c>
      <c r="AH86" s="108">
        <f>IF(AD86="",0,(IF(I86=AD86,1,0)))</f>
        <v>1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4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4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Brazilië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4"/>
        <v>Jermain Lens (a)</v>
      </c>
      <c r="AP89" s="109">
        <f>AU89</f>
        <v>5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5</v>
      </c>
      <c r="AV89">
        <f>IF(AR89=0,0,IF(E89=AR89,50,0))</f>
        <v>0</v>
      </c>
      <c r="AW89">
        <f>IF(E89=0,0,IF(OR(E89=AR90),15,0))</f>
        <v>0</v>
      </c>
      <c r="AX89">
        <f>IF(E89=0,0,IF(OR(E89=AR91,E89=AR92),5,0))</f>
        <v>5</v>
      </c>
    </row>
    <row r="90" spans="2:50" ht="20.25" customHeight="1">
      <c r="C90" s="870">
        <v>2</v>
      </c>
      <c r="D90" s="871"/>
      <c r="E90" s="872" t="str">
        <f>IF(J86=2,D86,IF(J86=1,F86,"Wie wordt 2de?"))</f>
        <v>Duitsland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4"/>
        <v>Dirk Kuyt (a)</v>
      </c>
      <c r="AP90" s="109">
        <f>AU90</f>
        <v>15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15</v>
      </c>
      <c r="AV90">
        <f>IF(AR90=0,0,IF(AR90=E90,25,0))</f>
        <v>0</v>
      </c>
      <c r="AW90">
        <f>IF(E90=0,0,IF(OR(E90=AR89,),15,0))</f>
        <v>15</v>
      </c>
      <c r="AX90">
        <f>IF(E90=0,0,IF(OR(E90=AR91,E90=AR92),5,0))</f>
        <v>0</v>
      </c>
    </row>
    <row r="91" spans="2:50" ht="20.25" customHeight="1">
      <c r="C91" s="870">
        <v>3</v>
      </c>
      <c r="D91" s="871"/>
      <c r="E91" s="872" t="str">
        <f>IF(J82=1,D82,IF(J82=2,F82,"Wie wordt 3de?"))</f>
        <v>Spanje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4"/>
        <v>Jürgen Locadia (a)</v>
      </c>
      <c r="AP91" s="109">
        <f>AU91</f>
        <v>0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0</v>
      </c>
      <c r="AV91">
        <f>IF(AR91=0,0,IF(AR91=E91,15,0))</f>
        <v>0</v>
      </c>
      <c r="AW91">
        <f>IF(E91=0,0,IF(OR(E91=AR92),10,0))</f>
        <v>0</v>
      </c>
      <c r="AX91">
        <f>IF(E91=0,0,IF(OR(E91=AR89,E91=AR90),5,0))</f>
        <v>0</v>
      </c>
    </row>
    <row r="92" spans="2:50" ht="20.25" customHeight="1">
      <c r="C92" s="870">
        <v>4</v>
      </c>
      <c r="D92" s="871"/>
      <c r="E92" s="872" t="str">
        <f>IF(J82=2,D82,IF(J82=1,F82,"Wie wordt 4de?"))</f>
        <v>Portugal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4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0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0</v>
      </c>
    </row>
    <row r="93" spans="2:50" ht="15.75" thickBot="1">
      <c r="V93" t="s">
        <v>135</v>
      </c>
      <c r="W93" t="s">
        <v>123</v>
      </c>
      <c r="X93" t="str">
        <f t="shared" si="14"/>
        <v>Quincy Promes (a)</v>
      </c>
      <c r="AS93" s="132"/>
      <c r="AU93" s="133">
        <f>SUM(AU89:AU92)</f>
        <v>20</v>
      </c>
    </row>
    <row r="94" spans="2:50" ht="15.75" thickTop="1">
      <c r="V94" t="s">
        <v>135</v>
      </c>
      <c r="W94" t="s">
        <v>122</v>
      </c>
      <c r="X94" t="str">
        <f t="shared" si="14"/>
        <v>Luc Castaignos (a)</v>
      </c>
    </row>
    <row r="95" spans="2:50">
      <c r="V95" t="s">
        <v>135</v>
      </c>
      <c r="W95" t="s">
        <v>113</v>
      </c>
      <c r="X95" t="str">
        <f t="shared" si="14"/>
        <v>Jean-Paul Boëtius (a)</v>
      </c>
    </row>
    <row r="96" spans="2:50">
      <c r="V96" t="s">
        <v>135</v>
      </c>
      <c r="W96" t="s">
        <v>129</v>
      </c>
      <c r="X96" t="str">
        <f t="shared" si="14"/>
        <v>Luciano Narsingh (a)</v>
      </c>
    </row>
    <row r="97" spans="22:24">
      <c r="V97" t="s">
        <v>135</v>
      </c>
      <c r="W97" t="s">
        <v>130</v>
      </c>
      <c r="X97" t="str">
        <f t="shared" si="14"/>
        <v>Robin van Persie (a)</v>
      </c>
    </row>
    <row r="98" spans="22:24">
      <c r="V98" t="s">
        <v>135</v>
      </c>
      <c r="W98" t="s">
        <v>131</v>
      </c>
      <c r="X98" t="str">
        <f t="shared" si="14"/>
        <v>Arjen Robben (a)</v>
      </c>
    </row>
  </sheetData>
  <mergeCells count="36">
    <mergeCell ref="B6:J6"/>
    <mergeCell ref="G7:I7"/>
    <mergeCell ref="B57:I57"/>
    <mergeCell ref="G58:I58"/>
    <mergeCell ref="AR90:AT90"/>
    <mergeCell ref="B84:I84"/>
    <mergeCell ref="E89:J89"/>
    <mergeCell ref="E90:J90"/>
    <mergeCell ref="G85:I85"/>
    <mergeCell ref="C89:D89"/>
    <mergeCell ref="B80:I80"/>
    <mergeCell ref="G81:I81"/>
    <mergeCell ref="B68:I68"/>
    <mergeCell ref="G69:I69"/>
    <mergeCell ref="B75:I75"/>
    <mergeCell ref="G76:I76"/>
    <mergeCell ref="C90:D90"/>
    <mergeCell ref="C91:D91"/>
    <mergeCell ref="C92:D92"/>
    <mergeCell ref="AR91:AT91"/>
    <mergeCell ref="AR92:AT92"/>
    <mergeCell ref="E91:J91"/>
    <mergeCell ref="E92:J92"/>
    <mergeCell ref="P62:T62"/>
    <mergeCell ref="P63:T63"/>
    <mergeCell ref="P64:T64"/>
    <mergeCell ref="AR89:AT89"/>
    <mergeCell ref="P65:T65"/>
    <mergeCell ref="P66:T66"/>
    <mergeCell ref="P67:T67"/>
    <mergeCell ref="P68:T68"/>
    <mergeCell ref="O57:T57"/>
    <mergeCell ref="P58:T58"/>
    <mergeCell ref="P59:T59"/>
    <mergeCell ref="P60:T60"/>
    <mergeCell ref="P61:T61"/>
  </mergeCells>
  <phoneticPr fontId="24" type="noConversion"/>
  <conditionalFormatting sqref="AO9:AO12 AO15:AO18 AO21:AO24 AO27:AO30 AO33:AO36 AO39:AO42 AO45:AO48 AO51:AO54">
    <cfRule type="cellIs" dxfId="285" priority="32" operator="equal">
      <formula>10</formula>
    </cfRule>
  </conditionalFormatting>
  <conditionalFormatting sqref="P58:T58">
    <cfRule type="duplicateValues" dxfId="284" priority="2"/>
  </conditionalFormatting>
  <conditionalFormatting sqref="P58:T68">
    <cfRule type="duplicateValues" dxfId="283" priority="1"/>
  </conditionalFormatting>
  <dataValidations count="10"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51:T54">
      <formula1>$W$51:$W$54</formula1>
    </dataValidation>
    <dataValidation type="list" allowBlank="1" showInputMessage="1" showErrorMessage="1" sqref="P58:T68">
      <formula1>$X$58:$X$98</formula1>
    </dataValidation>
  </dataValidations>
  <pageMargins left="0.7" right="0.7" top="0.75" bottom="0.75" header="0.3" footer="0.3"/>
  <pageSetup paperSize="9" orientation="portrait" horizontalDpi="0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>
  <dimension ref="B1:BB98"/>
  <sheetViews>
    <sheetView topLeftCell="A55" zoomScale="70" zoomScaleNormal="70" workbookViewId="0">
      <selection activeCell="P58" sqref="P58:T68"/>
    </sheetView>
  </sheetViews>
  <sheetFormatPr defaultRowHeight="15" outlineLevelCol="2"/>
  <cols>
    <col min="1" max="1" width="3.42578125" customWidth="1"/>
    <col min="2" max="2" width="3.5703125" bestFit="1" customWidth="1"/>
    <col min="3" max="3" width="11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280</v>
      </c>
      <c r="E3" s="145"/>
      <c r="F3" s="145"/>
      <c r="N3" t="str">
        <f>D3</f>
        <v>Hugo B.</v>
      </c>
      <c r="O3" s="144">
        <f>SUM(P3:S3)</f>
        <v>453</v>
      </c>
      <c r="P3" s="109">
        <f>SUM(Y8:Y86)</f>
        <v>245</v>
      </c>
      <c r="Q3" s="109">
        <f>SUM(AM4:AM55)</f>
        <v>140</v>
      </c>
      <c r="R3" s="109">
        <f>SUM(AP89:AP92)</f>
        <v>20</v>
      </c>
      <c r="S3" s="109">
        <f>SUM(BB58:BB69)</f>
        <v>48</v>
      </c>
      <c r="T3" s="109">
        <f>COUNTIF(AF8:AF86,10)</f>
        <v>9</v>
      </c>
      <c r="U3" s="109" t="str">
        <f>E89</f>
        <v>Brazilië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M6" s="352"/>
      <c r="N6" s="352"/>
      <c r="O6" s="392"/>
      <c r="P6" s="393"/>
      <c r="Q6" s="393"/>
      <c r="R6" s="393"/>
      <c r="S6" s="393"/>
      <c r="T6" s="393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18" t="s">
        <v>3</v>
      </c>
      <c r="E7" s="419"/>
      <c r="F7" s="420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M7" s="352"/>
      <c r="N7" s="352"/>
      <c r="O7" s="353"/>
      <c r="P7" s="393"/>
      <c r="Q7" s="393"/>
      <c r="R7" s="393"/>
      <c r="S7" s="393"/>
      <c r="T7" s="393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2</v>
      </c>
      <c r="H8" s="360" t="s">
        <v>9</v>
      </c>
      <c r="I8" s="439">
        <v>0</v>
      </c>
      <c r="J8" s="362">
        <f>IF(I8="","",IF(G8&gt;I8,1,IF(G8&lt;I8,2,3)))</f>
        <v>1</v>
      </c>
      <c r="K8" s="363">
        <f>IF(I8="","",IF($G8&gt;$I8,3,IF($G8=$I8,1,0)))</f>
        <v>3</v>
      </c>
      <c r="L8" s="363">
        <f>IF(I8="","",IF($G8&lt;$I8,3,IF($G8=$I8,1,0)))</f>
        <v>0</v>
      </c>
      <c r="M8" s="352"/>
      <c r="N8" s="352"/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40"/>
      <c r="V8" s="40"/>
      <c r="W8" s="40"/>
      <c r="Y8" s="109">
        <f>AF8</f>
        <v>5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5</v>
      </c>
      <c r="AG8" s="108">
        <f t="shared" ref="AG8:AG55" si="0">IF(AC8="",0,(IF(G8=AC8,1,0)))</f>
        <v>0</v>
      </c>
      <c r="AH8" s="108">
        <f t="shared" ref="AH8:AH55" si="1">IF(AD8="",0,(IF(I8=AD8,1,0)))</f>
        <v>0</v>
      </c>
      <c r="AI8" s="108">
        <f>IF(AND(AG8=1,AH8=1),10,0)</f>
        <v>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1</v>
      </c>
      <c r="H9" s="367" t="s">
        <v>9</v>
      </c>
      <c r="I9" s="440">
        <v>1</v>
      </c>
      <c r="J9" s="369">
        <f t="shared" ref="J9:J55" si="5">IF(I9="","",IF(G9&gt;I9,1,IF(G9&lt;I9,2,3)))</f>
        <v>3</v>
      </c>
      <c r="K9" s="363">
        <f t="shared" ref="K9:K55" si="6">IF(I9="","",IF($G9&gt;$I9,3,IF($G9=$I9,1,0)))</f>
        <v>1</v>
      </c>
      <c r="L9" s="363">
        <f t="shared" ref="L9:L55" si="7">IF(I9="","",IF($G9&lt;$I9,3,IF($G9=$I9,1,0)))</f>
        <v>1</v>
      </c>
      <c r="M9" s="352"/>
      <c r="N9" s="352"/>
      <c r="O9" s="394" t="s">
        <v>8</v>
      </c>
      <c r="P9" s="395">
        <f>SUMIF($D$8:$D$55,$O9,$G$8:$G$55)+SUMIF($F$8:$F$55,$O9,$I$8:$I$55)</f>
        <v>8</v>
      </c>
      <c r="Q9" s="395">
        <f>SUMIF($D$8:$D$55,$O9,$I$8:$I$55)+SUMIF($F$8:$F$55,$O9,$G$8:$G$55)</f>
        <v>1</v>
      </c>
      <c r="R9" s="396">
        <f>P9-Q9</f>
        <v>7</v>
      </c>
      <c r="S9" s="397">
        <f>SUMIF($D$8:$D$55,$O9,$K$8:$K$55)+SUMIF($F$8:$F$55,$O9,$L$8:$L$55)</f>
        <v>9</v>
      </c>
      <c r="T9" s="444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1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1</v>
      </c>
      <c r="AG9" s="108">
        <f t="shared" si="0"/>
        <v>1</v>
      </c>
      <c r="AH9" s="108">
        <f t="shared" si="1"/>
        <v>0</v>
      </c>
      <c r="AI9" s="108">
        <f t="shared" ref="AI9:AI55" si="10">IF(AND(AG9=1,AH9=1),10,0)</f>
        <v>0</v>
      </c>
      <c r="AJ9" s="108">
        <f t="shared" si="2"/>
        <v>0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1</v>
      </c>
      <c r="H10" s="373" t="s">
        <v>9</v>
      </c>
      <c r="I10" s="441">
        <v>1</v>
      </c>
      <c r="J10" s="375">
        <f t="shared" si="5"/>
        <v>3</v>
      </c>
      <c r="K10" s="363">
        <f t="shared" si="6"/>
        <v>1</v>
      </c>
      <c r="L10" s="363">
        <f t="shared" si="7"/>
        <v>1</v>
      </c>
      <c r="M10" s="352"/>
      <c r="N10" s="352"/>
      <c r="O10" s="398" t="s">
        <v>10</v>
      </c>
      <c r="P10" s="399">
        <f>SUMIF($D$8:$D$55,$O10,$G$8:$G$55)+SUMIF($F$8:$F$55,$O10,$I$8:$I$55)</f>
        <v>4</v>
      </c>
      <c r="Q10" s="399">
        <f>SUMIF($D$8:$D$55,$O10,$I$8:$I$55)+SUMIF($F$8:$F$55,$O10,$G$8:$G$55)</f>
        <v>6</v>
      </c>
      <c r="R10" s="399">
        <f>P10-Q10</f>
        <v>-2</v>
      </c>
      <c r="S10" s="400">
        <f>SUMIF($D$8:$D$55,$O10,$K$8:$K$55)+SUMIF($F$8:$F$55,$O10,$L$8:$L$55)</f>
        <v>2</v>
      </c>
      <c r="T10" s="445" t="s">
        <v>49</v>
      </c>
      <c r="U10" s="40"/>
      <c r="V10" s="40" t="str">
        <f>O10</f>
        <v>Kroatië</v>
      </c>
      <c r="W10" s="40" t="s">
        <v>49</v>
      </c>
      <c r="Y10" s="109">
        <f t="shared" si="8"/>
        <v>1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1</v>
      </c>
      <c r="AG10" s="108">
        <f t="shared" si="0"/>
        <v>1</v>
      </c>
      <c r="AH10" s="108">
        <f t="shared" si="1"/>
        <v>0</v>
      </c>
      <c r="AI10" s="108">
        <f t="shared" si="10"/>
        <v>0</v>
      </c>
      <c r="AJ10" s="108">
        <f t="shared" si="2"/>
        <v>0</v>
      </c>
      <c r="AK10" s="108">
        <f t="shared" si="3"/>
        <v>0</v>
      </c>
      <c r="AL10" s="108">
        <f t="shared" si="4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1</v>
      </c>
      <c r="H11" s="379" t="s">
        <v>9</v>
      </c>
      <c r="I11" s="442">
        <v>0</v>
      </c>
      <c r="J11" s="381">
        <f t="shared" si="5"/>
        <v>1</v>
      </c>
      <c r="K11" s="363">
        <f t="shared" si="6"/>
        <v>3</v>
      </c>
      <c r="L11" s="363">
        <f t="shared" si="7"/>
        <v>0</v>
      </c>
      <c r="M11" s="352"/>
      <c r="N11" s="352"/>
      <c r="O11" s="398" t="s">
        <v>11</v>
      </c>
      <c r="P11" s="399">
        <f>SUMIF($D$8:$D$55,$O11,$G$8:$G$55)+SUMIF($F$8:$F$55,$O11,$I$8:$I$55)</f>
        <v>3</v>
      </c>
      <c r="Q11" s="399">
        <f>SUMIF($D$8:$D$55,$O11,$I$8:$I$55)+SUMIF($F$8:$F$55,$O11,$G$8:$G$55)</f>
        <v>5</v>
      </c>
      <c r="R11" s="399">
        <f>P11-Q11</f>
        <v>-2</v>
      </c>
      <c r="S11" s="400">
        <f>SUMIF($D$8:$D$55,$O11,$K$8:$K$55)+SUMIF($F$8:$F$55,$O11,$L$8:$L$55)</f>
        <v>2</v>
      </c>
      <c r="T11" s="445" t="s">
        <v>47</v>
      </c>
      <c r="U11" s="40"/>
      <c r="V11" s="40" t="str">
        <f>O11</f>
        <v>Mexico</v>
      </c>
      <c r="W11" s="40" t="s">
        <v>47</v>
      </c>
      <c r="Y11" s="109">
        <f t="shared" si="8"/>
        <v>5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5</v>
      </c>
      <c r="AG11" s="108">
        <f t="shared" si="0"/>
        <v>0</v>
      </c>
      <c r="AH11" s="108">
        <f t="shared" si="1"/>
        <v>0</v>
      </c>
      <c r="AI11" s="108">
        <f t="shared" si="10"/>
        <v>0</v>
      </c>
      <c r="AJ11" s="108">
        <f t="shared" si="2"/>
        <v>5</v>
      </c>
      <c r="AK11" s="108">
        <f t="shared" si="3"/>
        <v>0</v>
      </c>
      <c r="AL11" s="108">
        <f t="shared" si="4"/>
        <v>0</v>
      </c>
      <c r="AM11" s="120">
        <f>AO11</f>
        <v>0</v>
      </c>
      <c r="AN11" s="117" t="s">
        <v>11</v>
      </c>
      <c r="AO11" s="115">
        <f>IF(Uitslag!T11="",0,IF(T11=Uitslag!T11,10,0))</f>
        <v>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2</v>
      </c>
      <c r="H12" s="367" t="s">
        <v>9</v>
      </c>
      <c r="I12" s="440">
        <v>0</v>
      </c>
      <c r="J12" s="369">
        <f t="shared" si="5"/>
        <v>1</v>
      </c>
      <c r="K12" s="363">
        <f t="shared" si="6"/>
        <v>3</v>
      </c>
      <c r="L12" s="363">
        <f t="shared" si="7"/>
        <v>0</v>
      </c>
      <c r="M12" s="352"/>
      <c r="N12" s="352"/>
      <c r="O12" s="401" t="s">
        <v>12</v>
      </c>
      <c r="P12" s="402">
        <f>SUMIF($D$8:$D$55,$O12,$G$8:$G$55)+SUMIF($F$8:$F$55,$O12,$I$8:$I$55)</f>
        <v>4</v>
      </c>
      <c r="Q12" s="402">
        <f>SUMIF($D$8:$D$55,$O12,$I$8:$I$55)+SUMIF($F$8:$F$55,$O12,$G$8:$G$55)</f>
        <v>7</v>
      </c>
      <c r="R12" s="402">
        <f>P12-Q12</f>
        <v>-3</v>
      </c>
      <c r="S12" s="403">
        <f>SUMIF($D$8:$D$55,$O12,$K$8:$K$55)+SUMIF($F$8:$F$55,$O12,$L$8:$L$55)</f>
        <v>2</v>
      </c>
      <c r="T12" s="446" t="s">
        <v>50</v>
      </c>
      <c r="U12" s="40"/>
      <c r="V12" s="40" t="str">
        <f>O12</f>
        <v>Kameroen</v>
      </c>
      <c r="W12" s="40" t="s">
        <v>50</v>
      </c>
      <c r="Y12" s="109">
        <f t="shared" si="8"/>
        <v>6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6</v>
      </c>
      <c r="AG12" s="108">
        <f t="shared" si="0"/>
        <v>0</v>
      </c>
      <c r="AH12" s="108">
        <f t="shared" si="1"/>
        <v>1</v>
      </c>
      <c r="AI12" s="108">
        <f t="shared" si="10"/>
        <v>0</v>
      </c>
      <c r="AJ12" s="108">
        <f t="shared" si="2"/>
        <v>5</v>
      </c>
      <c r="AK12" s="108">
        <f t="shared" si="3"/>
        <v>0</v>
      </c>
      <c r="AL12" s="108">
        <f t="shared" si="4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3</v>
      </c>
      <c r="H13" s="373" t="s">
        <v>9</v>
      </c>
      <c r="I13" s="441">
        <v>1</v>
      </c>
      <c r="J13" s="375">
        <f t="shared" si="5"/>
        <v>1</v>
      </c>
      <c r="K13" s="363">
        <f t="shared" si="6"/>
        <v>3</v>
      </c>
      <c r="L13" s="363">
        <f t="shared" si="7"/>
        <v>0</v>
      </c>
      <c r="M13" s="352"/>
      <c r="N13" s="352"/>
      <c r="O13" s="392"/>
      <c r="P13" s="393"/>
      <c r="Q13" s="393"/>
      <c r="R13" s="393"/>
      <c r="S13" s="393"/>
      <c r="T13" s="393"/>
      <c r="U13" s="40"/>
      <c r="V13" s="40"/>
      <c r="W13" s="40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0"/>
        <v>0</v>
      </c>
      <c r="AH13" s="108">
        <f t="shared" si="1"/>
        <v>0</v>
      </c>
      <c r="AI13" s="108">
        <f t="shared" si="10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40"/>
      <c r="AO13" s="41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1</v>
      </c>
      <c r="H14" s="373" t="s">
        <v>9</v>
      </c>
      <c r="I14" s="441">
        <v>2</v>
      </c>
      <c r="J14" s="375">
        <f t="shared" si="5"/>
        <v>2</v>
      </c>
      <c r="K14" s="363">
        <f t="shared" si="6"/>
        <v>0</v>
      </c>
      <c r="L14" s="363">
        <f t="shared" si="7"/>
        <v>3</v>
      </c>
      <c r="M14" s="352"/>
      <c r="N14" s="352"/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40"/>
      <c r="V14" s="40"/>
      <c r="W14" s="40"/>
      <c r="Y14" s="109">
        <f t="shared" si="8"/>
        <v>10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10</v>
      </c>
      <c r="AG14" s="108">
        <f t="shared" si="0"/>
        <v>1</v>
      </c>
      <c r="AH14" s="108">
        <f t="shared" si="1"/>
        <v>1</v>
      </c>
      <c r="AI14" s="108">
        <f t="shared" si="10"/>
        <v>10</v>
      </c>
      <c r="AJ14" s="108">
        <f t="shared" si="2"/>
        <v>0</v>
      </c>
      <c r="AK14" s="108">
        <f t="shared" si="3"/>
        <v>5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2</v>
      </c>
      <c r="H15" s="379" t="s">
        <v>9</v>
      </c>
      <c r="I15" s="442">
        <v>0</v>
      </c>
      <c r="J15" s="381">
        <f t="shared" si="5"/>
        <v>1</v>
      </c>
      <c r="K15" s="363">
        <f t="shared" si="6"/>
        <v>3</v>
      </c>
      <c r="L15" s="363">
        <f t="shared" si="7"/>
        <v>0</v>
      </c>
      <c r="M15" s="352"/>
      <c r="N15" s="352"/>
      <c r="O15" s="394" t="s">
        <v>13</v>
      </c>
      <c r="P15" s="395">
        <f>SUMIF($D$8:$D$55,$O15,$G$8:$G$55)+SUMIF($F$8:$F$55,$O15,$I$8:$I$55)</f>
        <v>7</v>
      </c>
      <c r="Q15" s="395">
        <f>SUMIF($D$8:$D$55,$O15,$I$8:$I$55)+SUMIF($F$8:$F$55,$O15,$G$8:$G$55)</f>
        <v>3</v>
      </c>
      <c r="R15" s="396">
        <f>P15-Q15</f>
        <v>4</v>
      </c>
      <c r="S15" s="397">
        <f>SUMIF($D$8:$D$55,$O15,$K$8:$K$55)+SUMIF($F$8:$F$55,$O15,$L$8:$L$55)</f>
        <v>7</v>
      </c>
      <c r="T15" s="444" t="s">
        <v>53</v>
      </c>
      <c r="U15" s="40"/>
      <c r="V15" s="40" t="str">
        <f>O15</f>
        <v>Spanje</v>
      </c>
      <c r="W15" s="40" t="s">
        <v>52</v>
      </c>
      <c r="Y15" s="109">
        <f t="shared" si="8"/>
        <v>6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6</v>
      </c>
      <c r="AG15" s="108">
        <f t="shared" si="0"/>
        <v>1</v>
      </c>
      <c r="AH15" s="108">
        <f t="shared" si="1"/>
        <v>0</v>
      </c>
      <c r="AI15" s="108">
        <f t="shared" si="10"/>
        <v>0</v>
      </c>
      <c r="AJ15" s="108">
        <f t="shared" si="2"/>
        <v>5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1</v>
      </c>
      <c r="H16" s="367" t="s">
        <v>9</v>
      </c>
      <c r="I16" s="440">
        <v>0</v>
      </c>
      <c r="J16" s="369">
        <f t="shared" si="5"/>
        <v>1</v>
      </c>
      <c r="K16" s="363">
        <f t="shared" si="6"/>
        <v>3</v>
      </c>
      <c r="L16" s="363">
        <f t="shared" si="7"/>
        <v>0</v>
      </c>
      <c r="M16" s="352"/>
      <c r="N16" s="352"/>
      <c r="O16" s="404" t="s">
        <v>14</v>
      </c>
      <c r="P16" s="399">
        <f>SUMIF($D$8:$D$55,$O16,$G$8:$G$55)+SUMIF($F$8:$F$55,$O16,$I$8:$I$55)</f>
        <v>8</v>
      </c>
      <c r="Q16" s="399">
        <f>SUMIF($D$8:$D$55,$O16,$I$8:$I$55)+SUMIF($F$8:$F$55,$O16,$G$8:$G$55)</f>
        <v>2</v>
      </c>
      <c r="R16" s="399">
        <f>P16-Q16</f>
        <v>6</v>
      </c>
      <c r="S16" s="400">
        <f>SUMIF($D$8:$D$55,$O16,$K$8:$K$55)+SUMIF($F$8:$F$55,$O16,$L$8:$L$55)</f>
        <v>7</v>
      </c>
      <c r="T16" s="445" t="s">
        <v>52</v>
      </c>
      <c r="U16" s="40"/>
      <c r="V16" s="40" t="str">
        <f>O16</f>
        <v>Nederland</v>
      </c>
      <c r="W16" s="40" t="s">
        <v>53</v>
      </c>
      <c r="Y16" s="109">
        <f t="shared" si="8"/>
        <v>5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5</v>
      </c>
      <c r="AG16" s="108">
        <f t="shared" si="0"/>
        <v>0</v>
      </c>
      <c r="AH16" s="108">
        <f t="shared" si="1"/>
        <v>0</v>
      </c>
      <c r="AI16" s="108">
        <f t="shared" si="10"/>
        <v>0</v>
      </c>
      <c r="AJ16" s="108">
        <f t="shared" si="2"/>
        <v>5</v>
      </c>
      <c r="AK16" s="108">
        <f t="shared" si="3"/>
        <v>0</v>
      </c>
      <c r="AL16" s="108">
        <f t="shared" si="4"/>
        <v>0</v>
      </c>
      <c r="AM16" s="120">
        <f>AO16</f>
        <v>10</v>
      </c>
      <c r="AN16" s="119" t="s">
        <v>14</v>
      </c>
      <c r="AO16" s="115">
        <f>IF(Uitslag!T16="",0,IF(T16=Uitslag!T16,10,0))</f>
        <v>10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3</v>
      </c>
      <c r="H17" s="373" t="s">
        <v>9</v>
      </c>
      <c r="I17" s="441">
        <v>0</v>
      </c>
      <c r="J17" s="375">
        <f t="shared" si="5"/>
        <v>1</v>
      </c>
      <c r="K17" s="363">
        <f t="shared" si="6"/>
        <v>3</v>
      </c>
      <c r="L17" s="363">
        <f t="shared" si="7"/>
        <v>0</v>
      </c>
      <c r="M17" s="352"/>
      <c r="N17" s="352"/>
      <c r="O17" s="398" t="s">
        <v>15</v>
      </c>
      <c r="P17" s="399">
        <f>SUMIF($D$8:$D$55,$O17,$G$8:$G$55)+SUMIF($F$8:$F$55,$O17,$I$8:$I$55)</f>
        <v>2</v>
      </c>
      <c r="Q17" s="399">
        <f>SUMIF($D$8:$D$55,$O17,$I$8:$I$55)+SUMIF($F$8:$F$55,$O17,$G$8:$G$55)</f>
        <v>6</v>
      </c>
      <c r="R17" s="399">
        <f>P17-Q17</f>
        <v>-4</v>
      </c>
      <c r="S17" s="400">
        <f>SUMIF($D$8:$D$55,$O17,$K$8:$K$55)+SUMIF($F$8:$F$55,$O17,$L$8:$L$55)</f>
        <v>3</v>
      </c>
      <c r="T17" s="445" t="s">
        <v>54</v>
      </c>
      <c r="U17" s="40"/>
      <c r="V17" s="40" t="str">
        <f>O17</f>
        <v>Chili</v>
      </c>
      <c r="W17" s="40" t="s">
        <v>54</v>
      </c>
      <c r="Y17" s="109">
        <f t="shared" si="8"/>
        <v>10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10</v>
      </c>
      <c r="AG17" s="108">
        <f t="shared" si="0"/>
        <v>1</v>
      </c>
      <c r="AH17" s="108">
        <f t="shared" si="1"/>
        <v>1</v>
      </c>
      <c r="AI17" s="108">
        <f t="shared" si="10"/>
        <v>10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3</v>
      </c>
      <c r="H18" s="379" t="s">
        <v>9</v>
      </c>
      <c r="I18" s="442">
        <v>2</v>
      </c>
      <c r="J18" s="381">
        <f t="shared" si="5"/>
        <v>1</v>
      </c>
      <c r="K18" s="363">
        <f t="shared" si="6"/>
        <v>3</v>
      </c>
      <c r="L18" s="363">
        <f t="shared" si="7"/>
        <v>0</v>
      </c>
      <c r="M18" s="352"/>
      <c r="N18" s="352"/>
      <c r="O18" s="401" t="s">
        <v>16</v>
      </c>
      <c r="P18" s="402">
        <f>SUMIF($D$8:$D$55,$O18,$G$8:$G$55)+SUMIF($F$8:$F$55,$O18,$I$8:$I$55)</f>
        <v>2</v>
      </c>
      <c r="Q18" s="402">
        <f>SUMIF($D$8:$D$55,$O18,$I$8:$I$55)+SUMIF($F$8:$F$55,$O18,$G$8:$G$55)</f>
        <v>8</v>
      </c>
      <c r="R18" s="402">
        <f>P18-Q18</f>
        <v>-6</v>
      </c>
      <c r="S18" s="403">
        <f>SUMIF($D$8:$D$55,$O18,$K$8:$K$55)+SUMIF($F$8:$F$55,$O18,$L$8:$L$55)</f>
        <v>0</v>
      </c>
      <c r="T18" s="446" t="s">
        <v>55</v>
      </c>
      <c r="U18" s="40"/>
      <c r="V18" s="40" t="str">
        <f>O18</f>
        <v>Australië</v>
      </c>
      <c r="W18" s="40" t="s">
        <v>55</v>
      </c>
      <c r="Y18" s="109">
        <f t="shared" si="8"/>
        <v>5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5</v>
      </c>
      <c r="AG18" s="108">
        <f t="shared" si="0"/>
        <v>0</v>
      </c>
      <c r="AH18" s="108">
        <f t="shared" si="1"/>
        <v>0</v>
      </c>
      <c r="AI18" s="108">
        <f t="shared" si="10"/>
        <v>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2</v>
      </c>
      <c r="H19" s="367" t="s">
        <v>9</v>
      </c>
      <c r="I19" s="440">
        <v>1</v>
      </c>
      <c r="J19" s="369">
        <f t="shared" si="5"/>
        <v>1</v>
      </c>
      <c r="K19" s="363">
        <f t="shared" si="6"/>
        <v>3</v>
      </c>
      <c r="L19" s="363">
        <f t="shared" si="7"/>
        <v>0</v>
      </c>
      <c r="M19" s="352"/>
      <c r="N19" s="352"/>
      <c r="O19" s="392"/>
      <c r="P19" s="393"/>
      <c r="Q19" s="393"/>
      <c r="R19" s="393"/>
      <c r="S19" s="393"/>
      <c r="T19" s="393"/>
      <c r="U19" s="40"/>
      <c r="V19" s="40"/>
      <c r="W19" s="40"/>
      <c r="Y19" s="109">
        <f t="shared" si="8"/>
        <v>5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5</v>
      </c>
      <c r="AG19" s="108">
        <f t="shared" si="0"/>
        <v>0</v>
      </c>
      <c r="AH19" s="108">
        <f t="shared" si="1"/>
        <v>0</v>
      </c>
      <c r="AI19" s="108">
        <f t="shared" si="10"/>
        <v>0</v>
      </c>
      <c r="AJ19" s="108">
        <f t="shared" si="2"/>
        <v>5</v>
      </c>
      <c r="AK19" s="108">
        <f t="shared" si="3"/>
        <v>0</v>
      </c>
      <c r="AL19" s="108">
        <f t="shared" si="4"/>
        <v>0</v>
      </c>
      <c r="AN19" s="40"/>
      <c r="AO19" s="41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1</v>
      </c>
      <c r="H20" s="373" t="s">
        <v>9</v>
      </c>
      <c r="I20" s="441">
        <v>1</v>
      </c>
      <c r="J20" s="375">
        <f t="shared" si="5"/>
        <v>3</v>
      </c>
      <c r="K20" s="363">
        <f t="shared" si="6"/>
        <v>1</v>
      </c>
      <c r="L20" s="363">
        <f t="shared" si="7"/>
        <v>1</v>
      </c>
      <c r="M20" s="352"/>
      <c r="N20" s="352"/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40"/>
      <c r="V20" s="40"/>
      <c r="W20" s="40"/>
      <c r="Y20" s="109">
        <f t="shared" si="8"/>
        <v>5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5</v>
      </c>
      <c r="AG20" s="108">
        <f t="shared" si="0"/>
        <v>0</v>
      </c>
      <c r="AH20" s="108">
        <f t="shared" si="1"/>
        <v>0</v>
      </c>
      <c r="AI20" s="108">
        <f t="shared" si="10"/>
        <v>0</v>
      </c>
      <c r="AJ20" s="108">
        <f t="shared" si="2"/>
        <v>0</v>
      </c>
      <c r="AK20" s="108">
        <f t="shared" si="3"/>
        <v>0</v>
      </c>
      <c r="AL20" s="108">
        <f t="shared" si="4"/>
        <v>5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1</v>
      </c>
      <c r="H21" s="379" t="s">
        <v>9</v>
      </c>
      <c r="I21" s="442">
        <v>3</v>
      </c>
      <c r="J21" s="381">
        <f t="shared" si="5"/>
        <v>2</v>
      </c>
      <c r="K21" s="363">
        <f t="shared" si="6"/>
        <v>0</v>
      </c>
      <c r="L21" s="363">
        <f t="shared" si="7"/>
        <v>3</v>
      </c>
      <c r="M21" s="352"/>
      <c r="N21" s="352"/>
      <c r="O21" s="394" t="s">
        <v>17</v>
      </c>
      <c r="P21" s="395">
        <f>SUMIF($D$8:$D$55,$O21,$G$8:$G$55)+SUMIF($F$8:$F$55,$O21,$I$8:$I$55)</f>
        <v>3</v>
      </c>
      <c r="Q21" s="395">
        <f>SUMIF($D$8:$D$55,$O21,$I$8:$I$55)+SUMIF($F$8:$F$55,$O21,$G$8:$G$55)</f>
        <v>1</v>
      </c>
      <c r="R21" s="396">
        <f>P21-Q21</f>
        <v>2</v>
      </c>
      <c r="S21" s="397">
        <f>SUMIF($D$8:$D$55,$O21,$K$8:$K$55)+SUMIF($F$8:$F$55,$O21,$L$8:$L$55)</f>
        <v>5</v>
      </c>
      <c r="T21" s="444" t="s">
        <v>58</v>
      </c>
      <c r="U21" s="40"/>
      <c r="V21" s="40" t="str">
        <f>O21</f>
        <v>Colombia</v>
      </c>
      <c r="W21" s="40" t="s">
        <v>57</v>
      </c>
      <c r="Y21" s="109">
        <f t="shared" si="8"/>
        <v>6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6</v>
      </c>
      <c r="AG21" s="108">
        <f t="shared" si="0"/>
        <v>1</v>
      </c>
      <c r="AH21" s="108">
        <f t="shared" si="1"/>
        <v>0</v>
      </c>
      <c r="AI21" s="108">
        <f t="shared" si="10"/>
        <v>0</v>
      </c>
      <c r="AJ21" s="108">
        <f t="shared" si="2"/>
        <v>0</v>
      </c>
      <c r="AK21" s="108">
        <f t="shared" si="3"/>
        <v>5</v>
      </c>
      <c r="AL21" s="108">
        <f t="shared" si="4"/>
        <v>0</v>
      </c>
      <c r="AM21" s="120">
        <f>AO21</f>
        <v>0</v>
      </c>
      <c r="AN21" s="116" t="s">
        <v>17</v>
      </c>
      <c r="AO21" s="115">
        <f>IF(Uitslag!T21="",0,IF(T21=Uitslag!T21,10,0))</f>
        <v>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2</v>
      </c>
      <c r="H22" s="367" t="s">
        <v>9</v>
      </c>
      <c r="I22" s="440">
        <v>0</v>
      </c>
      <c r="J22" s="369">
        <f t="shared" si="5"/>
        <v>1</v>
      </c>
      <c r="K22" s="363">
        <f t="shared" si="6"/>
        <v>3</v>
      </c>
      <c r="L22" s="363">
        <f t="shared" si="7"/>
        <v>0</v>
      </c>
      <c r="M22" s="352"/>
      <c r="N22" s="352"/>
      <c r="O22" s="398" t="s">
        <v>18</v>
      </c>
      <c r="P22" s="399">
        <f>SUMIF($D$8:$D$55,$O22,$G$8:$G$55)+SUMIF($F$8:$F$55,$O22,$I$8:$I$55)</f>
        <v>5</v>
      </c>
      <c r="Q22" s="399">
        <f>SUMIF($D$8:$D$55,$O22,$I$8:$I$55)+SUMIF($F$8:$F$55,$O22,$G$8:$G$55)</f>
        <v>4</v>
      </c>
      <c r="R22" s="399">
        <f>P22-Q22</f>
        <v>1</v>
      </c>
      <c r="S22" s="400">
        <f>SUMIF($D$8:$D$55,$O22,$K$8:$K$55)+SUMIF($F$8:$F$55,$O22,$L$8:$L$55)</f>
        <v>6</v>
      </c>
      <c r="T22" s="445" t="s">
        <v>57</v>
      </c>
      <c r="U22" s="40"/>
      <c r="V22" s="40" t="str">
        <f>O22</f>
        <v>Griekenland</v>
      </c>
      <c r="W22" s="40" t="s">
        <v>58</v>
      </c>
      <c r="Y22" s="109">
        <f t="shared" si="8"/>
        <v>6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6</v>
      </c>
      <c r="AG22" s="108">
        <f t="shared" si="0"/>
        <v>1</v>
      </c>
      <c r="AH22" s="108">
        <f t="shared" si="1"/>
        <v>0</v>
      </c>
      <c r="AI22" s="108">
        <f t="shared" si="10"/>
        <v>0</v>
      </c>
      <c r="AJ22" s="108">
        <f t="shared" si="2"/>
        <v>5</v>
      </c>
      <c r="AK22" s="108">
        <f t="shared" si="3"/>
        <v>0</v>
      </c>
      <c r="AL22" s="108">
        <f t="shared" si="4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2</v>
      </c>
      <c r="H23" s="373" t="s">
        <v>9</v>
      </c>
      <c r="I23" s="441">
        <v>0</v>
      </c>
      <c r="J23" s="375">
        <f t="shared" si="5"/>
        <v>1</v>
      </c>
      <c r="K23" s="363">
        <f t="shared" si="6"/>
        <v>3</v>
      </c>
      <c r="L23" s="363">
        <f t="shared" si="7"/>
        <v>0</v>
      </c>
      <c r="M23" s="352"/>
      <c r="N23" s="352"/>
      <c r="O23" s="398" t="s">
        <v>23</v>
      </c>
      <c r="P23" s="399">
        <f>SUMIF($D$8:$D$55,$O23,$G$8:$G$55)+SUMIF($F$8:$F$55,$O23,$I$8:$I$55)</f>
        <v>3</v>
      </c>
      <c r="Q23" s="399">
        <f>SUMIF($D$8:$D$55,$O23,$I$8:$I$55)+SUMIF($F$8:$F$55,$O23,$G$8:$G$55)</f>
        <v>2</v>
      </c>
      <c r="R23" s="399">
        <f>P23-Q23</f>
        <v>1</v>
      </c>
      <c r="S23" s="400">
        <f>SUMIF($D$8:$D$55,$O23,$K$8:$K$55)+SUMIF($F$8:$F$55,$O23,$L$8:$L$55)</f>
        <v>4</v>
      </c>
      <c r="T23" s="445" t="s">
        <v>59</v>
      </c>
      <c r="U23" s="40"/>
      <c r="V23" s="40" t="str">
        <f>O23</f>
        <v>Ivoorkust</v>
      </c>
      <c r="W23" s="40" t="s">
        <v>59</v>
      </c>
      <c r="Y23" s="109">
        <f t="shared" si="8"/>
        <v>1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1</v>
      </c>
      <c r="AG23" s="108">
        <f t="shared" si="0"/>
        <v>0</v>
      </c>
      <c r="AH23" s="108">
        <f t="shared" si="1"/>
        <v>1</v>
      </c>
      <c r="AI23" s="108">
        <f t="shared" si="10"/>
        <v>0</v>
      </c>
      <c r="AJ23" s="108">
        <f t="shared" si="2"/>
        <v>0</v>
      </c>
      <c r="AK23" s="108">
        <f t="shared" si="3"/>
        <v>0</v>
      </c>
      <c r="AL23" s="108">
        <f t="shared" si="4"/>
        <v>0</v>
      </c>
      <c r="AM23" s="120">
        <f>AO23</f>
        <v>10</v>
      </c>
      <c r="AN23" s="117" t="s">
        <v>23</v>
      </c>
      <c r="AO23" s="115">
        <f>IF(Uitslag!T23="",0,IF(T23=Uitslag!T23,10,0))</f>
        <v>10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2</v>
      </c>
      <c r="H24" s="379" t="s">
        <v>9</v>
      </c>
      <c r="I24" s="442">
        <v>1</v>
      </c>
      <c r="J24" s="381">
        <f t="shared" si="5"/>
        <v>1</v>
      </c>
      <c r="K24" s="363">
        <f t="shared" si="6"/>
        <v>3</v>
      </c>
      <c r="L24" s="363">
        <f t="shared" si="7"/>
        <v>0</v>
      </c>
      <c r="M24" s="352"/>
      <c r="N24" s="352"/>
      <c r="O24" s="401" t="s">
        <v>24</v>
      </c>
      <c r="P24" s="402">
        <f>SUMIF($D$8:$D$55,$O24,$G$8:$G$55)+SUMIF($F$8:$F$55,$O24,$I$8:$I$55)</f>
        <v>2</v>
      </c>
      <c r="Q24" s="402">
        <f>SUMIF($D$8:$D$55,$O24,$I$8:$I$55)+SUMIF($F$8:$F$55,$O24,$G$8:$G$55)</f>
        <v>6</v>
      </c>
      <c r="R24" s="402">
        <f>P24-Q24</f>
        <v>-4</v>
      </c>
      <c r="S24" s="403">
        <f>SUMIF($D$8:$D$55,$O24,$K$8:$K$55)+SUMIF($F$8:$F$55,$O24,$L$8:$L$55)</f>
        <v>1</v>
      </c>
      <c r="T24" s="446" t="s">
        <v>60</v>
      </c>
      <c r="U24" s="40"/>
      <c r="V24" s="40" t="str">
        <f>O24</f>
        <v>Japan</v>
      </c>
      <c r="W24" s="40" t="s">
        <v>60</v>
      </c>
      <c r="Y24" s="109">
        <f t="shared" si="8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</v>
      </c>
      <c r="AG24" s="108">
        <f t="shared" si="0"/>
        <v>0</v>
      </c>
      <c r="AH24" s="108">
        <f t="shared" si="1"/>
        <v>1</v>
      </c>
      <c r="AI24" s="108">
        <f t="shared" si="10"/>
        <v>0</v>
      </c>
      <c r="AJ24" s="108">
        <f t="shared" si="2"/>
        <v>0</v>
      </c>
      <c r="AK24" s="108">
        <f t="shared" si="3"/>
        <v>0</v>
      </c>
      <c r="AL24" s="108">
        <f t="shared" si="4"/>
        <v>0</v>
      </c>
      <c r="AM24" s="120">
        <f>AO24</f>
        <v>10</v>
      </c>
      <c r="AN24" s="118" t="s">
        <v>24</v>
      </c>
      <c r="AO24" s="115">
        <f>IF(Uitslag!T24="",0,IF(T24=Uitslag!T24,10,0))</f>
        <v>10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1</v>
      </c>
      <c r="H25" s="367" t="s">
        <v>9</v>
      </c>
      <c r="I25" s="440">
        <v>4</v>
      </c>
      <c r="J25" s="369">
        <f t="shared" si="5"/>
        <v>2</v>
      </c>
      <c r="K25" s="363">
        <f t="shared" si="6"/>
        <v>0</v>
      </c>
      <c r="L25" s="363">
        <f t="shared" si="7"/>
        <v>3</v>
      </c>
      <c r="M25" s="352"/>
      <c r="N25" s="352"/>
      <c r="O25" s="392"/>
      <c r="P25" s="393"/>
      <c r="Q25" s="393"/>
      <c r="R25" s="393"/>
      <c r="S25" s="393"/>
      <c r="T25" s="393"/>
      <c r="U25" s="40"/>
      <c r="V25" s="40"/>
      <c r="W25" s="40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0"/>
        <v>0</v>
      </c>
      <c r="AH25" s="108">
        <f t="shared" si="1"/>
        <v>0</v>
      </c>
      <c r="AI25" s="108">
        <f t="shared" si="10"/>
        <v>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40"/>
      <c r="AO25" s="41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3</v>
      </c>
      <c r="H26" s="373" t="s">
        <v>9</v>
      </c>
      <c r="I26" s="441">
        <v>1</v>
      </c>
      <c r="J26" s="375">
        <f t="shared" si="5"/>
        <v>1</v>
      </c>
      <c r="K26" s="363">
        <f t="shared" si="6"/>
        <v>3</v>
      </c>
      <c r="L26" s="363">
        <f t="shared" si="7"/>
        <v>0</v>
      </c>
      <c r="M26" s="352"/>
      <c r="N26" s="352"/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40"/>
      <c r="V26" s="40"/>
      <c r="W26" s="40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0"/>
        <v>0</v>
      </c>
      <c r="AH26" s="108">
        <f t="shared" si="1"/>
        <v>0</v>
      </c>
      <c r="AI26" s="108">
        <f t="shared" si="10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2</v>
      </c>
      <c r="H27" s="379" t="s">
        <v>9</v>
      </c>
      <c r="I27" s="442">
        <v>2</v>
      </c>
      <c r="J27" s="381">
        <f t="shared" si="5"/>
        <v>3</v>
      </c>
      <c r="K27" s="363">
        <f t="shared" si="6"/>
        <v>1</v>
      </c>
      <c r="L27" s="363">
        <f t="shared" si="7"/>
        <v>1</v>
      </c>
      <c r="M27" s="352"/>
      <c r="N27" s="352"/>
      <c r="O27" s="394" t="s">
        <v>19</v>
      </c>
      <c r="P27" s="395">
        <f>SUMIF($D$8:$D$55,$O27,$G$8:$G$55)+SUMIF($F$8:$F$55,$O27,$I$8:$I$55)</f>
        <v>5</v>
      </c>
      <c r="Q27" s="395">
        <f>SUMIF($D$8:$D$55,$O27,$I$8:$I$55)+SUMIF($F$8:$F$55,$O27,$G$8:$G$55)</f>
        <v>5</v>
      </c>
      <c r="R27" s="396">
        <f>P27-Q27</f>
        <v>0</v>
      </c>
      <c r="S27" s="397">
        <f>SUMIF($D$8:$D$55,$O27,$K$8:$K$55)+SUMIF($F$8:$F$55,$O27,$L$8:$L$55)</f>
        <v>3</v>
      </c>
      <c r="T27" s="444" t="s">
        <v>64</v>
      </c>
      <c r="U27" s="40"/>
      <c r="V27" s="40" t="str">
        <f>O27</f>
        <v>Uruguay</v>
      </c>
      <c r="W27" s="40" t="s">
        <v>62</v>
      </c>
      <c r="Y27" s="109">
        <f t="shared" si="8"/>
        <v>0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0</v>
      </c>
      <c r="AG27" s="108">
        <f t="shared" si="0"/>
        <v>0</v>
      </c>
      <c r="AH27" s="108">
        <f t="shared" si="1"/>
        <v>0</v>
      </c>
      <c r="AI27" s="108">
        <f t="shared" si="10"/>
        <v>0</v>
      </c>
      <c r="AJ27" s="108">
        <f t="shared" si="2"/>
        <v>0</v>
      </c>
      <c r="AK27" s="108">
        <f t="shared" si="3"/>
        <v>0</v>
      </c>
      <c r="AL27" s="108">
        <f t="shared" si="4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0</v>
      </c>
      <c r="H28" s="367" t="s">
        <v>9</v>
      </c>
      <c r="I28" s="440">
        <v>0</v>
      </c>
      <c r="J28" s="369">
        <f t="shared" si="5"/>
        <v>3</v>
      </c>
      <c r="K28" s="363">
        <f t="shared" si="6"/>
        <v>1</v>
      </c>
      <c r="L28" s="363">
        <f t="shared" si="7"/>
        <v>1</v>
      </c>
      <c r="M28" s="352"/>
      <c r="N28" s="352"/>
      <c r="O28" s="398" t="s">
        <v>20</v>
      </c>
      <c r="P28" s="399">
        <f>SUMIF($D$8:$D$55,$O28,$G$8:$G$55)+SUMIF($F$8:$F$55,$O28,$I$8:$I$55)</f>
        <v>2</v>
      </c>
      <c r="Q28" s="399">
        <f>SUMIF($D$8:$D$55,$O28,$I$8:$I$55)+SUMIF($F$8:$F$55,$O28,$G$8:$G$55)</f>
        <v>10</v>
      </c>
      <c r="R28" s="399">
        <f>P28-Q28</f>
        <v>-8</v>
      </c>
      <c r="S28" s="400">
        <f>SUMIF($D$8:$D$55,$O28,$K$8:$K$55)+SUMIF($F$8:$F$55,$O28,$L$8:$L$55)</f>
        <v>0</v>
      </c>
      <c r="T28" s="445" t="s">
        <v>65</v>
      </c>
      <c r="U28" s="40"/>
      <c r="V28" s="40" t="str">
        <f>O28</f>
        <v>Costa Rica</v>
      </c>
      <c r="W28" s="40" t="s">
        <v>63</v>
      </c>
      <c r="Y28" s="109">
        <f t="shared" si="8"/>
        <v>0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0</v>
      </c>
      <c r="AG28" s="108">
        <f t="shared" si="0"/>
        <v>0</v>
      </c>
      <c r="AH28" s="108">
        <f t="shared" si="1"/>
        <v>0</v>
      </c>
      <c r="AI28" s="108">
        <f t="shared" si="10"/>
        <v>0</v>
      </c>
      <c r="AJ28" s="108">
        <f t="shared" si="2"/>
        <v>0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1</v>
      </c>
      <c r="H29" s="373" t="s">
        <v>9</v>
      </c>
      <c r="I29" s="441">
        <v>2</v>
      </c>
      <c r="J29" s="375">
        <f t="shared" si="5"/>
        <v>2</v>
      </c>
      <c r="K29" s="363">
        <f t="shared" si="6"/>
        <v>0</v>
      </c>
      <c r="L29" s="363">
        <f t="shared" si="7"/>
        <v>3</v>
      </c>
      <c r="M29" s="352"/>
      <c r="N29" s="352"/>
      <c r="O29" s="398" t="s">
        <v>21</v>
      </c>
      <c r="P29" s="399">
        <f>SUMIF($D$8:$D$55,$O29,$G$8:$G$55)+SUMIF($F$8:$F$55,$O29,$I$8:$I$55)</f>
        <v>7</v>
      </c>
      <c r="Q29" s="399">
        <f>SUMIF($D$8:$D$55,$O29,$I$8:$I$55)+SUMIF($F$8:$F$55,$O29,$G$8:$G$55)</f>
        <v>4</v>
      </c>
      <c r="R29" s="399">
        <f>P29-Q29</f>
        <v>3</v>
      </c>
      <c r="S29" s="400">
        <f>SUMIF($D$8:$D$55,$O29,$K$8:$K$55)+SUMIF($F$8:$F$55,$O29,$L$8:$L$55)</f>
        <v>6</v>
      </c>
      <c r="T29" s="445" t="s">
        <v>63</v>
      </c>
      <c r="U29" s="40"/>
      <c r="V29" s="40" t="str">
        <f>O29</f>
        <v>Engeland</v>
      </c>
      <c r="W29" s="40" t="s">
        <v>64</v>
      </c>
      <c r="Y29" s="109">
        <f t="shared" si="8"/>
        <v>0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0</v>
      </c>
      <c r="AG29" s="108">
        <f t="shared" si="0"/>
        <v>0</v>
      </c>
      <c r="AH29" s="108">
        <f t="shared" si="1"/>
        <v>0</v>
      </c>
      <c r="AI29" s="108">
        <f t="shared" si="10"/>
        <v>0</v>
      </c>
      <c r="AJ29" s="108">
        <f t="shared" si="2"/>
        <v>0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1</v>
      </c>
      <c r="H30" s="379" t="s">
        <v>9</v>
      </c>
      <c r="I30" s="442">
        <v>3</v>
      </c>
      <c r="J30" s="381">
        <f t="shared" si="5"/>
        <v>2</v>
      </c>
      <c r="K30" s="363">
        <f t="shared" si="6"/>
        <v>0</v>
      </c>
      <c r="L30" s="363">
        <f t="shared" si="7"/>
        <v>3</v>
      </c>
      <c r="M30" s="352"/>
      <c r="N30" s="352"/>
      <c r="O30" s="401" t="s">
        <v>22</v>
      </c>
      <c r="P30" s="402">
        <f>SUMIF($D$8:$D$55,$O30,$G$8:$G$55)+SUMIF($F$8:$F$55,$O30,$I$8:$I$55)</f>
        <v>7</v>
      </c>
      <c r="Q30" s="402">
        <f>SUMIF($D$8:$D$55,$O30,$I$8:$I$55)+SUMIF($F$8:$F$55,$O30,$G$8:$G$55)</f>
        <v>2</v>
      </c>
      <c r="R30" s="402">
        <f>P30-Q30</f>
        <v>5</v>
      </c>
      <c r="S30" s="403">
        <f>SUMIF($D$8:$D$55,$O30,$K$8:$K$55)+SUMIF($F$8:$F$55,$O30,$L$8:$L$55)</f>
        <v>9</v>
      </c>
      <c r="T30" s="446" t="s">
        <v>62</v>
      </c>
      <c r="U30" s="40"/>
      <c r="V30" s="40" t="str">
        <f>O30</f>
        <v>Italië</v>
      </c>
      <c r="W30" s="40" t="s">
        <v>65</v>
      </c>
      <c r="Y30" s="109">
        <f t="shared" si="8"/>
        <v>0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0</v>
      </c>
      <c r="AG30" s="108">
        <f t="shared" si="0"/>
        <v>0</v>
      </c>
      <c r="AH30" s="108">
        <f t="shared" si="1"/>
        <v>0</v>
      </c>
      <c r="AI30" s="108">
        <f t="shared" si="10"/>
        <v>0</v>
      </c>
      <c r="AJ30" s="108">
        <f t="shared" si="2"/>
        <v>0</v>
      </c>
      <c r="AK30" s="108">
        <f t="shared" si="3"/>
        <v>0</v>
      </c>
      <c r="AL30" s="108">
        <f t="shared" si="4"/>
        <v>0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3</v>
      </c>
      <c r="H31" s="367" t="s">
        <v>9</v>
      </c>
      <c r="I31" s="440">
        <v>0</v>
      </c>
      <c r="J31" s="369">
        <f t="shared" si="5"/>
        <v>1</v>
      </c>
      <c r="K31" s="363">
        <f t="shared" si="6"/>
        <v>3</v>
      </c>
      <c r="L31" s="363">
        <f t="shared" si="7"/>
        <v>0</v>
      </c>
      <c r="M31" s="352"/>
      <c r="N31" s="352"/>
      <c r="O31" s="392"/>
      <c r="P31" s="393"/>
      <c r="Q31" s="393"/>
      <c r="R31" s="393"/>
      <c r="S31" s="393"/>
      <c r="T31" s="393"/>
      <c r="U31" s="40"/>
      <c r="V31" s="40"/>
      <c r="W31" s="40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0"/>
        <v>0</v>
      </c>
      <c r="AH31" s="108">
        <f t="shared" si="1"/>
        <v>0</v>
      </c>
      <c r="AI31" s="108">
        <f t="shared" si="10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40"/>
      <c r="AO31" s="41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1</v>
      </c>
      <c r="H32" s="373" t="s">
        <v>9</v>
      </c>
      <c r="I32" s="441">
        <v>2</v>
      </c>
      <c r="J32" s="375">
        <f t="shared" si="5"/>
        <v>2</v>
      </c>
      <c r="K32" s="363">
        <f t="shared" si="6"/>
        <v>0</v>
      </c>
      <c r="L32" s="363">
        <f t="shared" si="7"/>
        <v>3</v>
      </c>
      <c r="M32" s="352"/>
      <c r="N32" s="352"/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40"/>
      <c r="V32" s="40"/>
      <c r="W32" s="40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0"/>
        <v>0</v>
      </c>
      <c r="AH32" s="108">
        <f t="shared" si="1"/>
        <v>0</v>
      </c>
      <c r="AI32" s="108">
        <f t="shared" si="10"/>
        <v>0</v>
      </c>
      <c r="AJ32" s="108">
        <f t="shared" si="2"/>
        <v>0</v>
      </c>
      <c r="AK32" s="108">
        <f t="shared" si="3"/>
        <v>5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1</v>
      </c>
      <c r="H33" s="379" t="s">
        <v>9</v>
      </c>
      <c r="I33" s="442">
        <v>2</v>
      </c>
      <c r="J33" s="381">
        <f t="shared" si="5"/>
        <v>2</v>
      </c>
      <c r="K33" s="363">
        <f t="shared" si="6"/>
        <v>0</v>
      </c>
      <c r="L33" s="363">
        <f t="shared" si="7"/>
        <v>3</v>
      </c>
      <c r="M33" s="352"/>
      <c r="N33" s="352"/>
      <c r="O33" s="394" t="s">
        <v>25</v>
      </c>
      <c r="P33" s="395">
        <f>SUMIF($D$8:$D$55,$O33,$G$8:$G$55)+SUMIF($F$8:$F$55,$O33,$I$8:$I$55)</f>
        <v>4</v>
      </c>
      <c r="Q33" s="395">
        <f>SUMIF($D$8:$D$55,$O33,$I$8:$I$55)+SUMIF($F$8:$F$55,$O33,$G$8:$G$55)</f>
        <v>3</v>
      </c>
      <c r="R33" s="396">
        <f>P33-Q33</f>
        <v>1</v>
      </c>
      <c r="S33" s="397">
        <f>SUMIF($D$8:$D$55,$O33,$K$8:$K$55)+SUMIF($F$8:$F$55,$O33,$L$8:$L$55)</f>
        <v>6</v>
      </c>
      <c r="T33" s="444" t="s">
        <v>68</v>
      </c>
      <c r="U33" s="40"/>
      <c r="V33" s="40" t="str">
        <f>O33</f>
        <v>Zwitserland</v>
      </c>
      <c r="W33" s="40" t="s">
        <v>67</v>
      </c>
      <c r="Y33" s="109">
        <f t="shared" si="8"/>
        <v>10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10</v>
      </c>
      <c r="AG33" s="108">
        <f t="shared" si="0"/>
        <v>1</v>
      </c>
      <c r="AH33" s="108">
        <f t="shared" si="1"/>
        <v>1</v>
      </c>
      <c r="AI33" s="108">
        <f t="shared" si="10"/>
        <v>10</v>
      </c>
      <c r="AJ33" s="108">
        <f t="shared" si="2"/>
        <v>0</v>
      </c>
      <c r="AK33" s="108">
        <f t="shared" si="3"/>
        <v>5</v>
      </c>
      <c r="AL33" s="108">
        <f t="shared" si="4"/>
        <v>0</v>
      </c>
      <c r="AM33" s="120">
        <f>AO33</f>
        <v>10</v>
      </c>
      <c r="AN33" s="116" t="s">
        <v>25</v>
      </c>
      <c r="AO33" s="115">
        <f>IF(Uitslag!T33="",0,IF(T33=Uitslag!T33,10,0))</f>
        <v>10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4</v>
      </c>
      <c r="H34" s="367" t="s">
        <v>9</v>
      </c>
      <c r="I34" s="440">
        <v>0</v>
      </c>
      <c r="J34" s="369">
        <f t="shared" si="5"/>
        <v>1</v>
      </c>
      <c r="K34" s="363">
        <f t="shared" si="6"/>
        <v>3</v>
      </c>
      <c r="L34" s="363">
        <f t="shared" si="7"/>
        <v>0</v>
      </c>
      <c r="M34" s="352"/>
      <c r="N34" s="352"/>
      <c r="O34" s="398" t="s">
        <v>26</v>
      </c>
      <c r="P34" s="399">
        <f>SUMIF($D$8:$D$55,$O34,$G$8:$G$55)+SUMIF($F$8:$F$55,$O34,$I$8:$I$55)</f>
        <v>2</v>
      </c>
      <c r="Q34" s="399">
        <f>SUMIF($D$8:$D$55,$O34,$I$8:$I$55)+SUMIF($F$8:$F$55,$O34,$G$8:$G$55)</f>
        <v>5</v>
      </c>
      <c r="R34" s="399">
        <f>P34-Q34</f>
        <v>-3</v>
      </c>
      <c r="S34" s="400">
        <f>SUMIF($D$8:$D$55,$O34,$K$8:$K$55)+SUMIF($F$8:$F$55,$O34,$L$8:$L$55)</f>
        <v>3</v>
      </c>
      <c r="T34" s="445" t="s">
        <v>69</v>
      </c>
      <c r="U34" s="40"/>
      <c r="V34" s="40" t="str">
        <f>O34</f>
        <v>Ecuador</v>
      </c>
      <c r="W34" s="40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0"/>
        <v>0</v>
      </c>
      <c r="AH34" s="108">
        <f t="shared" si="1"/>
        <v>1</v>
      </c>
      <c r="AI34" s="108">
        <f t="shared" si="10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10</v>
      </c>
      <c r="AN34" s="117" t="s">
        <v>26</v>
      </c>
      <c r="AO34" s="115">
        <f>IF(Uitslag!T34="",0,IF(T34=Uitslag!T34,10,0))</f>
        <v>10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2</v>
      </c>
      <c r="H35" s="373" t="s">
        <v>9</v>
      </c>
      <c r="I35" s="441">
        <v>0</v>
      </c>
      <c r="J35" s="375">
        <f t="shared" si="5"/>
        <v>1</v>
      </c>
      <c r="K35" s="363">
        <f t="shared" si="6"/>
        <v>3</v>
      </c>
      <c r="L35" s="363">
        <f t="shared" si="7"/>
        <v>0</v>
      </c>
      <c r="M35" s="352"/>
      <c r="N35" s="352"/>
      <c r="O35" s="398" t="s">
        <v>27</v>
      </c>
      <c r="P35" s="399">
        <f>SUMIF($D$8:$D$55,$O35,$G$8:$G$55)+SUMIF($F$8:$F$55,$O35,$I$8:$I$55)</f>
        <v>8</v>
      </c>
      <c r="Q35" s="399">
        <f>SUMIF($D$8:$D$55,$O35,$I$8:$I$55)+SUMIF($F$8:$F$55,$O35,$G$8:$G$55)</f>
        <v>1</v>
      </c>
      <c r="R35" s="399">
        <f>P35-Q35</f>
        <v>7</v>
      </c>
      <c r="S35" s="400">
        <f>SUMIF($D$8:$D$55,$O35,$K$8:$K$55)+SUMIF($F$8:$F$55,$O35,$L$8:$L$55)</f>
        <v>9</v>
      </c>
      <c r="T35" s="445" t="s">
        <v>67</v>
      </c>
      <c r="U35" s="40"/>
      <c r="V35" s="40" t="str">
        <f>O35</f>
        <v>Frankrijk</v>
      </c>
      <c r="W35" s="40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0"/>
        <v>1</v>
      </c>
      <c r="AH35" s="108">
        <f t="shared" si="1"/>
        <v>0</v>
      </c>
      <c r="AI35" s="108">
        <f t="shared" si="10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1</v>
      </c>
      <c r="H36" s="379" t="s">
        <v>9</v>
      </c>
      <c r="I36" s="442">
        <v>1</v>
      </c>
      <c r="J36" s="381">
        <f t="shared" si="5"/>
        <v>3</v>
      </c>
      <c r="K36" s="363">
        <f t="shared" si="6"/>
        <v>1</v>
      </c>
      <c r="L36" s="363">
        <f t="shared" si="7"/>
        <v>1</v>
      </c>
      <c r="M36" s="352"/>
      <c r="N36" s="352"/>
      <c r="O36" s="401" t="s">
        <v>28</v>
      </c>
      <c r="P36" s="402">
        <f>SUMIF($D$8:$D$55,$O36,$G$8:$G$55)+SUMIF($F$8:$F$55,$O36,$I$8:$I$55)</f>
        <v>2</v>
      </c>
      <c r="Q36" s="402">
        <f>SUMIF($D$8:$D$55,$O36,$I$8:$I$55)+SUMIF($F$8:$F$55,$O36,$G$8:$G$55)</f>
        <v>7</v>
      </c>
      <c r="R36" s="402">
        <f>P36-Q36</f>
        <v>-5</v>
      </c>
      <c r="S36" s="403">
        <f>SUMIF($D$8:$D$55,$O36,$K$8:$K$55)+SUMIF($F$8:$F$55,$O36,$L$8:$L$55)</f>
        <v>0</v>
      </c>
      <c r="T36" s="446" t="s">
        <v>70</v>
      </c>
      <c r="U36" s="40"/>
      <c r="V36" s="40" t="str">
        <f>O36</f>
        <v>Honduras</v>
      </c>
      <c r="W36" s="40" t="s">
        <v>70</v>
      </c>
      <c r="Y36" s="109">
        <f t="shared" si="8"/>
        <v>1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1</v>
      </c>
      <c r="AG36" s="108">
        <f t="shared" si="0"/>
        <v>1</v>
      </c>
      <c r="AH36" s="108">
        <f t="shared" si="1"/>
        <v>0</v>
      </c>
      <c r="AI36" s="108">
        <f t="shared" si="10"/>
        <v>0</v>
      </c>
      <c r="AJ36" s="108">
        <f t="shared" si="2"/>
        <v>0</v>
      </c>
      <c r="AK36" s="108">
        <f t="shared" si="3"/>
        <v>0</v>
      </c>
      <c r="AL36" s="108">
        <f t="shared" si="4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1</v>
      </c>
      <c r="H37" s="367" t="s">
        <v>9</v>
      </c>
      <c r="I37" s="440">
        <v>1</v>
      </c>
      <c r="J37" s="369">
        <f t="shared" si="5"/>
        <v>3</v>
      </c>
      <c r="K37" s="363">
        <f t="shared" si="6"/>
        <v>1</v>
      </c>
      <c r="L37" s="363">
        <f t="shared" si="7"/>
        <v>1</v>
      </c>
      <c r="M37" s="352"/>
      <c r="N37" s="352"/>
      <c r="O37" s="392"/>
      <c r="P37" s="393"/>
      <c r="Q37" s="393"/>
      <c r="R37" s="393"/>
      <c r="S37" s="393"/>
      <c r="T37" s="393"/>
      <c r="U37" s="40"/>
      <c r="V37" s="40"/>
      <c r="W37" s="40"/>
      <c r="Y37" s="109">
        <f t="shared" si="8"/>
        <v>1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1</v>
      </c>
      <c r="AG37" s="108">
        <f t="shared" si="0"/>
        <v>1</v>
      </c>
      <c r="AH37" s="108">
        <f t="shared" si="1"/>
        <v>0</v>
      </c>
      <c r="AI37" s="108">
        <f t="shared" si="10"/>
        <v>0</v>
      </c>
      <c r="AJ37" s="108">
        <f t="shared" si="2"/>
        <v>0</v>
      </c>
      <c r="AK37" s="108">
        <f t="shared" si="3"/>
        <v>0</v>
      </c>
      <c r="AL37" s="108">
        <f t="shared" si="4"/>
        <v>0</v>
      </c>
      <c r="AN37" s="40"/>
      <c r="AO37" s="41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2</v>
      </c>
      <c r="H38" s="373" t="s">
        <v>9</v>
      </c>
      <c r="I38" s="441">
        <v>0</v>
      </c>
      <c r="J38" s="375">
        <f t="shared" si="5"/>
        <v>1</v>
      </c>
      <c r="K38" s="363">
        <f t="shared" si="6"/>
        <v>3</v>
      </c>
      <c r="L38" s="363">
        <f t="shared" si="7"/>
        <v>0</v>
      </c>
      <c r="M38" s="352"/>
      <c r="N38" s="352"/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40"/>
      <c r="V38" s="40"/>
      <c r="W38" s="40"/>
      <c r="Y38" s="109">
        <f t="shared" si="8"/>
        <v>1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1</v>
      </c>
      <c r="AG38" s="108">
        <f t="shared" si="0"/>
        <v>1</v>
      </c>
      <c r="AH38" s="108">
        <f t="shared" si="1"/>
        <v>0</v>
      </c>
      <c r="AI38" s="108">
        <f t="shared" si="10"/>
        <v>0</v>
      </c>
      <c r="AJ38" s="108">
        <f t="shared" si="2"/>
        <v>0</v>
      </c>
      <c r="AK38" s="108">
        <f t="shared" si="3"/>
        <v>0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2</v>
      </c>
      <c r="H39" s="379" t="s">
        <v>9</v>
      </c>
      <c r="I39" s="442">
        <v>3</v>
      </c>
      <c r="J39" s="381">
        <f t="shared" si="5"/>
        <v>2</v>
      </c>
      <c r="K39" s="363">
        <f t="shared" si="6"/>
        <v>0</v>
      </c>
      <c r="L39" s="363">
        <f t="shared" si="7"/>
        <v>3</v>
      </c>
      <c r="M39" s="352"/>
      <c r="N39" s="352"/>
      <c r="O39" s="394" t="s">
        <v>29</v>
      </c>
      <c r="P39" s="395">
        <f>SUMIF($D$8:$D$55,$O39,$G$8:$G$55)+SUMIF($F$8:$F$55,$O39,$I$8:$I$55)</f>
        <v>9</v>
      </c>
      <c r="Q39" s="395">
        <f>SUMIF($D$8:$D$55,$O39,$I$8:$I$55)+SUMIF($F$8:$F$55,$O39,$G$8:$G$55)</f>
        <v>3</v>
      </c>
      <c r="R39" s="396">
        <f>P39-Q39</f>
        <v>6</v>
      </c>
      <c r="S39" s="397">
        <f>SUMIF($D$8:$D$55,$O39,$K$8:$K$55)+SUMIF($F$8:$F$55,$O39,$L$8:$L$55)</f>
        <v>9</v>
      </c>
      <c r="T39" s="444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1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1</v>
      </c>
      <c r="AG39" s="108">
        <f t="shared" si="0"/>
        <v>1</v>
      </c>
      <c r="AH39" s="108">
        <f t="shared" si="1"/>
        <v>0</v>
      </c>
      <c r="AI39" s="108">
        <f t="shared" si="10"/>
        <v>0</v>
      </c>
      <c r="AJ39" s="108">
        <f t="shared" si="2"/>
        <v>0</v>
      </c>
      <c r="AK39" s="108">
        <f t="shared" si="3"/>
        <v>0</v>
      </c>
      <c r="AL39" s="108">
        <f t="shared" si="4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1</v>
      </c>
      <c r="H40" s="367" t="s">
        <v>9</v>
      </c>
      <c r="I40" s="440">
        <v>3</v>
      </c>
      <c r="J40" s="369">
        <f t="shared" si="5"/>
        <v>2</v>
      </c>
      <c r="K40" s="363">
        <f t="shared" si="6"/>
        <v>0</v>
      </c>
      <c r="L40" s="363">
        <f t="shared" si="7"/>
        <v>3</v>
      </c>
      <c r="M40" s="352"/>
      <c r="N40" s="352"/>
      <c r="O40" s="398" t="s">
        <v>30</v>
      </c>
      <c r="P40" s="399">
        <f>SUMIF($D$8:$D$55,$O40,$G$8:$G$55)+SUMIF($F$8:$F$55,$O40,$I$8:$I$55)</f>
        <v>5</v>
      </c>
      <c r="Q40" s="399">
        <f>SUMIF($D$8:$D$55,$O40,$I$8:$I$55)+SUMIF($F$8:$F$55,$O40,$G$8:$G$55)</f>
        <v>4</v>
      </c>
      <c r="R40" s="399">
        <f>P40-Q40</f>
        <v>1</v>
      </c>
      <c r="S40" s="400">
        <f>SUMIF($D$8:$D$55,$O40,$K$8:$K$55)+SUMIF($F$8:$F$55,$O40,$L$8:$L$55)</f>
        <v>4</v>
      </c>
      <c r="T40" s="445" t="s">
        <v>73</v>
      </c>
      <c r="U40" s="40"/>
      <c r="V40" s="40" t="str">
        <f>O40</f>
        <v>Bosnië H.</v>
      </c>
      <c r="W40" s="40" t="s">
        <v>73</v>
      </c>
      <c r="Y40" s="109">
        <f t="shared" si="8"/>
        <v>6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6</v>
      </c>
      <c r="AG40" s="108">
        <f t="shared" si="0"/>
        <v>0</v>
      </c>
      <c r="AH40" s="108">
        <f t="shared" si="1"/>
        <v>1</v>
      </c>
      <c r="AI40" s="108">
        <f t="shared" si="10"/>
        <v>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0</v>
      </c>
      <c r="AN40" s="117" t="s">
        <v>30</v>
      </c>
      <c r="AO40" s="115">
        <f>IF(Uitslag!T40="",0,IF(T40=Uitslag!T40,10,0))</f>
        <v>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3</v>
      </c>
      <c r="H41" s="373" t="s">
        <v>9</v>
      </c>
      <c r="I41" s="441">
        <v>0</v>
      </c>
      <c r="J41" s="375">
        <f t="shared" si="5"/>
        <v>1</v>
      </c>
      <c r="K41" s="363">
        <f t="shared" si="6"/>
        <v>3</v>
      </c>
      <c r="L41" s="363">
        <f t="shared" si="7"/>
        <v>0</v>
      </c>
      <c r="M41" s="352"/>
      <c r="N41" s="352"/>
      <c r="O41" s="398" t="s">
        <v>33</v>
      </c>
      <c r="P41" s="399">
        <f>SUMIF($D$8:$D$55,$O41,$G$8:$G$55)+SUMIF($F$8:$F$55,$O41,$I$8:$I$55)</f>
        <v>1</v>
      </c>
      <c r="Q41" s="399">
        <f>SUMIF($D$8:$D$55,$O41,$I$8:$I$55)+SUMIF($F$8:$F$55,$O41,$G$8:$G$55)</f>
        <v>7</v>
      </c>
      <c r="R41" s="399">
        <f>P41-Q41</f>
        <v>-6</v>
      </c>
      <c r="S41" s="400">
        <f>SUMIF($D$8:$D$55,$O41,$K$8:$K$55)+SUMIF($F$8:$F$55,$O41,$L$8:$L$55)</f>
        <v>1</v>
      </c>
      <c r="T41" s="445" t="s">
        <v>74</v>
      </c>
      <c r="U41" s="40"/>
      <c r="V41" s="40" t="str">
        <f>O41</f>
        <v>Iran</v>
      </c>
      <c r="W41" s="40" t="s">
        <v>74</v>
      </c>
      <c r="Y41" s="109">
        <f t="shared" si="8"/>
        <v>6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6</v>
      </c>
      <c r="AG41" s="108">
        <f t="shared" si="0"/>
        <v>0</v>
      </c>
      <c r="AH41" s="108">
        <f t="shared" si="1"/>
        <v>1</v>
      </c>
      <c r="AI41" s="108">
        <f t="shared" si="10"/>
        <v>0</v>
      </c>
      <c r="AJ41" s="108">
        <f t="shared" si="2"/>
        <v>5</v>
      </c>
      <c r="AK41" s="108">
        <f t="shared" si="3"/>
        <v>0</v>
      </c>
      <c r="AL41" s="108">
        <f t="shared" si="4"/>
        <v>0</v>
      </c>
      <c r="AM41" s="120">
        <f>AO41</f>
        <v>0</v>
      </c>
      <c r="AN41" s="117" t="s">
        <v>33</v>
      </c>
      <c r="AO41" s="115">
        <f>IF(Uitslag!T41="",0,IF(T41=Uitslag!T41,10,0))</f>
        <v>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1</v>
      </c>
      <c r="H42" s="373" t="s">
        <v>9</v>
      </c>
      <c r="I42" s="441">
        <v>4</v>
      </c>
      <c r="J42" s="375">
        <f t="shared" si="5"/>
        <v>2</v>
      </c>
      <c r="K42" s="363">
        <f t="shared" si="6"/>
        <v>0</v>
      </c>
      <c r="L42" s="363">
        <f t="shared" si="7"/>
        <v>3</v>
      </c>
      <c r="M42" s="352"/>
      <c r="N42" s="352"/>
      <c r="O42" s="401" t="s">
        <v>34</v>
      </c>
      <c r="P42" s="402">
        <f>SUMIF($D$8:$D$55,$O42,$G$8:$G$55)+SUMIF($F$8:$F$55,$O42,$I$8:$I$55)</f>
        <v>3</v>
      </c>
      <c r="Q42" s="402">
        <f>SUMIF($D$8:$D$55,$O42,$I$8:$I$55)+SUMIF($F$8:$F$55,$O42,$G$8:$G$55)</f>
        <v>4</v>
      </c>
      <c r="R42" s="402">
        <f>P42-Q42</f>
        <v>-1</v>
      </c>
      <c r="S42" s="403">
        <f>SUMIF($D$8:$D$55,$O42,$K$8:$K$55)+SUMIF($F$8:$F$55,$O42,$L$8:$L$55)</f>
        <v>2</v>
      </c>
      <c r="T42" s="446" t="s">
        <v>75</v>
      </c>
      <c r="U42" s="40"/>
      <c r="V42" s="40" t="str">
        <f>O42</f>
        <v>Nigeria</v>
      </c>
      <c r="W42" s="40" t="s">
        <v>75</v>
      </c>
      <c r="Y42" s="109">
        <f t="shared" si="8"/>
        <v>10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10</v>
      </c>
      <c r="AG42" s="108">
        <f t="shared" si="0"/>
        <v>1</v>
      </c>
      <c r="AH42" s="108">
        <f t="shared" si="1"/>
        <v>1</v>
      </c>
      <c r="AI42" s="108">
        <f t="shared" si="10"/>
        <v>10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0</v>
      </c>
      <c r="AN42" s="118" t="s">
        <v>34</v>
      </c>
      <c r="AO42" s="115">
        <f>IF(Uitslag!T42="",0,IF(T42=Uitslag!T42,10,0))</f>
        <v>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2</v>
      </c>
      <c r="H43" s="379" t="s">
        <v>9</v>
      </c>
      <c r="I43" s="442">
        <v>2</v>
      </c>
      <c r="J43" s="381">
        <f t="shared" si="5"/>
        <v>3</v>
      </c>
      <c r="K43" s="363">
        <f t="shared" si="6"/>
        <v>1</v>
      </c>
      <c r="L43" s="363">
        <f t="shared" si="7"/>
        <v>1</v>
      </c>
      <c r="M43" s="352"/>
      <c r="N43" s="352"/>
      <c r="O43" s="392"/>
      <c r="P43" s="393"/>
      <c r="Q43" s="393"/>
      <c r="R43" s="393"/>
      <c r="S43" s="393"/>
      <c r="T43" s="393"/>
      <c r="U43" s="40"/>
      <c r="V43" s="40"/>
      <c r="W43" s="40"/>
      <c r="Y43" s="109">
        <f t="shared" si="8"/>
        <v>0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0</v>
      </c>
      <c r="AG43" s="108">
        <f t="shared" si="0"/>
        <v>0</v>
      </c>
      <c r="AH43" s="108">
        <f t="shared" si="1"/>
        <v>0</v>
      </c>
      <c r="AI43" s="108">
        <f t="shared" si="10"/>
        <v>0</v>
      </c>
      <c r="AJ43" s="108">
        <f t="shared" si="2"/>
        <v>0</v>
      </c>
      <c r="AK43" s="108">
        <f t="shared" si="3"/>
        <v>0</v>
      </c>
      <c r="AL43" s="108">
        <f t="shared" si="4"/>
        <v>0</v>
      </c>
      <c r="AN43" s="40"/>
      <c r="AO43" s="41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2</v>
      </c>
      <c r="H44" s="367" t="s">
        <v>9</v>
      </c>
      <c r="I44" s="440">
        <v>1</v>
      </c>
      <c r="J44" s="369">
        <f t="shared" si="5"/>
        <v>1</v>
      </c>
      <c r="K44" s="363">
        <f t="shared" si="6"/>
        <v>3</v>
      </c>
      <c r="L44" s="363">
        <f t="shared" si="7"/>
        <v>0</v>
      </c>
      <c r="M44" s="352"/>
      <c r="N44" s="352"/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40"/>
      <c r="V44" s="40"/>
      <c r="W44" s="40"/>
      <c r="Y44" s="109">
        <f t="shared" si="8"/>
        <v>1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1</v>
      </c>
      <c r="AG44" s="108">
        <f t="shared" si="0"/>
        <v>0</v>
      </c>
      <c r="AH44" s="108">
        <f t="shared" si="1"/>
        <v>1</v>
      </c>
      <c r="AI44" s="108">
        <f t="shared" si="10"/>
        <v>0</v>
      </c>
      <c r="AJ44" s="108">
        <f t="shared" si="2"/>
        <v>0</v>
      </c>
      <c r="AK44" s="108">
        <f t="shared" si="3"/>
        <v>0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1</v>
      </c>
      <c r="H45" s="373" t="s">
        <v>9</v>
      </c>
      <c r="I45" s="441">
        <v>4</v>
      </c>
      <c r="J45" s="375">
        <f t="shared" si="5"/>
        <v>2</v>
      </c>
      <c r="K45" s="363">
        <f t="shared" si="6"/>
        <v>0</v>
      </c>
      <c r="L45" s="363">
        <f t="shared" si="7"/>
        <v>3</v>
      </c>
      <c r="M45" s="352"/>
      <c r="N45" s="352"/>
      <c r="O45" s="394" t="s">
        <v>31</v>
      </c>
      <c r="P45" s="395">
        <f>SUMIF($D$8:$D$55,$O45,$G$8:$G$55)+SUMIF($F$8:$F$55,$O45,$I$8:$I$55)</f>
        <v>6</v>
      </c>
      <c r="Q45" s="395">
        <f>SUMIF($D$8:$D$55,$O45,$I$8:$I$55)+SUMIF($F$8:$F$55,$O45,$G$8:$G$55)</f>
        <v>2</v>
      </c>
      <c r="R45" s="396">
        <f>P45-Q45</f>
        <v>4</v>
      </c>
      <c r="S45" s="397">
        <f>SUMIF($D$8:$D$55,$O45,$K$8:$K$55)+SUMIF($F$8:$F$55,$O45,$L$8:$L$55)</f>
        <v>9</v>
      </c>
      <c r="T45" s="444" t="s">
        <v>77</v>
      </c>
      <c r="U45" s="40"/>
      <c r="V45" s="40" t="str">
        <f>O45</f>
        <v>Duitsland</v>
      </c>
      <c r="W45" s="40" t="s">
        <v>77</v>
      </c>
      <c r="Y45" s="109">
        <f t="shared" si="8"/>
        <v>0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0</v>
      </c>
      <c r="AG45" s="108">
        <f t="shared" si="0"/>
        <v>0</v>
      </c>
      <c r="AH45" s="108">
        <f t="shared" si="1"/>
        <v>0</v>
      </c>
      <c r="AI45" s="108">
        <f t="shared" si="10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1</v>
      </c>
      <c r="H46" s="373" t="s">
        <v>9</v>
      </c>
      <c r="I46" s="441">
        <v>1</v>
      </c>
      <c r="J46" s="375">
        <f t="shared" si="5"/>
        <v>3</v>
      </c>
      <c r="K46" s="363">
        <f t="shared" si="6"/>
        <v>1</v>
      </c>
      <c r="L46" s="363">
        <f t="shared" si="7"/>
        <v>1</v>
      </c>
      <c r="M46" s="352"/>
      <c r="N46" s="352"/>
      <c r="O46" s="398" t="s">
        <v>32</v>
      </c>
      <c r="P46" s="399">
        <f>SUMIF($D$8:$D$55,$O46,$G$8:$G$55)+SUMIF($F$8:$F$55,$O46,$I$8:$I$55)</f>
        <v>6</v>
      </c>
      <c r="Q46" s="399">
        <f>SUMIF($D$8:$D$55,$O46,$I$8:$I$55)+SUMIF($F$8:$F$55,$O46,$G$8:$G$55)</f>
        <v>4</v>
      </c>
      <c r="R46" s="399">
        <f>P46-Q46</f>
        <v>2</v>
      </c>
      <c r="S46" s="400">
        <f>SUMIF($D$8:$D$55,$O46,$K$8:$K$55)+SUMIF($F$8:$F$55,$O46,$L$8:$L$55)</f>
        <v>6</v>
      </c>
      <c r="T46" s="445" t="s">
        <v>78</v>
      </c>
      <c r="U46" s="40"/>
      <c r="V46" s="40" t="str">
        <f>O46</f>
        <v>Portugal</v>
      </c>
      <c r="W46" s="40" t="s">
        <v>78</v>
      </c>
      <c r="Y46" s="109">
        <f t="shared" si="8"/>
        <v>1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1</v>
      </c>
      <c r="AG46" s="108">
        <f t="shared" si="0"/>
        <v>1</v>
      </c>
      <c r="AH46" s="108">
        <f t="shared" si="1"/>
        <v>0</v>
      </c>
      <c r="AI46" s="108">
        <f t="shared" si="10"/>
        <v>0</v>
      </c>
      <c r="AJ46" s="108">
        <f t="shared" si="2"/>
        <v>0</v>
      </c>
      <c r="AK46" s="108">
        <f t="shared" si="3"/>
        <v>0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2</v>
      </c>
      <c r="H47" s="379" t="s">
        <v>9</v>
      </c>
      <c r="I47" s="442">
        <v>1</v>
      </c>
      <c r="J47" s="381">
        <f t="shared" si="5"/>
        <v>1</v>
      </c>
      <c r="K47" s="363">
        <f t="shared" si="6"/>
        <v>3</v>
      </c>
      <c r="L47" s="363">
        <f t="shared" si="7"/>
        <v>0</v>
      </c>
      <c r="M47" s="352"/>
      <c r="N47" s="352"/>
      <c r="O47" s="398" t="s">
        <v>35</v>
      </c>
      <c r="P47" s="399">
        <f>SUMIF($D$8:$D$55,$O47,$G$8:$G$55)+SUMIF($F$8:$F$55,$O47,$I$8:$I$55)</f>
        <v>1</v>
      </c>
      <c r="Q47" s="399">
        <f>SUMIF($D$8:$D$55,$O47,$I$8:$I$55)+SUMIF($F$8:$F$55,$O47,$G$8:$G$55)</f>
        <v>7</v>
      </c>
      <c r="R47" s="399">
        <f>P47-Q47</f>
        <v>-6</v>
      </c>
      <c r="S47" s="400">
        <f>SUMIF($D$8:$D$55,$O47,$K$8:$K$55)+SUMIF($F$8:$F$55,$O47,$L$8:$L$55)</f>
        <v>0</v>
      </c>
      <c r="T47" s="445" t="s">
        <v>80</v>
      </c>
      <c r="U47" s="40"/>
      <c r="V47" s="40" t="str">
        <f>O47</f>
        <v>Ghana</v>
      </c>
      <c r="W47" s="40" t="s">
        <v>79</v>
      </c>
      <c r="Y47" s="109">
        <f t="shared" si="8"/>
        <v>10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10</v>
      </c>
      <c r="AG47" s="108">
        <f t="shared" si="0"/>
        <v>1</v>
      </c>
      <c r="AH47" s="108">
        <f t="shared" si="1"/>
        <v>1</v>
      </c>
      <c r="AI47" s="108">
        <f t="shared" si="10"/>
        <v>10</v>
      </c>
      <c r="AJ47" s="108">
        <f t="shared" si="2"/>
        <v>5</v>
      </c>
      <c r="AK47" s="108">
        <f t="shared" si="3"/>
        <v>0</v>
      </c>
      <c r="AL47" s="108">
        <f t="shared" si="4"/>
        <v>0</v>
      </c>
      <c r="AM47" s="120">
        <f>AO47</f>
        <v>10</v>
      </c>
      <c r="AN47" s="117" t="s">
        <v>35</v>
      </c>
      <c r="AO47" s="115">
        <f>IF(Uitslag!T47="",0,IF(T47=Uitslag!T47,10,0))</f>
        <v>10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1</v>
      </c>
      <c r="H48" s="367" t="s">
        <v>9</v>
      </c>
      <c r="I48" s="440">
        <v>2</v>
      </c>
      <c r="J48" s="369">
        <f t="shared" si="5"/>
        <v>2</v>
      </c>
      <c r="K48" s="363">
        <f t="shared" si="6"/>
        <v>0</v>
      </c>
      <c r="L48" s="363">
        <f t="shared" si="7"/>
        <v>3</v>
      </c>
      <c r="M48" s="352"/>
      <c r="N48" s="352"/>
      <c r="O48" s="401" t="s">
        <v>36</v>
      </c>
      <c r="P48" s="402">
        <f>SUMIF($D$8:$D$55,$O48,$G$8:$G$55)+SUMIF($F$8:$F$55,$O48,$I$8:$I$55)</f>
        <v>6</v>
      </c>
      <c r="Q48" s="402">
        <f>SUMIF($D$8:$D$55,$O48,$I$8:$I$55)+SUMIF($F$8:$F$55,$O48,$G$8:$G$55)</f>
        <v>6</v>
      </c>
      <c r="R48" s="402">
        <f>P48-Q48</f>
        <v>0</v>
      </c>
      <c r="S48" s="403">
        <f>SUMIF($D$8:$D$55,$O48,$K$8:$K$55)+SUMIF($F$8:$F$55,$O48,$L$8:$L$55)</f>
        <v>3</v>
      </c>
      <c r="T48" s="446" t="s">
        <v>79</v>
      </c>
      <c r="U48" s="40"/>
      <c r="V48" s="40" t="str">
        <f>O48</f>
        <v>Verenigde Staten</v>
      </c>
      <c r="W48" s="40" t="s">
        <v>80</v>
      </c>
      <c r="Y48" s="109">
        <f t="shared" si="8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5</v>
      </c>
      <c r="AG48" s="108">
        <f t="shared" si="0"/>
        <v>0</v>
      </c>
      <c r="AH48" s="108">
        <f t="shared" si="1"/>
        <v>0</v>
      </c>
      <c r="AI48" s="108">
        <f t="shared" si="10"/>
        <v>0</v>
      </c>
      <c r="AJ48" s="108">
        <f t="shared" si="2"/>
        <v>0</v>
      </c>
      <c r="AK48" s="108">
        <f t="shared" si="3"/>
        <v>5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2</v>
      </c>
      <c r="H49" s="373" t="s">
        <v>9</v>
      </c>
      <c r="I49" s="441">
        <v>0</v>
      </c>
      <c r="J49" s="375">
        <f t="shared" si="5"/>
        <v>1</v>
      </c>
      <c r="K49" s="363">
        <f t="shared" si="6"/>
        <v>3</v>
      </c>
      <c r="L49" s="363">
        <f t="shared" si="7"/>
        <v>0</v>
      </c>
      <c r="M49" s="352"/>
      <c r="N49" s="352"/>
      <c r="O49" s="392"/>
      <c r="P49" s="393"/>
      <c r="Q49" s="393"/>
      <c r="R49" s="393"/>
      <c r="S49" s="393"/>
      <c r="T49" s="393"/>
      <c r="U49" s="40"/>
      <c r="V49" s="40"/>
      <c r="W49" s="40"/>
      <c r="Y49" s="109">
        <f t="shared" si="8"/>
        <v>5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5</v>
      </c>
      <c r="AG49" s="108">
        <f t="shared" si="0"/>
        <v>0</v>
      </c>
      <c r="AH49" s="108">
        <f t="shared" si="1"/>
        <v>0</v>
      </c>
      <c r="AI49" s="108">
        <f t="shared" si="10"/>
        <v>0</v>
      </c>
      <c r="AJ49" s="108">
        <f t="shared" si="2"/>
        <v>5</v>
      </c>
      <c r="AK49" s="108">
        <f t="shared" si="3"/>
        <v>0</v>
      </c>
      <c r="AL49" s="108">
        <f t="shared" si="4"/>
        <v>0</v>
      </c>
      <c r="AN49" s="40"/>
      <c r="AO49" s="41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1</v>
      </c>
      <c r="H50" s="373" t="s">
        <v>9</v>
      </c>
      <c r="I50" s="441">
        <v>2</v>
      </c>
      <c r="J50" s="375">
        <f t="shared" si="5"/>
        <v>2</v>
      </c>
      <c r="K50" s="363">
        <f t="shared" si="6"/>
        <v>0</v>
      </c>
      <c r="L50" s="363">
        <f t="shared" si="7"/>
        <v>3</v>
      </c>
      <c r="M50" s="352"/>
      <c r="N50" s="352"/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40"/>
      <c r="V50" s="40"/>
      <c r="W50" s="40"/>
      <c r="Y50" s="109">
        <f t="shared" si="8"/>
        <v>5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5</v>
      </c>
      <c r="AG50" s="108">
        <f t="shared" si="0"/>
        <v>0</v>
      </c>
      <c r="AH50" s="108">
        <f t="shared" si="1"/>
        <v>0</v>
      </c>
      <c r="AI50" s="108">
        <f t="shared" si="10"/>
        <v>0</v>
      </c>
      <c r="AJ50" s="108">
        <f t="shared" si="2"/>
        <v>0</v>
      </c>
      <c r="AK50" s="108">
        <f t="shared" si="3"/>
        <v>5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0</v>
      </c>
      <c r="H51" s="379" t="s">
        <v>9</v>
      </c>
      <c r="I51" s="442">
        <v>3</v>
      </c>
      <c r="J51" s="381">
        <f t="shared" si="5"/>
        <v>2</v>
      </c>
      <c r="K51" s="363">
        <f t="shared" si="6"/>
        <v>0</v>
      </c>
      <c r="L51" s="363">
        <f>IF(I51="","",IF($G51&lt;$I51,3,IF($G51=$I51,1,0)))</f>
        <v>3</v>
      </c>
      <c r="M51" s="352"/>
      <c r="N51" s="352"/>
      <c r="O51" s="394" t="s">
        <v>37</v>
      </c>
      <c r="P51" s="395">
        <f>SUMIF($D$8:$D$55,$O51,$G$8:$G$55)+SUMIF($F$8:$F$55,$O51,$I$8:$I$55)</f>
        <v>5</v>
      </c>
      <c r="Q51" s="395">
        <f>SUMIF($D$8:$D$55,$O51,$I$8:$I$55)+SUMIF($F$8:$F$55,$O51,$G$8:$G$55)</f>
        <v>2</v>
      </c>
      <c r="R51" s="396">
        <f>P51-Q51</f>
        <v>3</v>
      </c>
      <c r="S51" s="397">
        <f>SUMIF($D$8:$D$55,$O51,$K$8:$K$55)+SUMIF($F$8:$F$55,$O51,$L$8:$L$55)</f>
        <v>7</v>
      </c>
      <c r="T51" s="444" t="s">
        <v>82</v>
      </c>
      <c r="U51" s="40"/>
      <c r="V51" s="40" t="str">
        <f>O51</f>
        <v>België</v>
      </c>
      <c r="W51" s="40" t="s">
        <v>82</v>
      </c>
      <c r="Y51" s="109">
        <f t="shared" si="8"/>
        <v>1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1</v>
      </c>
      <c r="AG51" s="108">
        <f t="shared" si="0"/>
        <v>1</v>
      </c>
      <c r="AH51" s="108">
        <f t="shared" si="1"/>
        <v>0</v>
      </c>
      <c r="AI51" s="108">
        <f t="shared" si="10"/>
        <v>0</v>
      </c>
      <c r="AJ51" s="108">
        <f t="shared" si="2"/>
        <v>0</v>
      </c>
      <c r="AK51" s="108">
        <f t="shared" si="3"/>
        <v>0</v>
      </c>
      <c r="AL51" s="108">
        <f t="shared" si="4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1</v>
      </c>
      <c r="H52" s="373" t="s">
        <v>9</v>
      </c>
      <c r="I52" s="441">
        <v>2</v>
      </c>
      <c r="J52" s="369">
        <f t="shared" si="5"/>
        <v>2</v>
      </c>
      <c r="K52" s="363">
        <f t="shared" si="6"/>
        <v>0</v>
      </c>
      <c r="L52" s="363">
        <f t="shared" si="7"/>
        <v>3</v>
      </c>
      <c r="M52" s="352"/>
      <c r="N52" s="352"/>
      <c r="O52" s="398" t="s">
        <v>38</v>
      </c>
      <c r="P52" s="399">
        <f>SUMIF($D$8:$D$55,$O52,$G$8:$G$55)+SUMIF($F$8:$F$55,$O52,$I$8:$I$55)</f>
        <v>1</v>
      </c>
      <c r="Q52" s="399">
        <f>SUMIF($D$8:$D$55,$O52,$I$8:$I$55)+SUMIF($F$8:$F$55,$O52,$G$8:$G$55)</f>
        <v>5</v>
      </c>
      <c r="R52" s="399">
        <f>P52-Q52</f>
        <v>-4</v>
      </c>
      <c r="S52" s="400">
        <f>SUMIF($D$8:$D$55,$O52,$K$8:$K$55)+SUMIF($F$8:$F$55,$O52,$L$8:$L$55)</f>
        <v>1</v>
      </c>
      <c r="T52" s="445" t="s">
        <v>85</v>
      </c>
      <c r="U52" s="40"/>
      <c r="V52" s="40" t="str">
        <f>O52</f>
        <v>Algerije</v>
      </c>
      <c r="W52" s="40" t="s">
        <v>83</v>
      </c>
      <c r="Y52" s="109">
        <f t="shared" si="8"/>
        <v>5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5</v>
      </c>
      <c r="AG52" s="108">
        <f t="shared" si="0"/>
        <v>0</v>
      </c>
      <c r="AH52" s="108">
        <f t="shared" si="1"/>
        <v>0</v>
      </c>
      <c r="AI52" s="108">
        <f t="shared" si="10"/>
        <v>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2</v>
      </c>
      <c r="H53" s="373" t="s">
        <v>9</v>
      </c>
      <c r="I53" s="441">
        <v>0</v>
      </c>
      <c r="J53" s="375">
        <f t="shared" si="5"/>
        <v>1</v>
      </c>
      <c r="K53" s="363">
        <f t="shared" si="6"/>
        <v>3</v>
      </c>
      <c r="L53" s="363">
        <f t="shared" si="7"/>
        <v>0</v>
      </c>
      <c r="M53" s="352"/>
      <c r="N53" s="352"/>
      <c r="O53" s="398" t="s">
        <v>39</v>
      </c>
      <c r="P53" s="399">
        <f>SUMIF($D$8:$D$55,$O53,$G$8:$G$55)+SUMIF($F$8:$F$55,$O53,$I$8:$I$55)</f>
        <v>4</v>
      </c>
      <c r="Q53" s="399">
        <f>SUMIF($D$8:$D$55,$O53,$I$8:$I$55)+SUMIF($F$8:$F$55,$O53,$G$8:$G$55)</f>
        <v>3</v>
      </c>
      <c r="R53" s="399">
        <f>P53-Q53</f>
        <v>1</v>
      </c>
      <c r="S53" s="400">
        <f>SUMIF($D$8:$D$55,$O53,$K$8:$K$55)+SUMIF($F$8:$F$55,$O53,$L$8:$L$55)</f>
        <v>5</v>
      </c>
      <c r="T53" s="445" t="s">
        <v>83</v>
      </c>
      <c r="U53" s="40"/>
      <c r="V53" s="40" t="str">
        <f>O53</f>
        <v>Rusland</v>
      </c>
      <c r="W53" s="40" t="s">
        <v>84</v>
      </c>
      <c r="Y53" s="109">
        <f t="shared" si="8"/>
        <v>6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6</v>
      </c>
      <c r="AG53" s="108">
        <f t="shared" si="0"/>
        <v>1</v>
      </c>
      <c r="AH53" s="108">
        <f t="shared" si="1"/>
        <v>0</v>
      </c>
      <c r="AI53" s="108">
        <f t="shared" si="10"/>
        <v>0</v>
      </c>
      <c r="AJ53" s="108">
        <f t="shared" si="2"/>
        <v>5</v>
      </c>
      <c r="AK53" s="108">
        <f t="shared" si="3"/>
        <v>0</v>
      </c>
      <c r="AL53" s="108">
        <f t="shared" si="4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1</v>
      </c>
      <c r="H54" s="373" t="s">
        <v>9</v>
      </c>
      <c r="I54" s="441">
        <v>2</v>
      </c>
      <c r="J54" s="375">
        <f t="shared" si="5"/>
        <v>2</v>
      </c>
      <c r="K54" s="363">
        <f t="shared" si="6"/>
        <v>0</v>
      </c>
      <c r="L54" s="363">
        <f t="shared" si="7"/>
        <v>3</v>
      </c>
      <c r="M54" s="352"/>
      <c r="N54" s="352"/>
      <c r="O54" s="401" t="s">
        <v>40</v>
      </c>
      <c r="P54" s="402">
        <f>SUMIF($D$8:$D$55,$O54,$G$8:$G$55)+SUMIF($F$8:$F$55,$O54,$I$8:$I$55)</f>
        <v>4</v>
      </c>
      <c r="Q54" s="402">
        <f>SUMIF($D$8:$D$55,$O54,$I$8:$I$55)+SUMIF($F$8:$F$55,$O54,$G$8:$G$55)</f>
        <v>4</v>
      </c>
      <c r="R54" s="402">
        <f>P54-Q54</f>
        <v>0</v>
      </c>
      <c r="S54" s="403">
        <f>SUMIF($D$8:$D$55,$O54,$K$8:$K$55)+SUMIF($F$8:$F$55,$O54,$L$8:$L$55)</f>
        <v>3</v>
      </c>
      <c r="T54" s="446" t="s">
        <v>84</v>
      </c>
      <c r="U54" s="40"/>
      <c r="V54" s="40" t="str">
        <f>O54</f>
        <v>Zuid Korea</v>
      </c>
      <c r="W54" s="40" t="s">
        <v>85</v>
      </c>
      <c r="Y54" s="109">
        <f t="shared" si="8"/>
        <v>5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5</v>
      </c>
      <c r="AG54" s="108">
        <f t="shared" si="0"/>
        <v>0</v>
      </c>
      <c r="AH54" s="108">
        <f t="shared" si="1"/>
        <v>0</v>
      </c>
      <c r="AI54" s="108">
        <f t="shared" si="10"/>
        <v>0</v>
      </c>
      <c r="AJ54" s="108">
        <f t="shared" si="2"/>
        <v>0</v>
      </c>
      <c r="AK54" s="108">
        <f t="shared" si="3"/>
        <v>5</v>
      </c>
      <c r="AL54" s="108">
        <f t="shared" si="4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1</v>
      </c>
      <c r="H55" s="388" t="s">
        <v>9</v>
      </c>
      <c r="I55" s="443">
        <v>1</v>
      </c>
      <c r="J55" s="390">
        <f t="shared" si="5"/>
        <v>3</v>
      </c>
      <c r="K55" s="363">
        <f t="shared" si="6"/>
        <v>1</v>
      </c>
      <c r="L55" s="363">
        <f t="shared" si="7"/>
        <v>1</v>
      </c>
      <c r="M55" s="352"/>
      <c r="N55" s="352"/>
      <c r="O55" s="392"/>
      <c r="P55" s="393"/>
      <c r="Q55" s="393"/>
      <c r="R55" s="393"/>
      <c r="S55" s="393"/>
      <c r="T55" s="393"/>
      <c r="U55" s="40"/>
      <c r="V55" s="40"/>
      <c r="W55" s="40"/>
      <c r="Y55" s="109">
        <f t="shared" si="8"/>
        <v>10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10</v>
      </c>
      <c r="AG55" s="108">
        <f t="shared" si="0"/>
        <v>1</v>
      </c>
      <c r="AH55" s="108">
        <f t="shared" si="1"/>
        <v>1</v>
      </c>
      <c r="AI55" s="108">
        <f t="shared" si="10"/>
        <v>10</v>
      </c>
      <c r="AJ55" s="108">
        <f t="shared" si="2"/>
        <v>0</v>
      </c>
      <c r="AK55" s="108">
        <f t="shared" si="3"/>
        <v>0</v>
      </c>
      <c r="AL55" s="108">
        <f t="shared" si="4"/>
        <v>5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N56" s="352"/>
      <c r="O56" s="352"/>
      <c r="P56" s="352"/>
      <c r="Q56" s="352"/>
      <c r="R56" s="352"/>
      <c r="S56" s="352"/>
      <c r="T56" s="352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27"/>
      <c r="K57" s="353"/>
      <c r="L57" s="353"/>
      <c r="M57" s="353"/>
      <c r="N57" s="352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32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N58" s="352"/>
      <c r="O58" s="458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>IF(ISERROR(Z59),K59,Z59)</f>
        <v>Brazilië</v>
      </c>
      <c r="E59" s="367" t="s">
        <v>9</v>
      </c>
      <c r="F59" s="406" t="str">
        <f>IF(ISERROR(AA59),L59,AA59)</f>
        <v>Spanje</v>
      </c>
      <c r="G59" s="435">
        <v>1</v>
      </c>
      <c r="H59" s="367" t="s">
        <v>9</v>
      </c>
      <c r="I59" s="447">
        <v>1</v>
      </c>
      <c r="J59" s="448">
        <v>1</v>
      </c>
      <c r="K59" s="407" t="s">
        <v>48</v>
      </c>
      <c r="L59" s="407" t="s">
        <v>53</v>
      </c>
      <c r="M59" s="407">
        <v>1</v>
      </c>
      <c r="N59" s="352"/>
      <c r="O59" s="458">
        <v>2</v>
      </c>
      <c r="P59" s="877" t="s">
        <v>220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3">AF59</f>
        <v>10</v>
      </c>
      <c r="Z59" t="str">
        <f t="shared" ref="Z59:AA65" si="14">IF(K59=""," ",VLOOKUP(K59,$T$9:$V$54,3,FALSE))</f>
        <v>Brazilië</v>
      </c>
      <c r="AA59" t="str">
        <f t="shared" si="14"/>
        <v>Spanje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10</v>
      </c>
      <c r="AG59" s="108">
        <f t="shared" ref="AG59:AG66" si="16">IF(AC59="",0,(IF(G59=AC59,1,0)))</f>
        <v>1</v>
      </c>
      <c r="AH59" s="108">
        <f t="shared" ref="AH59:AH66" si="17">IF(AD59="",0,(IF(I59=AD59,1,0)))</f>
        <v>1</v>
      </c>
      <c r="AI59" s="108">
        <f t="shared" ref="AI59:AI66" si="18">IF(AND(AG59=1,AH59=1),10,0)</f>
        <v>10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5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376">
        <v>50</v>
      </c>
      <c r="C60" s="466">
        <v>41818</v>
      </c>
      <c r="D60" s="460" t="str">
        <f t="shared" ref="D60:D66" si="23">IF(ISERROR(Z60),K60,Z60)</f>
        <v>Griekenland</v>
      </c>
      <c r="E60" s="379" t="s">
        <v>9</v>
      </c>
      <c r="F60" s="409" t="str">
        <f t="shared" ref="F60:F66" si="24">IF(ISERROR(AA60),L60,AA60)</f>
        <v>Engeland</v>
      </c>
      <c r="G60" s="437">
        <v>2</v>
      </c>
      <c r="H60" s="379" t="s">
        <v>9</v>
      </c>
      <c r="I60" s="449">
        <v>1</v>
      </c>
      <c r="J60" s="450">
        <v>1</v>
      </c>
      <c r="K60" s="407" t="s">
        <v>57</v>
      </c>
      <c r="L60" s="407" t="s">
        <v>63</v>
      </c>
      <c r="M60" s="407">
        <v>2</v>
      </c>
      <c r="N60" s="352"/>
      <c r="O60" s="458">
        <v>3</v>
      </c>
      <c r="P60" s="877" t="s">
        <v>212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3"/>
        <v>6</v>
      </c>
      <c r="Z60" t="str">
        <f t="shared" si="14"/>
        <v>Griekenland</v>
      </c>
      <c r="AA60" t="str">
        <f t="shared" si="14"/>
        <v>Engeland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6</v>
      </c>
      <c r="AG60" s="108">
        <f t="shared" si="16"/>
        <v>1</v>
      </c>
      <c r="AH60" s="108">
        <f t="shared" si="17"/>
        <v>0</v>
      </c>
      <c r="AI60" s="108">
        <f t="shared" si="18"/>
        <v>0</v>
      </c>
      <c r="AJ60" s="108">
        <f t="shared" si="19"/>
        <v>5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2"/>
        <v>3</v>
      </c>
    </row>
    <row r="61" spans="2:54">
      <c r="B61" s="364">
        <v>51</v>
      </c>
      <c r="C61" s="465">
        <v>41819</v>
      </c>
      <c r="D61" s="464" t="str">
        <f t="shared" si="23"/>
        <v>Nederland</v>
      </c>
      <c r="E61" s="367" t="s">
        <v>9</v>
      </c>
      <c r="F61" s="406" t="str">
        <f t="shared" si="24"/>
        <v>Kroatië</v>
      </c>
      <c r="G61" s="435">
        <v>2</v>
      </c>
      <c r="H61" s="367" t="s">
        <v>9</v>
      </c>
      <c r="I61" s="447">
        <v>1</v>
      </c>
      <c r="J61" s="448">
        <v>1</v>
      </c>
      <c r="K61" s="407" t="s">
        <v>52</v>
      </c>
      <c r="L61" s="407" t="s">
        <v>49</v>
      </c>
      <c r="M61" s="407"/>
      <c r="N61" s="352"/>
      <c r="O61" s="458">
        <v>4</v>
      </c>
      <c r="P61" s="877" t="s">
        <v>211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3"/>
        <v>10</v>
      </c>
      <c r="Z61" t="str">
        <f t="shared" si="14"/>
        <v>Nederland</v>
      </c>
      <c r="AA61" t="str">
        <f t="shared" si="14"/>
        <v>Kroatië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10</v>
      </c>
      <c r="AG61" s="108">
        <f t="shared" si="16"/>
        <v>1</v>
      </c>
      <c r="AH61" s="108">
        <f t="shared" si="17"/>
        <v>1</v>
      </c>
      <c r="AI61" s="108">
        <f t="shared" si="18"/>
        <v>10</v>
      </c>
      <c r="AJ61" s="108">
        <f t="shared" si="19"/>
        <v>5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3</v>
      </c>
      <c r="BB61" s="139">
        <f t="shared" si="22"/>
        <v>3</v>
      </c>
    </row>
    <row r="62" spans="2:54">
      <c r="B62" s="376">
        <v>52</v>
      </c>
      <c r="C62" s="466">
        <v>41819</v>
      </c>
      <c r="D62" s="464" t="str">
        <f t="shared" si="23"/>
        <v>Italië</v>
      </c>
      <c r="E62" s="379" t="s">
        <v>9</v>
      </c>
      <c r="F62" s="409" t="str">
        <f t="shared" si="24"/>
        <v>Colombia</v>
      </c>
      <c r="G62" s="437">
        <v>1</v>
      </c>
      <c r="H62" s="379" t="s">
        <v>9</v>
      </c>
      <c r="I62" s="449">
        <v>0</v>
      </c>
      <c r="J62" s="450">
        <v>1</v>
      </c>
      <c r="K62" s="407" t="s">
        <v>62</v>
      </c>
      <c r="L62" s="407" t="s">
        <v>58</v>
      </c>
      <c r="M62" s="407"/>
      <c r="N62" s="352"/>
      <c r="O62" s="458">
        <v>5</v>
      </c>
      <c r="P62" s="877" t="s">
        <v>209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3"/>
        <v>1</v>
      </c>
      <c r="Z62" t="str">
        <f t="shared" si="14"/>
        <v>Italië</v>
      </c>
      <c r="AA62" t="str">
        <f t="shared" si="14"/>
        <v>Colombia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1</v>
      </c>
      <c r="AG62" s="108">
        <f t="shared" si="16"/>
        <v>1</v>
      </c>
      <c r="AH62" s="108">
        <f t="shared" si="17"/>
        <v>0</v>
      </c>
      <c r="AI62" s="108">
        <f t="shared" si="18"/>
        <v>0</v>
      </c>
      <c r="AJ62" s="108">
        <f t="shared" si="19"/>
        <v>0</v>
      </c>
      <c r="AK62" s="108">
        <f t="shared" si="20"/>
        <v>0</v>
      </c>
      <c r="AL62" s="108">
        <f t="shared" si="21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2"/>
        <v>3</v>
      </c>
    </row>
    <row r="63" spans="2:54">
      <c r="B63" s="364">
        <v>53</v>
      </c>
      <c r="C63" s="465">
        <v>41820</v>
      </c>
      <c r="D63" s="459" t="str">
        <f t="shared" si="23"/>
        <v>Frankrijk</v>
      </c>
      <c r="E63" s="367" t="s">
        <v>9</v>
      </c>
      <c r="F63" s="406" t="str">
        <f t="shared" si="24"/>
        <v>Bosnië H.</v>
      </c>
      <c r="G63" s="435">
        <v>2</v>
      </c>
      <c r="H63" s="367" t="s">
        <v>9</v>
      </c>
      <c r="I63" s="447">
        <v>1</v>
      </c>
      <c r="J63" s="448">
        <v>1</v>
      </c>
      <c r="K63" s="407" t="s">
        <v>67</v>
      </c>
      <c r="L63" s="407" t="s">
        <v>73</v>
      </c>
      <c r="M63" s="407"/>
      <c r="N63" s="352"/>
      <c r="O63" s="458">
        <v>6</v>
      </c>
      <c r="P63" s="877" t="s">
        <v>225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3"/>
        <v>6</v>
      </c>
      <c r="Z63" t="str">
        <f t="shared" si="14"/>
        <v>Frankrijk</v>
      </c>
      <c r="AA63" t="str">
        <f t="shared" si="14"/>
        <v>Bosnië H.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6</v>
      </c>
      <c r="AG63" s="108">
        <f t="shared" si="16"/>
        <v>1</v>
      </c>
      <c r="AH63" s="108">
        <f t="shared" si="17"/>
        <v>0</v>
      </c>
      <c r="AI63" s="108">
        <f t="shared" si="18"/>
        <v>0</v>
      </c>
      <c r="AJ63" s="108">
        <f t="shared" si="19"/>
        <v>5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3</v>
      </c>
      <c r="BB63" s="139">
        <f t="shared" si="22"/>
        <v>3</v>
      </c>
    </row>
    <row r="64" spans="2:54">
      <c r="B64" s="376">
        <v>54</v>
      </c>
      <c r="C64" s="466">
        <v>41820</v>
      </c>
      <c r="D64" s="460" t="str">
        <f t="shared" si="23"/>
        <v>Duitsland</v>
      </c>
      <c r="E64" s="379" t="s">
        <v>9</v>
      </c>
      <c r="F64" s="409" t="str">
        <f t="shared" si="24"/>
        <v>Rusland</v>
      </c>
      <c r="G64" s="437">
        <v>2</v>
      </c>
      <c r="H64" s="379" t="s">
        <v>9</v>
      </c>
      <c r="I64" s="449">
        <v>0</v>
      </c>
      <c r="J64" s="450">
        <v>1</v>
      </c>
      <c r="K64" s="407" t="s">
        <v>77</v>
      </c>
      <c r="L64" s="407" t="s">
        <v>83</v>
      </c>
      <c r="M64" s="407"/>
      <c r="N64" s="352"/>
      <c r="O64" s="458">
        <v>7</v>
      </c>
      <c r="P64" s="877" t="s">
        <v>214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3"/>
        <v>1</v>
      </c>
      <c r="Z64" t="str">
        <f t="shared" si="14"/>
        <v>Duitsland</v>
      </c>
      <c r="AA64" t="str">
        <f t="shared" si="14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1</v>
      </c>
      <c r="AG64" s="108">
        <f t="shared" si="16"/>
        <v>0</v>
      </c>
      <c r="AH64" s="108">
        <f t="shared" si="17"/>
        <v>1</v>
      </c>
      <c r="AI64" s="108">
        <f t="shared" si="18"/>
        <v>0</v>
      </c>
      <c r="AJ64" s="108">
        <f t="shared" si="19"/>
        <v>0</v>
      </c>
      <c r="AK64" s="108">
        <f t="shared" si="20"/>
        <v>0</v>
      </c>
      <c r="AL64" s="108">
        <f t="shared" si="21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2"/>
        <v>3</v>
      </c>
    </row>
    <row r="65" spans="2:54">
      <c r="B65" s="370">
        <v>55</v>
      </c>
      <c r="C65" s="467">
        <v>41821</v>
      </c>
      <c r="D65" s="459" t="str">
        <f t="shared" si="23"/>
        <v>Argentinië</v>
      </c>
      <c r="E65" s="373" t="s">
        <v>9</v>
      </c>
      <c r="F65" s="410" t="str">
        <f t="shared" si="24"/>
        <v>Zwitserland</v>
      </c>
      <c r="G65" s="436">
        <v>3</v>
      </c>
      <c r="H65" s="373" t="s">
        <v>9</v>
      </c>
      <c r="I65" s="451">
        <v>0</v>
      </c>
      <c r="J65" s="452">
        <v>1</v>
      </c>
      <c r="K65" s="407" t="s">
        <v>72</v>
      </c>
      <c r="L65" s="407" t="s">
        <v>68</v>
      </c>
      <c r="M65" s="407"/>
      <c r="N65" s="352"/>
      <c r="O65" s="458">
        <v>8</v>
      </c>
      <c r="P65" s="877" t="s">
        <v>213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3"/>
        <v>1</v>
      </c>
      <c r="Z65" t="str">
        <f t="shared" si="14"/>
        <v>Argentinië</v>
      </c>
      <c r="AA65" t="str">
        <f t="shared" si="14"/>
        <v>Zwitserland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1</v>
      </c>
      <c r="AG65" s="108">
        <f t="shared" si="16"/>
        <v>0</v>
      </c>
      <c r="AH65" s="108">
        <f t="shared" si="17"/>
        <v>1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2"/>
        <v>3</v>
      </c>
    </row>
    <row r="66" spans="2:54" ht="15.75" thickBot="1">
      <c r="B66" s="385">
        <v>56</v>
      </c>
      <c r="C66" s="462">
        <v>41821</v>
      </c>
      <c r="D66" s="461" t="str">
        <f t="shared" si="23"/>
        <v>België</v>
      </c>
      <c r="E66" s="388" t="s">
        <v>9</v>
      </c>
      <c r="F66" s="412" t="str">
        <f t="shared" si="24"/>
        <v>Portugal</v>
      </c>
      <c r="G66" s="438">
        <v>1</v>
      </c>
      <c r="H66" s="388" t="s">
        <v>9</v>
      </c>
      <c r="I66" s="453">
        <v>1</v>
      </c>
      <c r="J66" s="454">
        <v>2</v>
      </c>
      <c r="K66" s="407" t="s">
        <v>82</v>
      </c>
      <c r="L66" s="407" t="s">
        <v>78</v>
      </c>
      <c r="M66" s="407"/>
      <c r="N66" s="352"/>
      <c r="O66" s="458">
        <v>9</v>
      </c>
      <c r="P66" s="877" t="s">
        <v>215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3"/>
        <v>5</v>
      </c>
      <c r="Z66" t="str">
        <f>IF(K66=""," ",VLOOKUP(K66,$T$9:$V$54,3,FALSE))</f>
        <v>België</v>
      </c>
      <c r="AA66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5</v>
      </c>
      <c r="AG66" s="108">
        <f t="shared" si="16"/>
        <v>0</v>
      </c>
      <c r="AH66" s="108">
        <f t="shared" si="17"/>
        <v>0</v>
      </c>
      <c r="AI66" s="108">
        <f t="shared" si="18"/>
        <v>0</v>
      </c>
      <c r="AJ66" s="108">
        <f t="shared" si="19"/>
        <v>0</v>
      </c>
      <c r="AK66" s="108">
        <f t="shared" si="20"/>
        <v>0</v>
      </c>
      <c r="AL66" s="108">
        <f t="shared" si="21"/>
        <v>5</v>
      </c>
      <c r="AZ66" s="138" t="str">
        <f>Uitslag!P66</f>
        <v>Jonathan de Guzman (m)</v>
      </c>
      <c r="BA66" s="140">
        <f t="shared" si="12"/>
        <v>3</v>
      </c>
      <c r="BB66" s="139">
        <f t="shared" si="22"/>
        <v>3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N67" s="352"/>
      <c r="O67" s="458">
        <v>10</v>
      </c>
      <c r="P67" s="877" t="s">
        <v>216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2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27"/>
      <c r="K68" s="353"/>
      <c r="L68" s="353"/>
      <c r="M68" s="353"/>
      <c r="N68" s="352"/>
      <c r="O68" s="458">
        <v>11</v>
      </c>
      <c r="P68" s="877" t="s">
        <v>226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2"/>
        <v>3</v>
      </c>
    </row>
    <row r="69" spans="2:54">
      <c r="B69" s="428" t="s">
        <v>1</v>
      </c>
      <c r="C69" s="429" t="s">
        <v>2</v>
      </c>
      <c r="D69" s="430" t="s">
        <v>3</v>
      </c>
      <c r="E69" s="431"/>
      <c r="F69" s="432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N69" s="352"/>
      <c r="O69" s="352"/>
      <c r="P69" s="352"/>
      <c r="Q69" s="352"/>
      <c r="R69" s="352"/>
      <c r="S69" s="352"/>
      <c r="T69" s="352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33</v>
      </c>
      <c r="BB69" s="139">
        <f>IF(AND(BA69&lt;&gt;"",BA69=33),15,"nvt")</f>
        <v>15</v>
      </c>
    </row>
    <row r="70" spans="2:54">
      <c r="B70" s="364">
        <v>57</v>
      </c>
      <c r="C70" s="365">
        <v>41824</v>
      </c>
      <c r="D70" s="405" t="str">
        <f>IF(J63="","Winnaar 53",IF(J63=1,D63,F63))</f>
        <v>Frankrijk</v>
      </c>
      <c r="E70" s="367" t="s">
        <v>9</v>
      </c>
      <c r="F70" s="406" t="str">
        <f>IF(J64="","Winnaar 54",IF(J64=1,D64,F64))</f>
        <v>Duitsland</v>
      </c>
      <c r="G70" s="435">
        <v>1</v>
      </c>
      <c r="H70" s="367" t="s">
        <v>9</v>
      </c>
      <c r="I70" s="447">
        <v>1</v>
      </c>
      <c r="J70" s="448">
        <v>2</v>
      </c>
      <c r="K70" s="353"/>
      <c r="L70" s="353"/>
      <c r="M70" s="353"/>
      <c r="N70" s="352"/>
      <c r="O70" s="352"/>
      <c r="P70" s="352"/>
      <c r="Q70" s="352"/>
      <c r="R70" s="352"/>
      <c r="S70" s="352"/>
      <c r="T70" s="352"/>
      <c r="V70" t="s">
        <v>133</v>
      </c>
      <c r="W70" t="s">
        <v>126</v>
      </c>
      <c r="X70" t="str">
        <f t="shared" si="11"/>
        <v>Karim Rekik (v)</v>
      </c>
      <c r="Y70" s="109">
        <f>AF70</f>
        <v>1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1</v>
      </c>
      <c r="AG70" s="108">
        <f>IF(AC70="",0,(IF(G70=AC70,1,0)))</f>
        <v>0</v>
      </c>
      <c r="AH70" s="108">
        <f>IF(AD70="",0,(IF(I70=AD70,1,0)))</f>
        <v>1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0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Brazilië</v>
      </c>
      <c r="E71" s="379" t="s">
        <v>9</v>
      </c>
      <c r="F71" s="409" t="str">
        <f>IF(J60="","Winnaar 50",IF(J60=1,D60,F60))</f>
        <v>Griekenland</v>
      </c>
      <c r="G71" s="437">
        <v>2</v>
      </c>
      <c r="H71" s="379" t="s">
        <v>9</v>
      </c>
      <c r="I71" s="449">
        <v>0</v>
      </c>
      <c r="J71" s="450">
        <v>1</v>
      </c>
      <c r="K71" s="353"/>
      <c r="L71" s="353"/>
      <c r="M71" s="353"/>
      <c r="N71" s="352"/>
      <c r="O71" s="352"/>
      <c r="P71" s="352"/>
      <c r="Q71" s="352"/>
      <c r="R71" s="352"/>
      <c r="S71" s="352"/>
      <c r="T71" s="352"/>
      <c r="V71" t="s">
        <v>133</v>
      </c>
      <c r="W71" t="s">
        <v>194</v>
      </c>
      <c r="X71" t="str">
        <f t="shared" si="11"/>
        <v>Ron Vlaar (v)</v>
      </c>
      <c r="Y71" s="109">
        <f>AF71</f>
        <v>6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6</v>
      </c>
      <c r="AG71" s="108">
        <f>IF(AC71="",0,(IF(G71=AC71,1,0)))</f>
        <v>1</v>
      </c>
      <c r="AH71" s="108">
        <f>IF(AD71="",0,(IF(I71=AD71,1,0)))</f>
        <v>0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Argentinië</v>
      </c>
      <c r="E72" s="367" t="s">
        <v>9</v>
      </c>
      <c r="F72" s="406" t="str">
        <f>IF(J66="","Winnaar 56",IF(J66=1,D66,F66))</f>
        <v>Portugal</v>
      </c>
      <c r="G72" s="435">
        <v>1</v>
      </c>
      <c r="H72" s="367" t="s">
        <v>9</v>
      </c>
      <c r="I72" s="447">
        <v>0</v>
      </c>
      <c r="J72" s="448">
        <v>1</v>
      </c>
      <c r="K72" s="353"/>
      <c r="L72" s="353"/>
      <c r="M72" s="353"/>
      <c r="N72" s="352"/>
      <c r="O72" s="352"/>
      <c r="P72" s="352"/>
      <c r="Q72" s="352"/>
      <c r="R72" s="352"/>
      <c r="S72" s="352"/>
      <c r="T72" s="352"/>
      <c r="V72" t="s">
        <v>133</v>
      </c>
      <c r="W72" t="s">
        <v>195</v>
      </c>
      <c r="X72" t="str">
        <f t="shared" si="11"/>
        <v>John Heitinga (v)</v>
      </c>
      <c r="Y72" s="109">
        <f>AF72</f>
        <v>10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10</v>
      </c>
      <c r="AG72" s="108">
        <f>IF(AC72="",0,(IF(G72=AC72,1,0)))</f>
        <v>1</v>
      </c>
      <c r="AH72" s="108">
        <f>IF(AD72="",0,(IF(I72=AD72,1,0)))</f>
        <v>1</v>
      </c>
      <c r="AI72" s="108">
        <f>IF(AND(AG72=1,AH72=1),10,0)</f>
        <v>10</v>
      </c>
      <c r="AJ72" s="108">
        <f>IF(AND(G72&gt;I72,AC72&gt;AD72),5,0)</f>
        <v>5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Nederland</v>
      </c>
      <c r="E73" s="388" t="s">
        <v>9</v>
      </c>
      <c r="F73" s="412" t="str">
        <f>IF(J62="","Winnaar 52",IF(J62=1,D62,F62))</f>
        <v>Italië</v>
      </c>
      <c r="G73" s="438">
        <v>2</v>
      </c>
      <c r="H73" s="388" t="s">
        <v>9</v>
      </c>
      <c r="I73" s="453">
        <v>0</v>
      </c>
      <c r="J73" s="454">
        <v>1</v>
      </c>
      <c r="K73" s="353"/>
      <c r="L73" s="353"/>
      <c r="M73" s="353"/>
      <c r="N73" s="352"/>
      <c r="O73" s="352"/>
      <c r="P73" s="352"/>
      <c r="Q73" s="352"/>
      <c r="R73" s="352"/>
      <c r="S73" s="352"/>
      <c r="T73" s="352"/>
      <c r="V73" t="s">
        <v>133</v>
      </c>
      <c r="W73" t="s">
        <v>196</v>
      </c>
      <c r="X73" t="str">
        <f t="shared" si="11"/>
        <v>Urby Emanuelson (v)</v>
      </c>
      <c r="Y73" s="109">
        <f>AF73</f>
        <v>1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1</v>
      </c>
      <c r="AG73" s="108">
        <f>IF(AC73="",0,(IF(G73=AC73,1,0)))</f>
        <v>0</v>
      </c>
      <c r="AH73" s="108">
        <f>IF(AD73="",0,(IF(I73=AD73,1,0)))</f>
        <v>1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N74" s="352"/>
      <c r="O74" s="352"/>
      <c r="P74" s="352"/>
      <c r="Q74" s="352"/>
      <c r="R74" s="352"/>
      <c r="S74" s="352"/>
      <c r="T74" s="352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27"/>
      <c r="K75" s="353"/>
      <c r="L75" s="353"/>
      <c r="M75" s="353"/>
      <c r="N75" s="352"/>
      <c r="O75" s="352"/>
      <c r="P75" s="352"/>
      <c r="Q75" s="352"/>
      <c r="R75" s="352"/>
      <c r="S75" s="352"/>
      <c r="T75" s="352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30" t="s">
        <v>3</v>
      </c>
      <c r="E76" s="431"/>
      <c r="F76" s="432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N76" s="352"/>
      <c r="O76" s="352"/>
      <c r="P76" s="352"/>
      <c r="Q76" s="352"/>
      <c r="R76" s="352"/>
      <c r="S76" s="352"/>
      <c r="T76" s="352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Duitsland</v>
      </c>
      <c r="E77" s="367" t="s">
        <v>9</v>
      </c>
      <c r="F77" s="406" t="str">
        <f>IF(J71="","Winnaar 58",IF(J71=1,D71,F71))</f>
        <v>Brazilië</v>
      </c>
      <c r="G77" s="435">
        <v>2</v>
      </c>
      <c r="H77" s="367" t="s">
        <v>9</v>
      </c>
      <c r="I77" s="447">
        <v>2</v>
      </c>
      <c r="J77" s="448">
        <v>2</v>
      </c>
      <c r="K77" s="353"/>
      <c r="L77" s="353"/>
      <c r="M77" s="353"/>
      <c r="N77" s="352"/>
      <c r="O77" s="352"/>
      <c r="P77" s="352"/>
      <c r="Q77" s="352"/>
      <c r="R77" s="352"/>
      <c r="S77" s="352"/>
      <c r="T77" s="352"/>
      <c r="V77" t="s">
        <v>134</v>
      </c>
      <c r="W77" t="s">
        <v>203</v>
      </c>
      <c r="X77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Argentinië</v>
      </c>
      <c r="E78" s="388" t="s">
        <v>9</v>
      </c>
      <c r="F78" s="412" t="str">
        <f>IF(J73="","Winnaar 60",IF(J73=1,D73,F73))</f>
        <v>Nederland</v>
      </c>
      <c r="G78" s="438">
        <v>0</v>
      </c>
      <c r="H78" s="388" t="s">
        <v>9</v>
      </c>
      <c r="I78" s="453">
        <v>1</v>
      </c>
      <c r="J78" s="454">
        <v>2</v>
      </c>
      <c r="K78" s="353"/>
      <c r="L78" s="353"/>
      <c r="M78" s="353"/>
      <c r="N78" s="352"/>
      <c r="O78" s="352"/>
      <c r="P78" s="352"/>
      <c r="Q78" s="352"/>
      <c r="R78" s="352"/>
      <c r="S78" s="352"/>
      <c r="T78" s="352"/>
      <c r="V78" t="s">
        <v>134</v>
      </c>
      <c r="W78" t="s">
        <v>199</v>
      </c>
      <c r="X78" t="str">
        <f t="shared" si="11"/>
        <v>Leroy Fer (m)</v>
      </c>
      <c r="Y78" s="109">
        <f>AF78</f>
        <v>1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1</v>
      </c>
      <c r="AG78" s="108">
        <f>IF(AC78="",0,(IF(G78=AC78,1,0)))</f>
        <v>1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N79" s="352"/>
      <c r="O79" s="352"/>
      <c r="P79" s="352"/>
      <c r="Q79" s="352"/>
      <c r="R79" s="352"/>
      <c r="S79" s="352"/>
      <c r="T79" s="352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27"/>
      <c r="K80" s="353"/>
      <c r="L80" s="353"/>
      <c r="M80" s="353"/>
      <c r="N80" s="352"/>
      <c r="O80" s="352"/>
      <c r="P80" s="352"/>
      <c r="Q80" s="352"/>
      <c r="R80" s="352"/>
      <c r="S80" s="352"/>
      <c r="T80" s="352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30" t="s">
        <v>3</v>
      </c>
      <c r="E81" s="431"/>
      <c r="F81" s="432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N81" s="352"/>
      <c r="O81" s="352"/>
      <c r="P81" s="352"/>
      <c r="Q81" s="352"/>
      <c r="R81" s="352"/>
      <c r="S81" s="352"/>
      <c r="T81" s="352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Duitsland</v>
      </c>
      <c r="E82" s="355" t="s">
        <v>9</v>
      </c>
      <c r="F82" s="415" t="str">
        <f>IF(J78="","Verliezer 62",IF(J78=1,F78,D78))</f>
        <v>Argentinië</v>
      </c>
      <c r="G82" s="455">
        <v>1</v>
      </c>
      <c r="H82" s="355" t="s">
        <v>9</v>
      </c>
      <c r="I82" s="456">
        <v>1</v>
      </c>
      <c r="J82" s="457">
        <v>1</v>
      </c>
      <c r="K82" s="353"/>
      <c r="L82" s="353"/>
      <c r="M82" s="353"/>
      <c r="N82" s="352"/>
      <c r="O82" s="352"/>
      <c r="P82" s="352"/>
      <c r="Q82" s="352"/>
      <c r="R82" s="352"/>
      <c r="S82" s="352"/>
      <c r="T82" s="352"/>
      <c r="V82" t="s">
        <v>134</v>
      </c>
      <c r="W82" t="s">
        <v>125</v>
      </c>
      <c r="X8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N83" s="352"/>
      <c r="O83" s="352"/>
      <c r="P83" s="352"/>
      <c r="Q83" s="352"/>
      <c r="R83" s="352"/>
      <c r="S83" s="352"/>
      <c r="T83" s="352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27"/>
      <c r="K84" s="353"/>
      <c r="L84" s="353"/>
      <c r="M84" s="353"/>
      <c r="N84" s="352"/>
      <c r="O84" s="352"/>
      <c r="P84" s="352"/>
      <c r="Q84" s="352"/>
      <c r="R84" s="352"/>
      <c r="S84" s="352"/>
      <c r="T84" s="352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30" t="s">
        <v>3</v>
      </c>
      <c r="E85" s="431"/>
      <c r="F85" s="432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N85" s="352"/>
      <c r="O85" s="352"/>
      <c r="P85" s="352"/>
      <c r="Q85" s="352"/>
      <c r="R85" s="352"/>
      <c r="S85" s="352"/>
      <c r="T85" s="352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Brazilië</v>
      </c>
      <c r="E86" s="355" t="s">
        <v>9</v>
      </c>
      <c r="F86" s="415" t="str">
        <f>IF(J78="","Winnaar 62",IF(J78=1,D78,F78))</f>
        <v>Nederland</v>
      </c>
      <c r="G86" s="455">
        <v>3</v>
      </c>
      <c r="H86" s="355" t="s">
        <v>9</v>
      </c>
      <c r="I86" s="456">
        <v>0</v>
      </c>
      <c r="J86" s="457">
        <v>1</v>
      </c>
      <c r="K86" s="353"/>
      <c r="L86" s="353"/>
      <c r="M86" s="353"/>
      <c r="N86" s="352"/>
      <c r="O86" s="352"/>
      <c r="P86" s="352"/>
      <c r="Q86" s="352"/>
      <c r="R86" s="352"/>
      <c r="S86" s="352"/>
      <c r="T86" s="352"/>
      <c r="V86" t="s">
        <v>134</v>
      </c>
      <c r="W86" t="s">
        <v>139</v>
      </c>
      <c r="X86" t="str">
        <f t="shared" si="11"/>
        <v>Nigel de Jong (m)</v>
      </c>
      <c r="Y86" s="109">
        <f>AF86</f>
        <v>1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1</v>
      </c>
      <c r="AG86" s="108">
        <f>IF(AC86="",0,(IF(G86=AC86,1,0)))</f>
        <v>0</v>
      </c>
      <c r="AH86" s="108">
        <f>IF(AD86="",0,(IF(I86=AD86,1,0)))</f>
        <v>1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Brazilië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5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5</v>
      </c>
      <c r="AV89">
        <f>IF(AR89=0,0,IF(E89=AR89,50,0))</f>
        <v>0</v>
      </c>
      <c r="AW89">
        <f>IF(E89=0,0,IF(OR(E89=AR90),15,0))</f>
        <v>0</v>
      </c>
      <c r="AX89">
        <f>IF(E89=0,0,IF(OR(E89=AR91,E89=AR92),5,0))</f>
        <v>5</v>
      </c>
    </row>
    <row r="90" spans="2:50">
      <c r="C90" s="870">
        <v>2</v>
      </c>
      <c r="D90" s="871"/>
      <c r="E90" s="872" t="str">
        <f>IF(J86=2,D86,IF(J86=1,F86,"Wie wordt 2de?"))</f>
        <v>Nederland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5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5</v>
      </c>
      <c r="AV90">
        <f>IF(AR90=0,0,IF(AR90=E90,25,0))</f>
        <v>0</v>
      </c>
      <c r="AW90">
        <f>IF(E90=0,0,IF(OR(E90=AR89,),15,0))</f>
        <v>0</v>
      </c>
      <c r="AX90">
        <f>IF(E90=0,0,IF(OR(E90=AR91,E90=AR92),5,0))</f>
        <v>5</v>
      </c>
    </row>
    <row r="91" spans="2:50">
      <c r="C91" s="870">
        <v>3</v>
      </c>
      <c r="D91" s="871"/>
      <c r="E91" s="872" t="str">
        <f>IF(J82=1,D82,IF(J82=2,F82,"Wie wordt 3de?"))</f>
        <v>Duitsland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5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5</v>
      </c>
      <c r="AV91">
        <f>IF(AR91=0,0,IF(AR91=E91,15,0))</f>
        <v>0</v>
      </c>
      <c r="AW91">
        <f>IF(E91=0,0,IF(OR(E91=AR92),10,0))</f>
        <v>0</v>
      </c>
      <c r="AX91">
        <f>IF(E91=0,0,IF(OR(E91=AR89,E91=AR90),5,0))</f>
        <v>5</v>
      </c>
    </row>
    <row r="92" spans="2:50">
      <c r="C92" s="870">
        <v>4</v>
      </c>
      <c r="D92" s="871"/>
      <c r="E92" s="872" t="str">
        <f>IF(J82=2,D82,IF(J82=1,F82,"Wie wordt 4de?"))</f>
        <v>Argentinië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5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5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5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20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conditionalFormatting sqref="AO9:AO12 AO15:AO18 AO21:AO24 AO27:AO30 AO33:AO36 AO39:AO42 AO45:AO48 AO51:AO54">
    <cfRule type="cellIs" dxfId="122" priority="3" operator="equal">
      <formula>10</formula>
    </cfRule>
  </conditionalFormatting>
  <conditionalFormatting sqref="P58:T58">
    <cfRule type="duplicateValues" dxfId="121" priority="2"/>
  </conditionalFormatting>
  <conditionalFormatting sqref="P58:T68">
    <cfRule type="duplicateValues" dxfId="120" priority="1"/>
  </conditionalFormatting>
  <dataValidations count="10">
    <dataValidation type="list" allowBlank="1" showInputMessage="1" showErrorMessage="1" sqref="P58:P68">
      <formula1>$X$58:$X$98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51:T54">
      <formula1>$W$51:$W$54</formula1>
    </dataValidation>
  </dataValidation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B1:BB98"/>
  <sheetViews>
    <sheetView topLeftCell="A13" zoomScale="70" zoomScaleNormal="70" workbookViewId="0">
      <selection activeCell="P58" sqref="P58:T68"/>
    </sheetView>
  </sheetViews>
  <sheetFormatPr defaultRowHeight="15" outlineLevelCol="2"/>
  <cols>
    <col min="1" max="1" width="3.42578125" customWidth="1"/>
    <col min="2" max="2" width="3.5703125" bestFit="1" customWidth="1"/>
    <col min="3" max="3" width="11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281</v>
      </c>
      <c r="E3" s="145"/>
      <c r="F3" s="145"/>
      <c r="N3" t="str">
        <f>D3</f>
        <v>Gemma R.</v>
      </c>
      <c r="O3" s="144">
        <f>SUM(P3:S3)</f>
        <v>432</v>
      </c>
      <c r="P3" s="109">
        <f>SUM(Y8:Y86)</f>
        <v>230</v>
      </c>
      <c r="Q3" s="109">
        <f>SUM(AM4:AM55)</f>
        <v>150</v>
      </c>
      <c r="R3" s="109">
        <f>SUM(AP89:AP92)</f>
        <v>25</v>
      </c>
      <c r="S3" s="109">
        <f>SUM(BB58:BB69)</f>
        <v>27</v>
      </c>
      <c r="T3" s="109">
        <f>COUNTIF(AF8:AF86,10)</f>
        <v>9</v>
      </c>
      <c r="U3" s="109" t="str">
        <f>E89</f>
        <v>Italië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M6" s="352"/>
      <c r="N6" s="352"/>
      <c r="O6" s="392"/>
      <c r="P6" s="393"/>
      <c r="Q6" s="393"/>
      <c r="R6" s="393"/>
      <c r="S6" s="393"/>
      <c r="T6" s="393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80" t="s">
        <v>3</v>
      </c>
      <c r="E7" s="419"/>
      <c r="F7" s="481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M7" s="352"/>
      <c r="N7" s="352"/>
      <c r="O7" s="353"/>
      <c r="P7" s="393"/>
      <c r="Q7" s="393"/>
      <c r="R7" s="393"/>
      <c r="S7" s="393"/>
      <c r="T7" s="393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2</v>
      </c>
      <c r="H8" s="360" t="s">
        <v>9</v>
      </c>
      <c r="I8" s="478">
        <v>0</v>
      </c>
      <c r="J8" s="362">
        <f>IF(I8="","",IF(G8&gt;I8,1,IF(G8&lt;I8,2,3)))</f>
        <v>1</v>
      </c>
      <c r="K8" s="363">
        <f>IF(I8="","",IF($G8&gt;$I8,3,IF($G8=$I8,1,0)))</f>
        <v>3</v>
      </c>
      <c r="L8" s="363">
        <f>IF(I8="","",IF($G8&lt;$I8,3,IF($G8=$I8,1,0)))</f>
        <v>0</v>
      </c>
      <c r="M8" s="352"/>
      <c r="N8" s="352"/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40"/>
      <c r="V8" s="40"/>
      <c r="W8" s="40"/>
      <c r="Y8" s="109">
        <f>AF8</f>
        <v>5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5</v>
      </c>
      <c r="AG8" s="108">
        <f t="shared" ref="AG8:AG55" si="0">IF(AC8="",0,(IF(G8=AC8,1,0)))</f>
        <v>0</v>
      </c>
      <c r="AH8" s="108">
        <f t="shared" ref="AH8:AH55" si="1">IF(AD8="",0,(IF(I8=AD8,1,0)))</f>
        <v>0</v>
      </c>
      <c r="AI8" s="108">
        <f>IF(AND(AG8=1,AH8=1),10,0)</f>
        <v>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1</v>
      </c>
      <c r="H9" s="367" t="s">
        <v>9</v>
      </c>
      <c r="I9" s="440">
        <v>1</v>
      </c>
      <c r="J9" s="369">
        <f t="shared" ref="J9:J55" si="5">IF(I9="","",IF(G9&gt;I9,1,IF(G9&lt;I9,2,3)))</f>
        <v>3</v>
      </c>
      <c r="K9" s="363">
        <f t="shared" ref="K9:K55" si="6">IF(I9="","",IF($G9&gt;$I9,3,IF($G9=$I9,1,0)))</f>
        <v>1</v>
      </c>
      <c r="L9" s="363">
        <f t="shared" ref="L9:L55" si="7">IF(I9="","",IF($G9&lt;$I9,3,IF($G9=$I9,1,0)))</f>
        <v>1</v>
      </c>
      <c r="M9" s="352"/>
      <c r="N9" s="352"/>
      <c r="O9" s="394" t="s">
        <v>8</v>
      </c>
      <c r="P9" s="395">
        <f>SUMIF($D$8:$D$55,$O9,$G$8:$G$55)+SUMIF($F$8:$F$55,$O9,$I$8:$I$55)</f>
        <v>7</v>
      </c>
      <c r="Q9" s="395">
        <f>SUMIF($D$8:$D$55,$O9,$I$8:$I$55)+SUMIF($F$8:$F$55,$O9,$G$8:$G$55)</f>
        <v>3</v>
      </c>
      <c r="R9" s="396">
        <f>P9-Q9</f>
        <v>4</v>
      </c>
      <c r="S9" s="397">
        <f>SUMIF($D$8:$D$55,$O9,$K$8:$K$55)+SUMIF($F$8:$F$55,$O9,$L$8:$L$55)</f>
        <v>7</v>
      </c>
      <c r="T9" s="444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1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1</v>
      </c>
      <c r="AG9" s="108">
        <f t="shared" si="0"/>
        <v>1</v>
      </c>
      <c r="AH9" s="108">
        <f t="shared" si="1"/>
        <v>0</v>
      </c>
      <c r="AI9" s="108">
        <f t="shared" ref="AI9:AI55" si="10">IF(AND(AG9=1,AH9=1),10,0)</f>
        <v>0</v>
      </c>
      <c r="AJ9" s="108">
        <f t="shared" si="2"/>
        <v>0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1</v>
      </c>
      <c r="H10" s="373" t="s">
        <v>9</v>
      </c>
      <c r="I10" s="441">
        <v>2</v>
      </c>
      <c r="J10" s="375">
        <f t="shared" si="5"/>
        <v>2</v>
      </c>
      <c r="K10" s="363">
        <f t="shared" si="6"/>
        <v>0</v>
      </c>
      <c r="L10" s="363">
        <f t="shared" si="7"/>
        <v>3</v>
      </c>
      <c r="M10" s="352"/>
      <c r="N10" s="352"/>
      <c r="O10" s="398" t="s">
        <v>10</v>
      </c>
      <c r="P10" s="399">
        <f>SUMIF($D$8:$D$55,$O10,$G$8:$G$55)+SUMIF($F$8:$F$55,$O10,$I$8:$I$55)</f>
        <v>2</v>
      </c>
      <c r="Q10" s="399">
        <f>SUMIF($D$8:$D$55,$O10,$I$8:$I$55)+SUMIF($F$8:$F$55,$O10,$G$8:$G$55)</f>
        <v>4</v>
      </c>
      <c r="R10" s="399">
        <f>P10-Q10</f>
        <v>-2</v>
      </c>
      <c r="S10" s="400">
        <f>SUMIF($D$8:$D$55,$O10,$K$8:$K$55)+SUMIF($F$8:$F$55,$O10,$L$8:$L$55)</f>
        <v>3</v>
      </c>
      <c r="T10" s="445" t="s">
        <v>47</v>
      </c>
      <c r="U10" s="40"/>
      <c r="V10" s="40" t="str">
        <f>O10</f>
        <v>Kroatië</v>
      </c>
      <c r="W10" s="40" t="s">
        <v>49</v>
      </c>
      <c r="Y10" s="109">
        <f t="shared" si="8"/>
        <v>6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6</v>
      </c>
      <c r="AG10" s="108">
        <f t="shared" si="0"/>
        <v>1</v>
      </c>
      <c r="AH10" s="108">
        <f t="shared" si="1"/>
        <v>0</v>
      </c>
      <c r="AI10" s="108">
        <f t="shared" si="10"/>
        <v>0</v>
      </c>
      <c r="AJ10" s="108">
        <f t="shared" si="2"/>
        <v>0</v>
      </c>
      <c r="AK10" s="108">
        <f t="shared" si="3"/>
        <v>5</v>
      </c>
      <c r="AL10" s="108">
        <f t="shared" si="4"/>
        <v>0</v>
      </c>
      <c r="AM10" s="120">
        <f>AO10</f>
        <v>10</v>
      </c>
      <c r="AN10" s="117" t="s">
        <v>10</v>
      </c>
      <c r="AO10" s="115">
        <f>IF(Uitslag!T10="",0,IF(T10=Uitslag!T10,10,0))</f>
        <v>10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0</v>
      </c>
      <c r="H11" s="379" t="s">
        <v>9</v>
      </c>
      <c r="I11" s="442">
        <v>0</v>
      </c>
      <c r="J11" s="381">
        <f t="shared" si="5"/>
        <v>3</v>
      </c>
      <c r="K11" s="363">
        <f t="shared" si="6"/>
        <v>1</v>
      </c>
      <c r="L11" s="363">
        <f t="shared" si="7"/>
        <v>1</v>
      </c>
      <c r="M11" s="352"/>
      <c r="N11" s="352"/>
      <c r="O11" s="398" t="s">
        <v>11</v>
      </c>
      <c r="P11" s="399">
        <f>SUMIF($D$8:$D$55,$O11,$G$8:$G$55)+SUMIF($F$8:$F$55,$O11,$I$8:$I$55)</f>
        <v>5</v>
      </c>
      <c r="Q11" s="399">
        <f>SUMIF($D$8:$D$55,$O11,$I$8:$I$55)+SUMIF($F$8:$F$55,$O11,$G$8:$G$55)</f>
        <v>4</v>
      </c>
      <c r="R11" s="399">
        <f>P11-Q11</f>
        <v>1</v>
      </c>
      <c r="S11" s="400">
        <f>SUMIF($D$8:$D$55,$O11,$K$8:$K$55)+SUMIF($F$8:$F$55,$O11,$L$8:$L$55)</f>
        <v>5</v>
      </c>
      <c r="T11" s="445" t="s">
        <v>49</v>
      </c>
      <c r="U11" s="40"/>
      <c r="V11" s="40" t="str">
        <f>O11</f>
        <v>Mexico</v>
      </c>
      <c r="W11" s="40" t="s">
        <v>47</v>
      </c>
      <c r="Y11" s="109">
        <f t="shared" si="8"/>
        <v>0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0</v>
      </c>
      <c r="AG11" s="108">
        <f t="shared" si="0"/>
        <v>0</v>
      </c>
      <c r="AH11" s="108">
        <f t="shared" si="1"/>
        <v>0</v>
      </c>
      <c r="AI11" s="108">
        <f t="shared" si="10"/>
        <v>0</v>
      </c>
      <c r="AJ11" s="108">
        <f t="shared" si="2"/>
        <v>0</v>
      </c>
      <c r="AK11" s="108">
        <f t="shared" si="3"/>
        <v>0</v>
      </c>
      <c r="AL11" s="108">
        <f t="shared" si="4"/>
        <v>0</v>
      </c>
      <c r="AM11" s="120">
        <f>AO11</f>
        <v>10</v>
      </c>
      <c r="AN11" s="117" t="s">
        <v>11</v>
      </c>
      <c r="AO11" s="115">
        <f>IF(Uitslag!T11="",0,IF(T11=Uitslag!T11,10,0))</f>
        <v>10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3</v>
      </c>
      <c r="H12" s="367" t="s">
        <v>9</v>
      </c>
      <c r="I12" s="440">
        <v>0</v>
      </c>
      <c r="J12" s="369">
        <f t="shared" si="5"/>
        <v>1</v>
      </c>
      <c r="K12" s="363">
        <f t="shared" si="6"/>
        <v>3</v>
      </c>
      <c r="L12" s="363">
        <f t="shared" si="7"/>
        <v>0</v>
      </c>
      <c r="M12" s="352"/>
      <c r="N12" s="352"/>
      <c r="O12" s="401" t="s">
        <v>12</v>
      </c>
      <c r="P12" s="402">
        <f>SUMIF($D$8:$D$55,$O12,$G$8:$G$55)+SUMIF($F$8:$F$55,$O12,$I$8:$I$55)</f>
        <v>2</v>
      </c>
      <c r="Q12" s="402">
        <f>SUMIF($D$8:$D$55,$O12,$I$8:$I$55)+SUMIF($F$8:$F$55,$O12,$G$8:$G$55)</f>
        <v>5</v>
      </c>
      <c r="R12" s="402">
        <f>P12-Q12</f>
        <v>-3</v>
      </c>
      <c r="S12" s="403">
        <f>SUMIF($D$8:$D$55,$O12,$K$8:$K$55)+SUMIF($F$8:$F$55,$O12,$L$8:$L$55)</f>
        <v>1</v>
      </c>
      <c r="T12" s="446" t="s">
        <v>50</v>
      </c>
      <c r="U12" s="40"/>
      <c r="V12" s="40" t="str">
        <f>O12</f>
        <v>Kameroen</v>
      </c>
      <c r="W12" s="40" t="s">
        <v>50</v>
      </c>
      <c r="Y12" s="109">
        <f t="shared" si="8"/>
        <v>10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10</v>
      </c>
      <c r="AG12" s="108">
        <f t="shared" si="0"/>
        <v>1</v>
      </c>
      <c r="AH12" s="108">
        <f t="shared" si="1"/>
        <v>1</v>
      </c>
      <c r="AI12" s="108">
        <f t="shared" si="10"/>
        <v>10</v>
      </c>
      <c r="AJ12" s="108">
        <f t="shared" si="2"/>
        <v>5</v>
      </c>
      <c r="AK12" s="108">
        <f t="shared" si="3"/>
        <v>0</v>
      </c>
      <c r="AL12" s="108">
        <f t="shared" si="4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4</v>
      </c>
      <c r="H13" s="373" t="s">
        <v>9</v>
      </c>
      <c r="I13" s="441">
        <v>0</v>
      </c>
      <c r="J13" s="375">
        <f t="shared" si="5"/>
        <v>1</v>
      </c>
      <c r="K13" s="363">
        <f t="shared" si="6"/>
        <v>3</v>
      </c>
      <c r="L13" s="363">
        <f t="shared" si="7"/>
        <v>0</v>
      </c>
      <c r="M13" s="352"/>
      <c r="N13" s="352"/>
      <c r="O13" s="392"/>
      <c r="P13" s="393"/>
      <c r="Q13" s="393"/>
      <c r="R13" s="393"/>
      <c r="S13" s="393"/>
      <c r="T13" s="393"/>
      <c r="U13" s="40"/>
      <c r="V13" s="40"/>
      <c r="W13" s="40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0"/>
        <v>0</v>
      </c>
      <c r="AH13" s="108">
        <f t="shared" si="1"/>
        <v>0</v>
      </c>
      <c r="AI13" s="108">
        <f t="shared" si="10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40"/>
      <c r="AO13" s="41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0</v>
      </c>
      <c r="H14" s="373" t="s">
        <v>9</v>
      </c>
      <c r="I14" s="441">
        <v>1</v>
      </c>
      <c r="J14" s="375">
        <f t="shared" si="5"/>
        <v>2</v>
      </c>
      <c r="K14" s="363">
        <f t="shared" si="6"/>
        <v>0</v>
      </c>
      <c r="L14" s="363">
        <f t="shared" si="7"/>
        <v>3</v>
      </c>
      <c r="M14" s="352"/>
      <c r="N14" s="352"/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40"/>
      <c r="V14" s="40"/>
      <c r="W14" s="40"/>
      <c r="Y14" s="109">
        <f t="shared" si="8"/>
        <v>5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5</v>
      </c>
      <c r="AG14" s="108">
        <f t="shared" si="0"/>
        <v>0</v>
      </c>
      <c r="AH14" s="108">
        <f t="shared" si="1"/>
        <v>0</v>
      </c>
      <c r="AI14" s="108">
        <f t="shared" si="10"/>
        <v>0</v>
      </c>
      <c r="AJ14" s="108">
        <f t="shared" si="2"/>
        <v>0</v>
      </c>
      <c r="AK14" s="108">
        <f t="shared" si="3"/>
        <v>5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2</v>
      </c>
      <c r="H15" s="379" t="s">
        <v>9</v>
      </c>
      <c r="I15" s="442">
        <v>1</v>
      </c>
      <c r="J15" s="381">
        <f t="shared" si="5"/>
        <v>1</v>
      </c>
      <c r="K15" s="363">
        <f t="shared" si="6"/>
        <v>3</v>
      </c>
      <c r="L15" s="363">
        <f t="shared" si="7"/>
        <v>0</v>
      </c>
      <c r="M15" s="352"/>
      <c r="N15" s="352"/>
      <c r="O15" s="394" t="s">
        <v>13</v>
      </c>
      <c r="P15" s="395">
        <f>SUMIF($D$8:$D$55,$O15,$G$8:$G$55)+SUMIF($F$8:$F$55,$O15,$I$8:$I$55)</f>
        <v>6</v>
      </c>
      <c r="Q15" s="395">
        <f>SUMIF($D$8:$D$55,$O15,$I$8:$I$55)+SUMIF($F$8:$F$55,$O15,$G$8:$G$55)</f>
        <v>5</v>
      </c>
      <c r="R15" s="396">
        <f>P15-Q15</f>
        <v>1</v>
      </c>
      <c r="S15" s="397">
        <f>SUMIF($D$8:$D$55,$O15,$K$8:$K$55)+SUMIF($F$8:$F$55,$O15,$L$8:$L$55)</f>
        <v>3</v>
      </c>
      <c r="T15" s="444" t="s">
        <v>54</v>
      </c>
      <c r="U15" s="40"/>
      <c r="V15" s="40" t="str">
        <f>O15</f>
        <v>Spanje</v>
      </c>
      <c r="W15" s="40" t="s">
        <v>52</v>
      </c>
      <c r="Y15" s="109">
        <f t="shared" si="8"/>
        <v>10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10</v>
      </c>
      <c r="AG15" s="108">
        <f t="shared" si="0"/>
        <v>1</v>
      </c>
      <c r="AH15" s="108">
        <f t="shared" si="1"/>
        <v>1</v>
      </c>
      <c r="AI15" s="108">
        <f t="shared" si="10"/>
        <v>10</v>
      </c>
      <c r="AJ15" s="108">
        <f t="shared" si="2"/>
        <v>5</v>
      </c>
      <c r="AK15" s="108">
        <f t="shared" si="3"/>
        <v>0</v>
      </c>
      <c r="AL15" s="108">
        <f t="shared" si="4"/>
        <v>0</v>
      </c>
      <c r="AM15" s="120">
        <f>AO15</f>
        <v>10</v>
      </c>
      <c r="AN15" s="116" t="s">
        <v>13</v>
      </c>
      <c r="AO15" s="115">
        <f>IF(Uitslag!T15="",0,IF(T15=Uitslag!T15,10,0))</f>
        <v>10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2</v>
      </c>
      <c r="H16" s="367" t="s">
        <v>9</v>
      </c>
      <c r="I16" s="440">
        <v>0</v>
      </c>
      <c r="J16" s="369">
        <f t="shared" si="5"/>
        <v>1</v>
      </c>
      <c r="K16" s="363">
        <f t="shared" si="6"/>
        <v>3</v>
      </c>
      <c r="L16" s="363">
        <f t="shared" si="7"/>
        <v>0</v>
      </c>
      <c r="M16" s="352"/>
      <c r="N16" s="352"/>
      <c r="O16" s="404" t="s">
        <v>14</v>
      </c>
      <c r="P16" s="399">
        <f>SUMIF($D$8:$D$55,$O16,$G$8:$G$55)+SUMIF($F$8:$F$55,$O16,$I$8:$I$55)</f>
        <v>5</v>
      </c>
      <c r="Q16" s="399">
        <f>SUMIF($D$8:$D$55,$O16,$I$8:$I$55)+SUMIF($F$8:$F$55,$O16,$G$8:$G$55)</f>
        <v>1</v>
      </c>
      <c r="R16" s="399">
        <f>P16-Q16</f>
        <v>4</v>
      </c>
      <c r="S16" s="400">
        <f>SUMIF($D$8:$D$55,$O16,$K$8:$K$55)+SUMIF($F$8:$F$55,$O16,$L$8:$L$55)</f>
        <v>9</v>
      </c>
      <c r="T16" s="445" t="s">
        <v>52</v>
      </c>
      <c r="U16" s="40"/>
      <c r="V16" s="40" t="str">
        <f>O16</f>
        <v>Nederland</v>
      </c>
      <c r="W16" s="40" t="s">
        <v>53</v>
      </c>
      <c r="Y16" s="109">
        <f t="shared" si="8"/>
        <v>6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6</v>
      </c>
      <c r="AG16" s="108">
        <f t="shared" si="0"/>
        <v>1</v>
      </c>
      <c r="AH16" s="108">
        <f t="shared" si="1"/>
        <v>0</v>
      </c>
      <c r="AI16" s="108">
        <f t="shared" si="10"/>
        <v>0</v>
      </c>
      <c r="AJ16" s="108">
        <f t="shared" si="2"/>
        <v>5</v>
      </c>
      <c r="AK16" s="108">
        <f t="shared" si="3"/>
        <v>0</v>
      </c>
      <c r="AL16" s="108">
        <f t="shared" si="4"/>
        <v>0</v>
      </c>
      <c r="AM16" s="120">
        <f>AO16</f>
        <v>10</v>
      </c>
      <c r="AN16" s="119" t="s">
        <v>14</v>
      </c>
      <c r="AO16" s="115">
        <f>IF(Uitslag!T16="",0,IF(T16=Uitslag!T16,10,0))</f>
        <v>10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4</v>
      </c>
      <c r="H17" s="373" t="s">
        <v>9</v>
      </c>
      <c r="I17" s="441">
        <v>1</v>
      </c>
      <c r="J17" s="375">
        <f t="shared" si="5"/>
        <v>1</v>
      </c>
      <c r="K17" s="363">
        <f t="shared" si="6"/>
        <v>3</v>
      </c>
      <c r="L17" s="363">
        <f t="shared" si="7"/>
        <v>0</v>
      </c>
      <c r="M17" s="352"/>
      <c r="N17" s="352"/>
      <c r="O17" s="398" t="s">
        <v>15</v>
      </c>
      <c r="P17" s="399">
        <f>SUMIF($D$8:$D$55,$O17,$G$8:$G$55)+SUMIF($F$8:$F$55,$O17,$I$8:$I$55)</f>
        <v>3</v>
      </c>
      <c r="Q17" s="399">
        <f>SUMIF($D$8:$D$55,$O17,$I$8:$I$55)+SUMIF($F$8:$F$55,$O17,$G$8:$G$55)</f>
        <v>4</v>
      </c>
      <c r="R17" s="399">
        <f>P17-Q17</f>
        <v>-1</v>
      </c>
      <c r="S17" s="400">
        <f>SUMIF($D$8:$D$55,$O17,$K$8:$K$55)+SUMIF($F$8:$F$55,$O17,$L$8:$L$55)</f>
        <v>4</v>
      </c>
      <c r="T17" s="445" t="s">
        <v>53</v>
      </c>
      <c r="U17" s="40"/>
      <c r="V17" s="40" t="str">
        <f>O17</f>
        <v>Chili</v>
      </c>
      <c r="W17" s="40" t="s">
        <v>54</v>
      </c>
      <c r="Y17" s="109">
        <f t="shared" si="8"/>
        <v>5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5</v>
      </c>
      <c r="AG17" s="108">
        <f t="shared" si="0"/>
        <v>0</v>
      </c>
      <c r="AH17" s="108">
        <f t="shared" si="1"/>
        <v>0</v>
      </c>
      <c r="AI17" s="108">
        <f t="shared" si="10"/>
        <v>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10</v>
      </c>
      <c r="AN17" s="117" t="s">
        <v>15</v>
      </c>
      <c r="AO17" s="115">
        <f>IF(Uitslag!T17="",0,IF(T17=Uitslag!T17,10,0))</f>
        <v>10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2</v>
      </c>
      <c r="H18" s="379" t="s">
        <v>9</v>
      </c>
      <c r="I18" s="442">
        <v>0</v>
      </c>
      <c r="J18" s="381">
        <f t="shared" si="5"/>
        <v>1</v>
      </c>
      <c r="K18" s="363">
        <f t="shared" si="6"/>
        <v>3</v>
      </c>
      <c r="L18" s="363">
        <f t="shared" si="7"/>
        <v>0</v>
      </c>
      <c r="M18" s="352"/>
      <c r="N18" s="352"/>
      <c r="O18" s="401" t="s">
        <v>16</v>
      </c>
      <c r="P18" s="402">
        <f>SUMIF($D$8:$D$55,$O18,$G$8:$G$55)+SUMIF($F$8:$F$55,$O18,$I$8:$I$55)</f>
        <v>0</v>
      </c>
      <c r="Q18" s="402">
        <f>SUMIF($D$8:$D$55,$O18,$I$8:$I$55)+SUMIF($F$8:$F$55,$O18,$G$8:$G$55)</f>
        <v>4</v>
      </c>
      <c r="R18" s="402">
        <f>P18-Q18</f>
        <v>-4</v>
      </c>
      <c r="S18" s="403">
        <f>SUMIF($D$8:$D$55,$O18,$K$8:$K$55)+SUMIF($F$8:$F$55,$O18,$L$8:$L$55)</f>
        <v>1</v>
      </c>
      <c r="T18" s="446" t="s">
        <v>55</v>
      </c>
      <c r="U18" s="40"/>
      <c r="V18" s="40" t="str">
        <f>O18</f>
        <v>Australië</v>
      </c>
      <c r="W18" s="40" t="s">
        <v>55</v>
      </c>
      <c r="Y18" s="109">
        <f t="shared" si="8"/>
        <v>6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6</v>
      </c>
      <c r="AG18" s="108">
        <f t="shared" si="0"/>
        <v>1</v>
      </c>
      <c r="AH18" s="108">
        <f t="shared" si="1"/>
        <v>0</v>
      </c>
      <c r="AI18" s="108">
        <f t="shared" si="10"/>
        <v>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1</v>
      </c>
      <c r="H19" s="367" t="s">
        <v>9</v>
      </c>
      <c r="I19" s="440">
        <v>0</v>
      </c>
      <c r="J19" s="369">
        <f t="shared" si="5"/>
        <v>1</v>
      </c>
      <c r="K19" s="363">
        <f t="shared" si="6"/>
        <v>3</v>
      </c>
      <c r="L19" s="363">
        <f t="shared" si="7"/>
        <v>0</v>
      </c>
      <c r="M19" s="352"/>
      <c r="N19" s="352"/>
      <c r="O19" s="392"/>
      <c r="P19" s="393"/>
      <c r="Q19" s="393"/>
      <c r="R19" s="393"/>
      <c r="S19" s="393"/>
      <c r="T19" s="393"/>
      <c r="U19" s="40"/>
      <c r="V19" s="40"/>
      <c r="W19" s="40"/>
      <c r="Y19" s="109">
        <f t="shared" si="8"/>
        <v>6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6</v>
      </c>
      <c r="AG19" s="108">
        <f t="shared" si="0"/>
        <v>0</v>
      </c>
      <c r="AH19" s="108">
        <f t="shared" si="1"/>
        <v>1</v>
      </c>
      <c r="AI19" s="108">
        <f t="shared" si="10"/>
        <v>0</v>
      </c>
      <c r="AJ19" s="108">
        <f t="shared" si="2"/>
        <v>5</v>
      </c>
      <c r="AK19" s="108">
        <f t="shared" si="3"/>
        <v>0</v>
      </c>
      <c r="AL19" s="108">
        <f t="shared" si="4"/>
        <v>0</v>
      </c>
      <c r="AN19" s="40"/>
      <c r="AO19" s="41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1</v>
      </c>
      <c r="H20" s="373" t="s">
        <v>9</v>
      </c>
      <c r="I20" s="441">
        <v>3</v>
      </c>
      <c r="J20" s="375">
        <f t="shared" si="5"/>
        <v>2</v>
      </c>
      <c r="K20" s="363">
        <f t="shared" si="6"/>
        <v>0</v>
      </c>
      <c r="L20" s="363">
        <f t="shared" si="7"/>
        <v>3</v>
      </c>
      <c r="M20" s="352"/>
      <c r="N20" s="352"/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40"/>
      <c r="V20" s="40"/>
      <c r="W20" s="40"/>
      <c r="Y20" s="109">
        <f t="shared" si="8"/>
        <v>0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0</v>
      </c>
      <c r="AG20" s="108">
        <f t="shared" si="0"/>
        <v>0</v>
      </c>
      <c r="AH20" s="108">
        <f t="shared" si="1"/>
        <v>0</v>
      </c>
      <c r="AI20" s="108">
        <f t="shared" si="10"/>
        <v>0</v>
      </c>
      <c r="AJ20" s="108">
        <f t="shared" si="2"/>
        <v>0</v>
      </c>
      <c r="AK20" s="108">
        <f t="shared" si="3"/>
        <v>0</v>
      </c>
      <c r="AL20" s="108">
        <f t="shared" si="4"/>
        <v>0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2</v>
      </c>
      <c r="H21" s="379" t="s">
        <v>9</v>
      </c>
      <c r="I21" s="442">
        <v>1</v>
      </c>
      <c r="J21" s="381">
        <f t="shared" si="5"/>
        <v>1</v>
      </c>
      <c r="K21" s="363">
        <f t="shared" si="6"/>
        <v>3</v>
      </c>
      <c r="L21" s="363">
        <f t="shared" si="7"/>
        <v>0</v>
      </c>
      <c r="M21" s="352"/>
      <c r="N21" s="352"/>
      <c r="O21" s="394" t="s">
        <v>17</v>
      </c>
      <c r="P21" s="395">
        <f>SUMIF($D$8:$D$55,$O21,$G$8:$G$55)+SUMIF($F$8:$F$55,$O21,$I$8:$I$55)</f>
        <v>5</v>
      </c>
      <c r="Q21" s="395">
        <f>SUMIF($D$8:$D$55,$O21,$I$8:$I$55)+SUMIF($F$8:$F$55,$O21,$G$8:$G$55)</f>
        <v>4</v>
      </c>
      <c r="R21" s="396">
        <f>P21-Q21</f>
        <v>1</v>
      </c>
      <c r="S21" s="397">
        <f>SUMIF($D$8:$D$55,$O21,$K$8:$K$55)+SUMIF($F$8:$F$55,$O21,$L$8:$L$55)</f>
        <v>4</v>
      </c>
      <c r="T21" s="444" t="s">
        <v>59</v>
      </c>
      <c r="U21" s="40"/>
      <c r="V21" s="40" t="str">
        <f>O21</f>
        <v>Colombia</v>
      </c>
      <c r="W21" s="40" t="s">
        <v>57</v>
      </c>
      <c r="Y21" s="109">
        <f t="shared" si="8"/>
        <v>0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0</v>
      </c>
      <c r="AG21" s="108">
        <f t="shared" si="0"/>
        <v>0</v>
      </c>
      <c r="AH21" s="108">
        <f t="shared" si="1"/>
        <v>0</v>
      </c>
      <c r="AI21" s="108">
        <f t="shared" si="10"/>
        <v>0</v>
      </c>
      <c r="AJ21" s="108">
        <f t="shared" si="2"/>
        <v>0</v>
      </c>
      <c r="AK21" s="108">
        <f t="shared" si="3"/>
        <v>0</v>
      </c>
      <c r="AL21" s="108">
        <f t="shared" si="4"/>
        <v>0</v>
      </c>
      <c r="AM21" s="120">
        <f>AO21</f>
        <v>0</v>
      </c>
      <c r="AN21" s="116" t="s">
        <v>17</v>
      </c>
      <c r="AO21" s="115">
        <f>IF(Uitslag!T21="",0,IF(T21=Uitslag!T21,10,0))</f>
        <v>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0</v>
      </c>
      <c r="H22" s="367" t="s">
        <v>9</v>
      </c>
      <c r="I22" s="440">
        <v>0</v>
      </c>
      <c r="J22" s="369">
        <f t="shared" si="5"/>
        <v>3</v>
      </c>
      <c r="K22" s="363">
        <f t="shared" si="6"/>
        <v>1</v>
      </c>
      <c r="L22" s="363">
        <f t="shared" si="7"/>
        <v>1</v>
      </c>
      <c r="M22" s="352"/>
      <c r="N22" s="352"/>
      <c r="O22" s="398" t="s">
        <v>18</v>
      </c>
      <c r="P22" s="399">
        <f>SUMIF($D$8:$D$55,$O22,$G$8:$G$55)+SUMIF($F$8:$F$55,$O22,$I$8:$I$55)</f>
        <v>3</v>
      </c>
      <c r="Q22" s="399">
        <f>SUMIF($D$8:$D$55,$O22,$I$8:$I$55)+SUMIF($F$8:$F$55,$O22,$G$8:$G$55)</f>
        <v>3</v>
      </c>
      <c r="R22" s="399">
        <f>P22-Q22</f>
        <v>0</v>
      </c>
      <c r="S22" s="400">
        <f>SUMIF($D$8:$D$55,$O22,$K$8:$K$55)+SUMIF($F$8:$F$55,$O22,$L$8:$L$55)</f>
        <v>6</v>
      </c>
      <c r="T22" s="445" t="s">
        <v>58</v>
      </c>
      <c r="U22" s="40"/>
      <c r="V22" s="40" t="str">
        <f>O22</f>
        <v>Griekenland</v>
      </c>
      <c r="W22" s="40" t="s">
        <v>58</v>
      </c>
      <c r="Y22" s="109">
        <f t="shared" si="8"/>
        <v>0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0</v>
      </c>
      <c r="AG22" s="108">
        <f t="shared" si="0"/>
        <v>0</v>
      </c>
      <c r="AH22" s="108">
        <f t="shared" si="1"/>
        <v>0</v>
      </c>
      <c r="AI22" s="108">
        <f t="shared" si="10"/>
        <v>0</v>
      </c>
      <c r="AJ22" s="108">
        <f t="shared" si="2"/>
        <v>0</v>
      </c>
      <c r="AK22" s="108">
        <f t="shared" si="3"/>
        <v>0</v>
      </c>
      <c r="AL22" s="108">
        <f t="shared" si="4"/>
        <v>0</v>
      </c>
      <c r="AM22" s="120">
        <f>AO22</f>
        <v>10</v>
      </c>
      <c r="AN22" s="117" t="s">
        <v>18</v>
      </c>
      <c r="AO22" s="115">
        <f>IF(Uitslag!T22="",0,IF(T22=Uitslag!T22,10,0))</f>
        <v>10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2</v>
      </c>
      <c r="H23" s="373" t="s">
        <v>9</v>
      </c>
      <c r="I23" s="441">
        <v>2</v>
      </c>
      <c r="J23" s="375">
        <f t="shared" si="5"/>
        <v>3</v>
      </c>
      <c r="K23" s="363">
        <f t="shared" si="6"/>
        <v>1</v>
      </c>
      <c r="L23" s="363">
        <f t="shared" si="7"/>
        <v>1</v>
      </c>
      <c r="M23" s="352"/>
      <c r="N23" s="352"/>
      <c r="O23" s="398" t="s">
        <v>23</v>
      </c>
      <c r="P23" s="399">
        <f>SUMIF($D$8:$D$55,$O23,$G$8:$G$55)+SUMIF($F$8:$F$55,$O23,$I$8:$I$55)</f>
        <v>4</v>
      </c>
      <c r="Q23" s="399">
        <f>SUMIF($D$8:$D$55,$O23,$I$8:$I$55)+SUMIF($F$8:$F$55,$O23,$G$8:$G$55)</f>
        <v>3</v>
      </c>
      <c r="R23" s="399">
        <f>P23-Q23</f>
        <v>1</v>
      </c>
      <c r="S23" s="400">
        <f>SUMIF($D$8:$D$55,$O23,$K$8:$K$55)+SUMIF($F$8:$F$55,$O23,$L$8:$L$55)</f>
        <v>6</v>
      </c>
      <c r="T23" s="445" t="s">
        <v>57</v>
      </c>
      <c r="U23" s="40"/>
      <c r="V23" s="40" t="str">
        <f>O23</f>
        <v>Ivoorkust</v>
      </c>
      <c r="W23" s="40" t="s">
        <v>59</v>
      </c>
      <c r="Y23" s="109">
        <f t="shared" si="8"/>
        <v>5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5</v>
      </c>
      <c r="AG23" s="108">
        <f t="shared" si="0"/>
        <v>0</v>
      </c>
      <c r="AH23" s="108">
        <f t="shared" si="1"/>
        <v>0</v>
      </c>
      <c r="AI23" s="108">
        <f t="shared" si="10"/>
        <v>0</v>
      </c>
      <c r="AJ23" s="108">
        <f t="shared" si="2"/>
        <v>0</v>
      </c>
      <c r="AK23" s="108">
        <f t="shared" si="3"/>
        <v>0</v>
      </c>
      <c r="AL23" s="108">
        <f t="shared" si="4"/>
        <v>5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1</v>
      </c>
      <c r="H24" s="379" t="s">
        <v>9</v>
      </c>
      <c r="I24" s="442">
        <v>3</v>
      </c>
      <c r="J24" s="381">
        <f t="shared" si="5"/>
        <v>2</v>
      </c>
      <c r="K24" s="363">
        <f t="shared" si="6"/>
        <v>0</v>
      </c>
      <c r="L24" s="363">
        <f t="shared" si="7"/>
        <v>3</v>
      </c>
      <c r="M24" s="352"/>
      <c r="N24" s="352"/>
      <c r="O24" s="401" t="s">
        <v>24</v>
      </c>
      <c r="P24" s="402">
        <f>SUMIF($D$8:$D$55,$O24,$G$8:$G$55)+SUMIF($F$8:$F$55,$O24,$I$8:$I$55)</f>
        <v>3</v>
      </c>
      <c r="Q24" s="402">
        <f>SUMIF($D$8:$D$55,$O24,$I$8:$I$55)+SUMIF($F$8:$F$55,$O24,$G$8:$G$55)</f>
        <v>5</v>
      </c>
      <c r="R24" s="402">
        <f>P24-Q24</f>
        <v>-2</v>
      </c>
      <c r="S24" s="403">
        <f>SUMIF($D$8:$D$55,$O24,$K$8:$K$55)+SUMIF($F$8:$F$55,$O24,$L$8:$L$55)</f>
        <v>1</v>
      </c>
      <c r="T24" s="446" t="s">
        <v>60</v>
      </c>
      <c r="U24" s="40"/>
      <c r="V24" s="40" t="str">
        <f>O24</f>
        <v>Japan</v>
      </c>
      <c r="W24" s="40" t="s">
        <v>60</v>
      </c>
      <c r="Y24" s="109">
        <f t="shared" si="8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</v>
      </c>
      <c r="AG24" s="108">
        <f t="shared" si="0"/>
        <v>1</v>
      </c>
      <c r="AH24" s="108">
        <f t="shared" si="1"/>
        <v>0</v>
      </c>
      <c r="AI24" s="108">
        <f t="shared" si="10"/>
        <v>0</v>
      </c>
      <c r="AJ24" s="108">
        <f t="shared" si="2"/>
        <v>0</v>
      </c>
      <c r="AK24" s="108">
        <f t="shared" si="3"/>
        <v>0</v>
      </c>
      <c r="AL24" s="108">
        <f t="shared" si="4"/>
        <v>0</v>
      </c>
      <c r="AM24" s="120">
        <f>AO24</f>
        <v>10</v>
      </c>
      <c r="AN24" s="118" t="s">
        <v>24</v>
      </c>
      <c r="AO24" s="115">
        <f>IF(Uitslag!T24="",0,IF(T24=Uitslag!T24,10,0))</f>
        <v>10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0</v>
      </c>
      <c r="H25" s="367" t="s">
        <v>9</v>
      </c>
      <c r="I25" s="440">
        <v>1</v>
      </c>
      <c r="J25" s="369">
        <f t="shared" si="5"/>
        <v>2</v>
      </c>
      <c r="K25" s="363">
        <f t="shared" si="6"/>
        <v>0</v>
      </c>
      <c r="L25" s="363">
        <f t="shared" si="7"/>
        <v>3</v>
      </c>
      <c r="M25" s="352"/>
      <c r="N25" s="352"/>
      <c r="O25" s="392"/>
      <c r="P25" s="393"/>
      <c r="Q25" s="393"/>
      <c r="R25" s="393"/>
      <c r="S25" s="393"/>
      <c r="T25" s="393"/>
      <c r="U25" s="40"/>
      <c r="V25" s="40"/>
      <c r="W25" s="40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0"/>
        <v>0</v>
      </c>
      <c r="AH25" s="108">
        <f t="shared" si="1"/>
        <v>0</v>
      </c>
      <c r="AI25" s="108">
        <f t="shared" si="10"/>
        <v>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40"/>
      <c r="AO25" s="41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2</v>
      </c>
      <c r="H26" s="373" t="s">
        <v>9</v>
      </c>
      <c r="I26" s="441">
        <v>3</v>
      </c>
      <c r="J26" s="375">
        <f t="shared" si="5"/>
        <v>2</v>
      </c>
      <c r="K26" s="363">
        <f t="shared" si="6"/>
        <v>0</v>
      </c>
      <c r="L26" s="363">
        <f t="shared" si="7"/>
        <v>3</v>
      </c>
      <c r="M26" s="352"/>
      <c r="N26" s="352"/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40"/>
      <c r="V26" s="40"/>
      <c r="W26" s="40"/>
      <c r="Y26" s="109">
        <f t="shared" si="8"/>
        <v>5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5</v>
      </c>
      <c r="AG26" s="108">
        <f t="shared" si="0"/>
        <v>0</v>
      </c>
      <c r="AH26" s="108">
        <f t="shared" si="1"/>
        <v>0</v>
      </c>
      <c r="AI26" s="108">
        <f t="shared" si="10"/>
        <v>0</v>
      </c>
      <c r="AJ26" s="108">
        <f t="shared" si="2"/>
        <v>0</v>
      </c>
      <c r="AK26" s="108">
        <f t="shared" si="3"/>
        <v>5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0</v>
      </c>
      <c r="H27" s="379" t="s">
        <v>9</v>
      </c>
      <c r="I27" s="442">
        <v>1</v>
      </c>
      <c r="J27" s="381">
        <f t="shared" si="5"/>
        <v>2</v>
      </c>
      <c r="K27" s="363">
        <f t="shared" si="6"/>
        <v>0</v>
      </c>
      <c r="L27" s="363">
        <f t="shared" si="7"/>
        <v>3</v>
      </c>
      <c r="M27" s="352"/>
      <c r="N27" s="352"/>
      <c r="O27" s="394" t="s">
        <v>19</v>
      </c>
      <c r="P27" s="395">
        <f>SUMIF($D$8:$D$55,$O27,$G$8:$G$55)+SUMIF($F$8:$F$55,$O27,$I$8:$I$55)</f>
        <v>5</v>
      </c>
      <c r="Q27" s="395">
        <f>SUMIF($D$8:$D$55,$O27,$I$8:$I$55)+SUMIF($F$8:$F$55,$O27,$G$8:$G$55)</f>
        <v>2</v>
      </c>
      <c r="R27" s="396">
        <f>P27-Q27</f>
        <v>3</v>
      </c>
      <c r="S27" s="397">
        <f>SUMIF($D$8:$D$55,$O27,$K$8:$K$55)+SUMIF($F$8:$F$55,$O27,$L$8:$L$55)</f>
        <v>4</v>
      </c>
      <c r="T27" s="444" t="s">
        <v>63</v>
      </c>
      <c r="U27" s="40"/>
      <c r="V27" s="40" t="str">
        <f>O27</f>
        <v>Uruguay</v>
      </c>
      <c r="W27" s="40" t="s">
        <v>62</v>
      </c>
      <c r="Y27" s="109">
        <f t="shared" si="8"/>
        <v>6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6</v>
      </c>
      <c r="AG27" s="108">
        <f t="shared" si="0"/>
        <v>1</v>
      </c>
      <c r="AH27" s="108">
        <f t="shared" si="1"/>
        <v>0</v>
      </c>
      <c r="AI27" s="108">
        <f t="shared" si="10"/>
        <v>0</v>
      </c>
      <c r="AJ27" s="108">
        <f t="shared" si="2"/>
        <v>0</v>
      </c>
      <c r="AK27" s="108">
        <f t="shared" si="3"/>
        <v>5</v>
      </c>
      <c r="AL27" s="108">
        <f t="shared" si="4"/>
        <v>0</v>
      </c>
      <c r="AM27" s="120">
        <f>AO27</f>
        <v>10</v>
      </c>
      <c r="AN27" s="116" t="s">
        <v>19</v>
      </c>
      <c r="AO27" s="115">
        <f>IF(Uitslag!T27="",0,IF(T27=Uitslag!T27,10,0))</f>
        <v>10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0</v>
      </c>
      <c r="H28" s="367" t="s">
        <v>9</v>
      </c>
      <c r="I28" s="440">
        <v>2</v>
      </c>
      <c r="J28" s="369">
        <f t="shared" si="5"/>
        <v>2</v>
      </c>
      <c r="K28" s="363">
        <f t="shared" si="6"/>
        <v>0</v>
      </c>
      <c r="L28" s="363">
        <f t="shared" si="7"/>
        <v>3</v>
      </c>
      <c r="M28" s="352"/>
      <c r="N28" s="352"/>
      <c r="O28" s="398" t="s">
        <v>20</v>
      </c>
      <c r="P28" s="399">
        <f>SUMIF($D$8:$D$55,$O28,$G$8:$G$55)+SUMIF($F$8:$F$55,$O28,$I$8:$I$55)</f>
        <v>1</v>
      </c>
      <c r="Q28" s="399">
        <f>SUMIF($D$8:$D$55,$O28,$I$8:$I$55)+SUMIF($F$8:$F$55,$O28,$G$8:$G$55)</f>
        <v>8</v>
      </c>
      <c r="R28" s="399">
        <f>P28-Q28</f>
        <v>-7</v>
      </c>
      <c r="S28" s="400">
        <f>SUMIF($D$8:$D$55,$O28,$K$8:$K$55)+SUMIF($F$8:$F$55,$O28,$L$8:$L$55)</f>
        <v>1</v>
      </c>
      <c r="T28" s="445" t="s">
        <v>65</v>
      </c>
      <c r="U28" s="40"/>
      <c r="V28" s="40" t="str">
        <f>O28</f>
        <v>Costa Rica</v>
      </c>
      <c r="W28" s="40" t="s">
        <v>63</v>
      </c>
      <c r="Y28" s="109">
        <f t="shared" si="8"/>
        <v>0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0</v>
      </c>
      <c r="AG28" s="108">
        <f t="shared" si="0"/>
        <v>0</v>
      </c>
      <c r="AH28" s="108">
        <f t="shared" si="1"/>
        <v>0</v>
      </c>
      <c r="AI28" s="108">
        <f t="shared" si="10"/>
        <v>0</v>
      </c>
      <c r="AJ28" s="108">
        <f t="shared" si="2"/>
        <v>0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1</v>
      </c>
      <c r="H29" s="373" t="s">
        <v>9</v>
      </c>
      <c r="I29" s="441">
        <v>1</v>
      </c>
      <c r="J29" s="375">
        <f t="shared" si="5"/>
        <v>3</v>
      </c>
      <c r="K29" s="363">
        <f t="shared" si="6"/>
        <v>1</v>
      </c>
      <c r="L29" s="363">
        <f t="shared" si="7"/>
        <v>1</v>
      </c>
      <c r="M29" s="352"/>
      <c r="N29" s="352"/>
      <c r="O29" s="398" t="s">
        <v>21</v>
      </c>
      <c r="P29" s="399">
        <f>SUMIF($D$8:$D$55,$O29,$G$8:$G$55)+SUMIF($F$8:$F$55,$O29,$I$8:$I$55)</f>
        <v>1</v>
      </c>
      <c r="Q29" s="399">
        <f>SUMIF($D$8:$D$55,$O29,$I$8:$I$55)+SUMIF($F$8:$F$55,$O29,$G$8:$G$55)</f>
        <v>2</v>
      </c>
      <c r="R29" s="399">
        <f>P29-Q29</f>
        <v>-1</v>
      </c>
      <c r="S29" s="400">
        <f>SUMIF($D$8:$D$55,$O29,$K$8:$K$55)+SUMIF($F$8:$F$55,$O29,$L$8:$L$55)</f>
        <v>2</v>
      </c>
      <c r="T29" s="445" t="s">
        <v>64</v>
      </c>
      <c r="U29" s="40"/>
      <c r="V29" s="40" t="str">
        <f>O29</f>
        <v>Engeland</v>
      </c>
      <c r="W29" s="40" t="s">
        <v>64</v>
      </c>
      <c r="Y29" s="109">
        <f t="shared" si="8"/>
        <v>1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1</v>
      </c>
      <c r="AG29" s="108">
        <f t="shared" si="0"/>
        <v>0</v>
      </c>
      <c r="AH29" s="108">
        <f t="shared" si="1"/>
        <v>1</v>
      </c>
      <c r="AI29" s="108">
        <f t="shared" si="10"/>
        <v>0</v>
      </c>
      <c r="AJ29" s="108">
        <f t="shared" si="2"/>
        <v>0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0</v>
      </c>
      <c r="H30" s="379" t="s">
        <v>9</v>
      </c>
      <c r="I30" s="442">
        <v>1</v>
      </c>
      <c r="J30" s="381">
        <f t="shared" si="5"/>
        <v>2</v>
      </c>
      <c r="K30" s="363">
        <f t="shared" si="6"/>
        <v>0</v>
      </c>
      <c r="L30" s="363">
        <f t="shared" si="7"/>
        <v>3</v>
      </c>
      <c r="M30" s="352"/>
      <c r="N30" s="352"/>
      <c r="O30" s="401" t="s">
        <v>22</v>
      </c>
      <c r="P30" s="402">
        <f>SUMIF($D$8:$D$55,$O30,$G$8:$G$55)+SUMIF($F$8:$F$55,$O30,$I$8:$I$55)</f>
        <v>6</v>
      </c>
      <c r="Q30" s="402">
        <f>SUMIF($D$8:$D$55,$O30,$I$8:$I$55)+SUMIF($F$8:$F$55,$O30,$G$8:$G$55)</f>
        <v>1</v>
      </c>
      <c r="R30" s="402">
        <f>P30-Q30</f>
        <v>5</v>
      </c>
      <c r="S30" s="403">
        <f>SUMIF($D$8:$D$55,$O30,$K$8:$K$55)+SUMIF($F$8:$F$55,$O30,$L$8:$L$55)</f>
        <v>9</v>
      </c>
      <c r="T30" s="446" t="s">
        <v>62</v>
      </c>
      <c r="U30" s="40"/>
      <c r="V30" s="40" t="str">
        <f>O30</f>
        <v>Italië</v>
      </c>
      <c r="W30" s="40" t="s">
        <v>65</v>
      </c>
      <c r="Y30" s="109">
        <f t="shared" si="8"/>
        <v>1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1</v>
      </c>
      <c r="AG30" s="108">
        <f t="shared" si="0"/>
        <v>1</v>
      </c>
      <c r="AH30" s="108">
        <f t="shared" si="1"/>
        <v>0</v>
      </c>
      <c r="AI30" s="108">
        <f t="shared" si="10"/>
        <v>0</v>
      </c>
      <c r="AJ30" s="108">
        <f t="shared" si="2"/>
        <v>0</v>
      </c>
      <c r="AK30" s="108">
        <f t="shared" si="3"/>
        <v>0</v>
      </c>
      <c r="AL30" s="108">
        <f t="shared" si="4"/>
        <v>0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4</v>
      </c>
      <c r="H31" s="367" t="s">
        <v>9</v>
      </c>
      <c r="I31" s="440">
        <v>1</v>
      </c>
      <c r="J31" s="369">
        <f t="shared" si="5"/>
        <v>1</v>
      </c>
      <c r="K31" s="363">
        <f t="shared" si="6"/>
        <v>3</v>
      </c>
      <c r="L31" s="363">
        <f t="shared" si="7"/>
        <v>0</v>
      </c>
      <c r="M31" s="352"/>
      <c r="N31" s="352"/>
      <c r="O31" s="392"/>
      <c r="P31" s="393"/>
      <c r="Q31" s="393"/>
      <c r="R31" s="393"/>
      <c r="S31" s="393"/>
      <c r="T31" s="393"/>
      <c r="U31" s="40"/>
      <c r="V31" s="40"/>
      <c r="W31" s="40"/>
      <c r="Y31" s="109">
        <f t="shared" si="8"/>
        <v>1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1</v>
      </c>
      <c r="AG31" s="108">
        <f t="shared" si="0"/>
        <v>0</v>
      </c>
      <c r="AH31" s="108">
        <f t="shared" si="1"/>
        <v>1</v>
      </c>
      <c r="AI31" s="108">
        <f t="shared" si="10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40"/>
      <c r="AO31" s="41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1</v>
      </c>
      <c r="H32" s="373" t="s">
        <v>9</v>
      </c>
      <c r="I32" s="441">
        <v>0</v>
      </c>
      <c r="J32" s="375">
        <f t="shared" si="5"/>
        <v>1</v>
      </c>
      <c r="K32" s="363">
        <f t="shared" si="6"/>
        <v>3</v>
      </c>
      <c r="L32" s="363">
        <f t="shared" si="7"/>
        <v>0</v>
      </c>
      <c r="M32" s="352"/>
      <c r="N32" s="352"/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40"/>
      <c r="V32" s="40"/>
      <c r="W32" s="40"/>
      <c r="Y32" s="109">
        <f t="shared" si="8"/>
        <v>0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0</v>
      </c>
      <c r="AG32" s="108">
        <f t="shared" si="0"/>
        <v>0</v>
      </c>
      <c r="AH32" s="108">
        <f t="shared" si="1"/>
        <v>0</v>
      </c>
      <c r="AI32" s="108">
        <f t="shared" si="10"/>
        <v>0</v>
      </c>
      <c r="AJ32" s="108">
        <f t="shared" si="2"/>
        <v>0</v>
      </c>
      <c r="AK32" s="108">
        <f t="shared" si="3"/>
        <v>0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1</v>
      </c>
      <c r="H33" s="379" t="s">
        <v>9</v>
      </c>
      <c r="I33" s="442">
        <v>1</v>
      </c>
      <c r="J33" s="381">
        <f t="shared" si="5"/>
        <v>3</v>
      </c>
      <c r="K33" s="363">
        <f t="shared" si="6"/>
        <v>1</v>
      </c>
      <c r="L33" s="363">
        <f t="shared" si="7"/>
        <v>1</v>
      </c>
      <c r="M33" s="352"/>
      <c r="N33" s="352"/>
      <c r="O33" s="394" t="s">
        <v>25</v>
      </c>
      <c r="P33" s="395">
        <f>SUMIF($D$8:$D$55,$O33,$G$8:$G$55)+SUMIF($F$8:$F$55,$O33,$I$8:$I$55)</f>
        <v>4</v>
      </c>
      <c r="Q33" s="395">
        <f>SUMIF($D$8:$D$55,$O33,$I$8:$I$55)+SUMIF($F$8:$F$55,$O33,$G$8:$G$55)</f>
        <v>2</v>
      </c>
      <c r="R33" s="396">
        <f>P33-Q33</f>
        <v>2</v>
      </c>
      <c r="S33" s="397">
        <f>SUMIF($D$8:$D$55,$O33,$K$8:$K$55)+SUMIF($F$8:$F$55,$O33,$L$8:$L$55)</f>
        <v>6</v>
      </c>
      <c r="T33" s="444" t="s">
        <v>68</v>
      </c>
      <c r="U33" s="40"/>
      <c r="V33" s="40" t="str">
        <f>O33</f>
        <v>Zwitserland</v>
      </c>
      <c r="W33" s="40" t="s">
        <v>67</v>
      </c>
      <c r="Y33" s="109">
        <f t="shared" si="8"/>
        <v>1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1</v>
      </c>
      <c r="AG33" s="108">
        <f t="shared" si="0"/>
        <v>1</v>
      </c>
      <c r="AH33" s="108">
        <f t="shared" si="1"/>
        <v>0</v>
      </c>
      <c r="AI33" s="108">
        <f t="shared" si="10"/>
        <v>0</v>
      </c>
      <c r="AJ33" s="108">
        <f t="shared" si="2"/>
        <v>0</v>
      </c>
      <c r="AK33" s="108">
        <f t="shared" si="3"/>
        <v>0</v>
      </c>
      <c r="AL33" s="108">
        <f t="shared" si="4"/>
        <v>0</v>
      </c>
      <c r="AM33" s="120">
        <f>AO33</f>
        <v>10</v>
      </c>
      <c r="AN33" s="116" t="s">
        <v>25</v>
      </c>
      <c r="AO33" s="115">
        <f>IF(Uitslag!T33="",0,IF(T33=Uitslag!T33,10,0))</f>
        <v>10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0</v>
      </c>
      <c r="H34" s="367" t="s">
        <v>9</v>
      </c>
      <c r="I34" s="440">
        <v>0</v>
      </c>
      <c r="J34" s="369">
        <f t="shared" si="5"/>
        <v>3</v>
      </c>
      <c r="K34" s="363">
        <f t="shared" si="6"/>
        <v>1</v>
      </c>
      <c r="L34" s="363">
        <f t="shared" si="7"/>
        <v>1</v>
      </c>
      <c r="M34" s="352"/>
      <c r="N34" s="352"/>
      <c r="O34" s="398" t="s">
        <v>26</v>
      </c>
      <c r="P34" s="399">
        <f>SUMIF($D$8:$D$55,$O34,$G$8:$G$55)+SUMIF($F$8:$F$55,$O34,$I$8:$I$55)</f>
        <v>1</v>
      </c>
      <c r="Q34" s="399">
        <f>SUMIF($D$8:$D$55,$O34,$I$8:$I$55)+SUMIF($F$8:$F$55,$O34,$G$8:$G$55)</f>
        <v>6</v>
      </c>
      <c r="R34" s="399">
        <f>P34-Q34</f>
        <v>-5</v>
      </c>
      <c r="S34" s="400">
        <f>SUMIF($D$8:$D$55,$O34,$K$8:$K$55)+SUMIF($F$8:$F$55,$O34,$L$8:$L$55)</f>
        <v>1</v>
      </c>
      <c r="T34" s="445" t="s">
        <v>70</v>
      </c>
      <c r="U34" s="40"/>
      <c r="V34" s="40" t="str">
        <f>O34</f>
        <v>Ecuador</v>
      </c>
      <c r="W34" s="40" t="s">
        <v>68</v>
      </c>
      <c r="Y34" s="109">
        <f t="shared" si="8"/>
        <v>1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1</v>
      </c>
      <c r="AG34" s="108">
        <f t="shared" si="0"/>
        <v>0</v>
      </c>
      <c r="AH34" s="108">
        <f t="shared" si="1"/>
        <v>1</v>
      </c>
      <c r="AI34" s="108">
        <f t="shared" si="10"/>
        <v>0</v>
      </c>
      <c r="AJ34" s="108">
        <f t="shared" si="2"/>
        <v>0</v>
      </c>
      <c r="AK34" s="108">
        <f t="shared" si="3"/>
        <v>0</v>
      </c>
      <c r="AL34" s="108">
        <f t="shared" si="4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2</v>
      </c>
      <c r="H35" s="373" t="s">
        <v>9</v>
      </c>
      <c r="I35" s="441">
        <v>2</v>
      </c>
      <c r="J35" s="375">
        <f t="shared" si="5"/>
        <v>3</v>
      </c>
      <c r="K35" s="363">
        <f t="shared" si="6"/>
        <v>1</v>
      </c>
      <c r="L35" s="363">
        <f t="shared" si="7"/>
        <v>1</v>
      </c>
      <c r="M35" s="352"/>
      <c r="N35" s="352"/>
      <c r="O35" s="398" t="s">
        <v>27</v>
      </c>
      <c r="P35" s="399">
        <f>SUMIF($D$8:$D$55,$O35,$G$8:$G$55)+SUMIF($F$8:$F$55,$O35,$I$8:$I$55)</f>
        <v>7</v>
      </c>
      <c r="Q35" s="399">
        <f>SUMIF($D$8:$D$55,$O35,$I$8:$I$55)+SUMIF($F$8:$F$55,$O35,$G$8:$G$55)</f>
        <v>2</v>
      </c>
      <c r="R35" s="399">
        <f>P35-Q35</f>
        <v>5</v>
      </c>
      <c r="S35" s="400">
        <f>SUMIF($D$8:$D$55,$O35,$K$8:$K$55)+SUMIF($F$8:$F$55,$O35,$L$8:$L$55)</f>
        <v>6</v>
      </c>
      <c r="T35" s="445" t="s">
        <v>67</v>
      </c>
      <c r="U35" s="40"/>
      <c r="V35" s="40" t="str">
        <f>O35</f>
        <v>Frankrijk</v>
      </c>
      <c r="W35" s="40" t="s">
        <v>69</v>
      </c>
      <c r="Y35" s="109">
        <f t="shared" si="8"/>
        <v>10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10</v>
      </c>
      <c r="AG35" s="108">
        <f t="shared" si="0"/>
        <v>1</v>
      </c>
      <c r="AH35" s="108">
        <f t="shared" si="1"/>
        <v>1</v>
      </c>
      <c r="AI35" s="108">
        <f t="shared" si="10"/>
        <v>10</v>
      </c>
      <c r="AJ35" s="108">
        <f t="shared" si="2"/>
        <v>0</v>
      </c>
      <c r="AK35" s="108">
        <f t="shared" si="3"/>
        <v>0</v>
      </c>
      <c r="AL35" s="108">
        <f t="shared" si="4"/>
        <v>5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2</v>
      </c>
      <c r="H36" s="379" t="s">
        <v>9</v>
      </c>
      <c r="I36" s="442">
        <v>0</v>
      </c>
      <c r="J36" s="381">
        <f t="shared" si="5"/>
        <v>1</v>
      </c>
      <c r="K36" s="363">
        <f t="shared" si="6"/>
        <v>3</v>
      </c>
      <c r="L36" s="363">
        <f t="shared" si="7"/>
        <v>0</v>
      </c>
      <c r="M36" s="352"/>
      <c r="N36" s="352"/>
      <c r="O36" s="401" t="s">
        <v>28</v>
      </c>
      <c r="P36" s="402">
        <f>SUMIF($D$8:$D$55,$O36,$G$8:$G$55)+SUMIF($F$8:$F$55,$O36,$I$8:$I$55)</f>
        <v>4</v>
      </c>
      <c r="Q36" s="402">
        <f>SUMIF($D$8:$D$55,$O36,$I$8:$I$55)+SUMIF($F$8:$F$55,$O36,$G$8:$G$55)</f>
        <v>6</v>
      </c>
      <c r="R36" s="402">
        <f>P36-Q36</f>
        <v>-2</v>
      </c>
      <c r="S36" s="403">
        <f>SUMIF($D$8:$D$55,$O36,$K$8:$K$55)+SUMIF($F$8:$F$55,$O36,$L$8:$L$55)</f>
        <v>4</v>
      </c>
      <c r="T36" s="446" t="s">
        <v>69</v>
      </c>
      <c r="U36" s="40"/>
      <c r="V36" s="40" t="str">
        <f>O36</f>
        <v>Honduras</v>
      </c>
      <c r="W36" s="40" t="s">
        <v>70</v>
      </c>
      <c r="Y36" s="109">
        <f t="shared" si="8"/>
        <v>6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6</v>
      </c>
      <c r="AG36" s="108">
        <f t="shared" si="0"/>
        <v>0</v>
      </c>
      <c r="AH36" s="108">
        <f t="shared" si="1"/>
        <v>1</v>
      </c>
      <c r="AI36" s="108">
        <f t="shared" si="10"/>
        <v>0</v>
      </c>
      <c r="AJ36" s="108">
        <f t="shared" si="2"/>
        <v>5</v>
      </c>
      <c r="AK36" s="108">
        <f t="shared" si="3"/>
        <v>0</v>
      </c>
      <c r="AL36" s="108">
        <f t="shared" si="4"/>
        <v>0</v>
      </c>
      <c r="AM36" s="120">
        <f>AO36</f>
        <v>0</v>
      </c>
      <c r="AN36" s="118" t="s">
        <v>28</v>
      </c>
      <c r="AO36" s="115">
        <f>IF(Uitslag!T36="",0,IF(T36=Uitslag!T36,10,0))</f>
        <v>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1</v>
      </c>
      <c r="H37" s="367" t="s">
        <v>9</v>
      </c>
      <c r="I37" s="440">
        <v>0</v>
      </c>
      <c r="J37" s="369">
        <f t="shared" si="5"/>
        <v>1</v>
      </c>
      <c r="K37" s="363">
        <f t="shared" si="6"/>
        <v>3</v>
      </c>
      <c r="L37" s="363">
        <f t="shared" si="7"/>
        <v>0</v>
      </c>
      <c r="M37" s="352"/>
      <c r="N37" s="352"/>
      <c r="O37" s="392"/>
      <c r="P37" s="393"/>
      <c r="Q37" s="393"/>
      <c r="R37" s="393"/>
      <c r="S37" s="393"/>
      <c r="T37" s="393"/>
      <c r="U37" s="40"/>
      <c r="V37" s="40"/>
      <c r="W37" s="40"/>
      <c r="Y37" s="109">
        <f t="shared" si="8"/>
        <v>10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10</v>
      </c>
      <c r="AG37" s="108">
        <f t="shared" si="0"/>
        <v>1</v>
      </c>
      <c r="AH37" s="108">
        <f t="shared" si="1"/>
        <v>1</v>
      </c>
      <c r="AI37" s="108">
        <f t="shared" si="10"/>
        <v>10</v>
      </c>
      <c r="AJ37" s="108">
        <f t="shared" si="2"/>
        <v>5</v>
      </c>
      <c r="AK37" s="108">
        <f t="shared" si="3"/>
        <v>0</v>
      </c>
      <c r="AL37" s="108">
        <f t="shared" si="4"/>
        <v>0</v>
      </c>
      <c r="AN37" s="40"/>
      <c r="AO37" s="41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1</v>
      </c>
      <c r="H38" s="373" t="s">
        <v>9</v>
      </c>
      <c r="I38" s="441">
        <v>1</v>
      </c>
      <c r="J38" s="375">
        <f t="shared" si="5"/>
        <v>3</v>
      </c>
      <c r="K38" s="363">
        <f t="shared" si="6"/>
        <v>1</v>
      </c>
      <c r="L38" s="363">
        <f t="shared" si="7"/>
        <v>1</v>
      </c>
      <c r="M38" s="352"/>
      <c r="N38" s="352"/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40"/>
      <c r="V38" s="40"/>
      <c r="W38" s="40"/>
      <c r="Y38" s="109">
        <f t="shared" si="8"/>
        <v>0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0</v>
      </c>
      <c r="AG38" s="108">
        <f t="shared" si="0"/>
        <v>0</v>
      </c>
      <c r="AH38" s="108">
        <f t="shared" si="1"/>
        <v>0</v>
      </c>
      <c r="AI38" s="108">
        <f t="shared" si="10"/>
        <v>0</v>
      </c>
      <c r="AJ38" s="108">
        <f t="shared" si="2"/>
        <v>0</v>
      </c>
      <c r="AK38" s="108">
        <f t="shared" si="3"/>
        <v>0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1</v>
      </c>
      <c r="H39" s="379" t="s">
        <v>9</v>
      </c>
      <c r="I39" s="442">
        <v>1</v>
      </c>
      <c r="J39" s="381">
        <f t="shared" si="5"/>
        <v>3</v>
      </c>
      <c r="K39" s="363">
        <f t="shared" si="6"/>
        <v>1</v>
      </c>
      <c r="L39" s="363">
        <f t="shared" si="7"/>
        <v>1</v>
      </c>
      <c r="M39" s="352"/>
      <c r="N39" s="352"/>
      <c r="O39" s="394" t="s">
        <v>29</v>
      </c>
      <c r="P39" s="395">
        <f>SUMIF($D$8:$D$55,$O39,$G$8:$G$55)+SUMIF($F$8:$F$55,$O39,$I$8:$I$55)</f>
        <v>3</v>
      </c>
      <c r="Q39" s="395">
        <f>SUMIF($D$8:$D$55,$O39,$I$8:$I$55)+SUMIF($F$8:$F$55,$O39,$G$8:$G$55)</f>
        <v>2</v>
      </c>
      <c r="R39" s="396">
        <f>P39-Q39</f>
        <v>1</v>
      </c>
      <c r="S39" s="397">
        <f>SUMIF($D$8:$D$55,$O39,$K$8:$K$55)+SUMIF($F$8:$F$55,$O39,$L$8:$L$55)</f>
        <v>4</v>
      </c>
      <c r="T39" s="444" t="s">
        <v>73</v>
      </c>
      <c r="U39" s="40"/>
      <c r="V39" s="40" t="str">
        <f>O39</f>
        <v>Argentinië</v>
      </c>
      <c r="W39" s="40" t="s">
        <v>72</v>
      </c>
      <c r="Y39" s="109">
        <f t="shared" si="8"/>
        <v>5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5</v>
      </c>
      <c r="AG39" s="108">
        <f t="shared" si="0"/>
        <v>0</v>
      </c>
      <c r="AH39" s="108">
        <f t="shared" si="1"/>
        <v>0</v>
      </c>
      <c r="AI39" s="108">
        <f t="shared" si="10"/>
        <v>0</v>
      </c>
      <c r="AJ39" s="108">
        <f t="shared" si="2"/>
        <v>0</v>
      </c>
      <c r="AK39" s="108">
        <f t="shared" si="3"/>
        <v>0</v>
      </c>
      <c r="AL39" s="108">
        <f t="shared" si="4"/>
        <v>5</v>
      </c>
      <c r="AM39" s="120">
        <f>AO39</f>
        <v>0</v>
      </c>
      <c r="AN39" s="116" t="s">
        <v>29</v>
      </c>
      <c r="AO39" s="115">
        <f>IF(Uitslag!T39="",0,IF(T39=Uitslag!T39,10,0))</f>
        <v>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0</v>
      </c>
      <c r="H40" s="367" t="s">
        <v>9</v>
      </c>
      <c r="I40" s="440">
        <v>3</v>
      </c>
      <c r="J40" s="369">
        <f t="shared" si="5"/>
        <v>2</v>
      </c>
      <c r="K40" s="363">
        <f t="shared" si="6"/>
        <v>0</v>
      </c>
      <c r="L40" s="363">
        <f t="shared" si="7"/>
        <v>3</v>
      </c>
      <c r="M40" s="352"/>
      <c r="N40" s="352"/>
      <c r="O40" s="398" t="s">
        <v>30</v>
      </c>
      <c r="P40" s="399">
        <f>SUMIF($D$8:$D$55,$O40,$G$8:$G$55)+SUMIF($F$8:$F$55,$O40,$I$8:$I$55)</f>
        <v>0</v>
      </c>
      <c r="Q40" s="399">
        <f>SUMIF($D$8:$D$55,$O40,$I$8:$I$55)+SUMIF($F$8:$F$55,$O40,$G$8:$G$55)</f>
        <v>5</v>
      </c>
      <c r="R40" s="399">
        <f>P40-Q40</f>
        <v>-5</v>
      </c>
      <c r="S40" s="400">
        <f>SUMIF($D$8:$D$55,$O40,$K$8:$K$55)+SUMIF($F$8:$F$55,$O40,$L$8:$L$55)</f>
        <v>0</v>
      </c>
      <c r="T40" s="445" t="s">
        <v>75</v>
      </c>
      <c r="U40" s="40"/>
      <c r="V40" s="40" t="str">
        <f>O40</f>
        <v>Bosnië H.</v>
      </c>
      <c r="W40" s="40" t="s">
        <v>73</v>
      </c>
      <c r="Y40" s="109">
        <f t="shared" si="8"/>
        <v>10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10</v>
      </c>
      <c r="AG40" s="108">
        <f t="shared" si="0"/>
        <v>1</v>
      </c>
      <c r="AH40" s="108">
        <f t="shared" si="1"/>
        <v>1</v>
      </c>
      <c r="AI40" s="108">
        <f t="shared" si="10"/>
        <v>10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0</v>
      </c>
      <c r="AN40" s="117" t="s">
        <v>30</v>
      </c>
      <c r="AO40" s="115">
        <f>IF(Uitslag!T40="",0,IF(T40=Uitslag!T40,10,0))</f>
        <v>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2</v>
      </c>
      <c r="H41" s="373" t="s">
        <v>9</v>
      </c>
      <c r="I41" s="441">
        <v>0</v>
      </c>
      <c r="J41" s="375">
        <f t="shared" si="5"/>
        <v>1</v>
      </c>
      <c r="K41" s="363">
        <f t="shared" si="6"/>
        <v>3</v>
      </c>
      <c r="L41" s="363">
        <f t="shared" si="7"/>
        <v>0</v>
      </c>
      <c r="M41" s="352"/>
      <c r="N41" s="352"/>
      <c r="O41" s="398" t="s">
        <v>33</v>
      </c>
      <c r="P41" s="399">
        <f>SUMIF($D$8:$D$55,$O41,$G$8:$G$55)+SUMIF($F$8:$F$55,$O41,$I$8:$I$55)</f>
        <v>2</v>
      </c>
      <c r="Q41" s="399">
        <f>SUMIF($D$8:$D$55,$O41,$I$8:$I$55)+SUMIF($F$8:$F$55,$O41,$G$8:$G$55)</f>
        <v>3</v>
      </c>
      <c r="R41" s="399">
        <f>P41-Q41</f>
        <v>-1</v>
      </c>
      <c r="S41" s="400">
        <f>SUMIF($D$8:$D$55,$O41,$K$8:$K$55)+SUMIF($F$8:$F$55,$O41,$L$8:$L$55)</f>
        <v>4</v>
      </c>
      <c r="T41" s="445" t="s">
        <v>74</v>
      </c>
      <c r="U41" s="40"/>
      <c r="V41" s="40" t="str">
        <f>O41</f>
        <v>Iran</v>
      </c>
      <c r="W41" s="40" t="s">
        <v>74</v>
      </c>
      <c r="Y41" s="109">
        <f t="shared" si="8"/>
        <v>10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10</v>
      </c>
      <c r="AG41" s="108">
        <f t="shared" si="0"/>
        <v>1</v>
      </c>
      <c r="AH41" s="108">
        <f t="shared" si="1"/>
        <v>1</v>
      </c>
      <c r="AI41" s="108">
        <f t="shared" si="10"/>
        <v>10</v>
      </c>
      <c r="AJ41" s="108">
        <f t="shared" si="2"/>
        <v>5</v>
      </c>
      <c r="AK41" s="108">
        <f t="shared" si="3"/>
        <v>0</v>
      </c>
      <c r="AL41" s="108">
        <f t="shared" si="4"/>
        <v>0</v>
      </c>
      <c r="AM41" s="120">
        <f>AO41</f>
        <v>0</v>
      </c>
      <c r="AN41" s="117" t="s">
        <v>33</v>
      </c>
      <c r="AO41" s="115">
        <f>IF(Uitslag!T41="",0,IF(T41=Uitslag!T41,10,0))</f>
        <v>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1</v>
      </c>
      <c r="H42" s="373" t="s">
        <v>9</v>
      </c>
      <c r="I42" s="441">
        <v>3</v>
      </c>
      <c r="J42" s="375">
        <f t="shared" si="5"/>
        <v>2</v>
      </c>
      <c r="K42" s="363">
        <f t="shared" si="6"/>
        <v>0</v>
      </c>
      <c r="L42" s="363">
        <f t="shared" si="7"/>
        <v>3</v>
      </c>
      <c r="M42" s="352"/>
      <c r="N42" s="352"/>
      <c r="O42" s="401" t="s">
        <v>34</v>
      </c>
      <c r="P42" s="402">
        <f>SUMIF($D$8:$D$55,$O42,$G$8:$G$55)+SUMIF($F$8:$F$55,$O42,$I$8:$I$55)</f>
        <v>7</v>
      </c>
      <c r="Q42" s="402">
        <f>SUMIF($D$8:$D$55,$O42,$I$8:$I$55)+SUMIF($F$8:$F$55,$O42,$G$8:$G$55)</f>
        <v>2</v>
      </c>
      <c r="R42" s="402">
        <f>P42-Q42</f>
        <v>5</v>
      </c>
      <c r="S42" s="403">
        <f>SUMIF($D$8:$D$55,$O42,$K$8:$K$55)+SUMIF($F$8:$F$55,$O42,$L$8:$L$55)</f>
        <v>9</v>
      </c>
      <c r="T42" s="446" t="s">
        <v>72</v>
      </c>
      <c r="U42" s="40"/>
      <c r="V42" s="40" t="str">
        <f>O42</f>
        <v>Nigeria</v>
      </c>
      <c r="W42" s="40" t="s">
        <v>75</v>
      </c>
      <c r="Y42" s="109">
        <f t="shared" si="8"/>
        <v>6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6</v>
      </c>
      <c r="AG42" s="108">
        <f t="shared" si="0"/>
        <v>1</v>
      </c>
      <c r="AH42" s="108">
        <f t="shared" si="1"/>
        <v>0</v>
      </c>
      <c r="AI42" s="108">
        <f t="shared" si="10"/>
        <v>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0</v>
      </c>
      <c r="AN42" s="118" t="s">
        <v>34</v>
      </c>
      <c r="AO42" s="115">
        <f>IF(Uitslag!T42="",0,IF(T42=Uitslag!T42,10,0))</f>
        <v>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1</v>
      </c>
      <c r="H43" s="379" t="s">
        <v>9</v>
      </c>
      <c r="I43" s="442">
        <v>2</v>
      </c>
      <c r="J43" s="381">
        <f t="shared" si="5"/>
        <v>2</v>
      </c>
      <c r="K43" s="363">
        <f t="shared" si="6"/>
        <v>0</v>
      </c>
      <c r="L43" s="363">
        <f t="shared" si="7"/>
        <v>3</v>
      </c>
      <c r="M43" s="352"/>
      <c r="N43" s="352"/>
      <c r="O43" s="392"/>
      <c r="P43" s="393"/>
      <c r="Q43" s="393"/>
      <c r="R43" s="393"/>
      <c r="S43" s="393"/>
      <c r="T43" s="393"/>
      <c r="U43" s="40"/>
      <c r="V43" s="40"/>
      <c r="W43" s="40"/>
      <c r="Y43" s="109">
        <f t="shared" si="8"/>
        <v>6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6</v>
      </c>
      <c r="AG43" s="108">
        <f t="shared" si="0"/>
        <v>1</v>
      </c>
      <c r="AH43" s="108">
        <f t="shared" si="1"/>
        <v>0</v>
      </c>
      <c r="AI43" s="108">
        <f t="shared" si="10"/>
        <v>0</v>
      </c>
      <c r="AJ43" s="108">
        <f t="shared" si="2"/>
        <v>0</v>
      </c>
      <c r="AK43" s="108">
        <f t="shared" si="3"/>
        <v>5</v>
      </c>
      <c r="AL43" s="108">
        <f t="shared" si="4"/>
        <v>0</v>
      </c>
      <c r="AN43" s="40"/>
      <c r="AO43" s="41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1</v>
      </c>
      <c r="H44" s="367" t="s">
        <v>9</v>
      </c>
      <c r="I44" s="440">
        <v>0</v>
      </c>
      <c r="J44" s="369">
        <f t="shared" si="5"/>
        <v>1</v>
      </c>
      <c r="K44" s="363">
        <f t="shared" si="6"/>
        <v>3</v>
      </c>
      <c r="L44" s="363">
        <f t="shared" si="7"/>
        <v>0</v>
      </c>
      <c r="M44" s="352"/>
      <c r="N44" s="352"/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40"/>
      <c r="V44" s="40"/>
      <c r="W44" s="40"/>
      <c r="Y44" s="109">
        <f t="shared" si="8"/>
        <v>0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0</v>
      </c>
      <c r="AG44" s="108">
        <f t="shared" si="0"/>
        <v>0</v>
      </c>
      <c r="AH44" s="108">
        <f t="shared" si="1"/>
        <v>0</v>
      </c>
      <c r="AI44" s="108">
        <f t="shared" si="10"/>
        <v>0</v>
      </c>
      <c r="AJ44" s="108">
        <f t="shared" si="2"/>
        <v>0</v>
      </c>
      <c r="AK44" s="108">
        <f t="shared" si="3"/>
        <v>0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0</v>
      </c>
      <c r="H45" s="373" t="s">
        <v>9</v>
      </c>
      <c r="I45" s="441">
        <v>0</v>
      </c>
      <c r="J45" s="375">
        <f t="shared" si="5"/>
        <v>3</v>
      </c>
      <c r="K45" s="363">
        <f t="shared" si="6"/>
        <v>1</v>
      </c>
      <c r="L45" s="363">
        <f t="shared" si="7"/>
        <v>1</v>
      </c>
      <c r="M45" s="352"/>
      <c r="N45" s="352"/>
      <c r="O45" s="394" t="s">
        <v>31</v>
      </c>
      <c r="P45" s="395">
        <f>SUMIF($D$8:$D$55,$O45,$G$8:$G$55)+SUMIF($F$8:$F$55,$O45,$I$8:$I$55)</f>
        <v>4</v>
      </c>
      <c r="Q45" s="395">
        <f>SUMIF($D$8:$D$55,$O45,$I$8:$I$55)+SUMIF($F$8:$F$55,$O45,$G$8:$G$55)</f>
        <v>3</v>
      </c>
      <c r="R45" s="396">
        <f>P45-Q45</f>
        <v>1</v>
      </c>
      <c r="S45" s="397">
        <f>SUMIF($D$8:$D$55,$O45,$K$8:$K$55)+SUMIF($F$8:$F$55,$O45,$L$8:$L$55)</f>
        <v>5</v>
      </c>
      <c r="T45" s="444" t="s">
        <v>77</v>
      </c>
      <c r="U45" s="40"/>
      <c r="V45" s="40" t="str">
        <f>O45</f>
        <v>Duitsland</v>
      </c>
      <c r="W45" s="40" t="s">
        <v>77</v>
      </c>
      <c r="Y45" s="109">
        <f t="shared" si="8"/>
        <v>10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10</v>
      </c>
      <c r="AG45" s="108">
        <f t="shared" si="0"/>
        <v>1</v>
      </c>
      <c r="AH45" s="108">
        <f t="shared" si="1"/>
        <v>1</v>
      </c>
      <c r="AI45" s="108">
        <f t="shared" si="10"/>
        <v>10</v>
      </c>
      <c r="AJ45" s="108">
        <f t="shared" si="2"/>
        <v>0</v>
      </c>
      <c r="AK45" s="108">
        <f t="shared" si="3"/>
        <v>0</v>
      </c>
      <c r="AL45" s="108">
        <f t="shared" si="4"/>
        <v>5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2</v>
      </c>
      <c r="H46" s="373" t="s">
        <v>9</v>
      </c>
      <c r="I46" s="441">
        <v>2</v>
      </c>
      <c r="J46" s="375">
        <f t="shared" si="5"/>
        <v>3</v>
      </c>
      <c r="K46" s="363">
        <f t="shared" si="6"/>
        <v>1</v>
      </c>
      <c r="L46" s="363">
        <f t="shared" si="7"/>
        <v>1</v>
      </c>
      <c r="M46" s="352"/>
      <c r="N46" s="352"/>
      <c r="O46" s="398" t="s">
        <v>32</v>
      </c>
      <c r="P46" s="399">
        <f>SUMIF($D$8:$D$55,$O46,$G$8:$G$55)+SUMIF($F$8:$F$55,$O46,$I$8:$I$55)</f>
        <v>3</v>
      </c>
      <c r="Q46" s="399">
        <f>SUMIF($D$8:$D$55,$O46,$I$8:$I$55)+SUMIF($F$8:$F$55,$O46,$G$8:$G$55)</f>
        <v>3</v>
      </c>
      <c r="R46" s="399">
        <f>P46-Q46</f>
        <v>0</v>
      </c>
      <c r="S46" s="400">
        <f>SUMIF($D$8:$D$55,$O46,$K$8:$K$55)+SUMIF($F$8:$F$55,$O46,$L$8:$L$55)</f>
        <v>4</v>
      </c>
      <c r="T46" s="445" t="s">
        <v>78</v>
      </c>
      <c r="U46" s="40"/>
      <c r="V46" s="40" t="str">
        <f>O46</f>
        <v>Portugal</v>
      </c>
      <c r="W46" s="40" t="s">
        <v>78</v>
      </c>
      <c r="Y46" s="109">
        <f t="shared" si="8"/>
        <v>0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0</v>
      </c>
      <c r="AG46" s="108">
        <f t="shared" si="0"/>
        <v>0</v>
      </c>
      <c r="AH46" s="108">
        <f t="shared" si="1"/>
        <v>0</v>
      </c>
      <c r="AI46" s="108">
        <f t="shared" si="10"/>
        <v>0</v>
      </c>
      <c r="AJ46" s="108">
        <f t="shared" si="2"/>
        <v>0</v>
      </c>
      <c r="AK46" s="108">
        <f t="shared" si="3"/>
        <v>0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2</v>
      </c>
      <c r="H47" s="379" t="s">
        <v>9</v>
      </c>
      <c r="I47" s="442">
        <v>0</v>
      </c>
      <c r="J47" s="381">
        <f t="shared" si="5"/>
        <v>1</v>
      </c>
      <c r="K47" s="363">
        <f t="shared" si="6"/>
        <v>3</v>
      </c>
      <c r="L47" s="363">
        <f t="shared" si="7"/>
        <v>0</v>
      </c>
      <c r="M47" s="352"/>
      <c r="N47" s="352"/>
      <c r="O47" s="398" t="s">
        <v>35</v>
      </c>
      <c r="P47" s="399">
        <f>SUMIF($D$8:$D$55,$O47,$G$8:$G$55)+SUMIF($F$8:$F$55,$O47,$I$8:$I$55)</f>
        <v>5</v>
      </c>
      <c r="Q47" s="399">
        <f>SUMIF($D$8:$D$55,$O47,$I$8:$I$55)+SUMIF($F$8:$F$55,$O47,$G$8:$G$55)</f>
        <v>5</v>
      </c>
      <c r="R47" s="399">
        <f>P47-Q47</f>
        <v>0</v>
      </c>
      <c r="S47" s="400">
        <f>SUMIF($D$8:$D$55,$O47,$K$8:$K$55)+SUMIF($F$8:$F$55,$O47,$L$8:$L$55)</f>
        <v>4</v>
      </c>
      <c r="T47" s="445" t="s">
        <v>79</v>
      </c>
      <c r="U47" s="40"/>
      <c r="V47" s="40" t="str">
        <f>O47</f>
        <v>Ghana</v>
      </c>
      <c r="W47" s="40" t="s">
        <v>79</v>
      </c>
      <c r="Y47" s="109">
        <f t="shared" si="8"/>
        <v>6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6</v>
      </c>
      <c r="AG47" s="108">
        <f t="shared" si="0"/>
        <v>1</v>
      </c>
      <c r="AH47" s="108">
        <f t="shared" si="1"/>
        <v>0</v>
      </c>
      <c r="AI47" s="108">
        <f t="shared" si="10"/>
        <v>0</v>
      </c>
      <c r="AJ47" s="108">
        <f t="shared" si="2"/>
        <v>5</v>
      </c>
      <c r="AK47" s="108">
        <f t="shared" si="3"/>
        <v>0</v>
      </c>
      <c r="AL47" s="108">
        <f t="shared" si="4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2</v>
      </c>
      <c r="H48" s="367" t="s">
        <v>9</v>
      </c>
      <c r="I48" s="440">
        <v>1</v>
      </c>
      <c r="J48" s="369">
        <f t="shared" si="5"/>
        <v>1</v>
      </c>
      <c r="K48" s="363">
        <f t="shared" si="6"/>
        <v>3</v>
      </c>
      <c r="L48" s="363">
        <f t="shared" si="7"/>
        <v>0</v>
      </c>
      <c r="M48" s="352"/>
      <c r="N48" s="352"/>
      <c r="O48" s="401" t="s">
        <v>36</v>
      </c>
      <c r="P48" s="402">
        <f>SUMIF($D$8:$D$55,$O48,$G$8:$G$55)+SUMIF($F$8:$F$55,$O48,$I$8:$I$55)</f>
        <v>3</v>
      </c>
      <c r="Q48" s="402">
        <f>SUMIF($D$8:$D$55,$O48,$I$8:$I$55)+SUMIF($F$8:$F$55,$O48,$G$8:$G$55)</f>
        <v>4</v>
      </c>
      <c r="R48" s="402">
        <f>P48-Q48</f>
        <v>-1</v>
      </c>
      <c r="S48" s="403">
        <f>SUMIF($D$8:$D$55,$O48,$K$8:$K$55)+SUMIF($F$8:$F$55,$O48,$L$8:$L$55)</f>
        <v>2</v>
      </c>
      <c r="T48" s="446" t="s">
        <v>80</v>
      </c>
      <c r="U48" s="40"/>
      <c r="V48" s="40" t="str">
        <f>O48</f>
        <v>Verenigde Staten</v>
      </c>
      <c r="W48" s="40" t="s">
        <v>80</v>
      </c>
      <c r="Y48" s="109">
        <f t="shared" si="8"/>
        <v>1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1</v>
      </c>
      <c r="AG48" s="108">
        <f t="shared" si="0"/>
        <v>1</v>
      </c>
      <c r="AH48" s="108">
        <f t="shared" si="1"/>
        <v>0</v>
      </c>
      <c r="AI48" s="108">
        <f t="shared" si="10"/>
        <v>0</v>
      </c>
      <c r="AJ48" s="108">
        <f t="shared" si="2"/>
        <v>0</v>
      </c>
      <c r="AK48" s="108">
        <f t="shared" si="3"/>
        <v>0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0</v>
      </c>
      <c r="H49" s="373" t="s">
        <v>9</v>
      </c>
      <c r="I49" s="441">
        <v>1</v>
      </c>
      <c r="J49" s="375">
        <f t="shared" si="5"/>
        <v>2</v>
      </c>
      <c r="K49" s="363">
        <f t="shared" si="6"/>
        <v>0</v>
      </c>
      <c r="L49" s="363">
        <f t="shared" si="7"/>
        <v>3</v>
      </c>
      <c r="M49" s="352"/>
      <c r="N49" s="352"/>
      <c r="O49" s="392"/>
      <c r="P49" s="393"/>
      <c r="Q49" s="393"/>
      <c r="R49" s="393"/>
      <c r="S49" s="393"/>
      <c r="T49" s="393"/>
      <c r="U49" s="40"/>
      <c r="V49" s="40"/>
      <c r="W49" s="40"/>
      <c r="Y49" s="109">
        <f t="shared" si="8"/>
        <v>1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1</v>
      </c>
      <c r="AG49" s="108">
        <f t="shared" si="0"/>
        <v>0</v>
      </c>
      <c r="AH49" s="108">
        <f t="shared" si="1"/>
        <v>1</v>
      </c>
      <c r="AI49" s="108">
        <f t="shared" si="10"/>
        <v>0</v>
      </c>
      <c r="AJ49" s="108">
        <f t="shared" si="2"/>
        <v>0</v>
      </c>
      <c r="AK49" s="108">
        <f t="shared" si="3"/>
        <v>0</v>
      </c>
      <c r="AL49" s="108">
        <f t="shared" si="4"/>
        <v>0</v>
      </c>
      <c r="AN49" s="40"/>
      <c r="AO49" s="41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2</v>
      </c>
      <c r="H50" s="373" t="s">
        <v>9</v>
      </c>
      <c r="I50" s="441">
        <v>1</v>
      </c>
      <c r="J50" s="375">
        <f t="shared" si="5"/>
        <v>1</v>
      </c>
      <c r="K50" s="363">
        <f t="shared" si="6"/>
        <v>3</v>
      </c>
      <c r="L50" s="363">
        <f t="shared" si="7"/>
        <v>0</v>
      </c>
      <c r="M50" s="352"/>
      <c r="N50" s="352"/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40"/>
      <c r="V50" s="40"/>
      <c r="W50" s="40"/>
      <c r="Y50" s="109">
        <f t="shared" si="8"/>
        <v>0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0</v>
      </c>
      <c r="AG50" s="108">
        <f t="shared" si="0"/>
        <v>0</v>
      </c>
      <c r="AH50" s="108">
        <f t="shared" si="1"/>
        <v>0</v>
      </c>
      <c r="AI50" s="108">
        <f t="shared" si="10"/>
        <v>0</v>
      </c>
      <c r="AJ50" s="108">
        <f t="shared" si="2"/>
        <v>0</v>
      </c>
      <c r="AK50" s="108">
        <f t="shared" si="3"/>
        <v>0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0</v>
      </c>
      <c r="H51" s="379" t="s">
        <v>9</v>
      </c>
      <c r="I51" s="442">
        <v>3</v>
      </c>
      <c r="J51" s="381">
        <f t="shared" si="5"/>
        <v>2</v>
      </c>
      <c r="K51" s="363">
        <f t="shared" si="6"/>
        <v>0</v>
      </c>
      <c r="L51" s="363">
        <f>IF(I51="","",IF($G51&lt;$I51,3,IF($G51=$I51,1,0)))</f>
        <v>3</v>
      </c>
      <c r="M51" s="352"/>
      <c r="N51" s="352"/>
      <c r="O51" s="394" t="s">
        <v>37</v>
      </c>
      <c r="P51" s="395">
        <f>SUMIF($D$8:$D$55,$O51,$G$8:$G$55)+SUMIF($F$8:$F$55,$O51,$I$8:$I$55)</f>
        <v>3</v>
      </c>
      <c r="Q51" s="395">
        <f>SUMIF($D$8:$D$55,$O51,$I$8:$I$55)+SUMIF($F$8:$F$55,$O51,$G$8:$G$55)</f>
        <v>1</v>
      </c>
      <c r="R51" s="396">
        <f>P51-Q51</f>
        <v>2</v>
      </c>
      <c r="S51" s="397">
        <f>SUMIF($D$8:$D$55,$O51,$K$8:$K$55)+SUMIF($F$8:$F$55,$O51,$L$8:$L$55)</f>
        <v>7</v>
      </c>
      <c r="T51" s="444" t="s">
        <v>82</v>
      </c>
      <c r="U51" s="40"/>
      <c r="V51" s="40" t="str">
        <f>O51</f>
        <v>België</v>
      </c>
      <c r="W51" s="40" t="s">
        <v>82</v>
      </c>
      <c r="Y51" s="109">
        <f t="shared" si="8"/>
        <v>1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1</v>
      </c>
      <c r="AG51" s="108">
        <f t="shared" si="0"/>
        <v>1</v>
      </c>
      <c r="AH51" s="108">
        <f t="shared" si="1"/>
        <v>0</v>
      </c>
      <c r="AI51" s="108">
        <f t="shared" si="10"/>
        <v>0</v>
      </c>
      <c r="AJ51" s="108">
        <f t="shared" si="2"/>
        <v>0</v>
      </c>
      <c r="AK51" s="108">
        <f t="shared" si="3"/>
        <v>0</v>
      </c>
      <c r="AL51" s="108">
        <f t="shared" si="4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1</v>
      </c>
      <c r="H52" s="373" t="s">
        <v>9</v>
      </c>
      <c r="I52" s="441">
        <v>1</v>
      </c>
      <c r="J52" s="369">
        <f t="shared" si="5"/>
        <v>3</v>
      </c>
      <c r="K52" s="363">
        <f t="shared" si="6"/>
        <v>1</v>
      </c>
      <c r="L52" s="363">
        <f t="shared" si="7"/>
        <v>1</v>
      </c>
      <c r="M52" s="352"/>
      <c r="N52" s="352"/>
      <c r="O52" s="398" t="s">
        <v>38</v>
      </c>
      <c r="P52" s="399">
        <f>SUMIF($D$8:$D$55,$O52,$G$8:$G$55)+SUMIF($F$8:$F$55,$O52,$I$8:$I$55)</f>
        <v>3</v>
      </c>
      <c r="Q52" s="399">
        <f>SUMIF($D$8:$D$55,$O52,$I$8:$I$55)+SUMIF($F$8:$F$55,$O52,$G$8:$G$55)</f>
        <v>3</v>
      </c>
      <c r="R52" s="399">
        <f>P52-Q52</f>
        <v>0</v>
      </c>
      <c r="S52" s="400">
        <f>SUMIF($D$8:$D$55,$O52,$K$8:$K$55)+SUMIF($F$8:$F$55,$O52,$L$8:$L$55)</f>
        <v>3</v>
      </c>
      <c r="T52" s="445" t="s">
        <v>84</v>
      </c>
      <c r="U52" s="40"/>
      <c r="V52" s="40" t="str">
        <f>O52</f>
        <v>Algerije</v>
      </c>
      <c r="W52" s="40" t="s">
        <v>83</v>
      </c>
      <c r="Y52" s="109">
        <f t="shared" si="8"/>
        <v>1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1</v>
      </c>
      <c r="AG52" s="108">
        <f t="shared" si="0"/>
        <v>0</v>
      </c>
      <c r="AH52" s="108">
        <f t="shared" si="1"/>
        <v>1</v>
      </c>
      <c r="AI52" s="108">
        <f t="shared" si="10"/>
        <v>0</v>
      </c>
      <c r="AJ52" s="108">
        <f t="shared" si="2"/>
        <v>0</v>
      </c>
      <c r="AK52" s="108">
        <f t="shared" si="3"/>
        <v>0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2</v>
      </c>
      <c r="H53" s="373" t="s">
        <v>9</v>
      </c>
      <c r="I53" s="441">
        <v>1</v>
      </c>
      <c r="J53" s="375">
        <f t="shared" si="5"/>
        <v>1</v>
      </c>
      <c r="K53" s="363">
        <f t="shared" si="6"/>
        <v>3</v>
      </c>
      <c r="L53" s="363">
        <f t="shared" si="7"/>
        <v>0</v>
      </c>
      <c r="M53" s="352"/>
      <c r="N53" s="352"/>
      <c r="O53" s="398" t="s">
        <v>39</v>
      </c>
      <c r="P53" s="399">
        <f>SUMIF($D$8:$D$55,$O53,$G$8:$G$55)+SUMIF($F$8:$F$55,$O53,$I$8:$I$55)</f>
        <v>3</v>
      </c>
      <c r="Q53" s="399">
        <f>SUMIF($D$8:$D$55,$O53,$I$8:$I$55)+SUMIF($F$8:$F$55,$O53,$G$8:$G$55)</f>
        <v>6</v>
      </c>
      <c r="R53" s="399">
        <f>P53-Q53</f>
        <v>-3</v>
      </c>
      <c r="S53" s="400">
        <f>SUMIF($D$8:$D$55,$O53,$K$8:$K$55)+SUMIF($F$8:$F$55,$O53,$L$8:$L$55)</f>
        <v>1</v>
      </c>
      <c r="T53" s="445" t="s">
        <v>85</v>
      </c>
      <c r="U53" s="40"/>
      <c r="V53" s="40" t="str">
        <f>O53</f>
        <v>Rusland</v>
      </c>
      <c r="W53" s="40" t="s">
        <v>84</v>
      </c>
      <c r="Y53" s="109">
        <f t="shared" si="8"/>
        <v>10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10</v>
      </c>
      <c r="AG53" s="108">
        <f t="shared" si="0"/>
        <v>1</v>
      </c>
      <c r="AH53" s="108">
        <f t="shared" si="1"/>
        <v>1</v>
      </c>
      <c r="AI53" s="108">
        <f t="shared" si="10"/>
        <v>10</v>
      </c>
      <c r="AJ53" s="108">
        <f t="shared" si="2"/>
        <v>5</v>
      </c>
      <c r="AK53" s="108">
        <f t="shared" si="3"/>
        <v>0</v>
      </c>
      <c r="AL53" s="108">
        <f t="shared" si="4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1</v>
      </c>
      <c r="H54" s="373" t="s">
        <v>9</v>
      </c>
      <c r="I54" s="441">
        <v>2</v>
      </c>
      <c r="J54" s="375">
        <f t="shared" si="5"/>
        <v>2</v>
      </c>
      <c r="K54" s="363">
        <f t="shared" si="6"/>
        <v>0</v>
      </c>
      <c r="L54" s="363">
        <f t="shared" si="7"/>
        <v>3</v>
      </c>
      <c r="M54" s="352"/>
      <c r="N54" s="352"/>
      <c r="O54" s="401" t="s">
        <v>40</v>
      </c>
      <c r="P54" s="402">
        <f>SUMIF($D$8:$D$55,$O54,$G$8:$G$55)+SUMIF($F$8:$F$55,$O54,$I$8:$I$55)</f>
        <v>5</v>
      </c>
      <c r="Q54" s="402">
        <f>SUMIF($D$8:$D$55,$O54,$I$8:$I$55)+SUMIF($F$8:$F$55,$O54,$G$8:$G$55)</f>
        <v>4</v>
      </c>
      <c r="R54" s="402">
        <f>P54-Q54</f>
        <v>1</v>
      </c>
      <c r="S54" s="403">
        <f>SUMIF($D$8:$D$55,$O54,$K$8:$K$55)+SUMIF($F$8:$F$55,$O54,$L$8:$L$55)</f>
        <v>4</v>
      </c>
      <c r="T54" s="446" t="s">
        <v>83</v>
      </c>
      <c r="U54" s="40"/>
      <c r="V54" s="40" t="str">
        <f>O54</f>
        <v>Zuid Korea</v>
      </c>
      <c r="W54" s="40" t="s">
        <v>85</v>
      </c>
      <c r="Y54" s="109">
        <f t="shared" si="8"/>
        <v>5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5</v>
      </c>
      <c r="AG54" s="108">
        <f t="shared" si="0"/>
        <v>0</v>
      </c>
      <c r="AH54" s="108">
        <f t="shared" si="1"/>
        <v>0</v>
      </c>
      <c r="AI54" s="108">
        <f t="shared" si="10"/>
        <v>0</v>
      </c>
      <c r="AJ54" s="108">
        <f t="shared" si="2"/>
        <v>0</v>
      </c>
      <c r="AK54" s="108">
        <f t="shared" si="3"/>
        <v>5</v>
      </c>
      <c r="AL54" s="108">
        <f t="shared" si="4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2</v>
      </c>
      <c r="H55" s="388" t="s">
        <v>9</v>
      </c>
      <c r="I55" s="443">
        <v>2</v>
      </c>
      <c r="J55" s="390">
        <f t="shared" si="5"/>
        <v>3</v>
      </c>
      <c r="K55" s="363">
        <f t="shared" si="6"/>
        <v>1</v>
      </c>
      <c r="L55" s="363">
        <f t="shared" si="7"/>
        <v>1</v>
      </c>
      <c r="M55" s="352"/>
      <c r="N55" s="352"/>
      <c r="O55" s="392"/>
      <c r="P55" s="393"/>
      <c r="Q55" s="393"/>
      <c r="R55" s="393"/>
      <c r="S55" s="393"/>
      <c r="T55" s="393"/>
      <c r="U55" s="40"/>
      <c r="V55" s="40"/>
      <c r="W55" s="40"/>
      <c r="Y55" s="109">
        <f t="shared" si="8"/>
        <v>5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5</v>
      </c>
      <c r="AG55" s="108">
        <f t="shared" si="0"/>
        <v>0</v>
      </c>
      <c r="AH55" s="108">
        <f t="shared" si="1"/>
        <v>0</v>
      </c>
      <c r="AI55" s="108">
        <f t="shared" si="10"/>
        <v>0</v>
      </c>
      <c r="AJ55" s="108">
        <f t="shared" si="2"/>
        <v>0</v>
      </c>
      <c r="AK55" s="108">
        <f t="shared" si="3"/>
        <v>0</v>
      </c>
      <c r="AL55" s="108">
        <f t="shared" si="4"/>
        <v>5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N56" s="352"/>
      <c r="O56" s="352"/>
      <c r="P56" s="352"/>
      <c r="Q56" s="352"/>
      <c r="R56" s="352"/>
      <c r="S56" s="352"/>
      <c r="T56" s="352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79"/>
      <c r="K57" s="353"/>
      <c r="L57" s="353"/>
      <c r="M57" s="353"/>
      <c r="N57" s="352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77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N58" s="352"/>
      <c r="O58" s="458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>IF(ISERROR(Z59),K59,Z59)</f>
        <v>Brazilië</v>
      </c>
      <c r="E59" s="367" t="s">
        <v>9</v>
      </c>
      <c r="F59" s="406" t="str">
        <f>IF(ISERROR(AA59),L59,AA59)</f>
        <v>Chili</v>
      </c>
      <c r="G59" s="435">
        <v>3</v>
      </c>
      <c r="H59" s="367" t="s">
        <v>9</v>
      </c>
      <c r="I59" s="447">
        <v>1</v>
      </c>
      <c r="J59" s="448">
        <v>1</v>
      </c>
      <c r="K59" s="407" t="s">
        <v>48</v>
      </c>
      <c r="L59" s="407" t="s">
        <v>53</v>
      </c>
      <c r="M59" s="407">
        <v>1</v>
      </c>
      <c r="N59" s="352"/>
      <c r="O59" s="458">
        <v>2</v>
      </c>
      <c r="P59" s="877" t="s">
        <v>211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3">AF59</f>
        <v>1</v>
      </c>
      <c r="Z59" t="str">
        <f t="shared" ref="Z59:AA65" si="14">IF(K59=""," ",VLOOKUP(K59,$T$9:$V$54,3,FALSE))</f>
        <v>Brazilië</v>
      </c>
      <c r="AA59" t="str">
        <f t="shared" si="14"/>
        <v>Chili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1</v>
      </c>
      <c r="AG59" s="108">
        <f t="shared" ref="AG59:AG66" si="16">IF(AC59="",0,(IF(G59=AC59,1,0)))</f>
        <v>0</v>
      </c>
      <c r="AH59" s="108">
        <f t="shared" ref="AH59:AH66" si="17">IF(AD59="",0,(IF(I59=AD59,1,0)))</f>
        <v>1</v>
      </c>
      <c r="AI59" s="108">
        <f t="shared" ref="AI59:AI66" si="18">IF(AND(AG59=1,AH59=1),10,0)</f>
        <v>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376">
        <v>50</v>
      </c>
      <c r="C60" s="466">
        <v>41818</v>
      </c>
      <c r="D60" s="460" t="str">
        <f t="shared" ref="D60:D66" si="23">IF(ISERROR(Z60),K60,Z60)</f>
        <v>Ivoorkust</v>
      </c>
      <c r="E60" s="379" t="s">
        <v>9</v>
      </c>
      <c r="F60" s="409" t="str">
        <f t="shared" ref="F60:F66" si="24">IF(ISERROR(AA60),L60,AA60)</f>
        <v>Uruguay</v>
      </c>
      <c r="G60" s="437">
        <v>1</v>
      </c>
      <c r="H60" s="379" t="s">
        <v>9</v>
      </c>
      <c r="I60" s="449">
        <v>1</v>
      </c>
      <c r="J60" s="450">
        <v>2</v>
      </c>
      <c r="K60" s="407" t="s">
        <v>57</v>
      </c>
      <c r="L60" s="407" t="s">
        <v>63</v>
      </c>
      <c r="M60" s="407">
        <v>2</v>
      </c>
      <c r="N60" s="352"/>
      <c r="O60" s="458">
        <v>3</v>
      </c>
      <c r="P60" s="877" t="s">
        <v>225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3"/>
        <v>0</v>
      </c>
      <c r="Z60" t="str">
        <f t="shared" si="14"/>
        <v>Ivoorkust</v>
      </c>
      <c r="AA60" t="str">
        <f t="shared" si="14"/>
        <v>Uruguay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0</v>
      </c>
      <c r="AG60" s="108">
        <f t="shared" si="16"/>
        <v>0</v>
      </c>
      <c r="AH60" s="108">
        <f t="shared" si="17"/>
        <v>0</v>
      </c>
      <c r="AI60" s="108">
        <f t="shared" si="18"/>
        <v>0</v>
      </c>
      <c r="AJ60" s="108">
        <f t="shared" si="19"/>
        <v>0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2"/>
        <v>3</v>
      </c>
    </row>
    <row r="61" spans="2:54">
      <c r="B61" s="364">
        <v>51</v>
      </c>
      <c r="C61" s="465">
        <v>41819</v>
      </c>
      <c r="D61" s="464" t="str">
        <f t="shared" si="23"/>
        <v>Nederland</v>
      </c>
      <c r="E61" s="367" t="s">
        <v>9</v>
      </c>
      <c r="F61" s="406" t="str">
        <f t="shared" si="24"/>
        <v>Mexico</v>
      </c>
      <c r="G61" s="435">
        <v>2</v>
      </c>
      <c r="H61" s="367" t="s">
        <v>9</v>
      </c>
      <c r="I61" s="447">
        <v>0</v>
      </c>
      <c r="J61" s="448">
        <v>1</v>
      </c>
      <c r="K61" s="407" t="s">
        <v>52</v>
      </c>
      <c r="L61" s="407" t="s">
        <v>49</v>
      </c>
      <c r="M61" s="407"/>
      <c r="N61" s="352"/>
      <c r="O61" s="458">
        <v>4</v>
      </c>
      <c r="P61" s="877" t="s">
        <v>234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3"/>
        <v>6</v>
      </c>
      <c r="Z61" t="str">
        <f t="shared" si="14"/>
        <v>Nederland</v>
      </c>
      <c r="AA61" t="str">
        <f t="shared" si="14"/>
        <v>Mexico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6</v>
      </c>
      <c r="AG61" s="108">
        <f t="shared" si="16"/>
        <v>1</v>
      </c>
      <c r="AH61" s="108">
        <f t="shared" si="17"/>
        <v>0</v>
      </c>
      <c r="AI61" s="108">
        <f t="shared" si="18"/>
        <v>0</v>
      </c>
      <c r="AJ61" s="108">
        <f t="shared" si="19"/>
        <v>5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0</v>
      </c>
      <c r="BB61" s="139">
        <f t="shared" si="22"/>
        <v>0</v>
      </c>
    </row>
    <row r="62" spans="2:54">
      <c r="B62" s="376">
        <v>52</v>
      </c>
      <c r="C62" s="466">
        <v>41819</v>
      </c>
      <c r="D62" s="464" t="str">
        <f t="shared" si="23"/>
        <v>Italië</v>
      </c>
      <c r="E62" s="379" t="s">
        <v>9</v>
      </c>
      <c r="F62" s="409" t="str">
        <f t="shared" si="24"/>
        <v>Griekenland</v>
      </c>
      <c r="G62" s="437">
        <v>2</v>
      </c>
      <c r="H62" s="379" t="s">
        <v>9</v>
      </c>
      <c r="I62" s="449">
        <v>0</v>
      </c>
      <c r="J62" s="450">
        <v>1</v>
      </c>
      <c r="K62" s="407" t="s">
        <v>62</v>
      </c>
      <c r="L62" s="407" t="s">
        <v>58</v>
      </c>
      <c r="M62" s="407"/>
      <c r="N62" s="352"/>
      <c r="O62" s="458">
        <v>5</v>
      </c>
      <c r="P62" s="877" t="s">
        <v>220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3"/>
        <v>0</v>
      </c>
      <c r="Z62" t="str">
        <f t="shared" si="14"/>
        <v>Italië</v>
      </c>
      <c r="AA62" t="str">
        <f t="shared" si="14"/>
        <v>Griekenland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0</v>
      </c>
      <c r="AG62" s="108">
        <f t="shared" si="16"/>
        <v>0</v>
      </c>
      <c r="AH62" s="108">
        <f t="shared" si="17"/>
        <v>0</v>
      </c>
      <c r="AI62" s="108">
        <f t="shared" si="18"/>
        <v>0</v>
      </c>
      <c r="AJ62" s="108">
        <f t="shared" si="19"/>
        <v>0</v>
      </c>
      <c r="AK62" s="108">
        <f t="shared" si="20"/>
        <v>0</v>
      </c>
      <c r="AL62" s="108">
        <f t="shared" si="21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2"/>
        <v>3</v>
      </c>
    </row>
    <row r="63" spans="2:54">
      <c r="B63" s="364">
        <v>53</v>
      </c>
      <c r="C63" s="465">
        <v>41820</v>
      </c>
      <c r="D63" s="459" t="str">
        <f t="shared" si="23"/>
        <v>Frankrijk</v>
      </c>
      <c r="E63" s="367" t="s">
        <v>9</v>
      </c>
      <c r="F63" s="406" t="str">
        <f t="shared" si="24"/>
        <v>Argentinië</v>
      </c>
      <c r="G63" s="435">
        <v>2</v>
      </c>
      <c r="H63" s="367" t="s">
        <v>9</v>
      </c>
      <c r="I63" s="447">
        <v>2</v>
      </c>
      <c r="J63" s="448">
        <v>2</v>
      </c>
      <c r="K63" s="407" t="s">
        <v>67</v>
      </c>
      <c r="L63" s="407" t="s">
        <v>73</v>
      </c>
      <c r="M63" s="407"/>
      <c r="N63" s="352"/>
      <c r="O63" s="458">
        <v>6</v>
      </c>
      <c r="P63" s="877" t="s">
        <v>226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3"/>
        <v>1</v>
      </c>
      <c r="Z63" t="str">
        <f t="shared" si="14"/>
        <v>Frankrijk</v>
      </c>
      <c r="AA63" t="str">
        <f t="shared" si="14"/>
        <v>Argentinië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1</v>
      </c>
      <c r="AG63" s="108">
        <f t="shared" si="16"/>
        <v>1</v>
      </c>
      <c r="AH63" s="108">
        <f t="shared" si="17"/>
        <v>0</v>
      </c>
      <c r="AI63" s="108">
        <f t="shared" si="18"/>
        <v>0</v>
      </c>
      <c r="AJ63" s="108">
        <f t="shared" si="19"/>
        <v>0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3</v>
      </c>
      <c r="BB63" s="139">
        <f t="shared" si="22"/>
        <v>3</v>
      </c>
    </row>
    <row r="64" spans="2:54">
      <c r="B64" s="376">
        <v>54</v>
      </c>
      <c r="C64" s="466">
        <v>41820</v>
      </c>
      <c r="D64" s="460" t="str">
        <f t="shared" si="23"/>
        <v>Duitsland</v>
      </c>
      <c r="E64" s="379" t="s">
        <v>9</v>
      </c>
      <c r="F64" s="409" t="str">
        <f t="shared" si="24"/>
        <v>Zuid Korea</v>
      </c>
      <c r="G64" s="437">
        <v>2</v>
      </c>
      <c r="H64" s="379" t="s">
        <v>9</v>
      </c>
      <c r="I64" s="449">
        <v>1</v>
      </c>
      <c r="J64" s="450">
        <v>1</v>
      </c>
      <c r="K64" s="407" t="s">
        <v>77</v>
      </c>
      <c r="L64" s="407" t="s">
        <v>83</v>
      </c>
      <c r="M64" s="407"/>
      <c r="N64" s="352"/>
      <c r="O64" s="458">
        <v>7</v>
      </c>
      <c r="P64" s="877" t="s">
        <v>213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3"/>
        <v>0</v>
      </c>
      <c r="Z64" t="str">
        <f t="shared" si="14"/>
        <v>Duitsland</v>
      </c>
      <c r="AA64" t="str">
        <f t="shared" si="14"/>
        <v>Zuid Korea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0</v>
      </c>
      <c r="AG64" s="108">
        <f t="shared" si="16"/>
        <v>0</v>
      </c>
      <c r="AH64" s="108">
        <f t="shared" si="17"/>
        <v>0</v>
      </c>
      <c r="AI64" s="108">
        <f t="shared" si="18"/>
        <v>0</v>
      </c>
      <c r="AJ64" s="108">
        <f t="shared" si="19"/>
        <v>0</v>
      </c>
      <c r="AK64" s="108">
        <f t="shared" si="20"/>
        <v>0</v>
      </c>
      <c r="AL64" s="108">
        <f t="shared" si="21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2"/>
        <v>3</v>
      </c>
    </row>
    <row r="65" spans="2:54">
      <c r="B65" s="370">
        <v>55</v>
      </c>
      <c r="C65" s="467">
        <v>41821</v>
      </c>
      <c r="D65" s="459" t="str">
        <f t="shared" si="23"/>
        <v>Nigeria</v>
      </c>
      <c r="E65" s="373" t="s">
        <v>9</v>
      </c>
      <c r="F65" s="410" t="str">
        <f t="shared" si="24"/>
        <v>Zwitserland</v>
      </c>
      <c r="G65" s="436">
        <v>1</v>
      </c>
      <c r="H65" s="373" t="s">
        <v>9</v>
      </c>
      <c r="I65" s="451">
        <v>0</v>
      </c>
      <c r="J65" s="452">
        <v>1</v>
      </c>
      <c r="K65" s="407" t="s">
        <v>72</v>
      </c>
      <c r="L65" s="407" t="s">
        <v>68</v>
      </c>
      <c r="M65" s="407"/>
      <c r="N65" s="352"/>
      <c r="O65" s="458">
        <v>8</v>
      </c>
      <c r="P65" s="877" t="s">
        <v>214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3"/>
        <v>1</v>
      </c>
      <c r="Z65" t="str">
        <f t="shared" si="14"/>
        <v>Nigeria</v>
      </c>
      <c r="AA65" t="str">
        <f t="shared" si="14"/>
        <v>Zwitserland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1</v>
      </c>
      <c r="AG65" s="108">
        <f t="shared" si="16"/>
        <v>0</v>
      </c>
      <c r="AH65" s="108">
        <f t="shared" si="17"/>
        <v>1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2"/>
        <v>3</v>
      </c>
    </row>
    <row r="66" spans="2:54" ht="15.75" thickBot="1">
      <c r="B66" s="385">
        <v>56</v>
      </c>
      <c r="C66" s="462">
        <v>41821</v>
      </c>
      <c r="D66" s="461" t="str">
        <f t="shared" si="23"/>
        <v>België</v>
      </c>
      <c r="E66" s="388" t="s">
        <v>9</v>
      </c>
      <c r="F66" s="412" t="str">
        <f t="shared" si="24"/>
        <v>Portugal</v>
      </c>
      <c r="G66" s="438">
        <v>1</v>
      </c>
      <c r="H66" s="388" t="s">
        <v>9</v>
      </c>
      <c r="I66" s="453">
        <v>1</v>
      </c>
      <c r="J66" s="454">
        <v>1</v>
      </c>
      <c r="K66" s="407" t="s">
        <v>82</v>
      </c>
      <c r="L66" s="407" t="s">
        <v>78</v>
      </c>
      <c r="M66" s="407"/>
      <c r="N66" s="352"/>
      <c r="O66" s="458">
        <v>9</v>
      </c>
      <c r="P66" s="877" t="s">
        <v>223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3"/>
        <v>5</v>
      </c>
      <c r="Z66" t="str">
        <f>IF(K66=""," ",VLOOKUP(K66,$T$9:$V$54,3,FALSE))</f>
        <v>België</v>
      </c>
      <c r="AA66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5</v>
      </c>
      <c r="AG66" s="108">
        <f t="shared" si="16"/>
        <v>0</v>
      </c>
      <c r="AH66" s="108">
        <f t="shared" si="17"/>
        <v>0</v>
      </c>
      <c r="AI66" s="108">
        <f t="shared" si="18"/>
        <v>0</v>
      </c>
      <c r="AJ66" s="108">
        <f t="shared" si="19"/>
        <v>0</v>
      </c>
      <c r="AK66" s="108">
        <f t="shared" si="20"/>
        <v>0</v>
      </c>
      <c r="AL66" s="108">
        <f t="shared" si="21"/>
        <v>5</v>
      </c>
      <c r="AZ66" s="138" t="str">
        <f>Uitslag!P66</f>
        <v>Jonathan de Guzman (m)</v>
      </c>
      <c r="BA66" s="140">
        <f t="shared" si="12"/>
        <v>0</v>
      </c>
      <c r="BB66" s="139">
        <f t="shared" si="22"/>
        <v>0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N67" s="352"/>
      <c r="O67" s="458">
        <v>10</v>
      </c>
      <c r="P67" s="877" t="s">
        <v>215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2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79"/>
      <c r="K68" s="353"/>
      <c r="L68" s="353"/>
      <c r="M68" s="353"/>
      <c r="N68" s="352"/>
      <c r="O68" s="458">
        <v>11</v>
      </c>
      <c r="P68" s="877" t="s">
        <v>216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2"/>
        <v>3</v>
      </c>
    </row>
    <row r="69" spans="2:54">
      <c r="B69" s="428" t="s">
        <v>1</v>
      </c>
      <c r="C69" s="429" t="s">
        <v>2</v>
      </c>
      <c r="D69" s="476" t="s">
        <v>3</v>
      </c>
      <c r="E69" s="431"/>
      <c r="F69" s="477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N69" s="352"/>
      <c r="O69" s="352"/>
      <c r="P69" s="352"/>
      <c r="Q69" s="352"/>
      <c r="R69" s="352"/>
      <c r="S69" s="352"/>
      <c r="T69" s="352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27</v>
      </c>
      <c r="BB69" s="139" t="str">
        <f>IF(AND(BA69&lt;&gt;"",BA69=33),15,"nvt")</f>
        <v>nvt</v>
      </c>
    </row>
    <row r="70" spans="2:54">
      <c r="B70" s="364">
        <v>57</v>
      </c>
      <c r="C70" s="365">
        <v>41824</v>
      </c>
      <c r="D70" s="405" t="str">
        <f>IF(J63="","Winnaar 53",IF(J63=1,D63,F63))</f>
        <v>Argentinië</v>
      </c>
      <c r="E70" s="367" t="s">
        <v>9</v>
      </c>
      <c r="F70" s="406" t="str">
        <f>IF(J64="","Winnaar 54",IF(J64=1,D64,F64))</f>
        <v>Duitsland</v>
      </c>
      <c r="G70" s="435">
        <v>1</v>
      </c>
      <c r="H70" s="367" t="s">
        <v>9</v>
      </c>
      <c r="I70" s="447">
        <v>2</v>
      </c>
      <c r="J70" s="448">
        <v>2</v>
      </c>
      <c r="K70" s="353"/>
      <c r="L70" s="353"/>
      <c r="M70" s="353"/>
      <c r="N70" s="352"/>
      <c r="O70" s="352"/>
      <c r="P70" s="352"/>
      <c r="Q70" s="352"/>
      <c r="R70" s="352"/>
      <c r="S70" s="352"/>
      <c r="T70" s="352"/>
      <c r="V70" t="s">
        <v>133</v>
      </c>
      <c r="W70" t="s">
        <v>126</v>
      </c>
      <c r="X70" t="str">
        <f t="shared" si="11"/>
        <v>Karim Rekik (v)</v>
      </c>
      <c r="Y70" s="109">
        <f>AF70</f>
        <v>5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5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Brazilië</v>
      </c>
      <c r="E71" s="379" t="s">
        <v>9</v>
      </c>
      <c r="F71" s="409" t="str">
        <f>IF(J60="","Winnaar 50",IF(J60=1,D60,F60))</f>
        <v>Uruguay</v>
      </c>
      <c r="G71" s="437">
        <v>1</v>
      </c>
      <c r="H71" s="379" t="s">
        <v>9</v>
      </c>
      <c r="I71" s="449">
        <v>0</v>
      </c>
      <c r="J71" s="450">
        <v>1</v>
      </c>
      <c r="K71" s="353"/>
      <c r="L71" s="353"/>
      <c r="M71" s="353"/>
      <c r="N71" s="352"/>
      <c r="O71" s="352"/>
      <c r="P71" s="352"/>
      <c r="Q71" s="352"/>
      <c r="R71" s="352"/>
      <c r="S71" s="352"/>
      <c r="T71" s="352"/>
      <c r="V71" t="s">
        <v>133</v>
      </c>
      <c r="W71" t="s">
        <v>194</v>
      </c>
      <c r="X71" t="str">
        <f t="shared" si="11"/>
        <v>Ron Vlaar (v)</v>
      </c>
      <c r="Y71" s="109">
        <f>AF71</f>
        <v>5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5</v>
      </c>
      <c r="AG71" s="108">
        <f>IF(AC71="",0,(IF(G71=AC71,1,0)))</f>
        <v>0</v>
      </c>
      <c r="AH71" s="108">
        <f>IF(AD71="",0,(IF(I71=AD71,1,0)))</f>
        <v>0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Nigeria</v>
      </c>
      <c r="E72" s="367" t="s">
        <v>9</v>
      </c>
      <c r="F72" s="406" t="str">
        <f>IF(J66="","Winnaar 56",IF(J66=1,D66,F66))</f>
        <v>België</v>
      </c>
      <c r="G72" s="435">
        <v>1</v>
      </c>
      <c r="H72" s="367" t="s">
        <v>9</v>
      </c>
      <c r="I72" s="447">
        <v>2</v>
      </c>
      <c r="J72" s="448">
        <v>2</v>
      </c>
      <c r="K72" s="353"/>
      <c r="L72" s="353"/>
      <c r="M72" s="353"/>
      <c r="N72" s="352"/>
      <c r="O72" s="352"/>
      <c r="P72" s="352"/>
      <c r="Q72" s="352"/>
      <c r="R72" s="352"/>
      <c r="S72" s="352"/>
      <c r="T72" s="352"/>
      <c r="V72" t="s">
        <v>133</v>
      </c>
      <c r="W72" t="s">
        <v>195</v>
      </c>
      <c r="X72" t="str">
        <f t="shared" si="11"/>
        <v>John Heitinga (v)</v>
      </c>
      <c r="Y72" s="109">
        <f>AF72</f>
        <v>1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1</v>
      </c>
      <c r="AG72" s="108">
        <f>IF(AC72="",0,(IF(G72=AC72,1,0)))</f>
        <v>1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0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Nederland</v>
      </c>
      <c r="E73" s="388" t="s">
        <v>9</v>
      </c>
      <c r="F73" s="412" t="str">
        <f>IF(J62="","Winnaar 52",IF(J62=1,D62,F62))</f>
        <v>Italië</v>
      </c>
      <c r="G73" s="438">
        <v>0</v>
      </c>
      <c r="H73" s="388" t="s">
        <v>9</v>
      </c>
      <c r="I73" s="453">
        <v>0</v>
      </c>
      <c r="J73" s="454">
        <v>2</v>
      </c>
      <c r="K73" s="353"/>
      <c r="L73" s="353"/>
      <c r="M73" s="353"/>
      <c r="N73" s="352"/>
      <c r="O73" s="352"/>
      <c r="P73" s="352"/>
      <c r="Q73" s="352"/>
      <c r="R73" s="352"/>
      <c r="S73" s="352"/>
      <c r="T73" s="352"/>
      <c r="V73" t="s">
        <v>133</v>
      </c>
      <c r="W73" t="s">
        <v>196</v>
      </c>
      <c r="X73" t="str">
        <f t="shared" si="11"/>
        <v>Urby Emanuelson (v)</v>
      </c>
      <c r="Y73" s="109">
        <f>AF73</f>
        <v>10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10</v>
      </c>
      <c r="AG73" s="108">
        <f>IF(AC73="",0,(IF(G73=AC73,1,0)))</f>
        <v>1</v>
      </c>
      <c r="AH73" s="108">
        <f>IF(AD73="",0,(IF(I73=AD73,1,0)))</f>
        <v>1</v>
      </c>
      <c r="AI73" s="108">
        <f>IF(AND(AG73=1,AH73=1),10,0)</f>
        <v>10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5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N74" s="352"/>
      <c r="O74" s="352"/>
      <c r="P74" s="352"/>
      <c r="Q74" s="352"/>
      <c r="R74" s="352"/>
      <c r="S74" s="352"/>
      <c r="T74" s="352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79"/>
      <c r="K75" s="353"/>
      <c r="L75" s="353"/>
      <c r="M75" s="353"/>
      <c r="N75" s="352"/>
      <c r="O75" s="352"/>
      <c r="P75" s="352"/>
      <c r="Q75" s="352"/>
      <c r="R75" s="352"/>
      <c r="S75" s="352"/>
      <c r="T75" s="352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76" t="s">
        <v>3</v>
      </c>
      <c r="E76" s="431"/>
      <c r="F76" s="477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N76" s="352"/>
      <c r="O76" s="352"/>
      <c r="P76" s="352"/>
      <c r="Q76" s="352"/>
      <c r="R76" s="352"/>
      <c r="S76" s="352"/>
      <c r="T76" s="352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Duitsland</v>
      </c>
      <c r="E77" s="367" t="s">
        <v>9</v>
      </c>
      <c r="F77" s="406" t="str">
        <f>IF(J71="","Winnaar 58",IF(J71=1,D71,F71))</f>
        <v>Brazilië</v>
      </c>
      <c r="G77" s="435">
        <v>2</v>
      </c>
      <c r="H77" s="367" t="s">
        <v>9</v>
      </c>
      <c r="I77" s="447">
        <v>2</v>
      </c>
      <c r="J77" s="448">
        <v>1</v>
      </c>
      <c r="K77" s="353"/>
      <c r="L77" s="353"/>
      <c r="M77" s="353"/>
      <c r="N77" s="352"/>
      <c r="O77" s="352"/>
      <c r="P77" s="352"/>
      <c r="Q77" s="352"/>
      <c r="R77" s="352"/>
      <c r="S77" s="352"/>
      <c r="T77" s="352"/>
      <c r="V77" t="s">
        <v>134</v>
      </c>
      <c r="W77" t="s">
        <v>203</v>
      </c>
      <c r="X77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België</v>
      </c>
      <c r="E78" s="388" t="s">
        <v>9</v>
      </c>
      <c r="F78" s="412" t="str">
        <f>IF(J73="","Winnaar 60",IF(J73=1,D73,F73))</f>
        <v>Italië</v>
      </c>
      <c r="G78" s="438">
        <v>1</v>
      </c>
      <c r="H78" s="388" t="s">
        <v>9</v>
      </c>
      <c r="I78" s="453">
        <v>1</v>
      </c>
      <c r="J78" s="454">
        <v>2</v>
      </c>
      <c r="K78" s="353"/>
      <c r="L78" s="353"/>
      <c r="M78" s="353"/>
      <c r="N78" s="352"/>
      <c r="O78" s="352"/>
      <c r="P78" s="352"/>
      <c r="Q78" s="352"/>
      <c r="R78" s="352"/>
      <c r="S78" s="352"/>
      <c r="T78" s="352"/>
      <c r="V78" t="s">
        <v>134</v>
      </c>
      <c r="W78" t="s">
        <v>199</v>
      </c>
      <c r="X78" t="str">
        <f t="shared" si="11"/>
        <v>Leroy Fer (m)</v>
      </c>
      <c r="Y78" s="109">
        <f>AF78</f>
        <v>5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5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5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N79" s="352"/>
      <c r="O79" s="352"/>
      <c r="P79" s="352"/>
      <c r="Q79" s="352"/>
      <c r="R79" s="352"/>
      <c r="S79" s="352"/>
      <c r="T79" s="352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79"/>
      <c r="K80" s="353"/>
      <c r="L80" s="353"/>
      <c r="M80" s="353"/>
      <c r="N80" s="352"/>
      <c r="O80" s="352"/>
      <c r="P80" s="352"/>
      <c r="Q80" s="352"/>
      <c r="R80" s="352"/>
      <c r="S80" s="352"/>
      <c r="T80" s="352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76" t="s">
        <v>3</v>
      </c>
      <c r="E81" s="431"/>
      <c r="F81" s="477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N81" s="352"/>
      <c r="O81" s="352"/>
      <c r="P81" s="352"/>
      <c r="Q81" s="352"/>
      <c r="R81" s="352"/>
      <c r="S81" s="352"/>
      <c r="T81" s="352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Brazilië</v>
      </c>
      <c r="E82" s="355" t="s">
        <v>9</v>
      </c>
      <c r="F82" s="415" t="str">
        <f>IF(J78="","Verliezer 62",IF(J78=1,F78,D78))</f>
        <v>België</v>
      </c>
      <c r="G82" s="455">
        <v>4</v>
      </c>
      <c r="H82" s="355" t="s">
        <v>9</v>
      </c>
      <c r="I82" s="456">
        <v>2</v>
      </c>
      <c r="J82" s="457">
        <v>1</v>
      </c>
      <c r="K82" s="353"/>
      <c r="L82" s="353"/>
      <c r="M82" s="353"/>
      <c r="N82" s="352"/>
      <c r="O82" s="352"/>
      <c r="P82" s="352"/>
      <c r="Q82" s="352"/>
      <c r="R82" s="352"/>
      <c r="S82" s="352"/>
      <c r="T82" s="352"/>
      <c r="V82" t="s">
        <v>134</v>
      </c>
      <c r="W82" t="s">
        <v>125</v>
      </c>
      <c r="X8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N83" s="352"/>
      <c r="O83" s="352"/>
      <c r="P83" s="352"/>
      <c r="Q83" s="352"/>
      <c r="R83" s="352"/>
      <c r="S83" s="352"/>
      <c r="T83" s="352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79"/>
      <c r="K84" s="353"/>
      <c r="L84" s="353"/>
      <c r="M84" s="353"/>
      <c r="N84" s="352"/>
      <c r="O84" s="352"/>
      <c r="P84" s="352"/>
      <c r="Q84" s="352"/>
      <c r="R84" s="352"/>
      <c r="S84" s="352"/>
      <c r="T84" s="352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76" t="s">
        <v>3</v>
      </c>
      <c r="E85" s="431"/>
      <c r="F85" s="477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N85" s="352"/>
      <c r="O85" s="352"/>
      <c r="P85" s="352"/>
      <c r="Q85" s="352"/>
      <c r="R85" s="352"/>
      <c r="S85" s="352"/>
      <c r="T85" s="352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Duitsland</v>
      </c>
      <c r="E86" s="355" t="s">
        <v>9</v>
      </c>
      <c r="F86" s="415" t="str">
        <f>IF(J78="","Winnaar 62",IF(J78=1,D78,F78))</f>
        <v>Italië</v>
      </c>
      <c r="G86" s="455">
        <v>1</v>
      </c>
      <c r="H86" s="355" t="s">
        <v>9</v>
      </c>
      <c r="I86" s="456">
        <v>2</v>
      </c>
      <c r="J86" s="457">
        <v>2</v>
      </c>
      <c r="K86" s="353"/>
      <c r="L86" s="353"/>
      <c r="M86" s="353"/>
      <c r="N86" s="352"/>
      <c r="O86" s="352"/>
      <c r="P86" s="352"/>
      <c r="Q86" s="352"/>
      <c r="R86" s="352"/>
      <c r="S86" s="352"/>
      <c r="T86" s="352"/>
      <c r="V86" t="s">
        <v>134</v>
      </c>
      <c r="W86" t="s">
        <v>139</v>
      </c>
      <c r="X86" t="str">
        <f t="shared" si="11"/>
        <v>Nigel de Jong (m)</v>
      </c>
      <c r="Y86" s="109">
        <f>AF86</f>
        <v>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0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Italië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0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0</v>
      </c>
      <c r="AV89">
        <f>IF(AR89=0,0,IF(E89=AR89,50,0))</f>
        <v>0</v>
      </c>
      <c r="AW89">
        <f>IF(E89=0,0,IF(OR(E89=AR90),15,0))</f>
        <v>0</v>
      </c>
      <c r="AX89">
        <f>IF(E89=0,0,IF(OR(E89=AR91,E89=AR92),5,0))</f>
        <v>0</v>
      </c>
    </row>
    <row r="90" spans="2:50">
      <c r="C90" s="870">
        <v>2</v>
      </c>
      <c r="D90" s="871"/>
      <c r="E90" s="872" t="str">
        <f>IF(J86=2,D86,IF(J86=1,F86,"Wie wordt 2de?"))</f>
        <v>Duitsland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15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15</v>
      </c>
      <c r="AV90">
        <f>IF(AR90=0,0,IF(AR90=E90,25,0))</f>
        <v>0</v>
      </c>
      <c r="AW90">
        <f>IF(E90=0,0,IF(OR(E90=AR89,),15,0))</f>
        <v>15</v>
      </c>
      <c r="AX90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Brazilië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10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10</v>
      </c>
      <c r="AV91">
        <f>IF(AR91=0,0,IF(AR91=E91,15,0))</f>
        <v>0</v>
      </c>
      <c r="AW91">
        <f>IF(E91=0,0,IF(OR(E91=AR92),10,0))</f>
        <v>10</v>
      </c>
      <c r="AX91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België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0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0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25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conditionalFormatting sqref="AO9:AO12 AO15:AO18 AO21:AO24 AO27:AO30 AO33:AO36 AO39:AO42 AO45:AO48 AO51:AO54">
    <cfRule type="cellIs" dxfId="119" priority="3" operator="equal">
      <formula>10</formula>
    </cfRule>
  </conditionalFormatting>
  <conditionalFormatting sqref="P58:T58">
    <cfRule type="duplicateValues" dxfId="118" priority="2"/>
  </conditionalFormatting>
  <conditionalFormatting sqref="P58:T68">
    <cfRule type="duplicateValues" dxfId="117" priority="1"/>
  </conditionalFormatting>
  <dataValidations count="10">
    <dataValidation type="list" allowBlank="1" showInputMessage="1" showErrorMessage="1" sqref="P58:P68">
      <formula1>$X$58:$X$98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51:T54">
      <formula1>$W$51:$W$54</formula1>
    </dataValidation>
  </dataValidation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B1:BB98"/>
  <sheetViews>
    <sheetView topLeftCell="A43" zoomScale="70" zoomScaleNormal="70" workbookViewId="0">
      <selection activeCell="P58" sqref="P58:T68"/>
    </sheetView>
  </sheetViews>
  <sheetFormatPr defaultRowHeight="15" outlineLevelCol="2"/>
  <cols>
    <col min="1" max="1" width="3.42578125" customWidth="1"/>
    <col min="2" max="2" width="3.5703125" bestFit="1" customWidth="1"/>
    <col min="3" max="3" width="11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283</v>
      </c>
      <c r="E3" s="145"/>
      <c r="F3" s="145"/>
      <c r="N3" t="str">
        <f>D3</f>
        <v>Tinka H.</v>
      </c>
      <c r="O3" s="144">
        <f>SUM(P3:S3)</f>
        <v>495</v>
      </c>
      <c r="P3" s="109">
        <f>SUM(Y8:Y86)</f>
        <v>223</v>
      </c>
      <c r="Q3" s="109">
        <f>SUM(AM4:AM55)</f>
        <v>160</v>
      </c>
      <c r="R3" s="109">
        <f>SUM(AP89:AP92)</f>
        <v>85</v>
      </c>
      <c r="S3" s="109">
        <f>SUM(BB58:BB69)</f>
        <v>27</v>
      </c>
      <c r="T3" s="109">
        <f>COUNTIF(AF8:AF86,10)</f>
        <v>5</v>
      </c>
      <c r="U3" s="109" t="str">
        <f>E89</f>
        <v>Duitsland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M6" s="352"/>
      <c r="N6" s="352"/>
      <c r="O6" s="392"/>
      <c r="P6" s="393"/>
      <c r="Q6" s="393"/>
      <c r="R6" s="393"/>
      <c r="S6" s="393"/>
      <c r="T6" s="393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18" t="s">
        <v>3</v>
      </c>
      <c r="E7" s="419"/>
      <c r="F7" s="420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M7" s="352"/>
      <c r="N7" s="352"/>
      <c r="O7" s="353"/>
      <c r="P7" s="393"/>
      <c r="Q7" s="393"/>
      <c r="R7" s="393"/>
      <c r="S7" s="393"/>
      <c r="T7" s="393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2</v>
      </c>
      <c r="H8" s="360" t="s">
        <v>9</v>
      </c>
      <c r="I8" s="439">
        <v>0</v>
      </c>
      <c r="J8" s="362">
        <f>IF(I8="","",IF(G8&gt;I8,1,IF(G8&lt;I8,2,3)))</f>
        <v>1</v>
      </c>
      <c r="K8" s="363">
        <f>IF(I8="","",IF($G8&gt;$I8,3,IF($G8=$I8,1,0)))</f>
        <v>3</v>
      </c>
      <c r="L8" s="363">
        <f>IF(I8="","",IF($G8&lt;$I8,3,IF($G8=$I8,1,0)))</f>
        <v>0</v>
      </c>
      <c r="M8" s="352"/>
      <c r="N8" s="352"/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40"/>
      <c r="V8" s="40"/>
      <c r="W8" s="40"/>
      <c r="Y8" s="109">
        <f>AF8</f>
        <v>5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5</v>
      </c>
      <c r="AG8" s="108">
        <f t="shared" ref="AG8:AG55" si="0">IF(AC8="",0,(IF(G8=AC8,1,0)))</f>
        <v>0</v>
      </c>
      <c r="AH8" s="108">
        <f t="shared" ref="AH8:AH55" si="1">IF(AD8="",0,(IF(I8=AD8,1,0)))</f>
        <v>0</v>
      </c>
      <c r="AI8" s="108">
        <f>IF(AND(AG8=1,AH8=1),10,0)</f>
        <v>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1</v>
      </c>
      <c r="H9" s="367" t="s">
        <v>9</v>
      </c>
      <c r="I9" s="440">
        <v>0</v>
      </c>
      <c r="J9" s="369">
        <f t="shared" ref="J9:J55" si="5">IF(I9="","",IF(G9&gt;I9,1,IF(G9&lt;I9,2,3)))</f>
        <v>1</v>
      </c>
      <c r="K9" s="363">
        <f t="shared" ref="K9:K55" si="6">IF(I9="","",IF($G9&gt;$I9,3,IF($G9=$I9,1,0)))</f>
        <v>3</v>
      </c>
      <c r="L9" s="363">
        <f t="shared" ref="L9:L55" si="7">IF(I9="","",IF($G9&lt;$I9,3,IF($G9=$I9,1,0)))</f>
        <v>0</v>
      </c>
      <c r="M9" s="352"/>
      <c r="N9" s="352"/>
      <c r="O9" s="394" t="s">
        <v>8</v>
      </c>
      <c r="P9" s="395">
        <f>SUMIF($D$8:$D$55,$O9,$G$8:$G$55)+SUMIF($F$8:$F$55,$O9,$I$8:$I$55)</f>
        <v>7</v>
      </c>
      <c r="Q9" s="395">
        <f>SUMIF($D$8:$D$55,$O9,$I$8:$I$55)+SUMIF($F$8:$F$55,$O9,$G$8:$G$55)</f>
        <v>2</v>
      </c>
      <c r="R9" s="396">
        <f>P9-Q9</f>
        <v>5</v>
      </c>
      <c r="S9" s="397">
        <f>SUMIF($D$8:$D$55,$O9,$K$8:$K$55)+SUMIF($F$8:$F$55,$O9,$L$8:$L$55)</f>
        <v>9</v>
      </c>
      <c r="T9" s="444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10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10</v>
      </c>
      <c r="AG9" s="108">
        <f t="shared" si="0"/>
        <v>1</v>
      </c>
      <c r="AH9" s="108">
        <f t="shared" si="1"/>
        <v>1</v>
      </c>
      <c r="AI9" s="108">
        <f t="shared" ref="AI9:AI55" si="10">IF(AND(AG9=1,AH9=1),10,0)</f>
        <v>10</v>
      </c>
      <c r="AJ9" s="108">
        <f t="shared" si="2"/>
        <v>5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2</v>
      </c>
      <c r="H10" s="373" t="s">
        <v>9</v>
      </c>
      <c r="I10" s="441">
        <v>1</v>
      </c>
      <c r="J10" s="375">
        <f t="shared" si="5"/>
        <v>1</v>
      </c>
      <c r="K10" s="363">
        <f t="shared" si="6"/>
        <v>3</v>
      </c>
      <c r="L10" s="363">
        <f t="shared" si="7"/>
        <v>0</v>
      </c>
      <c r="M10" s="352"/>
      <c r="N10" s="352"/>
      <c r="O10" s="398" t="s">
        <v>10</v>
      </c>
      <c r="P10" s="399">
        <f>SUMIF($D$8:$D$55,$O10,$G$8:$G$55)+SUMIF($F$8:$F$55,$O10,$I$8:$I$55)</f>
        <v>2</v>
      </c>
      <c r="Q10" s="399">
        <f>SUMIF($D$8:$D$55,$O10,$I$8:$I$55)+SUMIF($F$8:$F$55,$O10,$G$8:$G$55)</f>
        <v>6</v>
      </c>
      <c r="R10" s="399">
        <f>P10-Q10</f>
        <v>-4</v>
      </c>
      <c r="S10" s="400">
        <f>SUMIF($D$8:$D$55,$O10,$K$8:$K$55)+SUMIF($F$8:$F$55,$O10,$L$8:$L$55)</f>
        <v>1</v>
      </c>
      <c r="T10" s="445" t="s">
        <v>50</v>
      </c>
      <c r="U10" s="40"/>
      <c r="V10" s="40" t="str">
        <f>O10</f>
        <v>Kroatië</v>
      </c>
      <c r="W10" s="40" t="s">
        <v>49</v>
      </c>
      <c r="Y10" s="109">
        <f t="shared" si="8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0</v>
      </c>
      <c r="AG10" s="108">
        <f t="shared" si="0"/>
        <v>0</v>
      </c>
      <c r="AH10" s="108">
        <f t="shared" si="1"/>
        <v>0</v>
      </c>
      <c r="AI10" s="108">
        <f t="shared" si="10"/>
        <v>0</v>
      </c>
      <c r="AJ10" s="108">
        <f t="shared" si="2"/>
        <v>0</v>
      </c>
      <c r="AK10" s="108">
        <f t="shared" si="3"/>
        <v>0</v>
      </c>
      <c r="AL10" s="108">
        <f t="shared" si="4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3</v>
      </c>
      <c r="H11" s="379" t="s">
        <v>9</v>
      </c>
      <c r="I11" s="442">
        <v>0</v>
      </c>
      <c r="J11" s="381">
        <f t="shared" si="5"/>
        <v>1</v>
      </c>
      <c r="K11" s="363">
        <f t="shared" si="6"/>
        <v>3</v>
      </c>
      <c r="L11" s="363">
        <f t="shared" si="7"/>
        <v>0</v>
      </c>
      <c r="M11" s="352"/>
      <c r="N11" s="352"/>
      <c r="O11" s="398" t="s">
        <v>11</v>
      </c>
      <c r="P11" s="399">
        <f>SUMIF($D$8:$D$55,$O11,$G$8:$G$55)+SUMIF($F$8:$F$55,$O11,$I$8:$I$55)</f>
        <v>6</v>
      </c>
      <c r="Q11" s="399">
        <f>SUMIF($D$8:$D$55,$O11,$I$8:$I$55)+SUMIF($F$8:$F$55,$O11,$G$8:$G$55)</f>
        <v>4</v>
      </c>
      <c r="R11" s="399">
        <f>P11-Q11</f>
        <v>2</v>
      </c>
      <c r="S11" s="400">
        <f>SUMIF($D$8:$D$55,$O11,$K$8:$K$55)+SUMIF($F$8:$F$55,$O11,$L$8:$L$55)</f>
        <v>6</v>
      </c>
      <c r="T11" s="445" t="s">
        <v>49</v>
      </c>
      <c r="U11" s="40"/>
      <c r="V11" s="40" t="str">
        <f>O11</f>
        <v>Mexico</v>
      </c>
      <c r="W11" s="40" t="s">
        <v>47</v>
      </c>
      <c r="Y11" s="109">
        <f t="shared" si="8"/>
        <v>6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6</v>
      </c>
      <c r="AG11" s="108">
        <f t="shared" si="0"/>
        <v>1</v>
      </c>
      <c r="AH11" s="108">
        <f t="shared" si="1"/>
        <v>0</v>
      </c>
      <c r="AI11" s="108">
        <f t="shared" si="10"/>
        <v>0</v>
      </c>
      <c r="AJ11" s="108">
        <f t="shared" si="2"/>
        <v>5</v>
      </c>
      <c r="AK11" s="108">
        <f t="shared" si="3"/>
        <v>0</v>
      </c>
      <c r="AL11" s="108">
        <f t="shared" si="4"/>
        <v>0</v>
      </c>
      <c r="AM11" s="120">
        <f>AO11</f>
        <v>10</v>
      </c>
      <c r="AN11" s="117" t="s">
        <v>11</v>
      </c>
      <c r="AO11" s="115">
        <f>IF(Uitslag!T11="",0,IF(T11=Uitslag!T11,10,0))</f>
        <v>10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2</v>
      </c>
      <c r="H12" s="367" t="s">
        <v>9</v>
      </c>
      <c r="I12" s="440">
        <v>1</v>
      </c>
      <c r="J12" s="369">
        <f t="shared" si="5"/>
        <v>1</v>
      </c>
      <c r="K12" s="363">
        <f t="shared" si="6"/>
        <v>3</v>
      </c>
      <c r="L12" s="363">
        <f t="shared" si="7"/>
        <v>0</v>
      </c>
      <c r="M12" s="352"/>
      <c r="N12" s="352"/>
      <c r="O12" s="401" t="s">
        <v>12</v>
      </c>
      <c r="P12" s="402">
        <f>SUMIF($D$8:$D$55,$O12,$G$8:$G$55)+SUMIF($F$8:$F$55,$O12,$I$8:$I$55)</f>
        <v>1</v>
      </c>
      <c r="Q12" s="402">
        <f>SUMIF($D$8:$D$55,$O12,$I$8:$I$55)+SUMIF($F$8:$F$55,$O12,$G$8:$G$55)</f>
        <v>4</v>
      </c>
      <c r="R12" s="402">
        <f>P12-Q12</f>
        <v>-3</v>
      </c>
      <c r="S12" s="403">
        <f>SUMIF($D$8:$D$55,$O12,$K$8:$K$55)+SUMIF($F$8:$F$55,$O12,$L$8:$L$55)</f>
        <v>1</v>
      </c>
      <c r="T12" s="446" t="s">
        <v>47</v>
      </c>
      <c r="U12" s="40"/>
      <c r="V12" s="40" t="str">
        <f>O12</f>
        <v>Kameroen</v>
      </c>
      <c r="W12" s="40" t="s">
        <v>50</v>
      </c>
      <c r="Y12" s="109">
        <f t="shared" si="8"/>
        <v>5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5</v>
      </c>
      <c r="AG12" s="108">
        <f t="shared" si="0"/>
        <v>0</v>
      </c>
      <c r="AH12" s="108">
        <f t="shared" si="1"/>
        <v>0</v>
      </c>
      <c r="AI12" s="108">
        <f t="shared" si="10"/>
        <v>0</v>
      </c>
      <c r="AJ12" s="108">
        <f t="shared" si="2"/>
        <v>5</v>
      </c>
      <c r="AK12" s="108">
        <f t="shared" si="3"/>
        <v>0</v>
      </c>
      <c r="AL12" s="108">
        <f t="shared" si="4"/>
        <v>0</v>
      </c>
      <c r="AM12" s="120">
        <f>AO12</f>
        <v>0</v>
      </c>
      <c r="AN12" s="118" t="s">
        <v>12</v>
      </c>
      <c r="AO12" s="115">
        <f>IF(Uitslag!T12="",0,IF(T12=Uitslag!T12,10,0))</f>
        <v>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2</v>
      </c>
      <c r="H13" s="373" t="s">
        <v>9</v>
      </c>
      <c r="I13" s="441">
        <v>1</v>
      </c>
      <c r="J13" s="375">
        <f t="shared" si="5"/>
        <v>1</v>
      </c>
      <c r="K13" s="363">
        <f t="shared" si="6"/>
        <v>3</v>
      </c>
      <c r="L13" s="363">
        <f t="shared" si="7"/>
        <v>0</v>
      </c>
      <c r="M13" s="352"/>
      <c r="N13" s="352"/>
      <c r="O13" s="392"/>
      <c r="P13" s="393"/>
      <c r="Q13" s="393"/>
      <c r="R13" s="393"/>
      <c r="S13" s="393"/>
      <c r="T13" s="393"/>
      <c r="U13" s="40"/>
      <c r="V13" s="40"/>
      <c r="W13" s="40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0"/>
        <v>0</v>
      </c>
      <c r="AH13" s="108">
        <f t="shared" si="1"/>
        <v>0</v>
      </c>
      <c r="AI13" s="108">
        <f t="shared" si="10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40"/>
      <c r="AO13" s="41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0</v>
      </c>
      <c r="H14" s="373" t="s">
        <v>9</v>
      </c>
      <c r="I14" s="441">
        <v>0</v>
      </c>
      <c r="J14" s="375">
        <f t="shared" si="5"/>
        <v>3</v>
      </c>
      <c r="K14" s="363">
        <f t="shared" si="6"/>
        <v>1</v>
      </c>
      <c r="L14" s="363">
        <f t="shared" si="7"/>
        <v>1</v>
      </c>
      <c r="M14" s="352"/>
      <c r="N14" s="352"/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40"/>
      <c r="V14" s="40"/>
      <c r="W14" s="40"/>
      <c r="Y14" s="109">
        <f t="shared" si="8"/>
        <v>0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0</v>
      </c>
      <c r="AG14" s="108">
        <f t="shared" si="0"/>
        <v>0</v>
      </c>
      <c r="AH14" s="108">
        <f t="shared" si="1"/>
        <v>0</v>
      </c>
      <c r="AI14" s="108">
        <f t="shared" si="10"/>
        <v>0</v>
      </c>
      <c r="AJ14" s="108">
        <f t="shared" si="2"/>
        <v>0</v>
      </c>
      <c r="AK14" s="108">
        <f t="shared" si="3"/>
        <v>0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1</v>
      </c>
      <c r="H15" s="379" t="s">
        <v>9</v>
      </c>
      <c r="I15" s="442">
        <v>0</v>
      </c>
      <c r="J15" s="381">
        <f t="shared" si="5"/>
        <v>1</v>
      </c>
      <c r="K15" s="363">
        <f t="shared" si="6"/>
        <v>3</v>
      </c>
      <c r="L15" s="363">
        <f t="shared" si="7"/>
        <v>0</v>
      </c>
      <c r="M15" s="352"/>
      <c r="N15" s="352"/>
      <c r="O15" s="394" t="s">
        <v>13</v>
      </c>
      <c r="P15" s="395">
        <f>SUMIF($D$8:$D$55,$O15,$G$8:$G$55)+SUMIF($F$8:$F$55,$O15,$I$8:$I$55)</f>
        <v>5</v>
      </c>
      <c r="Q15" s="395">
        <f>SUMIF($D$8:$D$55,$O15,$I$8:$I$55)+SUMIF($F$8:$F$55,$O15,$G$8:$G$55)</f>
        <v>1</v>
      </c>
      <c r="R15" s="396">
        <f>P15-Q15</f>
        <v>4</v>
      </c>
      <c r="S15" s="397">
        <f>SUMIF($D$8:$D$55,$O15,$K$8:$K$55)+SUMIF($F$8:$F$55,$O15,$L$8:$L$55)</f>
        <v>9</v>
      </c>
      <c r="T15" s="444" t="s">
        <v>52</v>
      </c>
      <c r="U15" s="40"/>
      <c r="V15" s="40" t="str">
        <f>O15</f>
        <v>Spanje</v>
      </c>
      <c r="W15" s="40" t="s">
        <v>52</v>
      </c>
      <c r="Y15" s="109">
        <f t="shared" si="8"/>
        <v>5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5</v>
      </c>
      <c r="AG15" s="108">
        <f t="shared" si="0"/>
        <v>0</v>
      </c>
      <c r="AH15" s="108">
        <f t="shared" si="1"/>
        <v>0</v>
      </c>
      <c r="AI15" s="108">
        <f t="shared" si="10"/>
        <v>0</v>
      </c>
      <c r="AJ15" s="108">
        <f t="shared" si="2"/>
        <v>5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0</v>
      </c>
      <c r="H16" s="367" t="s">
        <v>9</v>
      </c>
      <c r="I16" s="440">
        <v>1</v>
      </c>
      <c r="J16" s="369">
        <f t="shared" si="5"/>
        <v>2</v>
      </c>
      <c r="K16" s="363">
        <f t="shared" si="6"/>
        <v>0</v>
      </c>
      <c r="L16" s="363">
        <f t="shared" si="7"/>
        <v>3</v>
      </c>
      <c r="M16" s="352"/>
      <c r="N16" s="352"/>
      <c r="O16" s="404" t="s">
        <v>14</v>
      </c>
      <c r="P16" s="399">
        <f>SUMIF($D$8:$D$55,$O16,$G$8:$G$55)+SUMIF($F$8:$F$55,$O16,$I$8:$I$55)</f>
        <v>5</v>
      </c>
      <c r="Q16" s="399">
        <f>SUMIF($D$8:$D$55,$O16,$I$8:$I$55)+SUMIF($F$8:$F$55,$O16,$G$8:$G$55)</f>
        <v>3</v>
      </c>
      <c r="R16" s="399">
        <f>P16-Q16</f>
        <v>2</v>
      </c>
      <c r="S16" s="400">
        <f>SUMIF($D$8:$D$55,$O16,$K$8:$K$55)+SUMIF($F$8:$F$55,$O16,$L$8:$L$55)</f>
        <v>4</v>
      </c>
      <c r="T16" s="445" t="s">
        <v>53</v>
      </c>
      <c r="U16" s="40"/>
      <c r="V16" s="40" t="str">
        <f>O16</f>
        <v>Nederland</v>
      </c>
      <c r="W16" s="40" t="s">
        <v>53</v>
      </c>
      <c r="Y16" s="109">
        <f t="shared" si="8"/>
        <v>1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1</v>
      </c>
      <c r="AG16" s="108">
        <f t="shared" si="0"/>
        <v>0</v>
      </c>
      <c r="AH16" s="108">
        <f t="shared" si="1"/>
        <v>1</v>
      </c>
      <c r="AI16" s="108">
        <f t="shared" si="10"/>
        <v>0</v>
      </c>
      <c r="AJ16" s="108">
        <f t="shared" si="2"/>
        <v>0</v>
      </c>
      <c r="AK16" s="108">
        <f t="shared" si="3"/>
        <v>0</v>
      </c>
      <c r="AL16" s="108">
        <f t="shared" si="4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2</v>
      </c>
      <c r="H17" s="373" t="s">
        <v>9</v>
      </c>
      <c r="I17" s="441">
        <v>0</v>
      </c>
      <c r="J17" s="375">
        <f t="shared" si="5"/>
        <v>1</v>
      </c>
      <c r="K17" s="363">
        <f t="shared" si="6"/>
        <v>3</v>
      </c>
      <c r="L17" s="363">
        <f t="shared" si="7"/>
        <v>0</v>
      </c>
      <c r="M17" s="352"/>
      <c r="N17" s="352"/>
      <c r="O17" s="398" t="s">
        <v>15</v>
      </c>
      <c r="P17" s="399">
        <f>SUMIF($D$8:$D$55,$O17,$G$8:$G$55)+SUMIF($F$8:$F$55,$O17,$I$8:$I$55)</f>
        <v>4</v>
      </c>
      <c r="Q17" s="399">
        <f>SUMIF($D$8:$D$55,$O17,$I$8:$I$55)+SUMIF($F$8:$F$55,$O17,$G$8:$G$55)</f>
        <v>2</v>
      </c>
      <c r="R17" s="399">
        <f>P17-Q17</f>
        <v>2</v>
      </c>
      <c r="S17" s="400">
        <f>SUMIF($D$8:$D$55,$O17,$K$8:$K$55)+SUMIF($F$8:$F$55,$O17,$L$8:$L$55)</f>
        <v>4</v>
      </c>
      <c r="T17" s="445" t="s">
        <v>54</v>
      </c>
      <c r="U17" s="40"/>
      <c r="V17" s="40" t="str">
        <f>O17</f>
        <v>Chili</v>
      </c>
      <c r="W17" s="40" t="s">
        <v>54</v>
      </c>
      <c r="Y17" s="109">
        <f t="shared" si="8"/>
        <v>6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6</v>
      </c>
      <c r="AG17" s="108">
        <f t="shared" si="0"/>
        <v>0</v>
      </c>
      <c r="AH17" s="108">
        <f t="shared" si="1"/>
        <v>1</v>
      </c>
      <c r="AI17" s="108">
        <f t="shared" si="10"/>
        <v>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4</v>
      </c>
      <c r="H18" s="379" t="s">
        <v>9</v>
      </c>
      <c r="I18" s="442">
        <v>1</v>
      </c>
      <c r="J18" s="381">
        <f t="shared" si="5"/>
        <v>1</v>
      </c>
      <c r="K18" s="363">
        <f t="shared" si="6"/>
        <v>3</v>
      </c>
      <c r="L18" s="363">
        <f t="shared" si="7"/>
        <v>0</v>
      </c>
      <c r="M18" s="352"/>
      <c r="N18" s="352"/>
      <c r="O18" s="401" t="s">
        <v>16</v>
      </c>
      <c r="P18" s="402">
        <f>SUMIF($D$8:$D$55,$O18,$G$8:$G$55)+SUMIF($F$8:$F$55,$O18,$I$8:$I$55)</f>
        <v>0</v>
      </c>
      <c r="Q18" s="402">
        <f>SUMIF($D$8:$D$55,$O18,$I$8:$I$55)+SUMIF($F$8:$F$55,$O18,$G$8:$G$55)</f>
        <v>8</v>
      </c>
      <c r="R18" s="402">
        <f>P18-Q18</f>
        <v>-8</v>
      </c>
      <c r="S18" s="403">
        <f>SUMIF($D$8:$D$55,$O18,$K$8:$K$55)+SUMIF($F$8:$F$55,$O18,$L$8:$L$55)</f>
        <v>0</v>
      </c>
      <c r="T18" s="446" t="s">
        <v>55</v>
      </c>
      <c r="U18" s="40"/>
      <c r="V18" s="40" t="str">
        <f>O18</f>
        <v>Australië</v>
      </c>
      <c r="W18" s="40" t="s">
        <v>55</v>
      </c>
      <c r="Y18" s="109">
        <f t="shared" si="8"/>
        <v>6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6</v>
      </c>
      <c r="AG18" s="108">
        <f t="shared" si="0"/>
        <v>0</v>
      </c>
      <c r="AH18" s="108">
        <f t="shared" si="1"/>
        <v>1</v>
      </c>
      <c r="AI18" s="108">
        <f t="shared" si="10"/>
        <v>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2</v>
      </c>
      <c r="H19" s="367" t="s">
        <v>9</v>
      </c>
      <c r="I19" s="440">
        <v>1</v>
      </c>
      <c r="J19" s="369">
        <f t="shared" si="5"/>
        <v>1</v>
      </c>
      <c r="K19" s="363">
        <f t="shared" si="6"/>
        <v>3</v>
      </c>
      <c r="L19" s="363">
        <f t="shared" si="7"/>
        <v>0</v>
      </c>
      <c r="M19" s="352"/>
      <c r="N19" s="352"/>
      <c r="O19" s="392"/>
      <c r="P19" s="393"/>
      <c r="Q19" s="393"/>
      <c r="R19" s="393"/>
      <c r="S19" s="393"/>
      <c r="T19" s="393"/>
      <c r="U19" s="40"/>
      <c r="V19" s="40"/>
      <c r="W19" s="40"/>
      <c r="Y19" s="109">
        <f t="shared" si="8"/>
        <v>5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5</v>
      </c>
      <c r="AG19" s="108">
        <f t="shared" si="0"/>
        <v>0</v>
      </c>
      <c r="AH19" s="108">
        <f t="shared" si="1"/>
        <v>0</v>
      </c>
      <c r="AI19" s="108">
        <f t="shared" si="10"/>
        <v>0</v>
      </c>
      <c r="AJ19" s="108">
        <f t="shared" si="2"/>
        <v>5</v>
      </c>
      <c r="AK19" s="108">
        <f t="shared" si="3"/>
        <v>0</v>
      </c>
      <c r="AL19" s="108">
        <f t="shared" si="4"/>
        <v>0</v>
      </c>
      <c r="AN19" s="40"/>
      <c r="AO19" s="41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0</v>
      </c>
      <c r="H20" s="373" t="s">
        <v>9</v>
      </c>
      <c r="I20" s="441">
        <v>2</v>
      </c>
      <c r="J20" s="375">
        <f t="shared" si="5"/>
        <v>2</v>
      </c>
      <c r="K20" s="363">
        <f t="shared" si="6"/>
        <v>0</v>
      </c>
      <c r="L20" s="363">
        <f t="shared" si="7"/>
        <v>3</v>
      </c>
      <c r="M20" s="352"/>
      <c r="N20" s="352"/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40"/>
      <c r="V20" s="40"/>
      <c r="W20" s="40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0"/>
        <v>1</v>
      </c>
      <c r="AH20" s="108">
        <f t="shared" si="1"/>
        <v>0</v>
      </c>
      <c r="AI20" s="108">
        <f t="shared" si="10"/>
        <v>0</v>
      </c>
      <c r="AJ20" s="108">
        <f t="shared" si="2"/>
        <v>0</v>
      </c>
      <c r="AK20" s="108">
        <f t="shared" si="3"/>
        <v>0</v>
      </c>
      <c r="AL20" s="108">
        <f t="shared" si="4"/>
        <v>0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2</v>
      </c>
      <c r="H21" s="379" t="s">
        <v>9</v>
      </c>
      <c r="I21" s="442">
        <v>2</v>
      </c>
      <c r="J21" s="381">
        <f t="shared" si="5"/>
        <v>3</v>
      </c>
      <c r="K21" s="363">
        <f t="shared" si="6"/>
        <v>1</v>
      </c>
      <c r="L21" s="363">
        <f t="shared" si="7"/>
        <v>1</v>
      </c>
      <c r="M21" s="352"/>
      <c r="N21" s="352"/>
      <c r="O21" s="394" t="s">
        <v>17</v>
      </c>
      <c r="P21" s="395">
        <f>SUMIF($D$8:$D$55,$O21,$G$8:$G$55)+SUMIF($F$8:$F$55,$O21,$I$8:$I$55)</f>
        <v>5</v>
      </c>
      <c r="Q21" s="395">
        <f>SUMIF($D$8:$D$55,$O21,$I$8:$I$55)+SUMIF($F$8:$F$55,$O21,$G$8:$G$55)</f>
        <v>1</v>
      </c>
      <c r="R21" s="396">
        <f>P21-Q21</f>
        <v>4</v>
      </c>
      <c r="S21" s="397">
        <f>SUMIF($D$8:$D$55,$O21,$K$8:$K$55)+SUMIF($F$8:$F$55,$O21,$L$8:$L$55)</f>
        <v>9</v>
      </c>
      <c r="T21" s="444" t="s">
        <v>57</v>
      </c>
      <c r="U21" s="40"/>
      <c r="V21" s="40" t="str">
        <f>O21</f>
        <v>Colombia</v>
      </c>
      <c r="W21" s="40" t="s">
        <v>57</v>
      </c>
      <c r="Y21" s="109">
        <f t="shared" si="8"/>
        <v>1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1</v>
      </c>
      <c r="AG21" s="108">
        <f t="shared" si="0"/>
        <v>0</v>
      </c>
      <c r="AH21" s="108">
        <f t="shared" si="1"/>
        <v>1</v>
      </c>
      <c r="AI21" s="108">
        <f t="shared" si="10"/>
        <v>0</v>
      </c>
      <c r="AJ21" s="108">
        <f t="shared" si="2"/>
        <v>0</v>
      </c>
      <c r="AK21" s="108">
        <f t="shared" si="3"/>
        <v>0</v>
      </c>
      <c r="AL21" s="108">
        <f t="shared" si="4"/>
        <v>0</v>
      </c>
      <c r="AM21" s="120">
        <f>AO21</f>
        <v>10</v>
      </c>
      <c r="AN21" s="116" t="s">
        <v>17</v>
      </c>
      <c r="AO21" s="115">
        <f>IF(Uitslag!T21="",0,IF(T21=Uitslag!T21,10,0))</f>
        <v>10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2</v>
      </c>
      <c r="H22" s="367" t="s">
        <v>9</v>
      </c>
      <c r="I22" s="440">
        <v>0</v>
      </c>
      <c r="J22" s="369">
        <f t="shared" si="5"/>
        <v>1</v>
      </c>
      <c r="K22" s="363">
        <f t="shared" si="6"/>
        <v>3</v>
      </c>
      <c r="L22" s="363">
        <f t="shared" si="7"/>
        <v>0</v>
      </c>
      <c r="M22" s="352"/>
      <c r="N22" s="352"/>
      <c r="O22" s="398" t="s">
        <v>18</v>
      </c>
      <c r="P22" s="399">
        <f>SUMIF($D$8:$D$55,$O22,$G$8:$G$55)+SUMIF($F$8:$F$55,$O22,$I$8:$I$55)</f>
        <v>4</v>
      </c>
      <c r="Q22" s="399">
        <f>SUMIF($D$8:$D$55,$O22,$I$8:$I$55)+SUMIF($F$8:$F$55,$O22,$G$8:$G$55)</f>
        <v>4</v>
      </c>
      <c r="R22" s="399">
        <f>P22-Q22</f>
        <v>0</v>
      </c>
      <c r="S22" s="400">
        <f>SUMIF($D$8:$D$55,$O22,$K$8:$K$55)+SUMIF($F$8:$F$55,$O22,$L$8:$L$55)</f>
        <v>4</v>
      </c>
      <c r="T22" s="445" t="s">
        <v>58</v>
      </c>
      <c r="U22" s="40"/>
      <c r="V22" s="40" t="str">
        <f>O22</f>
        <v>Griekenland</v>
      </c>
      <c r="W22" s="40" t="s">
        <v>58</v>
      </c>
      <c r="Y22" s="109">
        <f t="shared" si="8"/>
        <v>6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6</v>
      </c>
      <c r="AG22" s="108">
        <f t="shared" si="0"/>
        <v>1</v>
      </c>
      <c r="AH22" s="108">
        <f t="shared" si="1"/>
        <v>0</v>
      </c>
      <c r="AI22" s="108">
        <f t="shared" si="10"/>
        <v>0</v>
      </c>
      <c r="AJ22" s="108">
        <f t="shared" si="2"/>
        <v>5</v>
      </c>
      <c r="AK22" s="108">
        <f t="shared" si="3"/>
        <v>0</v>
      </c>
      <c r="AL22" s="108">
        <f t="shared" si="4"/>
        <v>0</v>
      </c>
      <c r="AM22" s="120">
        <f>AO22</f>
        <v>10</v>
      </c>
      <c r="AN22" s="117" t="s">
        <v>18</v>
      </c>
      <c r="AO22" s="115">
        <f>IF(Uitslag!T22="",0,IF(T22=Uitslag!T22,10,0))</f>
        <v>10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3</v>
      </c>
      <c r="H23" s="373" t="s">
        <v>9</v>
      </c>
      <c r="I23" s="441">
        <v>2</v>
      </c>
      <c r="J23" s="375">
        <f t="shared" si="5"/>
        <v>1</v>
      </c>
      <c r="K23" s="363">
        <f t="shared" si="6"/>
        <v>3</v>
      </c>
      <c r="L23" s="363">
        <f t="shared" si="7"/>
        <v>0</v>
      </c>
      <c r="M23" s="352"/>
      <c r="N23" s="352"/>
      <c r="O23" s="398" t="s">
        <v>23</v>
      </c>
      <c r="P23" s="399">
        <f>SUMIF($D$8:$D$55,$O23,$G$8:$G$55)+SUMIF($F$8:$F$55,$O23,$I$8:$I$55)</f>
        <v>3</v>
      </c>
      <c r="Q23" s="399">
        <f>SUMIF($D$8:$D$55,$O23,$I$8:$I$55)+SUMIF($F$8:$F$55,$O23,$G$8:$G$55)</f>
        <v>4</v>
      </c>
      <c r="R23" s="399">
        <f>P23-Q23</f>
        <v>-1</v>
      </c>
      <c r="S23" s="400">
        <f>SUMIF($D$8:$D$55,$O23,$K$8:$K$55)+SUMIF($F$8:$F$55,$O23,$L$8:$L$55)</f>
        <v>4</v>
      </c>
      <c r="T23" s="445" t="s">
        <v>59</v>
      </c>
      <c r="U23" s="40"/>
      <c r="V23" s="40" t="str">
        <f>O23</f>
        <v>Ivoorkust</v>
      </c>
      <c r="W23" s="40" t="s">
        <v>59</v>
      </c>
      <c r="Y23" s="109">
        <f t="shared" si="8"/>
        <v>0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0</v>
      </c>
      <c r="AG23" s="108">
        <f t="shared" si="0"/>
        <v>0</v>
      </c>
      <c r="AH23" s="108">
        <f t="shared" si="1"/>
        <v>0</v>
      </c>
      <c r="AI23" s="108">
        <f t="shared" si="10"/>
        <v>0</v>
      </c>
      <c r="AJ23" s="108">
        <f t="shared" si="2"/>
        <v>0</v>
      </c>
      <c r="AK23" s="108">
        <f t="shared" si="3"/>
        <v>0</v>
      </c>
      <c r="AL23" s="108">
        <f t="shared" si="4"/>
        <v>0</v>
      </c>
      <c r="AM23" s="120">
        <f>AO23</f>
        <v>10</v>
      </c>
      <c r="AN23" s="117" t="s">
        <v>23</v>
      </c>
      <c r="AO23" s="115">
        <f>IF(Uitslag!T23="",0,IF(T23=Uitslag!T23,10,0))</f>
        <v>10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1</v>
      </c>
      <c r="H24" s="379" t="s">
        <v>9</v>
      </c>
      <c r="I24" s="442">
        <v>1</v>
      </c>
      <c r="J24" s="381">
        <f t="shared" si="5"/>
        <v>3</v>
      </c>
      <c r="K24" s="363">
        <f t="shared" si="6"/>
        <v>1</v>
      </c>
      <c r="L24" s="363">
        <f t="shared" si="7"/>
        <v>1</v>
      </c>
      <c r="M24" s="352"/>
      <c r="N24" s="352"/>
      <c r="O24" s="401" t="s">
        <v>24</v>
      </c>
      <c r="P24" s="402">
        <f>SUMIF($D$8:$D$55,$O24,$G$8:$G$55)+SUMIF($F$8:$F$55,$O24,$I$8:$I$55)</f>
        <v>0</v>
      </c>
      <c r="Q24" s="402">
        <f>SUMIF($D$8:$D$55,$O24,$I$8:$I$55)+SUMIF($F$8:$F$55,$O24,$G$8:$G$55)</f>
        <v>3</v>
      </c>
      <c r="R24" s="402">
        <f>P24-Q24</f>
        <v>-3</v>
      </c>
      <c r="S24" s="403">
        <f>SUMIF($D$8:$D$55,$O24,$K$8:$K$55)+SUMIF($F$8:$F$55,$O24,$L$8:$L$55)</f>
        <v>0</v>
      </c>
      <c r="T24" s="446" t="s">
        <v>60</v>
      </c>
      <c r="U24" s="40"/>
      <c r="V24" s="40" t="str">
        <f>O24</f>
        <v>Japan</v>
      </c>
      <c r="W24" s="40" t="s">
        <v>60</v>
      </c>
      <c r="Y24" s="109">
        <f t="shared" si="8"/>
        <v>10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10</v>
      </c>
      <c r="AG24" s="108">
        <f t="shared" si="0"/>
        <v>1</v>
      </c>
      <c r="AH24" s="108">
        <f t="shared" si="1"/>
        <v>1</v>
      </c>
      <c r="AI24" s="108">
        <f t="shared" si="10"/>
        <v>10</v>
      </c>
      <c r="AJ24" s="108">
        <f t="shared" si="2"/>
        <v>0</v>
      </c>
      <c r="AK24" s="108">
        <f t="shared" si="3"/>
        <v>0</v>
      </c>
      <c r="AL24" s="108">
        <f t="shared" si="4"/>
        <v>5</v>
      </c>
      <c r="AM24" s="120">
        <f>AO24</f>
        <v>10</v>
      </c>
      <c r="AN24" s="118" t="s">
        <v>24</v>
      </c>
      <c r="AO24" s="115">
        <f>IF(Uitslag!T24="",0,IF(T24=Uitslag!T24,10,0))</f>
        <v>10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0</v>
      </c>
      <c r="H25" s="367" t="s">
        <v>9</v>
      </c>
      <c r="I25" s="440">
        <v>3</v>
      </c>
      <c r="J25" s="369">
        <f t="shared" si="5"/>
        <v>2</v>
      </c>
      <c r="K25" s="363">
        <f t="shared" si="6"/>
        <v>0</v>
      </c>
      <c r="L25" s="363">
        <f t="shared" si="7"/>
        <v>3</v>
      </c>
      <c r="M25" s="352"/>
      <c r="N25" s="352"/>
      <c r="O25" s="392"/>
      <c r="P25" s="393"/>
      <c r="Q25" s="393"/>
      <c r="R25" s="393"/>
      <c r="S25" s="393"/>
      <c r="T25" s="393"/>
      <c r="U25" s="40"/>
      <c r="V25" s="40"/>
      <c r="W25" s="40"/>
      <c r="Y25" s="109">
        <f t="shared" si="8"/>
        <v>6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6</v>
      </c>
      <c r="AG25" s="108">
        <f t="shared" si="0"/>
        <v>0</v>
      </c>
      <c r="AH25" s="108">
        <f t="shared" si="1"/>
        <v>1</v>
      </c>
      <c r="AI25" s="108">
        <f t="shared" si="10"/>
        <v>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40"/>
      <c r="AO25" s="41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1</v>
      </c>
      <c r="H26" s="373" t="s">
        <v>9</v>
      </c>
      <c r="I26" s="441">
        <v>0</v>
      </c>
      <c r="J26" s="375">
        <f t="shared" si="5"/>
        <v>1</v>
      </c>
      <c r="K26" s="363">
        <f t="shared" si="6"/>
        <v>3</v>
      </c>
      <c r="L26" s="363">
        <f t="shared" si="7"/>
        <v>0</v>
      </c>
      <c r="M26" s="352"/>
      <c r="N26" s="352"/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40"/>
      <c r="V26" s="40"/>
      <c r="W26" s="40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0"/>
        <v>0</v>
      </c>
      <c r="AH26" s="108">
        <f t="shared" si="1"/>
        <v>0</v>
      </c>
      <c r="AI26" s="108">
        <f t="shared" si="10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1</v>
      </c>
      <c r="H27" s="379" t="s">
        <v>9</v>
      </c>
      <c r="I27" s="442">
        <v>1</v>
      </c>
      <c r="J27" s="381">
        <f t="shared" si="5"/>
        <v>3</v>
      </c>
      <c r="K27" s="363">
        <f t="shared" si="6"/>
        <v>1</v>
      </c>
      <c r="L27" s="363">
        <f t="shared" si="7"/>
        <v>1</v>
      </c>
      <c r="M27" s="352"/>
      <c r="N27" s="352"/>
      <c r="O27" s="394" t="s">
        <v>19</v>
      </c>
      <c r="P27" s="395">
        <f>SUMIF($D$8:$D$55,$O27,$G$8:$G$55)+SUMIF($F$8:$F$55,$O27,$I$8:$I$55)</f>
        <v>6</v>
      </c>
      <c r="Q27" s="395">
        <f>SUMIF($D$8:$D$55,$O27,$I$8:$I$55)+SUMIF($F$8:$F$55,$O27,$G$8:$G$55)</f>
        <v>2</v>
      </c>
      <c r="R27" s="396">
        <f>P27-Q27</f>
        <v>4</v>
      </c>
      <c r="S27" s="397">
        <f>SUMIF($D$8:$D$55,$O27,$K$8:$K$55)+SUMIF($F$8:$F$55,$O27,$L$8:$L$55)</f>
        <v>9</v>
      </c>
      <c r="T27" s="444" t="s">
        <v>62</v>
      </c>
      <c r="U27" s="40"/>
      <c r="V27" s="40" t="str">
        <f>O27</f>
        <v>Uruguay</v>
      </c>
      <c r="W27" s="40" t="s">
        <v>62</v>
      </c>
      <c r="Y27" s="109">
        <f t="shared" si="8"/>
        <v>0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0</v>
      </c>
      <c r="AG27" s="108">
        <f t="shared" si="0"/>
        <v>0</v>
      </c>
      <c r="AH27" s="108">
        <f t="shared" si="1"/>
        <v>0</v>
      </c>
      <c r="AI27" s="108">
        <f t="shared" si="10"/>
        <v>0</v>
      </c>
      <c r="AJ27" s="108">
        <f t="shared" si="2"/>
        <v>0</v>
      </c>
      <c r="AK27" s="108">
        <f t="shared" si="3"/>
        <v>0</v>
      </c>
      <c r="AL27" s="108">
        <f t="shared" si="4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2</v>
      </c>
      <c r="H28" s="367" t="s">
        <v>9</v>
      </c>
      <c r="I28" s="440">
        <v>0</v>
      </c>
      <c r="J28" s="369">
        <f t="shared" si="5"/>
        <v>1</v>
      </c>
      <c r="K28" s="363">
        <f t="shared" si="6"/>
        <v>3</v>
      </c>
      <c r="L28" s="363">
        <f t="shared" si="7"/>
        <v>0</v>
      </c>
      <c r="M28" s="352"/>
      <c r="N28" s="352"/>
      <c r="O28" s="398" t="s">
        <v>20</v>
      </c>
      <c r="P28" s="399">
        <f>SUMIF($D$8:$D$55,$O28,$G$8:$G$55)+SUMIF($F$8:$F$55,$O28,$I$8:$I$55)</f>
        <v>2</v>
      </c>
      <c r="Q28" s="399">
        <f>SUMIF($D$8:$D$55,$O28,$I$8:$I$55)+SUMIF($F$8:$F$55,$O28,$G$8:$G$55)</f>
        <v>6</v>
      </c>
      <c r="R28" s="399">
        <f>P28-Q28</f>
        <v>-4</v>
      </c>
      <c r="S28" s="400">
        <f>SUMIF($D$8:$D$55,$O28,$K$8:$K$55)+SUMIF($F$8:$F$55,$O28,$L$8:$L$55)</f>
        <v>0</v>
      </c>
      <c r="T28" s="445" t="s">
        <v>65</v>
      </c>
      <c r="U28" s="40"/>
      <c r="V28" s="40" t="str">
        <f>O28</f>
        <v>Costa Rica</v>
      </c>
      <c r="W28" s="40" t="s">
        <v>63</v>
      </c>
      <c r="Y28" s="109">
        <f t="shared" si="8"/>
        <v>6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6</v>
      </c>
      <c r="AG28" s="108">
        <f t="shared" si="0"/>
        <v>1</v>
      </c>
      <c r="AH28" s="108">
        <f t="shared" si="1"/>
        <v>0</v>
      </c>
      <c r="AI28" s="108">
        <f t="shared" si="10"/>
        <v>0</v>
      </c>
      <c r="AJ28" s="108">
        <f t="shared" si="2"/>
        <v>5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2</v>
      </c>
      <c r="H29" s="373" t="s">
        <v>9</v>
      </c>
      <c r="I29" s="441">
        <v>1</v>
      </c>
      <c r="J29" s="375">
        <f t="shared" si="5"/>
        <v>1</v>
      </c>
      <c r="K29" s="363">
        <f t="shared" si="6"/>
        <v>3</v>
      </c>
      <c r="L29" s="363">
        <f t="shared" si="7"/>
        <v>0</v>
      </c>
      <c r="M29" s="352"/>
      <c r="N29" s="352"/>
      <c r="O29" s="398" t="s">
        <v>21</v>
      </c>
      <c r="P29" s="399">
        <f>SUMIF($D$8:$D$55,$O29,$G$8:$G$55)+SUMIF($F$8:$F$55,$O29,$I$8:$I$55)</f>
        <v>3</v>
      </c>
      <c r="Q29" s="399">
        <f>SUMIF($D$8:$D$55,$O29,$I$8:$I$55)+SUMIF($F$8:$F$55,$O29,$G$8:$G$55)</f>
        <v>3</v>
      </c>
      <c r="R29" s="399">
        <f>P29-Q29</f>
        <v>0</v>
      </c>
      <c r="S29" s="400">
        <f>SUMIF($D$8:$D$55,$O29,$K$8:$K$55)+SUMIF($F$8:$F$55,$O29,$L$8:$L$55)</f>
        <v>4</v>
      </c>
      <c r="T29" s="445" t="s">
        <v>63</v>
      </c>
      <c r="U29" s="40"/>
      <c r="V29" s="40" t="str">
        <f>O29</f>
        <v>Engeland</v>
      </c>
      <c r="W29" s="40" t="s">
        <v>64</v>
      </c>
      <c r="Y29" s="109">
        <f t="shared" si="8"/>
        <v>10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10</v>
      </c>
      <c r="AG29" s="108">
        <f t="shared" si="0"/>
        <v>1</v>
      </c>
      <c r="AH29" s="108">
        <f t="shared" si="1"/>
        <v>1</v>
      </c>
      <c r="AI29" s="108">
        <f t="shared" si="10"/>
        <v>10</v>
      </c>
      <c r="AJ29" s="108">
        <f t="shared" si="2"/>
        <v>5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0</v>
      </c>
      <c r="H30" s="379" t="s">
        <v>9</v>
      </c>
      <c r="I30" s="442">
        <v>1</v>
      </c>
      <c r="J30" s="381">
        <f t="shared" si="5"/>
        <v>2</v>
      </c>
      <c r="K30" s="363">
        <f t="shared" si="6"/>
        <v>0</v>
      </c>
      <c r="L30" s="363">
        <f t="shared" si="7"/>
        <v>3</v>
      </c>
      <c r="M30" s="352"/>
      <c r="N30" s="352"/>
      <c r="O30" s="401" t="s">
        <v>22</v>
      </c>
      <c r="P30" s="402">
        <f>SUMIF($D$8:$D$55,$O30,$G$8:$G$55)+SUMIF($F$8:$F$55,$O30,$I$8:$I$55)</f>
        <v>2</v>
      </c>
      <c r="Q30" s="402">
        <f>SUMIF($D$8:$D$55,$O30,$I$8:$I$55)+SUMIF($F$8:$F$55,$O30,$G$8:$G$55)</f>
        <v>2</v>
      </c>
      <c r="R30" s="402">
        <f>P30-Q30</f>
        <v>0</v>
      </c>
      <c r="S30" s="403">
        <f>SUMIF($D$8:$D$55,$O30,$K$8:$K$55)+SUMIF($F$8:$F$55,$O30,$L$8:$L$55)</f>
        <v>4</v>
      </c>
      <c r="T30" s="446" t="s">
        <v>64</v>
      </c>
      <c r="U30" s="40"/>
      <c r="V30" s="40" t="str">
        <f>O30</f>
        <v>Italië</v>
      </c>
      <c r="W30" s="40" t="s">
        <v>65</v>
      </c>
      <c r="Y30" s="109">
        <f t="shared" si="8"/>
        <v>1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1</v>
      </c>
      <c r="AG30" s="108">
        <f t="shared" si="0"/>
        <v>1</v>
      </c>
      <c r="AH30" s="108">
        <f t="shared" si="1"/>
        <v>0</v>
      </c>
      <c r="AI30" s="108">
        <f t="shared" si="10"/>
        <v>0</v>
      </c>
      <c r="AJ30" s="108">
        <f t="shared" si="2"/>
        <v>0</v>
      </c>
      <c r="AK30" s="108">
        <f t="shared" si="3"/>
        <v>0</v>
      </c>
      <c r="AL30" s="108">
        <f t="shared" si="4"/>
        <v>0</v>
      </c>
      <c r="AM30" s="120">
        <f>AO30</f>
        <v>10</v>
      </c>
      <c r="AN30" s="118" t="s">
        <v>22</v>
      </c>
      <c r="AO30" s="115">
        <f>IF(Uitslag!T30="",0,IF(T30=Uitslag!T30,10,0))</f>
        <v>10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2</v>
      </c>
      <c r="H31" s="367" t="s">
        <v>9</v>
      </c>
      <c r="I31" s="440">
        <v>0</v>
      </c>
      <c r="J31" s="369">
        <f t="shared" si="5"/>
        <v>1</v>
      </c>
      <c r="K31" s="363">
        <f t="shared" si="6"/>
        <v>3</v>
      </c>
      <c r="L31" s="363">
        <f t="shared" si="7"/>
        <v>0</v>
      </c>
      <c r="M31" s="352"/>
      <c r="N31" s="352"/>
      <c r="O31" s="392"/>
      <c r="P31" s="393"/>
      <c r="Q31" s="393"/>
      <c r="R31" s="393"/>
      <c r="S31" s="393"/>
      <c r="T31" s="393"/>
      <c r="U31" s="40"/>
      <c r="V31" s="40"/>
      <c r="W31" s="40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0"/>
        <v>0</v>
      </c>
      <c r="AH31" s="108">
        <f t="shared" si="1"/>
        <v>0</v>
      </c>
      <c r="AI31" s="108">
        <f t="shared" si="10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40"/>
      <c r="AO31" s="41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1</v>
      </c>
      <c r="H32" s="373" t="s">
        <v>9</v>
      </c>
      <c r="I32" s="441">
        <v>2</v>
      </c>
      <c r="J32" s="375">
        <f t="shared" si="5"/>
        <v>2</v>
      </c>
      <c r="K32" s="363">
        <f t="shared" si="6"/>
        <v>0</v>
      </c>
      <c r="L32" s="363">
        <f t="shared" si="7"/>
        <v>3</v>
      </c>
      <c r="M32" s="352"/>
      <c r="N32" s="352"/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40"/>
      <c r="V32" s="40"/>
      <c r="W32" s="40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0"/>
        <v>0</v>
      </c>
      <c r="AH32" s="108">
        <f t="shared" si="1"/>
        <v>0</v>
      </c>
      <c r="AI32" s="108">
        <f t="shared" si="10"/>
        <v>0</v>
      </c>
      <c r="AJ32" s="108">
        <f t="shared" si="2"/>
        <v>0</v>
      </c>
      <c r="AK32" s="108">
        <f t="shared" si="3"/>
        <v>5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1</v>
      </c>
      <c r="H33" s="379" t="s">
        <v>9</v>
      </c>
      <c r="I33" s="442">
        <v>1</v>
      </c>
      <c r="J33" s="381">
        <f t="shared" si="5"/>
        <v>3</v>
      </c>
      <c r="K33" s="363">
        <f t="shared" si="6"/>
        <v>1</v>
      </c>
      <c r="L33" s="363">
        <f t="shared" si="7"/>
        <v>1</v>
      </c>
      <c r="M33" s="352"/>
      <c r="N33" s="352"/>
      <c r="O33" s="394" t="s">
        <v>25</v>
      </c>
      <c r="P33" s="395">
        <f>SUMIF($D$8:$D$55,$O33,$G$8:$G$55)+SUMIF($F$8:$F$55,$O33,$I$8:$I$55)</f>
        <v>2</v>
      </c>
      <c r="Q33" s="395">
        <f>SUMIF($D$8:$D$55,$O33,$I$8:$I$55)+SUMIF($F$8:$F$55,$O33,$G$8:$G$55)</f>
        <v>3</v>
      </c>
      <c r="R33" s="396">
        <f>P33-Q33</f>
        <v>-1</v>
      </c>
      <c r="S33" s="397">
        <f>SUMIF($D$8:$D$55,$O33,$K$8:$K$55)+SUMIF($F$8:$F$55,$O33,$L$8:$L$55)</f>
        <v>3</v>
      </c>
      <c r="T33" s="444" t="s">
        <v>69</v>
      </c>
      <c r="U33" s="40"/>
      <c r="V33" s="40" t="str">
        <f>O33</f>
        <v>Zwitserland</v>
      </c>
      <c r="W33" s="40" t="s">
        <v>67</v>
      </c>
      <c r="Y33" s="109">
        <f t="shared" si="8"/>
        <v>1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1</v>
      </c>
      <c r="AG33" s="108">
        <f t="shared" si="0"/>
        <v>1</v>
      </c>
      <c r="AH33" s="108">
        <f t="shared" si="1"/>
        <v>0</v>
      </c>
      <c r="AI33" s="108">
        <f t="shared" si="10"/>
        <v>0</v>
      </c>
      <c r="AJ33" s="108">
        <f t="shared" si="2"/>
        <v>0</v>
      </c>
      <c r="AK33" s="108">
        <f t="shared" si="3"/>
        <v>0</v>
      </c>
      <c r="AL33" s="108">
        <f t="shared" si="4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3</v>
      </c>
      <c r="H34" s="367" t="s">
        <v>9</v>
      </c>
      <c r="I34" s="440">
        <v>0</v>
      </c>
      <c r="J34" s="369">
        <f t="shared" si="5"/>
        <v>1</v>
      </c>
      <c r="K34" s="363">
        <f t="shared" si="6"/>
        <v>3</v>
      </c>
      <c r="L34" s="363">
        <f t="shared" si="7"/>
        <v>0</v>
      </c>
      <c r="M34" s="352"/>
      <c r="N34" s="352"/>
      <c r="O34" s="398" t="s">
        <v>26</v>
      </c>
      <c r="P34" s="399">
        <f>SUMIF($D$8:$D$55,$O34,$G$8:$G$55)+SUMIF($F$8:$F$55,$O34,$I$8:$I$55)</f>
        <v>2</v>
      </c>
      <c r="Q34" s="399">
        <f>SUMIF($D$8:$D$55,$O34,$I$8:$I$55)+SUMIF($F$8:$F$55,$O34,$G$8:$G$55)</f>
        <v>2</v>
      </c>
      <c r="R34" s="399">
        <f>P34-Q34</f>
        <v>0</v>
      </c>
      <c r="S34" s="400">
        <f>SUMIF($D$8:$D$55,$O34,$K$8:$K$55)+SUMIF($F$8:$F$55,$O34,$L$8:$L$55)</f>
        <v>4</v>
      </c>
      <c r="T34" s="445" t="s">
        <v>68</v>
      </c>
      <c r="U34" s="40"/>
      <c r="V34" s="40" t="str">
        <f>O34</f>
        <v>Ecuador</v>
      </c>
      <c r="W34" s="40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0"/>
        <v>0</v>
      </c>
      <c r="AH34" s="108">
        <f t="shared" si="1"/>
        <v>1</v>
      </c>
      <c r="AI34" s="108">
        <f t="shared" si="10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2</v>
      </c>
      <c r="H35" s="373" t="s">
        <v>9</v>
      </c>
      <c r="I35" s="441">
        <v>0</v>
      </c>
      <c r="J35" s="375">
        <f t="shared" si="5"/>
        <v>1</v>
      </c>
      <c r="K35" s="363">
        <f t="shared" si="6"/>
        <v>3</v>
      </c>
      <c r="L35" s="363">
        <f t="shared" si="7"/>
        <v>0</v>
      </c>
      <c r="M35" s="352"/>
      <c r="N35" s="352"/>
      <c r="O35" s="398" t="s">
        <v>27</v>
      </c>
      <c r="P35" s="399">
        <f>SUMIF($D$8:$D$55,$O35,$G$8:$G$55)+SUMIF($F$8:$F$55,$O35,$I$8:$I$55)</f>
        <v>5</v>
      </c>
      <c r="Q35" s="399">
        <f>SUMIF($D$8:$D$55,$O35,$I$8:$I$55)+SUMIF($F$8:$F$55,$O35,$G$8:$G$55)</f>
        <v>1</v>
      </c>
      <c r="R35" s="399">
        <f>P35-Q35</f>
        <v>4</v>
      </c>
      <c r="S35" s="400">
        <f>SUMIF($D$8:$D$55,$O35,$K$8:$K$55)+SUMIF($F$8:$F$55,$O35,$L$8:$L$55)</f>
        <v>9</v>
      </c>
      <c r="T35" s="445" t="s">
        <v>67</v>
      </c>
      <c r="U35" s="40"/>
      <c r="V35" s="40" t="str">
        <f>O35</f>
        <v>Frankrijk</v>
      </c>
      <c r="W35" s="40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0"/>
        <v>1</v>
      </c>
      <c r="AH35" s="108">
        <f t="shared" si="1"/>
        <v>0</v>
      </c>
      <c r="AI35" s="108">
        <f t="shared" si="10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1</v>
      </c>
      <c r="H36" s="379" t="s">
        <v>9</v>
      </c>
      <c r="I36" s="442">
        <v>0</v>
      </c>
      <c r="J36" s="381">
        <f t="shared" si="5"/>
        <v>1</v>
      </c>
      <c r="K36" s="363">
        <f t="shared" si="6"/>
        <v>3</v>
      </c>
      <c r="L36" s="363">
        <f t="shared" si="7"/>
        <v>0</v>
      </c>
      <c r="M36" s="352"/>
      <c r="N36" s="352"/>
      <c r="O36" s="401" t="s">
        <v>28</v>
      </c>
      <c r="P36" s="402">
        <f>SUMIF($D$8:$D$55,$O36,$G$8:$G$55)+SUMIF($F$8:$F$55,$O36,$I$8:$I$55)</f>
        <v>1</v>
      </c>
      <c r="Q36" s="402">
        <f>SUMIF($D$8:$D$55,$O36,$I$8:$I$55)+SUMIF($F$8:$F$55,$O36,$G$8:$G$55)</f>
        <v>4</v>
      </c>
      <c r="R36" s="402">
        <f>P36-Q36</f>
        <v>-3</v>
      </c>
      <c r="S36" s="403">
        <f>SUMIF($D$8:$D$55,$O36,$K$8:$K$55)+SUMIF($F$8:$F$55,$O36,$L$8:$L$55)</f>
        <v>1</v>
      </c>
      <c r="T36" s="446" t="s">
        <v>70</v>
      </c>
      <c r="U36" s="40"/>
      <c r="V36" s="40" t="str">
        <f>O36</f>
        <v>Honduras</v>
      </c>
      <c r="W36" s="40" t="s">
        <v>70</v>
      </c>
      <c r="Y36" s="109">
        <f t="shared" si="8"/>
        <v>10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10</v>
      </c>
      <c r="AG36" s="108">
        <f t="shared" si="0"/>
        <v>1</v>
      </c>
      <c r="AH36" s="108">
        <f t="shared" si="1"/>
        <v>1</v>
      </c>
      <c r="AI36" s="108">
        <f t="shared" si="10"/>
        <v>10</v>
      </c>
      <c r="AJ36" s="108">
        <f t="shared" si="2"/>
        <v>5</v>
      </c>
      <c r="AK36" s="108">
        <f t="shared" si="3"/>
        <v>0</v>
      </c>
      <c r="AL36" s="108">
        <f t="shared" si="4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2</v>
      </c>
      <c r="H37" s="367" t="s">
        <v>9</v>
      </c>
      <c r="I37" s="440">
        <v>1</v>
      </c>
      <c r="J37" s="369">
        <f t="shared" si="5"/>
        <v>1</v>
      </c>
      <c r="K37" s="363">
        <f t="shared" si="6"/>
        <v>3</v>
      </c>
      <c r="L37" s="363">
        <f t="shared" si="7"/>
        <v>0</v>
      </c>
      <c r="M37" s="352"/>
      <c r="N37" s="352"/>
      <c r="O37" s="392"/>
      <c r="P37" s="393"/>
      <c r="Q37" s="393"/>
      <c r="R37" s="393"/>
      <c r="S37" s="393"/>
      <c r="T37" s="393"/>
      <c r="U37" s="40"/>
      <c r="V37" s="40"/>
      <c r="W37" s="40"/>
      <c r="Y37" s="109">
        <f t="shared" si="8"/>
        <v>5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5</v>
      </c>
      <c r="AG37" s="108">
        <f t="shared" si="0"/>
        <v>0</v>
      </c>
      <c r="AH37" s="108">
        <f t="shared" si="1"/>
        <v>0</v>
      </c>
      <c r="AI37" s="108">
        <f t="shared" si="10"/>
        <v>0</v>
      </c>
      <c r="AJ37" s="108">
        <f t="shared" si="2"/>
        <v>5</v>
      </c>
      <c r="AK37" s="108">
        <f t="shared" si="3"/>
        <v>0</v>
      </c>
      <c r="AL37" s="108">
        <f t="shared" si="4"/>
        <v>0</v>
      </c>
      <c r="AN37" s="40"/>
      <c r="AO37" s="41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1</v>
      </c>
      <c r="H38" s="373" t="s">
        <v>9</v>
      </c>
      <c r="I38" s="441">
        <v>0</v>
      </c>
      <c r="J38" s="375">
        <f t="shared" si="5"/>
        <v>1</v>
      </c>
      <c r="K38" s="363">
        <f t="shared" si="6"/>
        <v>3</v>
      </c>
      <c r="L38" s="363">
        <f t="shared" si="7"/>
        <v>0</v>
      </c>
      <c r="M38" s="352"/>
      <c r="N38" s="352"/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40"/>
      <c r="V38" s="40"/>
      <c r="W38" s="40"/>
      <c r="Y38" s="109">
        <f t="shared" si="8"/>
        <v>0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0</v>
      </c>
      <c r="AG38" s="108">
        <f t="shared" si="0"/>
        <v>0</v>
      </c>
      <c r="AH38" s="108">
        <f t="shared" si="1"/>
        <v>0</v>
      </c>
      <c r="AI38" s="108">
        <f t="shared" si="10"/>
        <v>0</v>
      </c>
      <c r="AJ38" s="108">
        <f t="shared" si="2"/>
        <v>0</v>
      </c>
      <c r="AK38" s="108">
        <f t="shared" si="3"/>
        <v>0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1</v>
      </c>
      <c r="H39" s="379" t="s">
        <v>9</v>
      </c>
      <c r="I39" s="442">
        <v>3</v>
      </c>
      <c r="J39" s="381">
        <f t="shared" si="5"/>
        <v>2</v>
      </c>
      <c r="K39" s="363">
        <f t="shared" si="6"/>
        <v>0</v>
      </c>
      <c r="L39" s="363">
        <f t="shared" si="7"/>
        <v>3</v>
      </c>
      <c r="M39" s="352"/>
      <c r="N39" s="352"/>
      <c r="O39" s="394" t="s">
        <v>29</v>
      </c>
      <c r="P39" s="395">
        <f>SUMIF($D$8:$D$55,$O39,$G$8:$G$55)+SUMIF($F$8:$F$55,$O39,$I$8:$I$55)</f>
        <v>9</v>
      </c>
      <c r="Q39" s="395">
        <f>SUMIF($D$8:$D$55,$O39,$I$8:$I$55)+SUMIF($F$8:$F$55,$O39,$G$8:$G$55)</f>
        <v>2</v>
      </c>
      <c r="R39" s="396">
        <f>P39-Q39</f>
        <v>7</v>
      </c>
      <c r="S39" s="397">
        <f>SUMIF($D$8:$D$55,$O39,$K$8:$K$55)+SUMIF($F$8:$F$55,$O39,$L$8:$L$55)</f>
        <v>9</v>
      </c>
      <c r="T39" s="444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0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0</v>
      </c>
      <c r="AG39" s="108">
        <f t="shared" si="0"/>
        <v>0</v>
      </c>
      <c r="AH39" s="108">
        <f t="shared" si="1"/>
        <v>0</v>
      </c>
      <c r="AI39" s="108">
        <f t="shared" si="10"/>
        <v>0</v>
      </c>
      <c r="AJ39" s="108">
        <f t="shared" si="2"/>
        <v>0</v>
      </c>
      <c r="AK39" s="108">
        <f t="shared" si="3"/>
        <v>0</v>
      </c>
      <c r="AL39" s="108">
        <f t="shared" si="4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0</v>
      </c>
      <c r="H40" s="367" t="s">
        <v>9</v>
      </c>
      <c r="I40" s="440">
        <v>2</v>
      </c>
      <c r="J40" s="369">
        <f t="shared" si="5"/>
        <v>2</v>
      </c>
      <c r="K40" s="363">
        <f t="shared" si="6"/>
        <v>0</v>
      </c>
      <c r="L40" s="363">
        <f t="shared" si="7"/>
        <v>3</v>
      </c>
      <c r="M40" s="352"/>
      <c r="N40" s="352"/>
      <c r="O40" s="398" t="s">
        <v>30</v>
      </c>
      <c r="P40" s="399">
        <f>SUMIF($D$8:$D$55,$O40,$G$8:$G$55)+SUMIF($F$8:$F$55,$O40,$I$8:$I$55)</f>
        <v>2</v>
      </c>
      <c r="Q40" s="399">
        <f>SUMIF($D$8:$D$55,$O40,$I$8:$I$55)+SUMIF($F$8:$F$55,$O40,$G$8:$G$55)</f>
        <v>6</v>
      </c>
      <c r="R40" s="399">
        <f>P40-Q40</f>
        <v>-4</v>
      </c>
      <c r="S40" s="400">
        <f>SUMIF($D$8:$D$55,$O40,$K$8:$K$55)+SUMIF($F$8:$F$55,$O40,$L$8:$L$55)</f>
        <v>1</v>
      </c>
      <c r="T40" s="445" t="s">
        <v>74</v>
      </c>
      <c r="U40" s="40"/>
      <c r="V40" s="40" t="str">
        <f>O40</f>
        <v>Bosnië H.</v>
      </c>
      <c r="W40" s="40" t="s">
        <v>73</v>
      </c>
      <c r="Y40" s="109">
        <f t="shared" si="8"/>
        <v>6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6</v>
      </c>
      <c r="AG40" s="108">
        <f t="shared" si="0"/>
        <v>1</v>
      </c>
      <c r="AH40" s="108">
        <f t="shared" si="1"/>
        <v>0</v>
      </c>
      <c r="AI40" s="108">
        <f t="shared" si="10"/>
        <v>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1</v>
      </c>
      <c r="H41" s="373" t="s">
        <v>9</v>
      </c>
      <c r="I41" s="441">
        <v>1</v>
      </c>
      <c r="J41" s="375">
        <f t="shared" si="5"/>
        <v>3</v>
      </c>
      <c r="K41" s="363">
        <f t="shared" si="6"/>
        <v>1</v>
      </c>
      <c r="L41" s="363">
        <f t="shared" si="7"/>
        <v>1</v>
      </c>
      <c r="M41" s="352"/>
      <c r="N41" s="352"/>
      <c r="O41" s="398" t="s">
        <v>33</v>
      </c>
      <c r="P41" s="399">
        <f>SUMIF($D$8:$D$55,$O41,$G$8:$G$55)+SUMIF($F$8:$F$55,$O41,$I$8:$I$55)</f>
        <v>1</v>
      </c>
      <c r="Q41" s="399">
        <f>SUMIF($D$8:$D$55,$O41,$I$8:$I$55)+SUMIF($F$8:$F$55,$O41,$G$8:$G$55)</f>
        <v>6</v>
      </c>
      <c r="R41" s="399">
        <f>P41-Q41</f>
        <v>-5</v>
      </c>
      <c r="S41" s="400">
        <f>SUMIF($D$8:$D$55,$O41,$K$8:$K$55)+SUMIF($F$8:$F$55,$O41,$L$8:$L$55)</f>
        <v>1</v>
      </c>
      <c r="T41" s="445" t="s">
        <v>75</v>
      </c>
      <c r="U41" s="40"/>
      <c r="V41" s="40" t="str">
        <f>O41</f>
        <v>Iran</v>
      </c>
      <c r="W41" s="40" t="s">
        <v>74</v>
      </c>
      <c r="Y41" s="109">
        <f t="shared" si="8"/>
        <v>0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0</v>
      </c>
      <c r="AG41" s="108">
        <f t="shared" si="0"/>
        <v>0</v>
      </c>
      <c r="AH41" s="108">
        <f t="shared" si="1"/>
        <v>0</v>
      </c>
      <c r="AI41" s="108">
        <f t="shared" si="10"/>
        <v>0</v>
      </c>
      <c r="AJ41" s="108">
        <f t="shared" si="2"/>
        <v>0</v>
      </c>
      <c r="AK41" s="108">
        <f t="shared" si="3"/>
        <v>0</v>
      </c>
      <c r="AL41" s="108">
        <f t="shared" si="4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0</v>
      </c>
      <c r="H42" s="373" t="s">
        <v>9</v>
      </c>
      <c r="I42" s="441">
        <v>2</v>
      </c>
      <c r="J42" s="375">
        <f t="shared" si="5"/>
        <v>2</v>
      </c>
      <c r="K42" s="363">
        <f t="shared" si="6"/>
        <v>0</v>
      </c>
      <c r="L42" s="363">
        <f t="shared" si="7"/>
        <v>3</v>
      </c>
      <c r="M42" s="352"/>
      <c r="N42" s="352"/>
      <c r="O42" s="401" t="s">
        <v>34</v>
      </c>
      <c r="P42" s="402">
        <f>SUMIF($D$8:$D$55,$O42,$G$8:$G$55)+SUMIF($F$8:$F$55,$O42,$I$8:$I$55)</f>
        <v>4</v>
      </c>
      <c r="Q42" s="402">
        <f>SUMIF($D$8:$D$55,$O42,$I$8:$I$55)+SUMIF($F$8:$F$55,$O42,$G$8:$G$55)</f>
        <v>2</v>
      </c>
      <c r="R42" s="402">
        <f>P42-Q42</f>
        <v>2</v>
      </c>
      <c r="S42" s="403">
        <f>SUMIF($D$8:$D$55,$O42,$K$8:$K$55)+SUMIF($F$8:$F$55,$O42,$L$8:$L$55)</f>
        <v>6</v>
      </c>
      <c r="T42" s="446" t="s">
        <v>73</v>
      </c>
      <c r="U42" s="40"/>
      <c r="V42" s="40" t="str">
        <f>O42</f>
        <v>Nigeria</v>
      </c>
      <c r="W42" s="40" t="s">
        <v>75</v>
      </c>
      <c r="Y42" s="109">
        <f t="shared" si="8"/>
        <v>5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5</v>
      </c>
      <c r="AG42" s="108">
        <f t="shared" si="0"/>
        <v>0</v>
      </c>
      <c r="AH42" s="108">
        <f t="shared" si="1"/>
        <v>0</v>
      </c>
      <c r="AI42" s="108">
        <f t="shared" si="10"/>
        <v>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1</v>
      </c>
      <c r="H43" s="379" t="s">
        <v>9</v>
      </c>
      <c r="I43" s="442">
        <v>3</v>
      </c>
      <c r="J43" s="381">
        <f t="shared" si="5"/>
        <v>2</v>
      </c>
      <c r="K43" s="363">
        <f t="shared" si="6"/>
        <v>0</v>
      </c>
      <c r="L43" s="363">
        <f t="shared" si="7"/>
        <v>3</v>
      </c>
      <c r="M43" s="352"/>
      <c r="N43" s="352"/>
      <c r="O43" s="392"/>
      <c r="P43" s="393"/>
      <c r="Q43" s="393"/>
      <c r="R43" s="393"/>
      <c r="S43" s="393"/>
      <c r="T43" s="393"/>
      <c r="U43" s="40"/>
      <c r="V43" s="40"/>
      <c r="W43" s="40"/>
      <c r="Y43" s="109">
        <f t="shared" si="8"/>
        <v>10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10</v>
      </c>
      <c r="AG43" s="108">
        <f t="shared" si="0"/>
        <v>1</v>
      </c>
      <c r="AH43" s="108">
        <f t="shared" si="1"/>
        <v>1</v>
      </c>
      <c r="AI43" s="108">
        <f t="shared" si="10"/>
        <v>10</v>
      </c>
      <c r="AJ43" s="108">
        <f t="shared" si="2"/>
        <v>0</v>
      </c>
      <c r="AK43" s="108">
        <f t="shared" si="3"/>
        <v>5</v>
      </c>
      <c r="AL43" s="108">
        <f t="shared" si="4"/>
        <v>0</v>
      </c>
      <c r="AN43" s="40"/>
      <c r="AO43" s="41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0</v>
      </c>
      <c r="H44" s="367" t="s">
        <v>9</v>
      </c>
      <c r="I44" s="440">
        <v>2</v>
      </c>
      <c r="J44" s="369">
        <f t="shared" si="5"/>
        <v>2</v>
      </c>
      <c r="K44" s="363">
        <f t="shared" si="6"/>
        <v>0</v>
      </c>
      <c r="L44" s="363">
        <f t="shared" si="7"/>
        <v>3</v>
      </c>
      <c r="M44" s="352"/>
      <c r="N44" s="352"/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40"/>
      <c r="V44" s="40"/>
      <c r="W44" s="40"/>
      <c r="Y44" s="109">
        <f t="shared" si="8"/>
        <v>6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6</v>
      </c>
      <c r="AG44" s="108">
        <f t="shared" si="0"/>
        <v>1</v>
      </c>
      <c r="AH44" s="108">
        <f t="shared" si="1"/>
        <v>0</v>
      </c>
      <c r="AI44" s="108">
        <f t="shared" si="10"/>
        <v>0</v>
      </c>
      <c r="AJ44" s="108">
        <f t="shared" si="2"/>
        <v>0</v>
      </c>
      <c r="AK44" s="108">
        <f t="shared" si="3"/>
        <v>5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1</v>
      </c>
      <c r="H45" s="373" t="s">
        <v>9</v>
      </c>
      <c r="I45" s="441">
        <v>2</v>
      </c>
      <c r="J45" s="375">
        <f t="shared" si="5"/>
        <v>2</v>
      </c>
      <c r="K45" s="363">
        <f t="shared" si="6"/>
        <v>0</v>
      </c>
      <c r="L45" s="363">
        <f t="shared" si="7"/>
        <v>3</v>
      </c>
      <c r="M45" s="352"/>
      <c r="N45" s="352"/>
      <c r="O45" s="394" t="s">
        <v>31</v>
      </c>
      <c r="P45" s="395">
        <f>SUMIF($D$8:$D$55,$O45,$G$8:$G$55)+SUMIF($F$8:$F$55,$O45,$I$8:$I$55)</f>
        <v>7</v>
      </c>
      <c r="Q45" s="395">
        <f>SUMIF($D$8:$D$55,$O45,$I$8:$I$55)+SUMIF($F$8:$F$55,$O45,$G$8:$G$55)</f>
        <v>2</v>
      </c>
      <c r="R45" s="396">
        <f>P45-Q45</f>
        <v>5</v>
      </c>
      <c r="S45" s="397">
        <f>SUMIF($D$8:$D$55,$O45,$K$8:$K$55)+SUMIF($F$8:$F$55,$O45,$L$8:$L$55)</f>
        <v>9</v>
      </c>
      <c r="T45" s="444" t="s">
        <v>77</v>
      </c>
      <c r="U45" s="40"/>
      <c r="V45" s="40" t="str">
        <f>O45</f>
        <v>Duitsland</v>
      </c>
      <c r="W45" s="40" t="s">
        <v>77</v>
      </c>
      <c r="Y45" s="109">
        <f t="shared" si="8"/>
        <v>0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0</v>
      </c>
      <c r="AG45" s="108">
        <f t="shared" si="0"/>
        <v>0</v>
      </c>
      <c r="AH45" s="108">
        <f t="shared" si="1"/>
        <v>0</v>
      </c>
      <c r="AI45" s="108">
        <f t="shared" si="10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0</v>
      </c>
      <c r="H46" s="373" t="s">
        <v>9</v>
      </c>
      <c r="I46" s="441">
        <v>1</v>
      </c>
      <c r="J46" s="375">
        <f t="shared" si="5"/>
        <v>2</v>
      </c>
      <c r="K46" s="363">
        <f t="shared" si="6"/>
        <v>0</v>
      </c>
      <c r="L46" s="363">
        <f t="shared" si="7"/>
        <v>3</v>
      </c>
      <c r="M46" s="352"/>
      <c r="N46" s="352"/>
      <c r="O46" s="398" t="s">
        <v>32</v>
      </c>
      <c r="P46" s="399">
        <f>SUMIF($D$8:$D$55,$O46,$G$8:$G$55)+SUMIF($F$8:$F$55,$O46,$I$8:$I$55)</f>
        <v>6</v>
      </c>
      <c r="Q46" s="399">
        <f>SUMIF($D$8:$D$55,$O46,$I$8:$I$55)+SUMIF($F$8:$F$55,$O46,$G$8:$G$55)</f>
        <v>3</v>
      </c>
      <c r="R46" s="399">
        <f>P46-Q46</f>
        <v>3</v>
      </c>
      <c r="S46" s="400">
        <f>SUMIF($D$8:$D$55,$O46,$K$8:$K$55)+SUMIF($F$8:$F$55,$O46,$L$8:$L$55)</f>
        <v>6</v>
      </c>
      <c r="T46" s="445" t="s">
        <v>78</v>
      </c>
      <c r="U46" s="40"/>
      <c r="V46" s="40" t="str">
        <f>O46</f>
        <v>Portugal</v>
      </c>
      <c r="W46" s="40" t="s">
        <v>78</v>
      </c>
      <c r="Y46" s="109">
        <f t="shared" si="8"/>
        <v>5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5</v>
      </c>
      <c r="AG46" s="108">
        <f t="shared" si="0"/>
        <v>0</v>
      </c>
      <c r="AH46" s="108">
        <f t="shared" si="1"/>
        <v>0</v>
      </c>
      <c r="AI46" s="108">
        <f t="shared" si="10"/>
        <v>0</v>
      </c>
      <c r="AJ46" s="108">
        <f t="shared" si="2"/>
        <v>0</v>
      </c>
      <c r="AK46" s="108">
        <f t="shared" si="3"/>
        <v>5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2</v>
      </c>
      <c r="H47" s="379" t="s">
        <v>9</v>
      </c>
      <c r="I47" s="442">
        <v>2</v>
      </c>
      <c r="J47" s="381">
        <f t="shared" si="5"/>
        <v>3</v>
      </c>
      <c r="K47" s="363">
        <f t="shared" si="6"/>
        <v>1</v>
      </c>
      <c r="L47" s="363">
        <f t="shared" si="7"/>
        <v>1</v>
      </c>
      <c r="M47" s="352"/>
      <c r="N47" s="352"/>
      <c r="O47" s="398" t="s">
        <v>35</v>
      </c>
      <c r="P47" s="399">
        <f>SUMIF($D$8:$D$55,$O47,$G$8:$G$55)+SUMIF($F$8:$F$55,$O47,$I$8:$I$55)</f>
        <v>2</v>
      </c>
      <c r="Q47" s="399">
        <f>SUMIF($D$8:$D$55,$O47,$I$8:$I$55)+SUMIF($F$8:$F$55,$O47,$G$8:$G$55)</f>
        <v>6</v>
      </c>
      <c r="R47" s="399">
        <f>P47-Q47</f>
        <v>-4</v>
      </c>
      <c r="S47" s="400">
        <f>SUMIF($D$8:$D$55,$O47,$K$8:$K$55)+SUMIF($F$8:$F$55,$O47,$L$8:$L$55)</f>
        <v>1</v>
      </c>
      <c r="T47" s="445" t="s">
        <v>79</v>
      </c>
      <c r="U47" s="40"/>
      <c r="V47" s="40" t="str">
        <f>O47</f>
        <v>Ghana</v>
      </c>
      <c r="W47" s="40" t="s">
        <v>79</v>
      </c>
      <c r="Y47" s="109">
        <f t="shared" si="8"/>
        <v>1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1</v>
      </c>
      <c r="AG47" s="108">
        <f t="shared" si="0"/>
        <v>1</v>
      </c>
      <c r="AH47" s="108">
        <f t="shared" si="1"/>
        <v>0</v>
      </c>
      <c r="AI47" s="108">
        <f t="shared" si="10"/>
        <v>0</v>
      </c>
      <c r="AJ47" s="108">
        <f t="shared" si="2"/>
        <v>0</v>
      </c>
      <c r="AK47" s="108">
        <f t="shared" si="3"/>
        <v>0</v>
      </c>
      <c r="AL47" s="108">
        <f t="shared" si="4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1</v>
      </c>
      <c r="H48" s="367" t="s">
        <v>9</v>
      </c>
      <c r="I48" s="440">
        <v>2</v>
      </c>
      <c r="J48" s="369">
        <f t="shared" si="5"/>
        <v>2</v>
      </c>
      <c r="K48" s="363">
        <f t="shared" si="6"/>
        <v>0</v>
      </c>
      <c r="L48" s="363">
        <f t="shared" si="7"/>
        <v>3</v>
      </c>
      <c r="M48" s="352"/>
      <c r="N48" s="352"/>
      <c r="O48" s="401" t="s">
        <v>36</v>
      </c>
      <c r="P48" s="402">
        <f>SUMIF($D$8:$D$55,$O48,$G$8:$G$55)+SUMIF($F$8:$F$55,$O48,$I$8:$I$55)</f>
        <v>4</v>
      </c>
      <c r="Q48" s="402">
        <f>SUMIF($D$8:$D$55,$O48,$I$8:$I$55)+SUMIF($F$8:$F$55,$O48,$G$8:$G$55)</f>
        <v>8</v>
      </c>
      <c r="R48" s="402">
        <f>P48-Q48</f>
        <v>-4</v>
      </c>
      <c r="S48" s="403">
        <f>SUMIF($D$8:$D$55,$O48,$K$8:$K$55)+SUMIF($F$8:$F$55,$O48,$L$8:$L$55)</f>
        <v>1</v>
      </c>
      <c r="T48" s="446" t="s">
        <v>80</v>
      </c>
      <c r="U48" s="40"/>
      <c r="V48" s="40" t="str">
        <f>O48</f>
        <v>Verenigde Staten</v>
      </c>
      <c r="W48" s="40" t="s">
        <v>80</v>
      </c>
      <c r="Y48" s="109">
        <f t="shared" si="8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5</v>
      </c>
      <c r="AG48" s="108">
        <f t="shared" si="0"/>
        <v>0</v>
      </c>
      <c r="AH48" s="108">
        <f t="shared" si="1"/>
        <v>0</v>
      </c>
      <c r="AI48" s="108">
        <f t="shared" si="10"/>
        <v>0</v>
      </c>
      <c r="AJ48" s="108">
        <f t="shared" si="2"/>
        <v>0</v>
      </c>
      <c r="AK48" s="108">
        <f t="shared" si="3"/>
        <v>5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1</v>
      </c>
      <c r="H49" s="373" t="s">
        <v>9</v>
      </c>
      <c r="I49" s="441">
        <v>1</v>
      </c>
      <c r="J49" s="375">
        <f t="shared" si="5"/>
        <v>3</v>
      </c>
      <c r="K49" s="363">
        <f t="shared" si="6"/>
        <v>1</v>
      </c>
      <c r="L49" s="363">
        <f t="shared" si="7"/>
        <v>1</v>
      </c>
      <c r="M49" s="352"/>
      <c r="N49" s="352"/>
      <c r="O49" s="392"/>
      <c r="P49" s="393"/>
      <c r="Q49" s="393"/>
      <c r="R49" s="393"/>
      <c r="S49" s="393"/>
      <c r="T49" s="393"/>
      <c r="U49" s="40"/>
      <c r="V49" s="40"/>
      <c r="W49" s="40"/>
      <c r="Y49" s="109">
        <f t="shared" si="8"/>
        <v>1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1</v>
      </c>
      <c r="AG49" s="108">
        <f t="shared" si="0"/>
        <v>0</v>
      </c>
      <c r="AH49" s="108">
        <f t="shared" si="1"/>
        <v>1</v>
      </c>
      <c r="AI49" s="108">
        <f t="shared" si="10"/>
        <v>0</v>
      </c>
      <c r="AJ49" s="108">
        <f t="shared" si="2"/>
        <v>0</v>
      </c>
      <c r="AK49" s="108">
        <f t="shared" si="3"/>
        <v>0</v>
      </c>
      <c r="AL49" s="108">
        <f t="shared" si="4"/>
        <v>0</v>
      </c>
      <c r="AN49" s="40"/>
      <c r="AO49" s="41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0</v>
      </c>
      <c r="H50" s="373" t="s">
        <v>9</v>
      </c>
      <c r="I50" s="441">
        <v>1</v>
      </c>
      <c r="J50" s="375">
        <f t="shared" si="5"/>
        <v>2</v>
      </c>
      <c r="K50" s="363">
        <f t="shared" si="6"/>
        <v>0</v>
      </c>
      <c r="L50" s="363">
        <f t="shared" si="7"/>
        <v>3</v>
      </c>
      <c r="M50" s="352"/>
      <c r="N50" s="352"/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40"/>
      <c r="V50" s="40"/>
      <c r="W50" s="40"/>
      <c r="Y50" s="109">
        <f t="shared" si="8"/>
        <v>6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6</v>
      </c>
      <c r="AG50" s="108">
        <f t="shared" si="0"/>
        <v>1</v>
      </c>
      <c r="AH50" s="108">
        <f t="shared" si="1"/>
        <v>0</v>
      </c>
      <c r="AI50" s="108">
        <f t="shared" si="10"/>
        <v>0</v>
      </c>
      <c r="AJ50" s="108">
        <f t="shared" si="2"/>
        <v>0</v>
      </c>
      <c r="AK50" s="108">
        <f t="shared" si="3"/>
        <v>5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0</v>
      </c>
      <c r="H51" s="379" t="s">
        <v>9</v>
      </c>
      <c r="I51" s="442">
        <v>1</v>
      </c>
      <c r="J51" s="381">
        <f t="shared" si="5"/>
        <v>2</v>
      </c>
      <c r="K51" s="363">
        <f t="shared" si="6"/>
        <v>0</v>
      </c>
      <c r="L51" s="363">
        <f>IF(I51="","",IF($G51&lt;$I51,3,IF($G51=$I51,1,0)))</f>
        <v>3</v>
      </c>
      <c r="M51" s="352"/>
      <c r="N51" s="352"/>
      <c r="O51" s="394" t="s">
        <v>37</v>
      </c>
      <c r="P51" s="395">
        <f>SUMIF($D$8:$D$55,$O51,$G$8:$G$55)+SUMIF($F$8:$F$55,$O51,$I$8:$I$55)</f>
        <v>6</v>
      </c>
      <c r="Q51" s="395">
        <f>SUMIF($D$8:$D$55,$O51,$I$8:$I$55)+SUMIF($F$8:$F$55,$O51,$G$8:$G$55)</f>
        <v>2</v>
      </c>
      <c r="R51" s="396">
        <f>P51-Q51</f>
        <v>4</v>
      </c>
      <c r="S51" s="397">
        <f>SUMIF($D$8:$D$55,$O51,$K$8:$K$55)+SUMIF($F$8:$F$55,$O51,$L$8:$L$55)</f>
        <v>9</v>
      </c>
      <c r="T51" s="444" t="s">
        <v>82</v>
      </c>
      <c r="U51" s="40"/>
      <c r="V51" s="40" t="str">
        <f>O51</f>
        <v>België</v>
      </c>
      <c r="W51" s="40" t="s">
        <v>82</v>
      </c>
      <c r="Y51" s="109">
        <f t="shared" si="8"/>
        <v>1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1</v>
      </c>
      <c r="AG51" s="108">
        <f t="shared" si="0"/>
        <v>1</v>
      </c>
      <c r="AH51" s="108">
        <f t="shared" si="1"/>
        <v>0</v>
      </c>
      <c r="AI51" s="108">
        <f t="shared" si="10"/>
        <v>0</v>
      </c>
      <c r="AJ51" s="108">
        <f t="shared" si="2"/>
        <v>0</v>
      </c>
      <c r="AK51" s="108">
        <f t="shared" si="3"/>
        <v>0</v>
      </c>
      <c r="AL51" s="108">
        <f t="shared" si="4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1</v>
      </c>
      <c r="H52" s="373" t="s">
        <v>9</v>
      </c>
      <c r="I52" s="441">
        <v>3</v>
      </c>
      <c r="J52" s="369">
        <f t="shared" si="5"/>
        <v>2</v>
      </c>
      <c r="K52" s="363">
        <f t="shared" si="6"/>
        <v>0</v>
      </c>
      <c r="L52" s="363">
        <f t="shared" si="7"/>
        <v>3</v>
      </c>
      <c r="M52" s="352"/>
      <c r="N52" s="352"/>
      <c r="O52" s="398" t="s">
        <v>38</v>
      </c>
      <c r="P52" s="399">
        <f>SUMIF($D$8:$D$55,$O52,$G$8:$G$55)+SUMIF($F$8:$F$55,$O52,$I$8:$I$55)</f>
        <v>0</v>
      </c>
      <c r="Q52" s="399">
        <f>SUMIF($D$8:$D$55,$O52,$I$8:$I$55)+SUMIF($F$8:$F$55,$O52,$G$8:$G$55)</f>
        <v>5</v>
      </c>
      <c r="R52" s="399">
        <f>P52-Q52</f>
        <v>-5</v>
      </c>
      <c r="S52" s="400">
        <f>SUMIF($D$8:$D$55,$O52,$K$8:$K$55)+SUMIF($F$8:$F$55,$O52,$L$8:$L$55)</f>
        <v>0</v>
      </c>
      <c r="T52" s="445" t="s">
        <v>85</v>
      </c>
      <c r="U52" s="40"/>
      <c r="V52" s="40" t="str">
        <f>O52</f>
        <v>Algerije</v>
      </c>
      <c r="W52" s="40" t="s">
        <v>83</v>
      </c>
      <c r="Y52" s="109">
        <f t="shared" si="8"/>
        <v>5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5</v>
      </c>
      <c r="AG52" s="108">
        <f t="shared" si="0"/>
        <v>0</v>
      </c>
      <c r="AH52" s="108">
        <f t="shared" si="1"/>
        <v>0</v>
      </c>
      <c r="AI52" s="108">
        <f t="shared" si="10"/>
        <v>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2</v>
      </c>
      <c r="H53" s="373" t="s">
        <v>9</v>
      </c>
      <c r="I53" s="441">
        <v>0</v>
      </c>
      <c r="J53" s="375">
        <f t="shared" si="5"/>
        <v>1</v>
      </c>
      <c r="K53" s="363">
        <f t="shared" si="6"/>
        <v>3</v>
      </c>
      <c r="L53" s="363">
        <f t="shared" si="7"/>
        <v>0</v>
      </c>
      <c r="M53" s="352"/>
      <c r="N53" s="352"/>
      <c r="O53" s="398" t="s">
        <v>39</v>
      </c>
      <c r="P53" s="399">
        <f>SUMIF($D$8:$D$55,$O53,$G$8:$G$55)+SUMIF($F$8:$F$55,$O53,$I$8:$I$55)</f>
        <v>4</v>
      </c>
      <c r="Q53" s="399">
        <f>SUMIF($D$8:$D$55,$O53,$I$8:$I$55)+SUMIF($F$8:$F$55,$O53,$G$8:$G$55)</f>
        <v>3</v>
      </c>
      <c r="R53" s="399">
        <f>P53-Q53</f>
        <v>1</v>
      </c>
      <c r="S53" s="400">
        <f>SUMIF($D$8:$D$55,$O53,$K$8:$K$55)+SUMIF($F$8:$F$55,$O53,$L$8:$L$55)</f>
        <v>4</v>
      </c>
      <c r="T53" s="445" t="s">
        <v>83</v>
      </c>
      <c r="U53" s="40"/>
      <c r="V53" s="40" t="str">
        <f>O53</f>
        <v>Rusland</v>
      </c>
      <c r="W53" s="40" t="s">
        <v>84</v>
      </c>
      <c r="Y53" s="109">
        <f t="shared" si="8"/>
        <v>6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6</v>
      </c>
      <c r="AG53" s="108">
        <f t="shared" si="0"/>
        <v>1</v>
      </c>
      <c r="AH53" s="108">
        <f t="shared" si="1"/>
        <v>0</v>
      </c>
      <c r="AI53" s="108">
        <f t="shared" si="10"/>
        <v>0</v>
      </c>
      <c r="AJ53" s="108">
        <f t="shared" si="2"/>
        <v>5</v>
      </c>
      <c r="AK53" s="108">
        <f t="shared" si="3"/>
        <v>0</v>
      </c>
      <c r="AL53" s="108">
        <f t="shared" si="4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1</v>
      </c>
      <c r="H54" s="373" t="s">
        <v>9</v>
      </c>
      <c r="I54" s="441">
        <v>2</v>
      </c>
      <c r="J54" s="375">
        <f t="shared" si="5"/>
        <v>2</v>
      </c>
      <c r="K54" s="363">
        <f t="shared" si="6"/>
        <v>0</v>
      </c>
      <c r="L54" s="363">
        <f t="shared" si="7"/>
        <v>3</v>
      </c>
      <c r="M54" s="352"/>
      <c r="N54" s="352"/>
      <c r="O54" s="401" t="s">
        <v>40</v>
      </c>
      <c r="P54" s="402">
        <f>SUMIF($D$8:$D$55,$O54,$G$8:$G$55)+SUMIF($F$8:$F$55,$O54,$I$8:$I$55)</f>
        <v>3</v>
      </c>
      <c r="Q54" s="402">
        <f>SUMIF($D$8:$D$55,$O54,$I$8:$I$55)+SUMIF($F$8:$F$55,$O54,$G$8:$G$55)</f>
        <v>3</v>
      </c>
      <c r="R54" s="402">
        <f>P54-Q54</f>
        <v>0</v>
      </c>
      <c r="S54" s="403">
        <f>SUMIF($D$8:$D$55,$O54,$K$8:$K$55)+SUMIF($F$8:$F$55,$O54,$L$8:$L$55)</f>
        <v>4</v>
      </c>
      <c r="T54" s="446" t="s">
        <v>84</v>
      </c>
      <c r="U54" s="40"/>
      <c r="V54" s="40" t="str">
        <f>O54</f>
        <v>Zuid Korea</v>
      </c>
      <c r="W54" s="40" t="s">
        <v>85</v>
      </c>
      <c r="Y54" s="109">
        <f t="shared" si="8"/>
        <v>5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5</v>
      </c>
      <c r="AG54" s="108">
        <f t="shared" si="0"/>
        <v>0</v>
      </c>
      <c r="AH54" s="108">
        <f t="shared" si="1"/>
        <v>0</v>
      </c>
      <c r="AI54" s="108">
        <f t="shared" si="10"/>
        <v>0</v>
      </c>
      <c r="AJ54" s="108">
        <f t="shared" si="2"/>
        <v>0</v>
      </c>
      <c r="AK54" s="108">
        <f t="shared" si="3"/>
        <v>5</v>
      </c>
      <c r="AL54" s="108">
        <f t="shared" si="4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0</v>
      </c>
      <c r="H55" s="388" t="s">
        <v>9</v>
      </c>
      <c r="I55" s="443">
        <v>2</v>
      </c>
      <c r="J55" s="390">
        <f t="shared" si="5"/>
        <v>2</v>
      </c>
      <c r="K55" s="363">
        <f t="shared" si="6"/>
        <v>0</v>
      </c>
      <c r="L55" s="363">
        <f t="shared" si="7"/>
        <v>3</v>
      </c>
      <c r="M55" s="352"/>
      <c r="N55" s="352"/>
      <c r="O55" s="392"/>
      <c r="P55" s="393"/>
      <c r="Q55" s="393"/>
      <c r="R55" s="393"/>
      <c r="S55" s="393"/>
      <c r="T55" s="393"/>
      <c r="U55" s="40"/>
      <c r="V55" s="40"/>
      <c r="W55" s="40"/>
      <c r="Y55" s="109">
        <f t="shared" si="8"/>
        <v>0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0</v>
      </c>
      <c r="AG55" s="108">
        <f t="shared" si="0"/>
        <v>0</v>
      </c>
      <c r="AH55" s="108">
        <f t="shared" si="1"/>
        <v>0</v>
      </c>
      <c r="AI55" s="108">
        <f t="shared" si="10"/>
        <v>0</v>
      </c>
      <c r="AJ55" s="108">
        <f t="shared" si="2"/>
        <v>0</v>
      </c>
      <c r="AK55" s="108">
        <f t="shared" si="3"/>
        <v>0</v>
      </c>
      <c r="AL55" s="108">
        <f t="shared" si="4"/>
        <v>0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N56" s="352"/>
      <c r="O56" s="352"/>
      <c r="P56" s="352"/>
      <c r="Q56" s="352"/>
      <c r="R56" s="352"/>
      <c r="S56" s="352"/>
      <c r="T56" s="352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27"/>
      <c r="K57" s="353"/>
      <c r="L57" s="353"/>
      <c r="M57" s="353"/>
      <c r="N57" s="352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32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N58" s="352"/>
      <c r="O58" s="458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>IF(ISERROR(Z59),K59,Z59)</f>
        <v>Brazilië</v>
      </c>
      <c r="E59" s="367" t="s">
        <v>9</v>
      </c>
      <c r="F59" s="406" t="str">
        <f>IF(ISERROR(AA59),L59,AA59)</f>
        <v>Nederland</v>
      </c>
      <c r="G59" s="435">
        <v>3</v>
      </c>
      <c r="H59" s="367" t="s">
        <v>9</v>
      </c>
      <c r="I59" s="447">
        <v>1</v>
      </c>
      <c r="J59" s="448">
        <v>1</v>
      </c>
      <c r="K59" s="407" t="s">
        <v>48</v>
      </c>
      <c r="L59" s="407" t="s">
        <v>53</v>
      </c>
      <c r="M59" s="407">
        <v>1</v>
      </c>
      <c r="N59" s="352"/>
      <c r="O59" s="458">
        <v>2</v>
      </c>
      <c r="P59" s="877" t="s">
        <v>220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3">AF59</f>
        <v>1</v>
      </c>
      <c r="Z59" t="str">
        <f t="shared" ref="Z59:AA65" si="14">IF(K59=""," ",VLOOKUP(K59,$T$9:$V$54,3,FALSE))</f>
        <v>Brazilië</v>
      </c>
      <c r="AA59" t="str">
        <f t="shared" si="14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1</v>
      </c>
      <c r="AG59" s="108">
        <f t="shared" ref="AG59:AG66" si="16">IF(AC59="",0,(IF(G59=AC59,1,0)))</f>
        <v>0</v>
      </c>
      <c r="AH59" s="108">
        <f t="shared" ref="AH59:AH66" si="17">IF(AD59="",0,(IF(I59=AD59,1,0)))</f>
        <v>1</v>
      </c>
      <c r="AI59" s="108">
        <f t="shared" ref="AI59:AI66" si="18">IF(AND(AG59=1,AH59=1),10,0)</f>
        <v>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376">
        <v>50</v>
      </c>
      <c r="C60" s="466">
        <v>41818</v>
      </c>
      <c r="D60" s="460" t="str">
        <f t="shared" ref="D60:D66" si="23">IF(ISERROR(Z60),K60,Z60)</f>
        <v>Colombia</v>
      </c>
      <c r="E60" s="379" t="s">
        <v>9</v>
      </c>
      <c r="F60" s="409" t="str">
        <f t="shared" ref="F60:F66" si="24">IF(ISERROR(AA60),L60,AA60)</f>
        <v>Engeland</v>
      </c>
      <c r="G60" s="437">
        <v>1</v>
      </c>
      <c r="H60" s="379" t="s">
        <v>9</v>
      </c>
      <c r="I60" s="449">
        <v>0</v>
      </c>
      <c r="J60" s="450">
        <v>1</v>
      </c>
      <c r="K60" s="407" t="s">
        <v>57</v>
      </c>
      <c r="L60" s="407" t="s">
        <v>63</v>
      </c>
      <c r="M60" s="407">
        <v>2</v>
      </c>
      <c r="N60" s="352"/>
      <c r="O60" s="458">
        <v>3</v>
      </c>
      <c r="P60" s="877" t="s">
        <v>225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3"/>
        <v>6</v>
      </c>
      <c r="Z60" t="str">
        <f t="shared" si="14"/>
        <v>Colombia</v>
      </c>
      <c r="AA60" t="str">
        <f t="shared" si="14"/>
        <v>Engeland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6</v>
      </c>
      <c r="AG60" s="108">
        <f t="shared" si="16"/>
        <v>0</v>
      </c>
      <c r="AH60" s="108">
        <f t="shared" si="17"/>
        <v>1</v>
      </c>
      <c r="AI60" s="108">
        <f t="shared" si="18"/>
        <v>0</v>
      </c>
      <c r="AJ60" s="108">
        <f t="shared" si="19"/>
        <v>5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2"/>
        <v>3</v>
      </c>
    </row>
    <row r="61" spans="2:54">
      <c r="B61" s="364">
        <v>51</v>
      </c>
      <c r="C61" s="465">
        <v>41819</v>
      </c>
      <c r="D61" s="464" t="str">
        <f t="shared" si="23"/>
        <v>Spanje</v>
      </c>
      <c r="E61" s="367" t="s">
        <v>9</v>
      </c>
      <c r="F61" s="406" t="str">
        <f t="shared" si="24"/>
        <v>Mexico</v>
      </c>
      <c r="G61" s="435">
        <v>2</v>
      </c>
      <c r="H61" s="367" t="s">
        <v>9</v>
      </c>
      <c r="I61" s="447">
        <v>0</v>
      </c>
      <c r="J61" s="448">
        <v>1</v>
      </c>
      <c r="K61" s="407" t="s">
        <v>52</v>
      </c>
      <c r="L61" s="407" t="s">
        <v>49</v>
      </c>
      <c r="M61" s="407"/>
      <c r="N61" s="352"/>
      <c r="O61" s="458">
        <v>4</v>
      </c>
      <c r="P61" s="877" t="s">
        <v>209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3"/>
        <v>6</v>
      </c>
      <c r="Z61" t="str">
        <f t="shared" si="14"/>
        <v>Spanje</v>
      </c>
      <c r="AA61" t="str">
        <f t="shared" si="14"/>
        <v>Mexico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6</v>
      </c>
      <c r="AG61" s="108">
        <f t="shared" si="16"/>
        <v>1</v>
      </c>
      <c r="AH61" s="108">
        <f t="shared" si="17"/>
        <v>0</v>
      </c>
      <c r="AI61" s="108">
        <f t="shared" si="18"/>
        <v>0</v>
      </c>
      <c r="AJ61" s="108">
        <f t="shared" si="19"/>
        <v>5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3</v>
      </c>
      <c r="BB61" s="139">
        <f t="shared" si="22"/>
        <v>3</v>
      </c>
    </row>
    <row r="62" spans="2:54">
      <c r="B62" s="376">
        <v>52</v>
      </c>
      <c r="C62" s="466">
        <v>41819</v>
      </c>
      <c r="D62" s="464" t="str">
        <f t="shared" si="23"/>
        <v>Uruguay</v>
      </c>
      <c r="E62" s="379" t="s">
        <v>9</v>
      </c>
      <c r="F62" s="409" t="str">
        <f t="shared" si="24"/>
        <v>Griekenland</v>
      </c>
      <c r="G62" s="437">
        <v>3</v>
      </c>
      <c r="H62" s="379" t="s">
        <v>9</v>
      </c>
      <c r="I62" s="449">
        <v>0</v>
      </c>
      <c r="J62" s="450">
        <v>1</v>
      </c>
      <c r="K62" s="407" t="s">
        <v>62</v>
      </c>
      <c r="L62" s="407" t="s">
        <v>58</v>
      </c>
      <c r="M62" s="407"/>
      <c r="N62" s="352"/>
      <c r="O62" s="458">
        <v>5</v>
      </c>
      <c r="P62" s="877" t="s">
        <v>211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3"/>
        <v>0</v>
      </c>
      <c r="Z62" t="str">
        <f t="shared" si="14"/>
        <v>Uruguay</v>
      </c>
      <c r="AA62" t="str">
        <f t="shared" si="14"/>
        <v>Griekenland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0</v>
      </c>
      <c r="AG62" s="108">
        <f t="shared" si="16"/>
        <v>0</v>
      </c>
      <c r="AH62" s="108">
        <f t="shared" si="17"/>
        <v>0</v>
      </c>
      <c r="AI62" s="108">
        <f t="shared" si="18"/>
        <v>0</v>
      </c>
      <c r="AJ62" s="108">
        <f t="shared" si="19"/>
        <v>0</v>
      </c>
      <c r="AK62" s="108">
        <f t="shared" si="20"/>
        <v>0</v>
      </c>
      <c r="AL62" s="108">
        <f t="shared" si="21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2"/>
        <v>3</v>
      </c>
    </row>
    <row r="63" spans="2:54">
      <c r="B63" s="364">
        <v>53</v>
      </c>
      <c r="C63" s="465">
        <v>41820</v>
      </c>
      <c r="D63" s="459" t="str">
        <f t="shared" si="23"/>
        <v>Frankrijk</v>
      </c>
      <c r="E63" s="367" t="s">
        <v>9</v>
      </c>
      <c r="F63" s="406" t="str">
        <f t="shared" si="24"/>
        <v>Nigeria</v>
      </c>
      <c r="G63" s="435">
        <v>1</v>
      </c>
      <c r="H63" s="367" t="s">
        <v>9</v>
      </c>
      <c r="I63" s="447">
        <v>0</v>
      </c>
      <c r="J63" s="448">
        <v>1</v>
      </c>
      <c r="K63" s="407" t="s">
        <v>67</v>
      </c>
      <c r="L63" s="407" t="s">
        <v>73</v>
      </c>
      <c r="M63" s="407"/>
      <c r="N63" s="352"/>
      <c r="O63" s="458">
        <v>6</v>
      </c>
      <c r="P63" s="877" t="s">
        <v>213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3"/>
        <v>6</v>
      </c>
      <c r="Z63" t="str">
        <f t="shared" si="14"/>
        <v>Frankrijk</v>
      </c>
      <c r="AA63" t="str">
        <f t="shared" si="14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6</v>
      </c>
      <c r="AG63" s="108">
        <f t="shared" si="16"/>
        <v>0</v>
      </c>
      <c r="AH63" s="108">
        <f t="shared" si="17"/>
        <v>1</v>
      </c>
      <c r="AI63" s="108">
        <f t="shared" si="18"/>
        <v>0</v>
      </c>
      <c r="AJ63" s="108">
        <f t="shared" si="19"/>
        <v>5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3</v>
      </c>
      <c r="BB63" s="139">
        <f t="shared" si="22"/>
        <v>3</v>
      </c>
    </row>
    <row r="64" spans="2:54">
      <c r="B64" s="376">
        <v>54</v>
      </c>
      <c r="C64" s="466">
        <v>41820</v>
      </c>
      <c r="D64" s="460" t="str">
        <f t="shared" si="23"/>
        <v>Duitsland</v>
      </c>
      <c r="E64" s="379" t="s">
        <v>9</v>
      </c>
      <c r="F64" s="409" t="str">
        <f t="shared" si="24"/>
        <v>Rusland</v>
      </c>
      <c r="G64" s="437">
        <v>2</v>
      </c>
      <c r="H64" s="379" t="s">
        <v>9</v>
      </c>
      <c r="I64" s="449">
        <v>1</v>
      </c>
      <c r="J64" s="450">
        <v>1</v>
      </c>
      <c r="K64" s="407" t="s">
        <v>77</v>
      </c>
      <c r="L64" s="407" t="s">
        <v>83</v>
      </c>
      <c r="M64" s="407"/>
      <c r="N64" s="352"/>
      <c r="O64" s="458">
        <v>7</v>
      </c>
      <c r="P64" s="877" t="s">
        <v>214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3"/>
        <v>0</v>
      </c>
      <c r="Z64" t="str">
        <f t="shared" si="14"/>
        <v>Duitsland</v>
      </c>
      <c r="AA64" t="str">
        <f t="shared" si="14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0</v>
      </c>
      <c r="AG64" s="108">
        <f t="shared" si="16"/>
        <v>0</v>
      </c>
      <c r="AH64" s="108">
        <f t="shared" si="17"/>
        <v>0</v>
      </c>
      <c r="AI64" s="108">
        <f t="shared" si="18"/>
        <v>0</v>
      </c>
      <c r="AJ64" s="108">
        <f t="shared" si="19"/>
        <v>0</v>
      </c>
      <c r="AK64" s="108">
        <f t="shared" si="20"/>
        <v>0</v>
      </c>
      <c r="AL64" s="108">
        <f t="shared" si="21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2"/>
        <v>3</v>
      </c>
    </row>
    <row r="65" spans="2:54">
      <c r="B65" s="370">
        <v>55</v>
      </c>
      <c r="C65" s="467">
        <v>41821</v>
      </c>
      <c r="D65" s="459" t="str">
        <f t="shared" si="23"/>
        <v>Argentinië</v>
      </c>
      <c r="E65" s="373" t="s">
        <v>9</v>
      </c>
      <c r="F65" s="410" t="str">
        <f t="shared" si="24"/>
        <v>Ecuador</v>
      </c>
      <c r="G65" s="436">
        <v>2</v>
      </c>
      <c r="H65" s="373" t="s">
        <v>9</v>
      </c>
      <c r="I65" s="451">
        <v>1</v>
      </c>
      <c r="J65" s="452">
        <v>1</v>
      </c>
      <c r="K65" s="407" t="s">
        <v>72</v>
      </c>
      <c r="L65" s="407" t="s">
        <v>68</v>
      </c>
      <c r="M65" s="407"/>
      <c r="N65" s="352"/>
      <c r="O65" s="458">
        <v>8</v>
      </c>
      <c r="P65" s="877" t="s">
        <v>282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3"/>
        <v>0</v>
      </c>
      <c r="Z65" t="str">
        <f t="shared" si="14"/>
        <v>Argentinië</v>
      </c>
      <c r="AA65" t="str">
        <f t="shared" si="14"/>
        <v>Ecuador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0</v>
      </c>
      <c r="AG65" s="108">
        <f t="shared" si="16"/>
        <v>0</v>
      </c>
      <c r="AH65" s="108">
        <f t="shared" si="17"/>
        <v>0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0</v>
      </c>
      <c r="AZ65" s="138" t="str">
        <f>Uitslag!P65</f>
        <v>Nigel de Jong (m)</v>
      </c>
      <c r="BA65" s="140">
        <f t="shared" si="12"/>
        <v>0</v>
      </c>
      <c r="BB65" s="139">
        <f t="shared" si="22"/>
        <v>0</v>
      </c>
    </row>
    <row r="66" spans="2:54" ht="15.75" thickBot="1">
      <c r="B66" s="385">
        <v>56</v>
      </c>
      <c r="C66" s="462">
        <v>41821</v>
      </c>
      <c r="D66" s="461" t="str">
        <f t="shared" si="23"/>
        <v>België</v>
      </c>
      <c r="E66" s="388" t="s">
        <v>9</v>
      </c>
      <c r="F66" s="412" t="str">
        <f t="shared" si="24"/>
        <v>Portugal</v>
      </c>
      <c r="G66" s="438">
        <v>2</v>
      </c>
      <c r="H66" s="388" t="s">
        <v>9</v>
      </c>
      <c r="I66" s="453">
        <v>1</v>
      </c>
      <c r="J66" s="454">
        <v>1</v>
      </c>
      <c r="K66" s="407" t="s">
        <v>82</v>
      </c>
      <c r="L66" s="407" t="s">
        <v>78</v>
      </c>
      <c r="M66" s="407"/>
      <c r="N66" s="352"/>
      <c r="O66" s="458">
        <v>9</v>
      </c>
      <c r="P66" s="877" t="s">
        <v>216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3"/>
        <v>0</v>
      </c>
      <c r="Z66" t="str">
        <f>IF(K66=""," ",VLOOKUP(K66,$T$9:$V$54,3,FALSE))</f>
        <v>België</v>
      </c>
      <c r="AA66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0</v>
      </c>
      <c r="AG66" s="108">
        <f t="shared" si="16"/>
        <v>0</v>
      </c>
      <c r="AH66" s="108">
        <f t="shared" si="17"/>
        <v>0</v>
      </c>
      <c r="AI66" s="108">
        <f t="shared" si="18"/>
        <v>0</v>
      </c>
      <c r="AJ66" s="108">
        <f t="shared" si="19"/>
        <v>0</v>
      </c>
      <c r="AK66" s="108">
        <f t="shared" si="20"/>
        <v>0</v>
      </c>
      <c r="AL66" s="108">
        <f t="shared" si="21"/>
        <v>0</v>
      </c>
      <c r="AZ66" s="138" t="str">
        <f>Uitslag!P66</f>
        <v>Jonathan de Guzman (m)</v>
      </c>
      <c r="BA66" s="140">
        <f t="shared" si="12"/>
        <v>3</v>
      </c>
      <c r="BB66" s="139">
        <f t="shared" si="22"/>
        <v>3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N67" s="352"/>
      <c r="O67" s="458">
        <v>10</v>
      </c>
      <c r="P67" s="877" t="s">
        <v>215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2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27"/>
      <c r="K68" s="353"/>
      <c r="L68" s="353"/>
      <c r="M68" s="353"/>
      <c r="N68" s="352"/>
      <c r="O68" s="458">
        <v>11</v>
      </c>
      <c r="P68" s="877" t="s">
        <v>235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0</v>
      </c>
      <c r="BB68" s="139">
        <f t="shared" si="22"/>
        <v>0</v>
      </c>
    </row>
    <row r="69" spans="2:54">
      <c r="B69" s="428" t="s">
        <v>1</v>
      </c>
      <c r="C69" s="429" t="s">
        <v>2</v>
      </c>
      <c r="D69" s="430" t="s">
        <v>3</v>
      </c>
      <c r="E69" s="431"/>
      <c r="F69" s="432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N69" s="352"/>
      <c r="O69" s="352"/>
      <c r="P69" s="352"/>
      <c r="Q69" s="352"/>
      <c r="R69" s="352"/>
      <c r="S69" s="352"/>
      <c r="T69" s="352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27</v>
      </c>
      <c r="BB69" s="139" t="str">
        <f>IF(AND(BA69&lt;&gt;"",BA69=33),15,"nvt")</f>
        <v>nvt</v>
      </c>
    </row>
    <row r="70" spans="2:54">
      <c r="B70" s="364">
        <v>57</v>
      </c>
      <c r="C70" s="365">
        <v>41824</v>
      </c>
      <c r="D70" s="405" t="str">
        <f>IF(J63="","Winnaar 53",IF(J63=1,D63,F63))</f>
        <v>Frankrijk</v>
      </c>
      <c r="E70" s="367" t="s">
        <v>9</v>
      </c>
      <c r="F70" s="406" t="str">
        <f>IF(J64="","Winnaar 54",IF(J64=1,D64,F64))</f>
        <v>Duitsland</v>
      </c>
      <c r="G70" s="435">
        <v>1</v>
      </c>
      <c r="H70" s="367" t="s">
        <v>9</v>
      </c>
      <c r="I70" s="447">
        <v>2</v>
      </c>
      <c r="J70" s="448">
        <v>2</v>
      </c>
      <c r="K70" s="353"/>
      <c r="L70" s="353"/>
      <c r="M70" s="353"/>
      <c r="N70" s="352"/>
      <c r="O70" s="352"/>
      <c r="P70" s="352"/>
      <c r="Q70" s="352"/>
      <c r="R70" s="352"/>
      <c r="S70" s="352"/>
      <c r="T70" s="352"/>
      <c r="V70" t="s">
        <v>133</v>
      </c>
      <c r="W70" t="s">
        <v>126</v>
      </c>
      <c r="X70" t="str">
        <f t="shared" si="11"/>
        <v>Karim Rekik (v)</v>
      </c>
      <c r="Y70" s="109">
        <f>AF70</f>
        <v>5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5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Brazilië</v>
      </c>
      <c r="E71" s="379" t="s">
        <v>9</v>
      </c>
      <c r="F71" s="409" t="str">
        <f>IF(J60="","Winnaar 50",IF(J60=1,D60,F60))</f>
        <v>Colombia</v>
      </c>
      <c r="G71" s="437">
        <v>2</v>
      </c>
      <c r="H71" s="379" t="s">
        <v>9</v>
      </c>
      <c r="I71" s="449">
        <v>0</v>
      </c>
      <c r="J71" s="450">
        <v>1</v>
      </c>
      <c r="K71" s="353"/>
      <c r="L71" s="353"/>
      <c r="M71" s="353"/>
      <c r="N71" s="352"/>
      <c r="O71" s="352"/>
      <c r="P71" s="352"/>
      <c r="Q71" s="352"/>
      <c r="R71" s="352"/>
      <c r="S71" s="352"/>
      <c r="T71" s="352"/>
      <c r="V71" t="s">
        <v>133</v>
      </c>
      <c r="W71" t="s">
        <v>194</v>
      </c>
      <c r="X71" t="str">
        <f t="shared" si="11"/>
        <v>Ron Vlaar (v)</v>
      </c>
      <c r="Y71" s="109">
        <f>AF71</f>
        <v>6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6</v>
      </c>
      <c r="AG71" s="108">
        <f>IF(AC71="",0,(IF(G71=AC71,1,0)))</f>
        <v>1</v>
      </c>
      <c r="AH71" s="108">
        <f>IF(AD71="",0,(IF(I71=AD71,1,0)))</f>
        <v>0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Argentinië</v>
      </c>
      <c r="E72" s="367" t="s">
        <v>9</v>
      </c>
      <c r="F72" s="406" t="str">
        <f>IF(J66="","Winnaar 56",IF(J66=1,D66,F66))</f>
        <v>België</v>
      </c>
      <c r="G72" s="435">
        <v>3</v>
      </c>
      <c r="H72" s="367" t="s">
        <v>9</v>
      </c>
      <c r="I72" s="447">
        <v>1</v>
      </c>
      <c r="J72" s="448">
        <v>1</v>
      </c>
      <c r="K72" s="353"/>
      <c r="L72" s="353"/>
      <c r="M72" s="353"/>
      <c r="N72" s="352"/>
      <c r="O72" s="352"/>
      <c r="P72" s="352"/>
      <c r="Q72" s="352"/>
      <c r="R72" s="352"/>
      <c r="S72" s="352"/>
      <c r="T72" s="352"/>
      <c r="V72" t="s">
        <v>133</v>
      </c>
      <c r="W72" t="s">
        <v>195</v>
      </c>
      <c r="X72" t="str">
        <f t="shared" si="11"/>
        <v>John Heitinga (v)</v>
      </c>
      <c r="Y72" s="109">
        <f>AF72</f>
        <v>5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5</v>
      </c>
      <c r="AG72" s="108">
        <f>IF(AC72="",0,(IF(G72=AC72,1,0)))</f>
        <v>0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5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Spanje</v>
      </c>
      <c r="E73" s="388" t="s">
        <v>9</v>
      </c>
      <c r="F73" s="412" t="str">
        <f>IF(J62="","Winnaar 52",IF(J62=1,D62,F62))</f>
        <v>Uruguay</v>
      </c>
      <c r="G73" s="438">
        <v>1</v>
      </c>
      <c r="H73" s="388" t="s">
        <v>9</v>
      </c>
      <c r="I73" s="453">
        <v>0</v>
      </c>
      <c r="J73" s="454">
        <v>1</v>
      </c>
      <c r="K73" s="353"/>
      <c r="L73" s="353"/>
      <c r="M73" s="353"/>
      <c r="N73" s="352"/>
      <c r="O73" s="352"/>
      <c r="P73" s="352"/>
      <c r="Q73" s="352"/>
      <c r="R73" s="352"/>
      <c r="S73" s="352"/>
      <c r="T73" s="352"/>
      <c r="V73" t="s">
        <v>133</v>
      </c>
      <c r="W73" t="s">
        <v>196</v>
      </c>
      <c r="X73" t="str">
        <f t="shared" si="11"/>
        <v>Urby Emanuelson (v)</v>
      </c>
      <c r="Y73" s="109">
        <f>AF73</f>
        <v>1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1</v>
      </c>
      <c r="AG73" s="108">
        <f>IF(AC73="",0,(IF(G73=AC73,1,0)))</f>
        <v>0</v>
      </c>
      <c r="AH73" s="108">
        <f>IF(AD73="",0,(IF(I73=AD73,1,0)))</f>
        <v>1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N74" s="352"/>
      <c r="O74" s="352"/>
      <c r="P74" s="352"/>
      <c r="Q74" s="352"/>
      <c r="R74" s="352"/>
      <c r="S74" s="352"/>
      <c r="T74" s="352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27"/>
      <c r="K75" s="353"/>
      <c r="L75" s="353"/>
      <c r="M75" s="353"/>
      <c r="N75" s="352"/>
      <c r="O75" s="352"/>
      <c r="P75" s="352"/>
      <c r="Q75" s="352"/>
      <c r="R75" s="352"/>
      <c r="S75" s="352"/>
      <c r="T75" s="352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30" t="s">
        <v>3</v>
      </c>
      <c r="E76" s="431"/>
      <c r="F76" s="432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N76" s="352"/>
      <c r="O76" s="352"/>
      <c r="P76" s="352"/>
      <c r="Q76" s="352"/>
      <c r="R76" s="352"/>
      <c r="S76" s="352"/>
      <c r="T76" s="352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Duitsland</v>
      </c>
      <c r="E77" s="367" t="s">
        <v>9</v>
      </c>
      <c r="F77" s="406" t="str">
        <f>IF(J71="","Winnaar 58",IF(J71=1,D71,F71))</f>
        <v>Brazilië</v>
      </c>
      <c r="G77" s="435">
        <v>2</v>
      </c>
      <c r="H77" s="367" t="s">
        <v>9</v>
      </c>
      <c r="I77" s="447">
        <v>1</v>
      </c>
      <c r="J77" s="448">
        <v>1</v>
      </c>
      <c r="K77" s="353"/>
      <c r="L77" s="353"/>
      <c r="M77" s="353"/>
      <c r="N77" s="352"/>
      <c r="O77" s="352"/>
      <c r="P77" s="352"/>
      <c r="Q77" s="352"/>
      <c r="R77" s="352"/>
      <c r="S77" s="352"/>
      <c r="T77" s="352"/>
      <c r="V77" t="s">
        <v>134</v>
      </c>
      <c r="W77" t="s">
        <v>203</v>
      </c>
      <c r="X77" t="str">
        <f t="shared" si="11"/>
        <v>Marco van Ginkel (m)</v>
      </c>
      <c r="Y77" s="109">
        <f>AF77</f>
        <v>6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6</v>
      </c>
      <c r="AG77" s="108">
        <f>IF(AC77="",0,(IF(G77=AC77,1,0)))</f>
        <v>0</v>
      </c>
      <c r="AH77" s="108">
        <f>IF(AD77="",0,(IF(I77=AD77,1,0)))</f>
        <v>1</v>
      </c>
      <c r="AI77" s="108">
        <f>IF(AND(AG77=1,AH77=1),10,0)</f>
        <v>0</v>
      </c>
      <c r="AJ77" s="108">
        <f>IF(AND(G77&gt;I77,AC77&gt;AD77),5,0)</f>
        <v>5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Argentinië</v>
      </c>
      <c r="E78" s="388" t="s">
        <v>9</v>
      </c>
      <c r="F78" s="412" t="str">
        <f>IF(J73="","Winnaar 60",IF(J73=1,D73,F73))</f>
        <v>Spanje</v>
      </c>
      <c r="G78" s="438">
        <v>1</v>
      </c>
      <c r="H78" s="388" t="s">
        <v>9</v>
      </c>
      <c r="I78" s="453">
        <v>0</v>
      </c>
      <c r="J78" s="454">
        <v>1</v>
      </c>
      <c r="K78" s="353"/>
      <c r="L78" s="353"/>
      <c r="M78" s="353"/>
      <c r="N78" s="352"/>
      <c r="O78" s="352"/>
      <c r="P78" s="352"/>
      <c r="Q78" s="352"/>
      <c r="R78" s="352"/>
      <c r="S78" s="352"/>
      <c r="T78" s="352"/>
      <c r="V78" t="s">
        <v>134</v>
      </c>
      <c r="W78" t="s">
        <v>199</v>
      </c>
      <c r="X78" t="str">
        <f t="shared" si="11"/>
        <v>Leroy Fer (m)</v>
      </c>
      <c r="Y78" s="109">
        <f>AF78</f>
        <v>1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1</v>
      </c>
      <c r="AG78" s="108">
        <f>IF(AC78="",0,(IF(G78=AC78,1,0)))</f>
        <v>0</v>
      </c>
      <c r="AH78" s="108">
        <f>IF(AD78="",0,(IF(I78=AD78,1,0)))</f>
        <v>1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N79" s="352"/>
      <c r="O79" s="352"/>
      <c r="P79" s="352"/>
      <c r="Q79" s="352"/>
      <c r="R79" s="352"/>
      <c r="S79" s="352"/>
      <c r="T79" s="352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27"/>
      <c r="K80" s="353"/>
      <c r="L80" s="353"/>
      <c r="M80" s="353"/>
      <c r="N80" s="352"/>
      <c r="O80" s="352"/>
      <c r="P80" s="352"/>
      <c r="Q80" s="352"/>
      <c r="R80" s="352"/>
      <c r="S80" s="352"/>
      <c r="T80" s="352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30" t="s">
        <v>3</v>
      </c>
      <c r="E81" s="431"/>
      <c r="F81" s="432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N81" s="352"/>
      <c r="O81" s="352"/>
      <c r="P81" s="352"/>
      <c r="Q81" s="352"/>
      <c r="R81" s="352"/>
      <c r="S81" s="352"/>
      <c r="T81" s="352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Brazilië</v>
      </c>
      <c r="E82" s="355" t="s">
        <v>9</v>
      </c>
      <c r="F82" s="415" t="str">
        <f>IF(J78="","Verliezer 62",IF(J78=1,F78,D78))</f>
        <v>Spanje</v>
      </c>
      <c r="G82" s="455">
        <v>2</v>
      </c>
      <c r="H82" s="355" t="s">
        <v>9</v>
      </c>
      <c r="I82" s="456">
        <v>1</v>
      </c>
      <c r="J82" s="457">
        <v>1</v>
      </c>
      <c r="K82" s="353"/>
      <c r="L82" s="353"/>
      <c r="M82" s="353"/>
      <c r="N82" s="352"/>
      <c r="O82" s="352"/>
      <c r="P82" s="352"/>
      <c r="Q82" s="352"/>
      <c r="R82" s="352"/>
      <c r="S82" s="352"/>
      <c r="T82" s="352"/>
      <c r="V82" t="s">
        <v>134</v>
      </c>
      <c r="W82" t="s">
        <v>125</v>
      </c>
      <c r="X8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N83" s="352"/>
      <c r="O83" s="352"/>
      <c r="P83" s="352"/>
      <c r="Q83" s="352"/>
      <c r="R83" s="352"/>
      <c r="S83" s="352"/>
      <c r="T83" s="352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27"/>
      <c r="K84" s="353"/>
      <c r="L84" s="353"/>
      <c r="M84" s="353"/>
      <c r="N84" s="352"/>
      <c r="O84" s="352"/>
      <c r="P84" s="352"/>
      <c r="Q84" s="352"/>
      <c r="R84" s="352"/>
      <c r="S84" s="352"/>
      <c r="T84" s="352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30" t="s">
        <v>3</v>
      </c>
      <c r="E85" s="431"/>
      <c r="F85" s="432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N85" s="352"/>
      <c r="O85" s="352"/>
      <c r="P85" s="352"/>
      <c r="Q85" s="352"/>
      <c r="R85" s="352"/>
      <c r="S85" s="352"/>
      <c r="T85" s="352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Duitsland</v>
      </c>
      <c r="E86" s="355" t="s">
        <v>9</v>
      </c>
      <c r="F86" s="415" t="str">
        <f>IF(J78="","Winnaar 62",IF(J78=1,D78,F78))</f>
        <v>Argentinië</v>
      </c>
      <c r="G86" s="455">
        <v>2</v>
      </c>
      <c r="H86" s="355" t="s">
        <v>9</v>
      </c>
      <c r="I86" s="456">
        <v>1</v>
      </c>
      <c r="J86" s="457">
        <v>1</v>
      </c>
      <c r="K86" s="353"/>
      <c r="L86" s="353"/>
      <c r="M86" s="353"/>
      <c r="N86" s="352"/>
      <c r="O86" s="352"/>
      <c r="P86" s="352"/>
      <c r="Q86" s="352"/>
      <c r="R86" s="352"/>
      <c r="S86" s="352"/>
      <c r="T86" s="352"/>
      <c r="V86" t="s">
        <v>134</v>
      </c>
      <c r="W86" t="s">
        <v>139</v>
      </c>
      <c r="X86" t="str">
        <f t="shared" si="11"/>
        <v>Nigel de Jong (m)</v>
      </c>
      <c r="Y86" s="109">
        <f>AF86</f>
        <v>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0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Duitsland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50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50</v>
      </c>
      <c r="AV89">
        <f>IF(AR89=0,0,IF(E89=AR89,50,0))</f>
        <v>50</v>
      </c>
      <c r="AW89">
        <f>IF(E89=0,0,IF(OR(E89=AR90),15,0))</f>
        <v>0</v>
      </c>
      <c r="AX89">
        <f>IF(E89=0,0,IF(OR(E89=AR91,E89=AR92),5,0))</f>
        <v>0</v>
      </c>
    </row>
    <row r="90" spans="2:50">
      <c r="C90" s="870">
        <v>2</v>
      </c>
      <c r="D90" s="871"/>
      <c r="E90" s="872" t="str">
        <f>IF(J86=2,D86,IF(J86=1,F86,"Wie wordt 2de?"))</f>
        <v>Argentinië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25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25</v>
      </c>
      <c r="AV90">
        <f>IF(AR90=0,0,IF(AR90=E90,25,0))</f>
        <v>25</v>
      </c>
      <c r="AW90">
        <f>IF(E90=0,0,IF(OR(E90=AR89,),15,0))</f>
        <v>0</v>
      </c>
      <c r="AX90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Brazilië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10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10</v>
      </c>
      <c r="AV91">
        <f>IF(AR91=0,0,IF(AR91=E91,15,0))</f>
        <v>0</v>
      </c>
      <c r="AW91">
        <f>IF(E91=0,0,IF(OR(E91=AR92),10,0))</f>
        <v>10</v>
      </c>
      <c r="AX91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Spanje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0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0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85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conditionalFormatting sqref="AO9:AO12 AO15:AO18 AO21:AO24 AO27:AO30 AO33:AO36 AO39:AO42 AO45:AO48 AO51:AO54">
    <cfRule type="cellIs" dxfId="116" priority="3" operator="equal">
      <formula>10</formula>
    </cfRule>
  </conditionalFormatting>
  <conditionalFormatting sqref="P58:T58">
    <cfRule type="duplicateValues" dxfId="115" priority="2"/>
  </conditionalFormatting>
  <conditionalFormatting sqref="P58:T68">
    <cfRule type="duplicateValues" dxfId="114" priority="1"/>
  </conditionalFormatting>
  <dataValidations count="10">
    <dataValidation type="list" allowBlank="1" showInputMessage="1" showErrorMessage="1" sqref="P58:P68">
      <formula1>$X$58:$X$98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51:T54">
      <formula1>$W$51:$W$54</formula1>
    </dataValidation>
  </dataValidation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B1:BB98"/>
  <sheetViews>
    <sheetView topLeftCell="A52" zoomScale="115" zoomScaleNormal="115" workbookViewId="0">
      <selection activeCell="P58" sqref="P58:T68"/>
    </sheetView>
  </sheetViews>
  <sheetFormatPr defaultRowHeight="15" outlineLevelCol="2"/>
  <cols>
    <col min="1" max="1" width="3.42578125" customWidth="1"/>
    <col min="2" max="2" width="3.5703125" bestFit="1" customWidth="1"/>
    <col min="3" max="3" width="8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284</v>
      </c>
      <c r="E3" s="145"/>
      <c r="F3" s="145"/>
      <c r="N3" t="str">
        <f>D3</f>
        <v>Kees K.</v>
      </c>
      <c r="O3" s="144">
        <f>SUM(P3:S3)</f>
        <v>286</v>
      </c>
      <c r="P3" s="109">
        <f>SUM(Y8:Y86)</f>
        <v>166</v>
      </c>
      <c r="Q3" s="109">
        <f>SUM(AM4:AM55)</f>
        <v>90</v>
      </c>
      <c r="R3" s="109">
        <f>SUM(AP89:AP92)</f>
        <v>0</v>
      </c>
      <c r="S3" s="109">
        <f>SUM(BB58:BB69)</f>
        <v>30</v>
      </c>
      <c r="T3" s="109">
        <f>COUNTIF(AF8:AF86,10)</f>
        <v>5</v>
      </c>
      <c r="U3" s="109" t="str">
        <f>E89</f>
        <v>Spanje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M6" s="352"/>
      <c r="N6" s="352"/>
      <c r="O6" s="392"/>
      <c r="P6" s="393"/>
      <c r="Q6" s="393"/>
      <c r="R6" s="393"/>
      <c r="S6" s="393"/>
      <c r="T6" s="393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121" t="s">
        <v>2</v>
      </c>
      <c r="D7" s="418" t="s">
        <v>3</v>
      </c>
      <c r="E7" s="419"/>
      <c r="F7" s="420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M7" s="352"/>
      <c r="N7" s="352"/>
      <c r="O7" s="353"/>
      <c r="P7" s="393"/>
      <c r="Q7" s="393"/>
      <c r="R7" s="393"/>
      <c r="S7" s="393"/>
      <c r="T7" s="393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357">
        <v>1</v>
      </c>
      <c r="C8" s="124">
        <v>41802</v>
      </c>
      <c r="D8" s="359" t="s">
        <v>8</v>
      </c>
      <c r="E8" s="360" t="s">
        <v>9</v>
      </c>
      <c r="F8" s="361" t="s">
        <v>10</v>
      </c>
      <c r="G8" s="434">
        <v>2</v>
      </c>
      <c r="H8" s="360" t="s">
        <v>9</v>
      </c>
      <c r="I8" s="439">
        <v>0</v>
      </c>
      <c r="J8" s="362">
        <f>IF(I8="","",IF(G8&gt;I8,1,IF(G8&lt;I8,2,3)))</f>
        <v>1</v>
      </c>
      <c r="K8" s="363">
        <f>IF(I8="","",IF($G8&gt;$I8,3,IF($G8=$I8,1,0)))</f>
        <v>3</v>
      </c>
      <c r="L8" s="363">
        <f>IF(I8="","",IF($G8&lt;$I8,3,IF($G8=$I8,1,0)))</f>
        <v>0</v>
      </c>
      <c r="M8" s="352"/>
      <c r="N8" s="352"/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40"/>
      <c r="V8" s="40"/>
      <c r="W8" s="40"/>
      <c r="Y8" s="109">
        <f>AF8</f>
        <v>5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5</v>
      </c>
      <c r="AG8" s="108">
        <f t="shared" ref="AG8:AG55" si="0">IF(AC8="",0,(IF(G8=AC8,1,0)))</f>
        <v>0</v>
      </c>
      <c r="AH8" s="108">
        <f t="shared" ref="AH8:AH55" si="1">IF(AD8="",0,(IF(I8=AD8,1,0)))</f>
        <v>0</v>
      </c>
      <c r="AI8" s="108">
        <f>IF(AND(AG8=1,AH8=1),10,0)</f>
        <v>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125">
        <v>41803</v>
      </c>
      <c r="D9" s="366" t="s">
        <v>11</v>
      </c>
      <c r="E9" s="367" t="s">
        <v>9</v>
      </c>
      <c r="F9" s="368" t="s">
        <v>12</v>
      </c>
      <c r="G9" s="435">
        <v>0</v>
      </c>
      <c r="H9" s="367" t="s">
        <v>9</v>
      </c>
      <c r="I9" s="440">
        <v>0</v>
      </c>
      <c r="J9" s="369">
        <f>IF(I9="","",IF(G9&gt;I9,1,IF(G9&lt;I9,2,3)))</f>
        <v>3</v>
      </c>
      <c r="K9" s="363">
        <f t="shared" ref="K9:K55" si="5">IF(I9="","",IF($G9&gt;$I9,3,IF($G9=$I9,1,0)))</f>
        <v>1</v>
      </c>
      <c r="L9" s="363">
        <f t="shared" ref="L9:L55" si="6">IF(I9="","",IF($G9&lt;$I9,3,IF($G9=$I9,1,0)))</f>
        <v>1</v>
      </c>
      <c r="M9" s="352"/>
      <c r="N9" s="352"/>
      <c r="O9" s="394" t="s">
        <v>8</v>
      </c>
      <c r="P9" s="395">
        <f>SUMIF($D$8:$D$55,$O9,$G$8:$G$55)+SUMIF($F$8:$F$55,$O9,$I$8:$I$55)</f>
        <v>5</v>
      </c>
      <c r="Q9" s="395">
        <f>SUMIF($D$8:$D$55,$O9,$I$8:$I$55)+SUMIF($F$8:$F$55,$O9,$G$8:$G$55)</f>
        <v>0</v>
      </c>
      <c r="R9" s="396">
        <f>P9-Q9</f>
        <v>5</v>
      </c>
      <c r="S9" s="397">
        <f>SUMIF($D$8:$D$55,$O9,$K$8:$K$55)+SUMIF($F$8:$F$55,$O9,$L$8:$L$55)</f>
        <v>9</v>
      </c>
      <c r="T9" s="444" t="s">
        <v>48</v>
      </c>
      <c r="U9" s="40"/>
      <c r="V9" s="40" t="str">
        <f>O9</f>
        <v>Brazilië</v>
      </c>
      <c r="W9" s="40" t="s">
        <v>48</v>
      </c>
      <c r="Y9" s="109">
        <f t="shared" ref="Y9:Y55" si="7">AF9</f>
        <v>1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8">IF(OR(AC9="",AD9=""),0,(IF(SUM(AG9:AL9)&gt;10,10,SUM(AG9:AL9))))</f>
        <v>1</v>
      </c>
      <c r="AG9" s="108">
        <f t="shared" si="0"/>
        <v>0</v>
      </c>
      <c r="AH9" s="108">
        <f t="shared" si="1"/>
        <v>1</v>
      </c>
      <c r="AI9" s="108">
        <f t="shared" ref="AI9:AI55" si="9">IF(AND(AG9=1,AH9=1),10,0)</f>
        <v>0</v>
      </c>
      <c r="AJ9" s="108">
        <f t="shared" si="2"/>
        <v>0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126">
        <v>41803</v>
      </c>
      <c r="D10" s="372" t="s">
        <v>13</v>
      </c>
      <c r="E10" s="373" t="s">
        <v>9</v>
      </c>
      <c r="F10" s="374" t="s">
        <v>14</v>
      </c>
      <c r="G10" s="436">
        <v>3</v>
      </c>
      <c r="H10" s="373" t="s">
        <v>9</v>
      </c>
      <c r="I10" s="441">
        <v>1</v>
      </c>
      <c r="J10" s="375">
        <f t="shared" ref="J10:J55" si="10">IF(I10="","",IF(G10&gt;I10,1,IF(G10&lt;I10,2,3)))</f>
        <v>1</v>
      </c>
      <c r="K10" s="363">
        <f t="shared" si="5"/>
        <v>3</v>
      </c>
      <c r="L10" s="363">
        <f t="shared" si="6"/>
        <v>0</v>
      </c>
      <c r="M10" s="352"/>
      <c r="N10" s="352"/>
      <c r="O10" s="398" t="s">
        <v>10</v>
      </c>
      <c r="P10" s="399">
        <f>SUMIF($D$8:$D$55,$O10,$G$8:$G$55)+SUMIF($F$8:$F$55,$O10,$I$8:$I$55)</f>
        <v>2</v>
      </c>
      <c r="Q10" s="399">
        <f>SUMIF($D$8:$D$55,$O10,$I$8:$I$55)+SUMIF($F$8:$F$55,$O10,$G$8:$G$55)</f>
        <v>3</v>
      </c>
      <c r="R10" s="399">
        <f>P10-Q10</f>
        <v>-1</v>
      </c>
      <c r="S10" s="400">
        <f>SUMIF($D$8:$D$55,$O10,$K$8:$K$55)+SUMIF($F$8:$F$55,$O10,$L$8:$L$55)</f>
        <v>3</v>
      </c>
      <c r="T10" s="445" t="s">
        <v>47</v>
      </c>
      <c r="U10" s="40"/>
      <c r="V10" s="40" t="str">
        <f>O10</f>
        <v>Kroatië</v>
      </c>
      <c r="W10" s="40" t="s">
        <v>49</v>
      </c>
      <c r="Y10" s="109">
        <f t="shared" si="7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8"/>
        <v>0</v>
      </c>
      <c r="AG10" s="108">
        <f t="shared" si="0"/>
        <v>0</v>
      </c>
      <c r="AH10" s="108">
        <f t="shared" si="1"/>
        <v>0</v>
      </c>
      <c r="AI10" s="108">
        <f t="shared" si="9"/>
        <v>0</v>
      </c>
      <c r="AJ10" s="108">
        <f t="shared" si="2"/>
        <v>0</v>
      </c>
      <c r="AK10" s="108">
        <f t="shared" si="3"/>
        <v>0</v>
      </c>
      <c r="AL10" s="108">
        <f t="shared" si="4"/>
        <v>0</v>
      </c>
      <c r="AM10" s="120">
        <f>AO10</f>
        <v>10</v>
      </c>
      <c r="AN10" s="117" t="s">
        <v>10</v>
      </c>
      <c r="AO10" s="115">
        <f>IF(Uitslag!T10="",0,IF(T10=Uitslag!T10,10,0))</f>
        <v>10</v>
      </c>
    </row>
    <row r="11" spans="2:54" ht="15.75" thickBot="1">
      <c r="B11" s="376">
        <v>4</v>
      </c>
      <c r="C11" s="127">
        <v>41803</v>
      </c>
      <c r="D11" s="378" t="s">
        <v>15</v>
      </c>
      <c r="E11" s="379" t="s">
        <v>9</v>
      </c>
      <c r="F11" s="380" t="s">
        <v>16</v>
      </c>
      <c r="G11" s="437">
        <v>2</v>
      </c>
      <c r="H11" s="379" t="s">
        <v>9</v>
      </c>
      <c r="I11" s="442">
        <v>0</v>
      </c>
      <c r="J11" s="381">
        <f t="shared" si="10"/>
        <v>1</v>
      </c>
      <c r="K11" s="363">
        <f t="shared" si="5"/>
        <v>3</v>
      </c>
      <c r="L11" s="363">
        <f t="shared" si="6"/>
        <v>0</v>
      </c>
      <c r="M11" s="352"/>
      <c r="N11" s="352"/>
      <c r="O11" s="398" t="s">
        <v>11</v>
      </c>
      <c r="P11" s="399">
        <f>SUMIF($D$8:$D$55,$O11,$G$8:$G$55)+SUMIF($F$8:$F$55,$O11,$I$8:$I$55)</f>
        <v>0</v>
      </c>
      <c r="Q11" s="399">
        <f>SUMIF($D$8:$D$55,$O11,$I$8:$I$55)+SUMIF($F$8:$F$55,$O11,$G$8:$G$55)</f>
        <v>4</v>
      </c>
      <c r="R11" s="399">
        <f>P11-Q11</f>
        <v>-4</v>
      </c>
      <c r="S11" s="400">
        <f>SUMIF($D$8:$D$55,$O11,$K$8:$K$55)+SUMIF($F$8:$F$55,$O11,$L$8:$L$55)</f>
        <v>1</v>
      </c>
      <c r="T11" s="445" t="s">
        <v>50</v>
      </c>
      <c r="U11" s="40"/>
      <c r="V11" s="40" t="str">
        <f>O11</f>
        <v>Mexico</v>
      </c>
      <c r="W11" s="40" t="s">
        <v>47</v>
      </c>
      <c r="Y11" s="109">
        <f t="shared" si="7"/>
        <v>5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8"/>
        <v>5</v>
      </c>
      <c r="AG11" s="108">
        <f t="shared" si="0"/>
        <v>0</v>
      </c>
      <c r="AH11" s="108">
        <f t="shared" si="1"/>
        <v>0</v>
      </c>
      <c r="AI11" s="108">
        <f t="shared" si="9"/>
        <v>0</v>
      </c>
      <c r="AJ11" s="108">
        <f t="shared" si="2"/>
        <v>5</v>
      </c>
      <c r="AK11" s="108">
        <f t="shared" si="3"/>
        <v>0</v>
      </c>
      <c r="AL11" s="108">
        <f t="shared" si="4"/>
        <v>0</v>
      </c>
      <c r="AM11" s="120">
        <f>AO11</f>
        <v>0</v>
      </c>
      <c r="AN11" s="117" t="s">
        <v>11</v>
      </c>
      <c r="AO11" s="115">
        <f>IF(Uitslag!T11="",0,IF(T11=Uitslag!T11,10,0))</f>
        <v>0</v>
      </c>
    </row>
    <row r="12" spans="2:54" ht="15.75" thickBot="1">
      <c r="B12" s="364">
        <v>5</v>
      </c>
      <c r="C12" s="125">
        <v>41804</v>
      </c>
      <c r="D12" s="366" t="s">
        <v>17</v>
      </c>
      <c r="E12" s="367" t="s">
        <v>9</v>
      </c>
      <c r="F12" s="368" t="s">
        <v>18</v>
      </c>
      <c r="G12" s="468">
        <v>0</v>
      </c>
      <c r="H12" s="367" t="s">
        <v>9</v>
      </c>
      <c r="I12" s="469">
        <v>0</v>
      </c>
      <c r="J12" s="369">
        <f t="shared" si="10"/>
        <v>3</v>
      </c>
      <c r="K12" s="363">
        <f t="shared" si="5"/>
        <v>1</v>
      </c>
      <c r="L12" s="363">
        <f t="shared" si="6"/>
        <v>1</v>
      </c>
      <c r="M12" s="352"/>
      <c r="N12" s="352"/>
      <c r="O12" s="401" t="s">
        <v>12</v>
      </c>
      <c r="P12" s="402">
        <f>SUMIF($D$8:$D$55,$O12,$G$8:$G$55)+SUMIF($F$8:$F$55,$O12,$I$8:$I$55)</f>
        <v>1</v>
      </c>
      <c r="Q12" s="402">
        <f>SUMIF($D$8:$D$55,$O12,$I$8:$I$55)+SUMIF($F$8:$F$55,$O12,$G$8:$G$55)</f>
        <v>1</v>
      </c>
      <c r="R12" s="402">
        <f>P12-Q12</f>
        <v>0</v>
      </c>
      <c r="S12" s="403">
        <f>SUMIF($D$8:$D$55,$O12,$K$8:$K$55)+SUMIF($F$8:$F$55,$O12,$L$8:$L$55)</f>
        <v>4</v>
      </c>
      <c r="T12" s="446" t="s">
        <v>49</v>
      </c>
      <c r="U12" s="40"/>
      <c r="V12" s="40" t="str">
        <f>O12</f>
        <v>Kameroen</v>
      </c>
      <c r="W12" s="40" t="s">
        <v>50</v>
      </c>
      <c r="Y12" s="109">
        <f t="shared" si="7"/>
        <v>1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8"/>
        <v>1</v>
      </c>
      <c r="AG12" s="108">
        <f t="shared" si="0"/>
        <v>0</v>
      </c>
      <c r="AH12" s="108">
        <f t="shared" si="1"/>
        <v>1</v>
      </c>
      <c r="AI12" s="108">
        <f t="shared" si="9"/>
        <v>0</v>
      </c>
      <c r="AJ12" s="108">
        <f t="shared" si="2"/>
        <v>0</v>
      </c>
      <c r="AK12" s="108">
        <f t="shared" si="3"/>
        <v>0</v>
      </c>
      <c r="AL12" s="108">
        <f t="shared" si="4"/>
        <v>0</v>
      </c>
      <c r="AM12" s="120">
        <f>AO12</f>
        <v>0</v>
      </c>
      <c r="AN12" s="118" t="s">
        <v>12</v>
      </c>
      <c r="AO12" s="115">
        <f>IF(Uitslag!T12="",0,IF(T12=Uitslag!T12,10,0))</f>
        <v>0</v>
      </c>
    </row>
    <row r="13" spans="2:54" ht="15.75" thickBot="1">
      <c r="B13" s="370">
        <v>6</v>
      </c>
      <c r="C13" s="126">
        <v>41804</v>
      </c>
      <c r="D13" s="372" t="s">
        <v>19</v>
      </c>
      <c r="E13" s="373" t="s">
        <v>9</v>
      </c>
      <c r="F13" s="382" t="s">
        <v>20</v>
      </c>
      <c r="G13" s="470">
        <v>0</v>
      </c>
      <c r="H13" s="373" t="s">
        <v>9</v>
      </c>
      <c r="I13" s="471">
        <v>0</v>
      </c>
      <c r="J13" s="375">
        <f t="shared" si="10"/>
        <v>3</v>
      </c>
      <c r="K13" s="363">
        <f t="shared" si="5"/>
        <v>1</v>
      </c>
      <c r="L13" s="363">
        <f t="shared" si="6"/>
        <v>1</v>
      </c>
      <c r="M13" s="352"/>
      <c r="N13" s="352"/>
      <c r="O13" s="392"/>
      <c r="P13" s="393"/>
      <c r="Q13" s="393"/>
      <c r="R13" s="393"/>
      <c r="S13" s="393"/>
      <c r="T13" s="393"/>
      <c r="U13" s="40"/>
      <c r="V13" s="40"/>
      <c r="W13" s="40"/>
      <c r="Y13" s="109">
        <f t="shared" si="7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8"/>
        <v>0</v>
      </c>
      <c r="AG13" s="108">
        <f t="shared" si="0"/>
        <v>0</v>
      </c>
      <c r="AH13" s="108">
        <f t="shared" si="1"/>
        <v>0</v>
      </c>
      <c r="AI13" s="108">
        <f t="shared" si="9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40"/>
      <c r="AO13" s="41"/>
    </row>
    <row r="14" spans="2:54" ht="15.75" thickBot="1">
      <c r="B14" s="370">
        <v>7</v>
      </c>
      <c r="C14" s="126">
        <v>41804</v>
      </c>
      <c r="D14" s="372" t="s">
        <v>21</v>
      </c>
      <c r="E14" s="373" t="s">
        <v>9</v>
      </c>
      <c r="F14" s="382" t="s">
        <v>22</v>
      </c>
      <c r="G14" s="470">
        <v>1</v>
      </c>
      <c r="H14" s="373" t="s">
        <v>9</v>
      </c>
      <c r="I14" s="471">
        <v>5</v>
      </c>
      <c r="J14" s="375">
        <f t="shared" si="10"/>
        <v>2</v>
      </c>
      <c r="K14" s="363">
        <f t="shared" si="5"/>
        <v>0</v>
      </c>
      <c r="L14" s="363">
        <f t="shared" si="6"/>
        <v>3</v>
      </c>
      <c r="M14" s="352"/>
      <c r="N14" s="352"/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40"/>
      <c r="V14" s="40"/>
      <c r="W14" s="40"/>
      <c r="Y14" s="109">
        <f t="shared" si="7"/>
        <v>6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8"/>
        <v>6</v>
      </c>
      <c r="AG14" s="108">
        <f t="shared" si="0"/>
        <v>1</v>
      </c>
      <c r="AH14" s="108">
        <f t="shared" si="1"/>
        <v>0</v>
      </c>
      <c r="AI14" s="108">
        <f t="shared" si="9"/>
        <v>0</v>
      </c>
      <c r="AJ14" s="108">
        <f t="shared" si="2"/>
        <v>0</v>
      </c>
      <c r="AK14" s="108">
        <f t="shared" si="3"/>
        <v>5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127">
        <v>41804</v>
      </c>
      <c r="D15" s="378" t="s">
        <v>23</v>
      </c>
      <c r="E15" s="379" t="s">
        <v>9</v>
      </c>
      <c r="F15" s="380" t="s">
        <v>24</v>
      </c>
      <c r="G15" s="472">
        <v>4</v>
      </c>
      <c r="H15" s="379" t="s">
        <v>9</v>
      </c>
      <c r="I15" s="473">
        <v>0</v>
      </c>
      <c r="J15" s="381">
        <f t="shared" si="10"/>
        <v>1</v>
      </c>
      <c r="K15" s="363">
        <f t="shared" si="5"/>
        <v>3</v>
      </c>
      <c r="L15" s="363">
        <f t="shared" si="6"/>
        <v>0</v>
      </c>
      <c r="M15" s="352"/>
      <c r="N15" s="352"/>
      <c r="O15" s="394" t="s">
        <v>13</v>
      </c>
      <c r="P15" s="395">
        <f>SUMIF($D$8:$D$55,$O15,$G$8:$G$55)+SUMIF($F$8:$F$55,$O15,$I$8:$I$55)</f>
        <v>6</v>
      </c>
      <c r="Q15" s="395">
        <f>SUMIF($D$8:$D$55,$O15,$I$8:$I$55)+SUMIF($F$8:$F$55,$O15,$G$8:$G$55)</f>
        <v>1</v>
      </c>
      <c r="R15" s="396">
        <f>P15-Q15</f>
        <v>5</v>
      </c>
      <c r="S15" s="397">
        <f>SUMIF($D$8:$D$55,$O15,$K$8:$K$55)+SUMIF($F$8:$F$55,$O15,$L$8:$L$55)</f>
        <v>9</v>
      </c>
      <c r="T15" s="444" t="s">
        <v>52</v>
      </c>
      <c r="U15" s="40"/>
      <c r="V15" s="40" t="str">
        <f>O15</f>
        <v>Spanje</v>
      </c>
      <c r="W15" s="40" t="s">
        <v>52</v>
      </c>
      <c r="Y15" s="109">
        <f t="shared" si="7"/>
        <v>5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8"/>
        <v>5</v>
      </c>
      <c r="AG15" s="108">
        <f t="shared" si="0"/>
        <v>0</v>
      </c>
      <c r="AH15" s="108">
        <f t="shared" si="1"/>
        <v>0</v>
      </c>
      <c r="AI15" s="108">
        <f t="shared" si="9"/>
        <v>0</v>
      </c>
      <c r="AJ15" s="108">
        <f t="shared" si="2"/>
        <v>5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125">
        <v>41805</v>
      </c>
      <c r="D16" s="366" t="s">
        <v>25</v>
      </c>
      <c r="E16" s="367" t="s">
        <v>9</v>
      </c>
      <c r="F16" s="368" t="s">
        <v>26</v>
      </c>
      <c r="G16" s="468">
        <v>0</v>
      </c>
      <c r="H16" s="367" t="s">
        <v>9</v>
      </c>
      <c r="I16" s="469">
        <v>0</v>
      </c>
      <c r="J16" s="369">
        <f t="shared" si="10"/>
        <v>3</v>
      </c>
      <c r="K16" s="363">
        <f t="shared" si="5"/>
        <v>1</v>
      </c>
      <c r="L16" s="363">
        <f t="shared" si="6"/>
        <v>1</v>
      </c>
      <c r="M16" s="352"/>
      <c r="N16" s="352"/>
      <c r="O16" s="404" t="s">
        <v>14</v>
      </c>
      <c r="P16" s="399">
        <f>SUMIF($D$8:$D$55,$O16,$G$8:$G$55)+SUMIF($F$8:$F$55,$O16,$I$8:$I$55)</f>
        <v>3</v>
      </c>
      <c r="Q16" s="399">
        <f>SUMIF($D$8:$D$55,$O16,$I$8:$I$55)+SUMIF($F$8:$F$55,$O16,$G$8:$G$55)</f>
        <v>4</v>
      </c>
      <c r="R16" s="399">
        <f>P16-Q16</f>
        <v>-1</v>
      </c>
      <c r="S16" s="400">
        <f>SUMIF($D$8:$D$55,$O16,$K$8:$K$55)+SUMIF($F$8:$F$55,$O16,$L$8:$L$55)</f>
        <v>4</v>
      </c>
      <c r="T16" s="445" t="s">
        <v>54</v>
      </c>
      <c r="U16" s="40"/>
      <c r="V16" s="40" t="str">
        <f>O16</f>
        <v>Nederland</v>
      </c>
      <c r="W16" s="40" t="s">
        <v>53</v>
      </c>
      <c r="Y16" s="109">
        <f t="shared" si="7"/>
        <v>0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8"/>
        <v>0</v>
      </c>
      <c r="AG16" s="108">
        <f t="shared" si="0"/>
        <v>0</v>
      </c>
      <c r="AH16" s="108">
        <f t="shared" si="1"/>
        <v>0</v>
      </c>
      <c r="AI16" s="108">
        <f t="shared" si="9"/>
        <v>0</v>
      </c>
      <c r="AJ16" s="108">
        <f t="shared" si="2"/>
        <v>0</v>
      </c>
      <c r="AK16" s="108">
        <f t="shared" si="3"/>
        <v>0</v>
      </c>
      <c r="AL16" s="108">
        <f t="shared" si="4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370">
        <v>10</v>
      </c>
      <c r="C17" s="126">
        <v>41805</v>
      </c>
      <c r="D17" s="372" t="s">
        <v>27</v>
      </c>
      <c r="E17" s="373" t="s">
        <v>9</v>
      </c>
      <c r="F17" s="382" t="s">
        <v>28</v>
      </c>
      <c r="G17" s="470">
        <v>3</v>
      </c>
      <c r="H17" s="373" t="s">
        <v>9</v>
      </c>
      <c r="I17" s="471">
        <v>0</v>
      </c>
      <c r="J17" s="375">
        <f t="shared" si="10"/>
        <v>1</v>
      </c>
      <c r="K17" s="363">
        <f t="shared" si="5"/>
        <v>3</v>
      </c>
      <c r="L17" s="363">
        <f t="shared" si="6"/>
        <v>0</v>
      </c>
      <c r="M17" s="352"/>
      <c r="N17" s="352"/>
      <c r="O17" s="398" t="s">
        <v>15</v>
      </c>
      <c r="P17" s="399">
        <f>SUMIF($D$8:$D$55,$O17,$G$8:$G$55)+SUMIF($F$8:$F$55,$O17,$I$8:$I$55)</f>
        <v>3</v>
      </c>
      <c r="Q17" s="399">
        <f>SUMIF($D$8:$D$55,$O17,$I$8:$I$55)+SUMIF($F$8:$F$55,$O17,$G$8:$G$55)</f>
        <v>3</v>
      </c>
      <c r="R17" s="399">
        <f>P17-Q17</f>
        <v>0</v>
      </c>
      <c r="S17" s="400">
        <f>SUMIF($D$8:$D$55,$O17,$K$8:$K$55)+SUMIF($F$8:$F$55,$O17,$L$8:$L$55)</f>
        <v>4</v>
      </c>
      <c r="T17" s="445" t="s">
        <v>53</v>
      </c>
      <c r="U17" s="40"/>
      <c r="V17" s="40" t="str">
        <f>O17</f>
        <v>Chili</v>
      </c>
      <c r="W17" s="40" t="s">
        <v>54</v>
      </c>
      <c r="Y17" s="109">
        <f t="shared" si="7"/>
        <v>10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8"/>
        <v>10</v>
      </c>
      <c r="AG17" s="108">
        <f t="shared" si="0"/>
        <v>1</v>
      </c>
      <c r="AH17" s="108">
        <f t="shared" si="1"/>
        <v>1</v>
      </c>
      <c r="AI17" s="108">
        <f t="shared" si="9"/>
        <v>10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10</v>
      </c>
      <c r="AN17" s="117" t="s">
        <v>15</v>
      </c>
      <c r="AO17" s="115">
        <f>IF(Uitslag!T17="",0,IF(T17=Uitslag!T17,10,0))</f>
        <v>10</v>
      </c>
    </row>
    <row r="18" spans="2:41" ht="15.75" thickBot="1">
      <c r="B18" s="376">
        <v>11</v>
      </c>
      <c r="C18" s="127">
        <v>41805</v>
      </c>
      <c r="D18" s="378" t="s">
        <v>29</v>
      </c>
      <c r="E18" s="379" t="s">
        <v>9</v>
      </c>
      <c r="F18" s="380" t="s">
        <v>30</v>
      </c>
      <c r="G18" s="472">
        <v>2</v>
      </c>
      <c r="H18" s="379" t="s">
        <v>9</v>
      </c>
      <c r="I18" s="473">
        <v>1</v>
      </c>
      <c r="J18" s="381">
        <f t="shared" si="10"/>
        <v>1</v>
      </c>
      <c r="K18" s="363">
        <f t="shared" si="5"/>
        <v>3</v>
      </c>
      <c r="L18" s="363">
        <f t="shared" si="6"/>
        <v>0</v>
      </c>
      <c r="M18" s="352"/>
      <c r="N18" s="352"/>
      <c r="O18" s="401" t="s">
        <v>16</v>
      </c>
      <c r="P18" s="402">
        <f>SUMIF($D$8:$D$55,$O18,$G$8:$G$55)+SUMIF($F$8:$F$55,$O18,$I$8:$I$55)</f>
        <v>0</v>
      </c>
      <c r="Q18" s="402">
        <f>SUMIF($D$8:$D$55,$O18,$I$8:$I$55)+SUMIF($F$8:$F$55,$O18,$G$8:$G$55)</f>
        <v>4</v>
      </c>
      <c r="R18" s="402">
        <f>P18-Q18</f>
        <v>-4</v>
      </c>
      <c r="S18" s="403">
        <f>SUMIF($D$8:$D$55,$O18,$K$8:$K$55)+SUMIF($F$8:$F$55,$O18,$L$8:$L$55)</f>
        <v>0</v>
      </c>
      <c r="T18" s="446" t="s">
        <v>55</v>
      </c>
      <c r="U18" s="40"/>
      <c r="V18" s="40" t="str">
        <f>O18</f>
        <v>Australië</v>
      </c>
      <c r="W18" s="40" t="s">
        <v>55</v>
      </c>
      <c r="Y18" s="109">
        <f t="shared" si="7"/>
        <v>10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8"/>
        <v>10</v>
      </c>
      <c r="AG18" s="108">
        <f t="shared" si="0"/>
        <v>1</v>
      </c>
      <c r="AH18" s="108">
        <f t="shared" si="1"/>
        <v>1</v>
      </c>
      <c r="AI18" s="108">
        <f t="shared" si="9"/>
        <v>10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364">
        <v>12</v>
      </c>
      <c r="C19" s="125">
        <v>41806</v>
      </c>
      <c r="D19" s="366" t="s">
        <v>31</v>
      </c>
      <c r="E19" s="367" t="s">
        <v>9</v>
      </c>
      <c r="F19" s="368" t="s">
        <v>32</v>
      </c>
      <c r="G19" s="468">
        <v>1</v>
      </c>
      <c r="H19" s="367" t="s">
        <v>9</v>
      </c>
      <c r="I19" s="469">
        <v>0</v>
      </c>
      <c r="J19" s="369">
        <f t="shared" si="10"/>
        <v>1</v>
      </c>
      <c r="K19" s="363">
        <f t="shared" si="5"/>
        <v>3</v>
      </c>
      <c r="L19" s="363">
        <f t="shared" si="6"/>
        <v>0</v>
      </c>
      <c r="M19" s="352"/>
      <c r="N19" s="352"/>
      <c r="O19" s="392"/>
      <c r="P19" s="393"/>
      <c r="Q19" s="393"/>
      <c r="R19" s="393"/>
      <c r="S19" s="393"/>
      <c r="T19" s="393"/>
      <c r="U19" s="40"/>
      <c r="V19" s="40"/>
      <c r="W19" s="40"/>
      <c r="Y19" s="109">
        <f t="shared" si="7"/>
        <v>6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8"/>
        <v>6</v>
      </c>
      <c r="AG19" s="108">
        <f t="shared" si="0"/>
        <v>0</v>
      </c>
      <c r="AH19" s="108">
        <f t="shared" si="1"/>
        <v>1</v>
      </c>
      <c r="AI19" s="108">
        <f t="shared" si="9"/>
        <v>0</v>
      </c>
      <c r="AJ19" s="108">
        <f t="shared" si="2"/>
        <v>5</v>
      </c>
      <c r="AK19" s="108">
        <f t="shared" si="3"/>
        <v>0</v>
      </c>
      <c r="AL19" s="108">
        <f t="shared" si="4"/>
        <v>0</v>
      </c>
      <c r="AN19" s="40"/>
      <c r="AO19" s="41"/>
    </row>
    <row r="20" spans="2:41" ht="15.75" thickBot="1">
      <c r="B20" s="370">
        <v>13</v>
      </c>
      <c r="C20" s="126">
        <v>41806</v>
      </c>
      <c r="D20" s="372" t="s">
        <v>33</v>
      </c>
      <c r="E20" s="373" t="s">
        <v>9</v>
      </c>
      <c r="F20" s="382" t="s">
        <v>34</v>
      </c>
      <c r="G20" s="470">
        <v>1</v>
      </c>
      <c r="H20" s="373" t="s">
        <v>9</v>
      </c>
      <c r="I20" s="471">
        <v>1</v>
      </c>
      <c r="J20" s="375">
        <f t="shared" si="10"/>
        <v>3</v>
      </c>
      <c r="K20" s="363">
        <f t="shared" si="5"/>
        <v>1</v>
      </c>
      <c r="L20" s="363">
        <f t="shared" si="6"/>
        <v>1</v>
      </c>
      <c r="M20" s="352"/>
      <c r="N20" s="352"/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40"/>
      <c r="V20" s="40"/>
      <c r="W20" s="40"/>
      <c r="Y20" s="109">
        <f t="shared" si="7"/>
        <v>5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8"/>
        <v>5</v>
      </c>
      <c r="AG20" s="108">
        <f t="shared" si="0"/>
        <v>0</v>
      </c>
      <c r="AH20" s="108">
        <f t="shared" si="1"/>
        <v>0</v>
      </c>
      <c r="AI20" s="108">
        <f t="shared" si="9"/>
        <v>0</v>
      </c>
      <c r="AJ20" s="108">
        <f t="shared" si="2"/>
        <v>0</v>
      </c>
      <c r="AK20" s="108">
        <f t="shared" si="3"/>
        <v>0</v>
      </c>
      <c r="AL20" s="108">
        <f t="shared" si="4"/>
        <v>5</v>
      </c>
      <c r="AN20" s="42" t="s">
        <v>56</v>
      </c>
      <c r="AO20" s="43" t="s">
        <v>46</v>
      </c>
    </row>
    <row r="21" spans="2:41" ht="15.75" thickBot="1">
      <c r="B21" s="376">
        <v>14</v>
      </c>
      <c r="C21" s="127">
        <v>41806</v>
      </c>
      <c r="D21" s="378" t="s">
        <v>35</v>
      </c>
      <c r="E21" s="379" t="s">
        <v>9</v>
      </c>
      <c r="F21" s="380" t="s">
        <v>36</v>
      </c>
      <c r="G21" s="472">
        <v>1</v>
      </c>
      <c r="H21" s="379" t="s">
        <v>9</v>
      </c>
      <c r="I21" s="473">
        <v>0</v>
      </c>
      <c r="J21" s="381">
        <f t="shared" si="10"/>
        <v>1</v>
      </c>
      <c r="K21" s="363">
        <f t="shared" si="5"/>
        <v>3</v>
      </c>
      <c r="L21" s="363">
        <f t="shared" si="6"/>
        <v>0</v>
      </c>
      <c r="M21" s="352"/>
      <c r="N21" s="352"/>
      <c r="O21" s="394" t="s">
        <v>17</v>
      </c>
      <c r="P21" s="395">
        <f>SUMIF($D$8:$D$55,$O21,$G$8:$G$55)+SUMIF($F$8:$F$55,$O21,$I$8:$I$55)</f>
        <v>0</v>
      </c>
      <c r="Q21" s="395">
        <f>SUMIF($D$8:$D$55,$O21,$I$8:$I$55)+SUMIF($F$8:$F$55,$O21,$G$8:$G$55)</f>
        <v>0</v>
      </c>
      <c r="R21" s="396">
        <f>P21-Q21</f>
        <v>0</v>
      </c>
      <c r="S21" s="397">
        <f>SUMIF($D$8:$D$55,$O21,$K$8:$K$55)+SUMIF($F$8:$F$55,$O21,$L$8:$L$55)</f>
        <v>3</v>
      </c>
      <c r="T21" s="444" t="s">
        <v>59</v>
      </c>
      <c r="U21" s="40"/>
      <c r="V21" s="40" t="str">
        <f>O21</f>
        <v>Colombia</v>
      </c>
      <c r="W21" s="40" t="s">
        <v>57</v>
      </c>
      <c r="Y21" s="109">
        <f t="shared" si="7"/>
        <v>1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8"/>
        <v>1</v>
      </c>
      <c r="AG21" s="108">
        <f t="shared" si="0"/>
        <v>1</v>
      </c>
      <c r="AH21" s="108">
        <f t="shared" si="1"/>
        <v>0</v>
      </c>
      <c r="AI21" s="108">
        <f t="shared" si="9"/>
        <v>0</v>
      </c>
      <c r="AJ21" s="108">
        <f t="shared" si="2"/>
        <v>0</v>
      </c>
      <c r="AK21" s="108">
        <f t="shared" si="3"/>
        <v>0</v>
      </c>
      <c r="AL21" s="108">
        <f t="shared" si="4"/>
        <v>0</v>
      </c>
      <c r="AM21" s="120">
        <f>AO21</f>
        <v>0</v>
      </c>
      <c r="AN21" s="116" t="s">
        <v>17</v>
      </c>
      <c r="AO21" s="115">
        <f>IF(Uitslag!T21="",0,IF(T21=Uitslag!T21,10,0))</f>
        <v>0</v>
      </c>
    </row>
    <row r="22" spans="2:41" ht="15.75" thickBot="1">
      <c r="B22" s="364">
        <v>15</v>
      </c>
      <c r="C22" s="125">
        <v>41807</v>
      </c>
      <c r="D22" s="366" t="s">
        <v>37</v>
      </c>
      <c r="E22" s="367" t="s">
        <v>9</v>
      </c>
      <c r="F22" s="368" t="s">
        <v>38</v>
      </c>
      <c r="G22" s="468">
        <v>0</v>
      </c>
      <c r="H22" s="367" t="s">
        <v>9</v>
      </c>
      <c r="I22" s="469">
        <v>0</v>
      </c>
      <c r="J22" s="369">
        <f t="shared" si="10"/>
        <v>3</v>
      </c>
      <c r="K22" s="363">
        <f t="shared" si="5"/>
        <v>1</v>
      </c>
      <c r="L22" s="363">
        <f t="shared" si="6"/>
        <v>1</v>
      </c>
      <c r="M22" s="352"/>
      <c r="N22" s="352"/>
      <c r="O22" s="398" t="s">
        <v>18</v>
      </c>
      <c r="P22" s="399">
        <f>SUMIF($D$8:$D$55,$O22,$G$8:$G$55)+SUMIF($F$8:$F$55,$O22,$I$8:$I$55)</f>
        <v>0</v>
      </c>
      <c r="Q22" s="399">
        <f>SUMIF($D$8:$D$55,$O22,$I$8:$I$55)+SUMIF($F$8:$F$55,$O22,$G$8:$G$55)</f>
        <v>1</v>
      </c>
      <c r="R22" s="399">
        <f>P22-Q22</f>
        <v>-1</v>
      </c>
      <c r="S22" s="400">
        <f>SUMIF($D$8:$D$55,$O22,$K$8:$K$55)+SUMIF($F$8:$F$55,$O22,$L$8:$L$55)</f>
        <v>2</v>
      </c>
      <c r="T22" s="445" t="s">
        <v>60</v>
      </c>
      <c r="U22" s="40"/>
      <c r="V22" s="40" t="str">
        <f>O22</f>
        <v>Griekenland</v>
      </c>
      <c r="W22" s="40" t="s">
        <v>58</v>
      </c>
      <c r="Y22" s="109">
        <f t="shared" si="7"/>
        <v>0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8"/>
        <v>0</v>
      </c>
      <c r="AG22" s="108">
        <f t="shared" si="0"/>
        <v>0</v>
      </c>
      <c r="AH22" s="108">
        <f t="shared" si="1"/>
        <v>0</v>
      </c>
      <c r="AI22" s="108">
        <f t="shared" si="9"/>
        <v>0</v>
      </c>
      <c r="AJ22" s="108">
        <f t="shared" si="2"/>
        <v>0</v>
      </c>
      <c r="AK22" s="108">
        <f t="shared" si="3"/>
        <v>0</v>
      </c>
      <c r="AL22" s="108">
        <f t="shared" si="4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370">
        <v>16</v>
      </c>
      <c r="C23" s="126">
        <v>41807</v>
      </c>
      <c r="D23" s="372" t="s">
        <v>8</v>
      </c>
      <c r="E23" s="373" t="s">
        <v>9</v>
      </c>
      <c r="F23" s="382" t="s">
        <v>11</v>
      </c>
      <c r="G23" s="470">
        <v>2</v>
      </c>
      <c r="H23" s="373" t="s">
        <v>9</v>
      </c>
      <c r="I23" s="471">
        <v>0</v>
      </c>
      <c r="J23" s="375">
        <f t="shared" si="10"/>
        <v>1</v>
      </c>
      <c r="K23" s="363">
        <f t="shared" si="5"/>
        <v>3</v>
      </c>
      <c r="L23" s="363">
        <f t="shared" si="6"/>
        <v>0</v>
      </c>
      <c r="M23" s="352"/>
      <c r="N23" s="352"/>
      <c r="O23" s="398" t="s">
        <v>23</v>
      </c>
      <c r="P23" s="399">
        <f>SUMIF($D$8:$D$55,$O23,$G$8:$G$55)+SUMIF($F$8:$F$55,$O23,$I$8:$I$55)</f>
        <v>4</v>
      </c>
      <c r="Q23" s="399">
        <f>SUMIF($D$8:$D$55,$O23,$I$8:$I$55)+SUMIF($F$8:$F$55,$O23,$G$8:$G$55)</f>
        <v>0</v>
      </c>
      <c r="R23" s="399">
        <f>P23-Q23</f>
        <v>4</v>
      </c>
      <c r="S23" s="400">
        <f>SUMIF($D$8:$D$55,$O23,$K$8:$K$55)+SUMIF($F$8:$F$55,$O23,$L$8:$L$55)</f>
        <v>5</v>
      </c>
      <c r="T23" s="445" t="s">
        <v>57</v>
      </c>
      <c r="U23" s="40"/>
      <c r="V23" s="40" t="str">
        <f>O23</f>
        <v>Ivoorkust</v>
      </c>
      <c r="W23" s="40" t="s">
        <v>59</v>
      </c>
      <c r="Y23" s="109">
        <f t="shared" si="7"/>
        <v>1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8"/>
        <v>1</v>
      </c>
      <c r="AG23" s="108">
        <f t="shared" si="0"/>
        <v>0</v>
      </c>
      <c r="AH23" s="108">
        <f t="shared" si="1"/>
        <v>1</v>
      </c>
      <c r="AI23" s="108">
        <f t="shared" si="9"/>
        <v>0</v>
      </c>
      <c r="AJ23" s="108">
        <f t="shared" si="2"/>
        <v>0</v>
      </c>
      <c r="AK23" s="108">
        <f t="shared" si="3"/>
        <v>0</v>
      </c>
      <c r="AL23" s="108">
        <f t="shared" si="4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376">
        <v>17</v>
      </c>
      <c r="C24" s="127">
        <v>41807</v>
      </c>
      <c r="D24" s="378" t="s">
        <v>39</v>
      </c>
      <c r="E24" s="379" t="s">
        <v>9</v>
      </c>
      <c r="F24" s="380" t="s">
        <v>40</v>
      </c>
      <c r="G24" s="472">
        <v>1</v>
      </c>
      <c r="H24" s="379" t="s">
        <v>9</v>
      </c>
      <c r="I24" s="473">
        <v>1</v>
      </c>
      <c r="J24" s="381">
        <f t="shared" si="10"/>
        <v>3</v>
      </c>
      <c r="K24" s="363">
        <f t="shared" si="5"/>
        <v>1</v>
      </c>
      <c r="L24" s="363">
        <f t="shared" si="6"/>
        <v>1</v>
      </c>
      <c r="M24" s="352"/>
      <c r="N24" s="352"/>
      <c r="O24" s="401" t="s">
        <v>24</v>
      </c>
      <c r="P24" s="402">
        <f>SUMIF($D$8:$D$55,$O24,$G$8:$G$55)+SUMIF($F$8:$F$55,$O24,$I$8:$I$55)</f>
        <v>1</v>
      </c>
      <c r="Q24" s="402">
        <f>SUMIF($D$8:$D$55,$O24,$I$8:$I$55)+SUMIF($F$8:$F$55,$O24,$G$8:$G$55)</f>
        <v>4</v>
      </c>
      <c r="R24" s="402">
        <f>P24-Q24</f>
        <v>-3</v>
      </c>
      <c r="S24" s="403">
        <f>SUMIF($D$8:$D$55,$O24,$K$8:$K$55)+SUMIF($F$8:$F$55,$O24,$L$8:$L$55)</f>
        <v>4</v>
      </c>
      <c r="T24" s="446" t="s">
        <v>58</v>
      </c>
      <c r="U24" s="40"/>
      <c r="V24" s="40" t="str">
        <f>O24</f>
        <v>Japan</v>
      </c>
      <c r="W24" s="40" t="s">
        <v>60</v>
      </c>
      <c r="Y24" s="109">
        <f t="shared" si="7"/>
        <v>10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8"/>
        <v>10</v>
      </c>
      <c r="AG24" s="108">
        <f t="shared" si="0"/>
        <v>1</v>
      </c>
      <c r="AH24" s="108">
        <f t="shared" si="1"/>
        <v>1</v>
      </c>
      <c r="AI24" s="108">
        <f t="shared" si="9"/>
        <v>10</v>
      </c>
      <c r="AJ24" s="108">
        <f t="shared" si="2"/>
        <v>0</v>
      </c>
      <c r="AK24" s="108">
        <f t="shared" si="3"/>
        <v>0</v>
      </c>
      <c r="AL24" s="108">
        <f t="shared" si="4"/>
        <v>5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364">
        <v>18</v>
      </c>
      <c r="C25" s="125">
        <v>41808</v>
      </c>
      <c r="D25" s="366" t="s">
        <v>16</v>
      </c>
      <c r="E25" s="367" t="s">
        <v>9</v>
      </c>
      <c r="F25" s="383" t="s">
        <v>14</v>
      </c>
      <c r="G25" s="468">
        <v>0</v>
      </c>
      <c r="H25" s="367" t="s">
        <v>9</v>
      </c>
      <c r="I25" s="469">
        <v>1</v>
      </c>
      <c r="J25" s="369">
        <f t="shared" si="10"/>
        <v>2</v>
      </c>
      <c r="K25" s="363">
        <f t="shared" si="5"/>
        <v>0</v>
      </c>
      <c r="L25" s="363">
        <f t="shared" si="6"/>
        <v>3</v>
      </c>
      <c r="M25" s="352"/>
      <c r="N25" s="352"/>
      <c r="O25" s="392"/>
      <c r="P25" s="393"/>
      <c r="Q25" s="393"/>
      <c r="R25" s="393"/>
      <c r="S25" s="393"/>
      <c r="T25" s="393"/>
      <c r="U25" s="40"/>
      <c r="V25" s="40"/>
      <c r="W25" s="40"/>
      <c r="Y25" s="109">
        <f t="shared" si="7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8"/>
        <v>5</v>
      </c>
      <c r="AG25" s="108">
        <f t="shared" si="0"/>
        <v>0</v>
      </c>
      <c r="AH25" s="108">
        <f t="shared" si="1"/>
        <v>0</v>
      </c>
      <c r="AI25" s="108">
        <f t="shared" si="9"/>
        <v>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40"/>
      <c r="AO25" s="41"/>
    </row>
    <row r="26" spans="2:41" ht="15.75" thickBot="1">
      <c r="B26" s="370">
        <v>19</v>
      </c>
      <c r="C26" s="126">
        <v>41808</v>
      </c>
      <c r="D26" s="372" t="s">
        <v>13</v>
      </c>
      <c r="E26" s="373" t="s">
        <v>9</v>
      </c>
      <c r="F26" s="382" t="s">
        <v>15</v>
      </c>
      <c r="G26" s="470">
        <v>2</v>
      </c>
      <c r="H26" s="373" t="s">
        <v>9</v>
      </c>
      <c r="I26" s="471">
        <v>0</v>
      </c>
      <c r="J26" s="375">
        <f t="shared" si="10"/>
        <v>1</v>
      </c>
      <c r="K26" s="363">
        <f t="shared" si="5"/>
        <v>3</v>
      </c>
      <c r="L26" s="363">
        <f t="shared" si="6"/>
        <v>0</v>
      </c>
      <c r="M26" s="352"/>
      <c r="N26" s="352"/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40"/>
      <c r="V26" s="40"/>
      <c r="W26" s="40"/>
      <c r="Y26" s="109">
        <f t="shared" si="7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8"/>
        <v>0</v>
      </c>
      <c r="AG26" s="108">
        <f t="shared" si="0"/>
        <v>0</v>
      </c>
      <c r="AH26" s="108">
        <f t="shared" si="1"/>
        <v>0</v>
      </c>
      <c r="AI26" s="108">
        <f t="shared" si="9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127">
        <v>41808</v>
      </c>
      <c r="D27" s="378" t="s">
        <v>12</v>
      </c>
      <c r="E27" s="379" t="s">
        <v>9</v>
      </c>
      <c r="F27" s="380" t="s">
        <v>10</v>
      </c>
      <c r="G27" s="472">
        <v>1</v>
      </c>
      <c r="H27" s="379" t="s">
        <v>9</v>
      </c>
      <c r="I27" s="473">
        <v>0</v>
      </c>
      <c r="J27" s="381">
        <f t="shared" si="10"/>
        <v>1</v>
      </c>
      <c r="K27" s="363">
        <f t="shared" si="5"/>
        <v>3</v>
      </c>
      <c r="L27" s="363">
        <f t="shared" si="6"/>
        <v>0</v>
      </c>
      <c r="M27" s="352"/>
      <c r="N27" s="352"/>
      <c r="O27" s="394" t="s">
        <v>19</v>
      </c>
      <c r="P27" s="395">
        <f>SUMIF($D$8:$D$55,$O27,$G$8:$G$55)+SUMIF($F$8:$F$55,$O27,$I$8:$I$55)</f>
        <v>0</v>
      </c>
      <c r="Q27" s="395">
        <f>SUMIF($D$8:$D$55,$O27,$I$8:$I$55)+SUMIF($F$8:$F$55,$O27,$G$8:$G$55)</f>
        <v>2</v>
      </c>
      <c r="R27" s="396">
        <f>P27-Q27</f>
        <v>-2</v>
      </c>
      <c r="S27" s="397">
        <f>SUMIF($D$8:$D$55,$O27,$K$8:$K$55)+SUMIF($F$8:$F$55,$O27,$L$8:$L$55)</f>
        <v>1</v>
      </c>
      <c r="T27" s="444" t="s">
        <v>64</v>
      </c>
      <c r="U27" s="40"/>
      <c r="V27" s="40" t="str">
        <f>O27</f>
        <v>Uruguay</v>
      </c>
      <c r="W27" s="40" t="s">
        <v>62</v>
      </c>
      <c r="Y27" s="109">
        <f t="shared" si="7"/>
        <v>0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8"/>
        <v>0</v>
      </c>
      <c r="AG27" s="108">
        <f t="shared" si="0"/>
        <v>0</v>
      </c>
      <c r="AH27" s="108">
        <f t="shared" si="1"/>
        <v>0</v>
      </c>
      <c r="AI27" s="108">
        <f t="shared" si="9"/>
        <v>0</v>
      </c>
      <c r="AJ27" s="108">
        <f t="shared" si="2"/>
        <v>0</v>
      </c>
      <c r="AK27" s="108">
        <f t="shared" si="3"/>
        <v>0</v>
      </c>
      <c r="AL27" s="108">
        <f t="shared" si="4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364">
        <v>21</v>
      </c>
      <c r="C28" s="125">
        <v>41809</v>
      </c>
      <c r="D28" s="366" t="s">
        <v>17</v>
      </c>
      <c r="E28" s="367" t="s">
        <v>9</v>
      </c>
      <c r="F28" s="368" t="s">
        <v>23</v>
      </c>
      <c r="G28" s="468">
        <v>0</v>
      </c>
      <c r="H28" s="367" t="s">
        <v>9</v>
      </c>
      <c r="I28" s="469">
        <v>0</v>
      </c>
      <c r="J28" s="369">
        <f t="shared" si="10"/>
        <v>3</v>
      </c>
      <c r="K28" s="363">
        <f t="shared" si="5"/>
        <v>1</v>
      </c>
      <c r="L28" s="363">
        <f t="shared" si="6"/>
        <v>1</v>
      </c>
      <c r="M28" s="352"/>
      <c r="N28" s="352"/>
      <c r="O28" s="398" t="s">
        <v>20</v>
      </c>
      <c r="P28" s="399">
        <f>SUMIF($D$8:$D$55,$O28,$G$8:$G$55)+SUMIF($F$8:$F$55,$O28,$I$8:$I$55)</f>
        <v>0</v>
      </c>
      <c r="Q28" s="399">
        <f>SUMIF($D$8:$D$55,$O28,$I$8:$I$55)+SUMIF($F$8:$F$55,$O28,$G$8:$G$55)</f>
        <v>3</v>
      </c>
      <c r="R28" s="399">
        <f>P28-Q28</f>
        <v>-3</v>
      </c>
      <c r="S28" s="400">
        <f>SUMIF($D$8:$D$55,$O28,$K$8:$K$55)+SUMIF($F$8:$F$55,$O28,$L$8:$L$55)</f>
        <v>1</v>
      </c>
      <c r="T28" s="445" t="s">
        <v>65</v>
      </c>
      <c r="U28" s="40"/>
      <c r="V28" s="40" t="str">
        <f>O28</f>
        <v>Costa Rica</v>
      </c>
      <c r="W28" s="40" t="s">
        <v>63</v>
      </c>
      <c r="Y28" s="109">
        <f t="shared" si="7"/>
        <v>0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8"/>
        <v>0</v>
      </c>
      <c r="AG28" s="108">
        <f t="shared" si="0"/>
        <v>0</v>
      </c>
      <c r="AH28" s="108">
        <f t="shared" si="1"/>
        <v>0</v>
      </c>
      <c r="AI28" s="108">
        <f t="shared" si="9"/>
        <v>0</v>
      </c>
      <c r="AJ28" s="108">
        <f t="shared" si="2"/>
        <v>0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126">
        <v>41809</v>
      </c>
      <c r="D29" s="372" t="s">
        <v>19</v>
      </c>
      <c r="E29" s="373" t="s">
        <v>9</v>
      </c>
      <c r="F29" s="382" t="s">
        <v>21</v>
      </c>
      <c r="G29" s="470">
        <v>0</v>
      </c>
      <c r="H29" s="373" t="s">
        <v>9</v>
      </c>
      <c r="I29" s="471">
        <v>1</v>
      </c>
      <c r="J29" s="375">
        <f t="shared" si="10"/>
        <v>2</v>
      </c>
      <c r="K29" s="363">
        <f t="shared" si="5"/>
        <v>0</v>
      </c>
      <c r="L29" s="363">
        <f t="shared" si="6"/>
        <v>3</v>
      </c>
      <c r="M29" s="352"/>
      <c r="N29" s="352"/>
      <c r="O29" s="398" t="s">
        <v>21</v>
      </c>
      <c r="P29" s="399">
        <f>SUMIF($D$8:$D$55,$O29,$G$8:$G$55)+SUMIF($F$8:$F$55,$O29,$I$8:$I$55)</f>
        <v>4</v>
      </c>
      <c r="Q29" s="399">
        <f>SUMIF($D$8:$D$55,$O29,$I$8:$I$55)+SUMIF($F$8:$F$55,$O29,$G$8:$G$55)</f>
        <v>5</v>
      </c>
      <c r="R29" s="399">
        <f>P29-Q29</f>
        <v>-1</v>
      </c>
      <c r="S29" s="400">
        <f>SUMIF($D$8:$D$55,$O29,$K$8:$K$55)+SUMIF($F$8:$F$55,$O29,$L$8:$L$55)</f>
        <v>6</v>
      </c>
      <c r="T29" s="445" t="s">
        <v>63</v>
      </c>
      <c r="U29" s="40"/>
      <c r="V29" s="40" t="str">
        <f>O29</f>
        <v>Engeland</v>
      </c>
      <c r="W29" s="40" t="s">
        <v>64</v>
      </c>
      <c r="Y29" s="109">
        <f t="shared" si="7"/>
        <v>1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8"/>
        <v>1</v>
      </c>
      <c r="AG29" s="108">
        <f t="shared" si="0"/>
        <v>0</v>
      </c>
      <c r="AH29" s="108">
        <f t="shared" si="1"/>
        <v>1</v>
      </c>
      <c r="AI29" s="108">
        <f t="shared" si="9"/>
        <v>0</v>
      </c>
      <c r="AJ29" s="108">
        <f t="shared" si="2"/>
        <v>0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127">
        <v>41809</v>
      </c>
      <c r="D30" s="378" t="s">
        <v>24</v>
      </c>
      <c r="E30" s="379" t="s">
        <v>9</v>
      </c>
      <c r="F30" s="380" t="s">
        <v>18</v>
      </c>
      <c r="G30" s="472">
        <v>1</v>
      </c>
      <c r="H30" s="379" t="s">
        <v>9</v>
      </c>
      <c r="I30" s="473">
        <v>0</v>
      </c>
      <c r="J30" s="381">
        <f t="shared" si="10"/>
        <v>1</v>
      </c>
      <c r="K30" s="363">
        <f t="shared" si="5"/>
        <v>3</v>
      </c>
      <c r="L30" s="363">
        <f t="shared" si="6"/>
        <v>0</v>
      </c>
      <c r="M30" s="352"/>
      <c r="N30" s="352"/>
      <c r="O30" s="401" t="s">
        <v>22</v>
      </c>
      <c r="P30" s="402">
        <f>SUMIF($D$8:$D$55,$O30,$G$8:$G$55)+SUMIF($F$8:$F$55,$O30,$I$8:$I$55)</f>
        <v>7</v>
      </c>
      <c r="Q30" s="402">
        <f>SUMIF($D$8:$D$55,$O30,$I$8:$I$55)+SUMIF($F$8:$F$55,$O30,$G$8:$G$55)</f>
        <v>1</v>
      </c>
      <c r="R30" s="402">
        <f>P30-Q30</f>
        <v>6</v>
      </c>
      <c r="S30" s="403">
        <f>SUMIF($D$8:$D$55,$O30,$K$8:$K$55)+SUMIF($F$8:$F$55,$O30,$L$8:$L$55)</f>
        <v>9</v>
      </c>
      <c r="T30" s="446" t="s">
        <v>62</v>
      </c>
      <c r="U30" s="40"/>
      <c r="V30" s="40" t="str">
        <f>O30</f>
        <v>Italië</v>
      </c>
      <c r="W30" s="40" t="s">
        <v>65</v>
      </c>
      <c r="Y30" s="109">
        <f t="shared" si="7"/>
        <v>1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8"/>
        <v>1</v>
      </c>
      <c r="AG30" s="108">
        <f t="shared" si="0"/>
        <v>0</v>
      </c>
      <c r="AH30" s="108">
        <f t="shared" si="1"/>
        <v>1</v>
      </c>
      <c r="AI30" s="108">
        <f t="shared" si="9"/>
        <v>0</v>
      </c>
      <c r="AJ30" s="108">
        <f t="shared" si="2"/>
        <v>0</v>
      </c>
      <c r="AK30" s="108">
        <f t="shared" si="3"/>
        <v>0</v>
      </c>
      <c r="AL30" s="108">
        <f t="shared" si="4"/>
        <v>0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364">
        <v>24</v>
      </c>
      <c r="C31" s="125">
        <v>41810</v>
      </c>
      <c r="D31" s="366" t="s">
        <v>22</v>
      </c>
      <c r="E31" s="367" t="s">
        <v>9</v>
      </c>
      <c r="F31" s="368" t="s">
        <v>20</v>
      </c>
      <c r="G31" s="468">
        <v>1</v>
      </c>
      <c r="H31" s="367" t="s">
        <v>9</v>
      </c>
      <c r="I31" s="469">
        <v>0</v>
      </c>
      <c r="J31" s="369">
        <f t="shared" si="10"/>
        <v>1</v>
      </c>
      <c r="K31" s="363">
        <f t="shared" si="5"/>
        <v>3</v>
      </c>
      <c r="L31" s="363">
        <f t="shared" si="6"/>
        <v>0</v>
      </c>
      <c r="M31" s="352"/>
      <c r="N31" s="352"/>
      <c r="O31" s="392"/>
      <c r="P31" s="393"/>
      <c r="Q31" s="393"/>
      <c r="R31" s="393"/>
      <c r="S31" s="393"/>
      <c r="T31" s="393"/>
      <c r="U31" s="40"/>
      <c r="V31" s="40"/>
      <c r="W31" s="40"/>
      <c r="Y31" s="109">
        <f t="shared" si="7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8"/>
        <v>0</v>
      </c>
      <c r="AG31" s="108">
        <f t="shared" si="0"/>
        <v>0</v>
      </c>
      <c r="AH31" s="108">
        <f t="shared" si="1"/>
        <v>0</v>
      </c>
      <c r="AI31" s="108">
        <f t="shared" si="9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40"/>
      <c r="AO31" s="41"/>
    </row>
    <row r="32" spans="2:41" ht="15.75" thickBot="1">
      <c r="B32" s="370">
        <v>25</v>
      </c>
      <c r="C32" s="126">
        <v>41810</v>
      </c>
      <c r="D32" s="372" t="s">
        <v>25</v>
      </c>
      <c r="E32" s="373" t="s">
        <v>9</v>
      </c>
      <c r="F32" s="382" t="s">
        <v>27</v>
      </c>
      <c r="G32" s="470">
        <v>0</v>
      </c>
      <c r="H32" s="373" t="s">
        <v>9</v>
      </c>
      <c r="I32" s="471">
        <v>3</v>
      </c>
      <c r="J32" s="375">
        <f t="shared" si="10"/>
        <v>2</v>
      </c>
      <c r="K32" s="363">
        <f t="shared" si="5"/>
        <v>0</v>
      </c>
      <c r="L32" s="363">
        <f t="shared" si="6"/>
        <v>3</v>
      </c>
      <c r="M32" s="352"/>
      <c r="N32" s="352"/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40"/>
      <c r="V32" s="40"/>
      <c r="W32" s="40"/>
      <c r="Y32" s="109">
        <f t="shared" si="7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8"/>
        <v>5</v>
      </c>
      <c r="AG32" s="108">
        <f t="shared" si="0"/>
        <v>0</v>
      </c>
      <c r="AH32" s="108">
        <f t="shared" si="1"/>
        <v>0</v>
      </c>
      <c r="AI32" s="108">
        <f t="shared" si="9"/>
        <v>0</v>
      </c>
      <c r="AJ32" s="108">
        <f t="shared" si="2"/>
        <v>0</v>
      </c>
      <c r="AK32" s="108">
        <f t="shared" si="3"/>
        <v>5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127">
        <v>41810</v>
      </c>
      <c r="D33" s="378" t="s">
        <v>28</v>
      </c>
      <c r="E33" s="379" t="s">
        <v>9</v>
      </c>
      <c r="F33" s="380" t="s">
        <v>26</v>
      </c>
      <c r="G33" s="472">
        <v>0</v>
      </c>
      <c r="H33" s="379" t="s">
        <v>9</v>
      </c>
      <c r="I33" s="473">
        <v>0</v>
      </c>
      <c r="J33" s="381">
        <f t="shared" si="10"/>
        <v>3</v>
      </c>
      <c r="K33" s="363">
        <f t="shared" si="5"/>
        <v>1</v>
      </c>
      <c r="L33" s="363">
        <f t="shared" si="6"/>
        <v>1</v>
      </c>
      <c r="M33" s="352"/>
      <c r="N33" s="352"/>
      <c r="O33" s="394" t="s">
        <v>25</v>
      </c>
      <c r="P33" s="395">
        <f>SUMIF($D$8:$D$55,$O33,$G$8:$G$55)+SUMIF($F$8:$F$55,$O33,$I$8:$I$55)</f>
        <v>0</v>
      </c>
      <c r="Q33" s="395">
        <f>SUMIF($D$8:$D$55,$O33,$I$8:$I$55)+SUMIF($F$8:$F$55,$O33,$G$8:$G$55)</f>
        <v>3</v>
      </c>
      <c r="R33" s="396">
        <f>P33-Q33</f>
        <v>-3</v>
      </c>
      <c r="S33" s="397">
        <f>SUMIF($D$8:$D$55,$O33,$K$8:$K$55)+SUMIF($F$8:$F$55,$O33,$L$8:$L$55)</f>
        <v>2</v>
      </c>
      <c r="T33" s="444" t="s">
        <v>70</v>
      </c>
      <c r="U33" s="40"/>
      <c r="V33" s="40" t="str">
        <f>O33</f>
        <v>Zwitserland</v>
      </c>
      <c r="W33" s="40" t="s">
        <v>67</v>
      </c>
      <c r="Y33" s="109">
        <f t="shared" si="7"/>
        <v>0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8"/>
        <v>0</v>
      </c>
      <c r="AG33" s="108">
        <f t="shared" si="0"/>
        <v>0</v>
      </c>
      <c r="AH33" s="108">
        <f t="shared" si="1"/>
        <v>0</v>
      </c>
      <c r="AI33" s="108">
        <f t="shared" si="9"/>
        <v>0</v>
      </c>
      <c r="AJ33" s="108">
        <f t="shared" si="2"/>
        <v>0</v>
      </c>
      <c r="AK33" s="108">
        <f t="shared" si="3"/>
        <v>0</v>
      </c>
      <c r="AL33" s="108">
        <f t="shared" si="4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364">
        <v>27</v>
      </c>
      <c r="C34" s="125">
        <v>41811</v>
      </c>
      <c r="D34" s="366" t="s">
        <v>29</v>
      </c>
      <c r="E34" s="367" t="s">
        <v>9</v>
      </c>
      <c r="F34" s="368" t="s">
        <v>33</v>
      </c>
      <c r="G34" s="468">
        <v>2</v>
      </c>
      <c r="H34" s="367" t="s">
        <v>9</v>
      </c>
      <c r="I34" s="469">
        <v>0</v>
      </c>
      <c r="J34" s="369">
        <f t="shared" si="10"/>
        <v>1</v>
      </c>
      <c r="K34" s="363">
        <f t="shared" si="5"/>
        <v>3</v>
      </c>
      <c r="L34" s="363">
        <f t="shared" si="6"/>
        <v>0</v>
      </c>
      <c r="M34" s="352"/>
      <c r="N34" s="352"/>
      <c r="O34" s="398" t="s">
        <v>26</v>
      </c>
      <c r="P34" s="399">
        <f>SUMIF($D$8:$D$55,$O34,$G$8:$G$55)+SUMIF($F$8:$F$55,$O34,$I$8:$I$55)</f>
        <v>0</v>
      </c>
      <c r="Q34" s="399">
        <f>SUMIF($D$8:$D$55,$O34,$I$8:$I$55)+SUMIF($F$8:$F$55,$O34,$G$8:$G$55)</f>
        <v>1</v>
      </c>
      <c r="R34" s="399">
        <f>P34-Q34</f>
        <v>-1</v>
      </c>
      <c r="S34" s="400">
        <f>SUMIF($D$8:$D$55,$O34,$K$8:$K$55)+SUMIF($F$8:$F$55,$O34,$L$8:$L$55)</f>
        <v>2</v>
      </c>
      <c r="T34" s="445" t="s">
        <v>68</v>
      </c>
      <c r="U34" s="40"/>
      <c r="V34" s="40" t="str">
        <f>O34</f>
        <v>Ecuador</v>
      </c>
      <c r="W34" s="40" t="s">
        <v>68</v>
      </c>
      <c r="Y34" s="109">
        <f t="shared" si="7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8"/>
        <v>6</v>
      </c>
      <c r="AG34" s="108">
        <f t="shared" si="0"/>
        <v>0</v>
      </c>
      <c r="AH34" s="108">
        <f t="shared" si="1"/>
        <v>1</v>
      </c>
      <c r="AI34" s="108">
        <f t="shared" si="9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370">
        <v>28</v>
      </c>
      <c r="C35" s="126">
        <v>41811</v>
      </c>
      <c r="D35" s="372" t="s">
        <v>31</v>
      </c>
      <c r="E35" s="373" t="s">
        <v>9</v>
      </c>
      <c r="F35" s="382" t="s">
        <v>35</v>
      </c>
      <c r="G35" s="470">
        <v>3</v>
      </c>
      <c r="H35" s="373" t="s">
        <v>9</v>
      </c>
      <c r="I35" s="471">
        <v>0</v>
      </c>
      <c r="J35" s="375">
        <f t="shared" si="10"/>
        <v>1</v>
      </c>
      <c r="K35" s="363">
        <f t="shared" si="5"/>
        <v>3</v>
      </c>
      <c r="L35" s="363">
        <f t="shared" si="6"/>
        <v>0</v>
      </c>
      <c r="M35" s="352"/>
      <c r="N35" s="352"/>
      <c r="O35" s="398" t="s">
        <v>27</v>
      </c>
      <c r="P35" s="399">
        <f>SUMIF($D$8:$D$55,$O35,$G$8:$G$55)+SUMIF($F$8:$F$55,$O35,$I$8:$I$55)</f>
        <v>7</v>
      </c>
      <c r="Q35" s="399">
        <f>SUMIF($D$8:$D$55,$O35,$I$8:$I$55)+SUMIF($F$8:$F$55,$O35,$G$8:$G$55)</f>
        <v>0</v>
      </c>
      <c r="R35" s="399">
        <f>P35-Q35</f>
        <v>7</v>
      </c>
      <c r="S35" s="400">
        <f>SUMIF($D$8:$D$55,$O35,$K$8:$K$55)+SUMIF($F$8:$F$55,$O35,$L$8:$L$55)</f>
        <v>9</v>
      </c>
      <c r="T35" s="445" t="s">
        <v>67</v>
      </c>
      <c r="U35" s="40"/>
      <c r="V35" s="40" t="str">
        <f>O35</f>
        <v>Frankrijk</v>
      </c>
      <c r="W35" s="40" t="s">
        <v>69</v>
      </c>
      <c r="Y35" s="109">
        <f t="shared" si="7"/>
        <v>0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8"/>
        <v>0</v>
      </c>
      <c r="AG35" s="108">
        <f t="shared" si="0"/>
        <v>0</v>
      </c>
      <c r="AH35" s="108">
        <f t="shared" si="1"/>
        <v>0</v>
      </c>
      <c r="AI35" s="108">
        <f t="shared" si="9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376">
        <v>29</v>
      </c>
      <c r="C36" s="127">
        <v>41811</v>
      </c>
      <c r="D36" s="378" t="s">
        <v>34</v>
      </c>
      <c r="E36" s="379" t="s">
        <v>9</v>
      </c>
      <c r="F36" s="380" t="s">
        <v>30</v>
      </c>
      <c r="G36" s="472">
        <v>0</v>
      </c>
      <c r="H36" s="379" t="s">
        <v>9</v>
      </c>
      <c r="I36" s="473">
        <v>0</v>
      </c>
      <c r="J36" s="381">
        <f t="shared" si="10"/>
        <v>3</v>
      </c>
      <c r="K36" s="363">
        <f t="shared" si="5"/>
        <v>1</v>
      </c>
      <c r="L36" s="363">
        <f t="shared" si="6"/>
        <v>1</v>
      </c>
      <c r="M36" s="352"/>
      <c r="N36" s="352"/>
      <c r="O36" s="401" t="s">
        <v>28</v>
      </c>
      <c r="P36" s="402">
        <f>SUMIF($D$8:$D$55,$O36,$G$8:$G$55)+SUMIF($F$8:$F$55,$O36,$I$8:$I$55)</f>
        <v>0</v>
      </c>
      <c r="Q36" s="402">
        <f>SUMIF($D$8:$D$55,$O36,$I$8:$I$55)+SUMIF($F$8:$F$55,$O36,$G$8:$G$55)</f>
        <v>3</v>
      </c>
      <c r="R36" s="402">
        <f>P36-Q36</f>
        <v>-3</v>
      </c>
      <c r="S36" s="403">
        <f>SUMIF($D$8:$D$55,$O36,$K$8:$K$55)+SUMIF($F$8:$F$55,$O36,$L$8:$L$55)</f>
        <v>2</v>
      </c>
      <c r="T36" s="446" t="s">
        <v>69</v>
      </c>
      <c r="U36" s="40"/>
      <c r="V36" s="40" t="str">
        <f>O36</f>
        <v>Honduras</v>
      </c>
      <c r="W36" s="40" t="s">
        <v>70</v>
      </c>
      <c r="Y36" s="109">
        <f t="shared" si="7"/>
        <v>1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8"/>
        <v>1</v>
      </c>
      <c r="AG36" s="108">
        <f t="shared" si="0"/>
        <v>0</v>
      </c>
      <c r="AH36" s="108">
        <f t="shared" si="1"/>
        <v>1</v>
      </c>
      <c r="AI36" s="108">
        <f t="shared" si="9"/>
        <v>0</v>
      </c>
      <c r="AJ36" s="108">
        <f t="shared" si="2"/>
        <v>0</v>
      </c>
      <c r="AK36" s="108">
        <f t="shared" si="3"/>
        <v>0</v>
      </c>
      <c r="AL36" s="108">
        <f t="shared" si="4"/>
        <v>0</v>
      </c>
      <c r="AM36" s="120">
        <f>AO36</f>
        <v>0</v>
      </c>
      <c r="AN36" s="118" t="s">
        <v>28</v>
      </c>
      <c r="AO36" s="115">
        <f>IF(Uitslag!T36="",0,IF(T36=Uitslag!T36,10,0))</f>
        <v>0</v>
      </c>
    </row>
    <row r="37" spans="2:41" ht="15.75" thickBot="1">
      <c r="B37" s="364">
        <v>30</v>
      </c>
      <c r="C37" s="125">
        <v>41812</v>
      </c>
      <c r="D37" s="366" t="s">
        <v>37</v>
      </c>
      <c r="E37" s="367" t="s">
        <v>9</v>
      </c>
      <c r="F37" s="368" t="s">
        <v>39</v>
      </c>
      <c r="G37" s="468">
        <v>0</v>
      </c>
      <c r="H37" s="367" t="s">
        <v>9</v>
      </c>
      <c r="I37" s="469">
        <v>0</v>
      </c>
      <c r="J37" s="369">
        <f t="shared" si="10"/>
        <v>3</v>
      </c>
      <c r="K37" s="363">
        <f t="shared" si="5"/>
        <v>1</v>
      </c>
      <c r="L37" s="363">
        <f t="shared" si="6"/>
        <v>1</v>
      </c>
      <c r="M37" s="352"/>
      <c r="N37" s="352"/>
      <c r="O37" s="392"/>
      <c r="P37" s="393"/>
      <c r="Q37" s="393"/>
      <c r="R37" s="393"/>
      <c r="S37" s="393"/>
      <c r="T37" s="393"/>
      <c r="U37" s="40"/>
      <c r="V37" s="40"/>
      <c r="W37" s="40"/>
      <c r="Y37" s="109">
        <f t="shared" si="7"/>
        <v>1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8"/>
        <v>1</v>
      </c>
      <c r="AG37" s="108">
        <f t="shared" si="0"/>
        <v>0</v>
      </c>
      <c r="AH37" s="108">
        <f t="shared" si="1"/>
        <v>1</v>
      </c>
      <c r="AI37" s="108">
        <f t="shared" si="9"/>
        <v>0</v>
      </c>
      <c r="AJ37" s="108">
        <f t="shared" si="2"/>
        <v>0</v>
      </c>
      <c r="AK37" s="108">
        <f t="shared" si="3"/>
        <v>0</v>
      </c>
      <c r="AL37" s="108">
        <f t="shared" si="4"/>
        <v>0</v>
      </c>
      <c r="AN37" s="40"/>
      <c r="AO37" s="41"/>
    </row>
    <row r="38" spans="2:41" ht="15.75" thickBot="1">
      <c r="B38" s="370">
        <v>31</v>
      </c>
      <c r="C38" s="126">
        <v>41812</v>
      </c>
      <c r="D38" s="372" t="s">
        <v>40</v>
      </c>
      <c r="E38" s="373" t="s">
        <v>9</v>
      </c>
      <c r="F38" s="382" t="s">
        <v>38</v>
      </c>
      <c r="G38" s="470">
        <v>0</v>
      </c>
      <c r="H38" s="373" t="s">
        <v>9</v>
      </c>
      <c r="I38" s="471">
        <v>0</v>
      </c>
      <c r="J38" s="375">
        <f t="shared" si="10"/>
        <v>3</v>
      </c>
      <c r="K38" s="363">
        <f t="shared" si="5"/>
        <v>1</v>
      </c>
      <c r="L38" s="363">
        <f t="shared" si="6"/>
        <v>1</v>
      </c>
      <c r="M38" s="352"/>
      <c r="N38" s="352"/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40"/>
      <c r="V38" s="40"/>
      <c r="W38" s="40"/>
      <c r="Y38" s="109">
        <f t="shared" si="7"/>
        <v>0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8"/>
        <v>0</v>
      </c>
      <c r="AG38" s="108">
        <f t="shared" si="0"/>
        <v>0</v>
      </c>
      <c r="AH38" s="108">
        <f t="shared" si="1"/>
        <v>0</v>
      </c>
      <c r="AI38" s="108">
        <f t="shared" si="9"/>
        <v>0</v>
      </c>
      <c r="AJ38" s="108">
        <f t="shared" si="2"/>
        <v>0</v>
      </c>
      <c r="AK38" s="108">
        <f t="shared" si="3"/>
        <v>0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127">
        <v>41812</v>
      </c>
      <c r="D39" s="378" t="s">
        <v>36</v>
      </c>
      <c r="E39" s="379" t="s">
        <v>9</v>
      </c>
      <c r="F39" s="380" t="s">
        <v>32</v>
      </c>
      <c r="G39" s="472">
        <v>1</v>
      </c>
      <c r="H39" s="379" t="s">
        <v>9</v>
      </c>
      <c r="I39" s="473">
        <v>2</v>
      </c>
      <c r="J39" s="381">
        <f t="shared" si="10"/>
        <v>2</v>
      </c>
      <c r="K39" s="363">
        <f t="shared" si="5"/>
        <v>0</v>
      </c>
      <c r="L39" s="363">
        <f t="shared" si="6"/>
        <v>3</v>
      </c>
      <c r="M39" s="352"/>
      <c r="N39" s="352"/>
      <c r="O39" s="394" t="s">
        <v>29</v>
      </c>
      <c r="P39" s="395">
        <f>SUMIF($D$8:$D$55,$O39,$G$8:$G$55)+SUMIF($F$8:$F$55,$O39,$I$8:$I$55)</f>
        <v>5</v>
      </c>
      <c r="Q39" s="395">
        <f>SUMIF($D$8:$D$55,$O39,$I$8:$I$55)+SUMIF($F$8:$F$55,$O39,$G$8:$G$55)</f>
        <v>1</v>
      </c>
      <c r="R39" s="396">
        <f>P39-Q39</f>
        <v>4</v>
      </c>
      <c r="S39" s="397">
        <f>SUMIF($D$8:$D$55,$O39,$K$8:$K$55)+SUMIF($F$8:$F$55,$O39,$L$8:$L$55)</f>
        <v>9</v>
      </c>
      <c r="T39" s="444" t="s">
        <v>72</v>
      </c>
      <c r="U39" s="40"/>
      <c r="V39" s="40" t="str">
        <f>O39</f>
        <v>Argentinië</v>
      </c>
      <c r="W39" s="40" t="s">
        <v>72</v>
      </c>
      <c r="Y39" s="109">
        <f t="shared" si="7"/>
        <v>1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8"/>
        <v>1</v>
      </c>
      <c r="AG39" s="108">
        <f t="shared" si="0"/>
        <v>0</v>
      </c>
      <c r="AH39" s="108">
        <f t="shared" si="1"/>
        <v>1</v>
      </c>
      <c r="AI39" s="108">
        <f t="shared" si="9"/>
        <v>0</v>
      </c>
      <c r="AJ39" s="108">
        <f t="shared" si="2"/>
        <v>0</v>
      </c>
      <c r="AK39" s="108">
        <f t="shared" si="3"/>
        <v>0</v>
      </c>
      <c r="AL39" s="108">
        <f t="shared" si="4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125">
        <v>41813</v>
      </c>
      <c r="D40" s="366" t="s">
        <v>16</v>
      </c>
      <c r="E40" s="367" t="s">
        <v>9</v>
      </c>
      <c r="F40" s="368" t="s">
        <v>13</v>
      </c>
      <c r="G40" s="468">
        <v>0</v>
      </c>
      <c r="H40" s="367" t="s">
        <v>9</v>
      </c>
      <c r="I40" s="469">
        <v>1</v>
      </c>
      <c r="J40" s="369">
        <f t="shared" si="10"/>
        <v>2</v>
      </c>
      <c r="K40" s="363">
        <f t="shared" si="5"/>
        <v>0</v>
      </c>
      <c r="L40" s="363">
        <f t="shared" si="6"/>
        <v>3</v>
      </c>
      <c r="M40" s="352"/>
      <c r="N40" s="352"/>
      <c r="O40" s="398" t="s">
        <v>30</v>
      </c>
      <c r="P40" s="399">
        <f>SUMIF($D$8:$D$55,$O40,$G$8:$G$55)+SUMIF($F$8:$F$55,$O40,$I$8:$I$55)</f>
        <v>5</v>
      </c>
      <c r="Q40" s="399">
        <f>SUMIF($D$8:$D$55,$O40,$I$8:$I$55)+SUMIF($F$8:$F$55,$O40,$G$8:$G$55)</f>
        <v>3</v>
      </c>
      <c r="R40" s="399">
        <f>P40-Q40</f>
        <v>2</v>
      </c>
      <c r="S40" s="400">
        <f>SUMIF($D$8:$D$55,$O40,$K$8:$K$55)+SUMIF($F$8:$F$55,$O40,$L$8:$L$55)</f>
        <v>4</v>
      </c>
      <c r="T40" s="445" t="s">
        <v>73</v>
      </c>
      <c r="U40" s="40"/>
      <c r="V40" s="40" t="str">
        <f>O40</f>
        <v>Bosnië H.</v>
      </c>
      <c r="W40" s="40" t="s">
        <v>73</v>
      </c>
      <c r="Y40" s="109">
        <f t="shared" si="7"/>
        <v>6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8"/>
        <v>6</v>
      </c>
      <c r="AG40" s="108">
        <f t="shared" si="0"/>
        <v>1</v>
      </c>
      <c r="AH40" s="108">
        <f t="shared" si="1"/>
        <v>0</v>
      </c>
      <c r="AI40" s="108">
        <f t="shared" si="9"/>
        <v>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0</v>
      </c>
      <c r="AN40" s="117" t="s">
        <v>30</v>
      </c>
      <c r="AO40" s="115">
        <f>IF(Uitslag!T40="",0,IF(T40=Uitslag!T40,10,0))</f>
        <v>0</v>
      </c>
    </row>
    <row r="41" spans="2:41" ht="15.75" thickBot="1">
      <c r="B41" s="370">
        <v>34</v>
      </c>
      <c r="C41" s="126">
        <v>41813</v>
      </c>
      <c r="D41" s="384" t="s">
        <v>14</v>
      </c>
      <c r="E41" s="373" t="s">
        <v>9</v>
      </c>
      <c r="F41" s="382" t="s">
        <v>15</v>
      </c>
      <c r="G41" s="470">
        <v>1</v>
      </c>
      <c r="H41" s="373" t="s">
        <v>9</v>
      </c>
      <c r="I41" s="471">
        <v>1</v>
      </c>
      <c r="J41" s="375">
        <f t="shared" si="10"/>
        <v>3</v>
      </c>
      <c r="K41" s="363">
        <f t="shared" si="5"/>
        <v>1</v>
      </c>
      <c r="L41" s="363">
        <f t="shared" si="6"/>
        <v>1</v>
      </c>
      <c r="M41" s="352"/>
      <c r="N41" s="352"/>
      <c r="O41" s="398" t="s">
        <v>33</v>
      </c>
      <c r="P41" s="399">
        <f>SUMIF($D$8:$D$55,$O41,$G$8:$G$55)+SUMIF($F$8:$F$55,$O41,$I$8:$I$55)</f>
        <v>2</v>
      </c>
      <c r="Q41" s="399">
        <f>SUMIF($D$8:$D$55,$O41,$I$8:$I$55)+SUMIF($F$8:$F$55,$O41,$G$8:$G$55)</f>
        <v>7</v>
      </c>
      <c r="R41" s="399">
        <f>P41-Q41</f>
        <v>-5</v>
      </c>
      <c r="S41" s="400">
        <f>SUMIF($D$8:$D$55,$O41,$K$8:$K$55)+SUMIF($F$8:$F$55,$O41,$L$8:$L$55)</f>
        <v>1</v>
      </c>
      <c r="T41" s="445" t="s">
        <v>75</v>
      </c>
      <c r="U41" s="40"/>
      <c r="V41" s="40" t="str">
        <f>O41</f>
        <v>Iran</v>
      </c>
      <c r="W41" s="40" t="s">
        <v>74</v>
      </c>
      <c r="Y41" s="109">
        <f t="shared" si="7"/>
        <v>0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8"/>
        <v>0</v>
      </c>
      <c r="AG41" s="108">
        <f t="shared" si="0"/>
        <v>0</v>
      </c>
      <c r="AH41" s="108">
        <f t="shared" si="1"/>
        <v>0</v>
      </c>
      <c r="AI41" s="108">
        <f t="shared" si="9"/>
        <v>0</v>
      </c>
      <c r="AJ41" s="108">
        <f t="shared" si="2"/>
        <v>0</v>
      </c>
      <c r="AK41" s="108">
        <f t="shared" si="3"/>
        <v>0</v>
      </c>
      <c r="AL41" s="108">
        <f t="shared" si="4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370">
        <v>35</v>
      </c>
      <c r="C42" s="126">
        <v>41813</v>
      </c>
      <c r="D42" s="372" t="s">
        <v>12</v>
      </c>
      <c r="E42" s="373" t="s">
        <v>9</v>
      </c>
      <c r="F42" s="382" t="s">
        <v>8</v>
      </c>
      <c r="G42" s="470">
        <v>0</v>
      </c>
      <c r="H42" s="373" t="s">
        <v>9</v>
      </c>
      <c r="I42" s="471">
        <v>1</v>
      </c>
      <c r="J42" s="375">
        <f t="shared" si="10"/>
        <v>2</v>
      </c>
      <c r="K42" s="363">
        <f t="shared" si="5"/>
        <v>0</v>
      </c>
      <c r="L42" s="363">
        <f t="shared" si="6"/>
        <v>3</v>
      </c>
      <c r="M42" s="352"/>
      <c r="N42" s="352"/>
      <c r="O42" s="401" t="s">
        <v>34</v>
      </c>
      <c r="P42" s="402">
        <f>SUMIF($D$8:$D$55,$O42,$G$8:$G$55)+SUMIF($F$8:$F$55,$O42,$I$8:$I$55)</f>
        <v>1</v>
      </c>
      <c r="Q42" s="402">
        <f>SUMIF($D$8:$D$55,$O42,$I$8:$I$55)+SUMIF($F$8:$F$55,$O42,$G$8:$G$55)</f>
        <v>2</v>
      </c>
      <c r="R42" s="402">
        <f>P42-Q42</f>
        <v>-1</v>
      </c>
      <c r="S42" s="403">
        <f>SUMIF($D$8:$D$55,$O42,$K$8:$K$55)+SUMIF($F$8:$F$55,$O42,$L$8:$L$55)</f>
        <v>2</v>
      </c>
      <c r="T42" s="446" t="s">
        <v>74</v>
      </c>
      <c r="U42" s="40"/>
      <c r="V42" s="40" t="str">
        <f>O42</f>
        <v>Nigeria</v>
      </c>
      <c r="W42" s="40" t="s">
        <v>75</v>
      </c>
      <c r="Y42" s="109">
        <f t="shared" si="7"/>
        <v>5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8"/>
        <v>5</v>
      </c>
      <c r="AG42" s="108">
        <f t="shared" si="0"/>
        <v>0</v>
      </c>
      <c r="AH42" s="108">
        <f t="shared" si="1"/>
        <v>0</v>
      </c>
      <c r="AI42" s="108">
        <f t="shared" si="9"/>
        <v>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0</v>
      </c>
      <c r="AN42" s="118" t="s">
        <v>34</v>
      </c>
      <c r="AO42" s="115">
        <f>IF(Uitslag!T42="",0,IF(T42=Uitslag!T42,10,0))</f>
        <v>0</v>
      </c>
    </row>
    <row r="43" spans="2:41" ht="15.75" thickBot="1">
      <c r="B43" s="376">
        <v>36</v>
      </c>
      <c r="C43" s="127">
        <v>41813</v>
      </c>
      <c r="D43" s="378" t="s">
        <v>10</v>
      </c>
      <c r="E43" s="379" t="s">
        <v>9</v>
      </c>
      <c r="F43" s="380" t="s">
        <v>11</v>
      </c>
      <c r="G43" s="472">
        <v>2</v>
      </c>
      <c r="H43" s="379" t="s">
        <v>9</v>
      </c>
      <c r="I43" s="473">
        <v>0</v>
      </c>
      <c r="J43" s="381">
        <f t="shared" si="10"/>
        <v>1</v>
      </c>
      <c r="K43" s="363">
        <f t="shared" si="5"/>
        <v>3</v>
      </c>
      <c r="L43" s="363">
        <f t="shared" si="6"/>
        <v>0</v>
      </c>
      <c r="M43" s="352"/>
      <c r="N43" s="352"/>
      <c r="O43" s="392"/>
      <c r="P43" s="393"/>
      <c r="Q43" s="393"/>
      <c r="R43" s="393"/>
      <c r="S43" s="393"/>
      <c r="T43" s="393"/>
      <c r="U43" s="40"/>
      <c r="V43" s="40"/>
      <c r="W43" s="40"/>
      <c r="Y43" s="109">
        <f t="shared" si="7"/>
        <v>0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8"/>
        <v>0</v>
      </c>
      <c r="AG43" s="108">
        <f t="shared" si="0"/>
        <v>0</v>
      </c>
      <c r="AH43" s="108">
        <f t="shared" si="1"/>
        <v>0</v>
      </c>
      <c r="AI43" s="108">
        <f t="shared" si="9"/>
        <v>0</v>
      </c>
      <c r="AJ43" s="108">
        <f t="shared" si="2"/>
        <v>0</v>
      </c>
      <c r="AK43" s="108">
        <f t="shared" si="3"/>
        <v>0</v>
      </c>
      <c r="AL43" s="108">
        <f t="shared" si="4"/>
        <v>0</v>
      </c>
      <c r="AN43" s="40"/>
      <c r="AO43" s="41"/>
    </row>
    <row r="44" spans="2:41" ht="15.75" thickBot="1">
      <c r="B44" s="364">
        <v>37</v>
      </c>
      <c r="C44" s="125">
        <v>41814</v>
      </c>
      <c r="D44" s="366" t="s">
        <v>22</v>
      </c>
      <c r="E44" s="367" t="s">
        <v>9</v>
      </c>
      <c r="F44" s="368" t="s">
        <v>19</v>
      </c>
      <c r="G44" s="468">
        <v>1</v>
      </c>
      <c r="H44" s="367" t="s">
        <v>9</v>
      </c>
      <c r="I44" s="469">
        <v>0</v>
      </c>
      <c r="J44" s="369">
        <f t="shared" si="10"/>
        <v>1</v>
      </c>
      <c r="K44" s="363">
        <f t="shared" si="5"/>
        <v>3</v>
      </c>
      <c r="L44" s="363">
        <f t="shared" si="6"/>
        <v>0</v>
      </c>
      <c r="M44" s="352"/>
      <c r="N44" s="352"/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40"/>
      <c r="V44" s="40"/>
      <c r="W44" s="40"/>
      <c r="Y44" s="109">
        <f t="shared" si="7"/>
        <v>0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8"/>
        <v>0</v>
      </c>
      <c r="AG44" s="108">
        <f t="shared" si="0"/>
        <v>0</v>
      </c>
      <c r="AH44" s="108">
        <f t="shared" si="1"/>
        <v>0</v>
      </c>
      <c r="AI44" s="108">
        <f t="shared" si="9"/>
        <v>0</v>
      </c>
      <c r="AJ44" s="108">
        <f t="shared" si="2"/>
        <v>0</v>
      </c>
      <c r="AK44" s="108">
        <f t="shared" si="3"/>
        <v>0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126">
        <v>41814</v>
      </c>
      <c r="D45" s="372" t="s">
        <v>20</v>
      </c>
      <c r="E45" s="373" t="s">
        <v>9</v>
      </c>
      <c r="F45" s="382" t="s">
        <v>21</v>
      </c>
      <c r="G45" s="470">
        <v>0</v>
      </c>
      <c r="H45" s="373" t="s">
        <v>9</v>
      </c>
      <c r="I45" s="471">
        <v>2</v>
      </c>
      <c r="J45" s="375">
        <f t="shared" si="10"/>
        <v>2</v>
      </c>
      <c r="K45" s="363">
        <f t="shared" si="5"/>
        <v>0</v>
      </c>
      <c r="L45" s="363">
        <f t="shared" si="6"/>
        <v>3</v>
      </c>
      <c r="M45" s="352"/>
      <c r="N45" s="352"/>
      <c r="O45" s="394" t="s">
        <v>31</v>
      </c>
      <c r="P45" s="395">
        <f>SUMIF($D$8:$D$55,$O45,$G$8:$G$55)+SUMIF($F$8:$F$55,$O45,$I$8:$I$55)</f>
        <v>5</v>
      </c>
      <c r="Q45" s="395">
        <f>SUMIF($D$8:$D$55,$O45,$I$8:$I$55)+SUMIF($F$8:$F$55,$O45,$G$8:$G$55)</f>
        <v>0</v>
      </c>
      <c r="R45" s="396">
        <f>P45-Q45</f>
        <v>5</v>
      </c>
      <c r="S45" s="397">
        <f>SUMIF($D$8:$D$55,$O45,$K$8:$K$55)+SUMIF($F$8:$F$55,$O45,$L$8:$L$55)</f>
        <v>9</v>
      </c>
      <c r="T45" s="444" t="s">
        <v>77</v>
      </c>
      <c r="U45" s="40"/>
      <c r="V45" s="40" t="str">
        <f>O45</f>
        <v>Duitsland</v>
      </c>
      <c r="W45" s="40" t="s">
        <v>77</v>
      </c>
      <c r="Y45" s="109">
        <f t="shared" si="7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8"/>
        <v>1</v>
      </c>
      <c r="AG45" s="108">
        <f t="shared" si="0"/>
        <v>1</v>
      </c>
      <c r="AH45" s="108">
        <f t="shared" si="1"/>
        <v>0</v>
      </c>
      <c r="AI45" s="108">
        <f t="shared" si="9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370">
        <v>39</v>
      </c>
      <c r="C46" s="126">
        <v>41814</v>
      </c>
      <c r="D46" s="372" t="s">
        <v>24</v>
      </c>
      <c r="E46" s="373" t="s">
        <v>9</v>
      </c>
      <c r="F46" s="382" t="s">
        <v>17</v>
      </c>
      <c r="G46" s="470">
        <v>0</v>
      </c>
      <c r="H46" s="373" t="s">
        <v>9</v>
      </c>
      <c r="I46" s="471">
        <v>0</v>
      </c>
      <c r="J46" s="375">
        <f t="shared" si="10"/>
        <v>3</v>
      </c>
      <c r="K46" s="363">
        <f t="shared" si="5"/>
        <v>1</v>
      </c>
      <c r="L46" s="363">
        <f t="shared" si="6"/>
        <v>1</v>
      </c>
      <c r="M46" s="352"/>
      <c r="N46" s="352"/>
      <c r="O46" s="398" t="s">
        <v>32</v>
      </c>
      <c r="P46" s="399">
        <f>SUMIF($D$8:$D$55,$O46,$G$8:$G$55)+SUMIF($F$8:$F$55,$O46,$I$8:$I$55)</f>
        <v>3</v>
      </c>
      <c r="Q46" s="399">
        <f>SUMIF($D$8:$D$55,$O46,$I$8:$I$55)+SUMIF($F$8:$F$55,$O46,$G$8:$G$55)</f>
        <v>4</v>
      </c>
      <c r="R46" s="399">
        <f>P46-Q46</f>
        <v>-1</v>
      </c>
      <c r="S46" s="400">
        <f>SUMIF($D$8:$D$55,$O46,$K$8:$K$55)+SUMIF($F$8:$F$55,$O46,$L$8:$L$55)</f>
        <v>3</v>
      </c>
      <c r="T46" s="445" t="s">
        <v>79</v>
      </c>
      <c r="U46" s="40"/>
      <c r="V46" s="40" t="str">
        <f>O46</f>
        <v>Portugal</v>
      </c>
      <c r="W46" s="40" t="s">
        <v>78</v>
      </c>
      <c r="Y46" s="109">
        <f t="shared" si="7"/>
        <v>0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8"/>
        <v>0</v>
      </c>
      <c r="AG46" s="108">
        <f t="shared" si="0"/>
        <v>0</v>
      </c>
      <c r="AH46" s="108">
        <f t="shared" si="1"/>
        <v>0</v>
      </c>
      <c r="AI46" s="108">
        <f t="shared" si="9"/>
        <v>0</v>
      </c>
      <c r="AJ46" s="108">
        <f t="shared" si="2"/>
        <v>0</v>
      </c>
      <c r="AK46" s="108">
        <f t="shared" si="3"/>
        <v>0</v>
      </c>
      <c r="AL46" s="108">
        <f t="shared" si="4"/>
        <v>0</v>
      </c>
      <c r="AM46" s="120">
        <f>AO46</f>
        <v>10</v>
      </c>
      <c r="AN46" s="117" t="s">
        <v>32</v>
      </c>
      <c r="AO46" s="115">
        <f>IF(Uitslag!T46="",0,IF(T46=Uitslag!T46,10,0))</f>
        <v>10</v>
      </c>
    </row>
    <row r="47" spans="2:41" ht="15.75" thickBot="1">
      <c r="B47" s="376">
        <v>40</v>
      </c>
      <c r="C47" s="127">
        <v>41814</v>
      </c>
      <c r="D47" s="378" t="s">
        <v>18</v>
      </c>
      <c r="E47" s="379" t="s">
        <v>9</v>
      </c>
      <c r="F47" s="380" t="s">
        <v>23</v>
      </c>
      <c r="G47" s="472">
        <v>0</v>
      </c>
      <c r="H47" s="379" t="s">
        <v>9</v>
      </c>
      <c r="I47" s="473">
        <v>0</v>
      </c>
      <c r="J47" s="381">
        <f t="shared" si="10"/>
        <v>3</v>
      </c>
      <c r="K47" s="363">
        <f t="shared" si="5"/>
        <v>1</v>
      </c>
      <c r="L47" s="363">
        <f t="shared" si="6"/>
        <v>1</v>
      </c>
      <c r="M47" s="352"/>
      <c r="N47" s="352"/>
      <c r="O47" s="398" t="s">
        <v>35</v>
      </c>
      <c r="P47" s="399">
        <f>SUMIF($D$8:$D$55,$O47,$G$8:$G$55)+SUMIF($F$8:$F$55,$O47,$I$8:$I$55)</f>
        <v>3</v>
      </c>
      <c r="Q47" s="399">
        <f>SUMIF($D$8:$D$55,$O47,$I$8:$I$55)+SUMIF($F$8:$F$55,$O47,$G$8:$G$55)</f>
        <v>4</v>
      </c>
      <c r="R47" s="399">
        <f>P47-Q47</f>
        <v>-1</v>
      </c>
      <c r="S47" s="400">
        <f>SUMIF($D$8:$D$55,$O47,$K$8:$K$55)+SUMIF($F$8:$F$55,$O47,$L$8:$L$55)</f>
        <v>6</v>
      </c>
      <c r="T47" s="445" t="s">
        <v>78</v>
      </c>
      <c r="U47" s="40"/>
      <c r="V47" s="40" t="str">
        <f>O47</f>
        <v>Ghana</v>
      </c>
      <c r="W47" s="40" t="s">
        <v>79</v>
      </c>
      <c r="Y47" s="109">
        <f t="shared" si="7"/>
        <v>0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8"/>
        <v>0</v>
      </c>
      <c r="AG47" s="108">
        <f t="shared" si="0"/>
        <v>0</v>
      </c>
      <c r="AH47" s="108">
        <f t="shared" si="1"/>
        <v>0</v>
      </c>
      <c r="AI47" s="108">
        <f t="shared" si="9"/>
        <v>0</v>
      </c>
      <c r="AJ47" s="108">
        <f t="shared" si="2"/>
        <v>0</v>
      </c>
      <c r="AK47" s="108">
        <f t="shared" si="3"/>
        <v>0</v>
      </c>
      <c r="AL47" s="108">
        <f t="shared" si="4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364">
        <v>41</v>
      </c>
      <c r="C48" s="125">
        <v>41815</v>
      </c>
      <c r="D48" s="366" t="s">
        <v>34</v>
      </c>
      <c r="E48" s="367" t="s">
        <v>9</v>
      </c>
      <c r="F48" s="368" t="s">
        <v>29</v>
      </c>
      <c r="G48" s="468">
        <v>0</v>
      </c>
      <c r="H48" s="367" t="s">
        <v>9</v>
      </c>
      <c r="I48" s="469">
        <v>1</v>
      </c>
      <c r="J48" s="369">
        <f t="shared" si="10"/>
        <v>2</v>
      </c>
      <c r="K48" s="363">
        <f t="shared" si="5"/>
        <v>0</v>
      </c>
      <c r="L48" s="363">
        <f t="shared" si="6"/>
        <v>3</v>
      </c>
      <c r="M48" s="352"/>
      <c r="N48" s="352"/>
      <c r="O48" s="401" t="s">
        <v>36</v>
      </c>
      <c r="P48" s="402">
        <f>SUMIF($D$8:$D$55,$O48,$G$8:$G$55)+SUMIF($F$8:$F$55,$O48,$I$8:$I$55)</f>
        <v>1</v>
      </c>
      <c r="Q48" s="402">
        <f>SUMIF($D$8:$D$55,$O48,$I$8:$I$55)+SUMIF($F$8:$F$55,$O48,$G$8:$G$55)</f>
        <v>4</v>
      </c>
      <c r="R48" s="402">
        <f>P48-Q48</f>
        <v>-3</v>
      </c>
      <c r="S48" s="403">
        <f>SUMIF($D$8:$D$55,$O48,$K$8:$K$55)+SUMIF($F$8:$F$55,$O48,$L$8:$L$55)</f>
        <v>0</v>
      </c>
      <c r="T48" s="446" t="s">
        <v>80</v>
      </c>
      <c r="U48" s="40"/>
      <c r="V48" s="40" t="str">
        <f>O48</f>
        <v>Verenigde Staten</v>
      </c>
      <c r="W48" s="40" t="s">
        <v>80</v>
      </c>
      <c r="Y48" s="109">
        <f t="shared" si="7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8"/>
        <v>5</v>
      </c>
      <c r="AG48" s="108">
        <f t="shared" si="0"/>
        <v>0</v>
      </c>
      <c r="AH48" s="108">
        <f t="shared" si="1"/>
        <v>0</v>
      </c>
      <c r="AI48" s="108">
        <f t="shared" si="9"/>
        <v>0</v>
      </c>
      <c r="AJ48" s="108">
        <f t="shared" si="2"/>
        <v>0</v>
      </c>
      <c r="AK48" s="108">
        <f t="shared" si="3"/>
        <v>5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126">
        <v>41815</v>
      </c>
      <c r="D49" s="372" t="s">
        <v>30</v>
      </c>
      <c r="E49" s="373" t="s">
        <v>9</v>
      </c>
      <c r="F49" s="382" t="s">
        <v>33</v>
      </c>
      <c r="G49" s="470">
        <v>4</v>
      </c>
      <c r="H49" s="373" t="s">
        <v>9</v>
      </c>
      <c r="I49" s="471">
        <v>1</v>
      </c>
      <c r="J49" s="375">
        <f t="shared" si="10"/>
        <v>1</v>
      </c>
      <c r="K49" s="363">
        <f t="shared" si="5"/>
        <v>3</v>
      </c>
      <c r="L49" s="363">
        <f t="shared" si="6"/>
        <v>0</v>
      </c>
      <c r="M49" s="352"/>
      <c r="N49" s="352"/>
      <c r="O49" s="392"/>
      <c r="P49" s="393"/>
      <c r="Q49" s="393"/>
      <c r="R49" s="393"/>
      <c r="S49" s="393"/>
      <c r="T49" s="393"/>
      <c r="U49" s="40"/>
      <c r="V49" s="40"/>
      <c r="W49" s="40"/>
      <c r="Y49" s="109">
        <f t="shared" si="7"/>
        <v>6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8"/>
        <v>6</v>
      </c>
      <c r="AG49" s="108">
        <f t="shared" si="0"/>
        <v>0</v>
      </c>
      <c r="AH49" s="108">
        <f t="shared" si="1"/>
        <v>1</v>
      </c>
      <c r="AI49" s="108">
        <f t="shared" si="9"/>
        <v>0</v>
      </c>
      <c r="AJ49" s="108">
        <f t="shared" si="2"/>
        <v>5</v>
      </c>
      <c r="AK49" s="108">
        <f t="shared" si="3"/>
        <v>0</v>
      </c>
      <c r="AL49" s="108">
        <f t="shared" si="4"/>
        <v>0</v>
      </c>
      <c r="AN49" s="40"/>
      <c r="AO49" s="41"/>
    </row>
    <row r="50" spans="2:54" ht="15.75" thickBot="1">
      <c r="B50" s="370">
        <v>43</v>
      </c>
      <c r="C50" s="126">
        <v>41815</v>
      </c>
      <c r="D50" s="372" t="s">
        <v>28</v>
      </c>
      <c r="E50" s="373" t="s">
        <v>9</v>
      </c>
      <c r="F50" s="382" t="s">
        <v>25</v>
      </c>
      <c r="G50" s="470">
        <v>0</v>
      </c>
      <c r="H50" s="373" t="s">
        <v>9</v>
      </c>
      <c r="I50" s="471">
        <v>0</v>
      </c>
      <c r="J50" s="375">
        <f t="shared" si="10"/>
        <v>3</v>
      </c>
      <c r="K50" s="363">
        <f t="shared" si="5"/>
        <v>1</v>
      </c>
      <c r="L50" s="363">
        <f t="shared" si="6"/>
        <v>1</v>
      </c>
      <c r="M50" s="352"/>
      <c r="N50" s="352"/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40"/>
      <c r="V50" s="40"/>
      <c r="W50" s="40"/>
      <c r="Y50" s="109">
        <f t="shared" si="7"/>
        <v>1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8"/>
        <v>1</v>
      </c>
      <c r="AG50" s="108">
        <f t="shared" si="0"/>
        <v>1</v>
      </c>
      <c r="AH50" s="108">
        <f t="shared" si="1"/>
        <v>0</v>
      </c>
      <c r="AI50" s="108">
        <f t="shared" si="9"/>
        <v>0</v>
      </c>
      <c r="AJ50" s="108">
        <f t="shared" si="2"/>
        <v>0</v>
      </c>
      <c r="AK50" s="108">
        <f t="shared" si="3"/>
        <v>0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127">
        <v>41815</v>
      </c>
      <c r="D51" s="378" t="s">
        <v>26</v>
      </c>
      <c r="E51" s="379" t="s">
        <v>9</v>
      </c>
      <c r="F51" s="380" t="s">
        <v>27</v>
      </c>
      <c r="G51" s="472">
        <v>0</v>
      </c>
      <c r="H51" s="379" t="s">
        <v>9</v>
      </c>
      <c r="I51" s="473">
        <v>1</v>
      </c>
      <c r="J51" s="381">
        <f t="shared" si="10"/>
        <v>2</v>
      </c>
      <c r="K51" s="363">
        <f t="shared" si="5"/>
        <v>0</v>
      </c>
      <c r="L51" s="363">
        <f t="shared" si="6"/>
        <v>3</v>
      </c>
      <c r="M51" s="352"/>
      <c r="N51" s="352"/>
      <c r="O51" s="394" t="s">
        <v>37</v>
      </c>
      <c r="P51" s="395">
        <f>SUMIF($D$8:$D$55,$O51,$G$8:$G$55)+SUMIF($F$8:$F$55,$O51,$I$8:$I$55)</f>
        <v>0</v>
      </c>
      <c r="Q51" s="395">
        <f>SUMIF($D$8:$D$55,$O51,$I$8:$I$55)+SUMIF($F$8:$F$55,$O51,$G$8:$G$55)</f>
        <v>0</v>
      </c>
      <c r="R51" s="396">
        <f>P51-Q51</f>
        <v>0</v>
      </c>
      <c r="S51" s="397">
        <f>SUMIF($D$8:$D$55,$O51,$K$8:$K$55)+SUMIF($F$8:$F$55,$O51,$L$8:$L$55)</f>
        <v>3</v>
      </c>
      <c r="T51" s="444" t="s">
        <v>84</v>
      </c>
      <c r="U51" s="40"/>
      <c r="V51" s="40" t="str">
        <f>O51</f>
        <v>België</v>
      </c>
      <c r="W51" s="40" t="s">
        <v>82</v>
      </c>
      <c r="Y51" s="109">
        <f t="shared" si="7"/>
        <v>1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8"/>
        <v>1</v>
      </c>
      <c r="AG51" s="108">
        <f t="shared" si="0"/>
        <v>1</v>
      </c>
      <c r="AH51" s="108">
        <f t="shared" si="1"/>
        <v>0</v>
      </c>
      <c r="AI51" s="108">
        <f t="shared" si="9"/>
        <v>0</v>
      </c>
      <c r="AJ51" s="108">
        <f t="shared" si="2"/>
        <v>0</v>
      </c>
      <c r="AK51" s="108">
        <f t="shared" si="3"/>
        <v>0</v>
      </c>
      <c r="AL51" s="108">
        <f t="shared" si="4"/>
        <v>0</v>
      </c>
      <c r="AM51" s="120">
        <f>AO51</f>
        <v>0</v>
      </c>
      <c r="AN51" s="116" t="s">
        <v>37</v>
      </c>
      <c r="AO51" s="115">
        <f>IF(Uitslag!T51="",0,IF(T51=Uitslag!T51,10,0))</f>
        <v>0</v>
      </c>
    </row>
    <row r="52" spans="2:54" ht="15.75" thickBot="1">
      <c r="B52" s="370">
        <v>45</v>
      </c>
      <c r="C52" s="126">
        <v>41816</v>
      </c>
      <c r="D52" s="372" t="s">
        <v>36</v>
      </c>
      <c r="E52" s="373" t="s">
        <v>9</v>
      </c>
      <c r="F52" s="382" t="s">
        <v>31</v>
      </c>
      <c r="G52" s="470">
        <v>0</v>
      </c>
      <c r="H52" s="373" t="s">
        <v>9</v>
      </c>
      <c r="I52" s="471">
        <v>1</v>
      </c>
      <c r="J52" s="369">
        <f t="shared" si="10"/>
        <v>2</v>
      </c>
      <c r="K52" s="363">
        <f t="shared" si="5"/>
        <v>0</v>
      </c>
      <c r="L52" s="363">
        <f t="shared" si="6"/>
        <v>3</v>
      </c>
      <c r="M52" s="352"/>
      <c r="N52" s="352"/>
      <c r="O52" s="398" t="s">
        <v>38</v>
      </c>
      <c r="P52" s="399">
        <f>SUMIF($D$8:$D$55,$O52,$G$8:$G$55)+SUMIF($F$8:$F$55,$O52,$I$8:$I$55)</f>
        <v>2</v>
      </c>
      <c r="Q52" s="399">
        <f>SUMIF($D$8:$D$55,$O52,$I$8:$I$55)+SUMIF($F$8:$F$55,$O52,$G$8:$G$55)</f>
        <v>0</v>
      </c>
      <c r="R52" s="399">
        <f>P52-Q52</f>
        <v>2</v>
      </c>
      <c r="S52" s="400">
        <f>SUMIF($D$8:$D$55,$O52,$K$8:$K$55)+SUMIF($F$8:$F$55,$O52,$L$8:$L$55)</f>
        <v>5</v>
      </c>
      <c r="T52" s="445" t="s">
        <v>82</v>
      </c>
      <c r="U52" s="40"/>
      <c r="V52" s="40" t="str">
        <f>O52</f>
        <v>Algerije</v>
      </c>
      <c r="W52" s="40" t="s">
        <v>83</v>
      </c>
      <c r="Y52" s="109">
        <f t="shared" si="7"/>
        <v>10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8"/>
        <v>10</v>
      </c>
      <c r="AG52" s="108">
        <f t="shared" si="0"/>
        <v>1</v>
      </c>
      <c r="AH52" s="108">
        <f t="shared" si="1"/>
        <v>1</v>
      </c>
      <c r="AI52" s="108">
        <f t="shared" si="9"/>
        <v>10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126">
        <v>41816</v>
      </c>
      <c r="D53" s="372" t="s">
        <v>32</v>
      </c>
      <c r="E53" s="373" t="s">
        <v>9</v>
      </c>
      <c r="F53" s="382" t="s">
        <v>35</v>
      </c>
      <c r="G53" s="470">
        <v>1</v>
      </c>
      <c r="H53" s="373" t="s">
        <v>9</v>
      </c>
      <c r="I53" s="471">
        <v>2</v>
      </c>
      <c r="J53" s="375">
        <f t="shared" si="10"/>
        <v>2</v>
      </c>
      <c r="K53" s="363">
        <f t="shared" si="5"/>
        <v>0</v>
      </c>
      <c r="L53" s="363">
        <f t="shared" si="6"/>
        <v>3</v>
      </c>
      <c r="M53" s="352"/>
      <c r="N53" s="352"/>
      <c r="O53" s="398" t="s">
        <v>39</v>
      </c>
      <c r="P53" s="399">
        <f>SUMIF($D$8:$D$55,$O53,$G$8:$G$55)+SUMIF($F$8:$F$55,$O53,$I$8:$I$55)</f>
        <v>1</v>
      </c>
      <c r="Q53" s="399">
        <f>SUMIF($D$8:$D$55,$O53,$I$8:$I$55)+SUMIF($F$8:$F$55,$O53,$G$8:$G$55)</f>
        <v>3</v>
      </c>
      <c r="R53" s="399">
        <f>P53-Q53</f>
        <v>-2</v>
      </c>
      <c r="S53" s="400">
        <f>SUMIF($D$8:$D$55,$O53,$K$8:$K$55)+SUMIF($F$8:$F$55,$O53,$L$8:$L$55)</f>
        <v>2</v>
      </c>
      <c r="T53" s="445" t="s">
        <v>85</v>
      </c>
      <c r="U53" s="40"/>
      <c r="V53" s="40" t="str">
        <f>O53</f>
        <v>Rusland</v>
      </c>
      <c r="W53" s="40" t="s">
        <v>84</v>
      </c>
      <c r="Y53" s="109">
        <f t="shared" si="7"/>
        <v>0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8"/>
        <v>0</v>
      </c>
      <c r="AG53" s="108">
        <f t="shared" si="0"/>
        <v>0</v>
      </c>
      <c r="AH53" s="108">
        <f t="shared" si="1"/>
        <v>0</v>
      </c>
      <c r="AI53" s="108">
        <f t="shared" si="9"/>
        <v>0</v>
      </c>
      <c r="AJ53" s="108">
        <f t="shared" si="2"/>
        <v>0</v>
      </c>
      <c r="AK53" s="108">
        <f t="shared" si="3"/>
        <v>0</v>
      </c>
      <c r="AL53" s="108">
        <f t="shared" si="4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370">
        <v>47</v>
      </c>
      <c r="C54" s="126">
        <v>41816</v>
      </c>
      <c r="D54" s="372" t="s">
        <v>40</v>
      </c>
      <c r="E54" s="373" t="s">
        <v>9</v>
      </c>
      <c r="F54" s="382" t="s">
        <v>37</v>
      </c>
      <c r="G54" s="470">
        <v>0</v>
      </c>
      <c r="H54" s="373" t="s">
        <v>9</v>
      </c>
      <c r="I54" s="471">
        <v>0</v>
      </c>
      <c r="J54" s="375">
        <f t="shared" si="10"/>
        <v>3</v>
      </c>
      <c r="K54" s="363">
        <f t="shared" si="5"/>
        <v>1</v>
      </c>
      <c r="L54" s="363">
        <f t="shared" si="6"/>
        <v>1</v>
      </c>
      <c r="M54" s="352"/>
      <c r="N54" s="352"/>
      <c r="O54" s="401" t="s">
        <v>40</v>
      </c>
      <c r="P54" s="402">
        <f>SUMIF($D$8:$D$55,$O54,$G$8:$G$55)+SUMIF($F$8:$F$55,$O54,$I$8:$I$55)</f>
        <v>1</v>
      </c>
      <c r="Q54" s="402">
        <f>SUMIF($D$8:$D$55,$O54,$I$8:$I$55)+SUMIF($F$8:$F$55,$O54,$G$8:$G$55)</f>
        <v>1</v>
      </c>
      <c r="R54" s="402">
        <f>P54-Q54</f>
        <v>0</v>
      </c>
      <c r="S54" s="403">
        <f>SUMIF($D$8:$D$55,$O54,$K$8:$K$55)+SUMIF($F$8:$F$55,$O54,$L$8:$L$55)</f>
        <v>3</v>
      </c>
      <c r="T54" s="446" t="s">
        <v>83</v>
      </c>
      <c r="U54" s="40"/>
      <c r="V54" s="40" t="str">
        <f>O54</f>
        <v>Zuid Korea</v>
      </c>
      <c r="W54" s="40" t="s">
        <v>85</v>
      </c>
      <c r="Y54" s="109">
        <f t="shared" si="7"/>
        <v>1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8"/>
        <v>1</v>
      </c>
      <c r="AG54" s="108">
        <f t="shared" si="0"/>
        <v>1</v>
      </c>
      <c r="AH54" s="108">
        <f t="shared" si="1"/>
        <v>0</v>
      </c>
      <c r="AI54" s="108">
        <f t="shared" si="9"/>
        <v>0</v>
      </c>
      <c r="AJ54" s="108">
        <f t="shared" si="2"/>
        <v>0</v>
      </c>
      <c r="AK54" s="108">
        <f t="shared" si="3"/>
        <v>0</v>
      </c>
      <c r="AL54" s="108">
        <f t="shared" si="4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85">
        <v>48</v>
      </c>
      <c r="C55" s="128">
        <v>41816</v>
      </c>
      <c r="D55" s="387" t="s">
        <v>38</v>
      </c>
      <c r="E55" s="388" t="s">
        <v>9</v>
      </c>
      <c r="F55" s="389" t="s">
        <v>39</v>
      </c>
      <c r="G55" s="474">
        <v>2</v>
      </c>
      <c r="H55" s="388" t="s">
        <v>9</v>
      </c>
      <c r="I55" s="475">
        <v>0</v>
      </c>
      <c r="J55" s="390">
        <f t="shared" si="10"/>
        <v>1</v>
      </c>
      <c r="K55" s="363">
        <f t="shared" si="5"/>
        <v>3</v>
      </c>
      <c r="L55" s="363">
        <f t="shared" si="6"/>
        <v>0</v>
      </c>
      <c r="M55" s="352"/>
      <c r="N55" s="352"/>
      <c r="O55" s="392"/>
      <c r="P55" s="393"/>
      <c r="Q55" s="393"/>
      <c r="R55" s="393"/>
      <c r="S55" s="393"/>
      <c r="T55" s="393"/>
      <c r="U55" s="40"/>
      <c r="V55" s="40"/>
      <c r="W55" s="40"/>
      <c r="Y55" s="109">
        <f t="shared" si="7"/>
        <v>0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8"/>
        <v>0</v>
      </c>
      <c r="AG55" s="108">
        <f t="shared" si="0"/>
        <v>0</v>
      </c>
      <c r="AH55" s="108">
        <f t="shared" si="1"/>
        <v>0</v>
      </c>
      <c r="AI55" s="108">
        <f t="shared" si="9"/>
        <v>0</v>
      </c>
      <c r="AJ55" s="108">
        <f t="shared" si="2"/>
        <v>0</v>
      </c>
      <c r="AK55" s="108">
        <f t="shared" si="3"/>
        <v>0</v>
      </c>
      <c r="AL55" s="108">
        <f t="shared" si="4"/>
        <v>0</v>
      </c>
    </row>
    <row r="56" spans="2:54" ht="15.75" thickBot="1">
      <c r="B56" s="353"/>
      <c r="C56" s="129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N56" s="352"/>
      <c r="O56" s="352"/>
      <c r="P56" s="352"/>
      <c r="Q56" s="352"/>
      <c r="R56" s="352"/>
      <c r="S56" s="352"/>
      <c r="T56" s="352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27"/>
      <c r="K57" s="353"/>
      <c r="L57" s="353"/>
      <c r="M57" s="353"/>
      <c r="N57" s="352"/>
      <c r="O57" s="875" t="s">
        <v>108</v>
      </c>
      <c r="P57" s="875"/>
      <c r="Q57" s="875"/>
      <c r="R57" s="875"/>
      <c r="S57" s="875"/>
      <c r="T57" s="875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122" t="s">
        <v>2</v>
      </c>
      <c r="D58" s="430" t="s">
        <v>3</v>
      </c>
      <c r="E58" s="431"/>
      <c r="F58" s="432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N58" s="352"/>
      <c r="O58" s="458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125">
        <v>41818</v>
      </c>
      <c r="D59" s="459" t="str">
        <f>IF(ISERROR(Z59),K59,Z59)</f>
        <v>Brazilië</v>
      </c>
      <c r="E59" s="367" t="s">
        <v>9</v>
      </c>
      <c r="F59" s="406" t="str">
        <f>IF(ISERROR(AA59),L59,AA59)</f>
        <v>Chili</v>
      </c>
      <c r="G59" s="435">
        <v>1</v>
      </c>
      <c r="H59" s="367" t="s">
        <v>9</v>
      </c>
      <c r="I59" s="447">
        <v>2</v>
      </c>
      <c r="J59" s="448">
        <v>2</v>
      </c>
      <c r="K59" s="407" t="s">
        <v>48</v>
      </c>
      <c r="L59" s="407" t="s">
        <v>53</v>
      </c>
      <c r="M59" s="407">
        <v>1</v>
      </c>
      <c r="N59" s="352"/>
      <c r="O59" s="458">
        <v>2</v>
      </c>
      <c r="P59" s="877" t="s">
        <v>225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3">AF59</f>
        <v>1</v>
      </c>
      <c r="Z59" t="str">
        <f t="shared" ref="Z59:AA65" si="14">IF(K59=""," ",VLOOKUP(K59,$T$9:$V$54,3,FALSE))</f>
        <v>Brazilië</v>
      </c>
      <c r="AA59" t="str">
        <f t="shared" si="14"/>
        <v>Chili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1</v>
      </c>
      <c r="AG59" s="108">
        <f t="shared" ref="AG59:AG66" si="16">IF(AC59="",0,(IF(G59=AC59,1,0)))</f>
        <v>1</v>
      </c>
      <c r="AH59" s="108">
        <f t="shared" ref="AH59:AH66" si="17">IF(AD59="",0,(IF(I59=AD59,1,0)))</f>
        <v>0</v>
      </c>
      <c r="AI59" s="108">
        <f t="shared" ref="AI59:AI66" si="18">IF(AND(AG59=1,AH59=1),10,0)</f>
        <v>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376">
        <v>50</v>
      </c>
      <c r="C60" s="127">
        <v>41818</v>
      </c>
      <c r="D60" s="460" t="str">
        <f t="shared" ref="D60:D66" si="23">IF(ISERROR(Z60),K60,Z60)</f>
        <v>Ivoorkust</v>
      </c>
      <c r="E60" s="379" t="s">
        <v>9</v>
      </c>
      <c r="F60" s="409" t="str">
        <f t="shared" ref="F60:F66" si="24">IF(ISERROR(AA60),L60,AA60)</f>
        <v>Engeland</v>
      </c>
      <c r="G60" s="437">
        <v>0</v>
      </c>
      <c r="H60" s="379" t="s">
        <v>9</v>
      </c>
      <c r="I60" s="449">
        <v>0</v>
      </c>
      <c r="J60" s="450">
        <v>1</v>
      </c>
      <c r="K60" s="407" t="s">
        <v>57</v>
      </c>
      <c r="L60" s="407" t="s">
        <v>63</v>
      </c>
      <c r="M60" s="407">
        <v>2</v>
      </c>
      <c r="N60" s="352"/>
      <c r="O60" s="458">
        <v>3</v>
      </c>
      <c r="P60" s="877" t="s">
        <v>209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3"/>
        <v>1</v>
      </c>
      <c r="Z60" t="str">
        <f t="shared" si="14"/>
        <v>Ivoorkust</v>
      </c>
      <c r="AA60" t="str">
        <f t="shared" si="14"/>
        <v>Engeland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1</v>
      </c>
      <c r="AG60" s="108">
        <f t="shared" si="16"/>
        <v>0</v>
      </c>
      <c r="AH60" s="108">
        <f t="shared" si="17"/>
        <v>1</v>
      </c>
      <c r="AI60" s="108">
        <f t="shared" si="18"/>
        <v>0</v>
      </c>
      <c r="AJ60" s="108">
        <f t="shared" si="19"/>
        <v>0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2"/>
        <v>3</v>
      </c>
    </row>
    <row r="61" spans="2:54">
      <c r="B61" s="364">
        <v>51</v>
      </c>
      <c r="C61" s="125">
        <v>41819</v>
      </c>
      <c r="D61" s="464" t="str">
        <f t="shared" si="23"/>
        <v>Spanje</v>
      </c>
      <c r="E61" s="367" t="s">
        <v>9</v>
      </c>
      <c r="F61" s="406" t="str">
        <f t="shared" si="24"/>
        <v>Kameroen</v>
      </c>
      <c r="G61" s="435">
        <v>1</v>
      </c>
      <c r="H61" s="367" t="s">
        <v>9</v>
      </c>
      <c r="I61" s="447">
        <v>0</v>
      </c>
      <c r="J61" s="448">
        <v>1</v>
      </c>
      <c r="K61" s="407" t="s">
        <v>52</v>
      </c>
      <c r="L61" s="407" t="s">
        <v>49</v>
      </c>
      <c r="M61" s="407"/>
      <c r="N61" s="352"/>
      <c r="O61" s="458">
        <v>4</v>
      </c>
      <c r="P61" s="877" t="s">
        <v>211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3"/>
        <v>5</v>
      </c>
      <c r="Z61" t="str">
        <f t="shared" si="14"/>
        <v>Spanje</v>
      </c>
      <c r="AA61" t="str">
        <f t="shared" si="14"/>
        <v>Kameroen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5</v>
      </c>
      <c r="AG61" s="108">
        <f t="shared" si="16"/>
        <v>0</v>
      </c>
      <c r="AH61" s="108">
        <f t="shared" si="17"/>
        <v>0</v>
      </c>
      <c r="AI61" s="108">
        <f t="shared" si="18"/>
        <v>0</v>
      </c>
      <c r="AJ61" s="108">
        <f t="shared" si="19"/>
        <v>5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3</v>
      </c>
      <c r="BB61" s="139">
        <f t="shared" si="22"/>
        <v>3</v>
      </c>
    </row>
    <row r="62" spans="2:54">
      <c r="B62" s="376">
        <v>52</v>
      </c>
      <c r="C62" s="127">
        <v>41819</v>
      </c>
      <c r="D62" s="464" t="str">
        <f t="shared" si="23"/>
        <v>Italië</v>
      </c>
      <c r="E62" s="379" t="s">
        <v>9</v>
      </c>
      <c r="F62" s="409" t="str">
        <f t="shared" si="24"/>
        <v>Japan</v>
      </c>
      <c r="G62" s="437">
        <v>1</v>
      </c>
      <c r="H62" s="379" t="s">
        <v>9</v>
      </c>
      <c r="I62" s="449">
        <v>0</v>
      </c>
      <c r="J62" s="450">
        <v>1</v>
      </c>
      <c r="K62" s="407" t="s">
        <v>62</v>
      </c>
      <c r="L62" s="407" t="s">
        <v>58</v>
      </c>
      <c r="M62" s="407"/>
      <c r="N62" s="352"/>
      <c r="O62" s="458">
        <v>5</v>
      </c>
      <c r="P62" s="877" t="s">
        <v>220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3"/>
        <v>1</v>
      </c>
      <c r="Z62" t="str">
        <f t="shared" si="14"/>
        <v>Italië</v>
      </c>
      <c r="AA62" t="str">
        <f t="shared" si="14"/>
        <v>Japan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1</v>
      </c>
      <c r="AG62" s="108">
        <f t="shared" si="16"/>
        <v>1</v>
      </c>
      <c r="AH62" s="108">
        <f t="shared" si="17"/>
        <v>0</v>
      </c>
      <c r="AI62" s="108">
        <f t="shared" si="18"/>
        <v>0</v>
      </c>
      <c r="AJ62" s="108">
        <f t="shared" si="19"/>
        <v>0</v>
      </c>
      <c r="AK62" s="108">
        <f t="shared" si="20"/>
        <v>0</v>
      </c>
      <c r="AL62" s="108">
        <f t="shared" si="21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2"/>
        <v>3</v>
      </c>
    </row>
    <row r="63" spans="2:54">
      <c r="B63" s="364">
        <v>53</v>
      </c>
      <c r="C63" s="125">
        <v>41820</v>
      </c>
      <c r="D63" s="459" t="str">
        <f t="shared" si="23"/>
        <v>Frankrijk</v>
      </c>
      <c r="E63" s="367" t="s">
        <v>9</v>
      </c>
      <c r="F63" s="406" t="str">
        <f t="shared" si="24"/>
        <v>Bosnië H.</v>
      </c>
      <c r="G63" s="435">
        <v>1</v>
      </c>
      <c r="H63" s="367" t="s">
        <v>9</v>
      </c>
      <c r="I63" s="447">
        <v>1</v>
      </c>
      <c r="J63" s="448">
        <v>2</v>
      </c>
      <c r="K63" s="407" t="s">
        <v>67</v>
      </c>
      <c r="L63" s="407" t="s">
        <v>73</v>
      </c>
      <c r="M63" s="407"/>
      <c r="N63" s="352"/>
      <c r="O63" s="458">
        <v>6</v>
      </c>
      <c r="P63" s="877" t="s">
        <v>213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3"/>
        <v>0</v>
      </c>
      <c r="Z63" t="str">
        <f t="shared" si="14"/>
        <v>Frankrijk</v>
      </c>
      <c r="AA63" t="str">
        <f t="shared" si="14"/>
        <v>Bosnië H.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0</v>
      </c>
      <c r="AG63" s="108">
        <f t="shared" si="16"/>
        <v>0</v>
      </c>
      <c r="AH63" s="108">
        <f t="shared" si="17"/>
        <v>0</v>
      </c>
      <c r="AI63" s="108">
        <f t="shared" si="18"/>
        <v>0</v>
      </c>
      <c r="AJ63" s="108">
        <f t="shared" si="19"/>
        <v>0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3</v>
      </c>
      <c r="BB63" s="139">
        <f t="shared" si="22"/>
        <v>3</v>
      </c>
    </row>
    <row r="64" spans="2:54">
      <c r="B64" s="376">
        <v>54</v>
      </c>
      <c r="C64" s="127">
        <v>41820</v>
      </c>
      <c r="D64" s="460" t="str">
        <f t="shared" si="23"/>
        <v>Duitsland</v>
      </c>
      <c r="E64" s="379" t="s">
        <v>9</v>
      </c>
      <c r="F64" s="409" t="str">
        <f t="shared" si="24"/>
        <v>Zuid Korea</v>
      </c>
      <c r="G64" s="437">
        <v>0</v>
      </c>
      <c r="H64" s="379" t="s">
        <v>9</v>
      </c>
      <c r="I64" s="449">
        <v>1</v>
      </c>
      <c r="J64" s="450">
        <v>2</v>
      </c>
      <c r="K64" s="407" t="s">
        <v>77</v>
      </c>
      <c r="L64" s="407" t="s">
        <v>83</v>
      </c>
      <c r="M64" s="407"/>
      <c r="N64" s="352"/>
      <c r="O64" s="458">
        <v>7</v>
      </c>
      <c r="P64" s="877" t="s">
        <v>221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3"/>
        <v>1</v>
      </c>
      <c r="Z64" t="str">
        <f t="shared" si="14"/>
        <v>Duitsland</v>
      </c>
      <c r="AA64" t="str">
        <f t="shared" si="14"/>
        <v>Zuid Korea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1</v>
      </c>
      <c r="AG64" s="108">
        <f t="shared" si="16"/>
        <v>1</v>
      </c>
      <c r="AH64" s="108">
        <f t="shared" si="17"/>
        <v>0</v>
      </c>
      <c r="AI64" s="108">
        <f t="shared" si="18"/>
        <v>0</v>
      </c>
      <c r="AJ64" s="108">
        <f t="shared" si="19"/>
        <v>0</v>
      </c>
      <c r="AK64" s="108">
        <f t="shared" si="20"/>
        <v>0</v>
      </c>
      <c r="AL64" s="108">
        <f t="shared" si="21"/>
        <v>0</v>
      </c>
      <c r="AZ64" s="138" t="str">
        <f>Uitslag!P64</f>
        <v>Wesley Sneijder (m)</v>
      </c>
      <c r="BA64" s="140">
        <f t="shared" si="12"/>
        <v>0</v>
      </c>
      <c r="BB64" s="139">
        <f t="shared" si="22"/>
        <v>0</v>
      </c>
    </row>
    <row r="65" spans="2:54">
      <c r="B65" s="370">
        <v>55</v>
      </c>
      <c r="C65" s="126">
        <v>41821</v>
      </c>
      <c r="D65" s="459" t="str">
        <f t="shared" si="23"/>
        <v>Argentinië</v>
      </c>
      <c r="E65" s="373" t="s">
        <v>9</v>
      </c>
      <c r="F65" s="410" t="str">
        <f t="shared" si="24"/>
        <v>Ecuador</v>
      </c>
      <c r="G65" s="436">
        <v>1</v>
      </c>
      <c r="H65" s="373" t="s">
        <v>9</v>
      </c>
      <c r="I65" s="451">
        <v>0</v>
      </c>
      <c r="J65" s="452">
        <v>1</v>
      </c>
      <c r="K65" s="407" t="s">
        <v>72</v>
      </c>
      <c r="L65" s="407" t="s">
        <v>68</v>
      </c>
      <c r="M65" s="407"/>
      <c r="N65" s="352"/>
      <c r="O65" s="458">
        <v>8</v>
      </c>
      <c r="P65" s="877" t="s">
        <v>212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3"/>
        <v>1</v>
      </c>
      <c r="Z65" t="str">
        <f t="shared" si="14"/>
        <v>Argentinië</v>
      </c>
      <c r="AA65" t="str">
        <f t="shared" si="14"/>
        <v>Ecuador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1</v>
      </c>
      <c r="AG65" s="108">
        <f t="shared" si="16"/>
        <v>0</v>
      </c>
      <c r="AH65" s="108">
        <f t="shared" si="17"/>
        <v>1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2"/>
        <v>3</v>
      </c>
    </row>
    <row r="66" spans="2:54" ht="15.75" thickBot="1">
      <c r="B66" s="385">
        <v>56</v>
      </c>
      <c r="C66" s="128">
        <v>41821</v>
      </c>
      <c r="D66" s="461" t="str">
        <f t="shared" si="23"/>
        <v>Algerije</v>
      </c>
      <c r="E66" s="388" t="s">
        <v>9</v>
      </c>
      <c r="F66" s="412" t="str">
        <f t="shared" si="24"/>
        <v>Ghana</v>
      </c>
      <c r="G66" s="438">
        <v>1</v>
      </c>
      <c r="H66" s="388" t="s">
        <v>9</v>
      </c>
      <c r="I66" s="453">
        <v>0</v>
      </c>
      <c r="J66" s="454">
        <v>1</v>
      </c>
      <c r="K66" s="407" t="s">
        <v>82</v>
      </c>
      <c r="L66" s="407" t="s">
        <v>78</v>
      </c>
      <c r="M66" s="407"/>
      <c r="N66" s="352"/>
      <c r="O66" s="458">
        <v>9</v>
      </c>
      <c r="P66" s="877" t="s">
        <v>214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3"/>
        <v>1</v>
      </c>
      <c r="Z66" t="str">
        <f>IF(K66=""," ",VLOOKUP(K66,$T$9:$V$54,3,FALSE))</f>
        <v>Algerije</v>
      </c>
      <c r="AA66" t="str">
        <f>IF(L66=""," ",VLOOKUP(L66,$T$9:$V$54,3,FALSE))</f>
        <v>Ghana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1</v>
      </c>
      <c r="AG66" s="108">
        <f t="shared" si="16"/>
        <v>0</v>
      </c>
      <c r="AH66" s="108">
        <f t="shared" si="17"/>
        <v>1</v>
      </c>
      <c r="AI66" s="108">
        <f t="shared" si="18"/>
        <v>0</v>
      </c>
      <c r="AJ66" s="108">
        <f t="shared" si="19"/>
        <v>0</v>
      </c>
      <c r="AK66" s="108">
        <f t="shared" si="20"/>
        <v>0</v>
      </c>
      <c r="AL66" s="108">
        <f t="shared" si="21"/>
        <v>0</v>
      </c>
      <c r="AZ66" s="138" t="str">
        <f>Uitslag!P66</f>
        <v>Jonathan de Guzman (m)</v>
      </c>
      <c r="BA66" s="140">
        <f t="shared" si="12"/>
        <v>3</v>
      </c>
      <c r="BB66" s="139">
        <f t="shared" si="22"/>
        <v>3</v>
      </c>
    </row>
    <row r="67" spans="2:54" ht="15.75" thickBot="1">
      <c r="B67" s="353"/>
      <c r="C67" s="129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N67" s="352"/>
      <c r="O67" s="458">
        <v>10</v>
      </c>
      <c r="P67" s="877" t="s">
        <v>215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2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27"/>
      <c r="K68" s="353"/>
      <c r="L68" s="353"/>
      <c r="M68" s="353"/>
      <c r="N68" s="352"/>
      <c r="O68" s="458">
        <v>11</v>
      </c>
      <c r="P68" s="877" t="s">
        <v>216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2"/>
        <v>3</v>
      </c>
    </row>
    <row r="69" spans="2:54">
      <c r="B69" s="428" t="s">
        <v>1</v>
      </c>
      <c r="C69" s="122" t="s">
        <v>2</v>
      </c>
      <c r="D69" s="430" t="s">
        <v>3</v>
      </c>
      <c r="E69" s="431"/>
      <c r="F69" s="432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N69" s="352"/>
      <c r="O69" s="352"/>
      <c r="P69" s="352"/>
      <c r="Q69" s="352"/>
      <c r="R69" s="352"/>
      <c r="S69" s="352"/>
      <c r="T69" s="352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30</v>
      </c>
      <c r="BB69" s="139" t="str">
        <f>IF(AND(BA69&lt;&gt;"",BA69=33),15,"nvt")</f>
        <v>nvt</v>
      </c>
    </row>
    <row r="70" spans="2:54">
      <c r="B70" s="364">
        <v>57</v>
      </c>
      <c r="C70" s="125">
        <v>41824</v>
      </c>
      <c r="D70" s="405" t="str">
        <f>IF(J63="","Winnaar 53",IF(J63=1,D63,F63))</f>
        <v>Bosnië H.</v>
      </c>
      <c r="E70" s="367" t="s">
        <v>9</v>
      </c>
      <c r="F70" s="406" t="str">
        <f>IF(J64="","Winnaar 54",IF(J64=1,D64,F64))</f>
        <v>Zuid Korea</v>
      </c>
      <c r="G70" s="435">
        <v>0</v>
      </c>
      <c r="H70" s="367" t="s">
        <v>9</v>
      </c>
      <c r="I70" s="447">
        <v>1</v>
      </c>
      <c r="J70" s="448">
        <v>2</v>
      </c>
      <c r="K70" s="353"/>
      <c r="L70" s="353"/>
      <c r="M70" s="353"/>
      <c r="N70" s="352"/>
      <c r="O70" s="352"/>
      <c r="P70" s="352"/>
      <c r="Q70" s="352"/>
      <c r="R70" s="352"/>
      <c r="S70" s="352"/>
      <c r="T70" s="352"/>
      <c r="V70" t="s">
        <v>133</v>
      </c>
      <c r="W70" t="s">
        <v>126</v>
      </c>
      <c r="X70" t="str">
        <f t="shared" si="11"/>
        <v>Karim Rekik (v)</v>
      </c>
      <c r="Y70" s="109">
        <f>AF70</f>
        <v>10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10</v>
      </c>
      <c r="AG70" s="108">
        <f>IF(AC70="",0,(IF(G70=AC70,1,0)))</f>
        <v>1</v>
      </c>
      <c r="AH70" s="108">
        <f>IF(AD70="",0,(IF(I70=AD70,1,0)))</f>
        <v>1</v>
      </c>
      <c r="AI70" s="108">
        <f>IF(AND(AG70=1,AH70=1),10,0)</f>
        <v>10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376">
        <v>58</v>
      </c>
      <c r="C71" s="127">
        <v>41824</v>
      </c>
      <c r="D71" s="408" t="str">
        <f>IF(J59="","Winnaar 49",IF(J59=1,D59,F59))</f>
        <v>Chili</v>
      </c>
      <c r="E71" s="379" t="s">
        <v>9</v>
      </c>
      <c r="F71" s="409" t="str">
        <f>IF(J60="","Winnaar 50",IF(J60=1,D60,F60))</f>
        <v>Ivoorkust</v>
      </c>
      <c r="G71" s="437">
        <v>1</v>
      </c>
      <c r="H71" s="379" t="s">
        <v>9</v>
      </c>
      <c r="I71" s="449">
        <v>1</v>
      </c>
      <c r="J71" s="450">
        <v>1</v>
      </c>
      <c r="K71" s="353"/>
      <c r="L71" s="353"/>
      <c r="M71" s="353"/>
      <c r="N71" s="352"/>
      <c r="O71" s="352"/>
      <c r="P71" s="352"/>
      <c r="Q71" s="352"/>
      <c r="R71" s="352"/>
      <c r="S71" s="352"/>
      <c r="T71" s="352"/>
      <c r="V71" t="s">
        <v>133</v>
      </c>
      <c r="W71" t="s">
        <v>194</v>
      </c>
      <c r="X71" t="str">
        <f t="shared" si="11"/>
        <v>Ron Vlaar (v)</v>
      </c>
      <c r="Y71" s="109">
        <f>AF71</f>
        <v>1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1</v>
      </c>
      <c r="AG71" s="108">
        <f>IF(AC71="",0,(IF(G71=AC71,1,0)))</f>
        <v>0</v>
      </c>
      <c r="AH71" s="108">
        <f>IF(AD71="",0,(IF(I71=AD71,1,0)))</f>
        <v>1</v>
      </c>
      <c r="AI71" s="108">
        <f>IF(AND(AG71=1,AH71=1),10,0)</f>
        <v>0</v>
      </c>
      <c r="AJ71" s="108">
        <f>IF(AND(G71&gt;I71,AC71&gt;AD71),5,0)</f>
        <v>0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125">
        <v>41825</v>
      </c>
      <c r="D72" s="405" t="str">
        <f>IF(J65="","Winnaar 55",IF(J65=1,D65,F65))</f>
        <v>Argentinië</v>
      </c>
      <c r="E72" s="367" t="s">
        <v>9</v>
      </c>
      <c r="F72" s="406" t="str">
        <f>IF(J66="","Winnaar 56",IF(J66=1,D66,F66))</f>
        <v>Algerije</v>
      </c>
      <c r="G72" s="435">
        <v>3</v>
      </c>
      <c r="H72" s="367" t="s">
        <v>9</v>
      </c>
      <c r="I72" s="447">
        <v>1</v>
      </c>
      <c r="J72" s="448">
        <v>2</v>
      </c>
      <c r="K72" s="353"/>
      <c r="L72" s="353"/>
      <c r="M72" s="353"/>
      <c r="N72" s="352"/>
      <c r="O72" s="352"/>
      <c r="P72" s="352"/>
      <c r="Q72" s="352"/>
      <c r="R72" s="352"/>
      <c r="S72" s="352"/>
      <c r="T72" s="352"/>
      <c r="V72" t="s">
        <v>133</v>
      </c>
      <c r="W72" t="s">
        <v>195</v>
      </c>
      <c r="X72" t="str">
        <f t="shared" si="11"/>
        <v>John Heitinga (v)</v>
      </c>
      <c r="Y72" s="109">
        <f>AF72</f>
        <v>5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5</v>
      </c>
      <c r="AG72" s="108">
        <f>IF(AC72="",0,(IF(G72=AC72,1,0)))</f>
        <v>0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5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128">
        <v>41825</v>
      </c>
      <c r="D73" s="411" t="str">
        <f>IF(J61="","Winnaar 51",IF(J61=1,D61,F61))</f>
        <v>Spanje</v>
      </c>
      <c r="E73" s="388" t="s">
        <v>9</v>
      </c>
      <c r="F73" s="412" t="str">
        <f>IF(J62="","Winnaar 52",IF(J62=1,D62,F62))</f>
        <v>Italië</v>
      </c>
      <c r="G73" s="438">
        <v>2</v>
      </c>
      <c r="H73" s="388" t="s">
        <v>9</v>
      </c>
      <c r="I73" s="453">
        <v>1</v>
      </c>
      <c r="J73" s="454">
        <v>1</v>
      </c>
      <c r="K73" s="353"/>
      <c r="L73" s="353"/>
      <c r="M73" s="353"/>
      <c r="N73" s="352"/>
      <c r="O73" s="352"/>
      <c r="P73" s="352"/>
      <c r="Q73" s="352"/>
      <c r="R73" s="352"/>
      <c r="S73" s="352"/>
      <c r="T73" s="352"/>
      <c r="V73" t="s">
        <v>133</v>
      </c>
      <c r="W73" t="s">
        <v>196</v>
      </c>
      <c r="X73" t="str">
        <f t="shared" si="11"/>
        <v>Urby Emanuelson (v)</v>
      </c>
      <c r="Y73" s="109">
        <f>AF73</f>
        <v>0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0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353"/>
      <c r="C74" s="129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N74" s="352"/>
      <c r="O74" s="352"/>
      <c r="P74" s="352"/>
      <c r="Q74" s="352"/>
      <c r="R74" s="352"/>
      <c r="S74" s="352"/>
      <c r="T74" s="352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27"/>
      <c r="K75" s="353"/>
      <c r="L75" s="353"/>
      <c r="M75" s="353"/>
      <c r="N75" s="352"/>
      <c r="O75" s="352"/>
      <c r="P75" s="352"/>
      <c r="Q75" s="352"/>
      <c r="R75" s="352"/>
      <c r="S75" s="352"/>
      <c r="T75" s="352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428" t="s">
        <v>1</v>
      </c>
      <c r="C76" s="122" t="s">
        <v>2</v>
      </c>
      <c r="D76" s="430" t="s">
        <v>3</v>
      </c>
      <c r="E76" s="431"/>
      <c r="F76" s="432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N76" s="352"/>
      <c r="O76" s="352"/>
      <c r="P76" s="352"/>
      <c r="Q76" s="352"/>
      <c r="R76" s="352"/>
      <c r="S76" s="352"/>
      <c r="T76" s="352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364">
        <v>61</v>
      </c>
      <c r="C77" s="125">
        <v>41828</v>
      </c>
      <c r="D77" s="405" t="str">
        <f>IF(J70="","Winnaar 57",IF(J70=1,D70,F70))</f>
        <v>Zuid Korea</v>
      </c>
      <c r="E77" s="367" t="s">
        <v>9</v>
      </c>
      <c r="F77" s="406" t="str">
        <f>IF(J71="","Winnaar 58",IF(J71=1,D71,F71))</f>
        <v>Chili</v>
      </c>
      <c r="G77" s="435">
        <v>2</v>
      </c>
      <c r="H77" s="367" t="s">
        <v>9</v>
      </c>
      <c r="I77" s="447">
        <v>1</v>
      </c>
      <c r="J77" s="448">
        <v>1</v>
      </c>
      <c r="K77" s="353"/>
      <c r="L77" s="353"/>
      <c r="M77" s="353"/>
      <c r="N77" s="352"/>
      <c r="O77" s="352"/>
      <c r="P77" s="352"/>
      <c r="Q77" s="352"/>
      <c r="R77" s="352"/>
      <c r="S77" s="352"/>
      <c r="T77" s="352"/>
      <c r="V77" t="s">
        <v>134</v>
      </c>
      <c r="W77" t="s">
        <v>203</v>
      </c>
      <c r="X77" t="str">
        <f t="shared" si="11"/>
        <v>Marco van Ginkel (m)</v>
      </c>
      <c r="Y77" s="109">
        <f>AF77</f>
        <v>6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6</v>
      </c>
      <c r="AG77" s="108">
        <f>IF(AC77="",0,(IF(G77=AC77,1,0)))</f>
        <v>0</v>
      </c>
      <c r="AH77" s="108">
        <f>IF(AD77="",0,(IF(I77=AD77,1,0)))</f>
        <v>1</v>
      </c>
      <c r="AI77" s="108">
        <f>IF(AND(AG77=1,AH77=1),10,0)</f>
        <v>0</v>
      </c>
      <c r="AJ77" s="108">
        <f>IF(AND(G77&gt;I77,AC77&gt;AD77),5,0)</f>
        <v>5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128">
        <v>41829</v>
      </c>
      <c r="D78" s="411" t="str">
        <f>IF(J72="","Winnaar 59",IF(J72=1,D72,F72))</f>
        <v>Algerije</v>
      </c>
      <c r="E78" s="388" t="s">
        <v>9</v>
      </c>
      <c r="F78" s="412" t="str">
        <f>IF(J73="","Winnaar 60",IF(J73=1,D73,F73))</f>
        <v>Spanje</v>
      </c>
      <c r="G78" s="438">
        <v>2</v>
      </c>
      <c r="H78" s="388" t="s">
        <v>9</v>
      </c>
      <c r="I78" s="453">
        <v>2</v>
      </c>
      <c r="J78" s="454">
        <v>2</v>
      </c>
      <c r="K78" s="353"/>
      <c r="L78" s="353"/>
      <c r="M78" s="353"/>
      <c r="N78" s="352"/>
      <c r="O78" s="352"/>
      <c r="P78" s="352"/>
      <c r="Q78" s="352"/>
      <c r="R78" s="352"/>
      <c r="S78" s="352"/>
      <c r="T78" s="352"/>
      <c r="V78" t="s">
        <v>134</v>
      </c>
      <c r="W78" t="s">
        <v>199</v>
      </c>
      <c r="X78" t="str">
        <f t="shared" si="11"/>
        <v>Leroy Fer (m)</v>
      </c>
      <c r="Y78" s="109">
        <f>AF78</f>
        <v>5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5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5</v>
      </c>
    </row>
    <row r="79" spans="2:54" ht="15.75" thickBot="1">
      <c r="B79" s="353"/>
      <c r="C79" s="129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N79" s="352"/>
      <c r="O79" s="352"/>
      <c r="P79" s="352"/>
      <c r="Q79" s="352"/>
      <c r="R79" s="352"/>
      <c r="S79" s="352"/>
      <c r="T79" s="352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27"/>
      <c r="K80" s="353"/>
      <c r="L80" s="353"/>
      <c r="M80" s="353"/>
      <c r="N80" s="352"/>
      <c r="O80" s="352"/>
      <c r="P80" s="352"/>
      <c r="Q80" s="352"/>
      <c r="R80" s="352"/>
      <c r="S80" s="352"/>
      <c r="T80" s="352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428" t="s">
        <v>1</v>
      </c>
      <c r="C81" s="122" t="s">
        <v>2</v>
      </c>
      <c r="D81" s="430" t="s">
        <v>3</v>
      </c>
      <c r="E81" s="431"/>
      <c r="F81" s="432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N81" s="352"/>
      <c r="O81" s="352"/>
      <c r="P81" s="352"/>
      <c r="Q81" s="352"/>
      <c r="R81" s="352"/>
      <c r="S81" s="352"/>
      <c r="T81" s="352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130">
        <v>41832</v>
      </c>
      <c r="D82" s="414" t="str">
        <f>IF(J77="","Verliezer 61",IF(J77=1,F77,D77))</f>
        <v>Chili</v>
      </c>
      <c r="E82" s="355" t="s">
        <v>9</v>
      </c>
      <c r="F82" s="415" t="str">
        <f>IF(J78="","Verliezer 62",IF(J78=1,F78,D78))</f>
        <v>Algerije</v>
      </c>
      <c r="G82" s="455">
        <v>1</v>
      </c>
      <c r="H82" s="355" t="s">
        <v>9</v>
      </c>
      <c r="I82" s="456">
        <v>2</v>
      </c>
      <c r="J82" s="457">
        <v>2</v>
      </c>
      <c r="K82" s="353"/>
      <c r="L82" s="353"/>
      <c r="M82" s="353"/>
      <c r="N82" s="352"/>
      <c r="O82" s="352"/>
      <c r="P82" s="352"/>
      <c r="Q82" s="352"/>
      <c r="R82" s="352"/>
      <c r="S82" s="352"/>
      <c r="T82" s="352"/>
      <c r="V82" t="s">
        <v>134</v>
      </c>
      <c r="W82" t="s">
        <v>125</v>
      </c>
      <c r="X82" t="str">
        <f t="shared" si="11"/>
        <v>Georginio Wijnaldum (m)</v>
      </c>
      <c r="Y82" s="109">
        <f>AF82</f>
        <v>5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5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5</v>
      </c>
      <c r="AL82" s="108">
        <f>IF(AND(G82=I82,AC82=AD82),5,0)</f>
        <v>0</v>
      </c>
    </row>
    <row r="83" spans="2:50" ht="15.75" thickBot="1">
      <c r="B83" s="353"/>
      <c r="C83" s="129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N83" s="352"/>
      <c r="O83" s="352"/>
      <c r="P83" s="352"/>
      <c r="Q83" s="352"/>
      <c r="R83" s="352"/>
      <c r="S83" s="352"/>
      <c r="T83" s="352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27"/>
      <c r="K84" s="353"/>
      <c r="L84" s="353"/>
      <c r="M84" s="353"/>
      <c r="N84" s="352"/>
      <c r="O84" s="352"/>
      <c r="P84" s="352"/>
      <c r="Q84" s="352"/>
      <c r="R84" s="352"/>
      <c r="S84" s="352"/>
      <c r="T84" s="352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428" t="s">
        <v>1</v>
      </c>
      <c r="C85" s="122" t="s">
        <v>2</v>
      </c>
      <c r="D85" s="430" t="s">
        <v>3</v>
      </c>
      <c r="E85" s="431"/>
      <c r="F85" s="432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N85" s="352"/>
      <c r="O85" s="352"/>
      <c r="P85" s="352"/>
      <c r="Q85" s="352"/>
      <c r="R85" s="352"/>
      <c r="S85" s="352"/>
      <c r="T85" s="352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130">
        <v>41833</v>
      </c>
      <c r="D86" s="414" t="str">
        <f>IF(J77="","Winnaar 61",IF(J77=1,D77,F77))</f>
        <v>Zuid Korea</v>
      </c>
      <c r="E86" s="355" t="s">
        <v>9</v>
      </c>
      <c r="F86" s="415" t="str">
        <f>IF(J78="","Winnaar 62",IF(J78=1,D78,F78))</f>
        <v>Spanje</v>
      </c>
      <c r="G86" s="455">
        <v>1</v>
      </c>
      <c r="H86" s="355" t="s">
        <v>9</v>
      </c>
      <c r="I86" s="456">
        <v>2</v>
      </c>
      <c r="J86" s="457">
        <v>2</v>
      </c>
      <c r="K86" s="353"/>
      <c r="L86" s="353"/>
      <c r="M86" s="353"/>
      <c r="N86" s="352"/>
      <c r="O86" s="352"/>
      <c r="P86" s="352"/>
      <c r="Q86" s="352"/>
      <c r="R86" s="352"/>
      <c r="S86" s="352"/>
      <c r="T86" s="352"/>
      <c r="V86" t="s">
        <v>134</v>
      </c>
      <c r="W86" t="s">
        <v>139</v>
      </c>
      <c r="X86" t="str">
        <f t="shared" si="11"/>
        <v>Nigel de Jong (m)</v>
      </c>
      <c r="Y86" s="109">
        <f>AF86</f>
        <v>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0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Spanje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0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0</v>
      </c>
      <c r="AV89">
        <f>IF(AR89=0,0,IF(E89=AR89,50,0))</f>
        <v>0</v>
      </c>
      <c r="AW89">
        <f>IF(E89=0,0,IF(OR(E89=AR90),15,0))</f>
        <v>0</v>
      </c>
      <c r="AX89">
        <f>IF(E89=0,0,IF(OR(E89=AR91,E89=AR92),5,0))</f>
        <v>0</v>
      </c>
    </row>
    <row r="90" spans="2:50">
      <c r="C90" s="870">
        <v>2</v>
      </c>
      <c r="D90" s="871"/>
      <c r="E90" s="872" t="str">
        <f>IF(J86=2,D86,IF(J86=1,F86,"Wie wordt 2de?"))</f>
        <v>Zuid Korea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0</v>
      </c>
      <c r="AV90">
        <f>IF(AR90=0,0,IF(AR90=E90,25,0))</f>
        <v>0</v>
      </c>
      <c r="AW90">
        <f>IF(E90=0,0,IF(OR(E90=AR89,),15,0))</f>
        <v>0</v>
      </c>
      <c r="AX90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Algerije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0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0</v>
      </c>
      <c r="AV91">
        <f>IF(AR91=0,0,IF(AR91=E91,15,0))</f>
        <v>0</v>
      </c>
      <c r="AW91">
        <f>IF(E91=0,0,IF(OR(E91=AR92),10,0))</f>
        <v>0</v>
      </c>
      <c r="AX91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Chili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0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0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0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conditionalFormatting sqref="AO9:AO12 AO15:AO18 AO21:AO24 AO27:AO30 AO33:AO36 AO39:AO42 AO45:AO48 AO51:AO54">
    <cfRule type="cellIs" dxfId="113" priority="3" operator="equal">
      <formula>10</formula>
    </cfRule>
  </conditionalFormatting>
  <conditionalFormatting sqref="P58:T58">
    <cfRule type="duplicateValues" dxfId="112" priority="2"/>
  </conditionalFormatting>
  <conditionalFormatting sqref="P58:T68">
    <cfRule type="duplicateValues" dxfId="111" priority="1"/>
  </conditionalFormatting>
  <dataValidations count="10">
    <dataValidation type="list" allowBlank="1" showInputMessage="1" showErrorMessage="1" sqref="T51:T54">
      <formula1>$W$51:$W$54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P58:P68">
      <formula1>$X$58:$X$98</formula1>
    </dataValidation>
  </dataValidation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B1:BB98"/>
  <sheetViews>
    <sheetView topLeftCell="A37" zoomScale="70" zoomScaleNormal="70" workbookViewId="0">
      <selection activeCell="N59" sqref="N59"/>
    </sheetView>
  </sheetViews>
  <sheetFormatPr defaultRowHeight="15" outlineLevelCol="2"/>
  <cols>
    <col min="1" max="1" width="3.42578125" customWidth="1"/>
    <col min="2" max="2" width="3.5703125" bestFit="1" customWidth="1"/>
    <col min="3" max="3" width="11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285</v>
      </c>
      <c r="E3" s="145"/>
      <c r="F3" s="145"/>
      <c r="N3" t="str">
        <f>D3</f>
        <v xml:space="preserve">Jan L. </v>
      </c>
      <c r="O3" s="144">
        <f>SUM(P3:S3)</f>
        <v>459</v>
      </c>
      <c r="P3" s="109">
        <f>SUM(Y8:Y86)</f>
        <v>249</v>
      </c>
      <c r="Q3" s="109">
        <f>SUM(AM4:AM55)</f>
        <v>150</v>
      </c>
      <c r="R3" s="109">
        <f>SUM(AP89:AP92)</f>
        <v>30</v>
      </c>
      <c r="S3" s="109">
        <f>SUM(BB58:BB69)</f>
        <v>30</v>
      </c>
      <c r="T3" s="109">
        <f>COUNTIF(AF8:AF86,10)</f>
        <v>10</v>
      </c>
      <c r="U3" s="109" t="str">
        <f>E89</f>
        <v>Uruguay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M6" s="352"/>
      <c r="N6" s="352"/>
      <c r="O6" s="392"/>
      <c r="P6" s="393"/>
      <c r="Q6" s="393"/>
      <c r="R6" s="393"/>
      <c r="S6" s="393"/>
      <c r="T6" s="393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18" t="s">
        <v>3</v>
      </c>
      <c r="E7" s="419"/>
      <c r="F7" s="420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M7" s="352"/>
      <c r="N7" s="352"/>
      <c r="O7" s="353"/>
      <c r="P7" s="393"/>
      <c r="Q7" s="393"/>
      <c r="R7" s="393"/>
      <c r="S7" s="393"/>
      <c r="T7" s="393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3</v>
      </c>
      <c r="H8" s="360" t="s">
        <v>9</v>
      </c>
      <c r="I8" s="439">
        <v>1</v>
      </c>
      <c r="J8" s="362">
        <f>IF(I8="","",IF(G8&gt;I8,1,IF(G8&lt;I8,2,3)))</f>
        <v>1</v>
      </c>
      <c r="K8" s="363">
        <f>IF(I8="","",IF($G8&gt;$I8,3,IF($G8=$I8,1,0)))</f>
        <v>3</v>
      </c>
      <c r="L8" s="363">
        <f>IF(I8="","",IF($G8&lt;$I8,3,IF($G8=$I8,1,0)))</f>
        <v>0</v>
      </c>
      <c r="M8" s="352"/>
      <c r="N8" s="352"/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40"/>
      <c r="V8" s="40"/>
      <c r="W8" s="40"/>
      <c r="Y8" s="109">
        <f>AF8</f>
        <v>10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10</v>
      </c>
      <c r="AG8" s="108">
        <f t="shared" ref="AG8:AG55" si="0">IF(AC8="",0,(IF(G8=AC8,1,0)))</f>
        <v>1</v>
      </c>
      <c r="AH8" s="108">
        <f t="shared" ref="AH8:AH55" si="1">IF(AD8="",0,(IF(I8=AD8,1,0)))</f>
        <v>1</v>
      </c>
      <c r="AI8" s="108">
        <f>IF(AND(AG8=1,AH8=1),10,0)</f>
        <v>10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1</v>
      </c>
      <c r="H9" s="367" t="s">
        <v>9</v>
      </c>
      <c r="I9" s="440">
        <v>1</v>
      </c>
      <c r="J9" s="369">
        <f t="shared" ref="J9:J55" si="5">IF(I9="","",IF(G9&gt;I9,1,IF(G9&lt;I9,2,3)))</f>
        <v>3</v>
      </c>
      <c r="K9" s="363">
        <f t="shared" ref="K9:K55" si="6">IF(I9="","",IF($G9&gt;$I9,3,IF($G9=$I9,1,0)))</f>
        <v>1</v>
      </c>
      <c r="L9" s="363">
        <f t="shared" ref="L9:L55" si="7">IF(I9="","",IF($G9&lt;$I9,3,IF($G9=$I9,1,0)))</f>
        <v>1</v>
      </c>
      <c r="M9" s="352"/>
      <c r="N9" s="352"/>
      <c r="O9" s="394" t="s">
        <v>8</v>
      </c>
      <c r="P9" s="395">
        <f>SUMIF($D$8:$D$55,$O9,$G$8:$G$55)+SUMIF($F$8:$F$55,$O9,$I$8:$I$55)</f>
        <v>9</v>
      </c>
      <c r="Q9" s="395">
        <f>SUMIF($D$8:$D$55,$O9,$I$8:$I$55)+SUMIF($F$8:$F$55,$O9,$G$8:$G$55)</f>
        <v>2</v>
      </c>
      <c r="R9" s="396">
        <f>P9-Q9</f>
        <v>7</v>
      </c>
      <c r="S9" s="397">
        <f>SUMIF($D$8:$D$55,$O9,$K$8:$K$55)+SUMIF($F$8:$F$55,$O9,$L$8:$L$55)</f>
        <v>9</v>
      </c>
      <c r="T9" s="444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1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1</v>
      </c>
      <c r="AG9" s="108">
        <f t="shared" si="0"/>
        <v>1</v>
      </c>
      <c r="AH9" s="108">
        <f t="shared" si="1"/>
        <v>0</v>
      </c>
      <c r="AI9" s="108">
        <f t="shared" ref="AI9:AI55" si="10">IF(AND(AG9=1,AH9=1),10,0)</f>
        <v>0</v>
      </c>
      <c r="AJ9" s="108">
        <f t="shared" si="2"/>
        <v>0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1</v>
      </c>
      <c r="H10" s="373" t="s">
        <v>9</v>
      </c>
      <c r="I10" s="441">
        <v>2</v>
      </c>
      <c r="J10" s="375">
        <f t="shared" si="5"/>
        <v>2</v>
      </c>
      <c r="K10" s="363">
        <f t="shared" si="6"/>
        <v>0</v>
      </c>
      <c r="L10" s="363">
        <f t="shared" si="7"/>
        <v>3</v>
      </c>
      <c r="M10" s="352"/>
      <c r="N10" s="352"/>
      <c r="O10" s="398" t="s">
        <v>10</v>
      </c>
      <c r="P10" s="399">
        <f>SUMIF($D$8:$D$55,$O10,$G$8:$G$55)+SUMIF($F$8:$F$55,$O10,$I$8:$I$55)</f>
        <v>3</v>
      </c>
      <c r="Q10" s="399">
        <f>SUMIF($D$8:$D$55,$O10,$I$8:$I$55)+SUMIF($F$8:$F$55,$O10,$G$8:$G$55)</f>
        <v>3</v>
      </c>
      <c r="R10" s="399">
        <f>P10-Q10</f>
        <v>0</v>
      </c>
      <c r="S10" s="400">
        <f>SUMIF($D$8:$D$55,$O10,$K$8:$K$55)+SUMIF($F$8:$F$55,$O10,$L$8:$L$55)</f>
        <v>4</v>
      </c>
      <c r="T10" s="445" t="s">
        <v>49</v>
      </c>
      <c r="U10" s="40"/>
      <c r="V10" s="40" t="str">
        <f>O10</f>
        <v>Kroatië</v>
      </c>
      <c r="W10" s="40" t="s">
        <v>49</v>
      </c>
      <c r="Y10" s="109">
        <f t="shared" si="8"/>
        <v>6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6</v>
      </c>
      <c r="AG10" s="108">
        <f t="shared" si="0"/>
        <v>1</v>
      </c>
      <c r="AH10" s="108">
        <f t="shared" si="1"/>
        <v>0</v>
      </c>
      <c r="AI10" s="108">
        <f t="shared" si="10"/>
        <v>0</v>
      </c>
      <c r="AJ10" s="108">
        <f t="shared" si="2"/>
        <v>0</v>
      </c>
      <c r="AK10" s="108">
        <f t="shared" si="3"/>
        <v>5</v>
      </c>
      <c r="AL10" s="108">
        <f t="shared" si="4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2</v>
      </c>
      <c r="H11" s="379" t="s">
        <v>9</v>
      </c>
      <c r="I11" s="442">
        <v>0</v>
      </c>
      <c r="J11" s="381">
        <f t="shared" si="5"/>
        <v>1</v>
      </c>
      <c r="K11" s="363">
        <f t="shared" si="6"/>
        <v>3</v>
      </c>
      <c r="L11" s="363">
        <f t="shared" si="7"/>
        <v>0</v>
      </c>
      <c r="M11" s="352"/>
      <c r="N11" s="352"/>
      <c r="O11" s="398" t="s">
        <v>11</v>
      </c>
      <c r="P11" s="399">
        <f>SUMIF($D$8:$D$55,$O11,$G$8:$G$55)+SUMIF($F$8:$F$55,$O11,$I$8:$I$55)</f>
        <v>1</v>
      </c>
      <c r="Q11" s="399">
        <f>SUMIF($D$8:$D$55,$O11,$I$8:$I$55)+SUMIF($F$8:$F$55,$O11,$G$8:$G$55)</f>
        <v>3</v>
      </c>
      <c r="R11" s="399">
        <f>P11-Q11</f>
        <v>-2</v>
      </c>
      <c r="S11" s="400">
        <f>SUMIF($D$8:$D$55,$O11,$K$8:$K$55)+SUMIF($F$8:$F$55,$O11,$L$8:$L$55)</f>
        <v>2</v>
      </c>
      <c r="T11" s="445" t="s">
        <v>47</v>
      </c>
      <c r="U11" s="40"/>
      <c r="V11" s="40" t="str">
        <f>O11</f>
        <v>Mexico</v>
      </c>
      <c r="W11" s="40" t="s">
        <v>47</v>
      </c>
      <c r="Y11" s="109">
        <f t="shared" si="8"/>
        <v>5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5</v>
      </c>
      <c r="AG11" s="108">
        <f t="shared" si="0"/>
        <v>0</v>
      </c>
      <c r="AH11" s="108">
        <f t="shared" si="1"/>
        <v>0</v>
      </c>
      <c r="AI11" s="108">
        <f t="shared" si="10"/>
        <v>0</v>
      </c>
      <c r="AJ11" s="108">
        <f t="shared" si="2"/>
        <v>5</v>
      </c>
      <c r="AK11" s="108">
        <f t="shared" si="3"/>
        <v>0</v>
      </c>
      <c r="AL11" s="108">
        <f t="shared" si="4"/>
        <v>0</v>
      </c>
      <c r="AM11" s="120">
        <f>AO11</f>
        <v>0</v>
      </c>
      <c r="AN11" s="117" t="s">
        <v>11</v>
      </c>
      <c r="AO11" s="115">
        <f>IF(Uitslag!T11="",0,IF(T11=Uitslag!T11,10,0))</f>
        <v>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3</v>
      </c>
      <c r="H12" s="367" t="s">
        <v>9</v>
      </c>
      <c r="I12" s="440">
        <v>0</v>
      </c>
      <c r="J12" s="369">
        <f t="shared" si="5"/>
        <v>1</v>
      </c>
      <c r="K12" s="363">
        <f t="shared" si="6"/>
        <v>3</v>
      </c>
      <c r="L12" s="363">
        <f t="shared" si="7"/>
        <v>0</v>
      </c>
      <c r="M12" s="352"/>
      <c r="N12" s="352"/>
      <c r="O12" s="401" t="s">
        <v>12</v>
      </c>
      <c r="P12" s="402">
        <f>SUMIF($D$8:$D$55,$O12,$G$8:$G$55)+SUMIF($F$8:$F$55,$O12,$I$8:$I$55)</f>
        <v>2</v>
      </c>
      <c r="Q12" s="402">
        <f>SUMIF($D$8:$D$55,$O12,$I$8:$I$55)+SUMIF($F$8:$F$55,$O12,$G$8:$G$55)</f>
        <v>7</v>
      </c>
      <c r="R12" s="402">
        <f>P12-Q12</f>
        <v>-5</v>
      </c>
      <c r="S12" s="403">
        <f>SUMIF($D$8:$D$55,$O12,$K$8:$K$55)+SUMIF($F$8:$F$55,$O12,$L$8:$L$55)</f>
        <v>1</v>
      </c>
      <c r="T12" s="446" t="s">
        <v>50</v>
      </c>
      <c r="U12" s="40"/>
      <c r="V12" s="40" t="str">
        <f>O12</f>
        <v>Kameroen</v>
      </c>
      <c r="W12" s="40" t="s">
        <v>50</v>
      </c>
      <c r="Y12" s="109">
        <f t="shared" si="8"/>
        <v>10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10</v>
      </c>
      <c r="AG12" s="108">
        <f t="shared" si="0"/>
        <v>1</v>
      </c>
      <c r="AH12" s="108">
        <f t="shared" si="1"/>
        <v>1</v>
      </c>
      <c r="AI12" s="108">
        <f t="shared" si="10"/>
        <v>10</v>
      </c>
      <c r="AJ12" s="108">
        <f t="shared" si="2"/>
        <v>5</v>
      </c>
      <c r="AK12" s="108">
        <f t="shared" si="3"/>
        <v>0</v>
      </c>
      <c r="AL12" s="108">
        <f t="shared" si="4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2</v>
      </c>
      <c r="H13" s="373" t="s">
        <v>9</v>
      </c>
      <c r="I13" s="441">
        <v>0</v>
      </c>
      <c r="J13" s="375">
        <f t="shared" si="5"/>
        <v>1</v>
      </c>
      <c r="K13" s="363">
        <f t="shared" si="6"/>
        <v>3</v>
      </c>
      <c r="L13" s="363">
        <f t="shared" si="7"/>
        <v>0</v>
      </c>
      <c r="M13" s="352"/>
      <c r="N13" s="352"/>
      <c r="O13" s="392"/>
      <c r="P13" s="393"/>
      <c r="Q13" s="393"/>
      <c r="R13" s="393"/>
      <c r="S13" s="393"/>
      <c r="T13" s="393"/>
      <c r="U13" s="40"/>
      <c r="V13" s="40"/>
      <c r="W13" s="40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0"/>
        <v>0</v>
      </c>
      <c r="AH13" s="108">
        <f t="shared" si="1"/>
        <v>0</v>
      </c>
      <c r="AI13" s="108">
        <f t="shared" si="10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40"/>
      <c r="AO13" s="41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1</v>
      </c>
      <c r="H14" s="373" t="s">
        <v>9</v>
      </c>
      <c r="I14" s="441">
        <v>2</v>
      </c>
      <c r="J14" s="375">
        <f t="shared" si="5"/>
        <v>2</v>
      </c>
      <c r="K14" s="363">
        <f t="shared" si="6"/>
        <v>0</v>
      </c>
      <c r="L14" s="363">
        <f t="shared" si="7"/>
        <v>3</v>
      </c>
      <c r="M14" s="352"/>
      <c r="N14" s="352"/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40"/>
      <c r="V14" s="40"/>
      <c r="W14" s="40"/>
      <c r="Y14" s="109">
        <f t="shared" si="8"/>
        <v>10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10</v>
      </c>
      <c r="AG14" s="108">
        <f t="shared" si="0"/>
        <v>1</v>
      </c>
      <c r="AH14" s="108">
        <f t="shared" si="1"/>
        <v>1</v>
      </c>
      <c r="AI14" s="108">
        <f t="shared" si="10"/>
        <v>10</v>
      </c>
      <c r="AJ14" s="108">
        <f t="shared" si="2"/>
        <v>0</v>
      </c>
      <c r="AK14" s="108">
        <f t="shared" si="3"/>
        <v>5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2</v>
      </c>
      <c r="H15" s="379" t="s">
        <v>9</v>
      </c>
      <c r="I15" s="442">
        <v>2</v>
      </c>
      <c r="J15" s="381">
        <f t="shared" si="5"/>
        <v>3</v>
      </c>
      <c r="K15" s="363">
        <f t="shared" si="6"/>
        <v>1</v>
      </c>
      <c r="L15" s="363">
        <f t="shared" si="7"/>
        <v>1</v>
      </c>
      <c r="M15" s="352"/>
      <c r="N15" s="352"/>
      <c r="O15" s="394" t="s">
        <v>13</v>
      </c>
      <c r="P15" s="395">
        <f>SUMIF($D$8:$D$55,$O15,$G$8:$G$55)+SUMIF($F$8:$F$55,$O15,$I$8:$I$55)</f>
        <v>6</v>
      </c>
      <c r="Q15" s="395">
        <f>SUMIF($D$8:$D$55,$O15,$I$8:$I$55)+SUMIF($F$8:$F$55,$O15,$G$8:$G$55)</f>
        <v>3</v>
      </c>
      <c r="R15" s="396">
        <f>P15-Q15</f>
        <v>3</v>
      </c>
      <c r="S15" s="397">
        <f>SUMIF($D$8:$D$55,$O15,$K$8:$K$55)+SUMIF($F$8:$F$55,$O15,$L$8:$L$55)</f>
        <v>6</v>
      </c>
      <c r="T15" s="444" t="s">
        <v>52</v>
      </c>
      <c r="U15" s="40"/>
      <c r="V15" s="40" t="str">
        <f>O15</f>
        <v>Spanje</v>
      </c>
      <c r="W15" s="40" t="s">
        <v>52</v>
      </c>
      <c r="Y15" s="109">
        <f t="shared" si="8"/>
        <v>1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1</v>
      </c>
      <c r="AG15" s="108">
        <f t="shared" si="0"/>
        <v>1</v>
      </c>
      <c r="AH15" s="108">
        <f t="shared" si="1"/>
        <v>0</v>
      </c>
      <c r="AI15" s="108">
        <f t="shared" si="10"/>
        <v>0</v>
      </c>
      <c r="AJ15" s="108">
        <f t="shared" si="2"/>
        <v>0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0</v>
      </c>
      <c r="H16" s="367" t="s">
        <v>9</v>
      </c>
      <c r="I16" s="440">
        <v>0</v>
      </c>
      <c r="J16" s="369">
        <f t="shared" si="5"/>
        <v>3</v>
      </c>
      <c r="K16" s="363">
        <f t="shared" si="6"/>
        <v>1</v>
      </c>
      <c r="L16" s="363">
        <f t="shared" si="7"/>
        <v>1</v>
      </c>
      <c r="M16" s="352"/>
      <c r="N16" s="352"/>
      <c r="O16" s="404" t="s">
        <v>14</v>
      </c>
      <c r="P16" s="399">
        <f>SUMIF($D$8:$D$55,$O16,$G$8:$G$55)+SUMIF($F$8:$F$55,$O16,$I$8:$I$55)</f>
        <v>6</v>
      </c>
      <c r="Q16" s="399">
        <f>SUMIF($D$8:$D$55,$O16,$I$8:$I$55)+SUMIF($F$8:$F$55,$O16,$G$8:$G$55)</f>
        <v>4</v>
      </c>
      <c r="R16" s="399">
        <f>P16-Q16</f>
        <v>2</v>
      </c>
      <c r="S16" s="400">
        <f>SUMIF($D$8:$D$55,$O16,$K$8:$K$55)+SUMIF($F$8:$F$55,$O16,$L$8:$L$55)</f>
        <v>7</v>
      </c>
      <c r="T16" s="445" t="s">
        <v>53</v>
      </c>
      <c r="U16" s="40"/>
      <c r="V16" s="40" t="str">
        <f>O16</f>
        <v>Nederland</v>
      </c>
      <c r="W16" s="40" t="s">
        <v>53</v>
      </c>
      <c r="Y16" s="109">
        <f t="shared" si="8"/>
        <v>0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0</v>
      </c>
      <c r="AG16" s="108">
        <f t="shared" si="0"/>
        <v>0</v>
      </c>
      <c r="AH16" s="108">
        <f t="shared" si="1"/>
        <v>0</v>
      </c>
      <c r="AI16" s="108">
        <f t="shared" si="10"/>
        <v>0</v>
      </c>
      <c r="AJ16" s="108">
        <f t="shared" si="2"/>
        <v>0</v>
      </c>
      <c r="AK16" s="108">
        <f t="shared" si="3"/>
        <v>0</v>
      </c>
      <c r="AL16" s="108">
        <f t="shared" si="4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1</v>
      </c>
      <c r="H17" s="373" t="s">
        <v>9</v>
      </c>
      <c r="I17" s="441">
        <v>0</v>
      </c>
      <c r="J17" s="375">
        <f t="shared" si="5"/>
        <v>1</v>
      </c>
      <c r="K17" s="363">
        <f t="shared" si="6"/>
        <v>3</v>
      </c>
      <c r="L17" s="363">
        <f t="shared" si="7"/>
        <v>0</v>
      </c>
      <c r="M17" s="352"/>
      <c r="N17" s="352"/>
      <c r="O17" s="398" t="s">
        <v>15</v>
      </c>
      <c r="P17" s="399">
        <f>SUMIF($D$8:$D$55,$O17,$G$8:$G$55)+SUMIF($F$8:$F$55,$O17,$I$8:$I$55)</f>
        <v>3</v>
      </c>
      <c r="Q17" s="399">
        <f>SUMIF($D$8:$D$55,$O17,$I$8:$I$55)+SUMIF($F$8:$F$55,$O17,$G$8:$G$55)</f>
        <v>3</v>
      </c>
      <c r="R17" s="399">
        <f>P17-Q17</f>
        <v>0</v>
      </c>
      <c r="S17" s="400">
        <f>SUMIF($D$8:$D$55,$O17,$K$8:$K$55)+SUMIF($F$8:$F$55,$O17,$L$8:$L$55)</f>
        <v>4</v>
      </c>
      <c r="T17" s="445" t="s">
        <v>54</v>
      </c>
      <c r="U17" s="40"/>
      <c r="V17" s="40" t="str">
        <f>O17</f>
        <v>Chili</v>
      </c>
      <c r="W17" s="40" t="s">
        <v>54</v>
      </c>
      <c r="Y17" s="109">
        <f t="shared" si="8"/>
        <v>6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6</v>
      </c>
      <c r="AG17" s="108">
        <f t="shared" si="0"/>
        <v>0</v>
      </c>
      <c r="AH17" s="108">
        <f t="shared" si="1"/>
        <v>1</v>
      </c>
      <c r="AI17" s="108">
        <f t="shared" si="10"/>
        <v>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3</v>
      </c>
      <c r="H18" s="379" t="s">
        <v>9</v>
      </c>
      <c r="I18" s="442">
        <v>0</v>
      </c>
      <c r="J18" s="381">
        <f t="shared" si="5"/>
        <v>1</v>
      </c>
      <c r="K18" s="363">
        <f t="shared" si="6"/>
        <v>3</v>
      </c>
      <c r="L18" s="363">
        <f t="shared" si="7"/>
        <v>0</v>
      </c>
      <c r="M18" s="352"/>
      <c r="N18" s="352"/>
      <c r="O18" s="401" t="s">
        <v>16</v>
      </c>
      <c r="P18" s="402">
        <f>SUMIF($D$8:$D$55,$O18,$G$8:$G$55)+SUMIF($F$8:$F$55,$O18,$I$8:$I$55)</f>
        <v>3</v>
      </c>
      <c r="Q18" s="402">
        <f>SUMIF($D$8:$D$55,$O18,$I$8:$I$55)+SUMIF($F$8:$F$55,$O18,$G$8:$G$55)</f>
        <v>8</v>
      </c>
      <c r="R18" s="402">
        <f>P18-Q18</f>
        <v>-5</v>
      </c>
      <c r="S18" s="403">
        <f>SUMIF($D$8:$D$55,$O18,$K$8:$K$55)+SUMIF($F$8:$F$55,$O18,$L$8:$L$55)</f>
        <v>0</v>
      </c>
      <c r="T18" s="446" t="s">
        <v>55</v>
      </c>
      <c r="U18" s="40"/>
      <c r="V18" s="40" t="str">
        <f>O18</f>
        <v>Australië</v>
      </c>
      <c r="W18" s="40" t="s">
        <v>55</v>
      </c>
      <c r="Y18" s="109">
        <f t="shared" si="8"/>
        <v>5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5</v>
      </c>
      <c r="AG18" s="108">
        <f t="shared" si="0"/>
        <v>0</v>
      </c>
      <c r="AH18" s="108">
        <f t="shared" si="1"/>
        <v>0</v>
      </c>
      <c r="AI18" s="108">
        <f t="shared" si="10"/>
        <v>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3</v>
      </c>
      <c r="H19" s="367" t="s">
        <v>9</v>
      </c>
      <c r="I19" s="440">
        <v>2</v>
      </c>
      <c r="J19" s="369">
        <f t="shared" si="5"/>
        <v>1</v>
      </c>
      <c r="K19" s="363">
        <f t="shared" si="6"/>
        <v>3</v>
      </c>
      <c r="L19" s="363">
        <f t="shared" si="7"/>
        <v>0</v>
      </c>
      <c r="M19" s="352"/>
      <c r="N19" s="352"/>
      <c r="O19" s="392"/>
      <c r="P19" s="393"/>
      <c r="Q19" s="393"/>
      <c r="R19" s="393"/>
      <c r="S19" s="393"/>
      <c r="T19" s="393"/>
      <c r="U19" s="40"/>
      <c r="V19" s="40"/>
      <c r="W19" s="40"/>
      <c r="Y19" s="109">
        <f t="shared" si="8"/>
        <v>5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5</v>
      </c>
      <c r="AG19" s="108">
        <f t="shared" si="0"/>
        <v>0</v>
      </c>
      <c r="AH19" s="108">
        <f t="shared" si="1"/>
        <v>0</v>
      </c>
      <c r="AI19" s="108">
        <f t="shared" si="10"/>
        <v>0</v>
      </c>
      <c r="AJ19" s="108">
        <f t="shared" si="2"/>
        <v>5</v>
      </c>
      <c r="AK19" s="108">
        <f t="shared" si="3"/>
        <v>0</v>
      </c>
      <c r="AL19" s="108">
        <f t="shared" si="4"/>
        <v>0</v>
      </c>
      <c r="AN19" s="40"/>
      <c r="AO19" s="41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1</v>
      </c>
      <c r="H20" s="373" t="s">
        <v>9</v>
      </c>
      <c r="I20" s="441">
        <v>2</v>
      </c>
      <c r="J20" s="375">
        <f t="shared" si="5"/>
        <v>2</v>
      </c>
      <c r="K20" s="363">
        <f t="shared" si="6"/>
        <v>0</v>
      </c>
      <c r="L20" s="363">
        <f t="shared" si="7"/>
        <v>3</v>
      </c>
      <c r="M20" s="352"/>
      <c r="N20" s="352"/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40"/>
      <c r="V20" s="40"/>
      <c r="W20" s="40"/>
      <c r="Y20" s="109">
        <f t="shared" si="8"/>
        <v>0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0</v>
      </c>
      <c r="AG20" s="108">
        <f t="shared" si="0"/>
        <v>0</v>
      </c>
      <c r="AH20" s="108">
        <f t="shared" si="1"/>
        <v>0</v>
      </c>
      <c r="AI20" s="108">
        <f t="shared" si="10"/>
        <v>0</v>
      </c>
      <c r="AJ20" s="108">
        <f t="shared" si="2"/>
        <v>0</v>
      </c>
      <c r="AK20" s="108">
        <f t="shared" si="3"/>
        <v>0</v>
      </c>
      <c r="AL20" s="108">
        <f t="shared" si="4"/>
        <v>0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2</v>
      </c>
      <c r="H21" s="379" t="s">
        <v>9</v>
      </c>
      <c r="I21" s="442">
        <v>2</v>
      </c>
      <c r="J21" s="381">
        <f t="shared" si="5"/>
        <v>3</v>
      </c>
      <c r="K21" s="363">
        <f t="shared" si="6"/>
        <v>1</v>
      </c>
      <c r="L21" s="363">
        <f t="shared" si="7"/>
        <v>1</v>
      </c>
      <c r="M21" s="352"/>
      <c r="N21" s="352"/>
      <c r="O21" s="394" t="s">
        <v>17</v>
      </c>
      <c r="P21" s="395">
        <f>SUMIF($D$8:$D$55,$O21,$G$8:$G$55)+SUMIF($F$8:$F$55,$O21,$I$8:$I$55)</f>
        <v>6</v>
      </c>
      <c r="Q21" s="395">
        <f>SUMIF($D$8:$D$55,$O21,$I$8:$I$55)+SUMIF($F$8:$F$55,$O21,$G$8:$G$55)</f>
        <v>2</v>
      </c>
      <c r="R21" s="396">
        <f>P21-Q21</f>
        <v>4</v>
      </c>
      <c r="S21" s="397">
        <f>SUMIF($D$8:$D$55,$O21,$K$8:$K$55)+SUMIF($F$8:$F$55,$O21,$L$8:$L$55)</f>
        <v>7</v>
      </c>
      <c r="T21" s="444" t="s">
        <v>57</v>
      </c>
      <c r="U21" s="40"/>
      <c r="V21" s="40" t="str">
        <f>O21</f>
        <v>Colombia</v>
      </c>
      <c r="W21" s="40" t="s">
        <v>57</v>
      </c>
      <c r="Y21" s="109">
        <f t="shared" si="8"/>
        <v>1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1</v>
      </c>
      <c r="AG21" s="108">
        <f t="shared" si="0"/>
        <v>0</v>
      </c>
      <c r="AH21" s="108">
        <f t="shared" si="1"/>
        <v>1</v>
      </c>
      <c r="AI21" s="108">
        <f t="shared" si="10"/>
        <v>0</v>
      </c>
      <c r="AJ21" s="108">
        <f t="shared" si="2"/>
        <v>0</v>
      </c>
      <c r="AK21" s="108">
        <f t="shared" si="3"/>
        <v>0</v>
      </c>
      <c r="AL21" s="108">
        <f t="shared" si="4"/>
        <v>0</v>
      </c>
      <c r="AM21" s="120">
        <f>AO21</f>
        <v>10</v>
      </c>
      <c r="AN21" s="116" t="s">
        <v>17</v>
      </c>
      <c r="AO21" s="115">
        <f>IF(Uitslag!T21="",0,IF(T21=Uitslag!T21,10,0))</f>
        <v>10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2</v>
      </c>
      <c r="H22" s="367" t="s">
        <v>9</v>
      </c>
      <c r="I22" s="440">
        <v>0</v>
      </c>
      <c r="J22" s="369">
        <f t="shared" si="5"/>
        <v>1</v>
      </c>
      <c r="K22" s="363">
        <f t="shared" si="6"/>
        <v>3</v>
      </c>
      <c r="L22" s="363">
        <f t="shared" si="7"/>
        <v>0</v>
      </c>
      <c r="M22" s="352"/>
      <c r="N22" s="352"/>
      <c r="O22" s="398" t="s">
        <v>18</v>
      </c>
      <c r="P22" s="399">
        <f>SUMIF($D$8:$D$55,$O22,$G$8:$G$55)+SUMIF($F$8:$F$55,$O22,$I$8:$I$55)</f>
        <v>3</v>
      </c>
      <c r="Q22" s="399">
        <f>SUMIF($D$8:$D$55,$O22,$I$8:$I$55)+SUMIF($F$8:$F$55,$O22,$G$8:$G$55)</f>
        <v>7</v>
      </c>
      <c r="R22" s="399">
        <f>P22-Q22</f>
        <v>-4</v>
      </c>
      <c r="S22" s="400">
        <f>SUMIF($D$8:$D$55,$O22,$K$8:$K$55)+SUMIF($F$8:$F$55,$O22,$L$8:$L$55)</f>
        <v>1</v>
      </c>
      <c r="T22" s="445" t="s">
        <v>60</v>
      </c>
      <c r="U22" s="40"/>
      <c r="V22" s="40" t="str">
        <f>O22</f>
        <v>Griekenland</v>
      </c>
      <c r="W22" s="40" t="s">
        <v>58</v>
      </c>
      <c r="Y22" s="109">
        <f t="shared" si="8"/>
        <v>6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6</v>
      </c>
      <c r="AG22" s="108">
        <f t="shared" si="0"/>
        <v>1</v>
      </c>
      <c r="AH22" s="108">
        <f t="shared" si="1"/>
        <v>0</v>
      </c>
      <c r="AI22" s="108">
        <f t="shared" si="10"/>
        <v>0</v>
      </c>
      <c r="AJ22" s="108">
        <f t="shared" si="2"/>
        <v>5</v>
      </c>
      <c r="AK22" s="108">
        <f t="shared" si="3"/>
        <v>0</v>
      </c>
      <c r="AL22" s="108">
        <f t="shared" si="4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2</v>
      </c>
      <c r="H23" s="373" t="s">
        <v>9</v>
      </c>
      <c r="I23" s="441">
        <v>0</v>
      </c>
      <c r="J23" s="375">
        <f t="shared" si="5"/>
        <v>1</v>
      </c>
      <c r="K23" s="363">
        <f t="shared" si="6"/>
        <v>3</v>
      </c>
      <c r="L23" s="363">
        <f t="shared" si="7"/>
        <v>0</v>
      </c>
      <c r="M23" s="352"/>
      <c r="N23" s="352"/>
      <c r="O23" s="398" t="s">
        <v>23</v>
      </c>
      <c r="P23" s="399">
        <f>SUMIF($D$8:$D$55,$O23,$G$8:$G$55)+SUMIF($F$8:$F$55,$O23,$I$8:$I$55)</f>
        <v>5</v>
      </c>
      <c r="Q23" s="399">
        <f>SUMIF($D$8:$D$55,$O23,$I$8:$I$55)+SUMIF($F$8:$F$55,$O23,$G$8:$G$55)</f>
        <v>6</v>
      </c>
      <c r="R23" s="399">
        <f>P23-Q23</f>
        <v>-1</v>
      </c>
      <c r="S23" s="400">
        <f>SUMIF($D$8:$D$55,$O23,$K$8:$K$55)+SUMIF($F$8:$F$55,$O23,$L$8:$L$55)</f>
        <v>2</v>
      </c>
      <c r="T23" s="445" t="s">
        <v>59</v>
      </c>
      <c r="U23" s="40"/>
      <c r="V23" s="40" t="str">
        <f>O23</f>
        <v>Ivoorkust</v>
      </c>
      <c r="W23" s="40" t="s">
        <v>59</v>
      </c>
      <c r="Y23" s="109">
        <f t="shared" si="8"/>
        <v>1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1</v>
      </c>
      <c r="AG23" s="108">
        <f t="shared" si="0"/>
        <v>0</v>
      </c>
      <c r="AH23" s="108">
        <f t="shared" si="1"/>
        <v>1</v>
      </c>
      <c r="AI23" s="108">
        <f t="shared" si="10"/>
        <v>0</v>
      </c>
      <c r="AJ23" s="108">
        <f t="shared" si="2"/>
        <v>0</v>
      </c>
      <c r="AK23" s="108">
        <f t="shared" si="3"/>
        <v>0</v>
      </c>
      <c r="AL23" s="108">
        <f t="shared" si="4"/>
        <v>0</v>
      </c>
      <c r="AM23" s="120">
        <f>AO23</f>
        <v>10</v>
      </c>
      <c r="AN23" s="117" t="s">
        <v>23</v>
      </c>
      <c r="AO23" s="115">
        <f>IF(Uitslag!T23="",0,IF(T23=Uitslag!T23,10,0))</f>
        <v>10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2</v>
      </c>
      <c r="H24" s="379" t="s">
        <v>9</v>
      </c>
      <c r="I24" s="442">
        <v>1</v>
      </c>
      <c r="J24" s="381">
        <f t="shared" si="5"/>
        <v>1</v>
      </c>
      <c r="K24" s="363">
        <f t="shared" si="6"/>
        <v>3</v>
      </c>
      <c r="L24" s="363">
        <f t="shared" si="7"/>
        <v>0</v>
      </c>
      <c r="M24" s="352"/>
      <c r="N24" s="352"/>
      <c r="O24" s="401" t="s">
        <v>24</v>
      </c>
      <c r="P24" s="402">
        <f>SUMIF($D$8:$D$55,$O24,$G$8:$G$55)+SUMIF($F$8:$F$55,$O24,$I$8:$I$55)</f>
        <v>5</v>
      </c>
      <c r="Q24" s="402">
        <f>SUMIF($D$8:$D$55,$O24,$I$8:$I$55)+SUMIF($F$8:$F$55,$O24,$G$8:$G$55)</f>
        <v>4</v>
      </c>
      <c r="R24" s="402">
        <f>P24-Q24</f>
        <v>1</v>
      </c>
      <c r="S24" s="403">
        <f>SUMIF($D$8:$D$55,$O24,$K$8:$K$55)+SUMIF($F$8:$F$55,$O24,$L$8:$L$55)</f>
        <v>5</v>
      </c>
      <c r="T24" s="446" t="s">
        <v>58</v>
      </c>
      <c r="U24" s="40"/>
      <c r="V24" s="40" t="str">
        <f>O24</f>
        <v>Japan</v>
      </c>
      <c r="W24" s="40" t="s">
        <v>60</v>
      </c>
      <c r="Y24" s="109">
        <f t="shared" si="8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</v>
      </c>
      <c r="AG24" s="108">
        <f t="shared" si="0"/>
        <v>0</v>
      </c>
      <c r="AH24" s="108">
        <f t="shared" si="1"/>
        <v>1</v>
      </c>
      <c r="AI24" s="108">
        <f t="shared" si="10"/>
        <v>0</v>
      </c>
      <c r="AJ24" s="108">
        <f t="shared" si="2"/>
        <v>0</v>
      </c>
      <c r="AK24" s="108">
        <f t="shared" si="3"/>
        <v>0</v>
      </c>
      <c r="AL24" s="108">
        <f t="shared" si="4"/>
        <v>0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2</v>
      </c>
      <c r="H25" s="367" t="s">
        <v>9</v>
      </c>
      <c r="I25" s="440">
        <v>3</v>
      </c>
      <c r="J25" s="369">
        <f t="shared" si="5"/>
        <v>2</v>
      </c>
      <c r="K25" s="363">
        <f t="shared" si="6"/>
        <v>0</v>
      </c>
      <c r="L25" s="363">
        <f t="shared" si="7"/>
        <v>3</v>
      </c>
      <c r="M25" s="352"/>
      <c r="N25" s="352"/>
      <c r="O25" s="392"/>
      <c r="P25" s="393"/>
      <c r="Q25" s="393"/>
      <c r="R25" s="393"/>
      <c r="S25" s="393"/>
      <c r="T25" s="393"/>
      <c r="U25" s="40"/>
      <c r="V25" s="40"/>
      <c r="W25" s="40"/>
      <c r="Y25" s="109">
        <f t="shared" si="8"/>
        <v>10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10</v>
      </c>
      <c r="AG25" s="108">
        <f t="shared" si="0"/>
        <v>1</v>
      </c>
      <c r="AH25" s="108">
        <f t="shared" si="1"/>
        <v>1</v>
      </c>
      <c r="AI25" s="108">
        <f t="shared" si="10"/>
        <v>10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40"/>
      <c r="AO25" s="41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2</v>
      </c>
      <c r="H26" s="373" t="s">
        <v>9</v>
      </c>
      <c r="I26" s="441">
        <v>0</v>
      </c>
      <c r="J26" s="375">
        <f t="shared" si="5"/>
        <v>1</v>
      </c>
      <c r="K26" s="363">
        <f t="shared" si="6"/>
        <v>3</v>
      </c>
      <c r="L26" s="363">
        <f t="shared" si="7"/>
        <v>0</v>
      </c>
      <c r="M26" s="352"/>
      <c r="N26" s="352"/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40"/>
      <c r="V26" s="40"/>
      <c r="W26" s="40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0"/>
        <v>0</v>
      </c>
      <c r="AH26" s="108">
        <f t="shared" si="1"/>
        <v>0</v>
      </c>
      <c r="AI26" s="108">
        <f t="shared" si="10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0</v>
      </c>
      <c r="H27" s="379" t="s">
        <v>9</v>
      </c>
      <c r="I27" s="442">
        <v>2</v>
      </c>
      <c r="J27" s="381">
        <f t="shared" si="5"/>
        <v>2</v>
      </c>
      <c r="K27" s="363">
        <f t="shared" si="6"/>
        <v>0</v>
      </c>
      <c r="L27" s="363">
        <f t="shared" si="7"/>
        <v>3</v>
      </c>
      <c r="M27" s="352"/>
      <c r="N27" s="352"/>
      <c r="O27" s="394" t="s">
        <v>19</v>
      </c>
      <c r="P27" s="395">
        <f>SUMIF($D$8:$D$55,$O27,$G$8:$G$55)+SUMIF($F$8:$F$55,$O27,$I$8:$I$55)</f>
        <v>7</v>
      </c>
      <c r="Q27" s="395">
        <f>SUMIF($D$8:$D$55,$O27,$I$8:$I$55)+SUMIF($F$8:$F$55,$O27,$G$8:$G$55)</f>
        <v>1</v>
      </c>
      <c r="R27" s="396">
        <f>P27-Q27</f>
        <v>6</v>
      </c>
      <c r="S27" s="397">
        <f>SUMIF($D$8:$D$55,$O27,$K$8:$K$55)+SUMIF($F$8:$F$55,$O27,$L$8:$L$55)</f>
        <v>9</v>
      </c>
      <c r="T27" s="444" t="s">
        <v>62</v>
      </c>
      <c r="U27" s="40"/>
      <c r="V27" s="40" t="str">
        <f>O27</f>
        <v>Uruguay</v>
      </c>
      <c r="W27" s="40" t="s">
        <v>62</v>
      </c>
      <c r="Y27" s="109">
        <f t="shared" si="8"/>
        <v>6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6</v>
      </c>
      <c r="AG27" s="108">
        <f t="shared" si="0"/>
        <v>1</v>
      </c>
      <c r="AH27" s="108">
        <f t="shared" si="1"/>
        <v>0</v>
      </c>
      <c r="AI27" s="108">
        <f t="shared" si="10"/>
        <v>0</v>
      </c>
      <c r="AJ27" s="108">
        <f t="shared" si="2"/>
        <v>0</v>
      </c>
      <c r="AK27" s="108">
        <f t="shared" si="3"/>
        <v>5</v>
      </c>
      <c r="AL27" s="108">
        <f t="shared" si="4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2</v>
      </c>
      <c r="H28" s="367" t="s">
        <v>9</v>
      </c>
      <c r="I28" s="440">
        <v>1</v>
      </c>
      <c r="J28" s="369">
        <f t="shared" si="5"/>
        <v>1</v>
      </c>
      <c r="K28" s="363">
        <f t="shared" si="6"/>
        <v>3</v>
      </c>
      <c r="L28" s="363">
        <f t="shared" si="7"/>
        <v>0</v>
      </c>
      <c r="M28" s="352"/>
      <c r="N28" s="352"/>
      <c r="O28" s="398" t="s">
        <v>20</v>
      </c>
      <c r="P28" s="399">
        <f>SUMIF($D$8:$D$55,$O28,$G$8:$G$55)+SUMIF($F$8:$F$55,$O28,$I$8:$I$55)</f>
        <v>2</v>
      </c>
      <c r="Q28" s="399">
        <f>SUMIF($D$8:$D$55,$O28,$I$8:$I$55)+SUMIF($F$8:$F$55,$O28,$G$8:$G$55)</f>
        <v>4</v>
      </c>
      <c r="R28" s="399">
        <f>P28-Q28</f>
        <v>-2</v>
      </c>
      <c r="S28" s="400">
        <f>SUMIF($D$8:$D$55,$O28,$K$8:$K$55)+SUMIF($F$8:$F$55,$O28,$L$8:$L$55)</f>
        <v>2</v>
      </c>
      <c r="T28" s="445" t="s">
        <v>64</v>
      </c>
      <c r="U28" s="40"/>
      <c r="V28" s="40" t="str">
        <f>O28</f>
        <v>Costa Rica</v>
      </c>
      <c r="W28" s="40" t="s">
        <v>63</v>
      </c>
      <c r="Y28" s="109">
        <f t="shared" si="8"/>
        <v>10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10</v>
      </c>
      <c r="AG28" s="108">
        <f t="shared" si="0"/>
        <v>1</v>
      </c>
      <c r="AH28" s="108">
        <f t="shared" si="1"/>
        <v>1</v>
      </c>
      <c r="AI28" s="108">
        <f t="shared" si="10"/>
        <v>10</v>
      </c>
      <c r="AJ28" s="108">
        <f t="shared" si="2"/>
        <v>5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2</v>
      </c>
      <c r="H29" s="373" t="s">
        <v>9</v>
      </c>
      <c r="I29" s="441">
        <v>0</v>
      </c>
      <c r="J29" s="375">
        <f t="shared" si="5"/>
        <v>1</v>
      </c>
      <c r="K29" s="363">
        <f t="shared" si="6"/>
        <v>3</v>
      </c>
      <c r="L29" s="363">
        <f t="shared" si="7"/>
        <v>0</v>
      </c>
      <c r="M29" s="352"/>
      <c r="N29" s="352"/>
      <c r="O29" s="398" t="s">
        <v>21</v>
      </c>
      <c r="P29" s="399">
        <f>SUMIF($D$8:$D$55,$O29,$G$8:$G$55)+SUMIF($F$8:$F$55,$O29,$I$8:$I$55)</f>
        <v>3</v>
      </c>
      <c r="Q29" s="399">
        <f>SUMIF($D$8:$D$55,$O29,$I$8:$I$55)+SUMIF($F$8:$F$55,$O29,$G$8:$G$55)</f>
        <v>6</v>
      </c>
      <c r="R29" s="399">
        <f>P29-Q29</f>
        <v>-3</v>
      </c>
      <c r="S29" s="400">
        <f>SUMIF($D$8:$D$55,$O29,$K$8:$K$55)+SUMIF($F$8:$F$55,$O29,$L$8:$L$55)</f>
        <v>1</v>
      </c>
      <c r="T29" s="445" t="s">
        <v>65</v>
      </c>
      <c r="U29" s="40"/>
      <c r="V29" s="40" t="str">
        <f>O29</f>
        <v>Engeland</v>
      </c>
      <c r="W29" s="40" t="s">
        <v>64</v>
      </c>
      <c r="Y29" s="109">
        <f t="shared" si="8"/>
        <v>6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6</v>
      </c>
      <c r="AG29" s="108">
        <f t="shared" si="0"/>
        <v>1</v>
      </c>
      <c r="AH29" s="108">
        <f t="shared" si="1"/>
        <v>0</v>
      </c>
      <c r="AI29" s="108">
        <f t="shared" si="10"/>
        <v>0</v>
      </c>
      <c r="AJ29" s="108">
        <f t="shared" si="2"/>
        <v>5</v>
      </c>
      <c r="AK29" s="108">
        <f t="shared" si="3"/>
        <v>0</v>
      </c>
      <c r="AL29" s="108">
        <f t="shared" si="4"/>
        <v>0</v>
      </c>
      <c r="AM29" s="120">
        <f>AO29</f>
        <v>10</v>
      </c>
      <c r="AN29" s="117" t="s">
        <v>21</v>
      </c>
      <c r="AO29" s="115">
        <f>IF(Uitslag!T29="",0,IF(T29=Uitslag!T29,10,0))</f>
        <v>10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2</v>
      </c>
      <c r="H30" s="379" t="s">
        <v>9</v>
      </c>
      <c r="I30" s="442">
        <v>1</v>
      </c>
      <c r="J30" s="381">
        <f t="shared" si="5"/>
        <v>1</v>
      </c>
      <c r="K30" s="363">
        <f t="shared" si="6"/>
        <v>3</v>
      </c>
      <c r="L30" s="363">
        <f t="shared" si="7"/>
        <v>0</v>
      </c>
      <c r="M30" s="352"/>
      <c r="N30" s="352"/>
      <c r="O30" s="401" t="s">
        <v>22</v>
      </c>
      <c r="P30" s="402">
        <f>SUMIF($D$8:$D$55,$O30,$G$8:$G$55)+SUMIF($F$8:$F$55,$O30,$I$8:$I$55)</f>
        <v>3</v>
      </c>
      <c r="Q30" s="402">
        <f>SUMIF($D$8:$D$55,$O30,$I$8:$I$55)+SUMIF($F$8:$F$55,$O30,$G$8:$G$55)</f>
        <v>4</v>
      </c>
      <c r="R30" s="402">
        <f>P30-Q30</f>
        <v>-1</v>
      </c>
      <c r="S30" s="403">
        <f>SUMIF($D$8:$D$55,$O30,$K$8:$K$55)+SUMIF($F$8:$F$55,$O30,$L$8:$L$55)</f>
        <v>4</v>
      </c>
      <c r="T30" s="446" t="s">
        <v>63</v>
      </c>
      <c r="U30" s="40"/>
      <c r="V30" s="40" t="str">
        <f>O30</f>
        <v>Italië</v>
      </c>
      <c r="W30" s="40" t="s">
        <v>65</v>
      </c>
      <c r="Y30" s="109">
        <f t="shared" si="8"/>
        <v>0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0</v>
      </c>
      <c r="AG30" s="108">
        <f t="shared" si="0"/>
        <v>0</v>
      </c>
      <c r="AH30" s="108">
        <f t="shared" si="1"/>
        <v>0</v>
      </c>
      <c r="AI30" s="108">
        <f t="shared" si="10"/>
        <v>0</v>
      </c>
      <c r="AJ30" s="108">
        <f t="shared" si="2"/>
        <v>0</v>
      </c>
      <c r="AK30" s="108">
        <f t="shared" si="3"/>
        <v>0</v>
      </c>
      <c r="AL30" s="108">
        <f t="shared" si="4"/>
        <v>0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0</v>
      </c>
      <c r="H31" s="367" t="s">
        <v>9</v>
      </c>
      <c r="I31" s="440">
        <v>0</v>
      </c>
      <c r="J31" s="369">
        <f t="shared" si="5"/>
        <v>3</v>
      </c>
      <c r="K31" s="363">
        <f t="shared" si="6"/>
        <v>1</v>
      </c>
      <c r="L31" s="363">
        <f t="shared" si="7"/>
        <v>1</v>
      </c>
      <c r="M31" s="352"/>
      <c r="N31" s="352"/>
      <c r="O31" s="392"/>
      <c r="P31" s="393"/>
      <c r="Q31" s="393"/>
      <c r="R31" s="393"/>
      <c r="S31" s="393"/>
      <c r="T31" s="393"/>
      <c r="U31" s="40"/>
      <c r="V31" s="40"/>
      <c r="W31" s="40"/>
      <c r="Y31" s="109">
        <f t="shared" si="8"/>
        <v>1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1</v>
      </c>
      <c r="AG31" s="108">
        <f t="shared" si="0"/>
        <v>1</v>
      </c>
      <c r="AH31" s="108">
        <f t="shared" si="1"/>
        <v>0</v>
      </c>
      <c r="AI31" s="108">
        <f t="shared" si="10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40"/>
      <c r="AO31" s="41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1</v>
      </c>
      <c r="H32" s="373" t="s">
        <v>9</v>
      </c>
      <c r="I32" s="441">
        <v>2</v>
      </c>
      <c r="J32" s="375">
        <f t="shared" si="5"/>
        <v>2</v>
      </c>
      <c r="K32" s="363">
        <f t="shared" si="6"/>
        <v>0</v>
      </c>
      <c r="L32" s="363">
        <f t="shared" si="7"/>
        <v>3</v>
      </c>
      <c r="M32" s="352"/>
      <c r="N32" s="352"/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40"/>
      <c r="V32" s="40"/>
      <c r="W32" s="40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0"/>
        <v>0</v>
      </c>
      <c r="AH32" s="108">
        <f t="shared" si="1"/>
        <v>0</v>
      </c>
      <c r="AI32" s="108">
        <f t="shared" si="10"/>
        <v>0</v>
      </c>
      <c r="AJ32" s="108">
        <f t="shared" si="2"/>
        <v>0</v>
      </c>
      <c r="AK32" s="108">
        <f t="shared" si="3"/>
        <v>5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0</v>
      </c>
      <c r="H33" s="379" t="s">
        <v>9</v>
      </c>
      <c r="I33" s="442">
        <v>2</v>
      </c>
      <c r="J33" s="381">
        <f t="shared" si="5"/>
        <v>2</v>
      </c>
      <c r="K33" s="363">
        <f t="shared" si="6"/>
        <v>0</v>
      </c>
      <c r="L33" s="363">
        <f t="shared" si="7"/>
        <v>3</v>
      </c>
      <c r="M33" s="352"/>
      <c r="N33" s="352"/>
      <c r="O33" s="394" t="s">
        <v>25</v>
      </c>
      <c r="P33" s="395">
        <f>SUMIF($D$8:$D$55,$O33,$G$8:$G$55)+SUMIF($F$8:$F$55,$O33,$I$8:$I$55)</f>
        <v>4</v>
      </c>
      <c r="Q33" s="395">
        <f>SUMIF($D$8:$D$55,$O33,$I$8:$I$55)+SUMIF($F$8:$F$55,$O33,$G$8:$G$55)</f>
        <v>3</v>
      </c>
      <c r="R33" s="396">
        <f>P33-Q33</f>
        <v>1</v>
      </c>
      <c r="S33" s="397">
        <f>SUMIF($D$8:$D$55,$O33,$K$8:$K$55)+SUMIF($F$8:$F$55,$O33,$L$8:$L$55)</f>
        <v>4</v>
      </c>
      <c r="T33" s="444" t="s">
        <v>69</v>
      </c>
      <c r="U33" s="40"/>
      <c r="V33" s="40" t="str">
        <f>O33</f>
        <v>Zwitserland</v>
      </c>
      <c r="W33" s="40" t="s">
        <v>67</v>
      </c>
      <c r="Y33" s="109">
        <f t="shared" si="8"/>
        <v>6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6</v>
      </c>
      <c r="AG33" s="108">
        <f t="shared" si="0"/>
        <v>0</v>
      </c>
      <c r="AH33" s="108">
        <f t="shared" si="1"/>
        <v>1</v>
      </c>
      <c r="AI33" s="108">
        <f t="shared" si="10"/>
        <v>0</v>
      </c>
      <c r="AJ33" s="108">
        <f t="shared" si="2"/>
        <v>0</v>
      </c>
      <c r="AK33" s="108">
        <f t="shared" si="3"/>
        <v>5</v>
      </c>
      <c r="AL33" s="108">
        <f t="shared" si="4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4</v>
      </c>
      <c r="H34" s="367" t="s">
        <v>9</v>
      </c>
      <c r="I34" s="440">
        <v>1</v>
      </c>
      <c r="J34" s="369">
        <f t="shared" si="5"/>
        <v>1</v>
      </c>
      <c r="K34" s="363">
        <f t="shared" si="6"/>
        <v>3</v>
      </c>
      <c r="L34" s="363">
        <f t="shared" si="7"/>
        <v>0</v>
      </c>
      <c r="M34" s="352"/>
      <c r="N34" s="352"/>
      <c r="O34" s="398" t="s">
        <v>26</v>
      </c>
      <c r="P34" s="399">
        <f>SUMIF($D$8:$D$55,$O34,$G$8:$G$55)+SUMIF($F$8:$F$55,$O34,$I$8:$I$55)</f>
        <v>3</v>
      </c>
      <c r="Q34" s="399">
        <f>SUMIF($D$8:$D$55,$O34,$I$8:$I$55)+SUMIF($F$8:$F$55,$O34,$G$8:$G$55)</f>
        <v>1</v>
      </c>
      <c r="R34" s="399">
        <f>P34-Q34</f>
        <v>2</v>
      </c>
      <c r="S34" s="400">
        <f>SUMIF($D$8:$D$55,$O34,$K$8:$K$55)+SUMIF($F$8:$F$55,$O34,$L$8:$L$55)</f>
        <v>5</v>
      </c>
      <c r="T34" s="445" t="s">
        <v>68</v>
      </c>
      <c r="U34" s="40"/>
      <c r="V34" s="40" t="str">
        <f>O34</f>
        <v>Ecuador</v>
      </c>
      <c r="W34" s="40" t="s">
        <v>68</v>
      </c>
      <c r="Y34" s="109">
        <f t="shared" si="8"/>
        <v>5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5</v>
      </c>
      <c r="AG34" s="108">
        <f t="shared" si="0"/>
        <v>0</v>
      </c>
      <c r="AH34" s="108">
        <f t="shared" si="1"/>
        <v>0</v>
      </c>
      <c r="AI34" s="108">
        <f t="shared" si="10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2</v>
      </c>
      <c r="H35" s="373" t="s">
        <v>9</v>
      </c>
      <c r="I35" s="441">
        <v>1</v>
      </c>
      <c r="J35" s="375">
        <f t="shared" si="5"/>
        <v>1</v>
      </c>
      <c r="K35" s="363">
        <f t="shared" si="6"/>
        <v>3</v>
      </c>
      <c r="L35" s="363">
        <f t="shared" si="7"/>
        <v>0</v>
      </c>
      <c r="M35" s="352"/>
      <c r="N35" s="352"/>
      <c r="O35" s="398" t="s">
        <v>27</v>
      </c>
      <c r="P35" s="399">
        <f>SUMIF($D$8:$D$55,$O35,$G$8:$G$55)+SUMIF($F$8:$F$55,$O35,$I$8:$I$55)</f>
        <v>4</v>
      </c>
      <c r="Q35" s="399">
        <f>SUMIF($D$8:$D$55,$O35,$I$8:$I$55)+SUMIF($F$8:$F$55,$O35,$G$8:$G$55)</f>
        <v>2</v>
      </c>
      <c r="R35" s="399">
        <f>P35-Q35</f>
        <v>2</v>
      </c>
      <c r="S35" s="400">
        <f>SUMIF($D$8:$D$55,$O35,$K$8:$K$55)+SUMIF($F$8:$F$55,$O35,$L$8:$L$55)</f>
        <v>7</v>
      </c>
      <c r="T35" s="445" t="s">
        <v>67</v>
      </c>
      <c r="U35" s="40"/>
      <c r="V35" s="40" t="str">
        <f>O35</f>
        <v>Frankrijk</v>
      </c>
      <c r="W35" s="40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0"/>
        <v>1</v>
      </c>
      <c r="AH35" s="108">
        <f t="shared" si="1"/>
        <v>0</v>
      </c>
      <c r="AI35" s="108">
        <f t="shared" si="10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1</v>
      </c>
      <c r="H36" s="379" t="s">
        <v>9</v>
      </c>
      <c r="I36" s="442">
        <v>0</v>
      </c>
      <c r="J36" s="381">
        <f t="shared" si="5"/>
        <v>1</v>
      </c>
      <c r="K36" s="363">
        <f t="shared" si="6"/>
        <v>3</v>
      </c>
      <c r="L36" s="363">
        <f t="shared" si="7"/>
        <v>0</v>
      </c>
      <c r="M36" s="352"/>
      <c r="N36" s="352"/>
      <c r="O36" s="401" t="s">
        <v>28</v>
      </c>
      <c r="P36" s="402">
        <f>SUMIF($D$8:$D$55,$O36,$G$8:$G$55)+SUMIF($F$8:$F$55,$O36,$I$8:$I$55)</f>
        <v>1</v>
      </c>
      <c r="Q36" s="402">
        <f>SUMIF($D$8:$D$55,$O36,$I$8:$I$55)+SUMIF($F$8:$F$55,$O36,$G$8:$G$55)</f>
        <v>6</v>
      </c>
      <c r="R36" s="402">
        <f>P36-Q36</f>
        <v>-5</v>
      </c>
      <c r="S36" s="403">
        <f>SUMIF($D$8:$D$55,$O36,$K$8:$K$55)+SUMIF($F$8:$F$55,$O36,$L$8:$L$55)</f>
        <v>0</v>
      </c>
      <c r="T36" s="446" t="s">
        <v>70</v>
      </c>
      <c r="U36" s="40"/>
      <c r="V36" s="40" t="str">
        <f>O36</f>
        <v>Honduras</v>
      </c>
      <c r="W36" s="40" t="s">
        <v>70</v>
      </c>
      <c r="Y36" s="109">
        <f t="shared" si="8"/>
        <v>10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10</v>
      </c>
      <c r="AG36" s="108">
        <f t="shared" si="0"/>
        <v>1</v>
      </c>
      <c r="AH36" s="108">
        <f t="shared" si="1"/>
        <v>1</v>
      </c>
      <c r="AI36" s="108">
        <f t="shared" si="10"/>
        <v>10</v>
      </c>
      <c r="AJ36" s="108">
        <f t="shared" si="2"/>
        <v>5</v>
      </c>
      <c r="AK36" s="108">
        <f t="shared" si="3"/>
        <v>0</v>
      </c>
      <c r="AL36" s="108">
        <f t="shared" si="4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2</v>
      </c>
      <c r="H37" s="367" t="s">
        <v>9</v>
      </c>
      <c r="I37" s="440">
        <v>1</v>
      </c>
      <c r="J37" s="369">
        <f t="shared" si="5"/>
        <v>1</v>
      </c>
      <c r="K37" s="363">
        <f t="shared" si="6"/>
        <v>3</v>
      </c>
      <c r="L37" s="363">
        <f t="shared" si="7"/>
        <v>0</v>
      </c>
      <c r="M37" s="352"/>
      <c r="N37" s="352"/>
      <c r="O37" s="392"/>
      <c r="P37" s="393"/>
      <c r="Q37" s="393"/>
      <c r="R37" s="393"/>
      <c r="S37" s="393"/>
      <c r="T37" s="393"/>
      <c r="U37" s="40"/>
      <c r="V37" s="40"/>
      <c r="W37" s="40"/>
      <c r="Y37" s="109">
        <f t="shared" si="8"/>
        <v>5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5</v>
      </c>
      <c r="AG37" s="108">
        <f t="shared" si="0"/>
        <v>0</v>
      </c>
      <c r="AH37" s="108">
        <f t="shared" si="1"/>
        <v>0</v>
      </c>
      <c r="AI37" s="108">
        <f t="shared" si="10"/>
        <v>0</v>
      </c>
      <c r="AJ37" s="108">
        <f t="shared" si="2"/>
        <v>5</v>
      </c>
      <c r="AK37" s="108">
        <f t="shared" si="3"/>
        <v>0</v>
      </c>
      <c r="AL37" s="108">
        <f t="shared" si="4"/>
        <v>0</v>
      </c>
      <c r="AN37" s="40"/>
      <c r="AO37" s="41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1</v>
      </c>
      <c r="H38" s="373" t="s">
        <v>9</v>
      </c>
      <c r="I38" s="441">
        <v>0</v>
      </c>
      <c r="J38" s="375">
        <f t="shared" si="5"/>
        <v>1</v>
      </c>
      <c r="K38" s="363">
        <f t="shared" si="6"/>
        <v>3</v>
      </c>
      <c r="L38" s="363">
        <f t="shared" si="7"/>
        <v>0</v>
      </c>
      <c r="M38" s="352"/>
      <c r="N38" s="352"/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40"/>
      <c r="V38" s="40"/>
      <c r="W38" s="40"/>
      <c r="Y38" s="109">
        <f t="shared" si="8"/>
        <v>0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0</v>
      </c>
      <c r="AG38" s="108">
        <f t="shared" si="0"/>
        <v>0</v>
      </c>
      <c r="AH38" s="108">
        <f t="shared" si="1"/>
        <v>0</v>
      </c>
      <c r="AI38" s="108">
        <f t="shared" si="10"/>
        <v>0</v>
      </c>
      <c r="AJ38" s="108">
        <f t="shared" si="2"/>
        <v>0</v>
      </c>
      <c r="AK38" s="108">
        <f t="shared" si="3"/>
        <v>0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1</v>
      </c>
      <c r="H39" s="379" t="s">
        <v>9</v>
      </c>
      <c r="I39" s="442">
        <v>1</v>
      </c>
      <c r="J39" s="381">
        <f t="shared" si="5"/>
        <v>3</v>
      </c>
      <c r="K39" s="363">
        <f t="shared" si="6"/>
        <v>1</v>
      </c>
      <c r="L39" s="363">
        <f t="shared" si="7"/>
        <v>1</v>
      </c>
      <c r="M39" s="352"/>
      <c r="N39" s="352"/>
      <c r="O39" s="394" t="s">
        <v>29</v>
      </c>
      <c r="P39" s="395">
        <f>SUMIF($D$8:$D$55,$O39,$G$8:$G$55)+SUMIF($F$8:$F$55,$O39,$I$8:$I$55)</f>
        <v>9</v>
      </c>
      <c r="Q39" s="395">
        <f>SUMIF($D$8:$D$55,$O39,$I$8:$I$55)+SUMIF($F$8:$F$55,$O39,$G$8:$G$55)</f>
        <v>3</v>
      </c>
      <c r="R39" s="396">
        <f>P39-Q39</f>
        <v>6</v>
      </c>
      <c r="S39" s="397">
        <f>SUMIF($D$8:$D$55,$O39,$K$8:$K$55)+SUMIF($F$8:$F$55,$O39,$L$8:$L$55)</f>
        <v>7</v>
      </c>
      <c r="T39" s="444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5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5</v>
      </c>
      <c r="AG39" s="108">
        <f t="shared" si="0"/>
        <v>0</v>
      </c>
      <c r="AH39" s="108">
        <f t="shared" si="1"/>
        <v>0</v>
      </c>
      <c r="AI39" s="108">
        <f t="shared" si="10"/>
        <v>0</v>
      </c>
      <c r="AJ39" s="108">
        <f t="shared" si="2"/>
        <v>0</v>
      </c>
      <c r="AK39" s="108">
        <f t="shared" si="3"/>
        <v>0</v>
      </c>
      <c r="AL39" s="108">
        <f t="shared" si="4"/>
        <v>5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1</v>
      </c>
      <c r="H40" s="367" t="s">
        <v>9</v>
      </c>
      <c r="I40" s="440">
        <v>3</v>
      </c>
      <c r="J40" s="369">
        <f t="shared" si="5"/>
        <v>2</v>
      </c>
      <c r="K40" s="363">
        <f t="shared" si="6"/>
        <v>0</v>
      </c>
      <c r="L40" s="363">
        <f t="shared" si="7"/>
        <v>3</v>
      </c>
      <c r="M40" s="352"/>
      <c r="N40" s="352"/>
      <c r="O40" s="398" t="s">
        <v>30</v>
      </c>
      <c r="P40" s="399">
        <f>SUMIF($D$8:$D$55,$O40,$G$8:$G$55)+SUMIF($F$8:$F$55,$O40,$I$8:$I$55)</f>
        <v>1</v>
      </c>
      <c r="Q40" s="399">
        <f>SUMIF($D$8:$D$55,$O40,$I$8:$I$55)+SUMIF($F$8:$F$55,$O40,$G$8:$G$55)</f>
        <v>5</v>
      </c>
      <c r="R40" s="399">
        <f>P40-Q40</f>
        <v>-4</v>
      </c>
      <c r="S40" s="400">
        <f>SUMIF($D$8:$D$55,$O40,$K$8:$K$55)+SUMIF($F$8:$F$55,$O40,$L$8:$L$55)</f>
        <v>1</v>
      </c>
      <c r="T40" s="445" t="s">
        <v>74</v>
      </c>
      <c r="U40" s="40"/>
      <c r="V40" s="40" t="str">
        <f>O40</f>
        <v>Bosnië H.</v>
      </c>
      <c r="W40" s="40" t="s">
        <v>73</v>
      </c>
      <c r="Y40" s="109">
        <f t="shared" si="8"/>
        <v>6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6</v>
      </c>
      <c r="AG40" s="108">
        <f t="shared" si="0"/>
        <v>0</v>
      </c>
      <c r="AH40" s="108">
        <f t="shared" si="1"/>
        <v>1</v>
      </c>
      <c r="AI40" s="108">
        <f t="shared" si="10"/>
        <v>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1</v>
      </c>
      <c r="H41" s="373" t="s">
        <v>9</v>
      </c>
      <c r="I41" s="441">
        <v>1</v>
      </c>
      <c r="J41" s="375">
        <f t="shared" si="5"/>
        <v>3</v>
      </c>
      <c r="K41" s="363">
        <f t="shared" si="6"/>
        <v>1</v>
      </c>
      <c r="L41" s="363">
        <f t="shared" si="7"/>
        <v>1</v>
      </c>
      <c r="M41" s="352"/>
      <c r="N41" s="352"/>
      <c r="O41" s="398" t="s">
        <v>33</v>
      </c>
      <c r="P41" s="399">
        <f>SUMIF($D$8:$D$55,$O41,$G$8:$G$55)+SUMIF($F$8:$F$55,$O41,$I$8:$I$55)</f>
        <v>3</v>
      </c>
      <c r="Q41" s="399">
        <f>SUMIF($D$8:$D$55,$O41,$I$8:$I$55)+SUMIF($F$8:$F$55,$O41,$G$8:$G$55)</f>
        <v>7</v>
      </c>
      <c r="R41" s="399">
        <f>P41-Q41</f>
        <v>-4</v>
      </c>
      <c r="S41" s="400">
        <f>SUMIF($D$8:$D$55,$O41,$K$8:$K$55)+SUMIF($F$8:$F$55,$O41,$L$8:$L$55)</f>
        <v>1</v>
      </c>
      <c r="T41" s="445" t="s">
        <v>75</v>
      </c>
      <c r="U41" s="40"/>
      <c r="V41" s="40" t="str">
        <f>O41</f>
        <v>Iran</v>
      </c>
      <c r="W41" s="40" t="s">
        <v>74</v>
      </c>
      <c r="Y41" s="109">
        <f t="shared" si="8"/>
        <v>0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0</v>
      </c>
      <c r="AG41" s="108">
        <f t="shared" si="0"/>
        <v>0</v>
      </c>
      <c r="AH41" s="108">
        <f t="shared" si="1"/>
        <v>0</v>
      </c>
      <c r="AI41" s="108">
        <f t="shared" si="10"/>
        <v>0</v>
      </c>
      <c r="AJ41" s="108">
        <f t="shared" si="2"/>
        <v>0</v>
      </c>
      <c r="AK41" s="108">
        <f t="shared" si="3"/>
        <v>0</v>
      </c>
      <c r="AL41" s="108">
        <f t="shared" si="4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1</v>
      </c>
      <c r="H42" s="373" t="s">
        <v>9</v>
      </c>
      <c r="I42" s="441">
        <v>4</v>
      </c>
      <c r="J42" s="375">
        <f t="shared" si="5"/>
        <v>2</v>
      </c>
      <c r="K42" s="363">
        <f t="shared" si="6"/>
        <v>0</v>
      </c>
      <c r="L42" s="363">
        <f t="shared" si="7"/>
        <v>3</v>
      </c>
      <c r="M42" s="352"/>
      <c r="N42" s="352"/>
      <c r="O42" s="401" t="s">
        <v>34</v>
      </c>
      <c r="P42" s="402">
        <f>SUMIF($D$8:$D$55,$O42,$G$8:$G$55)+SUMIF($F$8:$F$55,$O42,$I$8:$I$55)</f>
        <v>5</v>
      </c>
      <c r="Q42" s="402">
        <f>SUMIF($D$8:$D$55,$O42,$I$8:$I$55)+SUMIF($F$8:$F$55,$O42,$G$8:$G$55)</f>
        <v>3</v>
      </c>
      <c r="R42" s="402">
        <f>P42-Q42</f>
        <v>2</v>
      </c>
      <c r="S42" s="403">
        <f>SUMIF($D$8:$D$55,$O42,$K$8:$K$55)+SUMIF($F$8:$F$55,$O42,$L$8:$L$55)</f>
        <v>7</v>
      </c>
      <c r="T42" s="446" t="s">
        <v>73</v>
      </c>
      <c r="U42" s="40"/>
      <c r="V42" s="40" t="str">
        <f>O42</f>
        <v>Nigeria</v>
      </c>
      <c r="W42" s="40" t="s">
        <v>75</v>
      </c>
      <c r="Y42" s="109">
        <f t="shared" si="8"/>
        <v>10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10</v>
      </c>
      <c r="AG42" s="108">
        <f t="shared" si="0"/>
        <v>1</v>
      </c>
      <c r="AH42" s="108">
        <f t="shared" si="1"/>
        <v>1</v>
      </c>
      <c r="AI42" s="108">
        <f t="shared" si="10"/>
        <v>10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0</v>
      </c>
      <c r="H43" s="379" t="s">
        <v>9</v>
      </c>
      <c r="I43" s="442">
        <v>0</v>
      </c>
      <c r="J43" s="381">
        <f t="shared" si="5"/>
        <v>3</v>
      </c>
      <c r="K43" s="363">
        <f t="shared" si="6"/>
        <v>1</v>
      </c>
      <c r="L43" s="363">
        <f t="shared" si="7"/>
        <v>1</v>
      </c>
      <c r="M43" s="352"/>
      <c r="N43" s="352"/>
      <c r="O43" s="392"/>
      <c r="P43" s="393"/>
      <c r="Q43" s="393"/>
      <c r="R43" s="393"/>
      <c r="S43" s="393"/>
      <c r="T43" s="393"/>
      <c r="U43" s="40"/>
      <c r="V43" s="40"/>
      <c r="W43" s="40"/>
      <c r="Y43" s="109">
        <f t="shared" si="8"/>
        <v>0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0</v>
      </c>
      <c r="AG43" s="108">
        <f t="shared" si="0"/>
        <v>0</v>
      </c>
      <c r="AH43" s="108">
        <f t="shared" si="1"/>
        <v>0</v>
      </c>
      <c r="AI43" s="108">
        <f t="shared" si="10"/>
        <v>0</v>
      </c>
      <c r="AJ43" s="108">
        <f t="shared" si="2"/>
        <v>0</v>
      </c>
      <c r="AK43" s="108">
        <f t="shared" si="3"/>
        <v>0</v>
      </c>
      <c r="AL43" s="108">
        <f t="shared" si="4"/>
        <v>0</v>
      </c>
      <c r="AN43" s="40"/>
      <c r="AO43" s="41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1</v>
      </c>
      <c r="H44" s="367" t="s">
        <v>9</v>
      </c>
      <c r="I44" s="440">
        <v>3</v>
      </c>
      <c r="J44" s="369">
        <f t="shared" si="5"/>
        <v>2</v>
      </c>
      <c r="K44" s="363">
        <f t="shared" si="6"/>
        <v>0</v>
      </c>
      <c r="L44" s="363">
        <f t="shared" si="7"/>
        <v>3</v>
      </c>
      <c r="M44" s="352"/>
      <c r="N44" s="352"/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40"/>
      <c r="V44" s="40"/>
      <c r="W44" s="40"/>
      <c r="Y44" s="109">
        <f t="shared" si="8"/>
        <v>5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5</v>
      </c>
      <c r="AG44" s="108">
        <f t="shared" si="0"/>
        <v>0</v>
      </c>
      <c r="AH44" s="108">
        <f t="shared" si="1"/>
        <v>0</v>
      </c>
      <c r="AI44" s="108">
        <f t="shared" si="10"/>
        <v>0</v>
      </c>
      <c r="AJ44" s="108">
        <f t="shared" si="2"/>
        <v>0</v>
      </c>
      <c r="AK44" s="108">
        <f t="shared" si="3"/>
        <v>5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2</v>
      </c>
      <c r="H45" s="373" t="s">
        <v>9</v>
      </c>
      <c r="I45" s="441">
        <v>2</v>
      </c>
      <c r="J45" s="375">
        <f t="shared" si="5"/>
        <v>3</v>
      </c>
      <c r="K45" s="363">
        <f t="shared" si="6"/>
        <v>1</v>
      </c>
      <c r="L45" s="363">
        <f t="shared" si="7"/>
        <v>1</v>
      </c>
      <c r="M45" s="352"/>
      <c r="N45" s="352"/>
      <c r="O45" s="394" t="s">
        <v>31</v>
      </c>
      <c r="P45" s="395">
        <f>SUMIF($D$8:$D$55,$O45,$G$8:$G$55)+SUMIF($F$8:$F$55,$O45,$I$8:$I$55)</f>
        <v>6</v>
      </c>
      <c r="Q45" s="395">
        <f>SUMIF($D$8:$D$55,$O45,$I$8:$I$55)+SUMIF($F$8:$F$55,$O45,$G$8:$G$55)</f>
        <v>3</v>
      </c>
      <c r="R45" s="396">
        <f>P45-Q45</f>
        <v>3</v>
      </c>
      <c r="S45" s="397">
        <f>SUMIF($D$8:$D$55,$O45,$K$8:$K$55)+SUMIF($F$8:$F$55,$O45,$L$8:$L$55)</f>
        <v>9</v>
      </c>
      <c r="T45" s="444" t="s">
        <v>77</v>
      </c>
      <c r="U45" s="40"/>
      <c r="V45" s="40" t="str">
        <f>O45</f>
        <v>Duitsland</v>
      </c>
      <c r="W45" s="40" t="s">
        <v>77</v>
      </c>
      <c r="Y45" s="109">
        <f t="shared" si="8"/>
        <v>5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5</v>
      </c>
      <c r="AG45" s="108">
        <f t="shared" si="0"/>
        <v>0</v>
      </c>
      <c r="AH45" s="108">
        <f t="shared" si="1"/>
        <v>0</v>
      </c>
      <c r="AI45" s="108">
        <f t="shared" si="10"/>
        <v>0</v>
      </c>
      <c r="AJ45" s="108">
        <f t="shared" si="2"/>
        <v>0</v>
      </c>
      <c r="AK45" s="108">
        <f t="shared" si="3"/>
        <v>0</v>
      </c>
      <c r="AL45" s="108">
        <f t="shared" si="4"/>
        <v>5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1</v>
      </c>
      <c r="H46" s="373" t="s">
        <v>9</v>
      </c>
      <c r="I46" s="441">
        <v>1</v>
      </c>
      <c r="J46" s="375">
        <f t="shared" si="5"/>
        <v>3</v>
      </c>
      <c r="K46" s="363">
        <f t="shared" si="6"/>
        <v>1</v>
      </c>
      <c r="L46" s="363">
        <f t="shared" si="7"/>
        <v>1</v>
      </c>
      <c r="M46" s="352"/>
      <c r="N46" s="352"/>
      <c r="O46" s="398" t="s">
        <v>32</v>
      </c>
      <c r="P46" s="399">
        <f>SUMIF($D$8:$D$55,$O46,$G$8:$G$55)+SUMIF($F$8:$F$55,$O46,$I$8:$I$55)</f>
        <v>4</v>
      </c>
      <c r="Q46" s="399">
        <f>SUMIF($D$8:$D$55,$O46,$I$8:$I$55)+SUMIF($F$8:$F$55,$O46,$G$8:$G$55)</f>
        <v>6</v>
      </c>
      <c r="R46" s="399">
        <f>P46-Q46</f>
        <v>-2</v>
      </c>
      <c r="S46" s="400">
        <f>SUMIF($D$8:$D$55,$O46,$K$8:$K$55)+SUMIF($F$8:$F$55,$O46,$L$8:$L$55)</f>
        <v>1</v>
      </c>
      <c r="T46" s="445" t="s">
        <v>79</v>
      </c>
      <c r="U46" s="40"/>
      <c r="V46" s="40" t="str">
        <f>O46</f>
        <v>Portugal</v>
      </c>
      <c r="W46" s="40" t="s">
        <v>78</v>
      </c>
      <c r="Y46" s="109">
        <f t="shared" si="8"/>
        <v>1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1</v>
      </c>
      <c r="AG46" s="108">
        <f t="shared" si="0"/>
        <v>1</v>
      </c>
      <c r="AH46" s="108">
        <f t="shared" si="1"/>
        <v>0</v>
      </c>
      <c r="AI46" s="108">
        <f t="shared" si="10"/>
        <v>0</v>
      </c>
      <c r="AJ46" s="108">
        <f t="shared" si="2"/>
        <v>0</v>
      </c>
      <c r="AK46" s="108">
        <f t="shared" si="3"/>
        <v>0</v>
      </c>
      <c r="AL46" s="108">
        <f t="shared" si="4"/>
        <v>0</v>
      </c>
      <c r="AM46" s="120">
        <f>AO46</f>
        <v>10</v>
      </c>
      <c r="AN46" s="117" t="s">
        <v>32</v>
      </c>
      <c r="AO46" s="115">
        <f>IF(Uitslag!T46="",0,IF(T46=Uitslag!T46,10,0))</f>
        <v>10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2</v>
      </c>
      <c r="H47" s="379" t="s">
        <v>9</v>
      </c>
      <c r="I47" s="442">
        <v>2</v>
      </c>
      <c r="J47" s="381">
        <f t="shared" si="5"/>
        <v>3</v>
      </c>
      <c r="K47" s="363">
        <f t="shared" si="6"/>
        <v>1</v>
      </c>
      <c r="L47" s="363">
        <f t="shared" si="7"/>
        <v>1</v>
      </c>
      <c r="M47" s="352"/>
      <c r="N47" s="352"/>
      <c r="O47" s="398" t="s">
        <v>35</v>
      </c>
      <c r="P47" s="399">
        <f>SUMIF($D$8:$D$55,$O47,$G$8:$G$55)+SUMIF($F$8:$F$55,$O47,$I$8:$I$55)</f>
        <v>5</v>
      </c>
      <c r="Q47" s="399">
        <f>SUMIF($D$8:$D$55,$O47,$I$8:$I$55)+SUMIF($F$8:$F$55,$O47,$G$8:$G$55)</f>
        <v>5</v>
      </c>
      <c r="R47" s="399">
        <f>P47-Q47</f>
        <v>0</v>
      </c>
      <c r="S47" s="400">
        <f>SUMIF($D$8:$D$55,$O47,$K$8:$K$55)+SUMIF($F$8:$F$55,$O47,$L$8:$L$55)</f>
        <v>4</v>
      </c>
      <c r="T47" s="445" t="s">
        <v>78</v>
      </c>
      <c r="U47" s="40"/>
      <c r="V47" s="40" t="str">
        <f>O47</f>
        <v>Ghana</v>
      </c>
      <c r="W47" s="40" t="s">
        <v>79</v>
      </c>
      <c r="Y47" s="109">
        <f t="shared" si="8"/>
        <v>1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1</v>
      </c>
      <c r="AG47" s="108">
        <f t="shared" si="0"/>
        <v>1</v>
      </c>
      <c r="AH47" s="108">
        <f t="shared" si="1"/>
        <v>0</v>
      </c>
      <c r="AI47" s="108">
        <f t="shared" si="10"/>
        <v>0</v>
      </c>
      <c r="AJ47" s="108">
        <f t="shared" si="2"/>
        <v>0</v>
      </c>
      <c r="AK47" s="108">
        <f t="shared" si="3"/>
        <v>0</v>
      </c>
      <c r="AL47" s="108">
        <f t="shared" si="4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2</v>
      </c>
      <c r="H48" s="367" t="s">
        <v>9</v>
      </c>
      <c r="I48" s="440">
        <v>2</v>
      </c>
      <c r="J48" s="369">
        <f t="shared" si="5"/>
        <v>3</v>
      </c>
      <c r="K48" s="363">
        <f t="shared" si="6"/>
        <v>1</v>
      </c>
      <c r="L48" s="363">
        <f t="shared" si="7"/>
        <v>1</v>
      </c>
      <c r="M48" s="352"/>
      <c r="N48" s="352"/>
      <c r="O48" s="401" t="s">
        <v>36</v>
      </c>
      <c r="P48" s="402">
        <f>SUMIF($D$8:$D$55,$O48,$G$8:$G$55)+SUMIF($F$8:$F$55,$O48,$I$8:$I$55)</f>
        <v>3</v>
      </c>
      <c r="Q48" s="402">
        <f>SUMIF($D$8:$D$55,$O48,$I$8:$I$55)+SUMIF($F$8:$F$55,$O48,$G$8:$G$55)</f>
        <v>4</v>
      </c>
      <c r="R48" s="402">
        <f>P48-Q48</f>
        <v>-1</v>
      </c>
      <c r="S48" s="403">
        <f>SUMIF($D$8:$D$55,$O48,$K$8:$K$55)+SUMIF($F$8:$F$55,$O48,$L$8:$L$55)</f>
        <v>2</v>
      </c>
      <c r="T48" s="446" t="s">
        <v>80</v>
      </c>
      <c r="U48" s="40"/>
      <c r="V48" s="40" t="str">
        <f>O48</f>
        <v>Verenigde Staten</v>
      </c>
      <c r="W48" s="40" t="s">
        <v>80</v>
      </c>
      <c r="Y48" s="109">
        <f t="shared" si="8"/>
        <v>1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1</v>
      </c>
      <c r="AG48" s="108">
        <f t="shared" si="0"/>
        <v>1</v>
      </c>
      <c r="AH48" s="108">
        <f t="shared" si="1"/>
        <v>0</v>
      </c>
      <c r="AI48" s="108">
        <f t="shared" si="10"/>
        <v>0</v>
      </c>
      <c r="AJ48" s="108">
        <f t="shared" si="2"/>
        <v>0</v>
      </c>
      <c r="AK48" s="108">
        <f t="shared" si="3"/>
        <v>0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1</v>
      </c>
      <c r="H49" s="373" t="s">
        <v>9</v>
      </c>
      <c r="I49" s="441">
        <v>1</v>
      </c>
      <c r="J49" s="375">
        <f t="shared" si="5"/>
        <v>3</v>
      </c>
      <c r="K49" s="363">
        <f t="shared" si="6"/>
        <v>1</v>
      </c>
      <c r="L49" s="363">
        <f t="shared" si="7"/>
        <v>1</v>
      </c>
      <c r="M49" s="352"/>
      <c r="N49" s="352"/>
      <c r="O49" s="392"/>
      <c r="P49" s="393"/>
      <c r="Q49" s="393"/>
      <c r="R49" s="393"/>
      <c r="S49" s="393"/>
      <c r="T49" s="393"/>
      <c r="U49" s="40"/>
      <c r="V49" s="40"/>
      <c r="W49" s="40"/>
      <c r="Y49" s="109">
        <f t="shared" si="8"/>
        <v>1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1</v>
      </c>
      <c r="AG49" s="108">
        <f t="shared" si="0"/>
        <v>0</v>
      </c>
      <c r="AH49" s="108">
        <f t="shared" si="1"/>
        <v>1</v>
      </c>
      <c r="AI49" s="108">
        <f t="shared" si="10"/>
        <v>0</v>
      </c>
      <c r="AJ49" s="108">
        <f t="shared" si="2"/>
        <v>0</v>
      </c>
      <c r="AK49" s="108">
        <f t="shared" si="3"/>
        <v>0</v>
      </c>
      <c r="AL49" s="108">
        <f t="shared" si="4"/>
        <v>0</v>
      </c>
      <c r="AN49" s="40"/>
      <c r="AO49" s="41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1</v>
      </c>
      <c r="H50" s="373" t="s">
        <v>9</v>
      </c>
      <c r="I50" s="441">
        <v>3</v>
      </c>
      <c r="J50" s="375">
        <f t="shared" si="5"/>
        <v>2</v>
      </c>
      <c r="K50" s="363">
        <f t="shared" si="6"/>
        <v>0</v>
      </c>
      <c r="L50" s="363">
        <f t="shared" si="7"/>
        <v>3</v>
      </c>
      <c r="M50" s="352"/>
      <c r="N50" s="352"/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40"/>
      <c r="V50" s="40"/>
      <c r="W50" s="40"/>
      <c r="Y50" s="109">
        <f t="shared" si="8"/>
        <v>6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6</v>
      </c>
      <c r="AG50" s="108">
        <f t="shared" si="0"/>
        <v>0</v>
      </c>
      <c r="AH50" s="108">
        <f t="shared" si="1"/>
        <v>1</v>
      </c>
      <c r="AI50" s="108">
        <f t="shared" si="10"/>
        <v>0</v>
      </c>
      <c r="AJ50" s="108">
        <f t="shared" si="2"/>
        <v>0</v>
      </c>
      <c r="AK50" s="108">
        <f t="shared" si="3"/>
        <v>5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1</v>
      </c>
      <c r="H51" s="379" t="s">
        <v>9</v>
      </c>
      <c r="I51" s="442">
        <v>1</v>
      </c>
      <c r="J51" s="381">
        <f t="shared" si="5"/>
        <v>3</v>
      </c>
      <c r="K51" s="363">
        <f t="shared" si="6"/>
        <v>1</v>
      </c>
      <c r="L51" s="363">
        <f>IF(I51="","",IF($G51&lt;$I51,3,IF($G51=$I51,1,0)))</f>
        <v>1</v>
      </c>
      <c r="M51" s="352"/>
      <c r="N51" s="352"/>
      <c r="O51" s="394" t="s">
        <v>37</v>
      </c>
      <c r="P51" s="395">
        <f>SUMIF($D$8:$D$55,$O51,$G$8:$G$55)+SUMIF($F$8:$F$55,$O51,$I$8:$I$55)</f>
        <v>5</v>
      </c>
      <c r="Q51" s="395">
        <f>SUMIF($D$8:$D$55,$O51,$I$8:$I$55)+SUMIF($F$8:$F$55,$O51,$G$8:$G$55)</f>
        <v>1</v>
      </c>
      <c r="R51" s="396">
        <f>P51-Q51</f>
        <v>4</v>
      </c>
      <c r="S51" s="397">
        <f>SUMIF($D$8:$D$55,$O51,$K$8:$K$55)+SUMIF($F$8:$F$55,$O51,$L$8:$L$55)</f>
        <v>9</v>
      </c>
      <c r="T51" s="444" t="s">
        <v>82</v>
      </c>
      <c r="U51" s="40"/>
      <c r="V51" s="40" t="str">
        <f>O51</f>
        <v>België</v>
      </c>
      <c r="W51" s="40" t="s">
        <v>82</v>
      </c>
      <c r="Y51" s="109">
        <f t="shared" si="8"/>
        <v>5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5</v>
      </c>
      <c r="AG51" s="108">
        <f t="shared" si="0"/>
        <v>0</v>
      </c>
      <c r="AH51" s="108">
        <f t="shared" si="1"/>
        <v>0</v>
      </c>
      <c r="AI51" s="108">
        <f t="shared" si="10"/>
        <v>0</v>
      </c>
      <c r="AJ51" s="108">
        <f t="shared" si="2"/>
        <v>0</v>
      </c>
      <c r="AK51" s="108">
        <f t="shared" si="3"/>
        <v>0</v>
      </c>
      <c r="AL51" s="108">
        <f t="shared" si="4"/>
        <v>5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0</v>
      </c>
      <c r="H52" s="373" t="s">
        <v>9</v>
      </c>
      <c r="I52" s="441">
        <v>1</v>
      </c>
      <c r="J52" s="369">
        <f t="shared" si="5"/>
        <v>2</v>
      </c>
      <c r="K52" s="363">
        <f t="shared" si="6"/>
        <v>0</v>
      </c>
      <c r="L52" s="363">
        <f t="shared" si="7"/>
        <v>3</v>
      </c>
      <c r="M52" s="352"/>
      <c r="N52" s="352"/>
      <c r="O52" s="398" t="s">
        <v>38</v>
      </c>
      <c r="P52" s="399">
        <f>SUMIF($D$8:$D$55,$O52,$G$8:$G$55)+SUMIF($F$8:$F$55,$O52,$I$8:$I$55)</f>
        <v>1</v>
      </c>
      <c r="Q52" s="399">
        <f>SUMIF($D$8:$D$55,$O52,$I$8:$I$55)+SUMIF($F$8:$F$55,$O52,$G$8:$G$55)</f>
        <v>5</v>
      </c>
      <c r="R52" s="399">
        <f>P52-Q52</f>
        <v>-4</v>
      </c>
      <c r="S52" s="400">
        <f>SUMIF($D$8:$D$55,$O52,$K$8:$K$55)+SUMIF($F$8:$F$55,$O52,$L$8:$L$55)</f>
        <v>0</v>
      </c>
      <c r="T52" s="445" t="s">
        <v>85</v>
      </c>
      <c r="U52" s="40"/>
      <c r="V52" s="40" t="str">
        <f>O52</f>
        <v>Algerije</v>
      </c>
      <c r="W52" s="40" t="s">
        <v>83</v>
      </c>
      <c r="Y52" s="109">
        <f t="shared" si="8"/>
        <v>10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10</v>
      </c>
      <c r="AG52" s="108">
        <f t="shared" si="0"/>
        <v>1</v>
      </c>
      <c r="AH52" s="108">
        <f t="shared" si="1"/>
        <v>1</v>
      </c>
      <c r="AI52" s="108">
        <f t="shared" si="10"/>
        <v>10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1</v>
      </c>
      <c r="H53" s="373" t="s">
        <v>9</v>
      </c>
      <c r="I53" s="441">
        <v>2</v>
      </c>
      <c r="J53" s="375">
        <f t="shared" si="5"/>
        <v>2</v>
      </c>
      <c r="K53" s="363">
        <f t="shared" si="6"/>
        <v>0</v>
      </c>
      <c r="L53" s="363">
        <f t="shared" si="7"/>
        <v>3</v>
      </c>
      <c r="M53" s="352"/>
      <c r="N53" s="352"/>
      <c r="O53" s="398" t="s">
        <v>39</v>
      </c>
      <c r="P53" s="399">
        <f>SUMIF($D$8:$D$55,$O53,$G$8:$G$55)+SUMIF($F$8:$F$55,$O53,$I$8:$I$55)</f>
        <v>5</v>
      </c>
      <c r="Q53" s="399">
        <f>SUMIF($D$8:$D$55,$O53,$I$8:$I$55)+SUMIF($F$8:$F$55,$O53,$G$8:$G$55)</f>
        <v>4</v>
      </c>
      <c r="R53" s="399">
        <f>P53-Q53</f>
        <v>1</v>
      </c>
      <c r="S53" s="400">
        <f>SUMIF($D$8:$D$55,$O53,$K$8:$K$55)+SUMIF($F$8:$F$55,$O53,$L$8:$L$55)</f>
        <v>6</v>
      </c>
      <c r="T53" s="445" t="s">
        <v>83</v>
      </c>
      <c r="U53" s="40"/>
      <c r="V53" s="40" t="str">
        <f>O53</f>
        <v>Rusland</v>
      </c>
      <c r="W53" s="40" t="s">
        <v>84</v>
      </c>
      <c r="Y53" s="109">
        <f t="shared" si="8"/>
        <v>0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0</v>
      </c>
      <c r="AG53" s="108">
        <f t="shared" si="0"/>
        <v>0</v>
      </c>
      <c r="AH53" s="108">
        <f t="shared" si="1"/>
        <v>0</v>
      </c>
      <c r="AI53" s="108">
        <f t="shared" si="10"/>
        <v>0</v>
      </c>
      <c r="AJ53" s="108">
        <f t="shared" si="2"/>
        <v>0</v>
      </c>
      <c r="AK53" s="108">
        <f t="shared" si="3"/>
        <v>0</v>
      </c>
      <c r="AL53" s="108">
        <f t="shared" si="4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0</v>
      </c>
      <c r="H54" s="373" t="s">
        <v>9</v>
      </c>
      <c r="I54" s="441">
        <v>1</v>
      </c>
      <c r="J54" s="375">
        <f t="shared" si="5"/>
        <v>2</v>
      </c>
      <c r="K54" s="363">
        <f t="shared" si="6"/>
        <v>0</v>
      </c>
      <c r="L54" s="363">
        <f t="shared" si="7"/>
        <v>3</v>
      </c>
      <c r="M54" s="352"/>
      <c r="N54" s="352"/>
      <c r="O54" s="401" t="s">
        <v>40</v>
      </c>
      <c r="P54" s="402">
        <f>SUMIF($D$8:$D$55,$O54,$G$8:$G$55)+SUMIF($F$8:$F$55,$O54,$I$8:$I$55)</f>
        <v>2</v>
      </c>
      <c r="Q54" s="402">
        <f>SUMIF($D$8:$D$55,$O54,$I$8:$I$55)+SUMIF($F$8:$F$55,$O54,$G$8:$G$55)</f>
        <v>3</v>
      </c>
      <c r="R54" s="402">
        <f>P54-Q54</f>
        <v>-1</v>
      </c>
      <c r="S54" s="403">
        <f>SUMIF($D$8:$D$55,$O54,$K$8:$K$55)+SUMIF($F$8:$F$55,$O54,$L$8:$L$55)</f>
        <v>3</v>
      </c>
      <c r="T54" s="446" t="s">
        <v>84</v>
      </c>
      <c r="U54" s="40"/>
      <c r="V54" s="40" t="str">
        <f>O54</f>
        <v>Zuid Korea</v>
      </c>
      <c r="W54" s="40" t="s">
        <v>85</v>
      </c>
      <c r="Y54" s="109">
        <f t="shared" si="8"/>
        <v>10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10</v>
      </c>
      <c r="AG54" s="108">
        <f t="shared" si="0"/>
        <v>1</v>
      </c>
      <c r="AH54" s="108">
        <f t="shared" si="1"/>
        <v>1</v>
      </c>
      <c r="AI54" s="108">
        <f t="shared" si="10"/>
        <v>10</v>
      </c>
      <c r="AJ54" s="108">
        <f t="shared" si="2"/>
        <v>0</v>
      </c>
      <c r="AK54" s="108">
        <f t="shared" si="3"/>
        <v>5</v>
      </c>
      <c r="AL54" s="108">
        <f t="shared" si="4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1</v>
      </c>
      <c r="H55" s="388" t="s">
        <v>9</v>
      </c>
      <c r="I55" s="443">
        <v>2</v>
      </c>
      <c r="J55" s="390">
        <f t="shared" si="5"/>
        <v>2</v>
      </c>
      <c r="K55" s="363">
        <f t="shared" si="6"/>
        <v>0</v>
      </c>
      <c r="L55" s="363">
        <f t="shared" si="7"/>
        <v>3</v>
      </c>
      <c r="M55" s="352"/>
      <c r="N55" s="352"/>
      <c r="O55" s="392"/>
      <c r="P55" s="393"/>
      <c r="Q55" s="393"/>
      <c r="R55" s="393"/>
      <c r="S55" s="393"/>
      <c r="T55" s="393"/>
      <c r="U55" s="40"/>
      <c r="V55" s="40"/>
      <c r="W55" s="40"/>
      <c r="Y55" s="109">
        <f t="shared" si="8"/>
        <v>1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</v>
      </c>
      <c r="AG55" s="108">
        <f t="shared" si="0"/>
        <v>1</v>
      </c>
      <c r="AH55" s="108">
        <f t="shared" si="1"/>
        <v>0</v>
      </c>
      <c r="AI55" s="108">
        <f t="shared" si="10"/>
        <v>0</v>
      </c>
      <c r="AJ55" s="108">
        <f t="shared" si="2"/>
        <v>0</v>
      </c>
      <c r="AK55" s="108">
        <f t="shared" si="3"/>
        <v>0</v>
      </c>
      <c r="AL55" s="108">
        <f t="shared" si="4"/>
        <v>0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N56" s="352"/>
      <c r="O56" s="352"/>
      <c r="P56" s="352"/>
      <c r="Q56" s="352"/>
      <c r="R56" s="352"/>
      <c r="S56" s="352"/>
      <c r="T56" s="352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27"/>
      <c r="K57" s="353"/>
      <c r="L57" s="353"/>
      <c r="M57" s="353"/>
      <c r="N57" s="352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32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N58" s="352"/>
      <c r="O58" s="458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>IF(ISERROR(Z59),K59,Z59)</f>
        <v>Brazilië</v>
      </c>
      <c r="E59" s="367" t="s">
        <v>9</v>
      </c>
      <c r="F59" s="406" t="str">
        <f>IF(ISERROR(AA59),L59,AA59)</f>
        <v>Nederland</v>
      </c>
      <c r="G59" s="435">
        <v>2</v>
      </c>
      <c r="H59" s="367" t="s">
        <v>9</v>
      </c>
      <c r="I59" s="447">
        <v>2</v>
      </c>
      <c r="J59" s="448">
        <v>2</v>
      </c>
      <c r="K59" s="407" t="s">
        <v>48</v>
      </c>
      <c r="L59" s="407" t="s">
        <v>53</v>
      </c>
      <c r="M59" s="407">
        <v>1</v>
      </c>
      <c r="N59" s="352"/>
      <c r="O59" s="458">
        <v>2</v>
      </c>
      <c r="P59" s="877" t="s">
        <v>225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3">AF59</f>
        <v>5</v>
      </c>
      <c r="Z59" t="str">
        <f t="shared" ref="Z59:AA65" si="14">IF(K59=""," ",VLOOKUP(K59,$T$9:$V$54,3,FALSE))</f>
        <v>Brazilië</v>
      </c>
      <c r="AA59" t="str">
        <f t="shared" si="14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5</v>
      </c>
      <c r="AG59" s="108">
        <f t="shared" ref="AG59:AG66" si="16">IF(AC59="",0,(IF(G59=AC59,1,0)))</f>
        <v>0</v>
      </c>
      <c r="AH59" s="108">
        <f t="shared" ref="AH59:AH66" si="17">IF(AD59="",0,(IF(I59=AD59,1,0)))</f>
        <v>0</v>
      </c>
      <c r="AI59" s="108">
        <f t="shared" ref="AI59:AI66" si="18">IF(AND(AG59=1,AH59=1),10,0)</f>
        <v>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5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376">
        <v>50</v>
      </c>
      <c r="C60" s="466">
        <v>41818</v>
      </c>
      <c r="D60" s="460" t="str">
        <f t="shared" ref="D60:D66" si="23">IF(ISERROR(Z60),K60,Z60)</f>
        <v>Colombia</v>
      </c>
      <c r="E60" s="379" t="s">
        <v>9</v>
      </c>
      <c r="F60" s="409" t="str">
        <f t="shared" ref="F60:F66" si="24">IF(ISERROR(AA60),L60,AA60)</f>
        <v>Italië</v>
      </c>
      <c r="G60" s="437">
        <v>0</v>
      </c>
      <c r="H60" s="379" t="s">
        <v>9</v>
      </c>
      <c r="I60" s="449">
        <v>1</v>
      </c>
      <c r="J60" s="450">
        <v>2</v>
      </c>
      <c r="K60" s="407" t="s">
        <v>57</v>
      </c>
      <c r="L60" s="407" t="s">
        <v>63</v>
      </c>
      <c r="M60" s="407">
        <v>2</v>
      </c>
      <c r="N60" s="352"/>
      <c r="O60" s="458">
        <v>3</v>
      </c>
      <c r="P60" s="877" t="s">
        <v>209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3"/>
        <v>0</v>
      </c>
      <c r="Z60" t="str">
        <f t="shared" si="14"/>
        <v>Colombia</v>
      </c>
      <c r="AA60" t="str">
        <f t="shared" si="14"/>
        <v>Italië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0</v>
      </c>
      <c r="AG60" s="108">
        <f t="shared" si="16"/>
        <v>0</v>
      </c>
      <c r="AH60" s="108">
        <f t="shared" si="17"/>
        <v>0</v>
      </c>
      <c r="AI60" s="108">
        <f t="shared" si="18"/>
        <v>0</v>
      </c>
      <c r="AJ60" s="108">
        <f t="shared" si="19"/>
        <v>0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2"/>
        <v>3</v>
      </c>
    </row>
    <row r="61" spans="2:54">
      <c r="B61" s="364">
        <v>51</v>
      </c>
      <c r="C61" s="465">
        <v>41819</v>
      </c>
      <c r="D61" s="464" t="str">
        <f t="shared" si="23"/>
        <v>Spanje</v>
      </c>
      <c r="E61" s="367" t="s">
        <v>9</v>
      </c>
      <c r="F61" s="406" t="str">
        <f t="shared" si="24"/>
        <v>Kroatië</v>
      </c>
      <c r="G61" s="435">
        <v>3</v>
      </c>
      <c r="H61" s="367" t="s">
        <v>9</v>
      </c>
      <c r="I61" s="447">
        <v>1</v>
      </c>
      <c r="J61" s="448">
        <v>1</v>
      </c>
      <c r="K61" s="407" t="s">
        <v>52</v>
      </c>
      <c r="L61" s="407" t="s">
        <v>49</v>
      </c>
      <c r="M61" s="407"/>
      <c r="N61" s="352"/>
      <c r="O61" s="458">
        <v>4</v>
      </c>
      <c r="P61" s="877" t="s">
        <v>211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3"/>
        <v>6</v>
      </c>
      <c r="Z61" t="str">
        <f t="shared" si="14"/>
        <v>Spanje</v>
      </c>
      <c r="AA61" t="str">
        <f t="shared" si="14"/>
        <v>Kroatië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6</v>
      </c>
      <c r="AG61" s="108">
        <f t="shared" si="16"/>
        <v>0</v>
      </c>
      <c r="AH61" s="108">
        <f t="shared" si="17"/>
        <v>1</v>
      </c>
      <c r="AI61" s="108">
        <f t="shared" si="18"/>
        <v>0</v>
      </c>
      <c r="AJ61" s="108">
        <f t="shared" si="19"/>
        <v>5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3</v>
      </c>
      <c r="BB61" s="139">
        <f t="shared" si="22"/>
        <v>3</v>
      </c>
    </row>
    <row r="62" spans="2:54">
      <c r="B62" s="376">
        <v>52</v>
      </c>
      <c r="C62" s="466">
        <v>41819</v>
      </c>
      <c r="D62" s="464" t="str">
        <f t="shared" si="23"/>
        <v>Uruguay</v>
      </c>
      <c r="E62" s="379" t="s">
        <v>9</v>
      </c>
      <c r="F62" s="409" t="str">
        <f t="shared" si="24"/>
        <v>Japan</v>
      </c>
      <c r="G62" s="437">
        <v>3</v>
      </c>
      <c r="H62" s="379" t="s">
        <v>9</v>
      </c>
      <c r="I62" s="449">
        <v>2</v>
      </c>
      <c r="J62" s="450">
        <v>1</v>
      </c>
      <c r="K62" s="407" t="s">
        <v>62</v>
      </c>
      <c r="L62" s="407" t="s">
        <v>58</v>
      </c>
      <c r="M62" s="407"/>
      <c r="N62" s="352"/>
      <c r="O62" s="458">
        <v>5</v>
      </c>
      <c r="P62" s="877" t="s">
        <v>220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3"/>
        <v>0</v>
      </c>
      <c r="Z62" t="str">
        <f t="shared" si="14"/>
        <v>Uruguay</v>
      </c>
      <c r="AA62" t="str">
        <f t="shared" si="14"/>
        <v>Japan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0</v>
      </c>
      <c r="AG62" s="108">
        <f t="shared" si="16"/>
        <v>0</v>
      </c>
      <c r="AH62" s="108">
        <f t="shared" si="17"/>
        <v>0</v>
      </c>
      <c r="AI62" s="108">
        <f t="shared" si="18"/>
        <v>0</v>
      </c>
      <c r="AJ62" s="108">
        <f t="shared" si="19"/>
        <v>0</v>
      </c>
      <c r="AK62" s="108">
        <f t="shared" si="20"/>
        <v>0</v>
      </c>
      <c r="AL62" s="108">
        <f t="shared" si="21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2"/>
        <v>3</v>
      </c>
    </row>
    <row r="63" spans="2:54">
      <c r="B63" s="364">
        <v>53</v>
      </c>
      <c r="C63" s="465">
        <v>41820</v>
      </c>
      <c r="D63" s="459" t="str">
        <f t="shared" si="23"/>
        <v>Frankrijk</v>
      </c>
      <c r="E63" s="367" t="s">
        <v>9</v>
      </c>
      <c r="F63" s="406" t="str">
        <f t="shared" si="24"/>
        <v>Nigeria</v>
      </c>
      <c r="G63" s="435">
        <v>1</v>
      </c>
      <c r="H63" s="367" t="s">
        <v>9</v>
      </c>
      <c r="I63" s="447">
        <v>1</v>
      </c>
      <c r="J63" s="448">
        <v>2</v>
      </c>
      <c r="K63" s="407" t="s">
        <v>67</v>
      </c>
      <c r="L63" s="407" t="s">
        <v>73</v>
      </c>
      <c r="M63" s="407"/>
      <c r="N63" s="352"/>
      <c r="O63" s="458">
        <v>6</v>
      </c>
      <c r="P63" s="877" t="s">
        <v>212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3"/>
        <v>0</v>
      </c>
      <c r="Z63" t="str">
        <f t="shared" si="14"/>
        <v>Frankrijk</v>
      </c>
      <c r="AA63" t="str">
        <f t="shared" si="14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0</v>
      </c>
      <c r="AG63" s="108">
        <f t="shared" si="16"/>
        <v>0</v>
      </c>
      <c r="AH63" s="108">
        <f t="shared" si="17"/>
        <v>0</v>
      </c>
      <c r="AI63" s="108">
        <f t="shared" si="18"/>
        <v>0</v>
      </c>
      <c r="AJ63" s="108">
        <f t="shared" si="19"/>
        <v>0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3</v>
      </c>
      <c r="BB63" s="139">
        <f t="shared" si="22"/>
        <v>3</v>
      </c>
    </row>
    <row r="64" spans="2:54">
      <c r="B64" s="376">
        <v>54</v>
      </c>
      <c r="C64" s="466">
        <v>41820</v>
      </c>
      <c r="D64" s="460" t="str">
        <f t="shared" si="23"/>
        <v>Duitsland</v>
      </c>
      <c r="E64" s="379" t="s">
        <v>9</v>
      </c>
      <c r="F64" s="409" t="str">
        <f t="shared" si="24"/>
        <v>Rusland</v>
      </c>
      <c r="G64" s="437">
        <v>0</v>
      </c>
      <c r="H64" s="379" t="s">
        <v>9</v>
      </c>
      <c r="I64" s="449">
        <v>0</v>
      </c>
      <c r="J64" s="450">
        <v>1</v>
      </c>
      <c r="K64" s="407" t="s">
        <v>77</v>
      </c>
      <c r="L64" s="407" t="s">
        <v>83</v>
      </c>
      <c r="M64" s="407"/>
      <c r="N64" s="352"/>
      <c r="O64" s="458">
        <v>7</v>
      </c>
      <c r="P64" s="877" t="s">
        <v>213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3"/>
        <v>10</v>
      </c>
      <c r="Z64" t="str">
        <f t="shared" si="14"/>
        <v>Duitsland</v>
      </c>
      <c r="AA64" t="str">
        <f t="shared" si="14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10</v>
      </c>
      <c r="AG64" s="108">
        <f t="shared" si="16"/>
        <v>1</v>
      </c>
      <c r="AH64" s="108">
        <f t="shared" si="17"/>
        <v>1</v>
      </c>
      <c r="AI64" s="108">
        <f t="shared" si="18"/>
        <v>10</v>
      </c>
      <c r="AJ64" s="108">
        <f t="shared" si="19"/>
        <v>0</v>
      </c>
      <c r="AK64" s="108">
        <f t="shared" si="20"/>
        <v>0</v>
      </c>
      <c r="AL64" s="108">
        <f t="shared" si="21"/>
        <v>5</v>
      </c>
      <c r="AZ64" s="138" t="str">
        <f>Uitslag!P64</f>
        <v>Wesley Sneijder (m)</v>
      </c>
      <c r="BA64" s="140">
        <f t="shared" si="12"/>
        <v>3</v>
      </c>
      <c r="BB64" s="139">
        <f t="shared" si="22"/>
        <v>3</v>
      </c>
    </row>
    <row r="65" spans="2:54">
      <c r="B65" s="370">
        <v>55</v>
      </c>
      <c r="C65" s="467">
        <v>41821</v>
      </c>
      <c r="D65" s="459" t="str">
        <f t="shared" si="23"/>
        <v>Argentinië</v>
      </c>
      <c r="E65" s="373" t="s">
        <v>9</v>
      </c>
      <c r="F65" s="410" t="str">
        <f t="shared" si="24"/>
        <v>Ecuador</v>
      </c>
      <c r="G65" s="436">
        <v>2</v>
      </c>
      <c r="H65" s="373" t="s">
        <v>9</v>
      </c>
      <c r="I65" s="451">
        <v>0</v>
      </c>
      <c r="J65" s="452">
        <v>1</v>
      </c>
      <c r="K65" s="407" t="s">
        <v>72</v>
      </c>
      <c r="L65" s="407" t="s">
        <v>68</v>
      </c>
      <c r="M65" s="407"/>
      <c r="N65" s="352"/>
      <c r="O65" s="458">
        <v>8</v>
      </c>
      <c r="P65" s="877" t="s">
        <v>221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3"/>
        <v>1</v>
      </c>
      <c r="Z65" t="str">
        <f t="shared" si="14"/>
        <v>Argentinië</v>
      </c>
      <c r="AA65" t="str">
        <f t="shared" si="14"/>
        <v>Ecuador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1</v>
      </c>
      <c r="AG65" s="108">
        <f t="shared" si="16"/>
        <v>0</v>
      </c>
      <c r="AH65" s="108">
        <f t="shared" si="17"/>
        <v>1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0</v>
      </c>
      <c r="AZ65" s="138" t="str">
        <f>Uitslag!P65</f>
        <v>Nigel de Jong (m)</v>
      </c>
      <c r="BA65" s="140">
        <f t="shared" si="12"/>
        <v>0</v>
      </c>
      <c r="BB65" s="139">
        <f t="shared" si="22"/>
        <v>0</v>
      </c>
    </row>
    <row r="66" spans="2:54" ht="15.75" thickBot="1">
      <c r="B66" s="385">
        <v>56</v>
      </c>
      <c r="C66" s="462">
        <v>41821</v>
      </c>
      <c r="D66" s="461" t="str">
        <f t="shared" si="23"/>
        <v>België</v>
      </c>
      <c r="E66" s="388" t="s">
        <v>9</v>
      </c>
      <c r="F66" s="412" t="str">
        <f t="shared" si="24"/>
        <v>Ghana</v>
      </c>
      <c r="G66" s="438">
        <v>2</v>
      </c>
      <c r="H66" s="388" t="s">
        <v>9</v>
      </c>
      <c r="I66" s="453">
        <v>1</v>
      </c>
      <c r="J66" s="454">
        <v>1</v>
      </c>
      <c r="K66" s="407" t="s">
        <v>82</v>
      </c>
      <c r="L66" s="407" t="s">
        <v>78</v>
      </c>
      <c r="M66" s="407"/>
      <c r="N66" s="352"/>
      <c r="O66" s="458">
        <v>9</v>
      </c>
      <c r="P66" s="877" t="s">
        <v>214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3"/>
        <v>0</v>
      </c>
      <c r="Z66" t="str">
        <f>IF(K66=""," ",VLOOKUP(K66,$T$9:$V$54,3,FALSE))</f>
        <v>België</v>
      </c>
      <c r="AA66" t="str">
        <f>IF(L66=""," ",VLOOKUP(L66,$T$9:$V$54,3,FALSE))</f>
        <v>Ghana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0</v>
      </c>
      <c r="AG66" s="108">
        <f t="shared" si="16"/>
        <v>0</v>
      </c>
      <c r="AH66" s="108">
        <f t="shared" si="17"/>
        <v>0</v>
      </c>
      <c r="AI66" s="108">
        <f t="shared" si="18"/>
        <v>0</v>
      </c>
      <c r="AJ66" s="108">
        <f t="shared" si="19"/>
        <v>0</v>
      </c>
      <c r="AK66" s="108">
        <f t="shared" si="20"/>
        <v>0</v>
      </c>
      <c r="AL66" s="108">
        <f t="shared" si="21"/>
        <v>0</v>
      </c>
      <c r="AZ66" s="138" t="str">
        <f>Uitslag!P66</f>
        <v>Jonathan de Guzman (m)</v>
      </c>
      <c r="BA66" s="140">
        <f t="shared" si="12"/>
        <v>3</v>
      </c>
      <c r="BB66" s="139">
        <f t="shared" si="22"/>
        <v>3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N67" s="352"/>
      <c r="O67" s="458">
        <v>10</v>
      </c>
      <c r="P67" s="877" t="s">
        <v>215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2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27"/>
      <c r="K68" s="353"/>
      <c r="L68" s="353"/>
      <c r="M68" s="353"/>
      <c r="N68" s="352"/>
      <c r="O68" s="458">
        <v>11</v>
      </c>
      <c r="P68" s="877" t="s">
        <v>216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2"/>
        <v>3</v>
      </c>
    </row>
    <row r="69" spans="2:54">
      <c r="B69" s="428" t="s">
        <v>1</v>
      </c>
      <c r="C69" s="429" t="s">
        <v>2</v>
      </c>
      <c r="D69" s="430" t="s">
        <v>3</v>
      </c>
      <c r="E69" s="431"/>
      <c r="F69" s="432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N69" s="352"/>
      <c r="O69" s="352"/>
      <c r="P69" s="352"/>
      <c r="Q69" s="352"/>
      <c r="R69" s="352"/>
      <c r="S69" s="352"/>
      <c r="T69" s="352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30</v>
      </c>
      <c r="BB69" s="139" t="str">
        <f>IF(AND(BA69&lt;&gt;"",BA69=33),15,"nvt")</f>
        <v>nvt</v>
      </c>
    </row>
    <row r="70" spans="2:54">
      <c r="B70" s="364">
        <v>57</v>
      </c>
      <c r="C70" s="365">
        <v>41824</v>
      </c>
      <c r="D70" s="405" t="str">
        <f>IF(J63="","Winnaar 53",IF(J63=1,D63,F63))</f>
        <v>Nigeria</v>
      </c>
      <c r="E70" s="367" t="s">
        <v>9</v>
      </c>
      <c r="F70" s="406" t="str">
        <f>IF(J64="","Winnaar 54",IF(J64=1,D64,F64))</f>
        <v>Duitsland</v>
      </c>
      <c r="G70" s="435">
        <v>1</v>
      </c>
      <c r="H70" s="367" t="s">
        <v>9</v>
      </c>
      <c r="I70" s="447">
        <v>1</v>
      </c>
      <c r="J70" s="448">
        <v>2</v>
      </c>
      <c r="K70" s="353"/>
      <c r="L70" s="353"/>
      <c r="M70" s="353"/>
      <c r="N70" s="352"/>
      <c r="O70" s="352"/>
      <c r="P70" s="352"/>
      <c r="Q70" s="352"/>
      <c r="R70" s="352"/>
      <c r="S70" s="352"/>
      <c r="T70" s="352"/>
      <c r="V70" t="s">
        <v>133</v>
      </c>
      <c r="W70" t="s">
        <v>126</v>
      </c>
      <c r="X70" t="str">
        <f t="shared" si="11"/>
        <v>Karim Rekik (v)</v>
      </c>
      <c r="Y70" s="109">
        <f>AF70</f>
        <v>1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1</v>
      </c>
      <c r="AG70" s="108">
        <f>IF(AC70="",0,(IF(G70=AC70,1,0)))</f>
        <v>0</v>
      </c>
      <c r="AH70" s="108">
        <f>IF(AD70="",0,(IF(I70=AD70,1,0)))</f>
        <v>1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0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Nederland</v>
      </c>
      <c r="E71" s="379" t="s">
        <v>9</v>
      </c>
      <c r="F71" s="409" t="str">
        <f>IF(J60="","Winnaar 50",IF(J60=1,D60,F60))</f>
        <v>Italië</v>
      </c>
      <c r="G71" s="437">
        <v>3</v>
      </c>
      <c r="H71" s="379" t="s">
        <v>9</v>
      </c>
      <c r="I71" s="449">
        <v>1</v>
      </c>
      <c r="J71" s="450">
        <v>1</v>
      </c>
      <c r="K71" s="353"/>
      <c r="L71" s="353"/>
      <c r="M71" s="353"/>
      <c r="N71" s="352"/>
      <c r="O71" s="352"/>
      <c r="P71" s="352"/>
      <c r="Q71" s="352"/>
      <c r="R71" s="352"/>
      <c r="S71" s="352"/>
      <c r="T71" s="352"/>
      <c r="V71" t="s">
        <v>133</v>
      </c>
      <c r="W71" t="s">
        <v>194</v>
      </c>
      <c r="X71" t="str">
        <f t="shared" si="11"/>
        <v>Ron Vlaar (v)</v>
      </c>
      <c r="Y71" s="109">
        <f>AF71</f>
        <v>6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6</v>
      </c>
      <c r="AG71" s="108">
        <f>IF(AC71="",0,(IF(G71=AC71,1,0)))</f>
        <v>0</v>
      </c>
      <c r="AH71" s="108">
        <f>IF(AD71="",0,(IF(I71=AD71,1,0)))</f>
        <v>1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Argentinië</v>
      </c>
      <c r="E72" s="367" t="s">
        <v>9</v>
      </c>
      <c r="F72" s="406" t="str">
        <f>IF(J66="","Winnaar 56",IF(J66=1,D66,F66))</f>
        <v>België</v>
      </c>
      <c r="G72" s="435">
        <v>2</v>
      </c>
      <c r="H72" s="367" t="s">
        <v>9</v>
      </c>
      <c r="I72" s="447">
        <v>1</v>
      </c>
      <c r="J72" s="448">
        <v>1</v>
      </c>
      <c r="K72" s="353"/>
      <c r="L72" s="353"/>
      <c r="M72" s="353"/>
      <c r="N72" s="352"/>
      <c r="O72" s="352"/>
      <c r="P72" s="352"/>
      <c r="Q72" s="352"/>
      <c r="R72" s="352"/>
      <c r="S72" s="352"/>
      <c r="T72" s="352"/>
      <c r="V72" t="s">
        <v>133</v>
      </c>
      <c r="W72" t="s">
        <v>195</v>
      </c>
      <c r="X72" t="str">
        <f t="shared" si="11"/>
        <v>John Heitinga (v)</v>
      </c>
      <c r="Y72" s="109">
        <f>AF72</f>
        <v>5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5</v>
      </c>
      <c r="AG72" s="108">
        <f>IF(AC72="",0,(IF(G72=AC72,1,0)))</f>
        <v>0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5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Spanje</v>
      </c>
      <c r="E73" s="388" t="s">
        <v>9</v>
      </c>
      <c r="F73" s="412" t="str">
        <f>IF(J62="","Winnaar 52",IF(J62=1,D62,F62))</f>
        <v>Uruguay</v>
      </c>
      <c r="G73" s="438">
        <v>2</v>
      </c>
      <c r="H73" s="388" t="s">
        <v>9</v>
      </c>
      <c r="I73" s="453">
        <v>2</v>
      </c>
      <c r="J73" s="454">
        <v>2</v>
      </c>
      <c r="K73" s="353"/>
      <c r="L73" s="353"/>
      <c r="M73" s="353"/>
      <c r="N73" s="352"/>
      <c r="O73" s="352"/>
      <c r="P73" s="352"/>
      <c r="Q73" s="352"/>
      <c r="R73" s="352"/>
      <c r="S73" s="352"/>
      <c r="T73" s="352"/>
      <c r="V73" t="s">
        <v>133</v>
      </c>
      <c r="W73" t="s">
        <v>196</v>
      </c>
      <c r="X73" t="str">
        <f t="shared" si="11"/>
        <v>Urby Emanuelson (v)</v>
      </c>
      <c r="Y73" s="109">
        <f>AF73</f>
        <v>5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5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5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N74" s="352"/>
      <c r="O74" s="352"/>
      <c r="P74" s="352"/>
      <c r="Q74" s="352"/>
      <c r="R74" s="352"/>
      <c r="S74" s="352"/>
      <c r="T74" s="352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27"/>
      <c r="K75" s="353"/>
      <c r="L75" s="353"/>
      <c r="M75" s="353"/>
      <c r="N75" s="352"/>
      <c r="O75" s="352"/>
      <c r="P75" s="352"/>
      <c r="Q75" s="352"/>
      <c r="R75" s="352"/>
      <c r="S75" s="352"/>
      <c r="T75" s="352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30" t="s">
        <v>3</v>
      </c>
      <c r="E76" s="431"/>
      <c r="F76" s="432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N76" s="352"/>
      <c r="O76" s="352"/>
      <c r="P76" s="352"/>
      <c r="Q76" s="352"/>
      <c r="R76" s="352"/>
      <c r="S76" s="352"/>
      <c r="T76" s="352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Duitsland</v>
      </c>
      <c r="E77" s="367" t="s">
        <v>9</v>
      </c>
      <c r="F77" s="406" t="str">
        <f>IF(J71="","Winnaar 58",IF(J71=1,D71,F71))</f>
        <v>Nederland</v>
      </c>
      <c r="G77" s="435">
        <v>2</v>
      </c>
      <c r="H77" s="367" t="s">
        <v>9</v>
      </c>
      <c r="I77" s="447">
        <v>2</v>
      </c>
      <c r="J77" s="448">
        <v>1</v>
      </c>
      <c r="K77" s="353"/>
      <c r="L77" s="353"/>
      <c r="M77" s="353"/>
      <c r="N77" s="352"/>
      <c r="O77" s="352"/>
      <c r="P77" s="352"/>
      <c r="Q77" s="352"/>
      <c r="R77" s="352"/>
      <c r="S77" s="352"/>
      <c r="T77" s="352"/>
      <c r="V77" t="s">
        <v>134</v>
      </c>
      <c r="W77" t="s">
        <v>203</v>
      </c>
      <c r="X77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Argentinië</v>
      </c>
      <c r="E78" s="388" t="s">
        <v>9</v>
      </c>
      <c r="F78" s="412" t="str">
        <f>IF(J73="","Winnaar 60",IF(J73=1,D73,F73))</f>
        <v>Uruguay</v>
      </c>
      <c r="G78" s="438">
        <v>1</v>
      </c>
      <c r="H78" s="388" t="s">
        <v>9</v>
      </c>
      <c r="I78" s="453">
        <v>2</v>
      </c>
      <c r="J78" s="454">
        <v>2</v>
      </c>
      <c r="K78" s="353"/>
      <c r="L78" s="353"/>
      <c r="M78" s="353"/>
      <c r="N78" s="352"/>
      <c r="O78" s="352"/>
      <c r="P78" s="352"/>
      <c r="Q78" s="352"/>
      <c r="R78" s="352"/>
      <c r="S78" s="352"/>
      <c r="T78" s="352"/>
      <c r="V78" t="s">
        <v>134</v>
      </c>
      <c r="W78" t="s">
        <v>199</v>
      </c>
      <c r="X78" t="str">
        <f t="shared" si="11"/>
        <v>Leroy Fer (m)</v>
      </c>
      <c r="Y78" s="109">
        <f>AF78</f>
        <v>0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0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N79" s="352"/>
      <c r="O79" s="352"/>
      <c r="P79" s="352"/>
      <c r="Q79" s="352"/>
      <c r="R79" s="352"/>
      <c r="S79" s="352"/>
      <c r="T79" s="352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27"/>
      <c r="K80" s="353"/>
      <c r="L80" s="353"/>
      <c r="M80" s="353"/>
      <c r="N80" s="352"/>
      <c r="O80" s="352"/>
      <c r="P80" s="352"/>
      <c r="Q80" s="352"/>
      <c r="R80" s="352"/>
      <c r="S80" s="352"/>
      <c r="T80" s="352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30" t="s">
        <v>3</v>
      </c>
      <c r="E81" s="431"/>
      <c r="F81" s="432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N81" s="352"/>
      <c r="O81" s="352"/>
      <c r="P81" s="352"/>
      <c r="Q81" s="352"/>
      <c r="R81" s="352"/>
      <c r="S81" s="352"/>
      <c r="T81" s="352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Nederland</v>
      </c>
      <c r="E82" s="355" t="s">
        <v>9</v>
      </c>
      <c r="F82" s="415" t="str">
        <f>IF(J78="","Verliezer 62",IF(J78=1,F78,D78))</f>
        <v>Argentinië</v>
      </c>
      <c r="G82" s="455">
        <v>1</v>
      </c>
      <c r="H82" s="355" t="s">
        <v>9</v>
      </c>
      <c r="I82" s="456">
        <v>2</v>
      </c>
      <c r="J82" s="457">
        <v>2</v>
      </c>
      <c r="K82" s="353"/>
      <c r="L82" s="353"/>
      <c r="M82" s="353"/>
      <c r="N82" s="352"/>
      <c r="O82" s="352"/>
      <c r="P82" s="352"/>
      <c r="Q82" s="352"/>
      <c r="R82" s="352"/>
      <c r="S82" s="352"/>
      <c r="T82" s="352"/>
      <c r="V82" t="s">
        <v>134</v>
      </c>
      <c r="W82" t="s">
        <v>125</v>
      </c>
      <c r="X82" t="str">
        <f t="shared" si="11"/>
        <v>Georginio Wijnaldum (m)</v>
      </c>
      <c r="Y82" s="109">
        <f>AF82</f>
        <v>5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5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5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N83" s="352"/>
      <c r="O83" s="352"/>
      <c r="P83" s="352"/>
      <c r="Q83" s="352"/>
      <c r="R83" s="352"/>
      <c r="S83" s="352"/>
      <c r="T83" s="352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27"/>
      <c r="K84" s="353"/>
      <c r="L84" s="353"/>
      <c r="M84" s="353"/>
      <c r="N84" s="352"/>
      <c r="O84" s="352"/>
      <c r="P84" s="352"/>
      <c r="Q84" s="352"/>
      <c r="R84" s="352"/>
      <c r="S84" s="352"/>
      <c r="T84" s="352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30" t="s">
        <v>3</v>
      </c>
      <c r="E85" s="431"/>
      <c r="F85" s="432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N85" s="352"/>
      <c r="O85" s="352"/>
      <c r="P85" s="352"/>
      <c r="Q85" s="352"/>
      <c r="R85" s="352"/>
      <c r="S85" s="352"/>
      <c r="T85" s="352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Duitsland</v>
      </c>
      <c r="E86" s="355" t="s">
        <v>9</v>
      </c>
      <c r="F86" s="415" t="str">
        <f>IF(J78="","Winnaar 62",IF(J78=1,D78,F78))</f>
        <v>Uruguay</v>
      </c>
      <c r="G86" s="455">
        <v>1</v>
      </c>
      <c r="H86" s="355" t="s">
        <v>9</v>
      </c>
      <c r="I86" s="456">
        <v>1</v>
      </c>
      <c r="J86" s="457">
        <v>2</v>
      </c>
      <c r="K86" s="353"/>
      <c r="L86" s="353"/>
      <c r="M86" s="353"/>
      <c r="N86" s="352"/>
      <c r="O86" s="352"/>
      <c r="P86" s="352"/>
      <c r="Q86" s="352"/>
      <c r="R86" s="352"/>
      <c r="S86" s="352"/>
      <c r="T86" s="352"/>
      <c r="V86" t="s">
        <v>134</v>
      </c>
      <c r="W86" t="s">
        <v>139</v>
      </c>
      <c r="X86" t="str">
        <f t="shared" si="11"/>
        <v>Nigel de Jong (m)</v>
      </c>
      <c r="Y86" s="109">
        <f>AF86</f>
        <v>5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5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5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Uruguay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0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0</v>
      </c>
      <c r="AV89">
        <f>IF(AR89=0,0,IF(E89=AR89,50,0))</f>
        <v>0</v>
      </c>
      <c r="AW89">
        <f>IF(E89=0,0,IF(OR(E89=AR90),15,0))</f>
        <v>0</v>
      </c>
      <c r="AX89">
        <f>IF(E89=0,0,IF(OR(E89=AR91,E89=AR92),5,0))</f>
        <v>0</v>
      </c>
    </row>
    <row r="90" spans="2:50">
      <c r="C90" s="870">
        <v>2</v>
      </c>
      <c r="D90" s="871"/>
      <c r="E90" s="872" t="str">
        <f>IF(J86=2,D86,IF(J86=1,F86,"Wie wordt 2de?"))</f>
        <v>Duitsland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15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15</v>
      </c>
      <c r="AV90">
        <f>IF(AR90=0,0,IF(AR90=E90,25,0))</f>
        <v>0</v>
      </c>
      <c r="AW90">
        <f>IF(E90=0,0,IF(OR(E90=AR89,),15,0))</f>
        <v>15</v>
      </c>
      <c r="AX90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Argentinië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5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5</v>
      </c>
      <c r="AV91">
        <f>IF(AR91=0,0,IF(AR91=E91,15,0))</f>
        <v>0</v>
      </c>
      <c r="AW91">
        <f>IF(E91=0,0,IF(OR(E91=AR92),10,0))</f>
        <v>0</v>
      </c>
      <c r="AX91">
        <f>IF(E91=0,0,IF(OR(E91=AR89,E91=AR90),5,0))</f>
        <v>5</v>
      </c>
    </row>
    <row r="92" spans="2:50">
      <c r="C92" s="870">
        <v>4</v>
      </c>
      <c r="D92" s="871"/>
      <c r="E92" s="872" t="str">
        <f>IF(J82=2,D82,IF(J82=1,F82,"Wie wordt 4de?"))</f>
        <v>Nederland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10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10</v>
      </c>
      <c r="AV92">
        <f>IF(AR92=0,0,IF(AR92=E92,15,0))</f>
        <v>0</v>
      </c>
      <c r="AW92">
        <f>IF(E92=0,0,IF(OR(E92=AR91,),10,0))</f>
        <v>10</v>
      </c>
      <c r="AX92">
        <f>IF(E92=0,0,IF(OR(E92=AR89,E92=AR90),5,0))</f>
        <v>0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30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conditionalFormatting sqref="AO9:AO12 AO15:AO18 AO21:AO24 AO27:AO30 AO33:AO36 AO39:AO42 AO45:AO48 AO51:AO54">
    <cfRule type="cellIs" dxfId="110" priority="3" operator="equal">
      <formula>10</formula>
    </cfRule>
  </conditionalFormatting>
  <conditionalFormatting sqref="P58:T58">
    <cfRule type="duplicateValues" dxfId="109" priority="2"/>
  </conditionalFormatting>
  <conditionalFormatting sqref="P58:T68">
    <cfRule type="duplicateValues" dxfId="108" priority="1"/>
  </conditionalFormatting>
  <dataValidations count="10">
    <dataValidation type="list" allowBlank="1" showInputMessage="1" showErrorMessage="1" sqref="T51:T54">
      <formula1>$W$51:$W$54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P58:P68">
      <formula1>$X$58:$X$98</formula1>
    </dataValidation>
  </dataValidation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B1:BB98"/>
  <sheetViews>
    <sheetView topLeftCell="A37" zoomScale="70" zoomScaleNormal="70" workbookViewId="0">
      <selection activeCell="P58" sqref="P58:T68"/>
    </sheetView>
  </sheetViews>
  <sheetFormatPr defaultRowHeight="15" outlineLevelCol="2"/>
  <cols>
    <col min="1" max="1" width="3.42578125" customWidth="1"/>
    <col min="2" max="2" width="3.5703125" bestFit="1" customWidth="1"/>
    <col min="3" max="3" width="11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338</v>
      </c>
      <c r="E3" s="145"/>
      <c r="F3" s="145"/>
      <c r="N3" t="str">
        <f>D3</f>
        <v>Carola L. (introducee Jan L.)</v>
      </c>
      <c r="O3" s="144">
        <f>SUM(P3:S3)</f>
        <v>372</v>
      </c>
      <c r="P3" s="109">
        <f>SUM(Y8:Y86)</f>
        <v>220</v>
      </c>
      <c r="Q3" s="109">
        <f>SUM(AM4:AM55)</f>
        <v>110</v>
      </c>
      <c r="R3" s="109">
        <f>SUM(AP89:AP92)</f>
        <v>15</v>
      </c>
      <c r="S3" s="109">
        <f>SUM(BB58:BB69)</f>
        <v>27</v>
      </c>
      <c r="T3" s="109">
        <f>COUNTIF(AF8:AF86,10)</f>
        <v>7</v>
      </c>
      <c r="U3" s="109" t="str">
        <f>E89</f>
        <v>Spanje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M6" s="352"/>
      <c r="N6" s="352"/>
      <c r="O6" s="392"/>
      <c r="P6" s="393"/>
      <c r="Q6" s="393"/>
      <c r="R6" s="393"/>
      <c r="S6" s="393"/>
      <c r="T6" s="393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18" t="s">
        <v>3</v>
      </c>
      <c r="E7" s="419"/>
      <c r="F7" s="420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M7" s="352"/>
      <c r="N7" s="352"/>
      <c r="O7" s="353"/>
      <c r="P7" s="393"/>
      <c r="Q7" s="393"/>
      <c r="R7" s="393"/>
      <c r="S7" s="393"/>
      <c r="T7" s="393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3</v>
      </c>
      <c r="H8" s="360" t="s">
        <v>9</v>
      </c>
      <c r="I8" s="439">
        <v>1</v>
      </c>
      <c r="J8" s="362">
        <f>IF(I8="","",IF(G8&gt;I8,1,IF(G8&lt;I8,2,3)))</f>
        <v>1</v>
      </c>
      <c r="K8" s="363">
        <f>IF(I8="","",IF($G8&gt;$I8,3,IF($G8=$I8,1,0)))</f>
        <v>3</v>
      </c>
      <c r="L8" s="363">
        <f>IF(I8="","",IF($G8&lt;$I8,3,IF($G8=$I8,1,0)))</f>
        <v>0</v>
      </c>
      <c r="M8" s="352"/>
      <c r="N8" s="352"/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40"/>
      <c r="V8" s="40"/>
      <c r="W8" s="40"/>
      <c r="Y8" s="109">
        <f>AF8</f>
        <v>10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10</v>
      </c>
      <c r="AG8" s="108">
        <f t="shared" ref="AG8:AG55" si="0">IF(AC8="",0,(IF(G8=AC8,1,0)))</f>
        <v>1</v>
      </c>
      <c r="AH8" s="108">
        <f t="shared" ref="AH8:AH55" si="1">IF(AD8="",0,(IF(I8=AD8,1,0)))</f>
        <v>1</v>
      </c>
      <c r="AI8" s="108">
        <f>IF(AND(AG8=1,AH8=1),10,0)</f>
        <v>10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1</v>
      </c>
      <c r="H9" s="367" t="s">
        <v>9</v>
      </c>
      <c r="I9" s="440">
        <v>1</v>
      </c>
      <c r="J9" s="369">
        <f t="shared" ref="J9:J55" si="5">IF(I9="","",IF(G9&gt;I9,1,IF(G9&lt;I9,2,3)))</f>
        <v>3</v>
      </c>
      <c r="K9" s="363">
        <f t="shared" ref="K9:K55" si="6">IF(I9="","",IF($G9&gt;$I9,3,IF($G9=$I9,1,0)))</f>
        <v>1</v>
      </c>
      <c r="L9" s="363">
        <f t="shared" ref="L9:L55" si="7">IF(I9="","",IF($G9&lt;$I9,3,IF($G9=$I9,1,0)))</f>
        <v>1</v>
      </c>
      <c r="M9" s="352"/>
      <c r="N9" s="352"/>
      <c r="O9" s="394" t="s">
        <v>8</v>
      </c>
      <c r="P9" s="395">
        <f>SUMIF($D$8:$D$55,$O9,$G$8:$G$55)+SUMIF($F$8:$F$55,$O9,$I$8:$I$55)</f>
        <v>5</v>
      </c>
      <c r="Q9" s="395">
        <f>SUMIF($D$8:$D$55,$O9,$I$8:$I$55)+SUMIF($F$8:$F$55,$O9,$G$8:$G$55)</f>
        <v>3</v>
      </c>
      <c r="R9" s="396">
        <f>P9-Q9</f>
        <v>2</v>
      </c>
      <c r="S9" s="397">
        <f>SUMIF($D$8:$D$55,$O9,$K$8:$K$55)+SUMIF($F$8:$F$55,$O9,$L$8:$L$55)</f>
        <v>5</v>
      </c>
      <c r="T9" s="444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1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1</v>
      </c>
      <c r="AG9" s="108">
        <f t="shared" si="0"/>
        <v>1</v>
      </c>
      <c r="AH9" s="108">
        <f t="shared" si="1"/>
        <v>0</v>
      </c>
      <c r="AI9" s="108">
        <f t="shared" ref="AI9:AI55" si="10">IF(AND(AG9=1,AH9=1),10,0)</f>
        <v>0</v>
      </c>
      <c r="AJ9" s="108">
        <f t="shared" si="2"/>
        <v>0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1</v>
      </c>
      <c r="H10" s="373" t="s">
        <v>9</v>
      </c>
      <c r="I10" s="441">
        <v>2</v>
      </c>
      <c r="J10" s="375">
        <f t="shared" si="5"/>
        <v>2</v>
      </c>
      <c r="K10" s="363">
        <f t="shared" si="6"/>
        <v>0</v>
      </c>
      <c r="L10" s="363">
        <f t="shared" si="7"/>
        <v>3</v>
      </c>
      <c r="M10" s="352"/>
      <c r="N10" s="352"/>
      <c r="O10" s="398" t="s">
        <v>10</v>
      </c>
      <c r="P10" s="399">
        <f>SUMIF($D$8:$D$55,$O10,$G$8:$G$55)+SUMIF($F$8:$F$55,$O10,$I$8:$I$55)</f>
        <v>4</v>
      </c>
      <c r="Q10" s="399">
        <f>SUMIF($D$8:$D$55,$O10,$I$8:$I$55)+SUMIF($F$8:$F$55,$O10,$G$8:$G$55)</f>
        <v>6</v>
      </c>
      <c r="R10" s="399">
        <f>P10-Q10</f>
        <v>-2</v>
      </c>
      <c r="S10" s="400">
        <f>SUMIF($D$8:$D$55,$O10,$K$8:$K$55)+SUMIF($F$8:$F$55,$O10,$L$8:$L$55)</f>
        <v>3</v>
      </c>
      <c r="T10" s="445" t="s">
        <v>47</v>
      </c>
      <c r="U10" s="40"/>
      <c r="V10" s="40" t="str">
        <f>O10</f>
        <v>Kroatië</v>
      </c>
      <c r="W10" s="40" t="s">
        <v>49</v>
      </c>
      <c r="Y10" s="109">
        <f t="shared" si="8"/>
        <v>6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6</v>
      </c>
      <c r="AG10" s="108">
        <f t="shared" si="0"/>
        <v>1</v>
      </c>
      <c r="AH10" s="108">
        <f t="shared" si="1"/>
        <v>0</v>
      </c>
      <c r="AI10" s="108">
        <f t="shared" si="10"/>
        <v>0</v>
      </c>
      <c r="AJ10" s="108">
        <f t="shared" si="2"/>
        <v>0</v>
      </c>
      <c r="AK10" s="108">
        <f t="shared" si="3"/>
        <v>5</v>
      </c>
      <c r="AL10" s="108">
        <f t="shared" si="4"/>
        <v>0</v>
      </c>
      <c r="AM10" s="120">
        <f>AO10</f>
        <v>10</v>
      </c>
      <c r="AN10" s="117" t="s">
        <v>10</v>
      </c>
      <c r="AO10" s="115">
        <f>IF(Uitslag!T10="",0,IF(T10=Uitslag!T10,10,0))</f>
        <v>10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1</v>
      </c>
      <c r="H11" s="379" t="s">
        <v>9</v>
      </c>
      <c r="I11" s="442">
        <v>0</v>
      </c>
      <c r="J11" s="381">
        <f t="shared" si="5"/>
        <v>1</v>
      </c>
      <c r="K11" s="363">
        <f t="shared" si="6"/>
        <v>3</v>
      </c>
      <c r="L11" s="363">
        <f t="shared" si="7"/>
        <v>0</v>
      </c>
      <c r="M11" s="352"/>
      <c r="N11" s="352"/>
      <c r="O11" s="398" t="s">
        <v>11</v>
      </c>
      <c r="P11" s="399">
        <f>SUMIF($D$8:$D$55,$O11,$G$8:$G$55)+SUMIF($F$8:$F$55,$O11,$I$8:$I$55)</f>
        <v>4</v>
      </c>
      <c r="Q11" s="399">
        <f>SUMIF($D$8:$D$55,$O11,$I$8:$I$55)+SUMIF($F$8:$F$55,$O11,$G$8:$G$55)</f>
        <v>3</v>
      </c>
      <c r="R11" s="399">
        <f>P11-Q11</f>
        <v>1</v>
      </c>
      <c r="S11" s="400">
        <f>SUMIF($D$8:$D$55,$O11,$K$8:$K$55)+SUMIF($F$8:$F$55,$O11,$L$8:$L$55)</f>
        <v>5</v>
      </c>
      <c r="T11" s="445" t="s">
        <v>50</v>
      </c>
      <c r="U11" s="40"/>
      <c r="V11" s="40" t="str">
        <f>O11</f>
        <v>Mexico</v>
      </c>
      <c r="W11" s="40" t="s">
        <v>47</v>
      </c>
      <c r="Y11" s="109">
        <f t="shared" si="8"/>
        <v>5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5</v>
      </c>
      <c r="AG11" s="108">
        <f t="shared" si="0"/>
        <v>0</v>
      </c>
      <c r="AH11" s="108">
        <f t="shared" si="1"/>
        <v>0</v>
      </c>
      <c r="AI11" s="108">
        <f t="shared" si="10"/>
        <v>0</v>
      </c>
      <c r="AJ11" s="108">
        <f t="shared" si="2"/>
        <v>5</v>
      </c>
      <c r="AK11" s="108">
        <f t="shared" si="3"/>
        <v>0</v>
      </c>
      <c r="AL11" s="108">
        <f t="shared" si="4"/>
        <v>0</v>
      </c>
      <c r="AM11" s="120">
        <f>AO11</f>
        <v>0</v>
      </c>
      <c r="AN11" s="117" t="s">
        <v>11</v>
      </c>
      <c r="AO11" s="115">
        <f>IF(Uitslag!T11="",0,IF(T11=Uitslag!T11,10,0))</f>
        <v>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0</v>
      </c>
      <c r="H12" s="367" t="s">
        <v>9</v>
      </c>
      <c r="I12" s="440">
        <v>1</v>
      </c>
      <c r="J12" s="369">
        <f t="shared" si="5"/>
        <v>2</v>
      </c>
      <c r="K12" s="363">
        <f t="shared" si="6"/>
        <v>0</v>
      </c>
      <c r="L12" s="363">
        <f t="shared" si="7"/>
        <v>3</v>
      </c>
      <c r="M12" s="352"/>
      <c r="N12" s="352"/>
      <c r="O12" s="401" t="s">
        <v>12</v>
      </c>
      <c r="P12" s="402">
        <f>SUMIF($D$8:$D$55,$O12,$G$8:$G$55)+SUMIF($F$8:$F$55,$O12,$I$8:$I$55)</f>
        <v>3</v>
      </c>
      <c r="Q12" s="402">
        <f>SUMIF($D$8:$D$55,$O12,$I$8:$I$55)+SUMIF($F$8:$F$55,$O12,$G$8:$G$55)</f>
        <v>4</v>
      </c>
      <c r="R12" s="402">
        <f>P12-Q12</f>
        <v>-1</v>
      </c>
      <c r="S12" s="403">
        <f>SUMIF($D$8:$D$55,$O12,$K$8:$K$55)+SUMIF($F$8:$F$55,$O12,$L$8:$L$55)</f>
        <v>2</v>
      </c>
      <c r="T12" s="446" t="s">
        <v>49</v>
      </c>
      <c r="U12" s="40"/>
      <c r="V12" s="40" t="str">
        <f>O12</f>
        <v>Kameroen</v>
      </c>
      <c r="W12" s="40" t="s">
        <v>50</v>
      </c>
      <c r="Y12" s="109">
        <f t="shared" si="8"/>
        <v>0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0</v>
      </c>
      <c r="AG12" s="108">
        <f t="shared" si="0"/>
        <v>0</v>
      </c>
      <c r="AH12" s="108">
        <f t="shared" si="1"/>
        <v>0</v>
      </c>
      <c r="AI12" s="108">
        <f t="shared" si="10"/>
        <v>0</v>
      </c>
      <c r="AJ12" s="108">
        <f t="shared" si="2"/>
        <v>0</v>
      </c>
      <c r="AK12" s="108">
        <f t="shared" si="3"/>
        <v>0</v>
      </c>
      <c r="AL12" s="108">
        <f t="shared" si="4"/>
        <v>0</v>
      </c>
      <c r="AM12" s="120">
        <f>AO12</f>
        <v>0</v>
      </c>
      <c r="AN12" s="118" t="s">
        <v>12</v>
      </c>
      <c r="AO12" s="115">
        <f>IF(Uitslag!T12="",0,IF(T12=Uitslag!T12,10,0))</f>
        <v>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2</v>
      </c>
      <c r="H13" s="373" t="s">
        <v>9</v>
      </c>
      <c r="I13" s="441">
        <v>0</v>
      </c>
      <c r="J13" s="375">
        <f t="shared" si="5"/>
        <v>1</v>
      </c>
      <c r="K13" s="363">
        <f t="shared" si="6"/>
        <v>3</v>
      </c>
      <c r="L13" s="363">
        <f t="shared" si="7"/>
        <v>0</v>
      </c>
      <c r="M13" s="352"/>
      <c r="N13" s="352"/>
      <c r="O13" s="392"/>
      <c r="P13" s="393"/>
      <c r="Q13" s="393"/>
      <c r="R13" s="393"/>
      <c r="S13" s="393"/>
      <c r="T13" s="393"/>
      <c r="U13" s="40"/>
      <c r="V13" s="40"/>
      <c r="W13" s="40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0"/>
        <v>0</v>
      </c>
      <c r="AH13" s="108">
        <f t="shared" si="1"/>
        <v>0</v>
      </c>
      <c r="AI13" s="108">
        <f t="shared" si="10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40"/>
      <c r="AO13" s="41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1</v>
      </c>
      <c r="H14" s="373" t="s">
        <v>9</v>
      </c>
      <c r="I14" s="441">
        <v>1</v>
      </c>
      <c r="J14" s="375">
        <f t="shared" si="5"/>
        <v>3</v>
      </c>
      <c r="K14" s="363">
        <f t="shared" si="6"/>
        <v>1</v>
      </c>
      <c r="L14" s="363">
        <f t="shared" si="7"/>
        <v>1</v>
      </c>
      <c r="M14" s="352"/>
      <c r="N14" s="352"/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40"/>
      <c r="V14" s="40"/>
      <c r="W14" s="40"/>
      <c r="Y14" s="109">
        <f t="shared" si="8"/>
        <v>1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</v>
      </c>
      <c r="AG14" s="108">
        <f t="shared" si="0"/>
        <v>1</v>
      </c>
      <c r="AH14" s="108">
        <f t="shared" si="1"/>
        <v>0</v>
      </c>
      <c r="AI14" s="108">
        <f t="shared" si="10"/>
        <v>0</v>
      </c>
      <c r="AJ14" s="108">
        <f t="shared" si="2"/>
        <v>0</v>
      </c>
      <c r="AK14" s="108">
        <f t="shared" si="3"/>
        <v>0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0</v>
      </c>
      <c r="H15" s="379" t="s">
        <v>9</v>
      </c>
      <c r="I15" s="442">
        <v>1</v>
      </c>
      <c r="J15" s="381">
        <f t="shared" si="5"/>
        <v>2</v>
      </c>
      <c r="K15" s="363">
        <f t="shared" si="6"/>
        <v>0</v>
      </c>
      <c r="L15" s="363">
        <f t="shared" si="7"/>
        <v>3</v>
      </c>
      <c r="M15" s="352"/>
      <c r="N15" s="352"/>
      <c r="O15" s="394" t="s">
        <v>13</v>
      </c>
      <c r="P15" s="395">
        <f>SUMIF($D$8:$D$55,$O15,$G$8:$G$55)+SUMIF($F$8:$F$55,$O15,$I$8:$I$55)</f>
        <v>6</v>
      </c>
      <c r="Q15" s="395">
        <f>SUMIF($D$8:$D$55,$O15,$I$8:$I$55)+SUMIF($F$8:$F$55,$O15,$G$8:$G$55)</f>
        <v>4</v>
      </c>
      <c r="R15" s="396">
        <f>P15-Q15</f>
        <v>2</v>
      </c>
      <c r="S15" s="397">
        <f>SUMIF($D$8:$D$55,$O15,$K$8:$K$55)+SUMIF($F$8:$F$55,$O15,$L$8:$L$55)</f>
        <v>6</v>
      </c>
      <c r="T15" s="444" t="s">
        <v>52</v>
      </c>
      <c r="U15" s="40"/>
      <c r="V15" s="40" t="str">
        <f>O15</f>
        <v>Spanje</v>
      </c>
      <c r="W15" s="40" t="s">
        <v>52</v>
      </c>
      <c r="Y15" s="109">
        <f t="shared" si="8"/>
        <v>1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1</v>
      </c>
      <c r="AG15" s="108">
        <f t="shared" si="0"/>
        <v>0</v>
      </c>
      <c r="AH15" s="108">
        <f t="shared" si="1"/>
        <v>1</v>
      </c>
      <c r="AI15" s="108">
        <f t="shared" si="10"/>
        <v>0</v>
      </c>
      <c r="AJ15" s="108">
        <f t="shared" si="2"/>
        <v>0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2</v>
      </c>
      <c r="H16" s="367" t="s">
        <v>9</v>
      </c>
      <c r="I16" s="440">
        <v>2</v>
      </c>
      <c r="J16" s="369">
        <f t="shared" si="5"/>
        <v>3</v>
      </c>
      <c r="K16" s="363">
        <f t="shared" si="6"/>
        <v>1</v>
      </c>
      <c r="L16" s="363">
        <f t="shared" si="7"/>
        <v>1</v>
      </c>
      <c r="M16" s="352"/>
      <c r="N16" s="352"/>
      <c r="O16" s="404" t="s">
        <v>14</v>
      </c>
      <c r="P16" s="399">
        <f>SUMIF($D$8:$D$55,$O16,$G$8:$G$55)+SUMIF($F$8:$F$55,$O16,$I$8:$I$55)</f>
        <v>5</v>
      </c>
      <c r="Q16" s="399">
        <f>SUMIF($D$8:$D$55,$O16,$I$8:$I$55)+SUMIF($F$8:$F$55,$O16,$G$8:$G$55)</f>
        <v>1</v>
      </c>
      <c r="R16" s="399">
        <f>P16-Q16</f>
        <v>4</v>
      </c>
      <c r="S16" s="400">
        <f>SUMIF($D$8:$D$55,$O16,$K$8:$K$55)+SUMIF($F$8:$F$55,$O16,$L$8:$L$55)</f>
        <v>9</v>
      </c>
      <c r="T16" s="445" t="s">
        <v>53</v>
      </c>
      <c r="U16" s="40"/>
      <c r="V16" s="40" t="str">
        <f>O16</f>
        <v>Nederland</v>
      </c>
      <c r="W16" s="40" t="s">
        <v>53</v>
      </c>
      <c r="Y16" s="109">
        <f t="shared" si="8"/>
        <v>1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1</v>
      </c>
      <c r="AG16" s="108">
        <f t="shared" si="0"/>
        <v>1</v>
      </c>
      <c r="AH16" s="108">
        <f t="shared" si="1"/>
        <v>0</v>
      </c>
      <c r="AI16" s="108">
        <f t="shared" si="10"/>
        <v>0</v>
      </c>
      <c r="AJ16" s="108">
        <f t="shared" si="2"/>
        <v>0</v>
      </c>
      <c r="AK16" s="108">
        <f t="shared" si="3"/>
        <v>0</v>
      </c>
      <c r="AL16" s="108">
        <f t="shared" si="4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2</v>
      </c>
      <c r="H17" s="373" t="s">
        <v>9</v>
      </c>
      <c r="I17" s="441">
        <v>0</v>
      </c>
      <c r="J17" s="375">
        <f t="shared" si="5"/>
        <v>1</v>
      </c>
      <c r="K17" s="363">
        <f t="shared" si="6"/>
        <v>3</v>
      </c>
      <c r="L17" s="363">
        <f t="shared" si="7"/>
        <v>0</v>
      </c>
      <c r="M17" s="352"/>
      <c r="N17" s="352"/>
      <c r="O17" s="398" t="s">
        <v>15</v>
      </c>
      <c r="P17" s="399">
        <f>SUMIF($D$8:$D$55,$O17,$G$8:$G$55)+SUMIF($F$8:$F$55,$O17,$I$8:$I$55)</f>
        <v>2</v>
      </c>
      <c r="Q17" s="399">
        <f>SUMIF($D$8:$D$55,$O17,$I$8:$I$55)+SUMIF($F$8:$F$55,$O17,$G$8:$G$55)</f>
        <v>3</v>
      </c>
      <c r="R17" s="399">
        <f>P17-Q17</f>
        <v>-1</v>
      </c>
      <c r="S17" s="400">
        <f>SUMIF($D$8:$D$55,$O17,$K$8:$K$55)+SUMIF($F$8:$F$55,$O17,$L$8:$L$55)</f>
        <v>3</v>
      </c>
      <c r="T17" s="445" t="s">
        <v>54</v>
      </c>
      <c r="U17" s="40"/>
      <c r="V17" s="40" t="str">
        <f>O17</f>
        <v>Chili</v>
      </c>
      <c r="W17" s="40" t="s">
        <v>54</v>
      </c>
      <c r="Y17" s="109">
        <f t="shared" si="8"/>
        <v>6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6</v>
      </c>
      <c r="AG17" s="108">
        <f t="shared" si="0"/>
        <v>0</v>
      </c>
      <c r="AH17" s="108">
        <f t="shared" si="1"/>
        <v>1</v>
      </c>
      <c r="AI17" s="108">
        <f t="shared" si="10"/>
        <v>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2</v>
      </c>
      <c r="H18" s="379" t="s">
        <v>9</v>
      </c>
      <c r="I18" s="442">
        <v>1</v>
      </c>
      <c r="J18" s="381">
        <f t="shared" si="5"/>
        <v>1</v>
      </c>
      <c r="K18" s="363">
        <f t="shared" si="6"/>
        <v>3</v>
      </c>
      <c r="L18" s="363">
        <f t="shared" si="7"/>
        <v>0</v>
      </c>
      <c r="M18" s="352"/>
      <c r="N18" s="352"/>
      <c r="O18" s="401" t="s">
        <v>16</v>
      </c>
      <c r="P18" s="402">
        <f>SUMIF($D$8:$D$55,$O18,$G$8:$G$55)+SUMIF($F$8:$F$55,$O18,$I$8:$I$55)</f>
        <v>1</v>
      </c>
      <c r="Q18" s="402">
        <f>SUMIF($D$8:$D$55,$O18,$I$8:$I$55)+SUMIF($F$8:$F$55,$O18,$G$8:$G$55)</f>
        <v>6</v>
      </c>
      <c r="R18" s="402">
        <f>P18-Q18</f>
        <v>-5</v>
      </c>
      <c r="S18" s="403">
        <f>SUMIF($D$8:$D$55,$O18,$K$8:$K$55)+SUMIF($F$8:$F$55,$O18,$L$8:$L$55)</f>
        <v>0</v>
      </c>
      <c r="T18" s="446" t="s">
        <v>55</v>
      </c>
      <c r="U18" s="40"/>
      <c r="V18" s="40" t="str">
        <f>O18</f>
        <v>Australië</v>
      </c>
      <c r="W18" s="40" t="s">
        <v>55</v>
      </c>
      <c r="Y18" s="109">
        <f t="shared" si="8"/>
        <v>10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10</v>
      </c>
      <c r="AG18" s="108">
        <f t="shared" si="0"/>
        <v>1</v>
      </c>
      <c r="AH18" s="108">
        <f t="shared" si="1"/>
        <v>1</v>
      </c>
      <c r="AI18" s="108">
        <f t="shared" si="10"/>
        <v>10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1</v>
      </c>
      <c r="H19" s="367" t="s">
        <v>9</v>
      </c>
      <c r="I19" s="440">
        <v>1</v>
      </c>
      <c r="J19" s="369">
        <f t="shared" si="5"/>
        <v>3</v>
      </c>
      <c r="K19" s="363">
        <f t="shared" si="6"/>
        <v>1</v>
      </c>
      <c r="L19" s="363">
        <f t="shared" si="7"/>
        <v>1</v>
      </c>
      <c r="M19" s="352"/>
      <c r="N19" s="352"/>
      <c r="O19" s="392"/>
      <c r="P19" s="393"/>
      <c r="Q19" s="393"/>
      <c r="R19" s="393"/>
      <c r="S19" s="393"/>
      <c r="T19" s="393"/>
      <c r="U19" s="40"/>
      <c r="V19" s="40"/>
      <c r="W19" s="40"/>
      <c r="Y19" s="109">
        <f t="shared" si="8"/>
        <v>0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0</v>
      </c>
      <c r="AG19" s="108">
        <f t="shared" si="0"/>
        <v>0</v>
      </c>
      <c r="AH19" s="108">
        <f t="shared" si="1"/>
        <v>0</v>
      </c>
      <c r="AI19" s="108">
        <f t="shared" si="10"/>
        <v>0</v>
      </c>
      <c r="AJ19" s="108">
        <f t="shared" si="2"/>
        <v>0</v>
      </c>
      <c r="AK19" s="108">
        <f t="shared" si="3"/>
        <v>0</v>
      </c>
      <c r="AL19" s="108">
        <f t="shared" si="4"/>
        <v>0</v>
      </c>
      <c r="AN19" s="40"/>
      <c r="AO19" s="41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0</v>
      </c>
      <c r="H20" s="373" t="s">
        <v>9</v>
      </c>
      <c r="I20" s="441">
        <v>1</v>
      </c>
      <c r="J20" s="375">
        <f t="shared" si="5"/>
        <v>2</v>
      </c>
      <c r="K20" s="363">
        <f t="shared" si="6"/>
        <v>0</v>
      </c>
      <c r="L20" s="363">
        <f t="shared" si="7"/>
        <v>3</v>
      </c>
      <c r="M20" s="352"/>
      <c r="N20" s="352"/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40"/>
      <c r="V20" s="40"/>
      <c r="W20" s="40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0"/>
        <v>1</v>
      </c>
      <c r="AH20" s="108">
        <f t="shared" si="1"/>
        <v>0</v>
      </c>
      <c r="AI20" s="108">
        <f t="shared" si="10"/>
        <v>0</v>
      </c>
      <c r="AJ20" s="108">
        <f t="shared" si="2"/>
        <v>0</v>
      </c>
      <c r="AK20" s="108">
        <f t="shared" si="3"/>
        <v>0</v>
      </c>
      <c r="AL20" s="108">
        <f t="shared" si="4"/>
        <v>0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1</v>
      </c>
      <c r="H21" s="379" t="s">
        <v>9</v>
      </c>
      <c r="I21" s="442">
        <v>1</v>
      </c>
      <c r="J21" s="381">
        <f t="shared" si="5"/>
        <v>3</v>
      </c>
      <c r="K21" s="363">
        <f t="shared" si="6"/>
        <v>1</v>
      </c>
      <c r="L21" s="363">
        <f t="shared" si="7"/>
        <v>1</v>
      </c>
      <c r="M21" s="352"/>
      <c r="N21" s="352"/>
      <c r="O21" s="394" t="s">
        <v>17</v>
      </c>
      <c r="P21" s="395">
        <f>SUMIF($D$8:$D$55,$O21,$G$8:$G$55)+SUMIF($F$8:$F$55,$O21,$I$8:$I$55)</f>
        <v>2</v>
      </c>
      <c r="Q21" s="395">
        <f>SUMIF($D$8:$D$55,$O21,$I$8:$I$55)+SUMIF($F$8:$F$55,$O21,$G$8:$G$55)</f>
        <v>4</v>
      </c>
      <c r="R21" s="396">
        <f>P21-Q21</f>
        <v>-2</v>
      </c>
      <c r="S21" s="397">
        <f>SUMIF($D$8:$D$55,$O21,$K$8:$K$55)+SUMIF($F$8:$F$55,$O21,$L$8:$L$55)</f>
        <v>1</v>
      </c>
      <c r="T21" s="444" t="s">
        <v>60</v>
      </c>
      <c r="U21" s="40"/>
      <c r="V21" s="40" t="str">
        <f>O21</f>
        <v>Colombia</v>
      </c>
      <c r="W21" s="40" t="s">
        <v>57</v>
      </c>
      <c r="Y21" s="109">
        <f t="shared" si="8"/>
        <v>1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1</v>
      </c>
      <c r="AG21" s="108">
        <f t="shared" si="0"/>
        <v>1</v>
      </c>
      <c r="AH21" s="108">
        <f t="shared" si="1"/>
        <v>0</v>
      </c>
      <c r="AI21" s="108">
        <f t="shared" si="10"/>
        <v>0</v>
      </c>
      <c r="AJ21" s="108">
        <f t="shared" si="2"/>
        <v>0</v>
      </c>
      <c r="AK21" s="108">
        <f t="shared" si="3"/>
        <v>0</v>
      </c>
      <c r="AL21" s="108">
        <f t="shared" si="4"/>
        <v>0</v>
      </c>
      <c r="AM21" s="120">
        <f>AO21</f>
        <v>0</v>
      </c>
      <c r="AN21" s="116" t="s">
        <v>17</v>
      </c>
      <c r="AO21" s="115">
        <f>IF(Uitslag!T21="",0,IF(T21=Uitslag!T21,10,0))</f>
        <v>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2</v>
      </c>
      <c r="H22" s="367" t="s">
        <v>9</v>
      </c>
      <c r="I22" s="440">
        <v>1</v>
      </c>
      <c r="J22" s="369">
        <f t="shared" si="5"/>
        <v>1</v>
      </c>
      <c r="K22" s="363">
        <f t="shared" si="6"/>
        <v>3</v>
      </c>
      <c r="L22" s="363">
        <f t="shared" si="7"/>
        <v>0</v>
      </c>
      <c r="M22" s="352"/>
      <c r="N22" s="352"/>
      <c r="O22" s="398" t="s">
        <v>18</v>
      </c>
      <c r="P22" s="399">
        <f>SUMIF($D$8:$D$55,$O22,$G$8:$G$55)+SUMIF($F$8:$F$55,$O22,$I$8:$I$55)</f>
        <v>2</v>
      </c>
      <c r="Q22" s="399">
        <f>SUMIF($D$8:$D$55,$O22,$I$8:$I$55)+SUMIF($F$8:$F$55,$O22,$G$8:$G$55)</f>
        <v>2</v>
      </c>
      <c r="R22" s="399">
        <f>P22-Q22</f>
        <v>0</v>
      </c>
      <c r="S22" s="400">
        <f>SUMIF($D$8:$D$55,$O22,$K$8:$K$55)+SUMIF($F$8:$F$55,$O22,$L$8:$L$55)</f>
        <v>4</v>
      </c>
      <c r="T22" s="445" t="s">
        <v>58</v>
      </c>
      <c r="U22" s="40"/>
      <c r="V22" s="40" t="str">
        <f>O22</f>
        <v>Griekenland</v>
      </c>
      <c r="W22" s="40" t="s">
        <v>58</v>
      </c>
      <c r="Y22" s="109">
        <f t="shared" si="8"/>
        <v>10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10</v>
      </c>
      <c r="AG22" s="108">
        <f t="shared" si="0"/>
        <v>1</v>
      </c>
      <c r="AH22" s="108">
        <f t="shared" si="1"/>
        <v>1</v>
      </c>
      <c r="AI22" s="108">
        <f t="shared" si="10"/>
        <v>10</v>
      </c>
      <c r="AJ22" s="108">
        <f t="shared" si="2"/>
        <v>5</v>
      </c>
      <c r="AK22" s="108">
        <f t="shared" si="3"/>
        <v>0</v>
      </c>
      <c r="AL22" s="108">
        <f t="shared" si="4"/>
        <v>0</v>
      </c>
      <c r="AM22" s="120">
        <f>AO22</f>
        <v>10</v>
      </c>
      <c r="AN22" s="117" t="s">
        <v>18</v>
      </c>
      <c r="AO22" s="115">
        <f>IF(Uitslag!T22="",0,IF(T22=Uitslag!T22,10,0))</f>
        <v>10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1</v>
      </c>
      <c r="H23" s="373" t="s">
        <v>9</v>
      </c>
      <c r="I23" s="441">
        <v>1</v>
      </c>
      <c r="J23" s="375">
        <f t="shared" si="5"/>
        <v>3</v>
      </c>
      <c r="K23" s="363">
        <f t="shared" si="6"/>
        <v>1</v>
      </c>
      <c r="L23" s="363">
        <f t="shared" si="7"/>
        <v>1</v>
      </c>
      <c r="M23" s="352"/>
      <c r="N23" s="352"/>
      <c r="O23" s="398" t="s">
        <v>23</v>
      </c>
      <c r="P23" s="399">
        <f>SUMIF($D$8:$D$55,$O23,$G$8:$G$55)+SUMIF($F$8:$F$55,$O23,$I$8:$I$55)</f>
        <v>4</v>
      </c>
      <c r="Q23" s="399">
        <f>SUMIF($D$8:$D$55,$O23,$I$8:$I$55)+SUMIF($F$8:$F$55,$O23,$G$8:$G$55)</f>
        <v>3</v>
      </c>
      <c r="R23" s="399">
        <f>P23-Q23</f>
        <v>1</v>
      </c>
      <c r="S23" s="400">
        <f>SUMIF($D$8:$D$55,$O23,$K$8:$K$55)+SUMIF($F$8:$F$55,$O23,$L$8:$L$55)</f>
        <v>6</v>
      </c>
      <c r="T23" s="445" t="s">
        <v>57</v>
      </c>
      <c r="U23" s="40"/>
      <c r="V23" s="40" t="str">
        <f>O23</f>
        <v>Ivoorkust</v>
      </c>
      <c r="W23" s="40" t="s">
        <v>59</v>
      </c>
      <c r="Y23" s="109">
        <f t="shared" si="8"/>
        <v>5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5</v>
      </c>
      <c r="AG23" s="108">
        <f t="shared" si="0"/>
        <v>0</v>
      </c>
      <c r="AH23" s="108">
        <f t="shared" si="1"/>
        <v>0</v>
      </c>
      <c r="AI23" s="108">
        <f t="shared" si="10"/>
        <v>0</v>
      </c>
      <c r="AJ23" s="108">
        <f t="shared" si="2"/>
        <v>0</v>
      </c>
      <c r="AK23" s="108">
        <f t="shared" si="3"/>
        <v>0</v>
      </c>
      <c r="AL23" s="108">
        <f t="shared" si="4"/>
        <v>5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1</v>
      </c>
      <c r="H24" s="379" t="s">
        <v>9</v>
      </c>
      <c r="I24" s="442">
        <v>1</v>
      </c>
      <c r="J24" s="381">
        <f t="shared" si="5"/>
        <v>3</v>
      </c>
      <c r="K24" s="363">
        <f t="shared" si="6"/>
        <v>1</v>
      </c>
      <c r="L24" s="363">
        <f t="shared" si="7"/>
        <v>1</v>
      </c>
      <c r="M24" s="352"/>
      <c r="N24" s="352"/>
      <c r="O24" s="401" t="s">
        <v>24</v>
      </c>
      <c r="P24" s="402">
        <f>SUMIF($D$8:$D$55,$O24,$G$8:$G$55)+SUMIF($F$8:$F$55,$O24,$I$8:$I$55)</f>
        <v>2</v>
      </c>
      <c r="Q24" s="402">
        <f>SUMIF($D$8:$D$55,$O24,$I$8:$I$55)+SUMIF($F$8:$F$55,$O24,$G$8:$G$55)</f>
        <v>1</v>
      </c>
      <c r="R24" s="402">
        <f>P24-Q24</f>
        <v>1</v>
      </c>
      <c r="S24" s="403">
        <f>SUMIF($D$8:$D$55,$O24,$K$8:$K$55)+SUMIF($F$8:$F$55,$O24,$L$8:$L$55)</f>
        <v>5</v>
      </c>
      <c r="T24" s="446" t="s">
        <v>59</v>
      </c>
      <c r="U24" s="40"/>
      <c r="V24" s="40" t="str">
        <f>O24</f>
        <v>Japan</v>
      </c>
      <c r="W24" s="40" t="s">
        <v>60</v>
      </c>
      <c r="Y24" s="109">
        <f t="shared" si="8"/>
        <v>10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10</v>
      </c>
      <c r="AG24" s="108">
        <f t="shared" si="0"/>
        <v>1</v>
      </c>
      <c r="AH24" s="108">
        <f t="shared" si="1"/>
        <v>1</v>
      </c>
      <c r="AI24" s="108">
        <f t="shared" si="10"/>
        <v>10</v>
      </c>
      <c r="AJ24" s="108">
        <f t="shared" si="2"/>
        <v>0</v>
      </c>
      <c r="AK24" s="108">
        <f t="shared" si="3"/>
        <v>0</v>
      </c>
      <c r="AL24" s="108">
        <f t="shared" si="4"/>
        <v>5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0</v>
      </c>
      <c r="H25" s="367" t="s">
        <v>9</v>
      </c>
      <c r="I25" s="440">
        <v>2</v>
      </c>
      <c r="J25" s="369">
        <f t="shared" si="5"/>
        <v>2</v>
      </c>
      <c r="K25" s="363">
        <f t="shared" si="6"/>
        <v>0</v>
      </c>
      <c r="L25" s="363">
        <f t="shared" si="7"/>
        <v>3</v>
      </c>
      <c r="M25" s="352"/>
      <c r="N25" s="352"/>
      <c r="O25" s="392"/>
      <c r="P25" s="393"/>
      <c r="Q25" s="393"/>
      <c r="R25" s="393"/>
      <c r="S25" s="393"/>
      <c r="T25" s="393"/>
      <c r="U25" s="40"/>
      <c r="V25" s="40"/>
      <c r="W25" s="40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0"/>
        <v>0</v>
      </c>
      <c r="AH25" s="108">
        <f t="shared" si="1"/>
        <v>0</v>
      </c>
      <c r="AI25" s="108">
        <f t="shared" si="10"/>
        <v>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40"/>
      <c r="AO25" s="41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2</v>
      </c>
      <c r="H26" s="373" t="s">
        <v>9</v>
      </c>
      <c r="I26" s="441">
        <v>1</v>
      </c>
      <c r="J26" s="375">
        <f t="shared" si="5"/>
        <v>1</v>
      </c>
      <c r="K26" s="363">
        <f t="shared" si="6"/>
        <v>3</v>
      </c>
      <c r="L26" s="363">
        <f t="shared" si="7"/>
        <v>0</v>
      </c>
      <c r="M26" s="352"/>
      <c r="N26" s="352"/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40"/>
      <c r="V26" s="40"/>
      <c r="W26" s="40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0"/>
        <v>0</v>
      </c>
      <c r="AH26" s="108">
        <f t="shared" si="1"/>
        <v>0</v>
      </c>
      <c r="AI26" s="108">
        <f t="shared" si="10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1</v>
      </c>
      <c r="H27" s="379" t="s">
        <v>9</v>
      </c>
      <c r="I27" s="442">
        <v>2</v>
      </c>
      <c r="J27" s="381">
        <f t="shared" si="5"/>
        <v>2</v>
      </c>
      <c r="K27" s="363">
        <f t="shared" si="6"/>
        <v>0</v>
      </c>
      <c r="L27" s="363">
        <f t="shared" si="7"/>
        <v>3</v>
      </c>
      <c r="M27" s="352"/>
      <c r="N27" s="352"/>
      <c r="O27" s="394" t="s">
        <v>19</v>
      </c>
      <c r="P27" s="395">
        <f>SUMIF($D$8:$D$55,$O27,$G$8:$G$55)+SUMIF($F$8:$F$55,$O27,$I$8:$I$55)</f>
        <v>5</v>
      </c>
      <c r="Q27" s="395">
        <f>SUMIF($D$8:$D$55,$O27,$I$8:$I$55)+SUMIF($F$8:$F$55,$O27,$G$8:$G$55)</f>
        <v>2</v>
      </c>
      <c r="R27" s="396">
        <f>P27-Q27</f>
        <v>3</v>
      </c>
      <c r="S27" s="397">
        <f>SUMIF($D$8:$D$55,$O27,$K$8:$K$55)+SUMIF($F$8:$F$55,$O27,$L$8:$L$55)</f>
        <v>7</v>
      </c>
      <c r="T27" s="444" t="s">
        <v>62</v>
      </c>
      <c r="U27" s="40"/>
      <c r="V27" s="40" t="str">
        <f>O27</f>
        <v>Uruguay</v>
      </c>
      <c r="W27" s="40" t="s">
        <v>62</v>
      </c>
      <c r="Y27" s="109">
        <f t="shared" si="8"/>
        <v>5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5</v>
      </c>
      <c r="AG27" s="108">
        <f t="shared" si="0"/>
        <v>0</v>
      </c>
      <c r="AH27" s="108">
        <f t="shared" si="1"/>
        <v>0</v>
      </c>
      <c r="AI27" s="108">
        <f t="shared" si="10"/>
        <v>0</v>
      </c>
      <c r="AJ27" s="108">
        <f t="shared" si="2"/>
        <v>0</v>
      </c>
      <c r="AK27" s="108">
        <f t="shared" si="3"/>
        <v>5</v>
      </c>
      <c r="AL27" s="108">
        <f t="shared" si="4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1</v>
      </c>
      <c r="H28" s="367" t="s">
        <v>9</v>
      </c>
      <c r="I28" s="440">
        <v>2</v>
      </c>
      <c r="J28" s="369">
        <f t="shared" si="5"/>
        <v>2</v>
      </c>
      <c r="K28" s="363">
        <f t="shared" si="6"/>
        <v>0</v>
      </c>
      <c r="L28" s="363">
        <f t="shared" si="7"/>
        <v>3</v>
      </c>
      <c r="M28" s="352"/>
      <c r="N28" s="352"/>
      <c r="O28" s="398" t="s">
        <v>20</v>
      </c>
      <c r="P28" s="399">
        <f>SUMIF($D$8:$D$55,$O28,$G$8:$G$55)+SUMIF($F$8:$F$55,$O28,$I$8:$I$55)</f>
        <v>0</v>
      </c>
      <c r="Q28" s="399">
        <f>SUMIF($D$8:$D$55,$O28,$I$8:$I$55)+SUMIF($F$8:$F$55,$O28,$G$8:$G$55)</f>
        <v>5</v>
      </c>
      <c r="R28" s="399">
        <f>P28-Q28</f>
        <v>-5</v>
      </c>
      <c r="S28" s="400">
        <f>SUMIF($D$8:$D$55,$O28,$K$8:$K$55)+SUMIF($F$8:$F$55,$O28,$L$8:$L$55)</f>
        <v>0</v>
      </c>
      <c r="T28" s="445" t="s">
        <v>65</v>
      </c>
      <c r="U28" s="40"/>
      <c r="V28" s="40" t="str">
        <f>O28</f>
        <v>Costa Rica</v>
      </c>
      <c r="W28" s="40" t="s">
        <v>63</v>
      </c>
      <c r="Y28" s="109">
        <f t="shared" si="8"/>
        <v>0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0</v>
      </c>
      <c r="AG28" s="108">
        <f t="shared" si="0"/>
        <v>0</v>
      </c>
      <c r="AH28" s="108">
        <f t="shared" si="1"/>
        <v>0</v>
      </c>
      <c r="AI28" s="108">
        <f t="shared" si="10"/>
        <v>0</v>
      </c>
      <c r="AJ28" s="108">
        <f t="shared" si="2"/>
        <v>0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2</v>
      </c>
      <c r="H29" s="373" t="s">
        <v>9</v>
      </c>
      <c r="I29" s="441">
        <v>1</v>
      </c>
      <c r="J29" s="375">
        <f t="shared" si="5"/>
        <v>1</v>
      </c>
      <c r="K29" s="363">
        <f t="shared" si="6"/>
        <v>3</v>
      </c>
      <c r="L29" s="363">
        <f t="shared" si="7"/>
        <v>0</v>
      </c>
      <c r="M29" s="352"/>
      <c r="N29" s="352"/>
      <c r="O29" s="398" t="s">
        <v>21</v>
      </c>
      <c r="P29" s="399">
        <f>SUMIF($D$8:$D$55,$O29,$G$8:$G$55)+SUMIF($F$8:$F$55,$O29,$I$8:$I$55)</f>
        <v>3</v>
      </c>
      <c r="Q29" s="399">
        <f>SUMIF($D$8:$D$55,$O29,$I$8:$I$55)+SUMIF($F$8:$F$55,$O29,$G$8:$G$55)</f>
        <v>3</v>
      </c>
      <c r="R29" s="399">
        <f>P29-Q29</f>
        <v>0</v>
      </c>
      <c r="S29" s="400">
        <f>SUMIF($D$8:$D$55,$O29,$K$8:$K$55)+SUMIF($F$8:$F$55,$O29,$L$8:$L$55)</f>
        <v>4</v>
      </c>
      <c r="T29" s="445" t="s">
        <v>64</v>
      </c>
      <c r="U29" s="40"/>
      <c r="V29" s="40" t="str">
        <f>O29</f>
        <v>Engeland</v>
      </c>
      <c r="W29" s="40" t="s">
        <v>64</v>
      </c>
      <c r="Y29" s="109">
        <f t="shared" si="8"/>
        <v>10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10</v>
      </c>
      <c r="AG29" s="108">
        <f t="shared" si="0"/>
        <v>1</v>
      </c>
      <c r="AH29" s="108">
        <f t="shared" si="1"/>
        <v>1</v>
      </c>
      <c r="AI29" s="108">
        <f t="shared" si="10"/>
        <v>10</v>
      </c>
      <c r="AJ29" s="108">
        <f t="shared" si="2"/>
        <v>5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0</v>
      </c>
      <c r="H30" s="379" t="s">
        <v>9</v>
      </c>
      <c r="I30" s="442">
        <v>0</v>
      </c>
      <c r="J30" s="381">
        <f t="shared" si="5"/>
        <v>3</v>
      </c>
      <c r="K30" s="363">
        <f t="shared" si="6"/>
        <v>1</v>
      </c>
      <c r="L30" s="363">
        <f t="shared" si="7"/>
        <v>1</v>
      </c>
      <c r="M30" s="352"/>
      <c r="N30" s="352"/>
      <c r="O30" s="401" t="s">
        <v>22</v>
      </c>
      <c r="P30" s="402">
        <f>SUMIF($D$8:$D$55,$O30,$G$8:$G$55)+SUMIF($F$8:$F$55,$O30,$I$8:$I$55)</f>
        <v>4</v>
      </c>
      <c r="Q30" s="402">
        <f>SUMIF($D$8:$D$55,$O30,$I$8:$I$55)+SUMIF($F$8:$F$55,$O30,$G$8:$G$55)</f>
        <v>2</v>
      </c>
      <c r="R30" s="402">
        <f>P30-Q30</f>
        <v>2</v>
      </c>
      <c r="S30" s="403">
        <f>SUMIF($D$8:$D$55,$O30,$K$8:$K$55)+SUMIF($F$8:$F$55,$O30,$L$8:$L$55)</f>
        <v>5</v>
      </c>
      <c r="T30" s="446" t="s">
        <v>63</v>
      </c>
      <c r="U30" s="40"/>
      <c r="V30" s="40" t="str">
        <f>O30</f>
        <v>Italië</v>
      </c>
      <c r="W30" s="40" t="s">
        <v>65</v>
      </c>
      <c r="Y30" s="109">
        <f t="shared" si="8"/>
        <v>10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10</v>
      </c>
      <c r="AG30" s="108">
        <f t="shared" si="0"/>
        <v>1</v>
      </c>
      <c r="AH30" s="108">
        <f t="shared" si="1"/>
        <v>1</v>
      </c>
      <c r="AI30" s="108">
        <f t="shared" si="10"/>
        <v>10</v>
      </c>
      <c r="AJ30" s="108">
        <f t="shared" si="2"/>
        <v>0</v>
      </c>
      <c r="AK30" s="108">
        <f t="shared" si="3"/>
        <v>0</v>
      </c>
      <c r="AL30" s="108">
        <f t="shared" si="4"/>
        <v>5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2</v>
      </c>
      <c r="H31" s="367" t="s">
        <v>9</v>
      </c>
      <c r="I31" s="440">
        <v>0</v>
      </c>
      <c r="J31" s="369">
        <f t="shared" si="5"/>
        <v>1</v>
      </c>
      <c r="K31" s="363">
        <f t="shared" si="6"/>
        <v>3</v>
      </c>
      <c r="L31" s="363">
        <f t="shared" si="7"/>
        <v>0</v>
      </c>
      <c r="M31" s="352"/>
      <c r="N31" s="352"/>
      <c r="O31" s="392"/>
      <c r="P31" s="393"/>
      <c r="Q31" s="393"/>
      <c r="R31" s="393"/>
      <c r="S31" s="393"/>
      <c r="T31" s="393"/>
      <c r="U31" s="40"/>
      <c r="V31" s="40"/>
      <c r="W31" s="40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0"/>
        <v>0</v>
      </c>
      <c r="AH31" s="108">
        <f t="shared" si="1"/>
        <v>0</v>
      </c>
      <c r="AI31" s="108">
        <f t="shared" si="10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40"/>
      <c r="AO31" s="41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1</v>
      </c>
      <c r="H32" s="373" t="s">
        <v>9</v>
      </c>
      <c r="I32" s="441">
        <v>3</v>
      </c>
      <c r="J32" s="375">
        <f t="shared" si="5"/>
        <v>2</v>
      </c>
      <c r="K32" s="363">
        <f t="shared" si="6"/>
        <v>0</v>
      </c>
      <c r="L32" s="363">
        <f t="shared" si="7"/>
        <v>3</v>
      </c>
      <c r="M32" s="352"/>
      <c r="N32" s="352"/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40"/>
      <c r="V32" s="40"/>
      <c r="W32" s="40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0"/>
        <v>0</v>
      </c>
      <c r="AH32" s="108">
        <f t="shared" si="1"/>
        <v>0</v>
      </c>
      <c r="AI32" s="108">
        <f t="shared" si="10"/>
        <v>0</v>
      </c>
      <c r="AJ32" s="108">
        <f t="shared" si="2"/>
        <v>0</v>
      </c>
      <c r="AK32" s="108">
        <f t="shared" si="3"/>
        <v>5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0</v>
      </c>
      <c r="H33" s="379" t="s">
        <v>9</v>
      </c>
      <c r="I33" s="442">
        <v>2</v>
      </c>
      <c r="J33" s="381">
        <f t="shared" si="5"/>
        <v>2</v>
      </c>
      <c r="K33" s="363">
        <f t="shared" si="6"/>
        <v>0</v>
      </c>
      <c r="L33" s="363">
        <f t="shared" si="7"/>
        <v>3</v>
      </c>
      <c r="M33" s="352"/>
      <c r="N33" s="352"/>
      <c r="O33" s="394" t="s">
        <v>25</v>
      </c>
      <c r="P33" s="395">
        <f>SUMIF($D$8:$D$55,$O33,$G$8:$G$55)+SUMIF($F$8:$F$55,$O33,$I$8:$I$55)</f>
        <v>5</v>
      </c>
      <c r="Q33" s="395">
        <f>SUMIF($D$8:$D$55,$O33,$I$8:$I$55)+SUMIF($F$8:$F$55,$O33,$G$8:$G$55)</f>
        <v>5</v>
      </c>
      <c r="R33" s="396">
        <f>P33-Q33</f>
        <v>0</v>
      </c>
      <c r="S33" s="397">
        <f>SUMIF($D$8:$D$55,$O33,$K$8:$K$55)+SUMIF($F$8:$F$55,$O33,$L$8:$L$55)</f>
        <v>4</v>
      </c>
      <c r="T33" s="444" t="s">
        <v>69</v>
      </c>
      <c r="U33" s="40"/>
      <c r="V33" s="40" t="str">
        <f>O33</f>
        <v>Zwitserland</v>
      </c>
      <c r="W33" s="40" t="s">
        <v>67</v>
      </c>
      <c r="Y33" s="109">
        <f t="shared" si="8"/>
        <v>6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6</v>
      </c>
      <c r="AG33" s="108">
        <f t="shared" si="0"/>
        <v>0</v>
      </c>
      <c r="AH33" s="108">
        <f t="shared" si="1"/>
        <v>1</v>
      </c>
      <c r="AI33" s="108">
        <f t="shared" si="10"/>
        <v>0</v>
      </c>
      <c r="AJ33" s="108">
        <f t="shared" si="2"/>
        <v>0</v>
      </c>
      <c r="AK33" s="108">
        <f t="shared" si="3"/>
        <v>5</v>
      </c>
      <c r="AL33" s="108">
        <f t="shared" si="4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3</v>
      </c>
      <c r="H34" s="367" t="s">
        <v>9</v>
      </c>
      <c r="I34" s="440">
        <v>0</v>
      </c>
      <c r="J34" s="369">
        <f t="shared" si="5"/>
        <v>1</v>
      </c>
      <c r="K34" s="363">
        <f t="shared" si="6"/>
        <v>3</v>
      </c>
      <c r="L34" s="363">
        <f t="shared" si="7"/>
        <v>0</v>
      </c>
      <c r="M34" s="352"/>
      <c r="N34" s="352"/>
      <c r="O34" s="398" t="s">
        <v>26</v>
      </c>
      <c r="P34" s="399">
        <f>SUMIF($D$8:$D$55,$O34,$G$8:$G$55)+SUMIF($F$8:$F$55,$O34,$I$8:$I$55)</f>
        <v>5</v>
      </c>
      <c r="Q34" s="399">
        <f>SUMIF($D$8:$D$55,$O34,$I$8:$I$55)+SUMIF($F$8:$F$55,$O34,$G$8:$G$55)</f>
        <v>4</v>
      </c>
      <c r="R34" s="399">
        <f>P34-Q34</f>
        <v>1</v>
      </c>
      <c r="S34" s="400">
        <f>SUMIF($D$8:$D$55,$O34,$K$8:$K$55)+SUMIF($F$8:$F$55,$O34,$L$8:$L$55)</f>
        <v>4</v>
      </c>
      <c r="T34" s="445" t="s">
        <v>68</v>
      </c>
      <c r="U34" s="40"/>
      <c r="V34" s="40" t="str">
        <f>O34</f>
        <v>Ecuador</v>
      </c>
      <c r="W34" s="40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0"/>
        <v>0</v>
      </c>
      <c r="AH34" s="108">
        <f t="shared" si="1"/>
        <v>1</v>
      </c>
      <c r="AI34" s="108">
        <f t="shared" si="10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2</v>
      </c>
      <c r="H35" s="373" t="s">
        <v>9</v>
      </c>
      <c r="I35" s="441">
        <v>1</v>
      </c>
      <c r="J35" s="375">
        <f t="shared" si="5"/>
        <v>1</v>
      </c>
      <c r="K35" s="363">
        <f t="shared" si="6"/>
        <v>3</v>
      </c>
      <c r="L35" s="363">
        <f t="shared" si="7"/>
        <v>0</v>
      </c>
      <c r="M35" s="352"/>
      <c r="N35" s="352"/>
      <c r="O35" s="398" t="s">
        <v>27</v>
      </c>
      <c r="P35" s="399">
        <f>SUMIF($D$8:$D$55,$O35,$G$8:$G$55)+SUMIF($F$8:$F$55,$O35,$I$8:$I$55)</f>
        <v>7</v>
      </c>
      <c r="Q35" s="399">
        <f>SUMIF($D$8:$D$55,$O35,$I$8:$I$55)+SUMIF($F$8:$F$55,$O35,$G$8:$G$55)</f>
        <v>2</v>
      </c>
      <c r="R35" s="399">
        <f>P35-Q35</f>
        <v>5</v>
      </c>
      <c r="S35" s="400">
        <f>SUMIF($D$8:$D$55,$O35,$K$8:$K$55)+SUMIF($F$8:$F$55,$O35,$L$8:$L$55)</f>
        <v>9</v>
      </c>
      <c r="T35" s="445" t="s">
        <v>67</v>
      </c>
      <c r="U35" s="40"/>
      <c r="V35" s="40" t="str">
        <f>O35</f>
        <v>Frankrijk</v>
      </c>
      <c r="W35" s="40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0"/>
        <v>1</v>
      </c>
      <c r="AH35" s="108">
        <f t="shared" si="1"/>
        <v>0</v>
      </c>
      <c r="AI35" s="108">
        <f t="shared" si="10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2</v>
      </c>
      <c r="H36" s="379" t="s">
        <v>9</v>
      </c>
      <c r="I36" s="442">
        <v>1</v>
      </c>
      <c r="J36" s="381">
        <f t="shared" si="5"/>
        <v>1</v>
      </c>
      <c r="K36" s="363">
        <f t="shared" si="6"/>
        <v>3</v>
      </c>
      <c r="L36" s="363">
        <f t="shared" si="7"/>
        <v>0</v>
      </c>
      <c r="M36" s="352"/>
      <c r="N36" s="352"/>
      <c r="O36" s="401" t="s">
        <v>28</v>
      </c>
      <c r="P36" s="402">
        <f>SUMIF($D$8:$D$55,$O36,$G$8:$G$55)+SUMIF($F$8:$F$55,$O36,$I$8:$I$55)</f>
        <v>0</v>
      </c>
      <c r="Q36" s="402">
        <f>SUMIF($D$8:$D$55,$O36,$I$8:$I$55)+SUMIF($F$8:$F$55,$O36,$G$8:$G$55)</f>
        <v>6</v>
      </c>
      <c r="R36" s="402">
        <f>P36-Q36</f>
        <v>-6</v>
      </c>
      <c r="S36" s="403">
        <f>SUMIF($D$8:$D$55,$O36,$K$8:$K$55)+SUMIF($F$8:$F$55,$O36,$L$8:$L$55)</f>
        <v>0</v>
      </c>
      <c r="T36" s="446" t="s">
        <v>70</v>
      </c>
      <c r="U36" s="40"/>
      <c r="V36" s="40" t="str">
        <f>O36</f>
        <v>Honduras</v>
      </c>
      <c r="W36" s="40" t="s">
        <v>70</v>
      </c>
      <c r="Y36" s="109">
        <f t="shared" si="8"/>
        <v>5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5</v>
      </c>
      <c r="AG36" s="108">
        <f t="shared" si="0"/>
        <v>0</v>
      </c>
      <c r="AH36" s="108">
        <f t="shared" si="1"/>
        <v>0</v>
      </c>
      <c r="AI36" s="108">
        <f t="shared" si="10"/>
        <v>0</v>
      </c>
      <c r="AJ36" s="108">
        <f t="shared" si="2"/>
        <v>5</v>
      </c>
      <c r="AK36" s="108">
        <f t="shared" si="3"/>
        <v>0</v>
      </c>
      <c r="AL36" s="108">
        <f t="shared" si="4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1</v>
      </c>
      <c r="H37" s="367" t="s">
        <v>9</v>
      </c>
      <c r="I37" s="440">
        <v>1</v>
      </c>
      <c r="J37" s="369">
        <f t="shared" si="5"/>
        <v>3</v>
      </c>
      <c r="K37" s="363">
        <f t="shared" si="6"/>
        <v>1</v>
      </c>
      <c r="L37" s="363">
        <f t="shared" si="7"/>
        <v>1</v>
      </c>
      <c r="M37" s="352"/>
      <c r="N37" s="352"/>
      <c r="O37" s="392"/>
      <c r="P37" s="393"/>
      <c r="Q37" s="393"/>
      <c r="R37" s="393"/>
      <c r="S37" s="393"/>
      <c r="T37" s="393"/>
      <c r="U37" s="40"/>
      <c r="V37" s="40"/>
      <c r="W37" s="40"/>
      <c r="Y37" s="109">
        <f t="shared" si="8"/>
        <v>1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1</v>
      </c>
      <c r="AG37" s="108">
        <f t="shared" si="0"/>
        <v>1</v>
      </c>
      <c r="AH37" s="108">
        <f t="shared" si="1"/>
        <v>0</v>
      </c>
      <c r="AI37" s="108">
        <f t="shared" si="10"/>
        <v>0</v>
      </c>
      <c r="AJ37" s="108">
        <f t="shared" si="2"/>
        <v>0</v>
      </c>
      <c r="AK37" s="108">
        <f t="shared" si="3"/>
        <v>0</v>
      </c>
      <c r="AL37" s="108">
        <f t="shared" si="4"/>
        <v>0</v>
      </c>
      <c r="AN37" s="40"/>
      <c r="AO37" s="41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2</v>
      </c>
      <c r="H38" s="373" t="s">
        <v>9</v>
      </c>
      <c r="I38" s="441">
        <v>2</v>
      </c>
      <c r="J38" s="375">
        <f t="shared" si="5"/>
        <v>3</v>
      </c>
      <c r="K38" s="363">
        <f t="shared" si="6"/>
        <v>1</v>
      </c>
      <c r="L38" s="363">
        <f t="shared" si="7"/>
        <v>1</v>
      </c>
      <c r="M38" s="352"/>
      <c r="N38" s="352"/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40"/>
      <c r="V38" s="40"/>
      <c r="W38" s="40"/>
      <c r="Y38" s="109">
        <f t="shared" si="8"/>
        <v>1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1</v>
      </c>
      <c r="AG38" s="108">
        <f t="shared" si="0"/>
        <v>1</v>
      </c>
      <c r="AH38" s="108">
        <f t="shared" si="1"/>
        <v>0</v>
      </c>
      <c r="AI38" s="108">
        <f t="shared" si="10"/>
        <v>0</v>
      </c>
      <c r="AJ38" s="108">
        <f t="shared" si="2"/>
        <v>0</v>
      </c>
      <c r="AK38" s="108">
        <f t="shared" si="3"/>
        <v>0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1</v>
      </c>
      <c r="H39" s="379" t="s">
        <v>9</v>
      </c>
      <c r="I39" s="442">
        <v>3</v>
      </c>
      <c r="J39" s="381">
        <f t="shared" si="5"/>
        <v>2</v>
      </c>
      <c r="K39" s="363">
        <f t="shared" si="6"/>
        <v>0</v>
      </c>
      <c r="L39" s="363">
        <f t="shared" si="7"/>
        <v>3</v>
      </c>
      <c r="M39" s="352"/>
      <c r="N39" s="352"/>
      <c r="O39" s="394" t="s">
        <v>29</v>
      </c>
      <c r="P39" s="395">
        <f>SUMIF($D$8:$D$55,$O39,$G$8:$G$55)+SUMIF($F$8:$F$55,$O39,$I$8:$I$55)</f>
        <v>7</v>
      </c>
      <c r="Q39" s="395">
        <f>SUMIF($D$8:$D$55,$O39,$I$8:$I$55)+SUMIF($F$8:$F$55,$O39,$G$8:$G$55)</f>
        <v>1</v>
      </c>
      <c r="R39" s="396">
        <f>P39-Q39</f>
        <v>6</v>
      </c>
      <c r="S39" s="397">
        <f>SUMIF($D$8:$D$55,$O39,$K$8:$K$55)+SUMIF($F$8:$F$55,$O39,$L$8:$L$55)</f>
        <v>9</v>
      </c>
      <c r="T39" s="444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0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0</v>
      </c>
      <c r="AG39" s="108">
        <f t="shared" si="0"/>
        <v>0</v>
      </c>
      <c r="AH39" s="108">
        <f t="shared" si="1"/>
        <v>0</v>
      </c>
      <c r="AI39" s="108">
        <f t="shared" si="10"/>
        <v>0</v>
      </c>
      <c r="AJ39" s="108">
        <f t="shared" si="2"/>
        <v>0</v>
      </c>
      <c r="AK39" s="108">
        <f t="shared" si="3"/>
        <v>0</v>
      </c>
      <c r="AL39" s="108">
        <f t="shared" si="4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1</v>
      </c>
      <c r="H40" s="367" t="s">
        <v>9</v>
      </c>
      <c r="I40" s="440">
        <v>3</v>
      </c>
      <c r="J40" s="369">
        <f t="shared" si="5"/>
        <v>2</v>
      </c>
      <c r="K40" s="363">
        <f t="shared" si="6"/>
        <v>0</v>
      </c>
      <c r="L40" s="363">
        <f t="shared" si="7"/>
        <v>3</v>
      </c>
      <c r="M40" s="352"/>
      <c r="N40" s="352"/>
      <c r="O40" s="398" t="s">
        <v>30</v>
      </c>
      <c r="P40" s="399">
        <f>SUMIF($D$8:$D$55,$O40,$G$8:$G$55)+SUMIF($F$8:$F$55,$O40,$I$8:$I$55)</f>
        <v>4</v>
      </c>
      <c r="Q40" s="399">
        <f>SUMIF($D$8:$D$55,$O40,$I$8:$I$55)+SUMIF($F$8:$F$55,$O40,$G$8:$G$55)</f>
        <v>5</v>
      </c>
      <c r="R40" s="399">
        <f>P40-Q40</f>
        <v>-1</v>
      </c>
      <c r="S40" s="400">
        <f>SUMIF($D$8:$D$55,$O40,$K$8:$K$55)+SUMIF($F$8:$F$55,$O40,$L$8:$L$55)</f>
        <v>3</v>
      </c>
      <c r="T40" s="445" t="s">
        <v>75</v>
      </c>
      <c r="U40" s="40"/>
      <c r="V40" s="40" t="str">
        <f>O40</f>
        <v>Bosnië H.</v>
      </c>
      <c r="W40" s="40" t="s">
        <v>73</v>
      </c>
      <c r="Y40" s="109">
        <f t="shared" si="8"/>
        <v>6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6</v>
      </c>
      <c r="AG40" s="108">
        <f t="shared" si="0"/>
        <v>0</v>
      </c>
      <c r="AH40" s="108">
        <f t="shared" si="1"/>
        <v>1</v>
      </c>
      <c r="AI40" s="108">
        <f t="shared" si="10"/>
        <v>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0</v>
      </c>
      <c r="AN40" s="117" t="s">
        <v>30</v>
      </c>
      <c r="AO40" s="115">
        <f>IF(Uitslag!T40="",0,IF(T40=Uitslag!T40,10,0))</f>
        <v>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1</v>
      </c>
      <c r="H41" s="373" t="s">
        <v>9</v>
      </c>
      <c r="I41" s="441">
        <v>0</v>
      </c>
      <c r="J41" s="375">
        <f t="shared" si="5"/>
        <v>1</v>
      </c>
      <c r="K41" s="363">
        <f t="shared" si="6"/>
        <v>3</v>
      </c>
      <c r="L41" s="363">
        <f t="shared" si="7"/>
        <v>0</v>
      </c>
      <c r="M41" s="352"/>
      <c r="N41" s="352"/>
      <c r="O41" s="398" t="s">
        <v>33</v>
      </c>
      <c r="P41" s="399">
        <f>SUMIF($D$8:$D$55,$O41,$G$8:$G$55)+SUMIF($F$8:$F$55,$O41,$I$8:$I$55)</f>
        <v>1</v>
      </c>
      <c r="Q41" s="399">
        <f>SUMIF($D$8:$D$55,$O41,$I$8:$I$55)+SUMIF($F$8:$F$55,$O41,$G$8:$G$55)</f>
        <v>6</v>
      </c>
      <c r="R41" s="399">
        <f>P41-Q41</f>
        <v>-5</v>
      </c>
      <c r="S41" s="400">
        <f>SUMIF($D$8:$D$55,$O41,$K$8:$K$55)+SUMIF($F$8:$F$55,$O41,$L$8:$L$55)</f>
        <v>0</v>
      </c>
      <c r="T41" s="445" t="s">
        <v>74</v>
      </c>
      <c r="U41" s="40"/>
      <c r="V41" s="40" t="str">
        <f>O41</f>
        <v>Iran</v>
      </c>
      <c r="W41" s="40" t="s">
        <v>74</v>
      </c>
      <c r="Y41" s="109">
        <f t="shared" si="8"/>
        <v>6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6</v>
      </c>
      <c r="AG41" s="108">
        <f t="shared" si="0"/>
        <v>0</v>
      </c>
      <c r="AH41" s="108">
        <f t="shared" si="1"/>
        <v>1</v>
      </c>
      <c r="AI41" s="108">
        <f t="shared" si="10"/>
        <v>0</v>
      </c>
      <c r="AJ41" s="108">
        <f t="shared" si="2"/>
        <v>5</v>
      </c>
      <c r="AK41" s="108">
        <f t="shared" si="3"/>
        <v>0</v>
      </c>
      <c r="AL41" s="108">
        <f t="shared" si="4"/>
        <v>0</v>
      </c>
      <c r="AM41" s="120">
        <f>AO41</f>
        <v>0</v>
      </c>
      <c r="AN41" s="117" t="s">
        <v>33</v>
      </c>
      <c r="AO41" s="115">
        <f>IF(Uitslag!T41="",0,IF(T41=Uitslag!T41,10,0))</f>
        <v>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1</v>
      </c>
      <c r="H42" s="373" t="s">
        <v>9</v>
      </c>
      <c r="I42" s="441">
        <v>1</v>
      </c>
      <c r="J42" s="375">
        <f t="shared" si="5"/>
        <v>3</v>
      </c>
      <c r="K42" s="363">
        <f t="shared" si="6"/>
        <v>1</v>
      </c>
      <c r="L42" s="363">
        <f t="shared" si="7"/>
        <v>1</v>
      </c>
      <c r="M42" s="352"/>
      <c r="N42" s="352"/>
      <c r="O42" s="401" t="s">
        <v>34</v>
      </c>
      <c r="P42" s="402">
        <f>SUMIF($D$8:$D$55,$O42,$G$8:$G$55)+SUMIF($F$8:$F$55,$O42,$I$8:$I$55)</f>
        <v>3</v>
      </c>
      <c r="Q42" s="402">
        <f>SUMIF($D$8:$D$55,$O42,$I$8:$I$55)+SUMIF($F$8:$F$55,$O42,$G$8:$G$55)</f>
        <v>3</v>
      </c>
      <c r="R42" s="402">
        <f>P42-Q42</f>
        <v>0</v>
      </c>
      <c r="S42" s="403">
        <f>SUMIF($D$8:$D$55,$O42,$K$8:$K$55)+SUMIF($F$8:$F$55,$O42,$L$8:$L$55)</f>
        <v>6</v>
      </c>
      <c r="T42" s="446" t="s">
        <v>73</v>
      </c>
      <c r="U42" s="40"/>
      <c r="V42" s="40" t="str">
        <f>O42</f>
        <v>Nigeria</v>
      </c>
      <c r="W42" s="40" t="s">
        <v>75</v>
      </c>
      <c r="Y42" s="109">
        <f t="shared" si="8"/>
        <v>1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1</v>
      </c>
      <c r="AG42" s="108">
        <f t="shared" si="0"/>
        <v>1</v>
      </c>
      <c r="AH42" s="108">
        <f t="shared" si="1"/>
        <v>0</v>
      </c>
      <c r="AI42" s="108">
        <f t="shared" si="10"/>
        <v>0</v>
      </c>
      <c r="AJ42" s="108">
        <f t="shared" si="2"/>
        <v>0</v>
      </c>
      <c r="AK42" s="108">
        <f t="shared" si="3"/>
        <v>0</v>
      </c>
      <c r="AL42" s="108">
        <f t="shared" si="4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1</v>
      </c>
      <c r="H43" s="379" t="s">
        <v>9</v>
      </c>
      <c r="I43" s="442">
        <v>2</v>
      </c>
      <c r="J43" s="381">
        <f t="shared" si="5"/>
        <v>2</v>
      </c>
      <c r="K43" s="363">
        <f t="shared" si="6"/>
        <v>0</v>
      </c>
      <c r="L43" s="363">
        <f t="shared" si="7"/>
        <v>3</v>
      </c>
      <c r="M43" s="352"/>
      <c r="N43" s="352"/>
      <c r="O43" s="392"/>
      <c r="P43" s="393"/>
      <c r="Q43" s="393"/>
      <c r="R43" s="393"/>
      <c r="S43" s="393"/>
      <c r="T43" s="393"/>
      <c r="U43" s="40"/>
      <c r="V43" s="40"/>
      <c r="W43" s="40"/>
      <c r="Y43" s="109">
        <f t="shared" si="8"/>
        <v>6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6</v>
      </c>
      <c r="AG43" s="108">
        <f t="shared" si="0"/>
        <v>1</v>
      </c>
      <c r="AH43" s="108">
        <f t="shared" si="1"/>
        <v>0</v>
      </c>
      <c r="AI43" s="108">
        <f t="shared" si="10"/>
        <v>0</v>
      </c>
      <c r="AJ43" s="108">
        <f t="shared" si="2"/>
        <v>0</v>
      </c>
      <c r="AK43" s="108">
        <f t="shared" si="3"/>
        <v>5</v>
      </c>
      <c r="AL43" s="108">
        <f t="shared" si="4"/>
        <v>0</v>
      </c>
      <c r="AN43" s="40"/>
      <c r="AO43" s="41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1</v>
      </c>
      <c r="H44" s="367" t="s">
        <v>9</v>
      </c>
      <c r="I44" s="440">
        <v>1</v>
      </c>
      <c r="J44" s="369">
        <f t="shared" si="5"/>
        <v>3</v>
      </c>
      <c r="K44" s="363">
        <f t="shared" si="6"/>
        <v>1</v>
      </c>
      <c r="L44" s="363">
        <f t="shared" si="7"/>
        <v>1</v>
      </c>
      <c r="M44" s="352"/>
      <c r="N44" s="352"/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40"/>
      <c r="V44" s="40"/>
      <c r="W44" s="40"/>
      <c r="Y44" s="109">
        <f t="shared" si="8"/>
        <v>1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1</v>
      </c>
      <c r="AG44" s="108">
        <f t="shared" si="0"/>
        <v>0</v>
      </c>
      <c r="AH44" s="108">
        <f t="shared" si="1"/>
        <v>1</v>
      </c>
      <c r="AI44" s="108">
        <f t="shared" si="10"/>
        <v>0</v>
      </c>
      <c r="AJ44" s="108">
        <f t="shared" si="2"/>
        <v>0</v>
      </c>
      <c r="AK44" s="108">
        <f t="shared" si="3"/>
        <v>0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0</v>
      </c>
      <c r="H45" s="373" t="s">
        <v>9</v>
      </c>
      <c r="I45" s="441">
        <v>1</v>
      </c>
      <c r="J45" s="375">
        <f t="shared" si="5"/>
        <v>2</v>
      </c>
      <c r="K45" s="363">
        <f t="shared" si="6"/>
        <v>0</v>
      </c>
      <c r="L45" s="363">
        <f t="shared" si="7"/>
        <v>3</v>
      </c>
      <c r="M45" s="352"/>
      <c r="N45" s="352"/>
      <c r="O45" s="394" t="s">
        <v>31</v>
      </c>
      <c r="P45" s="395">
        <f>SUMIF($D$8:$D$55,$O45,$G$8:$G$55)+SUMIF($F$8:$F$55,$O45,$I$8:$I$55)</f>
        <v>5</v>
      </c>
      <c r="Q45" s="395">
        <f>SUMIF($D$8:$D$55,$O45,$I$8:$I$55)+SUMIF($F$8:$F$55,$O45,$G$8:$G$55)</f>
        <v>3</v>
      </c>
      <c r="R45" s="396">
        <f>P45-Q45</f>
        <v>2</v>
      </c>
      <c r="S45" s="397">
        <f>SUMIF($D$8:$D$55,$O45,$K$8:$K$55)+SUMIF($F$8:$F$55,$O45,$L$8:$L$55)</f>
        <v>7</v>
      </c>
      <c r="T45" s="444" t="s">
        <v>78</v>
      </c>
      <c r="U45" s="40"/>
      <c r="V45" s="40" t="str">
        <f>O45</f>
        <v>Duitsland</v>
      </c>
      <c r="W45" s="40" t="s">
        <v>77</v>
      </c>
      <c r="Y45" s="109">
        <f t="shared" si="8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1</v>
      </c>
      <c r="AG45" s="108">
        <f t="shared" si="0"/>
        <v>1</v>
      </c>
      <c r="AH45" s="108">
        <f t="shared" si="1"/>
        <v>0</v>
      </c>
      <c r="AI45" s="108">
        <f t="shared" si="10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0</v>
      </c>
      <c r="AN45" s="116" t="s">
        <v>31</v>
      </c>
      <c r="AO45" s="115">
        <f>IF(Uitslag!T45="",0,IF(T45=Uitslag!T45,10,0))</f>
        <v>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1</v>
      </c>
      <c r="H46" s="373" t="s">
        <v>9</v>
      </c>
      <c r="I46" s="441">
        <v>1</v>
      </c>
      <c r="J46" s="375">
        <f t="shared" si="5"/>
        <v>3</v>
      </c>
      <c r="K46" s="363">
        <f t="shared" si="6"/>
        <v>1</v>
      </c>
      <c r="L46" s="363">
        <f t="shared" si="7"/>
        <v>1</v>
      </c>
      <c r="M46" s="352"/>
      <c r="N46" s="352"/>
      <c r="O46" s="398" t="s">
        <v>32</v>
      </c>
      <c r="P46" s="399">
        <f>SUMIF($D$8:$D$55,$O46,$G$8:$G$55)+SUMIF($F$8:$F$55,$O46,$I$8:$I$55)</f>
        <v>5</v>
      </c>
      <c r="Q46" s="399">
        <f>SUMIF($D$8:$D$55,$O46,$I$8:$I$55)+SUMIF($F$8:$F$55,$O46,$G$8:$G$55)</f>
        <v>3</v>
      </c>
      <c r="R46" s="399">
        <f>P46-Q46</f>
        <v>2</v>
      </c>
      <c r="S46" s="400">
        <f>SUMIF($D$8:$D$55,$O46,$K$8:$K$55)+SUMIF($F$8:$F$55,$O46,$L$8:$L$55)</f>
        <v>5</v>
      </c>
      <c r="T46" s="445" t="s">
        <v>77</v>
      </c>
      <c r="U46" s="40"/>
      <c r="V46" s="40" t="str">
        <f>O46</f>
        <v>Portugal</v>
      </c>
      <c r="W46" s="40" t="s">
        <v>78</v>
      </c>
      <c r="Y46" s="109">
        <f t="shared" si="8"/>
        <v>1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1</v>
      </c>
      <c r="AG46" s="108">
        <f t="shared" si="0"/>
        <v>1</v>
      </c>
      <c r="AH46" s="108">
        <f t="shared" si="1"/>
        <v>0</v>
      </c>
      <c r="AI46" s="108">
        <f t="shared" si="10"/>
        <v>0</v>
      </c>
      <c r="AJ46" s="108">
        <f t="shared" si="2"/>
        <v>0</v>
      </c>
      <c r="AK46" s="108">
        <f t="shared" si="3"/>
        <v>0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1</v>
      </c>
      <c r="H47" s="379" t="s">
        <v>9</v>
      </c>
      <c r="I47" s="442">
        <v>2</v>
      </c>
      <c r="J47" s="381">
        <f t="shared" si="5"/>
        <v>2</v>
      </c>
      <c r="K47" s="363">
        <f t="shared" si="6"/>
        <v>0</v>
      </c>
      <c r="L47" s="363">
        <f t="shared" si="7"/>
        <v>3</v>
      </c>
      <c r="M47" s="352"/>
      <c r="N47" s="352"/>
      <c r="O47" s="398" t="s">
        <v>35</v>
      </c>
      <c r="P47" s="399">
        <f>SUMIF($D$8:$D$55,$O47,$G$8:$G$55)+SUMIF($F$8:$F$55,$O47,$I$8:$I$55)</f>
        <v>3</v>
      </c>
      <c r="Q47" s="399">
        <f>SUMIF($D$8:$D$55,$O47,$I$8:$I$55)+SUMIF($F$8:$F$55,$O47,$G$8:$G$55)</f>
        <v>4</v>
      </c>
      <c r="R47" s="399">
        <f>P47-Q47</f>
        <v>-1</v>
      </c>
      <c r="S47" s="400">
        <f>SUMIF($D$8:$D$55,$O47,$K$8:$K$55)+SUMIF($F$8:$F$55,$O47,$L$8:$L$55)</f>
        <v>2</v>
      </c>
      <c r="T47" s="445" t="s">
        <v>80</v>
      </c>
      <c r="U47" s="40"/>
      <c r="V47" s="40" t="str">
        <f>O47</f>
        <v>Ghana</v>
      </c>
      <c r="W47" s="40" t="s">
        <v>79</v>
      </c>
      <c r="Y47" s="109">
        <f t="shared" si="8"/>
        <v>0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0</v>
      </c>
      <c r="AG47" s="108">
        <f t="shared" si="0"/>
        <v>0</v>
      </c>
      <c r="AH47" s="108">
        <f t="shared" si="1"/>
        <v>0</v>
      </c>
      <c r="AI47" s="108">
        <f t="shared" si="10"/>
        <v>0</v>
      </c>
      <c r="AJ47" s="108">
        <f t="shared" si="2"/>
        <v>0</v>
      </c>
      <c r="AK47" s="108">
        <f t="shared" si="3"/>
        <v>0</v>
      </c>
      <c r="AL47" s="108">
        <f t="shared" si="4"/>
        <v>0</v>
      </c>
      <c r="AM47" s="120">
        <f>AO47</f>
        <v>10</v>
      </c>
      <c r="AN47" s="117" t="s">
        <v>35</v>
      </c>
      <c r="AO47" s="115">
        <f>IF(Uitslag!T47="",0,IF(T47=Uitslag!T47,10,0))</f>
        <v>10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0</v>
      </c>
      <c r="H48" s="367" t="s">
        <v>9</v>
      </c>
      <c r="I48" s="440">
        <v>2</v>
      </c>
      <c r="J48" s="369">
        <f t="shared" si="5"/>
        <v>2</v>
      </c>
      <c r="K48" s="363">
        <f t="shared" si="6"/>
        <v>0</v>
      </c>
      <c r="L48" s="363">
        <f t="shared" si="7"/>
        <v>3</v>
      </c>
      <c r="M48" s="352"/>
      <c r="N48" s="352"/>
      <c r="O48" s="401" t="s">
        <v>36</v>
      </c>
      <c r="P48" s="402">
        <f>SUMIF($D$8:$D$55,$O48,$G$8:$G$55)+SUMIF($F$8:$F$55,$O48,$I$8:$I$55)</f>
        <v>3</v>
      </c>
      <c r="Q48" s="402">
        <f>SUMIF($D$8:$D$55,$O48,$I$8:$I$55)+SUMIF($F$8:$F$55,$O48,$G$8:$G$55)</f>
        <v>6</v>
      </c>
      <c r="R48" s="402">
        <f>P48-Q48</f>
        <v>-3</v>
      </c>
      <c r="S48" s="403">
        <f>SUMIF($D$8:$D$55,$O48,$K$8:$K$55)+SUMIF($F$8:$F$55,$O48,$L$8:$L$55)</f>
        <v>1</v>
      </c>
      <c r="T48" s="446" t="s">
        <v>79</v>
      </c>
      <c r="U48" s="40"/>
      <c r="V48" s="40" t="str">
        <f>O48</f>
        <v>Verenigde Staten</v>
      </c>
      <c r="W48" s="40" t="s">
        <v>80</v>
      </c>
      <c r="Y48" s="109">
        <f t="shared" si="8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5</v>
      </c>
      <c r="AG48" s="108">
        <f t="shared" si="0"/>
        <v>0</v>
      </c>
      <c r="AH48" s="108">
        <f t="shared" si="1"/>
        <v>0</v>
      </c>
      <c r="AI48" s="108">
        <f t="shared" si="10"/>
        <v>0</v>
      </c>
      <c r="AJ48" s="108">
        <f t="shared" si="2"/>
        <v>0</v>
      </c>
      <c r="AK48" s="108">
        <f t="shared" si="3"/>
        <v>5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2</v>
      </c>
      <c r="H49" s="373" t="s">
        <v>9</v>
      </c>
      <c r="I49" s="441">
        <v>1</v>
      </c>
      <c r="J49" s="375">
        <f t="shared" si="5"/>
        <v>1</v>
      </c>
      <c r="K49" s="363">
        <f t="shared" si="6"/>
        <v>3</v>
      </c>
      <c r="L49" s="363">
        <f t="shared" si="7"/>
        <v>0</v>
      </c>
      <c r="M49" s="352"/>
      <c r="N49" s="352"/>
      <c r="O49" s="392"/>
      <c r="P49" s="393"/>
      <c r="Q49" s="393"/>
      <c r="R49" s="393"/>
      <c r="S49" s="393"/>
      <c r="T49" s="393"/>
      <c r="U49" s="40"/>
      <c r="V49" s="40"/>
      <c r="W49" s="40"/>
      <c r="Y49" s="109">
        <f t="shared" si="8"/>
        <v>6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6</v>
      </c>
      <c r="AG49" s="108">
        <f t="shared" si="0"/>
        <v>0</v>
      </c>
      <c r="AH49" s="108">
        <f t="shared" si="1"/>
        <v>1</v>
      </c>
      <c r="AI49" s="108">
        <f t="shared" si="10"/>
        <v>0</v>
      </c>
      <c r="AJ49" s="108">
        <f t="shared" si="2"/>
        <v>5</v>
      </c>
      <c r="AK49" s="108">
        <f t="shared" si="3"/>
        <v>0</v>
      </c>
      <c r="AL49" s="108">
        <f t="shared" si="4"/>
        <v>0</v>
      </c>
      <c r="AN49" s="40"/>
      <c r="AO49" s="41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0</v>
      </c>
      <c r="H50" s="373" t="s">
        <v>9</v>
      </c>
      <c r="I50" s="441">
        <v>2</v>
      </c>
      <c r="J50" s="375">
        <f t="shared" si="5"/>
        <v>2</v>
      </c>
      <c r="K50" s="363">
        <f t="shared" si="6"/>
        <v>0</v>
      </c>
      <c r="L50" s="363">
        <f t="shared" si="7"/>
        <v>3</v>
      </c>
      <c r="M50" s="352"/>
      <c r="N50" s="352"/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40"/>
      <c r="V50" s="40"/>
      <c r="W50" s="40"/>
      <c r="Y50" s="109">
        <f t="shared" si="8"/>
        <v>6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6</v>
      </c>
      <c r="AG50" s="108">
        <f t="shared" si="0"/>
        <v>1</v>
      </c>
      <c r="AH50" s="108">
        <f t="shared" si="1"/>
        <v>0</v>
      </c>
      <c r="AI50" s="108">
        <f t="shared" si="10"/>
        <v>0</v>
      </c>
      <c r="AJ50" s="108">
        <f t="shared" si="2"/>
        <v>0</v>
      </c>
      <c r="AK50" s="108">
        <f t="shared" si="3"/>
        <v>5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1</v>
      </c>
      <c r="H51" s="379" t="s">
        <v>9</v>
      </c>
      <c r="I51" s="442">
        <v>2</v>
      </c>
      <c r="J51" s="381">
        <f t="shared" si="5"/>
        <v>2</v>
      </c>
      <c r="K51" s="363">
        <f t="shared" si="6"/>
        <v>0</v>
      </c>
      <c r="L51" s="363">
        <f>IF(I51="","",IF($G51&lt;$I51,3,IF($G51=$I51,1,0)))</f>
        <v>3</v>
      </c>
      <c r="M51" s="352"/>
      <c r="N51" s="352"/>
      <c r="O51" s="394" t="s">
        <v>37</v>
      </c>
      <c r="P51" s="395">
        <f>SUMIF($D$8:$D$55,$O51,$G$8:$G$55)+SUMIF($F$8:$F$55,$O51,$I$8:$I$55)</f>
        <v>4</v>
      </c>
      <c r="Q51" s="395">
        <f>SUMIF($D$8:$D$55,$O51,$I$8:$I$55)+SUMIF($F$8:$F$55,$O51,$G$8:$G$55)</f>
        <v>4</v>
      </c>
      <c r="R51" s="396">
        <f>P51-Q51</f>
        <v>0</v>
      </c>
      <c r="S51" s="397">
        <f>SUMIF($D$8:$D$55,$O51,$K$8:$K$55)+SUMIF($F$8:$F$55,$O51,$L$8:$L$55)</f>
        <v>4</v>
      </c>
      <c r="T51" s="444" t="s">
        <v>82</v>
      </c>
      <c r="U51" s="40"/>
      <c r="V51" s="40" t="str">
        <f>O51</f>
        <v>België</v>
      </c>
      <c r="W51" s="40" t="s">
        <v>82</v>
      </c>
      <c r="Y51" s="109">
        <f t="shared" si="8"/>
        <v>0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0</v>
      </c>
      <c r="AG51" s="108">
        <f t="shared" si="0"/>
        <v>0</v>
      </c>
      <c r="AH51" s="108">
        <f t="shared" si="1"/>
        <v>0</v>
      </c>
      <c r="AI51" s="108">
        <f t="shared" si="10"/>
        <v>0</v>
      </c>
      <c r="AJ51" s="108">
        <f t="shared" si="2"/>
        <v>0</v>
      </c>
      <c r="AK51" s="108">
        <f t="shared" si="3"/>
        <v>0</v>
      </c>
      <c r="AL51" s="108">
        <f t="shared" si="4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1</v>
      </c>
      <c r="H52" s="373" t="s">
        <v>9</v>
      </c>
      <c r="I52" s="441">
        <v>2</v>
      </c>
      <c r="J52" s="369">
        <f t="shared" si="5"/>
        <v>2</v>
      </c>
      <c r="K52" s="363">
        <f t="shared" si="6"/>
        <v>0</v>
      </c>
      <c r="L52" s="363">
        <f t="shared" si="7"/>
        <v>3</v>
      </c>
      <c r="M52" s="352"/>
      <c r="N52" s="352"/>
      <c r="O52" s="398" t="s">
        <v>38</v>
      </c>
      <c r="P52" s="399">
        <f>SUMIF($D$8:$D$55,$O52,$G$8:$G$55)+SUMIF($F$8:$F$55,$O52,$I$8:$I$55)</f>
        <v>3</v>
      </c>
      <c r="Q52" s="399">
        <f>SUMIF($D$8:$D$55,$O52,$I$8:$I$55)+SUMIF($F$8:$F$55,$O52,$G$8:$G$55)</f>
        <v>6</v>
      </c>
      <c r="R52" s="399">
        <f>P52-Q52</f>
        <v>-3</v>
      </c>
      <c r="S52" s="400">
        <f>SUMIF($D$8:$D$55,$O52,$K$8:$K$55)+SUMIF($F$8:$F$55,$O52,$L$8:$L$55)</f>
        <v>1</v>
      </c>
      <c r="T52" s="445" t="s">
        <v>84</v>
      </c>
      <c r="U52" s="40"/>
      <c r="V52" s="40" t="str">
        <f>O52</f>
        <v>Algerije</v>
      </c>
      <c r="W52" s="40" t="s">
        <v>83</v>
      </c>
      <c r="Y52" s="109">
        <f t="shared" si="8"/>
        <v>5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5</v>
      </c>
      <c r="AG52" s="108">
        <f t="shared" si="0"/>
        <v>0</v>
      </c>
      <c r="AH52" s="108">
        <f t="shared" si="1"/>
        <v>0</v>
      </c>
      <c r="AI52" s="108">
        <f t="shared" si="10"/>
        <v>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1</v>
      </c>
      <c r="H53" s="373" t="s">
        <v>9</v>
      </c>
      <c r="I53" s="441">
        <v>1</v>
      </c>
      <c r="J53" s="375">
        <f t="shared" si="5"/>
        <v>3</v>
      </c>
      <c r="K53" s="363">
        <f t="shared" si="6"/>
        <v>1</v>
      </c>
      <c r="L53" s="363">
        <f t="shared" si="7"/>
        <v>1</v>
      </c>
      <c r="M53" s="352"/>
      <c r="N53" s="352"/>
      <c r="O53" s="398" t="s">
        <v>39</v>
      </c>
      <c r="P53" s="399">
        <f>SUMIF($D$8:$D$55,$O53,$G$8:$G$55)+SUMIF($F$8:$F$55,$O53,$I$8:$I$55)</f>
        <v>4</v>
      </c>
      <c r="Q53" s="399">
        <f>SUMIF($D$8:$D$55,$O53,$I$8:$I$55)+SUMIF($F$8:$F$55,$O53,$G$8:$G$55)</f>
        <v>2</v>
      </c>
      <c r="R53" s="399">
        <f>P53-Q53</f>
        <v>2</v>
      </c>
      <c r="S53" s="400">
        <f>SUMIF($D$8:$D$55,$O53,$K$8:$K$55)+SUMIF($F$8:$F$55,$O53,$L$8:$L$55)</f>
        <v>5</v>
      </c>
      <c r="T53" s="445" t="s">
        <v>83</v>
      </c>
      <c r="U53" s="40"/>
      <c r="V53" s="40" t="str">
        <f>O53</f>
        <v>Rusland</v>
      </c>
      <c r="W53" s="40" t="s">
        <v>84</v>
      </c>
      <c r="Y53" s="109">
        <f t="shared" si="8"/>
        <v>1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1</v>
      </c>
      <c r="AG53" s="108">
        <f t="shared" si="0"/>
        <v>0</v>
      </c>
      <c r="AH53" s="108">
        <f t="shared" si="1"/>
        <v>1</v>
      </c>
      <c r="AI53" s="108">
        <f t="shared" si="10"/>
        <v>0</v>
      </c>
      <c r="AJ53" s="108">
        <f t="shared" si="2"/>
        <v>0</v>
      </c>
      <c r="AK53" s="108">
        <f t="shared" si="3"/>
        <v>0</v>
      </c>
      <c r="AL53" s="108">
        <f t="shared" si="4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2</v>
      </c>
      <c r="H54" s="373" t="s">
        <v>9</v>
      </c>
      <c r="I54" s="441">
        <v>1</v>
      </c>
      <c r="J54" s="375">
        <f t="shared" si="5"/>
        <v>1</v>
      </c>
      <c r="K54" s="363">
        <f t="shared" si="6"/>
        <v>3</v>
      </c>
      <c r="L54" s="363">
        <f t="shared" si="7"/>
        <v>0</v>
      </c>
      <c r="M54" s="352"/>
      <c r="N54" s="352"/>
      <c r="O54" s="401" t="s">
        <v>40</v>
      </c>
      <c r="P54" s="402">
        <f>SUMIF($D$8:$D$55,$O54,$G$8:$G$55)+SUMIF($F$8:$F$55,$O54,$I$8:$I$55)</f>
        <v>5</v>
      </c>
      <c r="Q54" s="402">
        <f>SUMIF($D$8:$D$55,$O54,$I$8:$I$55)+SUMIF($F$8:$F$55,$O54,$G$8:$G$55)</f>
        <v>4</v>
      </c>
      <c r="R54" s="402">
        <f>P54-Q54</f>
        <v>1</v>
      </c>
      <c r="S54" s="403">
        <f>SUMIF($D$8:$D$55,$O54,$K$8:$K$55)+SUMIF($F$8:$F$55,$O54,$L$8:$L$55)</f>
        <v>5</v>
      </c>
      <c r="T54" s="446" t="s">
        <v>85</v>
      </c>
      <c r="U54" s="40"/>
      <c r="V54" s="40" t="str">
        <f>O54</f>
        <v>Zuid Korea</v>
      </c>
      <c r="W54" s="40" t="s">
        <v>85</v>
      </c>
      <c r="Y54" s="109">
        <f t="shared" si="8"/>
        <v>1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1</v>
      </c>
      <c r="AG54" s="108">
        <f t="shared" si="0"/>
        <v>0</v>
      </c>
      <c r="AH54" s="108">
        <f t="shared" si="1"/>
        <v>1</v>
      </c>
      <c r="AI54" s="108">
        <f t="shared" si="10"/>
        <v>0</v>
      </c>
      <c r="AJ54" s="108">
        <f t="shared" si="2"/>
        <v>0</v>
      </c>
      <c r="AK54" s="108">
        <f t="shared" si="3"/>
        <v>0</v>
      </c>
      <c r="AL54" s="108">
        <f t="shared" si="4"/>
        <v>0</v>
      </c>
      <c r="AM54" s="120">
        <f>AO54</f>
        <v>10</v>
      </c>
      <c r="AN54" s="118" t="s">
        <v>40</v>
      </c>
      <c r="AO54" s="115">
        <f>IF(Uitslag!T54="",0,IF(T54=Uitslag!T54,10,0))</f>
        <v>10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0</v>
      </c>
      <c r="H55" s="388" t="s">
        <v>9</v>
      </c>
      <c r="I55" s="443">
        <v>2</v>
      </c>
      <c r="J55" s="390">
        <f t="shared" si="5"/>
        <v>2</v>
      </c>
      <c r="K55" s="363">
        <f t="shared" si="6"/>
        <v>0</v>
      </c>
      <c r="L55" s="363">
        <f t="shared" si="7"/>
        <v>3</v>
      </c>
      <c r="M55" s="352"/>
      <c r="N55" s="352"/>
      <c r="O55" s="392"/>
      <c r="P55" s="393"/>
      <c r="Q55" s="393"/>
      <c r="R55" s="393"/>
      <c r="S55" s="393"/>
      <c r="T55" s="393"/>
      <c r="U55" s="40"/>
      <c r="V55" s="40"/>
      <c r="W55" s="40"/>
      <c r="Y55" s="109">
        <f t="shared" si="8"/>
        <v>0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0</v>
      </c>
      <c r="AG55" s="108">
        <f t="shared" si="0"/>
        <v>0</v>
      </c>
      <c r="AH55" s="108">
        <f t="shared" si="1"/>
        <v>0</v>
      </c>
      <c r="AI55" s="108">
        <f t="shared" si="10"/>
        <v>0</v>
      </c>
      <c r="AJ55" s="108">
        <f t="shared" si="2"/>
        <v>0</v>
      </c>
      <c r="AK55" s="108">
        <f t="shared" si="3"/>
        <v>0</v>
      </c>
      <c r="AL55" s="108">
        <f t="shared" si="4"/>
        <v>0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N56" s="352"/>
      <c r="O56" s="352"/>
      <c r="P56" s="352"/>
      <c r="Q56" s="352"/>
      <c r="R56" s="352"/>
      <c r="S56" s="352"/>
      <c r="T56" s="352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27"/>
      <c r="K57" s="353"/>
      <c r="L57" s="353"/>
      <c r="M57" s="353"/>
      <c r="N57" s="352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32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N58" s="352"/>
      <c r="O58" s="458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>IF(ISERROR(Z59),K59,Z59)</f>
        <v>Brazilië</v>
      </c>
      <c r="E59" s="367" t="s">
        <v>9</v>
      </c>
      <c r="F59" s="406" t="str">
        <f>IF(ISERROR(AA59),L59,AA59)</f>
        <v>Nederland</v>
      </c>
      <c r="G59" s="435">
        <v>1</v>
      </c>
      <c r="H59" s="367" t="s">
        <v>9</v>
      </c>
      <c r="I59" s="447">
        <v>1</v>
      </c>
      <c r="J59" s="448">
        <v>2</v>
      </c>
      <c r="K59" s="407" t="s">
        <v>48</v>
      </c>
      <c r="L59" s="407" t="s">
        <v>53</v>
      </c>
      <c r="M59" s="407">
        <v>1</v>
      </c>
      <c r="N59" s="352"/>
      <c r="O59" s="458">
        <v>2</v>
      </c>
      <c r="P59" s="877" t="s">
        <v>212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3">AF59</f>
        <v>10</v>
      </c>
      <c r="Z59" t="str">
        <f t="shared" ref="Z59:AA65" si="14">IF(K59=""," ",VLOOKUP(K59,$T$9:$V$54,3,FALSE))</f>
        <v>Brazilië</v>
      </c>
      <c r="AA59" t="str">
        <f t="shared" si="14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10</v>
      </c>
      <c r="AG59" s="108">
        <f t="shared" ref="AG59:AG66" si="16">IF(AC59="",0,(IF(G59=AC59,1,0)))</f>
        <v>1</v>
      </c>
      <c r="AH59" s="108">
        <f t="shared" ref="AH59:AH66" si="17">IF(AD59="",0,(IF(I59=AD59,1,0)))</f>
        <v>1</v>
      </c>
      <c r="AI59" s="108">
        <f t="shared" ref="AI59:AI66" si="18">IF(AND(AG59=1,AH59=1),10,0)</f>
        <v>10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5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376">
        <v>50</v>
      </c>
      <c r="C60" s="466">
        <v>41818</v>
      </c>
      <c r="D60" s="460" t="str">
        <f t="shared" ref="D60:D66" si="23">IF(ISERROR(Z60),K60,Z60)</f>
        <v>Ivoorkust</v>
      </c>
      <c r="E60" s="379" t="s">
        <v>9</v>
      </c>
      <c r="F60" s="409" t="str">
        <f t="shared" ref="F60:F66" si="24">IF(ISERROR(AA60),L60,AA60)</f>
        <v>Italië</v>
      </c>
      <c r="G60" s="437">
        <v>0</v>
      </c>
      <c r="H60" s="379" t="s">
        <v>9</v>
      </c>
      <c r="I60" s="449">
        <v>1</v>
      </c>
      <c r="J60" s="450">
        <v>2</v>
      </c>
      <c r="K60" s="407" t="s">
        <v>57</v>
      </c>
      <c r="L60" s="407" t="s">
        <v>63</v>
      </c>
      <c r="M60" s="407">
        <v>2</v>
      </c>
      <c r="N60" s="352"/>
      <c r="O60" s="458">
        <v>3</v>
      </c>
      <c r="P60" s="877" t="s">
        <v>225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3"/>
        <v>0</v>
      </c>
      <c r="Z60" t="str">
        <f t="shared" si="14"/>
        <v>Ivoorkust</v>
      </c>
      <c r="AA60" t="str">
        <f t="shared" si="14"/>
        <v>Italië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0</v>
      </c>
      <c r="AG60" s="108">
        <f t="shared" si="16"/>
        <v>0</v>
      </c>
      <c r="AH60" s="108">
        <f t="shared" si="17"/>
        <v>0</v>
      </c>
      <c r="AI60" s="108">
        <f t="shared" si="18"/>
        <v>0</v>
      </c>
      <c r="AJ60" s="108">
        <f t="shared" si="19"/>
        <v>0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2"/>
        <v>3</v>
      </c>
    </row>
    <row r="61" spans="2:54">
      <c r="B61" s="364">
        <v>51</v>
      </c>
      <c r="C61" s="465">
        <v>41819</v>
      </c>
      <c r="D61" s="464" t="str">
        <f t="shared" si="23"/>
        <v>Spanje</v>
      </c>
      <c r="E61" s="367" t="s">
        <v>9</v>
      </c>
      <c r="F61" s="406" t="str">
        <f t="shared" si="24"/>
        <v>Kameroen</v>
      </c>
      <c r="G61" s="435">
        <v>2</v>
      </c>
      <c r="H61" s="367" t="s">
        <v>9</v>
      </c>
      <c r="I61" s="447">
        <v>0</v>
      </c>
      <c r="J61" s="448">
        <v>1</v>
      </c>
      <c r="K61" s="407" t="s">
        <v>52</v>
      </c>
      <c r="L61" s="407" t="s">
        <v>49</v>
      </c>
      <c r="M61" s="407"/>
      <c r="N61" s="352"/>
      <c r="O61" s="458">
        <v>4</v>
      </c>
      <c r="P61" s="877" t="s">
        <v>209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3"/>
        <v>6</v>
      </c>
      <c r="Z61" t="str">
        <f t="shared" si="14"/>
        <v>Spanje</v>
      </c>
      <c r="AA61" t="str">
        <f t="shared" si="14"/>
        <v>Kameroen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6</v>
      </c>
      <c r="AG61" s="108">
        <f t="shared" si="16"/>
        <v>1</v>
      </c>
      <c r="AH61" s="108">
        <f t="shared" si="17"/>
        <v>0</v>
      </c>
      <c r="AI61" s="108">
        <f t="shared" si="18"/>
        <v>0</v>
      </c>
      <c r="AJ61" s="108">
        <f t="shared" si="19"/>
        <v>5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3</v>
      </c>
      <c r="BB61" s="139">
        <f t="shared" si="22"/>
        <v>3</v>
      </c>
    </row>
    <row r="62" spans="2:54">
      <c r="B62" s="376">
        <v>52</v>
      </c>
      <c r="C62" s="466">
        <v>41819</v>
      </c>
      <c r="D62" s="464" t="str">
        <f t="shared" si="23"/>
        <v>Uruguay</v>
      </c>
      <c r="E62" s="379" t="s">
        <v>9</v>
      </c>
      <c r="F62" s="409" t="str">
        <f t="shared" si="24"/>
        <v>Griekenland</v>
      </c>
      <c r="G62" s="437">
        <v>2</v>
      </c>
      <c r="H62" s="379" t="s">
        <v>9</v>
      </c>
      <c r="I62" s="449">
        <v>1</v>
      </c>
      <c r="J62" s="450">
        <v>1</v>
      </c>
      <c r="K62" s="407" t="s">
        <v>62</v>
      </c>
      <c r="L62" s="407" t="s">
        <v>58</v>
      </c>
      <c r="M62" s="407"/>
      <c r="N62" s="352"/>
      <c r="O62" s="458">
        <v>5</v>
      </c>
      <c r="P62" s="877" t="s">
        <v>220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3"/>
        <v>1</v>
      </c>
      <c r="Z62" t="str">
        <f t="shared" si="14"/>
        <v>Uruguay</v>
      </c>
      <c r="AA62" t="str">
        <f t="shared" si="14"/>
        <v>Griekenland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1</v>
      </c>
      <c r="AG62" s="108">
        <f t="shared" si="16"/>
        <v>0</v>
      </c>
      <c r="AH62" s="108">
        <f t="shared" si="17"/>
        <v>1</v>
      </c>
      <c r="AI62" s="108">
        <f t="shared" si="18"/>
        <v>0</v>
      </c>
      <c r="AJ62" s="108">
        <f t="shared" si="19"/>
        <v>0</v>
      </c>
      <c r="AK62" s="108">
        <f t="shared" si="20"/>
        <v>0</v>
      </c>
      <c r="AL62" s="108">
        <f t="shared" si="21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2"/>
        <v>3</v>
      </c>
    </row>
    <row r="63" spans="2:54">
      <c r="B63" s="364">
        <v>53</v>
      </c>
      <c r="C63" s="465">
        <v>41820</v>
      </c>
      <c r="D63" s="459" t="str">
        <f t="shared" si="23"/>
        <v>Frankrijk</v>
      </c>
      <c r="E63" s="367" t="s">
        <v>9</v>
      </c>
      <c r="F63" s="406" t="str">
        <f t="shared" si="24"/>
        <v>Nigeria</v>
      </c>
      <c r="G63" s="435">
        <v>1</v>
      </c>
      <c r="H63" s="367" t="s">
        <v>9</v>
      </c>
      <c r="I63" s="447">
        <v>0</v>
      </c>
      <c r="J63" s="448">
        <v>1</v>
      </c>
      <c r="K63" s="407" t="s">
        <v>67</v>
      </c>
      <c r="L63" s="407" t="s">
        <v>73</v>
      </c>
      <c r="M63" s="407"/>
      <c r="N63" s="352"/>
      <c r="O63" s="458">
        <v>6</v>
      </c>
      <c r="P63" s="877" t="s">
        <v>214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3"/>
        <v>6</v>
      </c>
      <c r="Z63" t="str">
        <f t="shared" si="14"/>
        <v>Frankrijk</v>
      </c>
      <c r="AA63" t="str">
        <f t="shared" si="14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6</v>
      </c>
      <c r="AG63" s="108">
        <f t="shared" si="16"/>
        <v>0</v>
      </c>
      <c r="AH63" s="108">
        <f t="shared" si="17"/>
        <v>1</v>
      </c>
      <c r="AI63" s="108">
        <f t="shared" si="18"/>
        <v>0</v>
      </c>
      <c r="AJ63" s="108">
        <f t="shared" si="19"/>
        <v>5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3</v>
      </c>
      <c r="BB63" s="139">
        <f t="shared" si="22"/>
        <v>3</v>
      </c>
    </row>
    <row r="64" spans="2:54">
      <c r="B64" s="376">
        <v>54</v>
      </c>
      <c r="C64" s="466">
        <v>41820</v>
      </c>
      <c r="D64" s="460" t="str">
        <f t="shared" si="23"/>
        <v>Portugal</v>
      </c>
      <c r="E64" s="379" t="s">
        <v>9</v>
      </c>
      <c r="F64" s="409" t="str">
        <f t="shared" si="24"/>
        <v>Rusland</v>
      </c>
      <c r="G64" s="437">
        <v>2</v>
      </c>
      <c r="H64" s="379" t="s">
        <v>9</v>
      </c>
      <c r="I64" s="449">
        <v>1</v>
      </c>
      <c r="J64" s="450">
        <v>1</v>
      </c>
      <c r="K64" s="407" t="s">
        <v>77</v>
      </c>
      <c r="L64" s="407" t="s">
        <v>83</v>
      </c>
      <c r="M64" s="407"/>
      <c r="N64" s="352"/>
      <c r="O64" s="458">
        <v>7</v>
      </c>
      <c r="P64" s="877" t="s">
        <v>213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3"/>
        <v>0</v>
      </c>
      <c r="Z64" t="str">
        <f t="shared" si="14"/>
        <v>Portugal</v>
      </c>
      <c r="AA64" t="str">
        <f t="shared" si="14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0</v>
      </c>
      <c r="AG64" s="108">
        <f t="shared" si="16"/>
        <v>0</v>
      </c>
      <c r="AH64" s="108">
        <f t="shared" si="17"/>
        <v>0</v>
      </c>
      <c r="AI64" s="108">
        <f t="shared" si="18"/>
        <v>0</v>
      </c>
      <c r="AJ64" s="108">
        <f t="shared" si="19"/>
        <v>0</v>
      </c>
      <c r="AK64" s="108">
        <f t="shared" si="20"/>
        <v>0</v>
      </c>
      <c r="AL64" s="108">
        <f t="shared" si="21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2"/>
        <v>3</v>
      </c>
    </row>
    <row r="65" spans="2:54">
      <c r="B65" s="370">
        <v>55</v>
      </c>
      <c r="C65" s="467">
        <v>41821</v>
      </c>
      <c r="D65" s="459" t="str">
        <f t="shared" si="23"/>
        <v>Argentinië</v>
      </c>
      <c r="E65" s="373" t="s">
        <v>9</v>
      </c>
      <c r="F65" s="410" t="str">
        <f t="shared" si="24"/>
        <v>Ecuador</v>
      </c>
      <c r="G65" s="436">
        <v>3</v>
      </c>
      <c r="H65" s="373" t="s">
        <v>9</v>
      </c>
      <c r="I65" s="451">
        <v>1</v>
      </c>
      <c r="J65" s="452">
        <v>1</v>
      </c>
      <c r="K65" s="407" t="s">
        <v>72</v>
      </c>
      <c r="L65" s="407" t="s">
        <v>68</v>
      </c>
      <c r="M65" s="407"/>
      <c r="N65" s="352"/>
      <c r="O65" s="458">
        <v>8</v>
      </c>
      <c r="P65" s="877" t="s">
        <v>221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3"/>
        <v>0</v>
      </c>
      <c r="Z65" t="str">
        <f t="shared" si="14"/>
        <v>Argentinië</v>
      </c>
      <c r="AA65" t="str">
        <f t="shared" si="14"/>
        <v>Ecuador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0</v>
      </c>
      <c r="AG65" s="108">
        <f t="shared" si="16"/>
        <v>0</v>
      </c>
      <c r="AH65" s="108">
        <f t="shared" si="17"/>
        <v>0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0</v>
      </c>
      <c r="AZ65" s="138" t="str">
        <f>Uitslag!P65</f>
        <v>Nigel de Jong (m)</v>
      </c>
      <c r="BA65" s="140">
        <f t="shared" si="12"/>
        <v>0</v>
      </c>
      <c r="BB65" s="139">
        <f t="shared" si="22"/>
        <v>0</v>
      </c>
    </row>
    <row r="66" spans="2:54" ht="15.75" thickBot="1">
      <c r="B66" s="385">
        <v>56</v>
      </c>
      <c r="C66" s="462">
        <v>41821</v>
      </c>
      <c r="D66" s="461" t="str">
        <f t="shared" si="23"/>
        <v>België</v>
      </c>
      <c r="E66" s="388" t="s">
        <v>9</v>
      </c>
      <c r="F66" s="412" t="str">
        <f t="shared" si="24"/>
        <v>Duitsland</v>
      </c>
      <c r="G66" s="438">
        <v>1</v>
      </c>
      <c r="H66" s="388" t="s">
        <v>9</v>
      </c>
      <c r="I66" s="453">
        <v>1</v>
      </c>
      <c r="J66" s="454">
        <v>2</v>
      </c>
      <c r="K66" s="407" t="s">
        <v>82</v>
      </c>
      <c r="L66" s="407" t="s">
        <v>78</v>
      </c>
      <c r="M66" s="407"/>
      <c r="N66" s="352"/>
      <c r="O66" s="458">
        <v>9</v>
      </c>
      <c r="P66" s="877" t="s">
        <v>230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3"/>
        <v>5</v>
      </c>
      <c r="Z66" t="str">
        <f>IF(K66=""," ",VLOOKUP(K66,$T$9:$V$54,3,FALSE))</f>
        <v>België</v>
      </c>
      <c r="AA66" t="str">
        <f>IF(L66=""," ",VLOOKUP(L66,$T$9:$V$54,3,FALSE))</f>
        <v>Duitsland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5</v>
      </c>
      <c r="AG66" s="108">
        <f t="shared" si="16"/>
        <v>0</v>
      </c>
      <c r="AH66" s="108">
        <f t="shared" si="17"/>
        <v>0</v>
      </c>
      <c r="AI66" s="108">
        <f t="shared" si="18"/>
        <v>0</v>
      </c>
      <c r="AJ66" s="108">
        <f t="shared" si="19"/>
        <v>0</v>
      </c>
      <c r="AK66" s="108">
        <f t="shared" si="20"/>
        <v>0</v>
      </c>
      <c r="AL66" s="108">
        <f t="shared" si="21"/>
        <v>5</v>
      </c>
      <c r="AZ66" s="138" t="str">
        <f>Uitslag!P66</f>
        <v>Jonathan de Guzman (m)</v>
      </c>
      <c r="BA66" s="140">
        <f t="shared" si="12"/>
        <v>0</v>
      </c>
      <c r="BB66" s="139">
        <f t="shared" si="22"/>
        <v>0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N67" s="352"/>
      <c r="O67" s="458">
        <v>10</v>
      </c>
      <c r="P67" s="877" t="s">
        <v>216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2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27"/>
      <c r="K68" s="353"/>
      <c r="L68" s="353"/>
      <c r="M68" s="353"/>
      <c r="N68" s="352"/>
      <c r="O68" s="458">
        <v>11</v>
      </c>
      <c r="P68" s="877" t="s">
        <v>215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2"/>
        <v>3</v>
      </c>
    </row>
    <row r="69" spans="2:54">
      <c r="B69" s="428" t="s">
        <v>1</v>
      </c>
      <c r="C69" s="429" t="s">
        <v>2</v>
      </c>
      <c r="D69" s="430" t="s">
        <v>3</v>
      </c>
      <c r="E69" s="431"/>
      <c r="F69" s="432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N69" s="352"/>
      <c r="O69" s="352"/>
      <c r="P69" s="352"/>
      <c r="Q69" s="352"/>
      <c r="R69" s="352"/>
      <c r="S69" s="352"/>
      <c r="T69" s="352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27</v>
      </c>
      <c r="BB69" s="139" t="str">
        <f>IF(AND(BA69&lt;&gt;"",BA69=33),15,"nvt")</f>
        <v>nvt</v>
      </c>
    </row>
    <row r="70" spans="2:54">
      <c r="B70" s="364">
        <v>57</v>
      </c>
      <c r="C70" s="365">
        <v>41824</v>
      </c>
      <c r="D70" s="405" t="str">
        <f>IF(J63="","Winnaar 53",IF(J63=1,D63,F63))</f>
        <v>Frankrijk</v>
      </c>
      <c r="E70" s="367" t="s">
        <v>9</v>
      </c>
      <c r="F70" s="406" t="str">
        <f>IF(J64="","Winnaar 54",IF(J64=1,D64,F64))</f>
        <v>Portugal</v>
      </c>
      <c r="G70" s="435">
        <v>2</v>
      </c>
      <c r="H70" s="367" t="s">
        <v>9</v>
      </c>
      <c r="I70" s="447">
        <v>2</v>
      </c>
      <c r="J70" s="448">
        <v>1</v>
      </c>
      <c r="K70" s="353"/>
      <c r="L70" s="353"/>
      <c r="M70" s="353"/>
      <c r="N70" s="352"/>
      <c r="O70" s="352"/>
      <c r="P70" s="352"/>
      <c r="Q70" s="352"/>
      <c r="R70" s="352"/>
      <c r="S70" s="352"/>
      <c r="T70" s="352"/>
      <c r="V70" t="s">
        <v>133</v>
      </c>
      <c r="W70" t="s">
        <v>126</v>
      </c>
      <c r="X70" t="str">
        <f t="shared" si="11"/>
        <v>Karim Rekik (v)</v>
      </c>
      <c r="Y70" s="109">
        <f>AF70</f>
        <v>0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0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0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Nederland</v>
      </c>
      <c r="E71" s="379" t="s">
        <v>9</v>
      </c>
      <c r="F71" s="409" t="str">
        <f>IF(J60="","Winnaar 50",IF(J60=1,D60,F60))</f>
        <v>Italië</v>
      </c>
      <c r="G71" s="437">
        <v>2</v>
      </c>
      <c r="H71" s="379" t="s">
        <v>9</v>
      </c>
      <c r="I71" s="449">
        <v>0</v>
      </c>
      <c r="J71" s="450">
        <v>1</v>
      </c>
      <c r="K71" s="353"/>
      <c r="L71" s="353"/>
      <c r="M71" s="353"/>
      <c r="N71" s="352"/>
      <c r="O71" s="352"/>
      <c r="P71" s="352"/>
      <c r="Q71" s="352"/>
      <c r="R71" s="352"/>
      <c r="S71" s="352"/>
      <c r="T71" s="352"/>
      <c r="V71" t="s">
        <v>133</v>
      </c>
      <c r="W71" t="s">
        <v>194</v>
      </c>
      <c r="X71" t="str">
        <f t="shared" si="11"/>
        <v>Ron Vlaar (v)</v>
      </c>
      <c r="Y71" s="109">
        <f>AF71</f>
        <v>6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6</v>
      </c>
      <c r="AG71" s="108">
        <f>IF(AC71="",0,(IF(G71=AC71,1,0)))</f>
        <v>1</v>
      </c>
      <c r="AH71" s="108">
        <f>IF(AD71="",0,(IF(I71=AD71,1,0)))</f>
        <v>0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Argentinië</v>
      </c>
      <c r="E72" s="367" t="s">
        <v>9</v>
      </c>
      <c r="F72" s="406" t="str">
        <f>IF(J66="","Winnaar 56",IF(J66=1,D66,F66))</f>
        <v>Duitsland</v>
      </c>
      <c r="G72" s="435">
        <v>2</v>
      </c>
      <c r="H72" s="367" t="s">
        <v>9</v>
      </c>
      <c r="I72" s="447">
        <v>2</v>
      </c>
      <c r="J72" s="448">
        <v>1</v>
      </c>
      <c r="K72" s="353"/>
      <c r="L72" s="353"/>
      <c r="M72" s="353"/>
      <c r="N72" s="352"/>
      <c r="O72" s="352"/>
      <c r="P72" s="352"/>
      <c r="Q72" s="352"/>
      <c r="R72" s="352"/>
      <c r="S72" s="352"/>
      <c r="T72" s="352"/>
      <c r="V72" t="s">
        <v>133</v>
      </c>
      <c r="W72" t="s">
        <v>195</v>
      </c>
      <c r="X72" t="str">
        <f t="shared" si="11"/>
        <v>John Heitinga (v)</v>
      </c>
      <c r="Y72" s="109">
        <f>AF72</f>
        <v>0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0</v>
      </c>
      <c r="AG72" s="108">
        <f>IF(AC72="",0,(IF(G72=AC72,1,0)))</f>
        <v>0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0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Spanje</v>
      </c>
      <c r="E73" s="388" t="s">
        <v>9</v>
      </c>
      <c r="F73" s="412" t="str">
        <f>IF(J62="","Winnaar 52",IF(J62=1,D62,F62))</f>
        <v>Uruguay</v>
      </c>
      <c r="G73" s="438">
        <v>2</v>
      </c>
      <c r="H73" s="388" t="s">
        <v>9</v>
      </c>
      <c r="I73" s="453">
        <v>1</v>
      </c>
      <c r="J73" s="454">
        <v>1</v>
      </c>
      <c r="K73" s="353"/>
      <c r="L73" s="353"/>
      <c r="M73" s="353"/>
      <c r="N73" s="352"/>
      <c r="O73" s="352"/>
      <c r="P73" s="352"/>
      <c r="Q73" s="352"/>
      <c r="R73" s="352"/>
      <c r="S73" s="352"/>
      <c r="T73" s="352"/>
      <c r="V73" t="s">
        <v>133</v>
      </c>
      <c r="W73" t="s">
        <v>196</v>
      </c>
      <c r="X73" t="str">
        <f t="shared" si="11"/>
        <v>Urby Emanuelson (v)</v>
      </c>
      <c r="Y73" s="109">
        <f>AF73</f>
        <v>0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0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N74" s="352"/>
      <c r="O74" s="352"/>
      <c r="P74" s="352"/>
      <c r="Q74" s="352"/>
      <c r="R74" s="352"/>
      <c r="S74" s="352"/>
      <c r="T74" s="352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27"/>
      <c r="K75" s="353"/>
      <c r="L75" s="353"/>
      <c r="M75" s="353"/>
      <c r="N75" s="352"/>
      <c r="O75" s="352"/>
      <c r="P75" s="352"/>
      <c r="Q75" s="352"/>
      <c r="R75" s="352"/>
      <c r="S75" s="352"/>
      <c r="T75" s="352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30" t="s">
        <v>3</v>
      </c>
      <c r="E76" s="431"/>
      <c r="F76" s="432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N76" s="352"/>
      <c r="O76" s="352"/>
      <c r="P76" s="352"/>
      <c r="Q76" s="352"/>
      <c r="R76" s="352"/>
      <c r="S76" s="352"/>
      <c r="T76" s="352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Frankrijk</v>
      </c>
      <c r="E77" s="367" t="s">
        <v>9</v>
      </c>
      <c r="F77" s="406" t="str">
        <f>IF(J71="","Winnaar 58",IF(J71=1,D71,F71))</f>
        <v>Nederland</v>
      </c>
      <c r="G77" s="435">
        <v>1</v>
      </c>
      <c r="H77" s="367" t="s">
        <v>9</v>
      </c>
      <c r="I77" s="447">
        <v>1</v>
      </c>
      <c r="J77" s="448">
        <v>1</v>
      </c>
      <c r="K77" s="353"/>
      <c r="L77" s="353"/>
      <c r="M77" s="353"/>
      <c r="N77" s="352"/>
      <c r="O77" s="352"/>
      <c r="P77" s="352"/>
      <c r="Q77" s="352"/>
      <c r="R77" s="352"/>
      <c r="S77" s="352"/>
      <c r="T77" s="352"/>
      <c r="V77" t="s">
        <v>134</v>
      </c>
      <c r="W77" t="s">
        <v>203</v>
      </c>
      <c r="X77" t="str">
        <f t="shared" si="11"/>
        <v>Marco van Ginkel (m)</v>
      </c>
      <c r="Y77" s="109">
        <f>AF77</f>
        <v>1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1</v>
      </c>
      <c r="AG77" s="108">
        <f>IF(AC77="",0,(IF(G77=AC77,1,0)))</f>
        <v>0</v>
      </c>
      <c r="AH77" s="108">
        <f>IF(AD77="",0,(IF(I77=AD77,1,0)))</f>
        <v>1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Argentinië</v>
      </c>
      <c r="E78" s="388" t="s">
        <v>9</v>
      </c>
      <c r="F78" s="412" t="str">
        <f>IF(J73="","Winnaar 60",IF(J73=1,D73,F73))</f>
        <v>Spanje</v>
      </c>
      <c r="G78" s="438">
        <v>1</v>
      </c>
      <c r="H78" s="388" t="s">
        <v>9</v>
      </c>
      <c r="I78" s="453">
        <v>1</v>
      </c>
      <c r="J78" s="454">
        <v>2</v>
      </c>
      <c r="K78" s="353"/>
      <c r="L78" s="353"/>
      <c r="M78" s="353"/>
      <c r="N78" s="352"/>
      <c r="O78" s="352"/>
      <c r="P78" s="352"/>
      <c r="Q78" s="352"/>
      <c r="R78" s="352"/>
      <c r="S78" s="352"/>
      <c r="T78" s="352"/>
      <c r="V78" t="s">
        <v>134</v>
      </c>
      <c r="W78" t="s">
        <v>199</v>
      </c>
      <c r="X78" t="str">
        <f t="shared" si="11"/>
        <v>Leroy Fer (m)</v>
      </c>
      <c r="Y78" s="109">
        <f>AF78</f>
        <v>5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5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5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N79" s="352"/>
      <c r="O79" s="352"/>
      <c r="P79" s="352"/>
      <c r="Q79" s="352"/>
      <c r="R79" s="352"/>
      <c r="S79" s="352"/>
      <c r="T79" s="352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27"/>
      <c r="K80" s="353"/>
      <c r="L80" s="353"/>
      <c r="M80" s="353"/>
      <c r="N80" s="352"/>
      <c r="O80" s="352"/>
      <c r="P80" s="352"/>
      <c r="Q80" s="352"/>
      <c r="R80" s="352"/>
      <c r="S80" s="352"/>
      <c r="T80" s="352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30" t="s">
        <v>3</v>
      </c>
      <c r="E81" s="431"/>
      <c r="F81" s="432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N81" s="352"/>
      <c r="O81" s="352"/>
      <c r="P81" s="352"/>
      <c r="Q81" s="352"/>
      <c r="R81" s="352"/>
      <c r="S81" s="352"/>
      <c r="T81" s="352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Nederland</v>
      </c>
      <c r="E82" s="355" t="s">
        <v>9</v>
      </c>
      <c r="F82" s="415" t="str">
        <f>IF(J78="","Verliezer 62",IF(J78=1,F78,D78))</f>
        <v>Argentinië</v>
      </c>
      <c r="G82" s="455">
        <v>1</v>
      </c>
      <c r="H82" s="355" t="s">
        <v>9</v>
      </c>
      <c r="I82" s="456">
        <v>3</v>
      </c>
      <c r="J82" s="457">
        <v>2</v>
      </c>
      <c r="K82" s="353"/>
      <c r="L82" s="353"/>
      <c r="M82" s="353"/>
      <c r="N82" s="352"/>
      <c r="O82" s="352"/>
      <c r="P82" s="352"/>
      <c r="Q82" s="352"/>
      <c r="R82" s="352"/>
      <c r="S82" s="352"/>
      <c r="T82" s="352"/>
      <c r="V82" t="s">
        <v>134</v>
      </c>
      <c r="W82" t="s">
        <v>125</v>
      </c>
      <c r="X82" t="str">
        <f t="shared" si="11"/>
        <v>Georginio Wijnaldum (m)</v>
      </c>
      <c r="Y82" s="109">
        <f>AF82</f>
        <v>6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6</v>
      </c>
      <c r="AG82" s="108">
        <f>IF(AC82="",0,(IF(G82=AC82,1,0)))</f>
        <v>0</v>
      </c>
      <c r="AH82" s="108">
        <f>IF(AD82="",0,(IF(I82=AD82,1,0)))</f>
        <v>1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5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N83" s="352"/>
      <c r="O83" s="352"/>
      <c r="P83" s="352"/>
      <c r="Q83" s="352"/>
      <c r="R83" s="352"/>
      <c r="S83" s="352"/>
      <c r="T83" s="352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27"/>
      <c r="K84" s="353"/>
      <c r="L84" s="353"/>
      <c r="M84" s="353"/>
      <c r="N84" s="352"/>
      <c r="O84" s="352"/>
      <c r="P84" s="352"/>
      <c r="Q84" s="352"/>
      <c r="R84" s="352"/>
      <c r="S84" s="352"/>
      <c r="T84" s="352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30" t="s">
        <v>3</v>
      </c>
      <c r="E85" s="431"/>
      <c r="F85" s="432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N85" s="352"/>
      <c r="O85" s="352"/>
      <c r="P85" s="352"/>
      <c r="Q85" s="352"/>
      <c r="R85" s="352"/>
      <c r="S85" s="352"/>
      <c r="T85" s="352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Frankrijk</v>
      </c>
      <c r="E86" s="355" t="s">
        <v>9</v>
      </c>
      <c r="F86" s="415" t="str">
        <f>IF(J78="","Winnaar 62",IF(J78=1,D78,F78))</f>
        <v>Spanje</v>
      </c>
      <c r="G86" s="455">
        <v>2</v>
      </c>
      <c r="H86" s="355" t="s">
        <v>9</v>
      </c>
      <c r="I86" s="456">
        <v>2</v>
      </c>
      <c r="J86" s="457">
        <v>2</v>
      </c>
      <c r="K86" s="353"/>
      <c r="L86" s="353"/>
      <c r="M86" s="353"/>
      <c r="N86" s="352"/>
      <c r="O86" s="352"/>
      <c r="P86" s="352"/>
      <c r="Q86" s="352"/>
      <c r="R86" s="352"/>
      <c r="S86" s="352"/>
      <c r="T86" s="352"/>
      <c r="V86" t="s">
        <v>134</v>
      </c>
      <c r="W86" t="s">
        <v>139</v>
      </c>
      <c r="X86" t="str">
        <f t="shared" si="11"/>
        <v>Nigel de Jong (m)</v>
      </c>
      <c r="Y86" s="109">
        <f>AF86</f>
        <v>5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5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5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Spanje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0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0</v>
      </c>
      <c r="AV89">
        <f>IF(AR89=0,0,IF(E89=AR89,50,0))</f>
        <v>0</v>
      </c>
      <c r="AW89">
        <f>IF(E89=0,0,IF(OR(E89=AR90),15,0))</f>
        <v>0</v>
      </c>
      <c r="AX89">
        <f>IF(E89=0,0,IF(OR(E89=AR91,E89=AR92),5,0))</f>
        <v>0</v>
      </c>
    </row>
    <row r="90" spans="2:50">
      <c r="C90" s="870">
        <v>2</v>
      </c>
      <c r="D90" s="871"/>
      <c r="E90" s="872" t="str">
        <f>IF(J86=2,D86,IF(J86=1,F86,"Wie wordt 2de?"))</f>
        <v>Frankrijk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0</v>
      </c>
      <c r="AV90">
        <f>IF(AR90=0,0,IF(AR90=E90,25,0))</f>
        <v>0</v>
      </c>
      <c r="AW90">
        <f>IF(E90=0,0,IF(OR(E90=AR89,),15,0))</f>
        <v>0</v>
      </c>
      <c r="AX90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Argentinië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5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5</v>
      </c>
      <c r="AV91">
        <f>IF(AR91=0,0,IF(AR91=E91,15,0))</f>
        <v>0</v>
      </c>
      <c r="AW91">
        <f>IF(E91=0,0,IF(OR(E91=AR92),10,0))</f>
        <v>0</v>
      </c>
      <c r="AX91">
        <f>IF(E91=0,0,IF(OR(E91=AR89,E91=AR90),5,0))</f>
        <v>5</v>
      </c>
    </row>
    <row r="92" spans="2:50">
      <c r="C92" s="870">
        <v>4</v>
      </c>
      <c r="D92" s="871"/>
      <c r="E92" s="872" t="str">
        <f>IF(J82=2,D82,IF(J82=1,F82,"Wie wordt 4de?"))</f>
        <v>Nederland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10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10</v>
      </c>
      <c r="AV92">
        <f>IF(AR92=0,0,IF(AR92=E92,15,0))</f>
        <v>0</v>
      </c>
      <c r="AW92">
        <f>IF(E92=0,0,IF(OR(E92=AR91,),10,0))</f>
        <v>10</v>
      </c>
      <c r="AX92">
        <f>IF(E92=0,0,IF(OR(E92=AR89,E92=AR90),5,0))</f>
        <v>0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15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conditionalFormatting sqref="AO9:AO12 AO15:AO18 AO21:AO24 AO27:AO30 AO33:AO36 AO39:AO42 AO45:AO48 AO51:AO54">
    <cfRule type="cellIs" dxfId="107" priority="3" operator="equal">
      <formula>10</formula>
    </cfRule>
  </conditionalFormatting>
  <conditionalFormatting sqref="P58:T58">
    <cfRule type="duplicateValues" dxfId="106" priority="2"/>
  </conditionalFormatting>
  <conditionalFormatting sqref="P58:T68">
    <cfRule type="duplicateValues" dxfId="105" priority="1"/>
  </conditionalFormatting>
  <dataValidations count="10">
    <dataValidation type="list" allowBlank="1" showInputMessage="1" showErrorMessage="1" sqref="P58:P68">
      <formula1>$X$58:$X$98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51:T54">
      <formula1>$W$51:$W$54</formula1>
    </dataValidation>
  </dataValidation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B1:BB98"/>
  <sheetViews>
    <sheetView topLeftCell="A58" zoomScale="70" zoomScaleNormal="70" workbookViewId="0">
      <selection activeCell="P58" sqref="P58:T68"/>
    </sheetView>
  </sheetViews>
  <sheetFormatPr defaultRowHeight="15" outlineLevelCol="2"/>
  <cols>
    <col min="1" max="1" width="3.42578125" style="352" customWidth="1"/>
    <col min="2" max="2" width="3.5703125" style="352" bestFit="1" customWidth="1"/>
    <col min="3" max="3" width="11.5703125" style="123" bestFit="1" customWidth="1"/>
    <col min="4" max="4" width="19.7109375" style="352" bestFit="1" customWidth="1"/>
    <col min="5" max="5" width="3.42578125" style="352" customWidth="1"/>
    <col min="6" max="6" width="19.7109375" style="352" bestFit="1" customWidth="1"/>
    <col min="7" max="7" width="6.7109375" style="352" customWidth="1"/>
    <col min="8" max="8" width="1.5703125" style="352" bestFit="1" customWidth="1"/>
    <col min="9" max="9" width="6.7109375" style="352" customWidth="1"/>
    <col min="10" max="10" width="6.85546875" style="352" bestFit="1" customWidth="1"/>
    <col min="11" max="13" width="9.140625" style="352" hidden="1" customWidth="1" outlineLevel="1"/>
    <col min="14" max="14" width="11.42578125" style="352" bestFit="1" customWidth="1" collapsed="1"/>
    <col min="15" max="15" width="14.7109375" style="352" bestFit="1" customWidth="1"/>
    <col min="16" max="16" width="12.28515625" style="352" bestFit="1" customWidth="1"/>
    <col min="17" max="17" width="8.140625" style="352" bestFit="1" customWidth="1"/>
    <col min="18" max="18" width="7.7109375" style="352" bestFit="1" customWidth="1"/>
    <col min="19" max="19" width="9.140625" style="352"/>
    <col min="20" max="20" width="8.5703125" style="352" bestFit="1" customWidth="1"/>
    <col min="21" max="21" width="9.140625" style="352"/>
    <col min="22" max="23" width="9.140625" style="352" hidden="1" customWidth="1" outlineLevel="1"/>
    <col min="24" max="24" width="2" style="352" hidden="1" customWidth="1" outlineLevel="1"/>
    <col min="25" max="25" width="12.28515625" style="352" bestFit="1" customWidth="1" collapsed="1"/>
    <col min="26" max="27" width="12.28515625" style="352" hidden="1" customWidth="1" outlineLevel="1"/>
    <col min="28" max="28" width="4.7109375" style="352" hidden="1" customWidth="1" outlineLevel="1"/>
    <col min="29" max="38" width="9.140625" style="352" hidden="1" customWidth="1" outlineLevel="1"/>
    <col min="39" max="39" width="7.42578125" style="352" bestFit="1" customWidth="1" collapsed="1"/>
    <col min="40" max="40" width="19.7109375" style="352" hidden="1" customWidth="1" outlineLevel="1"/>
    <col min="41" max="41" width="9.140625" style="352" hidden="1" customWidth="1" outlineLevel="1"/>
    <col min="42" max="42" width="9.140625" style="352" collapsed="1"/>
    <col min="43" max="49" width="9.140625" style="352" hidden="1" customWidth="1" outlineLevel="2"/>
    <col min="50" max="50" width="11.5703125" style="352" hidden="1" customWidth="1" outlineLevel="2"/>
    <col min="51" max="51" width="11.85546875" style="352" hidden="1" customWidth="1" outlineLevel="1" collapsed="1"/>
    <col min="52" max="52" width="9.42578125" style="352" hidden="1" customWidth="1" outlineLevel="1"/>
    <col min="53" max="53" width="10.5703125" style="352" hidden="1" customWidth="1" outlineLevel="1"/>
    <col min="54" max="54" width="9.140625" style="352" collapsed="1"/>
    <col min="55" max="55" width="11.85546875" style="352" bestFit="1" customWidth="1"/>
    <col min="56" max="16384" width="9.140625" style="352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286</v>
      </c>
      <c r="E3" s="335"/>
      <c r="F3" s="335"/>
      <c r="N3" s="352" t="str">
        <f>D3</f>
        <v>Koldo V.</v>
      </c>
      <c r="O3" s="144">
        <f>SUM(P3:S3)</f>
        <v>448</v>
      </c>
      <c r="P3" s="109">
        <f>SUM(Y8:Y86)</f>
        <v>233</v>
      </c>
      <c r="Q3" s="109">
        <f>SUM(AM4:AM55)</f>
        <v>180</v>
      </c>
      <c r="R3" s="109">
        <f>SUM(AP89:AP92)</f>
        <v>5</v>
      </c>
      <c r="S3" s="109">
        <f>SUM(BB58:BB69)</f>
        <v>30</v>
      </c>
      <c r="T3" s="109">
        <f>COUNTIF(AF8:AF86,10)</f>
        <v>11</v>
      </c>
      <c r="U3" s="109" t="str">
        <f>E89</f>
        <v>Brazilië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O6" s="392"/>
      <c r="P6" s="393"/>
      <c r="Q6" s="393"/>
      <c r="R6" s="393"/>
      <c r="S6" s="393"/>
      <c r="T6" s="393"/>
      <c r="U6" s="392"/>
      <c r="V6" s="392"/>
      <c r="W6" s="392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18" t="s">
        <v>3</v>
      </c>
      <c r="E7" s="419"/>
      <c r="F7" s="420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O7" s="353"/>
      <c r="P7" s="393"/>
      <c r="Q7" s="393"/>
      <c r="R7" s="393"/>
      <c r="S7" s="393"/>
      <c r="T7" s="393"/>
      <c r="U7" s="353"/>
      <c r="V7" s="353"/>
      <c r="W7" s="353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458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2</v>
      </c>
      <c r="H8" s="360" t="s">
        <v>9</v>
      </c>
      <c r="I8" s="439">
        <v>0</v>
      </c>
      <c r="J8" s="362">
        <f>IF(I8="","",IF(G8&gt;I8,1,IF(G8&lt;I8,2,3)))</f>
        <v>1</v>
      </c>
      <c r="K8" s="363">
        <f>IF(I8="","",IF($G8&gt;$I8,3,IF($G8=$I8,1,0)))</f>
        <v>3</v>
      </c>
      <c r="L8" s="363">
        <f>IF(I8="","",IF($G8&lt;$I8,3,IF($G8=$I8,1,0)))</f>
        <v>0</v>
      </c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392"/>
      <c r="V8" s="392"/>
      <c r="W8" s="392"/>
      <c r="Y8" s="109">
        <f>AF8</f>
        <v>5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5</v>
      </c>
      <c r="AG8" s="108">
        <f t="shared" ref="AG8:AG55" si="0">IF(AC8="",0,(IF(G8=AC8,1,0)))</f>
        <v>0</v>
      </c>
      <c r="AH8" s="108">
        <f t="shared" ref="AH8:AH55" si="1">IF(AD8="",0,(IF(I8=AD8,1,0)))</f>
        <v>0</v>
      </c>
      <c r="AI8" s="108">
        <f>IF(AND(AG8=1,AH8=1),10,0)</f>
        <v>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2</v>
      </c>
      <c r="H9" s="367" t="s">
        <v>9</v>
      </c>
      <c r="I9" s="440">
        <v>0</v>
      </c>
      <c r="J9" s="369">
        <f t="shared" ref="J9:J55" si="5">IF(I9="","",IF(G9&gt;I9,1,IF(G9&lt;I9,2,3)))</f>
        <v>1</v>
      </c>
      <c r="K9" s="363">
        <f t="shared" ref="K9:K55" si="6">IF(I9="","",IF($G9&gt;$I9,3,IF($G9=$I9,1,0)))</f>
        <v>3</v>
      </c>
      <c r="L9" s="363">
        <f t="shared" ref="L9:L55" si="7">IF(I9="","",IF($G9&lt;$I9,3,IF($G9=$I9,1,0)))</f>
        <v>0</v>
      </c>
      <c r="O9" s="394" t="s">
        <v>8</v>
      </c>
      <c r="P9" s="395">
        <f>SUMIF($D$8:$D$55,$O9,$G$8:$G$55)+SUMIF($F$8:$F$55,$O9,$I$8:$I$55)</f>
        <v>9</v>
      </c>
      <c r="Q9" s="395">
        <f>SUMIF($D$8:$D$55,$O9,$I$8:$I$55)+SUMIF($F$8:$F$55,$O9,$G$8:$G$55)</f>
        <v>2</v>
      </c>
      <c r="R9" s="396">
        <f>P9-Q9</f>
        <v>7</v>
      </c>
      <c r="S9" s="397">
        <f>SUMIF($D$8:$D$55,$O9,$K$8:$K$55)+SUMIF($F$8:$F$55,$O9,$L$8:$L$55)</f>
        <v>9</v>
      </c>
      <c r="T9" s="444" t="s">
        <v>48</v>
      </c>
      <c r="U9" s="392"/>
      <c r="V9" s="392" t="str">
        <f>O9</f>
        <v>Brazilië</v>
      </c>
      <c r="W9" s="392" t="s">
        <v>48</v>
      </c>
      <c r="Y9" s="109">
        <f t="shared" ref="Y9:Y55" si="8">AF9</f>
        <v>6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6</v>
      </c>
      <c r="AG9" s="108">
        <f t="shared" si="0"/>
        <v>0</v>
      </c>
      <c r="AH9" s="108">
        <f t="shared" si="1"/>
        <v>1</v>
      </c>
      <c r="AI9" s="108">
        <f t="shared" ref="AI9:AI55" si="10">IF(AND(AG9=1,AH9=1),10,0)</f>
        <v>0</v>
      </c>
      <c r="AJ9" s="108">
        <f t="shared" si="2"/>
        <v>5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3</v>
      </c>
      <c r="H10" s="373" t="s">
        <v>9</v>
      </c>
      <c r="I10" s="441">
        <v>1</v>
      </c>
      <c r="J10" s="375">
        <f t="shared" si="5"/>
        <v>1</v>
      </c>
      <c r="K10" s="363">
        <f t="shared" si="6"/>
        <v>3</v>
      </c>
      <c r="L10" s="363">
        <f t="shared" si="7"/>
        <v>0</v>
      </c>
      <c r="O10" s="398" t="s">
        <v>10</v>
      </c>
      <c r="P10" s="399">
        <f>SUMIF($D$8:$D$55,$O10,$G$8:$G$55)+SUMIF($F$8:$F$55,$O10,$I$8:$I$55)</f>
        <v>1</v>
      </c>
      <c r="Q10" s="399">
        <f>SUMIF($D$8:$D$55,$O10,$I$8:$I$55)+SUMIF($F$8:$F$55,$O10,$G$8:$G$55)</f>
        <v>4</v>
      </c>
      <c r="R10" s="399">
        <f>P10-Q10</f>
        <v>-3</v>
      </c>
      <c r="S10" s="400">
        <f>SUMIF($D$8:$D$55,$O10,$K$8:$K$55)+SUMIF($F$8:$F$55,$O10,$L$8:$L$55)</f>
        <v>1</v>
      </c>
      <c r="T10" s="445" t="s">
        <v>47</v>
      </c>
      <c r="U10" s="392"/>
      <c r="V10" s="392" t="str">
        <f>O10</f>
        <v>Kroatië</v>
      </c>
      <c r="W10" s="392" t="s">
        <v>49</v>
      </c>
      <c r="Y10" s="109">
        <f t="shared" si="8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0</v>
      </c>
      <c r="AG10" s="108">
        <f t="shared" si="0"/>
        <v>0</v>
      </c>
      <c r="AH10" s="108">
        <f t="shared" si="1"/>
        <v>0</v>
      </c>
      <c r="AI10" s="108">
        <f t="shared" si="10"/>
        <v>0</v>
      </c>
      <c r="AJ10" s="108">
        <f t="shared" si="2"/>
        <v>0</v>
      </c>
      <c r="AK10" s="108">
        <f t="shared" si="3"/>
        <v>0</v>
      </c>
      <c r="AL10" s="108">
        <f t="shared" si="4"/>
        <v>0</v>
      </c>
      <c r="AM10" s="120">
        <f>AO10</f>
        <v>10</v>
      </c>
      <c r="AN10" s="117" t="s">
        <v>10</v>
      </c>
      <c r="AO10" s="115">
        <f>IF(Uitslag!T10="",0,IF(T10=Uitslag!T10,10,0))</f>
        <v>10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2</v>
      </c>
      <c r="H11" s="379" t="s">
        <v>9</v>
      </c>
      <c r="I11" s="442">
        <v>1</v>
      </c>
      <c r="J11" s="381">
        <f t="shared" si="5"/>
        <v>1</v>
      </c>
      <c r="K11" s="363">
        <f t="shared" si="6"/>
        <v>3</v>
      </c>
      <c r="L11" s="363">
        <f t="shared" si="7"/>
        <v>0</v>
      </c>
      <c r="O11" s="398" t="s">
        <v>11</v>
      </c>
      <c r="P11" s="399">
        <f>SUMIF($D$8:$D$55,$O11,$G$8:$G$55)+SUMIF($F$8:$F$55,$O11,$I$8:$I$55)</f>
        <v>4</v>
      </c>
      <c r="Q11" s="399">
        <f>SUMIF($D$8:$D$55,$O11,$I$8:$I$55)+SUMIF($F$8:$F$55,$O11,$G$8:$G$55)</f>
        <v>3</v>
      </c>
      <c r="R11" s="399">
        <f>P11-Q11</f>
        <v>1</v>
      </c>
      <c r="S11" s="400">
        <f>SUMIF($D$8:$D$55,$O11,$K$8:$K$55)+SUMIF($F$8:$F$55,$O11,$L$8:$L$55)</f>
        <v>6</v>
      </c>
      <c r="T11" s="445" t="s">
        <v>49</v>
      </c>
      <c r="U11" s="392"/>
      <c r="V11" s="392" t="str">
        <f>O11</f>
        <v>Mexico</v>
      </c>
      <c r="W11" s="392" t="s">
        <v>47</v>
      </c>
      <c r="Y11" s="109">
        <f t="shared" si="8"/>
        <v>6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6</v>
      </c>
      <c r="AG11" s="108">
        <f t="shared" si="0"/>
        <v>0</v>
      </c>
      <c r="AH11" s="108">
        <f t="shared" si="1"/>
        <v>1</v>
      </c>
      <c r="AI11" s="108">
        <f t="shared" si="10"/>
        <v>0</v>
      </c>
      <c r="AJ11" s="108">
        <f t="shared" si="2"/>
        <v>5</v>
      </c>
      <c r="AK11" s="108">
        <f t="shared" si="3"/>
        <v>0</v>
      </c>
      <c r="AL11" s="108">
        <f t="shared" si="4"/>
        <v>0</v>
      </c>
      <c r="AM11" s="120">
        <f>AO11</f>
        <v>10</v>
      </c>
      <c r="AN11" s="117" t="s">
        <v>11</v>
      </c>
      <c r="AO11" s="115">
        <f>IF(Uitslag!T11="",0,IF(T11=Uitslag!T11,10,0))</f>
        <v>10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1</v>
      </c>
      <c r="H12" s="367" t="s">
        <v>9</v>
      </c>
      <c r="I12" s="440">
        <v>0</v>
      </c>
      <c r="J12" s="369">
        <f t="shared" si="5"/>
        <v>1</v>
      </c>
      <c r="K12" s="363">
        <f t="shared" si="6"/>
        <v>3</v>
      </c>
      <c r="L12" s="363">
        <f t="shared" si="7"/>
        <v>0</v>
      </c>
      <c r="O12" s="401" t="s">
        <v>12</v>
      </c>
      <c r="P12" s="402">
        <f>SUMIF($D$8:$D$55,$O12,$G$8:$G$55)+SUMIF($F$8:$F$55,$O12,$I$8:$I$55)</f>
        <v>2</v>
      </c>
      <c r="Q12" s="402">
        <f>SUMIF($D$8:$D$55,$O12,$I$8:$I$55)+SUMIF($F$8:$F$55,$O12,$G$8:$G$55)</f>
        <v>7</v>
      </c>
      <c r="R12" s="402">
        <f>P12-Q12</f>
        <v>-5</v>
      </c>
      <c r="S12" s="403">
        <f>SUMIF($D$8:$D$55,$O12,$K$8:$K$55)+SUMIF($F$8:$F$55,$O12,$L$8:$L$55)</f>
        <v>1</v>
      </c>
      <c r="T12" s="446" t="s">
        <v>50</v>
      </c>
      <c r="U12" s="392"/>
      <c r="V12" s="392" t="str">
        <f>O12</f>
        <v>Kameroen</v>
      </c>
      <c r="W12" s="392" t="s">
        <v>50</v>
      </c>
      <c r="Y12" s="109">
        <f t="shared" si="8"/>
        <v>6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6</v>
      </c>
      <c r="AG12" s="108">
        <f t="shared" si="0"/>
        <v>0</v>
      </c>
      <c r="AH12" s="108">
        <f t="shared" si="1"/>
        <v>1</v>
      </c>
      <c r="AI12" s="108">
        <f t="shared" si="10"/>
        <v>0</v>
      </c>
      <c r="AJ12" s="108">
        <f t="shared" si="2"/>
        <v>5</v>
      </c>
      <c r="AK12" s="108">
        <f t="shared" si="3"/>
        <v>0</v>
      </c>
      <c r="AL12" s="108">
        <f t="shared" si="4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4</v>
      </c>
      <c r="H13" s="373" t="s">
        <v>9</v>
      </c>
      <c r="I13" s="441">
        <v>1</v>
      </c>
      <c r="J13" s="375">
        <f t="shared" si="5"/>
        <v>1</v>
      </c>
      <c r="K13" s="363">
        <f t="shared" si="6"/>
        <v>3</v>
      </c>
      <c r="L13" s="363">
        <f t="shared" si="7"/>
        <v>0</v>
      </c>
      <c r="O13" s="392"/>
      <c r="P13" s="393"/>
      <c r="Q13" s="393"/>
      <c r="R13" s="393"/>
      <c r="S13" s="393"/>
      <c r="T13" s="393"/>
      <c r="U13" s="392"/>
      <c r="V13" s="392"/>
      <c r="W13" s="392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0"/>
        <v>0</v>
      </c>
      <c r="AH13" s="108">
        <f t="shared" si="1"/>
        <v>0</v>
      </c>
      <c r="AI13" s="108">
        <f t="shared" si="10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392"/>
      <c r="AO13" s="393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1</v>
      </c>
      <c r="H14" s="373" t="s">
        <v>9</v>
      </c>
      <c r="I14" s="441">
        <v>1</v>
      </c>
      <c r="J14" s="375">
        <f t="shared" si="5"/>
        <v>3</v>
      </c>
      <c r="K14" s="363">
        <f t="shared" si="6"/>
        <v>1</v>
      </c>
      <c r="L14" s="363">
        <f t="shared" si="7"/>
        <v>1</v>
      </c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392"/>
      <c r="V14" s="392"/>
      <c r="W14" s="392"/>
      <c r="Y14" s="109">
        <f t="shared" si="8"/>
        <v>1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</v>
      </c>
      <c r="AG14" s="108">
        <f t="shared" si="0"/>
        <v>1</v>
      </c>
      <c r="AH14" s="108">
        <f t="shared" si="1"/>
        <v>0</v>
      </c>
      <c r="AI14" s="108">
        <f t="shared" si="10"/>
        <v>0</v>
      </c>
      <c r="AJ14" s="108">
        <f t="shared" si="2"/>
        <v>0</v>
      </c>
      <c r="AK14" s="108">
        <f t="shared" si="3"/>
        <v>0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1</v>
      </c>
      <c r="H15" s="379" t="s">
        <v>9</v>
      </c>
      <c r="I15" s="442">
        <v>2</v>
      </c>
      <c r="J15" s="381">
        <f t="shared" si="5"/>
        <v>2</v>
      </c>
      <c r="K15" s="363">
        <f t="shared" si="6"/>
        <v>0</v>
      </c>
      <c r="L15" s="363">
        <f t="shared" si="7"/>
        <v>3</v>
      </c>
      <c r="O15" s="394" t="s">
        <v>13</v>
      </c>
      <c r="P15" s="395">
        <f>SUMIF($D$8:$D$55,$O15,$G$8:$G$55)+SUMIF($F$8:$F$55,$O15,$I$8:$I$55)</f>
        <v>8</v>
      </c>
      <c r="Q15" s="395">
        <f>SUMIF($D$8:$D$55,$O15,$I$8:$I$55)+SUMIF($F$8:$F$55,$O15,$G$8:$G$55)</f>
        <v>3</v>
      </c>
      <c r="R15" s="396">
        <f>P15-Q15</f>
        <v>5</v>
      </c>
      <c r="S15" s="397">
        <f>SUMIF($D$8:$D$55,$O15,$K$8:$K$55)+SUMIF($F$8:$F$55,$O15,$L$8:$L$55)</f>
        <v>7</v>
      </c>
      <c r="T15" s="444" t="s">
        <v>52</v>
      </c>
      <c r="U15" s="392"/>
      <c r="V15" s="392" t="str">
        <f>O15</f>
        <v>Spanje</v>
      </c>
      <c r="W15" s="392" t="s">
        <v>52</v>
      </c>
      <c r="Y15" s="109">
        <f t="shared" si="8"/>
        <v>0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0</v>
      </c>
      <c r="AG15" s="108">
        <f t="shared" si="0"/>
        <v>0</v>
      </c>
      <c r="AH15" s="108">
        <f t="shared" si="1"/>
        <v>0</v>
      </c>
      <c r="AI15" s="108">
        <f t="shared" si="10"/>
        <v>0</v>
      </c>
      <c r="AJ15" s="108">
        <f t="shared" si="2"/>
        <v>0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2</v>
      </c>
      <c r="H16" s="367" t="s">
        <v>9</v>
      </c>
      <c r="I16" s="440">
        <v>1</v>
      </c>
      <c r="J16" s="369">
        <f t="shared" si="5"/>
        <v>1</v>
      </c>
      <c r="K16" s="363">
        <f t="shared" si="6"/>
        <v>3</v>
      </c>
      <c r="L16" s="363">
        <f t="shared" si="7"/>
        <v>0</v>
      </c>
      <c r="O16" s="404" t="s">
        <v>14</v>
      </c>
      <c r="P16" s="399">
        <f>SUMIF($D$8:$D$55,$O16,$G$8:$G$55)+SUMIF($F$8:$F$55,$O16,$I$8:$I$55)</f>
        <v>4</v>
      </c>
      <c r="Q16" s="399">
        <f>SUMIF($D$8:$D$55,$O16,$I$8:$I$55)+SUMIF($F$8:$F$55,$O16,$G$8:$G$55)</f>
        <v>5</v>
      </c>
      <c r="R16" s="399">
        <f>P16-Q16</f>
        <v>-1</v>
      </c>
      <c r="S16" s="400">
        <f>SUMIF($D$8:$D$55,$O16,$K$8:$K$55)+SUMIF($F$8:$F$55,$O16,$L$8:$L$55)</f>
        <v>4</v>
      </c>
      <c r="T16" s="445" t="s">
        <v>54</v>
      </c>
      <c r="U16" s="392"/>
      <c r="V16" s="392" t="str">
        <f>O16</f>
        <v>Nederland</v>
      </c>
      <c r="W16" s="392" t="s">
        <v>53</v>
      </c>
      <c r="Y16" s="109">
        <f t="shared" si="8"/>
        <v>10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10</v>
      </c>
      <c r="AG16" s="108">
        <f t="shared" si="0"/>
        <v>1</v>
      </c>
      <c r="AH16" s="108">
        <f t="shared" si="1"/>
        <v>1</v>
      </c>
      <c r="AI16" s="108">
        <f t="shared" si="10"/>
        <v>10</v>
      </c>
      <c r="AJ16" s="108">
        <f t="shared" si="2"/>
        <v>5</v>
      </c>
      <c r="AK16" s="108">
        <f t="shared" si="3"/>
        <v>0</v>
      </c>
      <c r="AL16" s="108">
        <f t="shared" si="4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3</v>
      </c>
      <c r="H17" s="373" t="s">
        <v>9</v>
      </c>
      <c r="I17" s="441">
        <v>0</v>
      </c>
      <c r="J17" s="375">
        <f t="shared" si="5"/>
        <v>1</v>
      </c>
      <c r="K17" s="363">
        <f t="shared" si="6"/>
        <v>3</v>
      </c>
      <c r="L17" s="363">
        <f t="shared" si="7"/>
        <v>0</v>
      </c>
      <c r="O17" s="398" t="s">
        <v>15</v>
      </c>
      <c r="P17" s="399">
        <f>SUMIF($D$8:$D$55,$O17,$G$8:$G$55)+SUMIF($F$8:$F$55,$O17,$I$8:$I$55)</f>
        <v>5</v>
      </c>
      <c r="Q17" s="399">
        <f>SUMIF($D$8:$D$55,$O17,$I$8:$I$55)+SUMIF($F$8:$F$55,$O17,$G$8:$G$55)</f>
        <v>4</v>
      </c>
      <c r="R17" s="399">
        <f>P17-Q17</f>
        <v>1</v>
      </c>
      <c r="S17" s="400">
        <f>SUMIF($D$8:$D$55,$O17,$K$8:$K$55)+SUMIF($F$8:$F$55,$O17,$L$8:$L$55)</f>
        <v>5</v>
      </c>
      <c r="T17" s="445" t="s">
        <v>53</v>
      </c>
      <c r="U17" s="392"/>
      <c r="V17" s="392" t="str">
        <f>O17</f>
        <v>Chili</v>
      </c>
      <c r="W17" s="392" t="s">
        <v>54</v>
      </c>
      <c r="Y17" s="109">
        <f t="shared" si="8"/>
        <v>10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10</v>
      </c>
      <c r="AG17" s="108">
        <f t="shared" si="0"/>
        <v>1</v>
      </c>
      <c r="AH17" s="108">
        <f t="shared" si="1"/>
        <v>1</v>
      </c>
      <c r="AI17" s="108">
        <f t="shared" si="10"/>
        <v>10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10</v>
      </c>
      <c r="AN17" s="117" t="s">
        <v>15</v>
      </c>
      <c r="AO17" s="115">
        <f>IF(Uitslag!T17="",0,IF(T17=Uitslag!T17,10,0))</f>
        <v>10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3</v>
      </c>
      <c r="H18" s="379" t="s">
        <v>9</v>
      </c>
      <c r="I18" s="442">
        <v>0</v>
      </c>
      <c r="J18" s="381">
        <f t="shared" si="5"/>
        <v>1</v>
      </c>
      <c r="K18" s="363">
        <f t="shared" si="6"/>
        <v>3</v>
      </c>
      <c r="L18" s="363">
        <f t="shared" si="7"/>
        <v>0</v>
      </c>
      <c r="O18" s="401" t="s">
        <v>16</v>
      </c>
      <c r="P18" s="402">
        <f>SUMIF($D$8:$D$55,$O18,$G$8:$G$55)+SUMIF($F$8:$F$55,$O18,$I$8:$I$55)</f>
        <v>2</v>
      </c>
      <c r="Q18" s="402">
        <f>SUMIF($D$8:$D$55,$O18,$I$8:$I$55)+SUMIF($F$8:$F$55,$O18,$G$8:$G$55)</f>
        <v>7</v>
      </c>
      <c r="R18" s="402">
        <f>P18-Q18</f>
        <v>-5</v>
      </c>
      <c r="S18" s="403">
        <f>SUMIF($D$8:$D$55,$O18,$K$8:$K$55)+SUMIF($F$8:$F$55,$O18,$L$8:$L$55)</f>
        <v>0</v>
      </c>
      <c r="T18" s="446" t="s">
        <v>55</v>
      </c>
      <c r="U18" s="392"/>
      <c r="V18" s="392" t="str">
        <f>O18</f>
        <v>Australië</v>
      </c>
      <c r="W18" s="392" t="s">
        <v>55</v>
      </c>
      <c r="Y18" s="109">
        <f t="shared" si="8"/>
        <v>5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5</v>
      </c>
      <c r="AG18" s="108">
        <f t="shared" si="0"/>
        <v>0</v>
      </c>
      <c r="AH18" s="108">
        <f t="shared" si="1"/>
        <v>0</v>
      </c>
      <c r="AI18" s="108">
        <f t="shared" si="10"/>
        <v>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2</v>
      </c>
      <c r="H19" s="367" t="s">
        <v>9</v>
      </c>
      <c r="I19" s="440">
        <v>1</v>
      </c>
      <c r="J19" s="369">
        <f t="shared" si="5"/>
        <v>1</v>
      </c>
      <c r="K19" s="363">
        <f t="shared" si="6"/>
        <v>3</v>
      </c>
      <c r="L19" s="363">
        <f t="shared" si="7"/>
        <v>0</v>
      </c>
      <c r="O19" s="392"/>
      <c r="P19" s="393"/>
      <c r="Q19" s="393"/>
      <c r="R19" s="393"/>
      <c r="S19" s="393"/>
      <c r="T19" s="393"/>
      <c r="U19" s="392"/>
      <c r="V19" s="392"/>
      <c r="W19" s="392"/>
      <c r="Y19" s="109">
        <f t="shared" si="8"/>
        <v>5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5</v>
      </c>
      <c r="AG19" s="108">
        <f t="shared" si="0"/>
        <v>0</v>
      </c>
      <c r="AH19" s="108">
        <f t="shared" si="1"/>
        <v>0</v>
      </c>
      <c r="AI19" s="108">
        <f t="shared" si="10"/>
        <v>0</v>
      </c>
      <c r="AJ19" s="108">
        <f t="shared" si="2"/>
        <v>5</v>
      </c>
      <c r="AK19" s="108">
        <f t="shared" si="3"/>
        <v>0</v>
      </c>
      <c r="AL19" s="108">
        <f t="shared" si="4"/>
        <v>0</v>
      </c>
      <c r="AN19" s="392"/>
      <c r="AO19" s="393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1</v>
      </c>
      <c r="H20" s="373" t="s">
        <v>9</v>
      </c>
      <c r="I20" s="441">
        <v>2</v>
      </c>
      <c r="J20" s="375">
        <f t="shared" si="5"/>
        <v>2</v>
      </c>
      <c r="K20" s="363">
        <f t="shared" si="6"/>
        <v>0</v>
      </c>
      <c r="L20" s="363">
        <f t="shared" si="7"/>
        <v>3</v>
      </c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392"/>
      <c r="V20" s="392"/>
      <c r="W20" s="392"/>
      <c r="Y20" s="109">
        <f t="shared" si="8"/>
        <v>0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0</v>
      </c>
      <c r="AG20" s="108">
        <f t="shared" si="0"/>
        <v>0</v>
      </c>
      <c r="AH20" s="108">
        <f t="shared" si="1"/>
        <v>0</v>
      </c>
      <c r="AI20" s="108">
        <f t="shared" si="10"/>
        <v>0</v>
      </c>
      <c r="AJ20" s="108">
        <f t="shared" si="2"/>
        <v>0</v>
      </c>
      <c r="AK20" s="108">
        <f t="shared" si="3"/>
        <v>0</v>
      </c>
      <c r="AL20" s="108">
        <f t="shared" si="4"/>
        <v>0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0</v>
      </c>
      <c r="H21" s="379" t="s">
        <v>9</v>
      </c>
      <c r="I21" s="442">
        <v>0</v>
      </c>
      <c r="J21" s="381">
        <f t="shared" si="5"/>
        <v>3</v>
      </c>
      <c r="K21" s="363">
        <f t="shared" si="6"/>
        <v>1</v>
      </c>
      <c r="L21" s="363">
        <f t="shared" si="7"/>
        <v>1</v>
      </c>
      <c r="O21" s="394" t="s">
        <v>17</v>
      </c>
      <c r="P21" s="395">
        <f>SUMIF($D$8:$D$55,$O21,$G$8:$G$55)+SUMIF($F$8:$F$55,$O21,$I$8:$I$55)</f>
        <v>5</v>
      </c>
      <c r="Q21" s="395">
        <f>SUMIF($D$8:$D$55,$O21,$I$8:$I$55)+SUMIF($F$8:$F$55,$O21,$G$8:$G$55)</f>
        <v>3</v>
      </c>
      <c r="R21" s="396">
        <f>P21-Q21</f>
        <v>2</v>
      </c>
      <c r="S21" s="397">
        <f>SUMIF($D$8:$D$55,$O21,$K$8:$K$55)+SUMIF($F$8:$F$55,$O21,$L$8:$L$55)</f>
        <v>7</v>
      </c>
      <c r="T21" s="444" t="s">
        <v>57</v>
      </c>
      <c r="U21" s="392"/>
      <c r="V21" s="392" t="str">
        <f>O21</f>
        <v>Colombia</v>
      </c>
      <c r="W21" s="392" t="s">
        <v>57</v>
      </c>
      <c r="Y21" s="109">
        <f t="shared" si="8"/>
        <v>0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0</v>
      </c>
      <c r="AG21" s="108">
        <f t="shared" si="0"/>
        <v>0</v>
      </c>
      <c r="AH21" s="108">
        <f t="shared" si="1"/>
        <v>0</v>
      </c>
      <c r="AI21" s="108">
        <f t="shared" si="10"/>
        <v>0</v>
      </c>
      <c r="AJ21" s="108">
        <f t="shared" si="2"/>
        <v>0</v>
      </c>
      <c r="AK21" s="108">
        <f t="shared" si="3"/>
        <v>0</v>
      </c>
      <c r="AL21" s="108">
        <f t="shared" si="4"/>
        <v>0</v>
      </c>
      <c r="AM21" s="120">
        <f>AO21</f>
        <v>10</v>
      </c>
      <c r="AN21" s="116" t="s">
        <v>17</v>
      </c>
      <c r="AO21" s="115">
        <f>IF(Uitslag!T21="",0,IF(T21=Uitslag!T21,10,0))</f>
        <v>10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2</v>
      </c>
      <c r="H22" s="367" t="s">
        <v>9</v>
      </c>
      <c r="I22" s="440">
        <v>0</v>
      </c>
      <c r="J22" s="369">
        <f t="shared" si="5"/>
        <v>1</v>
      </c>
      <c r="K22" s="363">
        <f t="shared" si="6"/>
        <v>3</v>
      </c>
      <c r="L22" s="363">
        <f t="shared" si="7"/>
        <v>0</v>
      </c>
      <c r="O22" s="398" t="s">
        <v>18</v>
      </c>
      <c r="P22" s="399">
        <f>SUMIF($D$8:$D$55,$O22,$G$8:$G$55)+SUMIF($F$8:$F$55,$O22,$I$8:$I$55)</f>
        <v>0</v>
      </c>
      <c r="Q22" s="399">
        <f>SUMIF($D$8:$D$55,$O22,$I$8:$I$55)+SUMIF($F$8:$F$55,$O22,$G$8:$G$55)</f>
        <v>3</v>
      </c>
      <c r="R22" s="399">
        <f>P22-Q22</f>
        <v>-3</v>
      </c>
      <c r="S22" s="400">
        <f>SUMIF($D$8:$D$55,$O22,$K$8:$K$55)+SUMIF($F$8:$F$55,$O22,$L$8:$L$55)</f>
        <v>1</v>
      </c>
      <c r="T22" s="445" t="s">
        <v>60</v>
      </c>
      <c r="U22" s="392"/>
      <c r="V22" s="392" t="str">
        <f>O22</f>
        <v>Griekenland</v>
      </c>
      <c r="W22" s="392" t="s">
        <v>58</v>
      </c>
      <c r="Y22" s="109">
        <f t="shared" si="8"/>
        <v>6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6</v>
      </c>
      <c r="AG22" s="108">
        <f t="shared" si="0"/>
        <v>1</v>
      </c>
      <c r="AH22" s="108">
        <f t="shared" si="1"/>
        <v>0</v>
      </c>
      <c r="AI22" s="108">
        <f t="shared" si="10"/>
        <v>0</v>
      </c>
      <c r="AJ22" s="108">
        <f t="shared" si="2"/>
        <v>5</v>
      </c>
      <c r="AK22" s="108">
        <f t="shared" si="3"/>
        <v>0</v>
      </c>
      <c r="AL22" s="108">
        <f t="shared" si="4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3</v>
      </c>
      <c r="H23" s="373" t="s">
        <v>9</v>
      </c>
      <c r="I23" s="441">
        <v>1</v>
      </c>
      <c r="J23" s="375">
        <f t="shared" si="5"/>
        <v>1</v>
      </c>
      <c r="K23" s="363">
        <f t="shared" si="6"/>
        <v>3</v>
      </c>
      <c r="L23" s="363">
        <f t="shared" si="7"/>
        <v>0</v>
      </c>
      <c r="O23" s="398" t="s">
        <v>23</v>
      </c>
      <c r="P23" s="399">
        <f>SUMIF($D$8:$D$55,$O23,$G$8:$G$55)+SUMIF($F$8:$F$55,$O23,$I$8:$I$55)</f>
        <v>2</v>
      </c>
      <c r="Q23" s="399">
        <f>SUMIF($D$8:$D$55,$O23,$I$8:$I$55)+SUMIF($F$8:$F$55,$O23,$G$8:$G$55)</f>
        <v>4</v>
      </c>
      <c r="R23" s="399">
        <f>P23-Q23</f>
        <v>-2</v>
      </c>
      <c r="S23" s="400">
        <f>SUMIF($D$8:$D$55,$O23,$K$8:$K$55)+SUMIF($F$8:$F$55,$O23,$L$8:$L$55)</f>
        <v>1</v>
      </c>
      <c r="T23" s="445" t="s">
        <v>57</v>
      </c>
      <c r="U23" s="392"/>
      <c r="V23" s="392" t="str">
        <f>O23</f>
        <v>Ivoorkust</v>
      </c>
      <c r="W23" s="392" t="s">
        <v>59</v>
      </c>
      <c r="Y23" s="109">
        <f t="shared" si="8"/>
        <v>0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0</v>
      </c>
      <c r="AG23" s="108">
        <f t="shared" si="0"/>
        <v>0</v>
      </c>
      <c r="AH23" s="108">
        <f t="shared" si="1"/>
        <v>0</v>
      </c>
      <c r="AI23" s="108">
        <f t="shared" si="10"/>
        <v>0</v>
      </c>
      <c r="AJ23" s="108">
        <f t="shared" si="2"/>
        <v>0</v>
      </c>
      <c r="AK23" s="108">
        <f t="shared" si="3"/>
        <v>0</v>
      </c>
      <c r="AL23" s="108">
        <f t="shared" si="4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1</v>
      </c>
      <c r="H24" s="379" t="s">
        <v>9</v>
      </c>
      <c r="I24" s="442">
        <v>1</v>
      </c>
      <c r="J24" s="381">
        <f t="shared" si="5"/>
        <v>3</v>
      </c>
      <c r="K24" s="363">
        <f t="shared" si="6"/>
        <v>1</v>
      </c>
      <c r="L24" s="363">
        <f t="shared" si="7"/>
        <v>1</v>
      </c>
      <c r="O24" s="401" t="s">
        <v>24</v>
      </c>
      <c r="P24" s="402">
        <f>SUMIF($D$8:$D$55,$O24,$G$8:$G$55)+SUMIF($F$8:$F$55,$O24,$I$8:$I$55)</f>
        <v>6</v>
      </c>
      <c r="Q24" s="402">
        <f>SUMIF($D$8:$D$55,$O24,$I$8:$I$55)+SUMIF($F$8:$F$55,$O24,$G$8:$G$55)</f>
        <v>3</v>
      </c>
      <c r="R24" s="402">
        <f>P24-Q24</f>
        <v>3</v>
      </c>
      <c r="S24" s="403">
        <f>SUMIF($D$8:$D$55,$O24,$K$8:$K$55)+SUMIF($F$8:$F$55,$O24,$L$8:$L$55)</f>
        <v>7</v>
      </c>
      <c r="T24" s="446" t="s">
        <v>58</v>
      </c>
      <c r="U24" s="392"/>
      <c r="V24" s="392" t="str">
        <f>O24</f>
        <v>Japan</v>
      </c>
      <c r="W24" s="392" t="s">
        <v>60</v>
      </c>
      <c r="Y24" s="109">
        <f t="shared" si="8"/>
        <v>10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10</v>
      </c>
      <c r="AG24" s="108">
        <f t="shared" si="0"/>
        <v>1</v>
      </c>
      <c r="AH24" s="108">
        <f t="shared" si="1"/>
        <v>1</v>
      </c>
      <c r="AI24" s="108">
        <f t="shared" si="10"/>
        <v>10</v>
      </c>
      <c r="AJ24" s="108">
        <f t="shared" si="2"/>
        <v>0</v>
      </c>
      <c r="AK24" s="108">
        <f t="shared" si="3"/>
        <v>0</v>
      </c>
      <c r="AL24" s="108">
        <f t="shared" si="4"/>
        <v>5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1</v>
      </c>
      <c r="H25" s="367" t="s">
        <v>9</v>
      </c>
      <c r="I25" s="440">
        <v>2</v>
      </c>
      <c r="J25" s="369">
        <f t="shared" si="5"/>
        <v>2</v>
      </c>
      <c r="K25" s="363">
        <f t="shared" si="6"/>
        <v>0</v>
      </c>
      <c r="L25" s="363">
        <f t="shared" si="7"/>
        <v>3</v>
      </c>
      <c r="O25" s="392"/>
      <c r="P25" s="393"/>
      <c r="Q25" s="393"/>
      <c r="R25" s="393"/>
      <c r="S25" s="393"/>
      <c r="T25" s="393"/>
      <c r="U25" s="392"/>
      <c r="V25" s="392"/>
      <c r="W25" s="392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0"/>
        <v>0</v>
      </c>
      <c r="AH25" s="108">
        <f t="shared" si="1"/>
        <v>0</v>
      </c>
      <c r="AI25" s="108">
        <f t="shared" si="10"/>
        <v>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392"/>
      <c r="AO25" s="393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2</v>
      </c>
      <c r="H26" s="373" t="s">
        <v>9</v>
      </c>
      <c r="I26" s="441">
        <v>2</v>
      </c>
      <c r="J26" s="375">
        <f t="shared" si="5"/>
        <v>3</v>
      </c>
      <c r="K26" s="363">
        <f t="shared" si="6"/>
        <v>1</v>
      </c>
      <c r="L26" s="363">
        <f t="shared" si="7"/>
        <v>1</v>
      </c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392"/>
      <c r="V26" s="392"/>
      <c r="W26" s="392"/>
      <c r="Y26" s="109">
        <f t="shared" si="8"/>
        <v>1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1</v>
      </c>
      <c r="AG26" s="108">
        <f t="shared" si="0"/>
        <v>0</v>
      </c>
      <c r="AH26" s="108">
        <f t="shared" si="1"/>
        <v>1</v>
      </c>
      <c r="AI26" s="108">
        <f t="shared" si="10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1</v>
      </c>
      <c r="H27" s="379" t="s">
        <v>9</v>
      </c>
      <c r="I27" s="442">
        <v>1</v>
      </c>
      <c r="J27" s="381">
        <f t="shared" si="5"/>
        <v>3</v>
      </c>
      <c r="K27" s="363">
        <f t="shared" si="6"/>
        <v>1</v>
      </c>
      <c r="L27" s="363">
        <f t="shared" si="7"/>
        <v>1</v>
      </c>
      <c r="O27" s="394" t="s">
        <v>19</v>
      </c>
      <c r="P27" s="395">
        <f>SUMIF($D$8:$D$55,$O27,$G$8:$G$55)+SUMIF($F$8:$F$55,$O27,$I$8:$I$55)</f>
        <v>7</v>
      </c>
      <c r="Q27" s="395">
        <f>SUMIF($D$8:$D$55,$O27,$I$8:$I$55)+SUMIF($F$8:$F$55,$O27,$G$8:$G$55)</f>
        <v>3</v>
      </c>
      <c r="R27" s="396">
        <f>P27-Q27</f>
        <v>4</v>
      </c>
      <c r="S27" s="397">
        <f>SUMIF($D$8:$D$55,$O27,$K$8:$K$55)+SUMIF($F$8:$F$55,$O27,$L$8:$L$55)</f>
        <v>7</v>
      </c>
      <c r="T27" s="444" t="s">
        <v>62</v>
      </c>
      <c r="U27" s="392"/>
      <c r="V27" s="392" t="str">
        <f>O27</f>
        <v>Uruguay</v>
      </c>
      <c r="W27" s="392" t="s">
        <v>62</v>
      </c>
      <c r="Y27" s="109">
        <f t="shared" si="8"/>
        <v>0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0</v>
      </c>
      <c r="AG27" s="108">
        <f t="shared" si="0"/>
        <v>0</v>
      </c>
      <c r="AH27" s="108">
        <f t="shared" si="1"/>
        <v>0</v>
      </c>
      <c r="AI27" s="108">
        <f t="shared" si="10"/>
        <v>0</v>
      </c>
      <c r="AJ27" s="108">
        <f t="shared" si="2"/>
        <v>0</v>
      </c>
      <c r="AK27" s="108">
        <f t="shared" si="3"/>
        <v>0</v>
      </c>
      <c r="AL27" s="108">
        <f t="shared" si="4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2</v>
      </c>
      <c r="H28" s="367" t="s">
        <v>9</v>
      </c>
      <c r="I28" s="440">
        <v>1</v>
      </c>
      <c r="J28" s="369">
        <f t="shared" si="5"/>
        <v>1</v>
      </c>
      <c r="K28" s="363">
        <f t="shared" si="6"/>
        <v>3</v>
      </c>
      <c r="L28" s="363">
        <f t="shared" si="7"/>
        <v>0</v>
      </c>
      <c r="O28" s="398" t="s">
        <v>20</v>
      </c>
      <c r="P28" s="399">
        <f>SUMIF($D$8:$D$55,$O28,$G$8:$G$55)+SUMIF($F$8:$F$55,$O28,$I$8:$I$55)</f>
        <v>2</v>
      </c>
      <c r="Q28" s="399">
        <f>SUMIF($D$8:$D$55,$O28,$I$8:$I$55)+SUMIF($F$8:$F$55,$O28,$G$8:$G$55)</f>
        <v>8</v>
      </c>
      <c r="R28" s="399">
        <f>P28-Q28</f>
        <v>-6</v>
      </c>
      <c r="S28" s="400">
        <f>SUMIF($D$8:$D$55,$O28,$K$8:$K$55)+SUMIF($F$8:$F$55,$O28,$L$8:$L$55)</f>
        <v>0</v>
      </c>
      <c r="T28" s="445" t="s">
        <v>65</v>
      </c>
      <c r="U28" s="392"/>
      <c r="V28" s="392" t="str">
        <f>O28</f>
        <v>Costa Rica</v>
      </c>
      <c r="W28" s="392" t="s">
        <v>63</v>
      </c>
      <c r="Y28" s="109">
        <f t="shared" si="8"/>
        <v>10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10</v>
      </c>
      <c r="AG28" s="108">
        <f t="shared" si="0"/>
        <v>1</v>
      </c>
      <c r="AH28" s="108">
        <f t="shared" si="1"/>
        <v>1</v>
      </c>
      <c r="AI28" s="108">
        <f t="shared" si="10"/>
        <v>10</v>
      </c>
      <c r="AJ28" s="108">
        <f t="shared" si="2"/>
        <v>5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2</v>
      </c>
      <c r="H29" s="373" t="s">
        <v>9</v>
      </c>
      <c r="I29" s="441">
        <v>1</v>
      </c>
      <c r="J29" s="375">
        <f t="shared" si="5"/>
        <v>1</v>
      </c>
      <c r="K29" s="363">
        <f t="shared" si="6"/>
        <v>3</v>
      </c>
      <c r="L29" s="363">
        <f t="shared" si="7"/>
        <v>0</v>
      </c>
      <c r="O29" s="398" t="s">
        <v>21</v>
      </c>
      <c r="P29" s="399">
        <f>SUMIF($D$8:$D$55,$O29,$G$8:$G$55)+SUMIF($F$8:$F$55,$O29,$I$8:$I$55)</f>
        <v>5</v>
      </c>
      <c r="Q29" s="399">
        <f>SUMIF($D$8:$D$55,$O29,$I$8:$I$55)+SUMIF($F$8:$F$55,$O29,$G$8:$G$55)</f>
        <v>4</v>
      </c>
      <c r="R29" s="399">
        <f>P29-Q29</f>
        <v>1</v>
      </c>
      <c r="S29" s="400">
        <f>SUMIF($D$8:$D$55,$O29,$K$8:$K$55)+SUMIF($F$8:$F$55,$O29,$L$8:$L$55)</f>
        <v>4</v>
      </c>
      <c r="T29" s="445" t="s">
        <v>64</v>
      </c>
      <c r="U29" s="392"/>
      <c r="V29" s="392" t="str">
        <f>O29</f>
        <v>Engeland</v>
      </c>
      <c r="W29" s="392" t="s">
        <v>64</v>
      </c>
      <c r="Y29" s="109">
        <f t="shared" si="8"/>
        <v>10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10</v>
      </c>
      <c r="AG29" s="108">
        <f t="shared" si="0"/>
        <v>1</v>
      </c>
      <c r="AH29" s="108">
        <f t="shared" si="1"/>
        <v>1</v>
      </c>
      <c r="AI29" s="108">
        <f t="shared" si="10"/>
        <v>10</v>
      </c>
      <c r="AJ29" s="108">
        <f t="shared" si="2"/>
        <v>5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2</v>
      </c>
      <c r="H30" s="379" t="s">
        <v>9</v>
      </c>
      <c r="I30" s="442">
        <v>0</v>
      </c>
      <c r="J30" s="381">
        <f t="shared" si="5"/>
        <v>1</v>
      </c>
      <c r="K30" s="363">
        <f t="shared" si="6"/>
        <v>3</v>
      </c>
      <c r="L30" s="363">
        <f t="shared" si="7"/>
        <v>0</v>
      </c>
      <c r="O30" s="401" t="s">
        <v>22</v>
      </c>
      <c r="P30" s="402">
        <f>SUMIF($D$8:$D$55,$O30,$G$8:$G$55)+SUMIF($F$8:$F$55,$O30,$I$8:$I$55)</f>
        <v>3</v>
      </c>
      <c r="Q30" s="402">
        <f>SUMIF($D$8:$D$55,$O30,$I$8:$I$55)+SUMIF($F$8:$F$55,$O30,$G$8:$G$55)</f>
        <v>2</v>
      </c>
      <c r="R30" s="402">
        <f>P30-Q30</f>
        <v>1</v>
      </c>
      <c r="S30" s="403">
        <f>SUMIF($D$8:$D$55,$O30,$K$8:$K$55)+SUMIF($F$8:$F$55,$O30,$L$8:$L$55)</f>
        <v>5</v>
      </c>
      <c r="T30" s="446" t="s">
        <v>63</v>
      </c>
      <c r="U30" s="392"/>
      <c r="V30" s="392" t="str">
        <f>O30</f>
        <v>Italië</v>
      </c>
      <c r="W30" s="392" t="s">
        <v>65</v>
      </c>
      <c r="Y30" s="109">
        <f t="shared" si="8"/>
        <v>1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1</v>
      </c>
      <c r="AG30" s="108">
        <f t="shared" si="0"/>
        <v>0</v>
      </c>
      <c r="AH30" s="108">
        <f t="shared" si="1"/>
        <v>1</v>
      </c>
      <c r="AI30" s="108">
        <f t="shared" si="10"/>
        <v>0</v>
      </c>
      <c r="AJ30" s="108">
        <f t="shared" si="2"/>
        <v>0</v>
      </c>
      <c r="AK30" s="108">
        <f t="shared" si="3"/>
        <v>0</v>
      </c>
      <c r="AL30" s="108">
        <f t="shared" si="4"/>
        <v>0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1</v>
      </c>
      <c r="H31" s="367" t="s">
        <v>9</v>
      </c>
      <c r="I31" s="440">
        <v>0</v>
      </c>
      <c r="J31" s="369">
        <f t="shared" si="5"/>
        <v>1</v>
      </c>
      <c r="K31" s="363">
        <f t="shared" si="6"/>
        <v>3</v>
      </c>
      <c r="L31" s="363">
        <f t="shared" si="7"/>
        <v>0</v>
      </c>
      <c r="O31" s="392"/>
      <c r="P31" s="393"/>
      <c r="Q31" s="393"/>
      <c r="R31" s="393"/>
      <c r="S31" s="393"/>
      <c r="T31" s="393"/>
      <c r="U31" s="392"/>
      <c r="V31" s="392"/>
      <c r="W31" s="392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0"/>
        <v>0</v>
      </c>
      <c r="AH31" s="108">
        <f t="shared" si="1"/>
        <v>0</v>
      </c>
      <c r="AI31" s="108">
        <f t="shared" si="10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392"/>
      <c r="AO31" s="393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1</v>
      </c>
      <c r="H32" s="373" t="s">
        <v>9</v>
      </c>
      <c r="I32" s="441">
        <v>2</v>
      </c>
      <c r="J32" s="375">
        <f t="shared" si="5"/>
        <v>2</v>
      </c>
      <c r="K32" s="363">
        <f t="shared" si="6"/>
        <v>0</v>
      </c>
      <c r="L32" s="363">
        <f t="shared" si="7"/>
        <v>3</v>
      </c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392"/>
      <c r="V32" s="392"/>
      <c r="W32" s="392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0"/>
        <v>0</v>
      </c>
      <c r="AH32" s="108">
        <f t="shared" si="1"/>
        <v>0</v>
      </c>
      <c r="AI32" s="108">
        <f t="shared" si="10"/>
        <v>0</v>
      </c>
      <c r="AJ32" s="108">
        <f t="shared" si="2"/>
        <v>0</v>
      </c>
      <c r="AK32" s="108">
        <f t="shared" si="3"/>
        <v>5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1</v>
      </c>
      <c r="H33" s="379" t="s">
        <v>9</v>
      </c>
      <c r="I33" s="442">
        <v>1</v>
      </c>
      <c r="J33" s="381">
        <f t="shared" si="5"/>
        <v>3</v>
      </c>
      <c r="K33" s="363">
        <f t="shared" si="6"/>
        <v>1</v>
      </c>
      <c r="L33" s="363">
        <f t="shared" si="7"/>
        <v>1</v>
      </c>
      <c r="O33" s="394" t="s">
        <v>25</v>
      </c>
      <c r="P33" s="395">
        <f>SUMIF($D$8:$D$55,$O33,$G$8:$G$55)+SUMIF($F$8:$F$55,$O33,$I$8:$I$55)</f>
        <v>5</v>
      </c>
      <c r="Q33" s="395">
        <f>SUMIF($D$8:$D$55,$O33,$I$8:$I$55)+SUMIF($F$8:$F$55,$O33,$G$8:$G$55)</f>
        <v>3</v>
      </c>
      <c r="R33" s="396">
        <f>P33-Q33</f>
        <v>2</v>
      </c>
      <c r="S33" s="397">
        <f>SUMIF($D$8:$D$55,$O33,$K$8:$K$55)+SUMIF($F$8:$F$55,$O33,$L$8:$L$55)</f>
        <v>6</v>
      </c>
      <c r="T33" s="444" t="s">
        <v>68</v>
      </c>
      <c r="U33" s="392"/>
      <c r="V33" s="392" t="str">
        <f>O33</f>
        <v>Zwitserland</v>
      </c>
      <c r="W33" s="392" t="s">
        <v>67</v>
      </c>
      <c r="Y33" s="109">
        <f t="shared" si="8"/>
        <v>1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1</v>
      </c>
      <c r="AG33" s="108">
        <f t="shared" si="0"/>
        <v>1</v>
      </c>
      <c r="AH33" s="108">
        <f t="shared" si="1"/>
        <v>0</v>
      </c>
      <c r="AI33" s="108">
        <f t="shared" si="10"/>
        <v>0</v>
      </c>
      <c r="AJ33" s="108">
        <f t="shared" si="2"/>
        <v>0</v>
      </c>
      <c r="AK33" s="108">
        <f t="shared" si="3"/>
        <v>0</v>
      </c>
      <c r="AL33" s="108">
        <f t="shared" si="4"/>
        <v>0</v>
      </c>
      <c r="AM33" s="120">
        <f>AO33</f>
        <v>10</v>
      </c>
      <c r="AN33" s="116" t="s">
        <v>25</v>
      </c>
      <c r="AO33" s="115">
        <f>IF(Uitslag!T33="",0,IF(T33=Uitslag!T33,10,0))</f>
        <v>10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4</v>
      </c>
      <c r="H34" s="367" t="s">
        <v>9</v>
      </c>
      <c r="I34" s="440">
        <v>0</v>
      </c>
      <c r="J34" s="369">
        <f t="shared" si="5"/>
        <v>1</v>
      </c>
      <c r="K34" s="363">
        <f t="shared" si="6"/>
        <v>3</v>
      </c>
      <c r="L34" s="363">
        <f t="shared" si="7"/>
        <v>0</v>
      </c>
      <c r="O34" s="398" t="s">
        <v>26</v>
      </c>
      <c r="P34" s="399">
        <f>SUMIF($D$8:$D$55,$O34,$G$8:$G$55)+SUMIF($F$8:$F$55,$O34,$I$8:$I$55)</f>
        <v>2</v>
      </c>
      <c r="Q34" s="399">
        <f>SUMIF($D$8:$D$55,$O34,$I$8:$I$55)+SUMIF($F$8:$F$55,$O34,$G$8:$G$55)</f>
        <v>6</v>
      </c>
      <c r="R34" s="399">
        <f>P34-Q34</f>
        <v>-4</v>
      </c>
      <c r="S34" s="400">
        <f>SUMIF($D$8:$D$55,$O34,$K$8:$K$55)+SUMIF($F$8:$F$55,$O34,$L$8:$L$55)</f>
        <v>1</v>
      </c>
      <c r="T34" s="445" t="s">
        <v>69</v>
      </c>
      <c r="U34" s="392"/>
      <c r="V34" s="392" t="str">
        <f>O34</f>
        <v>Ecuador</v>
      </c>
      <c r="W34" s="392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0"/>
        <v>0</v>
      </c>
      <c r="AH34" s="108">
        <f t="shared" si="1"/>
        <v>1</v>
      </c>
      <c r="AI34" s="108">
        <f t="shared" si="10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10</v>
      </c>
      <c r="AN34" s="117" t="s">
        <v>26</v>
      </c>
      <c r="AO34" s="115">
        <f>IF(Uitslag!T34="",0,IF(T34=Uitslag!T34,10,0))</f>
        <v>10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3</v>
      </c>
      <c r="H35" s="373" t="s">
        <v>9</v>
      </c>
      <c r="I35" s="441">
        <v>0</v>
      </c>
      <c r="J35" s="375">
        <f t="shared" si="5"/>
        <v>1</v>
      </c>
      <c r="K35" s="363">
        <f t="shared" si="6"/>
        <v>3</v>
      </c>
      <c r="L35" s="363">
        <f t="shared" si="7"/>
        <v>0</v>
      </c>
      <c r="O35" s="398" t="s">
        <v>27</v>
      </c>
      <c r="P35" s="399">
        <f>SUMIF($D$8:$D$55,$O35,$G$8:$G$55)+SUMIF($F$8:$F$55,$O35,$I$8:$I$55)</f>
        <v>8</v>
      </c>
      <c r="Q35" s="399">
        <f>SUMIF($D$8:$D$55,$O35,$I$8:$I$55)+SUMIF($F$8:$F$55,$O35,$G$8:$G$55)</f>
        <v>1</v>
      </c>
      <c r="R35" s="399">
        <f>P35-Q35</f>
        <v>7</v>
      </c>
      <c r="S35" s="400">
        <f>SUMIF($D$8:$D$55,$O35,$K$8:$K$55)+SUMIF($F$8:$F$55,$O35,$L$8:$L$55)</f>
        <v>9</v>
      </c>
      <c r="T35" s="445" t="s">
        <v>67</v>
      </c>
      <c r="U35" s="392"/>
      <c r="V35" s="392" t="str">
        <f>O35</f>
        <v>Frankrijk</v>
      </c>
      <c r="W35" s="392" t="s">
        <v>69</v>
      </c>
      <c r="Y35" s="109">
        <f t="shared" si="8"/>
        <v>0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0</v>
      </c>
      <c r="AG35" s="108">
        <f t="shared" si="0"/>
        <v>0</v>
      </c>
      <c r="AH35" s="108">
        <f t="shared" si="1"/>
        <v>0</v>
      </c>
      <c r="AI35" s="108">
        <f t="shared" si="10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1</v>
      </c>
      <c r="H36" s="379" t="s">
        <v>9</v>
      </c>
      <c r="I36" s="442">
        <v>1</v>
      </c>
      <c r="J36" s="381">
        <f t="shared" si="5"/>
        <v>3</v>
      </c>
      <c r="K36" s="363">
        <f t="shared" si="6"/>
        <v>1</v>
      </c>
      <c r="L36" s="363">
        <f t="shared" si="7"/>
        <v>1</v>
      </c>
      <c r="O36" s="401" t="s">
        <v>28</v>
      </c>
      <c r="P36" s="402">
        <f>SUMIF($D$8:$D$55,$O36,$G$8:$G$55)+SUMIF($F$8:$F$55,$O36,$I$8:$I$55)</f>
        <v>1</v>
      </c>
      <c r="Q36" s="402">
        <f>SUMIF($D$8:$D$55,$O36,$I$8:$I$55)+SUMIF($F$8:$F$55,$O36,$G$8:$G$55)</f>
        <v>6</v>
      </c>
      <c r="R36" s="402">
        <f>P36-Q36</f>
        <v>-5</v>
      </c>
      <c r="S36" s="403">
        <f>SUMIF($D$8:$D$55,$O36,$K$8:$K$55)+SUMIF($F$8:$F$55,$O36,$L$8:$L$55)</f>
        <v>1</v>
      </c>
      <c r="T36" s="446" t="s">
        <v>70</v>
      </c>
      <c r="U36" s="392"/>
      <c r="V36" s="392" t="str">
        <f>O36</f>
        <v>Honduras</v>
      </c>
      <c r="W36" s="392" t="s">
        <v>70</v>
      </c>
      <c r="Y36" s="109">
        <f t="shared" si="8"/>
        <v>1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1</v>
      </c>
      <c r="AG36" s="108">
        <f t="shared" si="0"/>
        <v>1</v>
      </c>
      <c r="AH36" s="108">
        <f t="shared" si="1"/>
        <v>0</v>
      </c>
      <c r="AI36" s="108">
        <f t="shared" si="10"/>
        <v>0</v>
      </c>
      <c r="AJ36" s="108">
        <f t="shared" si="2"/>
        <v>0</v>
      </c>
      <c r="AK36" s="108">
        <f t="shared" si="3"/>
        <v>0</v>
      </c>
      <c r="AL36" s="108">
        <f t="shared" si="4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3</v>
      </c>
      <c r="H37" s="367" t="s">
        <v>9</v>
      </c>
      <c r="I37" s="440">
        <v>1</v>
      </c>
      <c r="J37" s="369">
        <f t="shared" si="5"/>
        <v>1</v>
      </c>
      <c r="K37" s="363">
        <f t="shared" si="6"/>
        <v>3</v>
      </c>
      <c r="L37" s="363">
        <f t="shared" si="7"/>
        <v>0</v>
      </c>
      <c r="O37" s="392"/>
      <c r="P37" s="393"/>
      <c r="Q37" s="393"/>
      <c r="R37" s="393"/>
      <c r="S37" s="393"/>
      <c r="T37" s="393"/>
      <c r="U37" s="392"/>
      <c r="V37" s="392"/>
      <c r="W37" s="392"/>
      <c r="Y37" s="109">
        <f t="shared" si="8"/>
        <v>5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5</v>
      </c>
      <c r="AG37" s="108">
        <f t="shared" si="0"/>
        <v>0</v>
      </c>
      <c r="AH37" s="108">
        <f t="shared" si="1"/>
        <v>0</v>
      </c>
      <c r="AI37" s="108">
        <f t="shared" si="10"/>
        <v>0</v>
      </c>
      <c r="AJ37" s="108">
        <f t="shared" si="2"/>
        <v>5</v>
      </c>
      <c r="AK37" s="108">
        <f t="shared" si="3"/>
        <v>0</v>
      </c>
      <c r="AL37" s="108">
        <f t="shared" si="4"/>
        <v>0</v>
      </c>
      <c r="AN37" s="392"/>
      <c r="AO37" s="393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2</v>
      </c>
      <c r="H38" s="373" t="s">
        <v>9</v>
      </c>
      <c r="I38" s="441">
        <v>0</v>
      </c>
      <c r="J38" s="375">
        <f t="shared" si="5"/>
        <v>1</v>
      </c>
      <c r="K38" s="363">
        <f t="shared" si="6"/>
        <v>3</v>
      </c>
      <c r="L38" s="363">
        <f t="shared" si="7"/>
        <v>0</v>
      </c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392"/>
      <c r="V38" s="392"/>
      <c r="W38" s="392"/>
      <c r="Y38" s="109">
        <f t="shared" si="8"/>
        <v>1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1</v>
      </c>
      <c r="AG38" s="108">
        <f t="shared" si="0"/>
        <v>1</v>
      </c>
      <c r="AH38" s="108">
        <f t="shared" si="1"/>
        <v>0</v>
      </c>
      <c r="AI38" s="108">
        <f t="shared" si="10"/>
        <v>0</v>
      </c>
      <c r="AJ38" s="108">
        <f t="shared" si="2"/>
        <v>0</v>
      </c>
      <c r="AK38" s="108">
        <f t="shared" si="3"/>
        <v>0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1</v>
      </c>
      <c r="H39" s="379" t="s">
        <v>9</v>
      </c>
      <c r="I39" s="442">
        <v>2</v>
      </c>
      <c r="J39" s="381">
        <f t="shared" si="5"/>
        <v>2</v>
      </c>
      <c r="K39" s="363">
        <f t="shared" si="6"/>
        <v>0</v>
      </c>
      <c r="L39" s="363">
        <f t="shared" si="7"/>
        <v>3</v>
      </c>
      <c r="O39" s="394" t="s">
        <v>29</v>
      </c>
      <c r="P39" s="395">
        <f>SUMIF($D$8:$D$55,$O39,$G$8:$G$55)+SUMIF($F$8:$F$55,$O39,$I$8:$I$55)</f>
        <v>9</v>
      </c>
      <c r="Q39" s="395">
        <f>SUMIF($D$8:$D$55,$O39,$I$8:$I$55)+SUMIF($F$8:$F$55,$O39,$G$8:$G$55)</f>
        <v>1</v>
      </c>
      <c r="R39" s="396">
        <f>P39-Q39</f>
        <v>8</v>
      </c>
      <c r="S39" s="397">
        <f>SUMIF($D$8:$D$55,$O39,$K$8:$K$55)+SUMIF($F$8:$F$55,$O39,$L$8:$L$55)</f>
        <v>9</v>
      </c>
      <c r="T39" s="444" t="s">
        <v>72</v>
      </c>
      <c r="U39" s="392"/>
      <c r="V39" s="392" t="str">
        <f>O39</f>
        <v>Argentinië</v>
      </c>
      <c r="W39" s="392" t="s">
        <v>72</v>
      </c>
      <c r="Y39" s="109">
        <f t="shared" si="8"/>
        <v>1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1</v>
      </c>
      <c r="AG39" s="108">
        <f t="shared" si="0"/>
        <v>0</v>
      </c>
      <c r="AH39" s="108">
        <f t="shared" si="1"/>
        <v>1</v>
      </c>
      <c r="AI39" s="108">
        <f t="shared" si="10"/>
        <v>0</v>
      </c>
      <c r="AJ39" s="108">
        <f t="shared" si="2"/>
        <v>0</v>
      </c>
      <c r="AK39" s="108">
        <f t="shared" si="3"/>
        <v>0</v>
      </c>
      <c r="AL39" s="108">
        <f t="shared" si="4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0</v>
      </c>
      <c r="H40" s="367" t="s">
        <v>9</v>
      </c>
      <c r="I40" s="440">
        <v>3</v>
      </c>
      <c r="J40" s="369">
        <f t="shared" si="5"/>
        <v>2</v>
      </c>
      <c r="K40" s="363">
        <f t="shared" si="6"/>
        <v>0</v>
      </c>
      <c r="L40" s="363">
        <f t="shared" si="7"/>
        <v>3</v>
      </c>
      <c r="O40" s="398" t="s">
        <v>30</v>
      </c>
      <c r="P40" s="399">
        <f>SUMIF($D$8:$D$55,$O40,$G$8:$G$55)+SUMIF($F$8:$F$55,$O40,$I$8:$I$55)</f>
        <v>2</v>
      </c>
      <c r="Q40" s="399">
        <f>SUMIF($D$8:$D$55,$O40,$I$8:$I$55)+SUMIF($F$8:$F$55,$O40,$G$8:$G$55)</f>
        <v>5</v>
      </c>
      <c r="R40" s="399">
        <f>P40-Q40</f>
        <v>-3</v>
      </c>
      <c r="S40" s="400">
        <f>SUMIF($D$8:$D$55,$O40,$K$8:$K$55)+SUMIF($F$8:$F$55,$O40,$L$8:$L$55)</f>
        <v>2</v>
      </c>
      <c r="T40" s="445" t="s">
        <v>74</v>
      </c>
      <c r="U40" s="392"/>
      <c r="V40" s="392" t="str">
        <f>O40</f>
        <v>Bosnië H.</v>
      </c>
      <c r="W40" s="392" t="s">
        <v>73</v>
      </c>
      <c r="Y40" s="109">
        <f t="shared" si="8"/>
        <v>10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10</v>
      </c>
      <c r="AG40" s="108">
        <f t="shared" si="0"/>
        <v>1</v>
      </c>
      <c r="AH40" s="108">
        <f t="shared" si="1"/>
        <v>1</v>
      </c>
      <c r="AI40" s="108">
        <f t="shared" si="10"/>
        <v>10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1</v>
      </c>
      <c r="H41" s="373" t="s">
        <v>9</v>
      </c>
      <c r="I41" s="441">
        <v>1</v>
      </c>
      <c r="J41" s="375">
        <f t="shared" si="5"/>
        <v>3</v>
      </c>
      <c r="K41" s="363">
        <f t="shared" si="6"/>
        <v>1</v>
      </c>
      <c r="L41" s="363">
        <f t="shared" si="7"/>
        <v>1</v>
      </c>
      <c r="O41" s="398" t="s">
        <v>33</v>
      </c>
      <c r="P41" s="399">
        <f>SUMIF($D$8:$D$55,$O41,$G$8:$G$55)+SUMIF($F$8:$F$55,$O41,$I$8:$I$55)</f>
        <v>2</v>
      </c>
      <c r="Q41" s="399">
        <f>SUMIF($D$8:$D$55,$O41,$I$8:$I$55)+SUMIF($F$8:$F$55,$O41,$G$8:$G$55)</f>
        <v>7</v>
      </c>
      <c r="R41" s="399">
        <f>P41-Q41</f>
        <v>-5</v>
      </c>
      <c r="S41" s="400">
        <f>SUMIF($D$8:$D$55,$O41,$K$8:$K$55)+SUMIF($F$8:$F$55,$O41,$L$8:$L$55)</f>
        <v>1</v>
      </c>
      <c r="T41" s="445" t="s">
        <v>75</v>
      </c>
      <c r="U41" s="392"/>
      <c r="V41" s="392" t="str">
        <f>O41</f>
        <v>Iran</v>
      </c>
      <c r="W41" s="392" t="s">
        <v>74</v>
      </c>
      <c r="Y41" s="109">
        <f t="shared" si="8"/>
        <v>0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0</v>
      </c>
      <c r="AG41" s="108">
        <f t="shared" si="0"/>
        <v>0</v>
      </c>
      <c r="AH41" s="108">
        <f t="shared" si="1"/>
        <v>0</v>
      </c>
      <c r="AI41" s="108">
        <f t="shared" si="10"/>
        <v>0</v>
      </c>
      <c r="AJ41" s="108">
        <f t="shared" si="2"/>
        <v>0</v>
      </c>
      <c r="AK41" s="108">
        <f t="shared" si="3"/>
        <v>0</v>
      </c>
      <c r="AL41" s="108">
        <f t="shared" si="4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1</v>
      </c>
      <c r="H42" s="373" t="s">
        <v>9</v>
      </c>
      <c r="I42" s="441">
        <v>4</v>
      </c>
      <c r="J42" s="375">
        <f t="shared" si="5"/>
        <v>2</v>
      </c>
      <c r="K42" s="363">
        <f t="shared" si="6"/>
        <v>0</v>
      </c>
      <c r="L42" s="363">
        <f t="shared" si="7"/>
        <v>3</v>
      </c>
      <c r="O42" s="401" t="s">
        <v>34</v>
      </c>
      <c r="P42" s="402">
        <f>SUMIF($D$8:$D$55,$O42,$G$8:$G$55)+SUMIF($F$8:$F$55,$O42,$I$8:$I$55)</f>
        <v>4</v>
      </c>
      <c r="Q42" s="402">
        <f>SUMIF($D$8:$D$55,$O42,$I$8:$I$55)+SUMIF($F$8:$F$55,$O42,$G$8:$G$55)</f>
        <v>4</v>
      </c>
      <c r="R42" s="402">
        <f>P42-Q42</f>
        <v>0</v>
      </c>
      <c r="S42" s="403">
        <f>SUMIF($D$8:$D$55,$O42,$K$8:$K$55)+SUMIF($F$8:$F$55,$O42,$L$8:$L$55)</f>
        <v>4</v>
      </c>
      <c r="T42" s="446" t="s">
        <v>73</v>
      </c>
      <c r="U42" s="392"/>
      <c r="V42" s="392" t="str">
        <f>O42</f>
        <v>Nigeria</v>
      </c>
      <c r="W42" s="392" t="s">
        <v>75</v>
      </c>
      <c r="Y42" s="109">
        <f t="shared" si="8"/>
        <v>10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10</v>
      </c>
      <c r="AG42" s="108">
        <f t="shared" si="0"/>
        <v>1</v>
      </c>
      <c r="AH42" s="108">
        <f t="shared" si="1"/>
        <v>1</v>
      </c>
      <c r="AI42" s="108">
        <f t="shared" si="10"/>
        <v>10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0</v>
      </c>
      <c r="H43" s="379" t="s">
        <v>9</v>
      </c>
      <c r="I43" s="442">
        <v>1</v>
      </c>
      <c r="J43" s="381">
        <f t="shared" si="5"/>
        <v>2</v>
      </c>
      <c r="K43" s="363">
        <f t="shared" si="6"/>
        <v>0</v>
      </c>
      <c r="L43" s="363">
        <f t="shared" si="7"/>
        <v>3</v>
      </c>
      <c r="O43" s="392"/>
      <c r="P43" s="393"/>
      <c r="Q43" s="393"/>
      <c r="R43" s="393"/>
      <c r="S43" s="393"/>
      <c r="T43" s="393"/>
      <c r="U43" s="392"/>
      <c r="V43" s="392"/>
      <c r="W43" s="392"/>
      <c r="Y43" s="109">
        <f t="shared" si="8"/>
        <v>5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5</v>
      </c>
      <c r="AG43" s="108">
        <f t="shared" si="0"/>
        <v>0</v>
      </c>
      <c r="AH43" s="108">
        <f t="shared" si="1"/>
        <v>0</v>
      </c>
      <c r="AI43" s="108">
        <f t="shared" si="10"/>
        <v>0</v>
      </c>
      <c r="AJ43" s="108">
        <f t="shared" si="2"/>
        <v>0</v>
      </c>
      <c r="AK43" s="108">
        <f t="shared" si="3"/>
        <v>5</v>
      </c>
      <c r="AL43" s="108">
        <f t="shared" si="4"/>
        <v>0</v>
      </c>
      <c r="AN43" s="392"/>
      <c r="AO43" s="393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1</v>
      </c>
      <c r="H44" s="367" t="s">
        <v>9</v>
      </c>
      <c r="I44" s="440">
        <v>1</v>
      </c>
      <c r="J44" s="369">
        <f t="shared" si="5"/>
        <v>3</v>
      </c>
      <c r="K44" s="363">
        <f t="shared" si="6"/>
        <v>1</v>
      </c>
      <c r="L44" s="363">
        <f t="shared" si="7"/>
        <v>1</v>
      </c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392"/>
      <c r="V44" s="392"/>
      <c r="W44" s="392"/>
      <c r="Y44" s="109">
        <f t="shared" si="8"/>
        <v>1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1</v>
      </c>
      <c r="AG44" s="108">
        <f t="shared" si="0"/>
        <v>0</v>
      </c>
      <c r="AH44" s="108">
        <f t="shared" si="1"/>
        <v>1</v>
      </c>
      <c r="AI44" s="108">
        <f t="shared" si="10"/>
        <v>0</v>
      </c>
      <c r="AJ44" s="108">
        <f t="shared" si="2"/>
        <v>0</v>
      </c>
      <c r="AK44" s="108">
        <f t="shared" si="3"/>
        <v>0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1</v>
      </c>
      <c r="H45" s="373" t="s">
        <v>9</v>
      </c>
      <c r="I45" s="441">
        <v>3</v>
      </c>
      <c r="J45" s="375">
        <f t="shared" si="5"/>
        <v>2</v>
      </c>
      <c r="K45" s="363">
        <f t="shared" si="6"/>
        <v>0</v>
      </c>
      <c r="L45" s="363">
        <f t="shared" si="7"/>
        <v>3</v>
      </c>
      <c r="O45" s="394" t="s">
        <v>31</v>
      </c>
      <c r="P45" s="395">
        <f>SUMIF($D$8:$D$55,$O45,$G$8:$G$55)+SUMIF($F$8:$F$55,$O45,$I$8:$I$55)</f>
        <v>8</v>
      </c>
      <c r="Q45" s="395">
        <f>SUMIF($D$8:$D$55,$O45,$I$8:$I$55)+SUMIF($F$8:$F$55,$O45,$G$8:$G$55)</f>
        <v>1</v>
      </c>
      <c r="R45" s="396">
        <f>P45-Q45</f>
        <v>7</v>
      </c>
      <c r="S45" s="397">
        <f>SUMIF($D$8:$D$55,$O45,$K$8:$K$55)+SUMIF($F$8:$F$55,$O45,$L$8:$L$55)</f>
        <v>9</v>
      </c>
      <c r="T45" s="444" t="s">
        <v>77</v>
      </c>
      <c r="U45" s="392"/>
      <c r="V45" s="392" t="str">
        <f>O45</f>
        <v>Duitsland</v>
      </c>
      <c r="W45" s="392" t="s">
        <v>77</v>
      </c>
      <c r="Y45" s="109">
        <f t="shared" si="8"/>
        <v>0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0</v>
      </c>
      <c r="AG45" s="108">
        <f t="shared" si="0"/>
        <v>0</v>
      </c>
      <c r="AH45" s="108">
        <f t="shared" si="1"/>
        <v>0</v>
      </c>
      <c r="AI45" s="108">
        <f t="shared" si="10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2</v>
      </c>
      <c r="H46" s="373" t="s">
        <v>9</v>
      </c>
      <c r="I46" s="441">
        <v>2</v>
      </c>
      <c r="J46" s="375">
        <f t="shared" si="5"/>
        <v>3</v>
      </c>
      <c r="K46" s="363">
        <f t="shared" si="6"/>
        <v>1</v>
      </c>
      <c r="L46" s="363">
        <f t="shared" si="7"/>
        <v>1</v>
      </c>
      <c r="O46" s="398" t="s">
        <v>32</v>
      </c>
      <c r="P46" s="399">
        <f>SUMIF($D$8:$D$55,$O46,$G$8:$G$55)+SUMIF($F$8:$F$55,$O46,$I$8:$I$55)</f>
        <v>5</v>
      </c>
      <c r="Q46" s="399">
        <f>SUMIF($D$8:$D$55,$O46,$I$8:$I$55)+SUMIF($F$8:$F$55,$O46,$G$8:$G$55)</f>
        <v>3</v>
      </c>
      <c r="R46" s="399">
        <f>P46-Q46</f>
        <v>2</v>
      </c>
      <c r="S46" s="400">
        <f>SUMIF($D$8:$D$55,$O46,$K$8:$K$55)+SUMIF($F$8:$F$55,$O46,$L$8:$L$55)</f>
        <v>6</v>
      </c>
      <c r="T46" s="445" t="s">
        <v>78</v>
      </c>
      <c r="U46" s="392"/>
      <c r="V46" s="392" t="str">
        <f>O46</f>
        <v>Portugal</v>
      </c>
      <c r="W46" s="392" t="s">
        <v>78</v>
      </c>
      <c r="Y46" s="109">
        <f t="shared" si="8"/>
        <v>0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0</v>
      </c>
      <c r="AG46" s="108">
        <f t="shared" si="0"/>
        <v>0</v>
      </c>
      <c r="AH46" s="108">
        <f t="shared" si="1"/>
        <v>0</v>
      </c>
      <c r="AI46" s="108">
        <f t="shared" si="10"/>
        <v>0</v>
      </c>
      <c r="AJ46" s="108">
        <f t="shared" si="2"/>
        <v>0</v>
      </c>
      <c r="AK46" s="108">
        <f t="shared" si="3"/>
        <v>0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0</v>
      </c>
      <c r="H47" s="379" t="s">
        <v>9</v>
      </c>
      <c r="I47" s="442">
        <v>0</v>
      </c>
      <c r="J47" s="381">
        <f t="shared" si="5"/>
        <v>3</v>
      </c>
      <c r="K47" s="363">
        <f t="shared" si="6"/>
        <v>1</v>
      </c>
      <c r="L47" s="363">
        <f t="shared" si="7"/>
        <v>1</v>
      </c>
      <c r="O47" s="398" t="s">
        <v>35</v>
      </c>
      <c r="P47" s="399">
        <f>SUMIF($D$8:$D$55,$O47,$G$8:$G$55)+SUMIF($F$8:$F$55,$O47,$I$8:$I$55)</f>
        <v>0</v>
      </c>
      <c r="Q47" s="399">
        <f>SUMIF($D$8:$D$55,$O47,$I$8:$I$55)+SUMIF($F$8:$F$55,$O47,$G$8:$G$55)</f>
        <v>5</v>
      </c>
      <c r="R47" s="399">
        <f>P47-Q47</f>
        <v>-5</v>
      </c>
      <c r="S47" s="400">
        <f>SUMIF($D$8:$D$55,$O47,$K$8:$K$55)+SUMIF($F$8:$F$55,$O47,$L$8:$L$55)</f>
        <v>1</v>
      </c>
      <c r="T47" s="445" t="s">
        <v>77</v>
      </c>
      <c r="U47" s="392"/>
      <c r="V47" s="392" t="str">
        <f>O47</f>
        <v>Ghana</v>
      </c>
      <c r="W47" s="392" t="s">
        <v>79</v>
      </c>
      <c r="Y47" s="109">
        <f t="shared" si="8"/>
        <v>0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0</v>
      </c>
      <c r="AG47" s="108">
        <f t="shared" si="0"/>
        <v>0</v>
      </c>
      <c r="AH47" s="108">
        <f t="shared" si="1"/>
        <v>0</v>
      </c>
      <c r="AI47" s="108">
        <f t="shared" si="10"/>
        <v>0</v>
      </c>
      <c r="AJ47" s="108">
        <f t="shared" si="2"/>
        <v>0</v>
      </c>
      <c r="AK47" s="108">
        <f t="shared" si="3"/>
        <v>0</v>
      </c>
      <c r="AL47" s="108">
        <f t="shared" si="4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1</v>
      </c>
      <c r="H48" s="367" t="s">
        <v>9</v>
      </c>
      <c r="I48" s="440">
        <v>2</v>
      </c>
      <c r="J48" s="369">
        <f t="shared" si="5"/>
        <v>2</v>
      </c>
      <c r="K48" s="363">
        <f t="shared" si="6"/>
        <v>0</v>
      </c>
      <c r="L48" s="363">
        <f t="shared" si="7"/>
        <v>3</v>
      </c>
      <c r="O48" s="401" t="s">
        <v>36</v>
      </c>
      <c r="P48" s="402">
        <f>SUMIF($D$8:$D$55,$O48,$G$8:$G$55)+SUMIF($F$8:$F$55,$O48,$I$8:$I$55)</f>
        <v>1</v>
      </c>
      <c r="Q48" s="402">
        <f>SUMIF($D$8:$D$55,$O48,$I$8:$I$55)+SUMIF($F$8:$F$55,$O48,$G$8:$G$55)</f>
        <v>5</v>
      </c>
      <c r="R48" s="402">
        <f>P48-Q48</f>
        <v>-4</v>
      </c>
      <c r="S48" s="403">
        <f>SUMIF($D$8:$D$55,$O48,$K$8:$K$55)+SUMIF($F$8:$F$55,$O48,$L$8:$L$55)</f>
        <v>1</v>
      </c>
      <c r="T48" s="446" t="s">
        <v>79</v>
      </c>
      <c r="U48" s="392"/>
      <c r="V48" s="392" t="str">
        <f>O48</f>
        <v>Verenigde Staten</v>
      </c>
      <c r="W48" s="392" t="s">
        <v>80</v>
      </c>
      <c r="Y48" s="109">
        <f t="shared" si="8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5</v>
      </c>
      <c r="AG48" s="108">
        <f t="shared" si="0"/>
        <v>0</v>
      </c>
      <c r="AH48" s="108">
        <f t="shared" si="1"/>
        <v>0</v>
      </c>
      <c r="AI48" s="108">
        <f t="shared" si="10"/>
        <v>0</v>
      </c>
      <c r="AJ48" s="108">
        <f t="shared" si="2"/>
        <v>0</v>
      </c>
      <c r="AK48" s="108">
        <f t="shared" si="3"/>
        <v>5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1</v>
      </c>
      <c r="H49" s="373" t="s">
        <v>9</v>
      </c>
      <c r="I49" s="441">
        <v>1</v>
      </c>
      <c r="J49" s="375">
        <f t="shared" si="5"/>
        <v>3</v>
      </c>
      <c r="K49" s="363">
        <f t="shared" si="6"/>
        <v>1</v>
      </c>
      <c r="L49" s="363">
        <f t="shared" si="7"/>
        <v>1</v>
      </c>
      <c r="O49" s="392"/>
      <c r="P49" s="393"/>
      <c r="Q49" s="393"/>
      <c r="R49" s="393"/>
      <c r="S49" s="393"/>
      <c r="T49" s="393"/>
      <c r="U49" s="392"/>
      <c r="V49" s="392"/>
      <c r="W49" s="392"/>
      <c r="Y49" s="109">
        <f t="shared" si="8"/>
        <v>1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1</v>
      </c>
      <c r="AG49" s="108">
        <f t="shared" si="0"/>
        <v>0</v>
      </c>
      <c r="AH49" s="108">
        <f t="shared" si="1"/>
        <v>1</v>
      </c>
      <c r="AI49" s="108">
        <f t="shared" si="10"/>
        <v>0</v>
      </c>
      <c r="AJ49" s="108">
        <f t="shared" si="2"/>
        <v>0</v>
      </c>
      <c r="AK49" s="108">
        <f t="shared" si="3"/>
        <v>0</v>
      </c>
      <c r="AL49" s="108">
        <f t="shared" si="4"/>
        <v>0</v>
      </c>
      <c r="AN49" s="392"/>
      <c r="AO49" s="393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0</v>
      </c>
      <c r="H50" s="373" t="s">
        <v>9</v>
      </c>
      <c r="I50" s="441">
        <v>2</v>
      </c>
      <c r="J50" s="375">
        <f t="shared" si="5"/>
        <v>2</v>
      </c>
      <c r="K50" s="363">
        <f t="shared" si="6"/>
        <v>0</v>
      </c>
      <c r="L50" s="363">
        <f t="shared" si="7"/>
        <v>3</v>
      </c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392"/>
      <c r="V50" s="392"/>
      <c r="W50" s="392"/>
      <c r="Y50" s="109">
        <f t="shared" si="8"/>
        <v>6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6</v>
      </c>
      <c r="AG50" s="108">
        <f t="shared" si="0"/>
        <v>1</v>
      </c>
      <c r="AH50" s="108">
        <f t="shared" si="1"/>
        <v>0</v>
      </c>
      <c r="AI50" s="108">
        <f t="shared" si="10"/>
        <v>0</v>
      </c>
      <c r="AJ50" s="108">
        <f t="shared" si="2"/>
        <v>0</v>
      </c>
      <c r="AK50" s="108">
        <f t="shared" si="3"/>
        <v>5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0</v>
      </c>
      <c r="H51" s="379" t="s">
        <v>9</v>
      </c>
      <c r="I51" s="442">
        <v>3</v>
      </c>
      <c r="J51" s="381">
        <f t="shared" si="5"/>
        <v>2</v>
      </c>
      <c r="K51" s="363">
        <f t="shared" si="6"/>
        <v>0</v>
      </c>
      <c r="L51" s="363">
        <f>IF(I51="","",IF($G51&lt;$I51,3,IF($G51=$I51,1,0)))</f>
        <v>3</v>
      </c>
      <c r="O51" s="394" t="s">
        <v>37</v>
      </c>
      <c r="P51" s="395">
        <f>SUMIF($D$8:$D$55,$O51,$G$8:$G$55)+SUMIF($F$8:$F$55,$O51,$I$8:$I$55)</f>
        <v>6</v>
      </c>
      <c r="Q51" s="395">
        <f>SUMIF($D$8:$D$55,$O51,$I$8:$I$55)+SUMIF($F$8:$F$55,$O51,$G$8:$G$55)</f>
        <v>2</v>
      </c>
      <c r="R51" s="396">
        <f>P51-Q51</f>
        <v>4</v>
      </c>
      <c r="S51" s="397">
        <f>SUMIF($D$8:$D$55,$O51,$K$8:$K$55)+SUMIF($F$8:$F$55,$O51,$L$8:$L$55)</f>
        <v>7</v>
      </c>
      <c r="T51" s="444" t="s">
        <v>82</v>
      </c>
      <c r="U51" s="392"/>
      <c r="V51" s="392" t="str">
        <f>O51</f>
        <v>België</v>
      </c>
      <c r="W51" s="392" t="s">
        <v>82</v>
      </c>
      <c r="Y51" s="109">
        <f t="shared" si="8"/>
        <v>1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1</v>
      </c>
      <c r="AG51" s="108">
        <f t="shared" si="0"/>
        <v>1</v>
      </c>
      <c r="AH51" s="108">
        <f t="shared" si="1"/>
        <v>0</v>
      </c>
      <c r="AI51" s="108">
        <f t="shared" si="10"/>
        <v>0</v>
      </c>
      <c r="AJ51" s="108">
        <f t="shared" si="2"/>
        <v>0</v>
      </c>
      <c r="AK51" s="108">
        <f t="shared" si="3"/>
        <v>0</v>
      </c>
      <c r="AL51" s="108">
        <f t="shared" si="4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0</v>
      </c>
      <c r="H52" s="373" t="s">
        <v>9</v>
      </c>
      <c r="I52" s="441">
        <v>3</v>
      </c>
      <c r="J52" s="369">
        <f t="shared" si="5"/>
        <v>2</v>
      </c>
      <c r="K52" s="363">
        <f t="shared" si="6"/>
        <v>0</v>
      </c>
      <c r="L52" s="363">
        <f t="shared" si="7"/>
        <v>3</v>
      </c>
      <c r="O52" s="398" t="s">
        <v>38</v>
      </c>
      <c r="P52" s="399">
        <f>SUMIF($D$8:$D$55,$O52,$G$8:$G$55)+SUMIF($F$8:$F$55,$O52,$I$8:$I$55)</f>
        <v>1</v>
      </c>
      <c r="Q52" s="399">
        <f>SUMIF($D$8:$D$55,$O52,$I$8:$I$55)+SUMIF($F$8:$F$55,$O52,$G$8:$G$55)</f>
        <v>5</v>
      </c>
      <c r="R52" s="399">
        <f>P52-Q52</f>
        <v>-4</v>
      </c>
      <c r="S52" s="400">
        <f>SUMIF($D$8:$D$55,$O52,$K$8:$K$55)+SUMIF($F$8:$F$55,$O52,$L$8:$L$55)</f>
        <v>1</v>
      </c>
      <c r="T52" s="445" t="s">
        <v>85</v>
      </c>
      <c r="U52" s="392"/>
      <c r="V52" s="392" t="str">
        <f>O52</f>
        <v>Algerije</v>
      </c>
      <c r="W52" s="392" t="s">
        <v>83</v>
      </c>
      <c r="Y52" s="109">
        <f t="shared" si="8"/>
        <v>6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6</v>
      </c>
      <c r="AG52" s="108">
        <f t="shared" si="0"/>
        <v>1</v>
      </c>
      <c r="AH52" s="108">
        <f t="shared" si="1"/>
        <v>0</v>
      </c>
      <c r="AI52" s="108">
        <f t="shared" si="10"/>
        <v>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2</v>
      </c>
      <c r="H53" s="373" t="s">
        <v>9</v>
      </c>
      <c r="I53" s="441">
        <v>0</v>
      </c>
      <c r="J53" s="375">
        <f t="shared" si="5"/>
        <v>1</v>
      </c>
      <c r="K53" s="363">
        <f t="shared" si="6"/>
        <v>3</v>
      </c>
      <c r="L53" s="363">
        <f t="shared" si="7"/>
        <v>0</v>
      </c>
      <c r="O53" s="398" t="s">
        <v>39</v>
      </c>
      <c r="P53" s="399">
        <f>SUMIF($D$8:$D$55,$O53,$G$8:$G$55)+SUMIF($F$8:$F$55,$O53,$I$8:$I$55)</f>
        <v>3</v>
      </c>
      <c r="Q53" s="399">
        <f>SUMIF($D$8:$D$55,$O53,$I$8:$I$55)+SUMIF($F$8:$F$55,$O53,$G$8:$G$55)</f>
        <v>5</v>
      </c>
      <c r="R53" s="399">
        <f>P53-Q53</f>
        <v>-2</v>
      </c>
      <c r="S53" s="400">
        <f>SUMIF($D$8:$D$55,$O53,$K$8:$K$55)+SUMIF($F$8:$F$55,$O53,$L$8:$L$55)</f>
        <v>2</v>
      </c>
      <c r="T53" s="445" t="s">
        <v>84</v>
      </c>
      <c r="U53" s="392"/>
      <c r="V53" s="392" t="str">
        <f>O53</f>
        <v>Rusland</v>
      </c>
      <c r="W53" s="392" t="s">
        <v>84</v>
      </c>
      <c r="Y53" s="109">
        <f t="shared" si="8"/>
        <v>6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6</v>
      </c>
      <c r="AG53" s="108">
        <f t="shared" si="0"/>
        <v>1</v>
      </c>
      <c r="AH53" s="108">
        <f t="shared" si="1"/>
        <v>0</v>
      </c>
      <c r="AI53" s="108">
        <f t="shared" si="10"/>
        <v>0</v>
      </c>
      <c r="AJ53" s="108">
        <f t="shared" si="2"/>
        <v>5</v>
      </c>
      <c r="AK53" s="108">
        <f t="shared" si="3"/>
        <v>0</v>
      </c>
      <c r="AL53" s="108">
        <f t="shared" si="4"/>
        <v>0</v>
      </c>
      <c r="AM53" s="120">
        <f>AO53</f>
        <v>10</v>
      </c>
      <c r="AN53" s="117" t="s">
        <v>39</v>
      </c>
      <c r="AO53" s="115">
        <f>IF(Uitslag!T53="",0,IF(T53=Uitslag!T53,10,0))</f>
        <v>10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1</v>
      </c>
      <c r="H54" s="373" t="s">
        <v>9</v>
      </c>
      <c r="I54" s="441">
        <v>1</v>
      </c>
      <c r="J54" s="375">
        <f t="shared" si="5"/>
        <v>3</v>
      </c>
      <c r="K54" s="363">
        <f t="shared" si="6"/>
        <v>1</v>
      </c>
      <c r="L54" s="363">
        <f t="shared" si="7"/>
        <v>1</v>
      </c>
      <c r="O54" s="401" t="s">
        <v>40</v>
      </c>
      <c r="P54" s="402">
        <f>SUMIF($D$8:$D$55,$O54,$G$8:$G$55)+SUMIF($F$8:$F$55,$O54,$I$8:$I$55)</f>
        <v>4</v>
      </c>
      <c r="Q54" s="402">
        <f>SUMIF($D$8:$D$55,$O54,$I$8:$I$55)+SUMIF($F$8:$F$55,$O54,$G$8:$G$55)</f>
        <v>2</v>
      </c>
      <c r="R54" s="402">
        <f>P54-Q54</f>
        <v>2</v>
      </c>
      <c r="S54" s="403">
        <f>SUMIF($D$8:$D$55,$O54,$K$8:$K$55)+SUMIF($F$8:$F$55,$O54,$L$8:$L$55)</f>
        <v>5</v>
      </c>
      <c r="T54" s="446" t="s">
        <v>83</v>
      </c>
      <c r="U54" s="392"/>
      <c r="V54" s="392" t="str">
        <f>O54</f>
        <v>Zuid Korea</v>
      </c>
      <c r="W54" s="392" t="s">
        <v>85</v>
      </c>
      <c r="Y54" s="109">
        <f t="shared" si="8"/>
        <v>1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1</v>
      </c>
      <c r="AG54" s="108">
        <f t="shared" si="0"/>
        <v>0</v>
      </c>
      <c r="AH54" s="108">
        <f t="shared" si="1"/>
        <v>1</v>
      </c>
      <c r="AI54" s="108">
        <f t="shared" si="10"/>
        <v>0</v>
      </c>
      <c r="AJ54" s="108">
        <f t="shared" si="2"/>
        <v>0</v>
      </c>
      <c r="AK54" s="108">
        <f t="shared" si="3"/>
        <v>0</v>
      </c>
      <c r="AL54" s="108">
        <f t="shared" si="4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1</v>
      </c>
      <c r="H55" s="388" t="s">
        <v>9</v>
      </c>
      <c r="I55" s="443">
        <v>1</v>
      </c>
      <c r="J55" s="390">
        <f t="shared" si="5"/>
        <v>3</v>
      </c>
      <c r="K55" s="363">
        <f t="shared" si="6"/>
        <v>1</v>
      </c>
      <c r="L55" s="363">
        <f t="shared" si="7"/>
        <v>1</v>
      </c>
      <c r="O55" s="392"/>
      <c r="P55" s="393"/>
      <c r="Q55" s="393"/>
      <c r="R55" s="393"/>
      <c r="S55" s="393"/>
      <c r="T55" s="393"/>
      <c r="U55" s="392"/>
      <c r="V55" s="392"/>
      <c r="W55" s="392"/>
      <c r="Y55" s="109">
        <f t="shared" si="8"/>
        <v>10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10</v>
      </c>
      <c r="AG55" s="108">
        <f t="shared" si="0"/>
        <v>1</v>
      </c>
      <c r="AH55" s="108">
        <f t="shared" si="1"/>
        <v>1</v>
      </c>
      <c r="AI55" s="108">
        <f t="shared" si="10"/>
        <v>10</v>
      </c>
      <c r="AJ55" s="108">
        <f t="shared" si="2"/>
        <v>0</v>
      </c>
      <c r="AK55" s="108">
        <f t="shared" si="3"/>
        <v>0</v>
      </c>
      <c r="AL55" s="108">
        <f t="shared" si="4"/>
        <v>5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27"/>
      <c r="K57" s="353"/>
      <c r="L57" s="353"/>
      <c r="M57" s="353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32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O58" s="458">
        <v>1</v>
      </c>
      <c r="P58" s="877" t="s">
        <v>224</v>
      </c>
      <c r="Q58" s="877"/>
      <c r="R58" s="877"/>
      <c r="S58" s="877"/>
      <c r="T58" s="878"/>
      <c r="V58" s="352" t="s">
        <v>132</v>
      </c>
      <c r="W58" s="352" t="s">
        <v>124</v>
      </c>
      <c r="X58" s="352" t="str">
        <f t="shared" ref="X58:X98" si="11">CONCATENATE(W58," ",V58)</f>
        <v>Jeroen Zoet (k)</v>
      </c>
      <c r="Y58" s="113" t="s">
        <v>91</v>
      </c>
      <c r="Z58" s="352" t="str">
        <f>IF(K58=""," ",VLOOKUP(K58,$T$9:$V$54,3,FALSE))</f>
        <v xml:space="preserve"> </v>
      </c>
      <c r="AA58" s="352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>IF(ISERROR(Z59),K59,Z59)</f>
        <v>Brazilië</v>
      </c>
      <c r="E59" s="367" t="s">
        <v>9</v>
      </c>
      <c r="F59" s="406" t="str">
        <f>IF(ISERROR(AA59),L59,AA59)</f>
        <v>Chili</v>
      </c>
      <c r="G59" s="435">
        <v>2</v>
      </c>
      <c r="H59" s="367" t="s">
        <v>9</v>
      </c>
      <c r="I59" s="447">
        <v>1</v>
      </c>
      <c r="J59" s="448">
        <v>1</v>
      </c>
      <c r="K59" s="407" t="s">
        <v>48</v>
      </c>
      <c r="L59" s="407" t="s">
        <v>53</v>
      </c>
      <c r="M59" s="407">
        <v>1</v>
      </c>
      <c r="O59" s="458">
        <v>2</v>
      </c>
      <c r="P59" s="877" t="s">
        <v>220</v>
      </c>
      <c r="Q59" s="877"/>
      <c r="R59" s="877"/>
      <c r="S59" s="877"/>
      <c r="T59" s="878"/>
      <c r="V59" s="352" t="s">
        <v>132</v>
      </c>
      <c r="W59" s="352" t="s">
        <v>111</v>
      </c>
      <c r="X59" s="352" t="str">
        <f t="shared" si="11"/>
        <v>Jasper Cillessen (k)</v>
      </c>
      <c r="Y59" s="109">
        <f t="shared" ref="Y59:Y66" si="13">AF59</f>
        <v>1</v>
      </c>
      <c r="Z59" s="352" t="str">
        <f t="shared" ref="Z59:AA65" si="14">IF(K59=""," ",VLOOKUP(K59,$T$9:$V$54,3,FALSE))</f>
        <v>Brazilië</v>
      </c>
      <c r="AA59" s="352" t="str">
        <f t="shared" si="14"/>
        <v>Chili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1</v>
      </c>
      <c r="AG59" s="108">
        <f t="shared" ref="AG59:AG66" si="16">IF(AC59="",0,(IF(G59=AC59,1,0)))</f>
        <v>0</v>
      </c>
      <c r="AH59" s="108">
        <f t="shared" ref="AH59:AH66" si="17">IF(AD59="",0,(IF(I59=AD59,1,0)))</f>
        <v>1</v>
      </c>
      <c r="AI59" s="108">
        <f t="shared" ref="AI59:AI66" si="18">IF(AND(AG59=1,AH59=1),10,0)</f>
        <v>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376">
        <v>50</v>
      </c>
      <c r="C60" s="466">
        <v>41818</v>
      </c>
      <c r="D60" s="460" t="str">
        <f t="shared" ref="D60:D66" si="23">IF(ISERROR(Z60),K60,Z60)</f>
        <v>Colombia</v>
      </c>
      <c r="E60" s="379" t="s">
        <v>9</v>
      </c>
      <c r="F60" s="409" t="str">
        <f t="shared" ref="F60:F66" si="24">IF(ISERROR(AA60),L60,AA60)</f>
        <v>Italië</v>
      </c>
      <c r="G60" s="437">
        <v>0</v>
      </c>
      <c r="H60" s="379" t="s">
        <v>9</v>
      </c>
      <c r="I60" s="449">
        <v>1</v>
      </c>
      <c r="J60" s="450">
        <v>2</v>
      </c>
      <c r="K60" s="407" t="s">
        <v>57</v>
      </c>
      <c r="L60" s="407" t="s">
        <v>63</v>
      </c>
      <c r="M60" s="407">
        <v>2</v>
      </c>
      <c r="O60" s="458">
        <v>3</v>
      </c>
      <c r="P60" s="877" t="s">
        <v>225</v>
      </c>
      <c r="Q60" s="877"/>
      <c r="R60" s="877"/>
      <c r="S60" s="877"/>
      <c r="T60" s="878"/>
      <c r="V60" s="352" t="s">
        <v>132</v>
      </c>
      <c r="W60" s="352" t="s">
        <v>110</v>
      </c>
      <c r="X60" s="352" t="str">
        <f t="shared" si="11"/>
        <v>Kenneth Vermeer (k)</v>
      </c>
      <c r="Y60" s="109">
        <f t="shared" si="13"/>
        <v>0</v>
      </c>
      <c r="Z60" s="352" t="str">
        <f t="shared" si="14"/>
        <v>Colombia</v>
      </c>
      <c r="AA60" s="352" t="str">
        <f t="shared" si="14"/>
        <v>Italië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0</v>
      </c>
      <c r="AG60" s="108">
        <f t="shared" si="16"/>
        <v>0</v>
      </c>
      <c r="AH60" s="108">
        <f t="shared" si="17"/>
        <v>0</v>
      </c>
      <c r="AI60" s="108">
        <f t="shared" si="18"/>
        <v>0</v>
      </c>
      <c r="AJ60" s="108">
        <f t="shared" si="19"/>
        <v>0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2"/>
        <v>3</v>
      </c>
    </row>
    <row r="61" spans="2:54">
      <c r="B61" s="364">
        <v>51</v>
      </c>
      <c r="C61" s="465">
        <v>41819</v>
      </c>
      <c r="D61" s="464" t="str">
        <f t="shared" si="23"/>
        <v>Spanje</v>
      </c>
      <c r="E61" s="367" t="s">
        <v>9</v>
      </c>
      <c r="F61" s="406" t="str">
        <f t="shared" si="24"/>
        <v>Mexico</v>
      </c>
      <c r="G61" s="435">
        <v>2</v>
      </c>
      <c r="H61" s="367" t="s">
        <v>9</v>
      </c>
      <c r="I61" s="447">
        <v>1</v>
      </c>
      <c r="J61" s="448">
        <v>1</v>
      </c>
      <c r="K61" s="407" t="s">
        <v>52</v>
      </c>
      <c r="L61" s="407" t="s">
        <v>49</v>
      </c>
      <c r="M61" s="407"/>
      <c r="O61" s="458">
        <v>4</v>
      </c>
      <c r="P61" s="877" t="s">
        <v>211</v>
      </c>
      <c r="Q61" s="877"/>
      <c r="R61" s="877"/>
      <c r="S61" s="877"/>
      <c r="T61" s="878"/>
      <c r="V61" s="352" t="s">
        <v>132</v>
      </c>
      <c r="W61" s="352" t="s">
        <v>191</v>
      </c>
      <c r="X61" s="352" t="str">
        <f t="shared" si="11"/>
        <v>Tim Krul (k)</v>
      </c>
      <c r="Y61" s="109">
        <f t="shared" si="13"/>
        <v>10</v>
      </c>
      <c r="Z61" s="352" t="str">
        <f t="shared" si="14"/>
        <v>Spanje</v>
      </c>
      <c r="AA61" s="352" t="str">
        <f t="shared" si="14"/>
        <v>Mexico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10</v>
      </c>
      <c r="AG61" s="108">
        <f t="shared" si="16"/>
        <v>1</v>
      </c>
      <c r="AH61" s="108">
        <f t="shared" si="17"/>
        <v>1</v>
      </c>
      <c r="AI61" s="108">
        <f t="shared" si="18"/>
        <v>10</v>
      </c>
      <c r="AJ61" s="108">
        <f t="shared" si="19"/>
        <v>5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3</v>
      </c>
      <c r="BB61" s="139">
        <f t="shared" si="22"/>
        <v>3</v>
      </c>
    </row>
    <row r="62" spans="2:54">
      <c r="B62" s="376">
        <v>52</v>
      </c>
      <c r="C62" s="466">
        <v>41819</v>
      </c>
      <c r="D62" s="464" t="str">
        <f t="shared" si="23"/>
        <v>Uruguay</v>
      </c>
      <c r="E62" s="379" t="s">
        <v>9</v>
      </c>
      <c r="F62" s="409" t="str">
        <f t="shared" si="24"/>
        <v>Japan</v>
      </c>
      <c r="G62" s="437">
        <v>1</v>
      </c>
      <c r="H62" s="379" t="s">
        <v>9</v>
      </c>
      <c r="I62" s="449">
        <v>1</v>
      </c>
      <c r="J62" s="450">
        <v>1</v>
      </c>
      <c r="K62" s="407" t="s">
        <v>62</v>
      </c>
      <c r="L62" s="407" t="s">
        <v>58</v>
      </c>
      <c r="M62" s="407"/>
      <c r="O62" s="458">
        <v>5</v>
      </c>
      <c r="P62" s="877" t="s">
        <v>212</v>
      </c>
      <c r="Q62" s="877"/>
      <c r="R62" s="877"/>
      <c r="S62" s="877"/>
      <c r="T62" s="878"/>
      <c r="V62" s="352" t="s">
        <v>132</v>
      </c>
      <c r="W62" s="352" t="s">
        <v>192</v>
      </c>
      <c r="X62" s="352" t="str">
        <f t="shared" si="11"/>
        <v>Maarten Stekelenburg (k)</v>
      </c>
      <c r="Y62" s="109">
        <f t="shared" si="13"/>
        <v>10</v>
      </c>
      <c r="Z62" s="352" t="str">
        <f t="shared" si="14"/>
        <v>Uruguay</v>
      </c>
      <c r="AA62" s="352" t="str">
        <f t="shared" si="14"/>
        <v>Japan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10</v>
      </c>
      <c r="AG62" s="108">
        <f t="shared" si="16"/>
        <v>1</v>
      </c>
      <c r="AH62" s="108">
        <f t="shared" si="17"/>
        <v>1</v>
      </c>
      <c r="AI62" s="108">
        <f t="shared" si="18"/>
        <v>10</v>
      </c>
      <c r="AJ62" s="108">
        <f t="shared" si="19"/>
        <v>0</v>
      </c>
      <c r="AK62" s="108">
        <f t="shared" si="20"/>
        <v>0</v>
      </c>
      <c r="AL62" s="108">
        <f t="shared" si="21"/>
        <v>5</v>
      </c>
      <c r="AZ62" s="138" t="str">
        <f>Uitslag!P62</f>
        <v>Bruno Martins Indi (v)</v>
      </c>
      <c r="BA62" s="140">
        <f t="shared" si="12"/>
        <v>3</v>
      </c>
      <c r="BB62" s="139">
        <f t="shared" si="22"/>
        <v>3</v>
      </c>
    </row>
    <row r="63" spans="2:54">
      <c r="B63" s="364">
        <v>53</v>
      </c>
      <c r="C63" s="465">
        <v>41820</v>
      </c>
      <c r="D63" s="459" t="str">
        <f t="shared" si="23"/>
        <v>Frankrijk</v>
      </c>
      <c r="E63" s="367" t="s">
        <v>9</v>
      </c>
      <c r="F63" s="406" t="str">
        <f t="shared" si="24"/>
        <v>Nigeria</v>
      </c>
      <c r="G63" s="435">
        <v>2</v>
      </c>
      <c r="H63" s="367" t="s">
        <v>9</v>
      </c>
      <c r="I63" s="447">
        <v>0</v>
      </c>
      <c r="J63" s="448">
        <v>1</v>
      </c>
      <c r="K63" s="407" t="s">
        <v>67</v>
      </c>
      <c r="L63" s="407" t="s">
        <v>73</v>
      </c>
      <c r="M63" s="407"/>
      <c r="O63" s="458">
        <v>6</v>
      </c>
      <c r="P63" s="877" t="s">
        <v>209</v>
      </c>
      <c r="Q63" s="877"/>
      <c r="R63" s="877"/>
      <c r="S63" s="877"/>
      <c r="T63" s="878"/>
      <c r="V63" s="352" t="s">
        <v>132</v>
      </c>
      <c r="W63" s="352" t="s">
        <v>193</v>
      </c>
      <c r="X63" s="352" t="str">
        <f t="shared" si="11"/>
        <v>Michel Vorm (k)</v>
      </c>
      <c r="Y63" s="109">
        <f t="shared" si="13"/>
        <v>10</v>
      </c>
      <c r="Z63" s="352" t="str">
        <f t="shared" si="14"/>
        <v>Frankrijk</v>
      </c>
      <c r="AA63" s="352" t="str">
        <f t="shared" si="14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10</v>
      </c>
      <c r="AG63" s="108">
        <f t="shared" si="16"/>
        <v>1</v>
      </c>
      <c r="AH63" s="108">
        <f t="shared" si="17"/>
        <v>1</v>
      </c>
      <c r="AI63" s="108">
        <f t="shared" si="18"/>
        <v>10</v>
      </c>
      <c r="AJ63" s="108">
        <f t="shared" si="19"/>
        <v>5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3</v>
      </c>
      <c r="BB63" s="139">
        <f t="shared" si="22"/>
        <v>3</v>
      </c>
    </row>
    <row r="64" spans="2:54">
      <c r="B64" s="376">
        <v>54</v>
      </c>
      <c r="C64" s="466">
        <v>41820</v>
      </c>
      <c r="D64" s="460" t="str">
        <f t="shared" si="23"/>
        <v>Duitsland</v>
      </c>
      <c r="E64" s="379" t="s">
        <v>9</v>
      </c>
      <c r="F64" s="409" t="str">
        <f t="shared" si="24"/>
        <v>Zuid Korea</v>
      </c>
      <c r="G64" s="437">
        <v>2</v>
      </c>
      <c r="H64" s="379" t="s">
        <v>9</v>
      </c>
      <c r="I64" s="449">
        <v>0</v>
      </c>
      <c r="J64" s="450">
        <v>1</v>
      </c>
      <c r="K64" s="407" t="s">
        <v>77</v>
      </c>
      <c r="L64" s="407" t="s">
        <v>83</v>
      </c>
      <c r="M64" s="407"/>
      <c r="O64" s="458">
        <v>7</v>
      </c>
      <c r="P64" s="877" t="s">
        <v>221</v>
      </c>
      <c r="Q64" s="877"/>
      <c r="R64" s="877"/>
      <c r="S64" s="877"/>
      <c r="T64" s="878"/>
      <c r="V64" s="352" t="s">
        <v>133</v>
      </c>
      <c r="W64" s="352" t="s">
        <v>112</v>
      </c>
      <c r="X64" s="352" t="str">
        <f t="shared" si="11"/>
        <v>Joël Veltman (v)</v>
      </c>
      <c r="Y64" s="109">
        <f t="shared" si="13"/>
        <v>1</v>
      </c>
      <c r="Z64" s="352" t="str">
        <f t="shared" si="14"/>
        <v>Duitsland</v>
      </c>
      <c r="AA64" s="352" t="str">
        <f t="shared" si="14"/>
        <v>Zuid Korea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1</v>
      </c>
      <c r="AG64" s="108">
        <f t="shared" si="16"/>
        <v>0</v>
      </c>
      <c r="AH64" s="108">
        <f t="shared" si="17"/>
        <v>1</v>
      </c>
      <c r="AI64" s="108">
        <f t="shared" si="18"/>
        <v>0</v>
      </c>
      <c r="AJ64" s="108">
        <f t="shared" si="19"/>
        <v>0</v>
      </c>
      <c r="AK64" s="108">
        <f t="shared" si="20"/>
        <v>0</v>
      </c>
      <c r="AL64" s="108">
        <f t="shared" si="21"/>
        <v>0</v>
      </c>
      <c r="AZ64" s="138" t="str">
        <f>Uitslag!P64</f>
        <v>Wesley Sneijder (m)</v>
      </c>
      <c r="BA64" s="140">
        <f t="shared" si="12"/>
        <v>0</v>
      </c>
      <c r="BB64" s="139">
        <f t="shared" si="22"/>
        <v>0</v>
      </c>
    </row>
    <row r="65" spans="2:54">
      <c r="B65" s="370">
        <v>55</v>
      </c>
      <c r="C65" s="467">
        <v>41821</v>
      </c>
      <c r="D65" s="459" t="str">
        <f t="shared" si="23"/>
        <v>Argentinië</v>
      </c>
      <c r="E65" s="373" t="s">
        <v>9</v>
      </c>
      <c r="F65" s="410" t="str">
        <f t="shared" si="24"/>
        <v>Zwitserland</v>
      </c>
      <c r="G65" s="436">
        <v>2</v>
      </c>
      <c r="H65" s="373" t="s">
        <v>9</v>
      </c>
      <c r="I65" s="451">
        <v>1</v>
      </c>
      <c r="J65" s="452">
        <v>1</v>
      </c>
      <c r="K65" s="407" t="s">
        <v>72</v>
      </c>
      <c r="L65" s="407" t="s">
        <v>68</v>
      </c>
      <c r="M65" s="407"/>
      <c r="O65" s="458">
        <v>8</v>
      </c>
      <c r="P65" s="877" t="s">
        <v>213</v>
      </c>
      <c r="Q65" s="877"/>
      <c r="R65" s="877"/>
      <c r="S65" s="877"/>
      <c r="T65" s="878"/>
      <c r="V65" s="352" t="s">
        <v>133</v>
      </c>
      <c r="W65" s="352" t="s">
        <v>109</v>
      </c>
      <c r="X65" s="352" t="str">
        <f t="shared" si="11"/>
        <v>Daley Blind (v)</v>
      </c>
      <c r="Y65" s="109">
        <f t="shared" si="13"/>
        <v>0</v>
      </c>
      <c r="Z65" s="352" t="str">
        <f t="shared" si="14"/>
        <v>Argentinië</v>
      </c>
      <c r="AA65" s="352" t="str">
        <f t="shared" si="14"/>
        <v>Zwitserland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0</v>
      </c>
      <c r="AG65" s="108">
        <f t="shared" si="16"/>
        <v>0</v>
      </c>
      <c r="AH65" s="108">
        <f t="shared" si="17"/>
        <v>0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2"/>
        <v>3</v>
      </c>
    </row>
    <row r="66" spans="2:54" ht="15.75" thickBot="1">
      <c r="B66" s="385">
        <v>56</v>
      </c>
      <c r="C66" s="462">
        <v>41821</v>
      </c>
      <c r="D66" s="461" t="str">
        <f t="shared" si="23"/>
        <v>België</v>
      </c>
      <c r="E66" s="388" t="s">
        <v>9</v>
      </c>
      <c r="F66" s="412" t="str">
        <f t="shared" si="24"/>
        <v>Portugal</v>
      </c>
      <c r="G66" s="438">
        <v>2</v>
      </c>
      <c r="H66" s="388" t="s">
        <v>9</v>
      </c>
      <c r="I66" s="453">
        <v>2</v>
      </c>
      <c r="J66" s="454">
        <v>1</v>
      </c>
      <c r="K66" s="407" t="s">
        <v>82</v>
      </c>
      <c r="L66" s="407" t="s">
        <v>78</v>
      </c>
      <c r="M66" s="407"/>
      <c r="O66" s="458">
        <v>9</v>
      </c>
      <c r="P66" s="877" t="s">
        <v>214</v>
      </c>
      <c r="Q66" s="877"/>
      <c r="R66" s="877"/>
      <c r="S66" s="877"/>
      <c r="T66" s="878"/>
      <c r="V66" s="352" t="s">
        <v>133</v>
      </c>
      <c r="W66" s="352" t="s">
        <v>115</v>
      </c>
      <c r="X66" s="352" t="str">
        <f t="shared" si="11"/>
        <v>Daryl Janmaat (v)</v>
      </c>
      <c r="Y66" s="109">
        <f t="shared" si="13"/>
        <v>5</v>
      </c>
      <c r="Z66" s="352" t="str">
        <f>IF(K66=""," ",VLOOKUP(K66,$T$9:$V$54,3,FALSE))</f>
        <v>België</v>
      </c>
      <c r="AA66" s="352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5</v>
      </c>
      <c r="AG66" s="108">
        <f t="shared" si="16"/>
        <v>0</v>
      </c>
      <c r="AH66" s="108">
        <f t="shared" si="17"/>
        <v>0</v>
      </c>
      <c r="AI66" s="108">
        <f t="shared" si="18"/>
        <v>0</v>
      </c>
      <c r="AJ66" s="108">
        <f t="shared" si="19"/>
        <v>0</v>
      </c>
      <c r="AK66" s="108">
        <f t="shared" si="20"/>
        <v>0</v>
      </c>
      <c r="AL66" s="108">
        <f t="shared" si="21"/>
        <v>5</v>
      </c>
      <c r="AZ66" s="138" t="str">
        <f>Uitslag!P66</f>
        <v>Jonathan de Guzman (m)</v>
      </c>
      <c r="BA66" s="140">
        <f t="shared" si="12"/>
        <v>3</v>
      </c>
      <c r="BB66" s="139">
        <f t="shared" si="22"/>
        <v>3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O67" s="458">
        <v>10</v>
      </c>
      <c r="P67" s="877" t="s">
        <v>215</v>
      </c>
      <c r="Q67" s="877"/>
      <c r="R67" s="877"/>
      <c r="S67" s="877"/>
      <c r="T67" s="878"/>
      <c r="V67" s="352" t="s">
        <v>133</v>
      </c>
      <c r="W67" s="352" t="s">
        <v>118</v>
      </c>
      <c r="X67" s="352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2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27"/>
      <c r="K68" s="353"/>
      <c r="L68" s="353"/>
      <c r="M68" s="353"/>
      <c r="O68" s="458">
        <v>11</v>
      </c>
      <c r="P68" s="877" t="s">
        <v>216</v>
      </c>
      <c r="Q68" s="877"/>
      <c r="R68" s="877"/>
      <c r="S68" s="877"/>
      <c r="T68" s="878"/>
      <c r="V68" s="352" t="s">
        <v>133</v>
      </c>
      <c r="W68" s="352" t="s">
        <v>119</v>
      </c>
      <c r="X68" s="352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2"/>
        <v>3</v>
      </c>
    </row>
    <row r="69" spans="2:54">
      <c r="B69" s="428" t="s">
        <v>1</v>
      </c>
      <c r="C69" s="429" t="s">
        <v>2</v>
      </c>
      <c r="D69" s="430" t="s">
        <v>3</v>
      </c>
      <c r="E69" s="431"/>
      <c r="F69" s="432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V69" s="352" t="s">
        <v>133</v>
      </c>
      <c r="W69" s="352" t="s">
        <v>121</v>
      </c>
      <c r="X69" s="352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30</v>
      </c>
      <c r="BB69" s="139" t="str">
        <f>IF(AND(BA69&lt;&gt;"",BA69=33),15,"nvt")</f>
        <v>nvt</v>
      </c>
    </row>
    <row r="70" spans="2:54">
      <c r="B70" s="364">
        <v>57</v>
      </c>
      <c r="C70" s="365">
        <v>41824</v>
      </c>
      <c r="D70" s="405" t="str">
        <f>IF(J63="","Winnaar 53",IF(J63=1,D63,F63))</f>
        <v>Frankrijk</v>
      </c>
      <c r="E70" s="367" t="s">
        <v>9</v>
      </c>
      <c r="F70" s="406" t="str">
        <f>IF(J64="","Winnaar 54",IF(J64=1,D64,F64))</f>
        <v>Duitsland</v>
      </c>
      <c r="G70" s="435">
        <v>2</v>
      </c>
      <c r="H70" s="367" t="s">
        <v>9</v>
      </c>
      <c r="I70" s="447">
        <v>1</v>
      </c>
      <c r="J70" s="448">
        <v>1</v>
      </c>
      <c r="K70" s="353"/>
      <c r="L70" s="353"/>
      <c r="M70" s="353"/>
      <c r="V70" s="352" t="s">
        <v>133</v>
      </c>
      <c r="W70" s="352" t="s">
        <v>126</v>
      </c>
      <c r="X70" s="352" t="str">
        <f t="shared" si="11"/>
        <v>Karim Rekik (v)</v>
      </c>
      <c r="Y70" s="109">
        <f>AF70</f>
        <v>1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1</v>
      </c>
      <c r="AG70" s="108">
        <f>IF(AC70="",0,(IF(G70=AC70,1,0)))</f>
        <v>0</v>
      </c>
      <c r="AH70" s="108">
        <f>IF(AD70="",0,(IF(I70=AD70,1,0)))</f>
        <v>1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0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Brazilië</v>
      </c>
      <c r="E71" s="379" t="s">
        <v>9</v>
      </c>
      <c r="F71" s="409" t="str">
        <f>IF(J60="","Winnaar 50",IF(J60=1,D60,F60))</f>
        <v>Italië</v>
      </c>
      <c r="G71" s="437">
        <v>1</v>
      </c>
      <c r="H71" s="379" t="s">
        <v>9</v>
      </c>
      <c r="I71" s="449">
        <v>1</v>
      </c>
      <c r="J71" s="450">
        <v>1</v>
      </c>
      <c r="K71" s="353"/>
      <c r="L71" s="353"/>
      <c r="M71" s="353"/>
      <c r="V71" s="352" t="s">
        <v>133</v>
      </c>
      <c r="W71" s="352" t="s">
        <v>194</v>
      </c>
      <c r="X71" s="352" t="str">
        <f t="shared" si="11"/>
        <v>Ron Vlaar (v)</v>
      </c>
      <c r="Y71" s="109">
        <f>AF71</f>
        <v>1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1</v>
      </c>
      <c r="AG71" s="108">
        <f>IF(AC71="",0,(IF(G71=AC71,1,0)))</f>
        <v>0</v>
      </c>
      <c r="AH71" s="108">
        <f>IF(AD71="",0,(IF(I71=AD71,1,0)))</f>
        <v>1</v>
      </c>
      <c r="AI71" s="108">
        <f>IF(AND(AG71=1,AH71=1),10,0)</f>
        <v>0</v>
      </c>
      <c r="AJ71" s="108">
        <f>IF(AND(G71&gt;I71,AC71&gt;AD71),5,0)</f>
        <v>0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Argentinië</v>
      </c>
      <c r="E72" s="367" t="s">
        <v>9</v>
      </c>
      <c r="F72" s="406" t="str">
        <f>IF(J66="","Winnaar 56",IF(J66=1,D66,F66))</f>
        <v>België</v>
      </c>
      <c r="G72" s="435">
        <v>2</v>
      </c>
      <c r="H72" s="367" t="s">
        <v>9</v>
      </c>
      <c r="I72" s="447">
        <v>2</v>
      </c>
      <c r="J72" s="448">
        <v>2</v>
      </c>
      <c r="K72" s="353"/>
      <c r="L72" s="353"/>
      <c r="M72" s="353"/>
      <c r="V72" s="352" t="s">
        <v>133</v>
      </c>
      <c r="W72" s="352" t="s">
        <v>195</v>
      </c>
      <c r="X72" s="352" t="str">
        <f t="shared" si="11"/>
        <v>John Heitinga (v)</v>
      </c>
      <c r="Y72" s="109">
        <f>AF72</f>
        <v>0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0</v>
      </c>
      <c r="AG72" s="108">
        <f>IF(AC72="",0,(IF(G72=AC72,1,0)))</f>
        <v>0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0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Spanje</v>
      </c>
      <c r="E73" s="388" t="s">
        <v>9</v>
      </c>
      <c r="F73" s="412" t="str">
        <f>IF(J62="","Winnaar 52",IF(J62=1,D62,F62))</f>
        <v>Uruguay</v>
      </c>
      <c r="G73" s="438">
        <v>2</v>
      </c>
      <c r="H73" s="388" t="s">
        <v>9</v>
      </c>
      <c r="I73" s="453">
        <v>2</v>
      </c>
      <c r="J73" s="454">
        <v>2</v>
      </c>
      <c r="K73" s="353"/>
      <c r="L73" s="353"/>
      <c r="M73" s="353"/>
      <c r="V73" s="352" t="s">
        <v>133</v>
      </c>
      <c r="W73" s="352" t="s">
        <v>196</v>
      </c>
      <c r="X73" s="352" t="str">
        <f t="shared" si="11"/>
        <v>Urby Emanuelson (v)</v>
      </c>
      <c r="Y73" s="109">
        <f>AF73</f>
        <v>5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5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5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V74" s="352" t="s">
        <v>133</v>
      </c>
      <c r="W74" s="352" t="s">
        <v>197</v>
      </c>
      <c r="X74" s="352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27"/>
      <c r="K75" s="353"/>
      <c r="L75" s="353"/>
      <c r="M75" s="353"/>
      <c r="V75" s="352" t="s">
        <v>133</v>
      </c>
      <c r="W75" s="352" t="s">
        <v>198</v>
      </c>
      <c r="X75" s="352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30" t="s">
        <v>3</v>
      </c>
      <c r="E76" s="431"/>
      <c r="F76" s="432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V76" s="352" t="s">
        <v>133</v>
      </c>
      <c r="W76" s="352" t="s">
        <v>202</v>
      </c>
      <c r="X76" s="352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Frankrijk</v>
      </c>
      <c r="E77" s="367" t="s">
        <v>9</v>
      </c>
      <c r="F77" s="406" t="str">
        <f>IF(J71="","Winnaar 58",IF(J71=1,D71,F71))</f>
        <v>Brazilië</v>
      </c>
      <c r="G77" s="435">
        <v>0</v>
      </c>
      <c r="H77" s="367" t="s">
        <v>9</v>
      </c>
      <c r="I77" s="447">
        <v>2</v>
      </c>
      <c r="J77" s="448">
        <v>2</v>
      </c>
      <c r="K77" s="353"/>
      <c r="L77" s="353"/>
      <c r="M77" s="353"/>
      <c r="V77" s="352" t="s">
        <v>134</v>
      </c>
      <c r="W77" s="352" t="s">
        <v>203</v>
      </c>
      <c r="X77" s="352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België</v>
      </c>
      <c r="E78" s="388" t="s">
        <v>9</v>
      </c>
      <c r="F78" s="412" t="str">
        <f>IF(J73="","Winnaar 60",IF(J73=1,D73,F73))</f>
        <v>Uruguay</v>
      </c>
      <c r="G78" s="438">
        <v>1</v>
      </c>
      <c r="H78" s="388" t="s">
        <v>9</v>
      </c>
      <c r="I78" s="453">
        <v>1</v>
      </c>
      <c r="J78" s="454">
        <v>2</v>
      </c>
      <c r="K78" s="353"/>
      <c r="L78" s="353"/>
      <c r="M78" s="353"/>
      <c r="V78" s="352" t="s">
        <v>134</v>
      </c>
      <c r="W78" s="352" t="s">
        <v>199</v>
      </c>
      <c r="X78" s="352" t="str">
        <f t="shared" si="11"/>
        <v>Leroy Fer (m)</v>
      </c>
      <c r="Y78" s="109">
        <f>AF78</f>
        <v>5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5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5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V79" s="352" t="s">
        <v>134</v>
      </c>
      <c r="W79" s="352" t="s">
        <v>114</v>
      </c>
      <c r="X79" s="352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27"/>
      <c r="K80" s="353"/>
      <c r="L80" s="353"/>
      <c r="M80" s="353"/>
      <c r="V80" s="352" t="s">
        <v>134</v>
      </c>
      <c r="W80" s="352" t="s">
        <v>117</v>
      </c>
      <c r="X80" s="352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30" t="s">
        <v>3</v>
      </c>
      <c r="E81" s="431"/>
      <c r="F81" s="432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V81" s="352" t="s">
        <v>134</v>
      </c>
      <c r="W81" s="352" t="s">
        <v>120</v>
      </c>
      <c r="X81" s="352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Frankrijk</v>
      </c>
      <c r="E82" s="355" t="s">
        <v>9</v>
      </c>
      <c r="F82" s="415" t="str">
        <f>IF(J78="","Verliezer 62",IF(J78=1,F78,D78))</f>
        <v>België</v>
      </c>
      <c r="G82" s="455">
        <v>1</v>
      </c>
      <c r="H82" s="355" t="s">
        <v>9</v>
      </c>
      <c r="I82" s="456">
        <v>2</v>
      </c>
      <c r="J82" s="457">
        <v>2</v>
      </c>
      <c r="K82" s="353"/>
      <c r="L82" s="353"/>
      <c r="M82" s="353"/>
      <c r="V82" s="352" t="s">
        <v>134</v>
      </c>
      <c r="W82" s="352" t="s">
        <v>125</v>
      </c>
      <c r="X82" s="352" t="str">
        <f t="shared" si="11"/>
        <v>Georginio Wijnaldum (m)</v>
      </c>
      <c r="Y82" s="109">
        <f>AF82</f>
        <v>5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5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5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V83" s="352" t="s">
        <v>134</v>
      </c>
      <c r="W83" s="352" t="s">
        <v>136</v>
      </c>
      <c r="X83" s="352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27"/>
      <c r="K84" s="353"/>
      <c r="L84" s="353"/>
      <c r="M84" s="353"/>
      <c r="V84" s="352" t="s">
        <v>134</v>
      </c>
      <c r="W84" s="352" t="s">
        <v>137</v>
      </c>
      <c r="X84" s="352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30" t="s">
        <v>3</v>
      </c>
      <c r="E85" s="431"/>
      <c r="F85" s="432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V85" s="352" t="s">
        <v>134</v>
      </c>
      <c r="W85" s="352" t="s">
        <v>138</v>
      </c>
      <c r="X85" s="352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Brazilië</v>
      </c>
      <c r="E86" s="355" t="s">
        <v>9</v>
      </c>
      <c r="F86" s="415" t="str">
        <f>IF(J78="","Winnaar 62",IF(J78=1,D78,F78))</f>
        <v>Uruguay</v>
      </c>
      <c r="G86" s="455">
        <v>3</v>
      </c>
      <c r="H86" s="355" t="s">
        <v>9</v>
      </c>
      <c r="I86" s="456">
        <v>2</v>
      </c>
      <c r="J86" s="457">
        <v>1</v>
      </c>
      <c r="K86" s="353"/>
      <c r="L86" s="353"/>
      <c r="M86" s="353"/>
      <c r="V86" s="352" t="s">
        <v>134</v>
      </c>
      <c r="W86" s="352" t="s">
        <v>139</v>
      </c>
      <c r="X86" s="352" t="str">
        <f t="shared" si="11"/>
        <v>Nigel de Jong (m)</v>
      </c>
      <c r="Y86" s="109">
        <f>AF86</f>
        <v>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0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353"/>
      <c r="C87" s="129"/>
      <c r="D87" s="392"/>
      <c r="E87" s="353"/>
      <c r="F87" s="392"/>
      <c r="G87" s="353"/>
      <c r="H87" s="353"/>
      <c r="I87" s="353"/>
      <c r="J87" s="353"/>
      <c r="K87" s="353"/>
      <c r="L87" s="353"/>
      <c r="M87" s="353"/>
      <c r="V87" s="352" t="s">
        <v>135</v>
      </c>
      <c r="W87" s="352" t="s">
        <v>205</v>
      </c>
      <c r="X87" s="352" t="str">
        <f t="shared" si="11"/>
        <v>Ricky van Wolfswinkel (a)</v>
      </c>
      <c r="AP87" s="136" t="s">
        <v>102</v>
      </c>
    </row>
    <row r="88" spans="2:50">
      <c r="B88" s="353"/>
      <c r="C88" s="129"/>
      <c r="D88" s="392"/>
      <c r="E88" s="353"/>
      <c r="F88" s="392"/>
      <c r="G88" s="353"/>
      <c r="H88" s="353"/>
      <c r="I88" s="353"/>
      <c r="J88" s="353"/>
      <c r="K88" s="353"/>
      <c r="L88" s="353"/>
      <c r="M88" s="353"/>
      <c r="V88" s="352" t="s">
        <v>135</v>
      </c>
      <c r="W88" s="352" t="s">
        <v>204</v>
      </c>
      <c r="X88" s="352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458"/>
    </row>
    <row r="89" spans="2:50" ht="20.25">
      <c r="C89" s="874" t="s">
        <v>101</v>
      </c>
      <c r="D89" s="871"/>
      <c r="E89" s="873" t="str">
        <f>IF(J86=1,D86,IF(J86=2,F86,"Wie zal het worden?"))</f>
        <v>Brazilië</v>
      </c>
      <c r="F89" s="873"/>
      <c r="G89" s="873"/>
      <c r="H89" s="873"/>
      <c r="I89" s="873"/>
      <c r="J89" s="873"/>
      <c r="K89" s="353"/>
      <c r="L89" s="353"/>
      <c r="M89" s="353"/>
      <c r="V89" s="352" t="s">
        <v>135</v>
      </c>
      <c r="W89" s="352" t="s">
        <v>201</v>
      </c>
      <c r="X89" s="352" t="str">
        <f t="shared" si="11"/>
        <v>Jermain Lens (a)</v>
      </c>
      <c r="AP89" s="109">
        <f>AU89</f>
        <v>5</v>
      </c>
      <c r="AQ89" s="131">
        <v>1</v>
      </c>
      <c r="AR89" s="904" t="str">
        <f>Uitslag!E89</f>
        <v>Duitsland</v>
      </c>
      <c r="AS89" s="905"/>
      <c r="AT89" s="906"/>
      <c r="AU89" s="352">
        <f>SUM(AV89:AX89)</f>
        <v>5</v>
      </c>
      <c r="AV89" s="352">
        <f>IF(AR89=0,0,IF(E89=AR89,50,0))</f>
        <v>0</v>
      </c>
      <c r="AW89" s="352">
        <f>IF(E89=0,0,IF(OR(E89=AR90),15,0))</f>
        <v>0</v>
      </c>
      <c r="AX89" s="352">
        <f>IF(E89=0,0,IF(OR(E89=AR91,E89=AR92),5,0))</f>
        <v>5</v>
      </c>
    </row>
    <row r="90" spans="2:50">
      <c r="C90" s="870">
        <v>2</v>
      </c>
      <c r="D90" s="871"/>
      <c r="E90" s="872" t="str">
        <f>IF(J86=2,D86,IF(J86=1,F86,"Wie wordt 2de?"))</f>
        <v>Uruguay</v>
      </c>
      <c r="F90" s="872"/>
      <c r="G90" s="872"/>
      <c r="H90" s="872"/>
      <c r="I90" s="872"/>
      <c r="J90" s="872"/>
      <c r="V90" s="352" t="s">
        <v>135</v>
      </c>
      <c r="W90" s="352" t="s">
        <v>200</v>
      </c>
      <c r="X90" s="352" t="str">
        <f t="shared" si="11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 s="352">
        <f>SUM(AV90:AX90)</f>
        <v>0</v>
      </c>
      <c r="AV90" s="352">
        <f>IF(AR90=0,0,IF(AR90=E90,25,0))</f>
        <v>0</v>
      </c>
      <c r="AW90" s="352">
        <f>IF(E90=0,0,IF(OR(E90=AR89,),15,0))</f>
        <v>0</v>
      </c>
      <c r="AX90" s="352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België</v>
      </c>
      <c r="F91" s="872"/>
      <c r="G91" s="872"/>
      <c r="H91" s="872"/>
      <c r="I91" s="872"/>
      <c r="J91" s="872"/>
      <c r="V91" s="352" t="s">
        <v>135</v>
      </c>
      <c r="W91" s="352" t="s">
        <v>128</v>
      </c>
      <c r="X91" s="352" t="str">
        <f t="shared" si="11"/>
        <v>Jürgen Locadia (a)</v>
      </c>
      <c r="AP91" s="109">
        <f>AU91</f>
        <v>0</v>
      </c>
      <c r="AQ91" s="131">
        <v>3</v>
      </c>
      <c r="AR91" s="904" t="str">
        <f>Uitslag!E91</f>
        <v>Nederland</v>
      </c>
      <c r="AS91" s="905"/>
      <c r="AT91" s="906"/>
      <c r="AU91" s="352">
        <f>SUM(AV91:AX91)</f>
        <v>0</v>
      </c>
      <c r="AV91" s="352">
        <f>IF(AR91=0,0,IF(AR91=E91,15,0))</f>
        <v>0</v>
      </c>
      <c r="AW91" s="352">
        <f>IF(E91=0,0,IF(OR(E91=AR92),10,0))</f>
        <v>0</v>
      </c>
      <c r="AX91" s="352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Frankrijk</v>
      </c>
      <c r="F92" s="872"/>
      <c r="G92" s="872"/>
      <c r="H92" s="872"/>
      <c r="I92" s="872"/>
      <c r="J92" s="872"/>
      <c r="V92" s="352" t="s">
        <v>135</v>
      </c>
      <c r="W92" s="352" t="s">
        <v>127</v>
      </c>
      <c r="X92" s="35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 s="352">
        <f>SUM(AV92:AX92)</f>
        <v>0</v>
      </c>
      <c r="AV92" s="352">
        <f>IF(AR92=0,0,IF(AR92=E92,15,0))</f>
        <v>0</v>
      </c>
      <c r="AW92" s="352">
        <f>IF(E92=0,0,IF(OR(E92=AR91,),10,0))</f>
        <v>0</v>
      </c>
      <c r="AX92" s="352">
        <f>IF(E92=0,0,IF(OR(E92=AR89,E92=AR90),5,0))</f>
        <v>0</v>
      </c>
    </row>
    <row r="93" spans="2:50" ht="15.75" thickBot="1">
      <c r="V93" s="352" t="s">
        <v>135</v>
      </c>
      <c r="W93" s="352" t="s">
        <v>123</v>
      </c>
      <c r="X93" s="352" t="str">
        <f t="shared" si="11"/>
        <v>Quincy Promes (a)</v>
      </c>
      <c r="AS93" s="132"/>
      <c r="AU93" s="133">
        <f>SUM(AU89:AU92)</f>
        <v>5</v>
      </c>
    </row>
    <row r="94" spans="2:50" ht="15.75" thickTop="1">
      <c r="V94" s="352" t="s">
        <v>135</v>
      </c>
      <c r="W94" s="352" t="s">
        <v>122</v>
      </c>
      <c r="X94" s="352" t="str">
        <f t="shared" si="11"/>
        <v>Luc Castaignos (a)</v>
      </c>
    </row>
    <row r="95" spans="2:50">
      <c r="V95" s="352" t="s">
        <v>135</v>
      </c>
      <c r="W95" s="352" t="s">
        <v>113</v>
      </c>
      <c r="X95" s="352" t="str">
        <f t="shared" si="11"/>
        <v>Jean-Paul Boëtius (a)</v>
      </c>
    </row>
    <row r="96" spans="2:50">
      <c r="V96" s="352" t="s">
        <v>135</v>
      </c>
      <c r="W96" s="352" t="s">
        <v>129</v>
      </c>
      <c r="X96" s="352" t="str">
        <f t="shared" si="11"/>
        <v>Luciano Narsingh (a)</v>
      </c>
    </row>
    <row r="97" spans="22:24">
      <c r="V97" s="352" t="s">
        <v>135</v>
      </c>
      <c r="W97" s="352" t="s">
        <v>130</v>
      </c>
      <c r="X97" s="352" t="str">
        <f t="shared" si="11"/>
        <v>Robin van Persie (a)</v>
      </c>
    </row>
    <row r="98" spans="22:24">
      <c r="V98" s="352" t="s">
        <v>135</v>
      </c>
      <c r="W98" s="352" t="s">
        <v>131</v>
      </c>
      <c r="X98" s="352" t="str">
        <f t="shared" si="11"/>
        <v>Arjen Robben (a)</v>
      </c>
    </row>
  </sheetData>
  <mergeCells count="36">
    <mergeCell ref="C91:D91"/>
    <mergeCell ref="E91:J91"/>
    <mergeCell ref="AR91:AT91"/>
    <mergeCell ref="C92:D92"/>
    <mergeCell ref="E92:J92"/>
    <mergeCell ref="AR92:AT92"/>
    <mergeCell ref="C89:D89"/>
    <mergeCell ref="E89:J89"/>
    <mergeCell ref="AR89:AT89"/>
    <mergeCell ref="C90:D90"/>
    <mergeCell ref="E90:J90"/>
    <mergeCell ref="AR90:AT90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</mergeCells>
  <conditionalFormatting sqref="AO9:AO12 AO15:AO18 AO21:AO24 AO27:AO30 AO33:AO36 AO39:AO42 AO45:AO48 AO51:AO54">
    <cfRule type="cellIs" dxfId="104" priority="3" operator="equal">
      <formula>10</formula>
    </cfRule>
  </conditionalFormatting>
  <conditionalFormatting sqref="P58:T58">
    <cfRule type="duplicateValues" dxfId="103" priority="2"/>
  </conditionalFormatting>
  <conditionalFormatting sqref="P58:T68">
    <cfRule type="duplicateValues" dxfId="102" priority="1"/>
  </conditionalFormatting>
  <dataValidations count="10">
    <dataValidation type="list" allowBlank="1" showInputMessage="1" showErrorMessage="1" sqref="P58:P68">
      <formula1>$X$58:$X$98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51:T54">
      <formula1>$W$51:$W$54</formula1>
    </dataValidation>
  </dataValidation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B1:BB98"/>
  <sheetViews>
    <sheetView topLeftCell="A40" zoomScale="70" zoomScaleNormal="70" workbookViewId="0">
      <selection activeCell="P58" sqref="P58:T68"/>
    </sheetView>
  </sheetViews>
  <sheetFormatPr defaultRowHeight="15" outlineLevelCol="2"/>
  <cols>
    <col min="1" max="1" width="3.42578125" style="352" customWidth="1"/>
    <col min="2" max="2" width="3.5703125" style="352" bestFit="1" customWidth="1"/>
    <col min="3" max="3" width="11.5703125" style="123" bestFit="1" customWidth="1"/>
    <col min="4" max="4" width="19.7109375" style="352" bestFit="1" customWidth="1"/>
    <col min="5" max="5" width="3.42578125" style="352" customWidth="1"/>
    <col min="6" max="6" width="19.7109375" style="352" bestFit="1" customWidth="1"/>
    <col min="7" max="7" width="6.7109375" style="352" customWidth="1"/>
    <col min="8" max="8" width="1.5703125" style="352" bestFit="1" customWidth="1"/>
    <col min="9" max="9" width="6.7109375" style="352" customWidth="1"/>
    <col min="10" max="10" width="6.85546875" style="352" bestFit="1" customWidth="1"/>
    <col min="11" max="13" width="9.140625" style="352" hidden="1" customWidth="1" outlineLevel="1"/>
    <col min="14" max="14" width="11.42578125" style="352" bestFit="1" customWidth="1" collapsed="1"/>
    <col min="15" max="15" width="14.7109375" style="352" bestFit="1" customWidth="1"/>
    <col min="16" max="16" width="12.28515625" style="352" bestFit="1" customWidth="1"/>
    <col min="17" max="17" width="8.140625" style="352" bestFit="1" customWidth="1"/>
    <col min="18" max="18" width="7.7109375" style="352" bestFit="1" customWidth="1"/>
    <col min="19" max="19" width="9.140625" style="352"/>
    <col min="20" max="20" width="8.5703125" style="352" bestFit="1" customWidth="1"/>
    <col min="21" max="21" width="9.140625" style="352"/>
    <col min="22" max="23" width="9.140625" style="352" hidden="1" customWidth="1" outlineLevel="1"/>
    <col min="24" max="24" width="2" style="352" hidden="1" customWidth="1" outlineLevel="1"/>
    <col min="25" max="25" width="12.28515625" style="352" bestFit="1" customWidth="1" collapsed="1"/>
    <col min="26" max="27" width="12.28515625" style="352" hidden="1" customWidth="1" outlineLevel="1"/>
    <col min="28" max="28" width="4.7109375" style="352" hidden="1" customWidth="1" outlineLevel="1"/>
    <col min="29" max="38" width="9.140625" style="352" hidden="1" customWidth="1" outlineLevel="1"/>
    <col min="39" max="39" width="7.42578125" style="352" bestFit="1" customWidth="1" collapsed="1"/>
    <col min="40" max="40" width="19.7109375" style="352" hidden="1" customWidth="1" outlineLevel="1"/>
    <col min="41" max="41" width="9.140625" style="352" hidden="1" customWidth="1" outlineLevel="1"/>
    <col min="42" max="42" width="9.140625" style="352" collapsed="1"/>
    <col min="43" max="49" width="9.140625" style="352" hidden="1" customWidth="1" outlineLevel="2"/>
    <col min="50" max="50" width="11.5703125" style="352" hidden="1" customWidth="1" outlineLevel="2"/>
    <col min="51" max="51" width="11.85546875" style="352" hidden="1" customWidth="1" outlineLevel="1" collapsed="1"/>
    <col min="52" max="52" width="9.42578125" style="352" hidden="1" customWidth="1" outlineLevel="1"/>
    <col min="53" max="53" width="10.5703125" style="352" hidden="1" customWidth="1" outlineLevel="1"/>
    <col min="54" max="54" width="9.140625" style="352" collapsed="1"/>
    <col min="55" max="55" width="11.85546875" style="352" bestFit="1" customWidth="1"/>
    <col min="56" max="16384" width="9.140625" style="352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287</v>
      </c>
      <c r="E3" s="335"/>
      <c r="F3" s="335"/>
      <c r="N3" s="352" t="str">
        <f>D3</f>
        <v>Wilbert van D.</v>
      </c>
      <c r="O3" s="144">
        <f>SUM(P3:S3)</f>
        <v>426</v>
      </c>
      <c r="P3" s="109">
        <f>SUM(Y8:Y86)</f>
        <v>208</v>
      </c>
      <c r="Q3" s="109">
        <f>SUM(AM4:AM55)</f>
        <v>110</v>
      </c>
      <c r="R3" s="109">
        <f>SUM(AP89:AP92)</f>
        <v>60</v>
      </c>
      <c r="S3" s="109">
        <f>SUM(BB58:BB69)</f>
        <v>48</v>
      </c>
      <c r="T3" s="109">
        <f>COUNTIF(AF8:AF86,10)</f>
        <v>3</v>
      </c>
      <c r="U3" s="109" t="str">
        <f>E89</f>
        <v>Duitsland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O6" s="392"/>
      <c r="P6" s="393"/>
      <c r="Q6" s="393"/>
      <c r="R6" s="393"/>
      <c r="S6" s="393"/>
      <c r="T6" s="393"/>
      <c r="U6" s="392"/>
      <c r="V6" s="392"/>
      <c r="W6" s="392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80" t="s">
        <v>3</v>
      </c>
      <c r="E7" s="419"/>
      <c r="F7" s="481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O7" s="353"/>
      <c r="P7" s="393"/>
      <c r="Q7" s="393"/>
      <c r="R7" s="393"/>
      <c r="S7" s="393"/>
      <c r="T7" s="393"/>
      <c r="U7" s="353"/>
      <c r="V7" s="353"/>
      <c r="W7" s="353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458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1</v>
      </c>
      <c r="H8" s="360" t="s">
        <v>9</v>
      </c>
      <c r="I8" s="478">
        <v>1</v>
      </c>
      <c r="J8" s="362">
        <f>IF(I8="","",IF(G8&gt;I8,1,IF(G8&lt;I8,2,3)))</f>
        <v>3</v>
      </c>
      <c r="K8" s="363">
        <f>IF(I8="","",IF($G8&gt;$I8,3,IF($G8=$I8,1,0)))</f>
        <v>1</v>
      </c>
      <c r="L8" s="363">
        <f>IF(I8="","",IF($G8&lt;$I8,3,IF($G8=$I8,1,0)))</f>
        <v>1</v>
      </c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392"/>
      <c r="V8" s="392"/>
      <c r="W8" s="392"/>
      <c r="Y8" s="109">
        <f>AF8</f>
        <v>1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1</v>
      </c>
      <c r="AG8" s="108">
        <f t="shared" ref="AG8:AG55" si="0">IF(AC8="",0,(IF(G8=AC8,1,0)))</f>
        <v>0</v>
      </c>
      <c r="AH8" s="108">
        <f t="shared" ref="AH8:AH55" si="1">IF(AD8="",0,(IF(I8=AD8,1,0)))</f>
        <v>1</v>
      </c>
      <c r="AI8" s="108">
        <f>IF(AND(AG8=1,AH8=1),10,0)</f>
        <v>0</v>
      </c>
      <c r="AJ8" s="108">
        <f t="shared" ref="AJ8:AJ55" si="2">IF(AND(G8&gt;I8,AC8&gt;AD8),5,0)</f>
        <v>0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2</v>
      </c>
      <c r="H9" s="367" t="s">
        <v>9</v>
      </c>
      <c r="I9" s="440">
        <v>1</v>
      </c>
      <c r="J9" s="369">
        <f t="shared" ref="J9:J55" si="5">IF(I9="","",IF(G9&gt;I9,1,IF(G9&lt;I9,2,3)))</f>
        <v>1</v>
      </c>
      <c r="K9" s="363">
        <f t="shared" ref="K9:K55" si="6">IF(I9="","",IF($G9&gt;$I9,3,IF($G9=$I9,1,0)))</f>
        <v>3</v>
      </c>
      <c r="L9" s="363">
        <f t="shared" ref="L9:L55" si="7">IF(I9="","",IF($G9&lt;$I9,3,IF($G9=$I9,1,0)))</f>
        <v>0</v>
      </c>
      <c r="O9" s="394" t="s">
        <v>8</v>
      </c>
      <c r="P9" s="395">
        <f>SUMIF($D$8:$D$55,$O9,$G$8:$G$55)+SUMIF($F$8:$F$55,$O9,$I$8:$I$55)</f>
        <v>6</v>
      </c>
      <c r="Q9" s="395">
        <f>SUMIF($D$8:$D$55,$O9,$I$8:$I$55)+SUMIF($F$8:$F$55,$O9,$G$8:$G$55)</f>
        <v>2</v>
      </c>
      <c r="R9" s="396">
        <f>P9-Q9</f>
        <v>4</v>
      </c>
      <c r="S9" s="397">
        <f>SUMIF($D$8:$D$55,$O9,$K$8:$K$55)+SUMIF($F$8:$F$55,$O9,$L$8:$L$55)</f>
        <v>7</v>
      </c>
      <c r="T9" s="444" t="s">
        <v>48</v>
      </c>
      <c r="U9" s="392"/>
      <c r="V9" s="392" t="str">
        <f>O9</f>
        <v>Brazilië</v>
      </c>
      <c r="W9" s="392" t="s">
        <v>48</v>
      </c>
      <c r="Y9" s="109">
        <f t="shared" ref="Y9:Y55" si="8">AF9</f>
        <v>5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5</v>
      </c>
      <c r="AG9" s="108">
        <f t="shared" si="0"/>
        <v>0</v>
      </c>
      <c r="AH9" s="108">
        <f t="shared" si="1"/>
        <v>0</v>
      </c>
      <c r="AI9" s="108">
        <f t="shared" ref="AI9:AI55" si="10">IF(AND(AG9=1,AH9=1),10,0)</f>
        <v>0</v>
      </c>
      <c r="AJ9" s="108">
        <f t="shared" si="2"/>
        <v>5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3</v>
      </c>
      <c r="H10" s="373" t="s">
        <v>9</v>
      </c>
      <c r="I10" s="441">
        <v>1</v>
      </c>
      <c r="J10" s="375">
        <f t="shared" si="5"/>
        <v>1</v>
      </c>
      <c r="K10" s="363">
        <f t="shared" si="6"/>
        <v>3</v>
      </c>
      <c r="L10" s="363">
        <f t="shared" si="7"/>
        <v>0</v>
      </c>
      <c r="O10" s="398" t="s">
        <v>10</v>
      </c>
      <c r="P10" s="399">
        <f>SUMIF($D$8:$D$55,$O10,$G$8:$G$55)+SUMIF($F$8:$F$55,$O10,$I$8:$I$55)</f>
        <v>4</v>
      </c>
      <c r="Q10" s="399">
        <f>SUMIF($D$8:$D$55,$O10,$I$8:$I$55)+SUMIF($F$8:$F$55,$O10,$G$8:$G$55)</f>
        <v>2</v>
      </c>
      <c r="R10" s="399">
        <f>P10-Q10</f>
        <v>2</v>
      </c>
      <c r="S10" s="400">
        <f>SUMIF($D$8:$D$55,$O10,$K$8:$K$55)+SUMIF($F$8:$F$55,$O10,$L$8:$L$55)</f>
        <v>5</v>
      </c>
      <c r="T10" s="445" t="s">
        <v>49</v>
      </c>
      <c r="U10" s="392"/>
      <c r="V10" s="392" t="str">
        <f>O10</f>
        <v>Kroatië</v>
      </c>
      <c r="W10" s="392" t="s">
        <v>49</v>
      </c>
      <c r="Y10" s="109">
        <f t="shared" si="8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0</v>
      </c>
      <c r="AG10" s="108">
        <f t="shared" si="0"/>
        <v>0</v>
      </c>
      <c r="AH10" s="108">
        <f t="shared" si="1"/>
        <v>0</v>
      </c>
      <c r="AI10" s="108">
        <f t="shared" si="10"/>
        <v>0</v>
      </c>
      <c r="AJ10" s="108">
        <f t="shared" si="2"/>
        <v>0</v>
      </c>
      <c r="AK10" s="108">
        <f t="shared" si="3"/>
        <v>0</v>
      </c>
      <c r="AL10" s="108">
        <f t="shared" si="4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2</v>
      </c>
      <c r="H11" s="379" t="s">
        <v>9</v>
      </c>
      <c r="I11" s="442">
        <v>0</v>
      </c>
      <c r="J11" s="381">
        <f t="shared" si="5"/>
        <v>1</v>
      </c>
      <c r="K11" s="363">
        <f t="shared" si="6"/>
        <v>3</v>
      </c>
      <c r="L11" s="363">
        <f t="shared" si="7"/>
        <v>0</v>
      </c>
      <c r="O11" s="398" t="s">
        <v>11</v>
      </c>
      <c r="P11" s="399">
        <f>SUMIF($D$8:$D$55,$O11,$G$8:$G$55)+SUMIF($F$8:$F$55,$O11,$I$8:$I$55)</f>
        <v>3</v>
      </c>
      <c r="Q11" s="399">
        <f>SUMIF($D$8:$D$55,$O11,$I$8:$I$55)+SUMIF($F$8:$F$55,$O11,$G$8:$G$55)</f>
        <v>4</v>
      </c>
      <c r="R11" s="399">
        <f>P11-Q11</f>
        <v>-1</v>
      </c>
      <c r="S11" s="400">
        <f>SUMIF($D$8:$D$55,$O11,$K$8:$K$55)+SUMIF($F$8:$F$55,$O11,$L$8:$L$55)</f>
        <v>4</v>
      </c>
      <c r="T11" s="445" t="s">
        <v>47</v>
      </c>
      <c r="U11" s="392"/>
      <c r="V11" s="392" t="str">
        <f>O11</f>
        <v>Mexico</v>
      </c>
      <c r="W11" s="392" t="s">
        <v>47</v>
      </c>
      <c r="Y11" s="109">
        <f t="shared" si="8"/>
        <v>5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5</v>
      </c>
      <c r="AG11" s="108">
        <f t="shared" si="0"/>
        <v>0</v>
      </c>
      <c r="AH11" s="108">
        <f t="shared" si="1"/>
        <v>0</v>
      </c>
      <c r="AI11" s="108">
        <f t="shared" si="10"/>
        <v>0</v>
      </c>
      <c r="AJ11" s="108">
        <f t="shared" si="2"/>
        <v>5</v>
      </c>
      <c r="AK11" s="108">
        <f t="shared" si="3"/>
        <v>0</v>
      </c>
      <c r="AL11" s="108">
        <f t="shared" si="4"/>
        <v>0</v>
      </c>
      <c r="AM11" s="120">
        <f>AO11</f>
        <v>0</v>
      </c>
      <c r="AN11" s="117" t="s">
        <v>11</v>
      </c>
      <c r="AO11" s="115">
        <f>IF(Uitslag!T11="",0,IF(T11=Uitslag!T11,10,0))</f>
        <v>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1</v>
      </c>
      <c r="H12" s="367" t="s">
        <v>9</v>
      </c>
      <c r="I12" s="440">
        <v>1</v>
      </c>
      <c r="J12" s="369">
        <f t="shared" si="5"/>
        <v>3</v>
      </c>
      <c r="K12" s="363">
        <f t="shared" si="6"/>
        <v>1</v>
      </c>
      <c r="L12" s="363">
        <f t="shared" si="7"/>
        <v>1</v>
      </c>
      <c r="O12" s="401" t="s">
        <v>12</v>
      </c>
      <c r="P12" s="402">
        <f>SUMIF($D$8:$D$55,$O12,$G$8:$G$55)+SUMIF($F$8:$F$55,$O12,$I$8:$I$55)</f>
        <v>2</v>
      </c>
      <c r="Q12" s="402">
        <f>SUMIF($D$8:$D$55,$O12,$I$8:$I$55)+SUMIF($F$8:$F$55,$O12,$G$8:$G$55)</f>
        <v>7</v>
      </c>
      <c r="R12" s="402">
        <f>P12-Q12</f>
        <v>-5</v>
      </c>
      <c r="S12" s="403">
        <f>SUMIF($D$8:$D$55,$O12,$K$8:$K$55)+SUMIF($F$8:$F$55,$O12,$L$8:$L$55)</f>
        <v>0</v>
      </c>
      <c r="T12" s="446" t="s">
        <v>50</v>
      </c>
      <c r="U12" s="392"/>
      <c r="V12" s="392" t="str">
        <f>O12</f>
        <v>Kameroen</v>
      </c>
      <c r="W12" s="392" t="s">
        <v>50</v>
      </c>
      <c r="Y12" s="109">
        <f t="shared" si="8"/>
        <v>0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0</v>
      </c>
      <c r="AG12" s="108">
        <f t="shared" si="0"/>
        <v>0</v>
      </c>
      <c r="AH12" s="108">
        <f t="shared" si="1"/>
        <v>0</v>
      </c>
      <c r="AI12" s="108">
        <f t="shared" si="10"/>
        <v>0</v>
      </c>
      <c r="AJ12" s="108">
        <f t="shared" si="2"/>
        <v>0</v>
      </c>
      <c r="AK12" s="108">
        <f t="shared" si="3"/>
        <v>0</v>
      </c>
      <c r="AL12" s="108">
        <f t="shared" si="4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1</v>
      </c>
      <c r="H13" s="373" t="s">
        <v>9</v>
      </c>
      <c r="I13" s="441">
        <v>1</v>
      </c>
      <c r="J13" s="375">
        <f t="shared" si="5"/>
        <v>3</v>
      </c>
      <c r="K13" s="363">
        <f t="shared" si="6"/>
        <v>1</v>
      </c>
      <c r="L13" s="363">
        <f t="shared" si="7"/>
        <v>1</v>
      </c>
      <c r="O13" s="392"/>
      <c r="P13" s="393"/>
      <c r="Q13" s="393"/>
      <c r="R13" s="393"/>
      <c r="S13" s="393"/>
      <c r="T13" s="393"/>
      <c r="U13" s="392"/>
      <c r="V13" s="392"/>
      <c r="W13" s="392"/>
      <c r="Y13" s="109">
        <f t="shared" si="8"/>
        <v>1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1</v>
      </c>
      <c r="AG13" s="108">
        <f t="shared" si="0"/>
        <v>1</v>
      </c>
      <c r="AH13" s="108">
        <f t="shared" si="1"/>
        <v>0</v>
      </c>
      <c r="AI13" s="108">
        <f t="shared" si="10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392"/>
      <c r="AO13" s="393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2</v>
      </c>
      <c r="H14" s="373" t="s">
        <v>9</v>
      </c>
      <c r="I14" s="441">
        <v>2</v>
      </c>
      <c r="J14" s="375">
        <f t="shared" si="5"/>
        <v>3</v>
      </c>
      <c r="K14" s="363">
        <f t="shared" si="6"/>
        <v>1</v>
      </c>
      <c r="L14" s="363">
        <f t="shared" si="7"/>
        <v>1</v>
      </c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392"/>
      <c r="V14" s="392"/>
      <c r="W14" s="392"/>
      <c r="Y14" s="109">
        <f t="shared" si="8"/>
        <v>1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</v>
      </c>
      <c r="AG14" s="108">
        <f t="shared" si="0"/>
        <v>0</v>
      </c>
      <c r="AH14" s="108">
        <f t="shared" si="1"/>
        <v>1</v>
      </c>
      <c r="AI14" s="108">
        <f t="shared" si="10"/>
        <v>0</v>
      </c>
      <c r="AJ14" s="108">
        <f t="shared" si="2"/>
        <v>0</v>
      </c>
      <c r="AK14" s="108">
        <f t="shared" si="3"/>
        <v>0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0</v>
      </c>
      <c r="H15" s="379" t="s">
        <v>9</v>
      </c>
      <c r="I15" s="442">
        <v>1</v>
      </c>
      <c r="J15" s="381">
        <f t="shared" si="5"/>
        <v>2</v>
      </c>
      <c r="K15" s="363">
        <f t="shared" si="6"/>
        <v>0</v>
      </c>
      <c r="L15" s="363">
        <f t="shared" si="7"/>
        <v>3</v>
      </c>
      <c r="O15" s="394" t="s">
        <v>13</v>
      </c>
      <c r="P15" s="395">
        <f>SUMIF($D$8:$D$55,$O15,$G$8:$G$55)+SUMIF($F$8:$F$55,$O15,$I$8:$I$55)</f>
        <v>8</v>
      </c>
      <c r="Q15" s="395">
        <f>SUMIF($D$8:$D$55,$O15,$I$8:$I$55)+SUMIF($F$8:$F$55,$O15,$G$8:$G$55)</f>
        <v>1</v>
      </c>
      <c r="R15" s="396">
        <f>P15-Q15</f>
        <v>7</v>
      </c>
      <c r="S15" s="397">
        <f>SUMIF($D$8:$D$55,$O15,$K$8:$K$55)+SUMIF($F$8:$F$55,$O15,$L$8:$L$55)</f>
        <v>9</v>
      </c>
      <c r="T15" s="444" t="s">
        <v>52</v>
      </c>
      <c r="U15" s="392"/>
      <c r="V15" s="392" t="str">
        <f>O15</f>
        <v>Spanje</v>
      </c>
      <c r="W15" s="392" t="s">
        <v>52</v>
      </c>
      <c r="Y15" s="109">
        <f t="shared" si="8"/>
        <v>1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1</v>
      </c>
      <c r="AG15" s="108">
        <f t="shared" si="0"/>
        <v>0</v>
      </c>
      <c r="AH15" s="108">
        <f t="shared" si="1"/>
        <v>1</v>
      </c>
      <c r="AI15" s="108">
        <f t="shared" si="10"/>
        <v>0</v>
      </c>
      <c r="AJ15" s="108">
        <f t="shared" si="2"/>
        <v>0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2</v>
      </c>
      <c r="H16" s="367" t="s">
        <v>9</v>
      </c>
      <c r="I16" s="440">
        <v>0</v>
      </c>
      <c r="J16" s="369">
        <f t="shared" si="5"/>
        <v>1</v>
      </c>
      <c r="K16" s="363">
        <f t="shared" si="6"/>
        <v>3</v>
      </c>
      <c r="L16" s="363">
        <f t="shared" si="7"/>
        <v>0</v>
      </c>
      <c r="O16" s="404" t="s">
        <v>14</v>
      </c>
      <c r="P16" s="399">
        <f>SUMIF($D$8:$D$55,$O16,$G$8:$G$55)+SUMIF($F$8:$F$55,$O16,$I$8:$I$55)</f>
        <v>4</v>
      </c>
      <c r="Q16" s="399">
        <f>SUMIF($D$8:$D$55,$O16,$I$8:$I$55)+SUMIF($F$8:$F$55,$O16,$G$8:$G$55)</f>
        <v>4</v>
      </c>
      <c r="R16" s="399">
        <f>P16-Q16</f>
        <v>0</v>
      </c>
      <c r="S16" s="400">
        <f>SUMIF($D$8:$D$55,$O16,$K$8:$K$55)+SUMIF($F$8:$F$55,$O16,$L$8:$L$55)</f>
        <v>4</v>
      </c>
      <c r="T16" s="445" t="s">
        <v>53</v>
      </c>
      <c r="U16" s="392"/>
      <c r="V16" s="392" t="str">
        <f>O16</f>
        <v>Nederland</v>
      </c>
      <c r="W16" s="392" t="s">
        <v>53</v>
      </c>
      <c r="Y16" s="109">
        <f t="shared" si="8"/>
        <v>6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6</v>
      </c>
      <c r="AG16" s="108">
        <f t="shared" si="0"/>
        <v>1</v>
      </c>
      <c r="AH16" s="108">
        <f t="shared" si="1"/>
        <v>0</v>
      </c>
      <c r="AI16" s="108">
        <f t="shared" si="10"/>
        <v>0</v>
      </c>
      <c r="AJ16" s="108">
        <f t="shared" si="2"/>
        <v>5</v>
      </c>
      <c r="AK16" s="108">
        <f t="shared" si="3"/>
        <v>0</v>
      </c>
      <c r="AL16" s="108">
        <f t="shared" si="4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2</v>
      </c>
      <c r="H17" s="373" t="s">
        <v>9</v>
      </c>
      <c r="I17" s="441">
        <v>0</v>
      </c>
      <c r="J17" s="375">
        <f t="shared" si="5"/>
        <v>1</v>
      </c>
      <c r="K17" s="363">
        <f t="shared" si="6"/>
        <v>3</v>
      </c>
      <c r="L17" s="363">
        <f t="shared" si="7"/>
        <v>0</v>
      </c>
      <c r="O17" s="398" t="s">
        <v>15</v>
      </c>
      <c r="P17" s="399">
        <f>SUMIF($D$8:$D$55,$O17,$G$8:$G$55)+SUMIF($F$8:$F$55,$O17,$I$8:$I$55)</f>
        <v>3</v>
      </c>
      <c r="Q17" s="399">
        <f>SUMIF($D$8:$D$55,$O17,$I$8:$I$55)+SUMIF($F$8:$F$55,$O17,$G$8:$G$55)</f>
        <v>4</v>
      </c>
      <c r="R17" s="399">
        <f>P17-Q17</f>
        <v>-1</v>
      </c>
      <c r="S17" s="400">
        <f>SUMIF($D$8:$D$55,$O17,$K$8:$K$55)+SUMIF($F$8:$F$55,$O17,$L$8:$L$55)</f>
        <v>4</v>
      </c>
      <c r="T17" s="445" t="s">
        <v>54</v>
      </c>
      <c r="U17" s="392"/>
      <c r="V17" s="392" t="str">
        <f>O17</f>
        <v>Chili</v>
      </c>
      <c r="W17" s="392" t="s">
        <v>54</v>
      </c>
      <c r="Y17" s="109">
        <f t="shared" si="8"/>
        <v>6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6</v>
      </c>
      <c r="AG17" s="108">
        <f t="shared" si="0"/>
        <v>0</v>
      </c>
      <c r="AH17" s="108">
        <f t="shared" si="1"/>
        <v>1</v>
      </c>
      <c r="AI17" s="108">
        <f t="shared" si="10"/>
        <v>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0</v>
      </c>
      <c r="H18" s="379" t="s">
        <v>9</v>
      </c>
      <c r="I18" s="442">
        <v>1</v>
      </c>
      <c r="J18" s="381">
        <f t="shared" si="5"/>
        <v>2</v>
      </c>
      <c r="K18" s="363">
        <f t="shared" si="6"/>
        <v>0</v>
      </c>
      <c r="L18" s="363">
        <f t="shared" si="7"/>
        <v>3</v>
      </c>
      <c r="O18" s="401" t="s">
        <v>16</v>
      </c>
      <c r="P18" s="402">
        <f>SUMIF($D$8:$D$55,$O18,$G$8:$G$55)+SUMIF($F$8:$F$55,$O18,$I$8:$I$55)</f>
        <v>0</v>
      </c>
      <c r="Q18" s="402">
        <f>SUMIF($D$8:$D$55,$O18,$I$8:$I$55)+SUMIF($F$8:$F$55,$O18,$G$8:$G$55)</f>
        <v>6</v>
      </c>
      <c r="R18" s="402">
        <f>P18-Q18</f>
        <v>-6</v>
      </c>
      <c r="S18" s="403">
        <f>SUMIF($D$8:$D$55,$O18,$K$8:$K$55)+SUMIF($F$8:$F$55,$O18,$L$8:$L$55)</f>
        <v>0</v>
      </c>
      <c r="T18" s="446" t="s">
        <v>55</v>
      </c>
      <c r="U18" s="392"/>
      <c r="V18" s="392" t="str">
        <f>O18</f>
        <v>Australië</v>
      </c>
      <c r="W18" s="392" t="s">
        <v>55</v>
      </c>
      <c r="Y18" s="109">
        <f t="shared" si="8"/>
        <v>1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1</v>
      </c>
      <c r="AG18" s="108">
        <f t="shared" si="0"/>
        <v>0</v>
      </c>
      <c r="AH18" s="108">
        <f t="shared" si="1"/>
        <v>1</v>
      </c>
      <c r="AI18" s="108">
        <f t="shared" si="10"/>
        <v>0</v>
      </c>
      <c r="AJ18" s="108">
        <f t="shared" si="2"/>
        <v>0</v>
      </c>
      <c r="AK18" s="108">
        <f t="shared" si="3"/>
        <v>0</v>
      </c>
      <c r="AL18" s="108">
        <f t="shared" si="4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1</v>
      </c>
      <c r="H19" s="367" t="s">
        <v>9</v>
      </c>
      <c r="I19" s="440">
        <v>0</v>
      </c>
      <c r="J19" s="369">
        <f t="shared" si="5"/>
        <v>1</v>
      </c>
      <c r="K19" s="363">
        <f t="shared" si="6"/>
        <v>3</v>
      </c>
      <c r="L19" s="363">
        <f t="shared" si="7"/>
        <v>0</v>
      </c>
      <c r="O19" s="392"/>
      <c r="P19" s="393"/>
      <c r="Q19" s="393"/>
      <c r="R19" s="393"/>
      <c r="S19" s="393"/>
      <c r="T19" s="393"/>
      <c r="U19" s="392"/>
      <c r="V19" s="392"/>
      <c r="W19" s="392"/>
      <c r="Y19" s="109">
        <f t="shared" si="8"/>
        <v>6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6</v>
      </c>
      <c r="AG19" s="108">
        <f t="shared" si="0"/>
        <v>0</v>
      </c>
      <c r="AH19" s="108">
        <f t="shared" si="1"/>
        <v>1</v>
      </c>
      <c r="AI19" s="108">
        <f t="shared" si="10"/>
        <v>0</v>
      </c>
      <c r="AJ19" s="108">
        <f t="shared" si="2"/>
        <v>5</v>
      </c>
      <c r="AK19" s="108">
        <f t="shared" si="3"/>
        <v>0</v>
      </c>
      <c r="AL19" s="108">
        <f t="shared" si="4"/>
        <v>0</v>
      </c>
      <c r="AN19" s="392"/>
      <c r="AO19" s="393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0</v>
      </c>
      <c r="H20" s="373" t="s">
        <v>9</v>
      </c>
      <c r="I20" s="441">
        <v>1</v>
      </c>
      <c r="J20" s="375">
        <f t="shared" si="5"/>
        <v>2</v>
      </c>
      <c r="K20" s="363">
        <f t="shared" si="6"/>
        <v>0</v>
      </c>
      <c r="L20" s="363">
        <f t="shared" si="7"/>
        <v>3</v>
      </c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392"/>
      <c r="V20" s="392"/>
      <c r="W20" s="392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0"/>
        <v>1</v>
      </c>
      <c r="AH20" s="108">
        <f t="shared" si="1"/>
        <v>0</v>
      </c>
      <c r="AI20" s="108">
        <f t="shared" si="10"/>
        <v>0</v>
      </c>
      <c r="AJ20" s="108">
        <f t="shared" si="2"/>
        <v>0</v>
      </c>
      <c r="AK20" s="108">
        <f t="shared" si="3"/>
        <v>0</v>
      </c>
      <c r="AL20" s="108">
        <f t="shared" si="4"/>
        <v>0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0</v>
      </c>
      <c r="H21" s="379" t="s">
        <v>9</v>
      </c>
      <c r="I21" s="442">
        <v>0</v>
      </c>
      <c r="J21" s="381">
        <f t="shared" si="5"/>
        <v>3</v>
      </c>
      <c r="K21" s="363">
        <f t="shared" si="6"/>
        <v>1</v>
      </c>
      <c r="L21" s="363">
        <f t="shared" si="7"/>
        <v>1</v>
      </c>
      <c r="O21" s="394" t="s">
        <v>17</v>
      </c>
      <c r="P21" s="395">
        <f>SUMIF($D$8:$D$55,$O21,$G$8:$G$55)+SUMIF($F$8:$F$55,$O21,$I$8:$I$55)</f>
        <v>4</v>
      </c>
      <c r="Q21" s="395">
        <f>SUMIF($D$8:$D$55,$O21,$I$8:$I$55)+SUMIF($F$8:$F$55,$O21,$G$8:$G$55)</f>
        <v>2</v>
      </c>
      <c r="R21" s="396">
        <f>P21-Q21</f>
        <v>2</v>
      </c>
      <c r="S21" s="397">
        <f>SUMIF($D$8:$D$55,$O21,$K$8:$K$55)+SUMIF($F$8:$F$55,$O21,$L$8:$L$55)</f>
        <v>7</v>
      </c>
      <c r="T21" s="444" t="s">
        <v>57</v>
      </c>
      <c r="U21" s="392"/>
      <c r="V21" s="392" t="str">
        <f>O21</f>
        <v>Colombia</v>
      </c>
      <c r="W21" s="392" t="s">
        <v>57</v>
      </c>
      <c r="Y21" s="109">
        <f t="shared" si="8"/>
        <v>0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0</v>
      </c>
      <c r="AG21" s="108">
        <f t="shared" si="0"/>
        <v>0</v>
      </c>
      <c r="AH21" s="108">
        <f t="shared" si="1"/>
        <v>0</v>
      </c>
      <c r="AI21" s="108">
        <f t="shared" si="10"/>
        <v>0</v>
      </c>
      <c r="AJ21" s="108">
        <f t="shared" si="2"/>
        <v>0</v>
      </c>
      <c r="AK21" s="108">
        <f t="shared" si="3"/>
        <v>0</v>
      </c>
      <c r="AL21" s="108">
        <f t="shared" si="4"/>
        <v>0</v>
      </c>
      <c r="AM21" s="120">
        <f>AO21</f>
        <v>10</v>
      </c>
      <c r="AN21" s="116" t="s">
        <v>17</v>
      </c>
      <c r="AO21" s="115">
        <f>IF(Uitslag!T21="",0,IF(T21=Uitslag!T21,10,0))</f>
        <v>10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3</v>
      </c>
      <c r="H22" s="367" t="s">
        <v>9</v>
      </c>
      <c r="I22" s="440">
        <v>0</v>
      </c>
      <c r="J22" s="369">
        <f t="shared" si="5"/>
        <v>1</v>
      </c>
      <c r="K22" s="363">
        <f t="shared" si="6"/>
        <v>3</v>
      </c>
      <c r="L22" s="363">
        <f t="shared" si="7"/>
        <v>0</v>
      </c>
      <c r="O22" s="398" t="s">
        <v>18</v>
      </c>
      <c r="P22" s="399">
        <f>SUMIF($D$8:$D$55,$O22,$G$8:$G$55)+SUMIF($F$8:$F$55,$O22,$I$8:$I$55)</f>
        <v>4</v>
      </c>
      <c r="Q22" s="399">
        <f>SUMIF($D$8:$D$55,$O22,$I$8:$I$55)+SUMIF($F$8:$F$55,$O22,$G$8:$G$55)</f>
        <v>2</v>
      </c>
      <c r="R22" s="399">
        <f>P22-Q22</f>
        <v>2</v>
      </c>
      <c r="S22" s="400">
        <f>SUMIF($D$8:$D$55,$O22,$K$8:$K$55)+SUMIF($F$8:$F$55,$O22,$L$8:$L$55)</f>
        <v>7</v>
      </c>
      <c r="T22" s="445" t="s">
        <v>59</v>
      </c>
      <c r="U22" s="392"/>
      <c r="V22" s="392" t="str">
        <f>O22</f>
        <v>Griekenland</v>
      </c>
      <c r="W22" s="392" t="s">
        <v>58</v>
      </c>
      <c r="Y22" s="109">
        <f t="shared" si="8"/>
        <v>5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5</v>
      </c>
      <c r="AG22" s="108">
        <f t="shared" si="0"/>
        <v>0</v>
      </c>
      <c r="AH22" s="108">
        <f t="shared" si="1"/>
        <v>0</v>
      </c>
      <c r="AI22" s="108">
        <f t="shared" si="10"/>
        <v>0</v>
      </c>
      <c r="AJ22" s="108">
        <f t="shared" si="2"/>
        <v>5</v>
      </c>
      <c r="AK22" s="108">
        <f t="shared" si="3"/>
        <v>0</v>
      </c>
      <c r="AL22" s="108">
        <f t="shared" si="4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2</v>
      </c>
      <c r="H23" s="373" t="s">
        <v>9</v>
      </c>
      <c r="I23" s="441">
        <v>0</v>
      </c>
      <c r="J23" s="375">
        <f t="shared" si="5"/>
        <v>1</v>
      </c>
      <c r="K23" s="363">
        <f t="shared" si="6"/>
        <v>3</v>
      </c>
      <c r="L23" s="363">
        <f t="shared" si="7"/>
        <v>0</v>
      </c>
      <c r="O23" s="398" t="s">
        <v>23</v>
      </c>
      <c r="P23" s="399">
        <f>SUMIF($D$8:$D$55,$O23,$G$8:$G$55)+SUMIF($F$8:$F$55,$O23,$I$8:$I$55)</f>
        <v>0</v>
      </c>
      <c r="Q23" s="399">
        <f>SUMIF($D$8:$D$55,$O23,$I$8:$I$55)+SUMIF($F$8:$F$55,$O23,$G$8:$G$55)</f>
        <v>3</v>
      </c>
      <c r="R23" s="399">
        <f>P23-Q23</f>
        <v>-3</v>
      </c>
      <c r="S23" s="400">
        <f>SUMIF($D$8:$D$55,$O23,$K$8:$K$55)+SUMIF($F$8:$F$55,$O23,$L$8:$L$55)</f>
        <v>0</v>
      </c>
      <c r="T23" s="445" t="s">
        <v>58</v>
      </c>
      <c r="U23" s="392"/>
      <c r="V23" s="392" t="str">
        <f>O23</f>
        <v>Ivoorkust</v>
      </c>
      <c r="W23" s="392" t="s">
        <v>59</v>
      </c>
      <c r="Y23" s="109">
        <f t="shared" si="8"/>
        <v>1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1</v>
      </c>
      <c r="AG23" s="108">
        <f t="shared" si="0"/>
        <v>0</v>
      </c>
      <c r="AH23" s="108">
        <f t="shared" si="1"/>
        <v>1</v>
      </c>
      <c r="AI23" s="108">
        <f t="shared" si="10"/>
        <v>0</v>
      </c>
      <c r="AJ23" s="108">
        <f t="shared" si="2"/>
        <v>0</v>
      </c>
      <c r="AK23" s="108">
        <f t="shared" si="3"/>
        <v>0</v>
      </c>
      <c r="AL23" s="108">
        <f t="shared" si="4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1</v>
      </c>
      <c r="H24" s="379" t="s">
        <v>9</v>
      </c>
      <c r="I24" s="442">
        <v>1</v>
      </c>
      <c r="J24" s="381">
        <f t="shared" si="5"/>
        <v>3</v>
      </c>
      <c r="K24" s="363">
        <f t="shared" si="6"/>
        <v>1</v>
      </c>
      <c r="L24" s="363">
        <f t="shared" si="7"/>
        <v>1</v>
      </c>
      <c r="O24" s="401" t="s">
        <v>24</v>
      </c>
      <c r="P24" s="402">
        <f>SUMIF($D$8:$D$55,$O24,$G$8:$G$55)+SUMIF($F$8:$F$55,$O24,$I$8:$I$55)</f>
        <v>3</v>
      </c>
      <c r="Q24" s="402">
        <f>SUMIF($D$8:$D$55,$O24,$I$8:$I$55)+SUMIF($F$8:$F$55,$O24,$G$8:$G$55)</f>
        <v>4</v>
      </c>
      <c r="R24" s="402">
        <f>P24-Q24</f>
        <v>-1</v>
      </c>
      <c r="S24" s="403">
        <f>SUMIF($D$8:$D$55,$O24,$K$8:$K$55)+SUMIF($F$8:$F$55,$O24,$L$8:$L$55)</f>
        <v>3</v>
      </c>
      <c r="T24" s="446" t="s">
        <v>60</v>
      </c>
      <c r="U24" s="392"/>
      <c r="V24" s="392" t="str">
        <f>O24</f>
        <v>Japan</v>
      </c>
      <c r="W24" s="392" t="s">
        <v>60</v>
      </c>
      <c r="Y24" s="109">
        <f t="shared" si="8"/>
        <v>10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10</v>
      </c>
      <c r="AG24" s="108">
        <f t="shared" si="0"/>
        <v>1</v>
      </c>
      <c r="AH24" s="108">
        <f t="shared" si="1"/>
        <v>1</v>
      </c>
      <c r="AI24" s="108">
        <f t="shared" si="10"/>
        <v>10</v>
      </c>
      <c r="AJ24" s="108">
        <f t="shared" si="2"/>
        <v>0</v>
      </c>
      <c r="AK24" s="108">
        <f t="shared" si="3"/>
        <v>0</v>
      </c>
      <c r="AL24" s="108">
        <f t="shared" si="4"/>
        <v>5</v>
      </c>
      <c r="AM24" s="120">
        <f>AO24</f>
        <v>10</v>
      </c>
      <c r="AN24" s="118" t="s">
        <v>24</v>
      </c>
      <c r="AO24" s="115">
        <f>IF(Uitslag!T24="",0,IF(T24=Uitslag!T24,10,0))</f>
        <v>10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0</v>
      </c>
      <c r="H25" s="367" t="s">
        <v>9</v>
      </c>
      <c r="I25" s="440">
        <v>2</v>
      </c>
      <c r="J25" s="369">
        <f t="shared" si="5"/>
        <v>2</v>
      </c>
      <c r="K25" s="363">
        <f t="shared" si="6"/>
        <v>0</v>
      </c>
      <c r="L25" s="363">
        <f t="shared" si="7"/>
        <v>3</v>
      </c>
      <c r="O25" s="392"/>
      <c r="P25" s="393"/>
      <c r="Q25" s="393"/>
      <c r="R25" s="393"/>
      <c r="S25" s="393"/>
      <c r="T25" s="393"/>
      <c r="U25" s="392"/>
      <c r="V25" s="392"/>
      <c r="W25" s="392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0"/>
        <v>0</v>
      </c>
      <c r="AH25" s="108">
        <f t="shared" si="1"/>
        <v>0</v>
      </c>
      <c r="AI25" s="108">
        <f t="shared" si="10"/>
        <v>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392"/>
      <c r="AO25" s="393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3</v>
      </c>
      <c r="H26" s="373" t="s">
        <v>9</v>
      </c>
      <c r="I26" s="441">
        <v>0</v>
      </c>
      <c r="J26" s="375">
        <f t="shared" si="5"/>
        <v>1</v>
      </c>
      <c r="K26" s="363">
        <f t="shared" si="6"/>
        <v>3</v>
      </c>
      <c r="L26" s="363">
        <f t="shared" si="7"/>
        <v>0</v>
      </c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392"/>
      <c r="V26" s="392"/>
      <c r="W26" s="392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0"/>
        <v>0</v>
      </c>
      <c r="AH26" s="108">
        <f t="shared" si="1"/>
        <v>0</v>
      </c>
      <c r="AI26" s="108">
        <f t="shared" si="10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0</v>
      </c>
      <c r="H27" s="379" t="s">
        <v>9</v>
      </c>
      <c r="I27" s="442">
        <v>2</v>
      </c>
      <c r="J27" s="381">
        <f t="shared" si="5"/>
        <v>2</v>
      </c>
      <c r="K27" s="363">
        <f t="shared" si="6"/>
        <v>0</v>
      </c>
      <c r="L27" s="363">
        <f t="shared" si="7"/>
        <v>3</v>
      </c>
      <c r="O27" s="394" t="s">
        <v>19</v>
      </c>
      <c r="P27" s="395">
        <f>SUMIF($D$8:$D$55,$O27,$G$8:$G$55)+SUMIF($F$8:$F$55,$O27,$I$8:$I$55)</f>
        <v>3</v>
      </c>
      <c r="Q27" s="395">
        <f>SUMIF($D$8:$D$55,$O27,$I$8:$I$55)+SUMIF($F$8:$F$55,$O27,$G$8:$G$55)</f>
        <v>4</v>
      </c>
      <c r="R27" s="396">
        <f>P27-Q27</f>
        <v>-1</v>
      </c>
      <c r="S27" s="397">
        <f>SUMIF($D$8:$D$55,$O27,$K$8:$K$55)+SUMIF($F$8:$F$55,$O27,$L$8:$L$55)</f>
        <v>2</v>
      </c>
      <c r="T27" s="444" t="s">
        <v>62</v>
      </c>
      <c r="U27" s="392"/>
      <c r="V27" s="392" t="str">
        <f>O27</f>
        <v>Uruguay</v>
      </c>
      <c r="W27" s="392" t="s">
        <v>62</v>
      </c>
      <c r="Y27" s="109">
        <f t="shared" si="8"/>
        <v>6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6</v>
      </c>
      <c r="AG27" s="108">
        <f t="shared" si="0"/>
        <v>1</v>
      </c>
      <c r="AH27" s="108">
        <f t="shared" si="1"/>
        <v>0</v>
      </c>
      <c r="AI27" s="108">
        <f t="shared" si="10"/>
        <v>0</v>
      </c>
      <c r="AJ27" s="108">
        <f t="shared" si="2"/>
        <v>0</v>
      </c>
      <c r="AK27" s="108">
        <f t="shared" si="3"/>
        <v>5</v>
      </c>
      <c r="AL27" s="108">
        <f t="shared" si="4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1</v>
      </c>
      <c r="H28" s="367" t="s">
        <v>9</v>
      </c>
      <c r="I28" s="440">
        <v>0</v>
      </c>
      <c r="J28" s="369">
        <f t="shared" si="5"/>
        <v>1</v>
      </c>
      <c r="K28" s="363">
        <f t="shared" si="6"/>
        <v>3</v>
      </c>
      <c r="L28" s="363">
        <f t="shared" si="7"/>
        <v>0</v>
      </c>
      <c r="O28" s="398" t="s">
        <v>20</v>
      </c>
      <c r="P28" s="399">
        <f>SUMIF($D$8:$D$55,$O28,$G$8:$G$55)+SUMIF($F$8:$F$55,$O28,$I$8:$I$55)</f>
        <v>1</v>
      </c>
      <c r="Q28" s="399">
        <f>SUMIF($D$8:$D$55,$O28,$I$8:$I$55)+SUMIF($F$8:$F$55,$O28,$G$8:$G$55)</f>
        <v>4</v>
      </c>
      <c r="R28" s="399">
        <f>P28-Q28</f>
        <v>-3</v>
      </c>
      <c r="S28" s="400">
        <f>SUMIF($D$8:$D$55,$O28,$K$8:$K$55)+SUMIF($F$8:$F$55,$O28,$L$8:$L$55)</f>
        <v>1</v>
      </c>
      <c r="T28" s="445" t="s">
        <v>65</v>
      </c>
      <c r="U28" s="392"/>
      <c r="V28" s="392" t="str">
        <f>O28</f>
        <v>Costa Rica</v>
      </c>
      <c r="W28" s="392" t="s">
        <v>63</v>
      </c>
      <c r="Y28" s="109">
        <f t="shared" si="8"/>
        <v>5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5</v>
      </c>
      <c r="AG28" s="108">
        <f t="shared" si="0"/>
        <v>0</v>
      </c>
      <c r="AH28" s="108">
        <f t="shared" si="1"/>
        <v>0</v>
      </c>
      <c r="AI28" s="108">
        <f t="shared" si="10"/>
        <v>0</v>
      </c>
      <c r="AJ28" s="108">
        <f t="shared" si="2"/>
        <v>5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2</v>
      </c>
      <c r="H29" s="373" t="s">
        <v>9</v>
      </c>
      <c r="I29" s="441">
        <v>2</v>
      </c>
      <c r="J29" s="375">
        <f t="shared" si="5"/>
        <v>3</v>
      </c>
      <c r="K29" s="363">
        <f t="shared" si="6"/>
        <v>1</v>
      </c>
      <c r="L29" s="363">
        <f t="shared" si="7"/>
        <v>1</v>
      </c>
      <c r="O29" s="398" t="s">
        <v>21</v>
      </c>
      <c r="P29" s="399">
        <f>SUMIF($D$8:$D$55,$O29,$G$8:$G$55)+SUMIF($F$8:$F$55,$O29,$I$8:$I$55)</f>
        <v>5</v>
      </c>
      <c r="Q29" s="399">
        <f>SUMIF($D$8:$D$55,$O29,$I$8:$I$55)+SUMIF($F$8:$F$55,$O29,$G$8:$G$55)</f>
        <v>4</v>
      </c>
      <c r="R29" s="399">
        <f>P29-Q29</f>
        <v>1</v>
      </c>
      <c r="S29" s="400">
        <f>SUMIF($D$8:$D$55,$O29,$K$8:$K$55)+SUMIF($F$8:$F$55,$O29,$L$8:$L$55)</f>
        <v>5</v>
      </c>
      <c r="T29" s="445" t="s">
        <v>63</v>
      </c>
      <c r="U29" s="392"/>
      <c r="V29" s="392" t="str">
        <f>O29</f>
        <v>Engeland</v>
      </c>
      <c r="W29" s="392" t="s">
        <v>64</v>
      </c>
      <c r="Y29" s="109">
        <f t="shared" si="8"/>
        <v>1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1</v>
      </c>
      <c r="AG29" s="108">
        <f t="shared" si="0"/>
        <v>1</v>
      </c>
      <c r="AH29" s="108">
        <f t="shared" si="1"/>
        <v>0</v>
      </c>
      <c r="AI29" s="108">
        <f t="shared" si="10"/>
        <v>0</v>
      </c>
      <c r="AJ29" s="108">
        <f t="shared" si="2"/>
        <v>0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1</v>
      </c>
      <c r="H30" s="379" t="s">
        <v>9</v>
      </c>
      <c r="I30" s="442">
        <v>2</v>
      </c>
      <c r="J30" s="381">
        <f t="shared" si="5"/>
        <v>2</v>
      </c>
      <c r="K30" s="363">
        <f t="shared" si="6"/>
        <v>0</v>
      </c>
      <c r="L30" s="363">
        <f t="shared" si="7"/>
        <v>3</v>
      </c>
      <c r="O30" s="401" t="s">
        <v>22</v>
      </c>
      <c r="P30" s="402">
        <f>SUMIF($D$8:$D$55,$O30,$G$8:$G$55)+SUMIF($F$8:$F$55,$O30,$I$8:$I$55)</f>
        <v>5</v>
      </c>
      <c r="Q30" s="402">
        <f>SUMIF($D$8:$D$55,$O30,$I$8:$I$55)+SUMIF($F$8:$F$55,$O30,$G$8:$G$55)</f>
        <v>2</v>
      </c>
      <c r="R30" s="402">
        <f>P30-Q30</f>
        <v>3</v>
      </c>
      <c r="S30" s="403">
        <f>SUMIF($D$8:$D$55,$O30,$K$8:$K$55)+SUMIF($F$8:$F$55,$O30,$L$8:$L$55)</f>
        <v>7</v>
      </c>
      <c r="T30" s="446" t="s">
        <v>64</v>
      </c>
      <c r="U30" s="392"/>
      <c r="V30" s="392" t="str">
        <f>O30</f>
        <v>Italië</v>
      </c>
      <c r="W30" s="392" t="s">
        <v>65</v>
      </c>
      <c r="Y30" s="109">
        <f t="shared" si="8"/>
        <v>0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0</v>
      </c>
      <c r="AG30" s="108">
        <f t="shared" si="0"/>
        <v>0</v>
      </c>
      <c r="AH30" s="108">
        <f t="shared" si="1"/>
        <v>0</v>
      </c>
      <c r="AI30" s="108">
        <f t="shared" si="10"/>
        <v>0</v>
      </c>
      <c r="AJ30" s="108">
        <f t="shared" si="2"/>
        <v>0</v>
      </c>
      <c r="AK30" s="108">
        <f t="shared" si="3"/>
        <v>0</v>
      </c>
      <c r="AL30" s="108">
        <f t="shared" si="4"/>
        <v>0</v>
      </c>
      <c r="AM30" s="120">
        <f>AO30</f>
        <v>10</v>
      </c>
      <c r="AN30" s="118" t="s">
        <v>22</v>
      </c>
      <c r="AO30" s="115">
        <f>IF(Uitslag!T30="",0,IF(T30=Uitslag!T30,10,0))</f>
        <v>10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2</v>
      </c>
      <c r="H31" s="367" t="s">
        <v>9</v>
      </c>
      <c r="I31" s="440">
        <v>0</v>
      </c>
      <c r="J31" s="369">
        <f t="shared" si="5"/>
        <v>1</v>
      </c>
      <c r="K31" s="363">
        <f t="shared" si="6"/>
        <v>3</v>
      </c>
      <c r="L31" s="363">
        <f t="shared" si="7"/>
        <v>0</v>
      </c>
      <c r="O31" s="392"/>
      <c r="P31" s="393"/>
      <c r="Q31" s="393"/>
      <c r="R31" s="393"/>
      <c r="S31" s="393"/>
      <c r="T31" s="393"/>
      <c r="U31" s="392"/>
      <c r="V31" s="392"/>
      <c r="W31" s="392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0"/>
        <v>0</v>
      </c>
      <c r="AH31" s="108">
        <f t="shared" si="1"/>
        <v>0</v>
      </c>
      <c r="AI31" s="108">
        <f t="shared" si="10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392"/>
      <c r="AO31" s="393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2</v>
      </c>
      <c r="H32" s="373" t="s">
        <v>9</v>
      </c>
      <c r="I32" s="441">
        <v>1</v>
      </c>
      <c r="J32" s="375">
        <f t="shared" si="5"/>
        <v>1</v>
      </c>
      <c r="K32" s="363">
        <f t="shared" si="6"/>
        <v>3</v>
      </c>
      <c r="L32" s="363">
        <f t="shared" si="7"/>
        <v>0</v>
      </c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392"/>
      <c r="V32" s="392"/>
      <c r="W32" s="392"/>
      <c r="Y32" s="109">
        <f t="shared" si="8"/>
        <v>1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1</v>
      </c>
      <c r="AG32" s="108">
        <f t="shared" si="0"/>
        <v>1</v>
      </c>
      <c r="AH32" s="108">
        <f t="shared" si="1"/>
        <v>0</v>
      </c>
      <c r="AI32" s="108">
        <f t="shared" si="10"/>
        <v>0</v>
      </c>
      <c r="AJ32" s="108">
        <f t="shared" si="2"/>
        <v>0</v>
      </c>
      <c r="AK32" s="108">
        <f t="shared" si="3"/>
        <v>0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1</v>
      </c>
      <c r="H33" s="379" t="s">
        <v>9</v>
      </c>
      <c r="I33" s="442">
        <v>2</v>
      </c>
      <c r="J33" s="381">
        <f t="shared" si="5"/>
        <v>2</v>
      </c>
      <c r="K33" s="363">
        <f t="shared" si="6"/>
        <v>0</v>
      </c>
      <c r="L33" s="363">
        <f t="shared" si="7"/>
        <v>3</v>
      </c>
      <c r="O33" s="394" t="s">
        <v>25</v>
      </c>
      <c r="P33" s="395">
        <f>SUMIF($D$8:$D$55,$O33,$G$8:$G$55)+SUMIF($F$8:$F$55,$O33,$I$8:$I$55)</f>
        <v>7</v>
      </c>
      <c r="Q33" s="395">
        <f>SUMIF($D$8:$D$55,$O33,$I$8:$I$55)+SUMIF($F$8:$F$55,$O33,$G$8:$G$55)</f>
        <v>2</v>
      </c>
      <c r="R33" s="396">
        <f>P33-Q33</f>
        <v>5</v>
      </c>
      <c r="S33" s="397">
        <f>SUMIF($D$8:$D$55,$O33,$K$8:$K$55)+SUMIF($F$8:$F$55,$O33,$L$8:$L$55)</f>
        <v>9</v>
      </c>
      <c r="T33" s="444" t="s">
        <v>67</v>
      </c>
      <c r="U33" s="392"/>
      <c r="V33" s="392" t="str">
        <f>O33</f>
        <v>Zwitserland</v>
      </c>
      <c r="W33" s="392" t="s">
        <v>67</v>
      </c>
      <c r="Y33" s="109">
        <f t="shared" si="8"/>
        <v>10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10</v>
      </c>
      <c r="AG33" s="108">
        <f t="shared" si="0"/>
        <v>1</v>
      </c>
      <c r="AH33" s="108">
        <f t="shared" si="1"/>
        <v>1</v>
      </c>
      <c r="AI33" s="108">
        <f t="shared" si="10"/>
        <v>10</v>
      </c>
      <c r="AJ33" s="108">
        <f t="shared" si="2"/>
        <v>0</v>
      </c>
      <c r="AK33" s="108">
        <f t="shared" si="3"/>
        <v>5</v>
      </c>
      <c r="AL33" s="108">
        <f t="shared" si="4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3</v>
      </c>
      <c r="H34" s="367" t="s">
        <v>9</v>
      </c>
      <c r="I34" s="440">
        <v>0</v>
      </c>
      <c r="J34" s="369">
        <f t="shared" si="5"/>
        <v>1</v>
      </c>
      <c r="K34" s="363">
        <f t="shared" si="6"/>
        <v>3</v>
      </c>
      <c r="L34" s="363">
        <f t="shared" si="7"/>
        <v>0</v>
      </c>
      <c r="O34" s="398" t="s">
        <v>26</v>
      </c>
      <c r="P34" s="399">
        <f>SUMIF($D$8:$D$55,$O34,$G$8:$G$55)+SUMIF($F$8:$F$55,$O34,$I$8:$I$55)</f>
        <v>3</v>
      </c>
      <c r="Q34" s="399">
        <f>SUMIF($D$8:$D$55,$O34,$I$8:$I$55)+SUMIF($F$8:$F$55,$O34,$G$8:$G$55)</f>
        <v>4</v>
      </c>
      <c r="R34" s="399">
        <f>P34-Q34</f>
        <v>-1</v>
      </c>
      <c r="S34" s="400">
        <f>SUMIF($D$8:$D$55,$O34,$K$8:$K$55)+SUMIF($F$8:$F$55,$O34,$L$8:$L$55)</f>
        <v>4</v>
      </c>
      <c r="T34" s="445" t="s">
        <v>69</v>
      </c>
      <c r="U34" s="392"/>
      <c r="V34" s="392" t="str">
        <f>O34</f>
        <v>Ecuador</v>
      </c>
      <c r="W34" s="392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0"/>
        <v>0</v>
      </c>
      <c r="AH34" s="108">
        <f t="shared" si="1"/>
        <v>1</v>
      </c>
      <c r="AI34" s="108">
        <f t="shared" si="10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10</v>
      </c>
      <c r="AN34" s="117" t="s">
        <v>26</v>
      </c>
      <c r="AO34" s="115">
        <f>IF(Uitslag!T34="",0,IF(T34=Uitslag!T34,10,0))</f>
        <v>10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3</v>
      </c>
      <c r="H35" s="373" t="s">
        <v>9</v>
      </c>
      <c r="I35" s="441">
        <v>0</v>
      </c>
      <c r="J35" s="375">
        <f t="shared" si="5"/>
        <v>1</v>
      </c>
      <c r="K35" s="363">
        <f t="shared" si="6"/>
        <v>3</v>
      </c>
      <c r="L35" s="363">
        <f t="shared" si="7"/>
        <v>0</v>
      </c>
      <c r="O35" s="398" t="s">
        <v>27</v>
      </c>
      <c r="P35" s="399">
        <f>SUMIF($D$8:$D$55,$O35,$G$8:$G$55)+SUMIF($F$8:$F$55,$O35,$I$8:$I$55)</f>
        <v>4</v>
      </c>
      <c r="Q35" s="399">
        <f>SUMIF($D$8:$D$55,$O35,$I$8:$I$55)+SUMIF($F$8:$F$55,$O35,$G$8:$G$55)</f>
        <v>3</v>
      </c>
      <c r="R35" s="399">
        <f>P35-Q35</f>
        <v>1</v>
      </c>
      <c r="S35" s="400">
        <f>SUMIF($D$8:$D$55,$O35,$K$8:$K$55)+SUMIF($F$8:$F$55,$O35,$L$8:$L$55)</f>
        <v>4</v>
      </c>
      <c r="T35" s="445" t="s">
        <v>68</v>
      </c>
      <c r="U35" s="392"/>
      <c r="V35" s="392" t="str">
        <f>O35</f>
        <v>Frankrijk</v>
      </c>
      <c r="W35" s="392" t="s">
        <v>69</v>
      </c>
      <c r="Y35" s="109">
        <f t="shared" si="8"/>
        <v>0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0</v>
      </c>
      <c r="AG35" s="108">
        <f t="shared" si="0"/>
        <v>0</v>
      </c>
      <c r="AH35" s="108">
        <f t="shared" si="1"/>
        <v>0</v>
      </c>
      <c r="AI35" s="108">
        <f t="shared" si="10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0</v>
      </c>
      <c r="AN35" s="117" t="s">
        <v>27</v>
      </c>
      <c r="AO35" s="115">
        <f>IF(Uitslag!T35="",0,IF(T35=Uitslag!T35,10,0))</f>
        <v>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0</v>
      </c>
      <c r="H36" s="379" t="s">
        <v>9</v>
      </c>
      <c r="I36" s="442">
        <v>2</v>
      </c>
      <c r="J36" s="381">
        <f t="shared" si="5"/>
        <v>2</v>
      </c>
      <c r="K36" s="363">
        <f t="shared" si="6"/>
        <v>0</v>
      </c>
      <c r="L36" s="363">
        <f t="shared" si="7"/>
        <v>3</v>
      </c>
      <c r="O36" s="401" t="s">
        <v>28</v>
      </c>
      <c r="P36" s="402">
        <f>SUMIF($D$8:$D$55,$O36,$G$8:$G$55)+SUMIF($F$8:$F$55,$O36,$I$8:$I$55)</f>
        <v>2</v>
      </c>
      <c r="Q36" s="402">
        <f>SUMIF($D$8:$D$55,$O36,$I$8:$I$55)+SUMIF($F$8:$F$55,$O36,$G$8:$G$55)</f>
        <v>7</v>
      </c>
      <c r="R36" s="402">
        <f>P36-Q36</f>
        <v>-5</v>
      </c>
      <c r="S36" s="403">
        <f>SUMIF($D$8:$D$55,$O36,$K$8:$K$55)+SUMIF($F$8:$F$55,$O36,$L$8:$L$55)</f>
        <v>0</v>
      </c>
      <c r="T36" s="446" t="s">
        <v>70</v>
      </c>
      <c r="U36" s="392"/>
      <c r="V36" s="392" t="str">
        <f>O36</f>
        <v>Honduras</v>
      </c>
      <c r="W36" s="392" t="s">
        <v>70</v>
      </c>
      <c r="Y36" s="109">
        <f t="shared" si="8"/>
        <v>0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0</v>
      </c>
      <c r="AG36" s="108">
        <f t="shared" si="0"/>
        <v>0</v>
      </c>
      <c r="AH36" s="108">
        <f t="shared" si="1"/>
        <v>0</v>
      </c>
      <c r="AI36" s="108">
        <f t="shared" si="10"/>
        <v>0</v>
      </c>
      <c r="AJ36" s="108">
        <f t="shared" si="2"/>
        <v>0</v>
      </c>
      <c r="AK36" s="108">
        <f t="shared" si="3"/>
        <v>0</v>
      </c>
      <c r="AL36" s="108">
        <f t="shared" si="4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2</v>
      </c>
      <c r="H37" s="367" t="s">
        <v>9</v>
      </c>
      <c r="I37" s="440">
        <v>0</v>
      </c>
      <c r="J37" s="369">
        <f t="shared" si="5"/>
        <v>1</v>
      </c>
      <c r="K37" s="363">
        <f t="shared" si="6"/>
        <v>3</v>
      </c>
      <c r="L37" s="363">
        <f t="shared" si="7"/>
        <v>0</v>
      </c>
      <c r="O37" s="392"/>
      <c r="P37" s="393"/>
      <c r="Q37" s="393"/>
      <c r="R37" s="393"/>
      <c r="S37" s="393"/>
      <c r="T37" s="393"/>
      <c r="U37" s="392"/>
      <c r="V37" s="392"/>
      <c r="W37" s="392"/>
      <c r="Y37" s="109">
        <f t="shared" si="8"/>
        <v>6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6</v>
      </c>
      <c r="AG37" s="108">
        <f t="shared" si="0"/>
        <v>0</v>
      </c>
      <c r="AH37" s="108">
        <f t="shared" si="1"/>
        <v>1</v>
      </c>
      <c r="AI37" s="108">
        <f t="shared" si="10"/>
        <v>0</v>
      </c>
      <c r="AJ37" s="108">
        <f t="shared" si="2"/>
        <v>5</v>
      </c>
      <c r="AK37" s="108">
        <f t="shared" si="3"/>
        <v>0</v>
      </c>
      <c r="AL37" s="108">
        <f t="shared" si="4"/>
        <v>0</v>
      </c>
      <c r="AN37" s="392"/>
      <c r="AO37" s="393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1</v>
      </c>
      <c r="H38" s="373" t="s">
        <v>9</v>
      </c>
      <c r="I38" s="441">
        <v>0</v>
      </c>
      <c r="J38" s="375">
        <f t="shared" si="5"/>
        <v>1</v>
      </c>
      <c r="K38" s="363">
        <f t="shared" si="6"/>
        <v>3</v>
      </c>
      <c r="L38" s="363">
        <f t="shared" si="7"/>
        <v>0</v>
      </c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392"/>
      <c r="V38" s="392"/>
      <c r="W38" s="392"/>
      <c r="Y38" s="109">
        <f t="shared" si="8"/>
        <v>0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0</v>
      </c>
      <c r="AG38" s="108">
        <f t="shared" si="0"/>
        <v>0</v>
      </c>
      <c r="AH38" s="108">
        <f t="shared" si="1"/>
        <v>0</v>
      </c>
      <c r="AI38" s="108">
        <f t="shared" si="10"/>
        <v>0</v>
      </c>
      <c r="AJ38" s="108">
        <f t="shared" si="2"/>
        <v>0</v>
      </c>
      <c r="AK38" s="108">
        <f t="shared" si="3"/>
        <v>0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0</v>
      </c>
      <c r="H39" s="379" t="s">
        <v>9</v>
      </c>
      <c r="I39" s="442">
        <v>2</v>
      </c>
      <c r="J39" s="381">
        <f t="shared" si="5"/>
        <v>2</v>
      </c>
      <c r="K39" s="363">
        <f t="shared" si="6"/>
        <v>0</v>
      </c>
      <c r="L39" s="363">
        <f t="shared" si="7"/>
        <v>3</v>
      </c>
      <c r="O39" s="394" t="s">
        <v>29</v>
      </c>
      <c r="P39" s="395">
        <f>SUMIF($D$8:$D$55,$O39,$G$8:$G$55)+SUMIF($F$8:$F$55,$O39,$I$8:$I$55)</f>
        <v>6</v>
      </c>
      <c r="Q39" s="395">
        <f>SUMIF($D$8:$D$55,$O39,$I$8:$I$55)+SUMIF($F$8:$F$55,$O39,$G$8:$G$55)</f>
        <v>2</v>
      </c>
      <c r="R39" s="396">
        <f>P39-Q39</f>
        <v>4</v>
      </c>
      <c r="S39" s="397">
        <f>SUMIF($D$8:$D$55,$O39,$K$8:$K$55)+SUMIF($F$8:$F$55,$O39,$L$8:$L$55)</f>
        <v>6</v>
      </c>
      <c r="T39" s="444" t="s">
        <v>73</v>
      </c>
      <c r="U39" s="392"/>
      <c r="V39" s="392" t="str">
        <f>O39</f>
        <v>Argentinië</v>
      </c>
      <c r="W39" s="392" t="s">
        <v>72</v>
      </c>
      <c r="Y39" s="109">
        <f t="shared" si="8"/>
        <v>1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1</v>
      </c>
      <c r="AG39" s="108">
        <f t="shared" si="0"/>
        <v>0</v>
      </c>
      <c r="AH39" s="108">
        <f t="shared" si="1"/>
        <v>1</v>
      </c>
      <c r="AI39" s="108">
        <f t="shared" si="10"/>
        <v>0</v>
      </c>
      <c r="AJ39" s="108">
        <f t="shared" si="2"/>
        <v>0</v>
      </c>
      <c r="AK39" s="108">
        <f t="shared" si="3"/>
        <v>0</v>
      </c>
      <c r="AL39" s="108">
        <f t="shared" si="4"/>
        <v>0</v>
      </c>
      <c r="AM39" s="120">
        <f>AO39</f>
        <v>0</v>
      </c>
      <c r="AN39" s="116" t="s">
        <v>29</v>
      </c>
      <c r="AO39" s="115">
        <f>IF(Uitslag!T39="",0,IF(T39=Uitslag!T39,10,0))</f>
        <v>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0</v>
      </c>
      <c r="H40" s="367" t="s">
        <v>9</v>
      </c>
      <c r="I40" s="440">
        <v>2</v>
      </c>
      <c r="J40" s="369">
        <f t="shared" si="5"/>
        <v>2</v>
      </c>
      <c r="K40" s="363">
        <f t="shared" si="6"/>
        <v>0</v>
      </c>
      <c r="L40" s="363">
        <f t="shared" si="7"/>
        <v>3</v>
      </c>
      <c r="O40" s="398" t="s">
        <v>30</v>
      </c>
      <c r="P40" s="399">
        <f>SUMIF($D$8:$D$55,$O40,$G$8:$G$55)+SUMIF($F$8:$F$55,$O40,$I$8:$I$55)</f>
        <v>6</v>
      </c>
      <c r="Q40" s="399">
        <f>SUMIF($D$8:$D$55,$O40,$I$8:$I$55)+SUMIF($F$8:$F$55,$O40,$G$8:$G$55)</f>
        <v>0</v>
      </c>
      <c r="R40" s="399">
        <f>P40-Q40</f>
        <v>6</v>
      </c>
      <c r="S40" s="400">
        <f>SUMIF($D$8:$D$55,$O40,$K$8:$K$55)+SUMIF($F$8:$F$55,$O40,$L$8:$L$55)</f>
        <v>9</v>
      </c>
      <c r="T40" s="445" t="s">
        <v>72</v>
      </c>
      <c r="U40" s="392"/>
      <c r="V40" s="392" t="str">
        <f>O40</f>
        <v>Bosnië H.</v>
      </c>
      <c r="W40" s="392" t="s">
        <v>73</v>
      </c>
      <c r="Y40" s="109">
        <f t="shared" si="8"/>
        <v>6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6</v>
      </c>
      <c r="AG40" s="108">
        <f t="shared" si="0"/>
        <v>1</v>
      </c>
      <c r="AH40" s="108">
        <f t="shared" si="1"/>
        <v>0</v>
      </c>
      <c r="AI40" s="108">
        <f t="shared" si="10"/>
        <v>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0</v>
      </c>
      <c r="AN40" s="117" t="s">
        <v>30</v>
      </c>
      <c r="AO40" s="115">
        <f>IF(Uitslag!T40="",0,IF(T40=Uitslag!T40,10,0))</f>
        <v>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1</v>
      </c>
      <c r="H41" s="373" t="s">
        <v>9</v>
      </c>
      <c r="I41" s="441">
        <v>1</v>
      </c>
      <c r="J41" s="375">
        <f t="shared" si="5"/>
        <v>3</v>
      </c>
      <c r="K41" s="363">
        <f t="shared" si="6"/>
        <v>1</v>
      </c>
      <c r="L41" s="363">
        <f t="shared" si="7"/>
        <v>1</v>
      </c>
      <c r="O41" s="398" t="s">
        <v>33</v>
      </c>
      <c r="P41" s="399">
        <f>SUMIF($D$8:$D$55,$O41,$G$8:$G$55)+SUMIF($F$8:$F$55,$O41,$I$8:$I$55)</f>
        <v>0</v>
      </c>
      <c r="Q41" s="399">
        <f>SUMIF($D$8:$D$55,$O41,$I$8:$I$55)+SUMIF($F$8:$F$55,$O41,$G$8:$G$55)</f>
        <v>7</v>
      </c>
      <c r="R41" s="399">
        <f>P41-Q41</f>
        <v>-7</v>
      </c>
      <c r="S41" s="400">
        <f>SUMIF($D$8:$D$55,$O41,$K$8:$K$55)+SUMIF($F$8:$F$55,$O41,$L$8:$L$55)</f>
        <v>0</v>
      </c>
      <c r="T41" s="445" t="s">
        <v>75</v>
      </c>
      <c r="U41" s="392"/>
      <c r="V41" s="392" t="str">
        <f>O41</f>
        <v>Iran</v>
      </c>
      <c r="W41" s="392" t="s">
        <v>74</v>
      </c>
      <c r="Y41" s="109">
        <f t="shared" si="8"/>
        <v>0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0</v>
      </c>
      <c r="AG41" s="108">
        <f t="shared" si="0"/>
        <v>0</v>
      </c>
      <c r="AH41" s="108">
        <f t="shared" si="1"/>
        <v>0</v>
      </c>
      <c r="AI41" s="108">
        <f t="shared" si="10"/>
        <v>0</v>
      </c>
      <c r="AJ41" s="108">
        <f t="shared" si="2"/>
        <v>0</v>
      </c>
      <c r="AK41" s="108">
        <f t="shared" si="3"/>
        <v>0</v>
      </c>
      <c r="AL41" s="108">
        <f t="shared" si="4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1</v>
      </c>
      <c r="H42" s="373" t="s">
        <v>9</v>
      </c>
      <c r="I42" s="441">
        <v>3</v>
      </c>
      <c r="J42" s="375">
        <f t="shared" si="5"/>
        <v>2</v>
      </c>
      <c r="K42" s="363">
        <f t="shared" si="6"/>
        <v>0</v>
      </c>
      <c r="L42" s="363">
        <f t="shared" si="7"/>
        <v>3</v>
      </c>
      <c r="O42" s="401" t="s">
        <v>34</v>
      </c>
      <c r="P42" s="402">
        <f>SUMIF($D$8:$D$55,$O42,$G$8:$G$55)+SUMIF($F$8:$F$55,$O42,$I$8:$I$55)</f>
        <v>2</v>
      </c>
      <c r="Q42" s="402">
        <f>SUMIF($D$8:$D$55,$O42,$I$8:$I$55)+SUMIF($F$8:$F$55,$O42,$G$8:$G$55)</f>
        <v>5</v>
      </c>
      <c r="R42" s="402">
        <f>P42-Q42</f>
        <v>-3</v>
      </c>
      <c r="S42" s="403">
        <f>SUMIF($D$8:$D$55,$O42,$K$8:$K$55)+SUMIF($F$8:$F$55,$O42,$L$8:$L$55)</f>
        <v>3</v>
      </c>
      <c r="T42" s="446" t="s">
        <v>74</v>
      </c>
      <c r="U42" s="392"/>
      <c r="V42" s="392" t="str">
        <f>O42</f>
        <v>Nigeria</v>
      </c>
      <c r="W42" s="392" t="s">
        <v>75</v>
      </c>
      <c r="Y42" s="109">
        <f t="shared" si="8"/>
        <v>6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6</v>
      </c>
      <c r="AG42" s="108">
        <f t="shared" si="0"/>
        <v>1</v>
      </c>
      <c r="AH42" s="108">
        <f t="shared" si="1"/>
        <v>0</v>
      </c>
      <c r="AI42" s="108">
        <f t="shared" si="10"/>
        <v>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0</v>
      </c>
      <c r="AN42" s="118" t="s">
        <v>34</v>
      </c>
      <c r="AO42" s="115">
        <f>IF(Uitslag!T42="",0,IF(T42=Uitslag!T42,10,0))</f>
        <v>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1</v>
      </c>
      <c r="H43" s="379" t="s">
        <v>9</v>
      </c>
      <c r="I43" s="442">
        <v>1</v>
      </c>
      <c r="J43" s="381">
        <f t="shared" si="5"/>
        <v>3</v>
      </c>
      <c r="K43" s="363">
        <f t="shared" si="6"/>
        <v>1</v>
      </c>
      <c r="L43" s="363">
        <f t="shared" si="7"/>
        <v>1</v>
      </c>
      <c r="O43" s="392"/>
      <c r="P43" s="393"/>
      <c r="Q43" s="393"/>
      <c r="R43" s="393"/>
      <c r="S43" s="393"/>
      <c r="T43" s="393"/>
      <c r="U43" s="392"/>
      <c r="V43" s="392"/>
      <c r="W43" s="392"/>
      <c r="Y43" s="109">
        <f t="shared" si="8"/>
        <v>1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1</v>
      </c>
      <c r="AG43" s="108">
        <f t="shared" si="0"/>
        <v>1</v>
      </c>
      <c r="AH43" s="108">
        <f t="shared" si="1"/>
        <v>0</v>
      </c>
      <c r="AI43" s="108">
        <f t="shared" si="10"/>
        <v>0</v>
      </c>
      <c r="AJ43" s="108">
        <f t="shared" si="2"/>
        <v>0</v>
      </c>
      <c r="AK43" s="108">
        <f t="shared" si="3"/>
        <v>0</v>
      </c>
      <c r="AL43" s="108">
        <f t="shared" si="4"/>
        <v>0</v>
      </c>
      <c r="AN43" s="392"/>
      <c r="AO43" s="393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1</v>
      </c>
      <c r="H44" s="367" t="s">
        <v>9</v>
      </c>
      <c r="I44" s="440">
        <v>0</v>
      </c>
      <c r="J44" s="369">
        <f t="shared" si="5"/>
        <v>1</v>
      </c>
      <c r="K44" s="363">
        <f t="shared" si="6"/>
        <v>3</v>
      </c>
      <c r="L44" s="363">
        <f t="shared" si="7"/>
        <v>0</v>
      </c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392"/>
      <c r="V44" s="392"/>
      <c r="W44" s="392"/>
      <c r="Y44" s="109">
        <f t="shared" si="8"/>
        <v>0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0</v>
      </c>
      <c r="AG44" s="108">
        <f t="shared" si="0"/>
        <v>0</v>
      </c>
      <c r="AH44" s="108">
        <f t="shared" si="1"/>
        <v>0</v>
      </c>
      <c r="AI44" s="108">
        <f t="shared" si="10"/>
        <v>0</v>
      </c>
      <c r="AJ44" s="108">
        <f t="shared" si="2"/>
        <v>0</v>
      </c>
      <c r="AK44" s="108">
        <f t="shared" si="3"/>
        <v>0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0</v>
      </c>
      <c r="H45" s="373" t="s">
        <v>9</v>
      </c>
      <c r="I45" s="441">
        <v>1</v>
      </c>
      <c r="J45" s="375">
        <f t="shared" si="5"/>
        <v>2</v>
      </c>
      <c r="K45" s="363">
        <f t="shared" si="6"/>
        <v>0</v>
      </c>
      <c r="L45" s="363">
        <f t="shared" si="7"/>
        <v>3</v>
      </c>
      <c r="O45" s="394" t="s">
        <v>31</v>
      </c>
      <c r="P45" s="395">
        <f>SUMIF($D$8:$D$55,$O45,$G$8:$G$55)+SUMIF($F$8:$F$55,$O45,$I$8:$I$55)</f>
        <v>6</v>
      </c>
      <c r="Q45" s="395">
        <f>SUMIF($D$8:$D$55,$O45,$I$8:$I$55)+SUMIF($F$8:$F$55,$O45,$G$8:$G$55)</f>
        <v>0</v>
      </c>
      <c r="R45" s="396">
        <f>P45-Q45</f>
        <v>6</v>
      </c>
      <c r="S45" s="397">
        <f>SUMIF($D$8:$D$55,$O45,$K$8:$K$55)+SUMIF($F$8:$F$55,$O45,$L$8:$L$55)</f>
        <v>9</v>
      </c>
      <c r="T45" s="444" t="s">
        <v>77</v>
      </c>
      <c r="U45" s="392"/>
      <c r="V45" s="392" t="str">
        <f>O45</f>
        <v>Duitsland</v>
      </c>
      <c r="W45" s="392" t="s">
        <v>77</v>
      </c>
      <c r="Y45" s="109">
        <f t="shared" si="8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1</v>
      </c>
      <c r="AG45" s="108">
        <f t="shared" si="0"/>
        <v>1</v>
      </c>
      <c r="AH45" s="108">
        <f t="shared" si="1"/>
        <v>0</v>
      </c>
      <c r="AI45" s="108">
        <f t="shared" si="10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1</v>
      </c>
      <c r="H46" s="373" t="s">
        <v>9</v>
      </c>
      <c r="I46" s="441">
        <v>2</v>
      </c>
      <c r="J46" s="375">
        <f t="shared" si="5"/>
        <v>2</v>
      </c>
      <c r="K46" s="363">
        <f t="shared" si="6"/>
        <v>0</v>
      </c>
      <c r="L46" s="363">
        <f t="shared" si="7"/>
        <v>3</v>
      </c>
      <c r="O46" s="398" t="s">
        <v>32</v>
      </c>
      <c r="P46" s="399">
        <f>SUMIF($D$8:$D$55,$O46,$G$8:$G$55)+SUMIF($F$8:$F$55,$O46,$I$8:$I$55)</f>
        <v>4</v>
      </c>
      <c r="Q46" s="399">
        <f>SUMIF($D$8:$D$55,$O46,$I$8:$I$55)+SUMIF($F$8:$F$55,$O46,$G$8:$G$55)</f>
        <v>1</v>
      </c>
      <c r="R46" s="399">
        <f>P46-Q46</f>
        <v>3</v>
      </c>
      <c r="S46" s="400">
        <f>SUMIF($D$8:$D$55,$O46,$K$8:$K$55)+SUMIF($F$8:$F$55,$O46,$L$8:$L$55)</f>
        <v>6</v>
      </c>
      <c r="T46" s="445" t="s">
        <v>78</v>
      </c>
      <c r="U46" s="392"/>
      <c r="V46" s="392" t="str">
        <f>O46</f>
        <v>Portugal</v>
      </c>
      <c r="W46" s="392" t="s">
        <v>78</v>
      </c>
      <c r="Y46" s="109">
        <f t="shared" si="8"/>
        <v>6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6</v>
      </c>
      <c r="AG46" s="108">
        <f t="shared" si="0"/>
        <v>1</v>
      </c>
      <c r="AH46" s="108">
        <f t="shared" si="1"/>
        <v>0</v>
      </c>
      <c r="AI46" s="108">
        <f t="shared" si="10"/>
        <v>0</v>
      </c>
      <c r="AJ46" s="108">
        <f t="shared" si="2"/>
        <v>0</v>
      </c>
      <c r="AK46" s="108">
        <f t="shared" si="3"/>
        <v>5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1</v>
      </c>
      <c r="H47" s="379" t="s">
        <v>9</v>
      </c>
      <c r="I47" s="442">
        <v>0</v>
      </c>
      <c r="J47" s="381">
        <f t="shared" si="5"/>
        <v>1</v>
      </c>
      <c r="K47" s="363">
        <f t="shared" si="6"/>
        <v>3</v>
      </c>
      <c r="L47" s="363">
        <f t="shared" si="7"/>
        <v>0</v>
      </c>
      <c r="O47" s="398" t="s">
        <v>35</v>
      </c>
      <c r="P47" s="399">
        <f>SUMIF($D$8:$D$55,$O47,$G$8:$G$55)+SUMIF($F$8:$F$55,$O47,$I$8:$I$55)</f>
        <v>0</v>
      </c>
      <c r="Q47" s="399">
        <f>SUMIF($D$8:$D$55,$O47,$I$8:$I$55)+SUMIF($F$8:$F$55,$O47,$G$8:$G$55)</f>
        <v>5</v>
      </c>
      <c r="R47" s="399">
        <f>P47-Q47</f>
        <v>-5</v>
      </c>
      <c r="S47" s="400">
        <f>SUMIF($D$8:$D$55,$O47,$K$8:$K$55)+SUMIF($F$8:$F$55,$O47,$L$8:$L$55)</f>
        <v>1</v>
      </c>
      <c r="T47" s="445" t="s">
        <v>79</v>
      </c>
      <c r="U47" s="392"/>
      <c r="V47" s="392" t="str">
        <f>O47</f>
        <v>Ghana</v>
      </c>
      <c r="W47" s="392" t="s">
        <v>79</v>
      </c>
      <c r="Y47" s="109">
        <f t="shared" si="8"/>
        <v>5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5</v>
      </c>
      <c r="AG47" s="108">
        <f t="shared" si="0"/>
        <v>0</v>
      </c>
      <c r="AH47" s="108">
        <f t="shared" si="1"/>
        <v>0</v>
      </c>
      <c r="AI47" s="108">
        <f t="shared" si="10"/>
        <v>0</v>
      </c>
      <c r="AJ47" s="108">
        <f t="shared" si="2"/>
        <v>5</v>
      </c>
      <c r="AK47" s="108">
        <f t="shared" si="3"/>
        <v>0</v>
      </c>
      <c r="AL47" s="108">
        <f t="shared" si="4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1</v>
      </c>
      <c r="H48" s="367" t="s">
        <v>9</v>
      </c>
      <c r="I48" s="440">
        <v>3</v>
      </c>
      <c r="J48" s="369">
        <f t="shared" si="5"/>
        <v>2</v>
      </c>
      <c r="K48" s="363">
        <f t="shared" si="6"/>
        <v>0</v>
      </c>
      <c r="L48" s="363">
        <f t="shared" si="7"/>
        <v>3</v>
      </c>
      <c r="O48" s="401" t="s">
        <v>36</v>
      </c>
      <c r="P48" s="402">
        <f>SUMIF($D$8:$D$55,$O48,$G$8:$G$55)+SUMIF($F$8:$F$55,$O48,$I$8:$I$55)</f>
        <v>0</v>
      </c>
      <c r="Q48" s="402">
        <f>SUMIF($D$8:$D$55,$O48,$I$8:$I$55)+SUMIF($F$8:$F$55,$O48,$G$8:$G$55)</f>
        <v>4</v>
      </c>
      <c r="R48" s="402">
        <f>P48-Q48</f>
        <v>-4</v>
      </c>
      <c r="S48" s="403">
        <f>SUMIF($D$8:$D$55,$O48,$K$8:$K$55)+SUMIF($F$8:$F$55,$O48,$L$8:$L$55)</f>
        <v>1</v>
      </c>
      <c r="T48" s="446" t="s">
        <v>80</v>
      </c>
      <c r="U48" s="392"/>
      <c r="V48" s="392" t="str">
        <f>O48</f>
        <v>Verenigde Staten</v>
      </c>
      <c r="W48" s="392" t="s">
        <v>80</v>
      </c>
      <c r="Y48" s="109">
        <f t="shared" si="8"/>
        <v>6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6</v>
      </c>
      <c r="AG48" s="108">
        <f t="shared" si="0"/>
        <v>0</v>
      </c>
      <c r="AH48" s="108">
        <f t="shared" si="1"/>
        <v>1</v>
      </c>
      <c r="AI48" s="108">
        <f t="shared" si="10"/>
        <v>0</v>
      </c>
      <c r="AJ48" s="108">
        <f t="shared" si="2"/>
        <v>0</v>
      </c>
      <c r="AK48" s="108">
        <f t="shared" si="3"/>
        <v>5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3</v>
      </c>
      <c r="H49" s="373" t="s">
        <v>9</v>
      </c>
      <c r="I49" s="441">
        <v>0</v>
      </c>
      <c r="J49" s="375">
        <f t="shared" si="5"/>
        <v>1</v>
      </c>
      <c r="K49" s="363">
        <f t="shared" si="6"/>
        <v>3</v>
      </c>
      <c r="L49" s="363">
        <f t="shared" si="7"/>
        <v>0</v>
      </c>
      <c r="O49" s="392"/>
      <c r="P49" s="393"/>
      <c r="Q49" s="393"/>
      <c r="R49" s="393"/>
      <c r="S49" s="393"/>
      <c r="T49" s="393"/>
      <c r="U49" s="392"/>
      <c r="V49" s="392"/>
      <c r="W49" s="392"/>
      <c r="Y49" s="109">
        <f t="shared" si="8"/>
        <v>6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6</v>
      </c>
      <c r="AG49" s="108">
        <f t="shared" si="0"/>
        <v>1</v>
      </c>
      <c r="AH49" s="108">
        <f t="shared" si="1"/>
        <v>0</v>
      </c>
      <c r="AI49" s="108">
        <f t="shared" si="10"/>
        <v>0</v>
      </c>
      <c r="AJ49" s="108">
        <f t="shared" si="2"/>
        <v>5</v>
      </c>
      <c r="AK49" s="108">
        <f t="shared" si="3"/>
        <v>0</v>
      </c>
      <c r="AL49" s="108">
        <f t="shared" si="4"/>
        <v>0</v>
      </c>
      <c r="AN49" s="392"/>
      <c r="AO49" s="393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1</v>
      </c>
      <c r="H50" s="373" t="s">
        <v>9</v>
      </c>
      <c r="I50" s="441">
        <v>3</v>
      </c>
      <c r="J50" s="375">
        <f t="shared" si="5"/>
        <v>2</v>
      </c>
      <c r="K50" s="363">
        <f t="shared" si="6"/>
        <v>0</v>
      </c>
      <c r="L50" s="363">
        <f t="shared" si="7"/>
        <v>3</v>
      </c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392"/>
      <c r="V50" s="392"/>
      <c r="W50" s="392"/>
      <c r="Y50" s="109">
        <f t="shared" si="8"/>
        <v>6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6</v>
      </c>
      <c r="AG50" s="108">
        <f t="shared" si="0"/>
        <v>0</v>
      </c>
      <c r="AH50" s="108">
        <f t="shared" si="1"/>
        <v>1</v>
      </c>
      <c r="AI50" s="108">
        <f t="shared" si="10"/>
        <v>0</v>
      </c>
      <c r="AJ50" s="108">
        <f t="shared" si="2"/>
        <v>0</v>
      </c>
      <c r="AK50" s="108">
        <f t="shared" si="3"/>
        <v>5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1</v>
      </c>
      <c r="H51" s="379" t="s">
        <v>9</v>
      </c>
      <c r="I51" s="442">
        <v>1</v>
      </c>
      <c r="J51" s="381">
        <f t="shared" si="5"/>
        <v>3</v>
      </c>
      <c r="K51" s="363">
        <f t="shared" si="6"/>
        <v>1</v>
      </c>
      <c r="L51" s="363">
        <f>IF(I51="","",IF($G51&lt;$I51,3,IF($G51=$I51,1,0)))</f>
        <v>1</v>
      </c>
      <c r="O51" s="394" t="s">
        <v>37</v>
      </c>
      <c r="P51" s="395">
        <f>SUMIF($D$8:$D$55,$O51,$G$8:$G$55)+SUMIF($F$8:$F$55,$O51,$I$8:$I$55)</f>
        <v>7</v>
      </c>
      <c r="Q51" s="395">
        <f>SUMIF($D$8:$D$55,$O51,$I$8:$I$55)+SUMIF($F$8:$F$55,$O51,$G$8:$G$55)</f>
        <v>1</v>
      </c>
      <c r="R51" s="396">
        <f>P51-Q51</f>
        <v>6</v>
      </c>
      <c r="S51" s="397">
        <f>SUMIF($D$8:$D$55,$O51,$K$8:$K$55)+SUMIF($F$8:$F$55,$O51,$L$8:$L$55)</f>
        <v>9</v>
      </c>
      <c r="T51" s="444" t="s">
        <v>82</v>
      </c>
      <c r="U51" s="392"/>
      <c r="V51" s="392" t="str">
        <f>O51</f>
        <v>België</v>
      </c>
      <c r="W51" s="392" t="s">
        <v>82</v>
      </c>
      <c r="Y51" s="109">
        <f t="shared" si="8"/>
        <v>5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5</v>
      </c>
      <c r="AG51" s="108">
        <f t="shared" si="0"/>
        <v>0</v>
      </c>
      <c r="AH51" s="108">
        <f t="shared" si="1"/>
        <v>0</v>
      </c>
      <c r="AI51" s="108">
        <f t="shared" si="10"/>
        <v>0</v>
      </c>
      <c r="AJ51" s="108">
        <f t="shared" si="2"/>
        <v>0</v>
      </c>
      <c r="AK51" s="108">
        <f t="shared" si="3"/>
        <v>0</v>
      </c>
      <c r="AL51" s="108">
        <f t="shared" si="4"/>
        <v>5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0</v>
      </c>
      <c r="H52" s="373" t="s">
        <v>9</v>
      </c>
      <c r="I52" s="441">
        <v>2</v>
      </c>
      <c r="J52" s="369">
        <f t="shared" si="5"/>
        <v>2</v>
      </c>
      <c r="K52" s="363">
        <f t="shared" si="6"/>
        <v>0</v>
      </c>
      <c r="L52" s="363">
        <f t="shared" si="7"/>
        <v>3</v>
      </c>
      <c r="O52" s="398" t="s">
        <v>38</v>
      </c>
      <c r="P52" s="399">
        <f>SUMIF($D$8:$D$55,$O52,$G$8:$G$55)+SUMIF($F$8:$F$55,$O52,$I$8:$I$55)</f>
        <v>0</v>
      </c>
      <c r="Q52" s="399">
        <f>SUMIF($D$8:$D$55,$O52,$I$8:$I$55)+SUMIF($F$8:$F$55,$O52,$G$8:$G$55)</f>
        <v>4</v>
      </c>
      <c r="R52" s="399">
        <f>P52-Q52</f>
        <v>-4</v>
      </c>
      <c r="S52" s="400">
        <f>SUMIF($D$8:$D$55,$O52,$K$8:$K$55)+SUMIF($F$8:$F$55,$O52,$L$8:$L$55)</f>
        <v>1</v>
      </c>
      <c r="T52" s="445" t="s">
        <v>85</v>
      </c>
      <c r="U52" s="392"/>
      <c r="V52" s="392" t="str">
        <f>O52</f>
        <v>Algerije</v>
      </c>
      <c r="W52" s="392" t="s">
        <v>83</v>
      </c>
      <c r="Y52" s="109">
        <f t="shared" si="8"/>
        <v>6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6</v>
      </c>
      <c r="AG52" s="108">
        <f t="shared" si="0"/>
        <v>1</v>
      </c>
      <c r="AH52" s="108">
        <f t="shared" si="1"/>
        <v>0</v>
      </c>
      <c r="AI52" s="108">
        <f t="shared" si="10"/>
        <v>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2</v>
      </c>
      <c r="H53" s="373" t="s">
        <v>9</v>
      </c>
      <c r="I53" s="441">
        <v>0</v>
      </c>
      <c r="J53" s="375">
        <f t="shared" si="5"/>
        <v>1</v>
      </c>
      <c r="K53" s="363">
        <f t="shared" si="6"/>
        <v>3</v>
      </c>
      <c r="L53" s="363">
        <f t="shared" si="7"/>
        <v>0</v>
      </c>
      <c r="O53" s="398" t="s">
        <v>39</v>
      </c>
      <c r="P53" s="399">
        <f>SUMIF($D$8:$D$55,$O53,$G$8:$G$55)+SUMIF($F$8:$F$55,$O53,$I$8:$I$55)</f>
        <v>1</v>
      </c>
      <c r="Q53" s="399">
        <f>SUMIF($D$8:$D$55,$O53,$I$8:$I$55)+SUMIF($F$8:$F$55,$O53,$G$8:$G$55)</f>
        <v>3</v>
      </c>
      <c r="R53" s="399">
        <f>P53-Q53</f>
        <v>-2</v>
      </c>
      <c r="S53" s="400">
        <f>SUMIF($D$8:$D$55,$O53,$K$8:$K$55)+SUMIF($F$8:$F$55,$O53,$L$8:$L$55)</f>
        <v>2</v>
      </c>
      <c r="T53" s="445" t="s">
        <v>83</v>
      </c>
      <c r="U53" s="392"/>
      <c r="V53" s="392" t="str">
        <f>O53</f>
        <v>Rusland</v>
      </c>
      <c r="W53" s="392" t="s">
        <v>84</v>
      </c>
      <c r="Y53" s="109">
        <f t="shared" si="8"/>
        <v>6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6</v>
      </c>
      <c r="AG53" s="108">
        <f t="shared" si="0"/>
        <v>1</v>
      </c>
      <c r="AH53" s="108">
        <f t="shared" si="1"/>
        <v>0</v>
      </c>
      <c r="AI53" s="108">
        <f t="shared" si="10"/>
        <v>0</v>
      </c>
      <c r="AJ53" s="108">
        <f t="shared" si="2"/>
        <v>5</v>
      </c>
      <c r="AK53" s="108">
        <f t="shared" si="3"/>
        <v>0</v>
      </c>
      <c r="AL53" s="108">
        <f t="shared" si="4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1</v>
      </c>
      <c r="H54" s="373" t="s">
        <v>9</v>
      </c>
      <c r="I54" s="441">
        <v>2</v>
      </c>
      <c r="J54" s="375">
        <f t="shared" si="5"/>
        <v>2</v>
      </c>
      <c r="K54" s="363">
        <f t="shared" si="6"/>
        <v>0</v>
      </c>
      <c r="L54" s="363">
        <f t="shared" si="7"/>
        <v>3</v>
      </c>
      <c r="O54" s="401" t="s">
        <v>40</v>
      </c>
      <c r="P54" s="402">
        <f>SUMIF($D$8:$D$55,$O54,$G$8:$G$55)+SUMIF($F$8:$F$55,$O54,$I$8:$I$55)</f>
        <v>3</v>
      </c>
      <c r="Q54" s="402">
        <f>SUMIF($D$8:$D$55,$O54,$I$8:$I$55)+SUMIF($F$8:$F$55,$O54,$G$8:$G$55)</f>
        <v>3</v>
      </c>
      <c r="R54" s="402">
        <f>P54-Q54</f>
        <v>0</v>
      </c>
      <c r="S54" s="403">
        <f>SUMIF($D$8:$D$55,$O54,$K$8:$K$55)+SUMIF($F$8:$F$55,$O54,$L$8:$L$55)</f>
        <v>4</v>
      </c>
      <c r="T54" s="446" t="s">
        <v>84</v>
      </c>
      <c r="U54" s="392"/>
      <c r="V54" s="392" t="str">
        <f>O54</f>
        <v>Zuid Korea</v>
      </c>
      <c r="W54" s="392" t="s">
        <v>85</v>
      </c>
      <c r="Y54" s="109">
        <f t="shared" si="8"/>
        <v>5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5</v>
      </c>
      <c r="AG54" s="108">
        <f t="shared" si="0"/>
        <v>0</v>
      </c>
      <c r="AH54" s="108">
        <f t="shared" si="1"/>
        <v>0</v>
      </c>
      <c r="AI54" s="108">
        <f t="shared" si="10"/>
        <v>0</v>
      </c>
      <c r="AJ54" s="108">
        <f t="shared" si="2"/>
        <v>0</v>
      </c>
      <c r="AK54" s="108">
        <f t="shared" si="3"/>
        <v>5</v>
      </c>
      <c r="AL54" s="108">
        <f t="shared" si="4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0</v>
      </c>
      <c r="H55" s="388" t="s">
        <v>9</v>
      </c>
      <c r="I55" s="443">
        <v>0</v>
      </c>
      <c r="J55" s="390">
        <f t="shared" si="5"/>
        <v>3</v>
      </c>
      <c r="K55" s="363">
        <f t="shared" si="6"/>
        <v>1</v>
      </c>
      <c r="L55" s="363">
        <f t="shared" si="7"/>
        <v>1</v>
      </c>
      <c r="O55" s="392"/>
      <c r="P55" s="393"/>
      <c r="Q55" s="393"/>
      <c r="R55" s="393"/>
      <c r="S55" s="393"/>
      <c r="T55" s="393"/>
      <c r="U55" s="392"/>
      <c r="V55" s="392"/>
      <c r="W55" s="392"/>
      <c r="Y55" s="109">
        <f t="shared" si="8"/>
        <v>5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5</v>
      </c>
      <c r="AG55" s="108">
        <f t="shared" si="0"/>
        <v>0</v>
      </c>
      <c r="AH55" s="108">
        <f t="shared" si="1"/>
        <v>0</v>
      </c>
      <c r="AI55" s="108">
        <f t="shared" si="10"/>
        <v>0</v>
      </c>
      <c r="AJ55" s="108">
        <f t="shared" si="2"/>
        <v>0</v>
      </c>
      <c r="AK55" s="108">
        <f t="shared" si="3"/>
        <v>0</v>
      </c>
      <c r="AL55" s="108">
        <f t="shared" si="4"/>
        <v>5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79"/>
      <c r="K57" s="353"/>
      <c r="L57" s="353"/>
      <c r="M57" s="353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77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O58" s="458">
        <v>1</v>
      </c>
      <c r="P58" s="877" t="s">
        <v>224</v>
      </c>
      <c r="Q58" s="877"/>
      <c r="R58" s="877"/>
      <c r="S58" s="877"/>
      <c r="T58" s="878"/>
      <c r="V58" s="352" t="s">
        <v>132</v>
      </c>
      <c r="W58" s="352" t="s">
        <v>124</v>
      </c>
      <c r="X58" s="352" t="str">
        <f t="shared" ref="X58:X98" si="11">CONCATENATE(W58," ",V58)</f>
        <v>Jeroen Zoet (k)</v>
      </c>
      <c r="Y58" s="113" t="s">
        <v>91</v>
      </c>
      <c r="Z58" s="352" t="str">
        <f>IF(K58=""," ",VLOOKUP(K58,$T$9:$V$54,3,FALSE))</f>
        <v xml:space="preserve"> </v>
      </c>
      <c r="AA58" s="352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>IF(ISERROR(Z59),K59,Z59)</f>
        <v>Brazilië</v>
      </c>
      <c r="E59" s="367" t="s">
        <v>9</v>
      </c>
      <c r="F59" s="406" t="str">
        <f>IF(ISERROR(AA59),L59,AA59)</f>
        <v>Nederland</v>
      </c>
      <c r="G59" s="435">
        <v>2</v>
      </c>
      <c r="H59" s="367" t="s">
        <v>9</v>
      </c>
      <c r="I59" s="447">
        <v>1</v>
      </c>
      <c r="J59" s="448">
        <v>1</v>
      </c>
      <c r="K59" s="407" t="s">
        <v>48</v>
      </c>
      <c r="L59" s="407" t="s">
        <v>53</v>
      </c>
      <c r="M59" s="407">
        <v>1</v>
      </c>
      <c r="O59" s="458">
        <v>2</v>
      </c>
      <c r="P59" s="877" t="s">
        <v>212</v>
      </c>
      <c r="Q59" s="877"/>
      <c r="R59" s="877"/>
      <c r="S59" s="877"/>
      <c r="T59" s="878"/>
      <c r="V59" s="352" t="s">
        <v>132</v>
      </c>
      <c r="W59" s="352" t="s">
        <v>111</v>
      </c>
      <c r="X59" s="352" t="str">
        <f t="shared" si="11"/>
        <v>Jasper Cillessen (k)</v>
      </c>
      <c r="Y59" s="109">
        <f t="shared" ref="Y59:Y66" si="13">AF59</f>
        <v>1</v>
      </c>
      <c r="Z59" s="352" t="str">
        <f t="shared" ref="Z59:AA65" si="14">IF(K59=""," ",VLOOKUP(K59,$T$9:$V$54,3,FALSE))</f>
        <v>Brazilië</v>
      </c>
      <c r="AA59" s="352" t="str">
        <f t="shared" si="14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1</v>
      </c>
      <c r="AG59" s="108">
        <f t="shared" ref="AG59:AG66" si="16">IF(AC59="",0,(IF(G59=AC59,1,0)))</f>
        <v>0</v>
      </c>
      <c r="AH59" s="108">
        <f t="shared" ref="AH59:AH66" si="17">IF(AD59="",0,(IF(I59=AD59,1,0)))</f>
        <v>1</v>
      </c>
      <c r="AI59" s="108">
        <f t="shared" ref="AI59:AI66" si="18">IF(AND(AG59=1,AH59=1),10,0)</f>
        <v>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376">
        <v>50</v>
      </c>
      <c r="C60" s="466">
        <v>41818</v>
      </c>
      <c r="D60" s="460" t="str">
        <f t="shared" ref="D60:D66" si="23">IF(ISERROR(Z60),K60,Z60)</f>
        <v>Colombia</v>
      </c>
      <c r="E60" s="379" t="s">
        <v>9</v>
      </c>
      <c r="F60" s="409" t="str">
        <f t="shared" ref="F60:F66" si="24">IF(ISERROR(AA60),L60,AA60)</f>
        <v>Engeland</v>
      </c>
      <c r="G60" s="437">
        <v>2</v>
      </c>
      <c r="H60" s="379" t="s">
        <v>9</v>
      </c>
      <c r="I60" s="449">
        <v>0</v>
      </c>
      <c r="J60" s="450">
        <v>1</v>
      </c>
      <c r="K60" s="407" t="s">
        <v>57</v>
      </c>
      <c r="L60" s="407" t="s">
        <v>63</v>
      </c>
      <c r="M60" s="407">
        <v>2</v>
      </c>
      <c r="O60" s="458">
        <v>3</v>
      </c>
      <c r="P60" s="877" t="s">
        <v>220</v>
      </c>
      <c r="Q60" s="877"/>
      <c r="R60" s="877"/>
      <c r="S60" s="877"/>
      <c r="T60" s="878"/>
      <c r="V60" s="352" t="s">
        <v>132</v>
      </c>
      <c r="W60" s="352" t="s">
        <v>110</v>
      </c>
      <c r="X60" s="352" t="str">
        <f t="shared" si="11"/>
        <v>Kenneth Vermeer (k)</v>
      </c>
      <c r="Y60" s="109">
        <f t="shared" si="13"/>
        <v>10</v>
      </c>
      <c r="Z60" s="352" t="str">
        <f t="shared" si="14"/>
        <v>Colombia</v>
      </c>
      <c r="AA60" s="352" t="str">
        <f t="shared" si="14"/>
        <v>Engeland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10</v>
      </c>
      <c r="AG60" s="108">
        <f t="shared" si="16"/>
        <v>1</v>
      </c>
      <c r="AH60" s="108">
        <f t="shared" si="17"/>
        <v>1</v>
      </c>
      <c r="AI60" s="108">
        <f t="shared" si="18"/>
        <v>10</v>
      </c>
      <c r="AJ60" s="108">
        <f t="shared" si="19"/>
        <v>5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2"/>
        <v>3</v>
      </c>
    </row>
    <row r="61" spans="2:54">
      <c r="B61" s="364">
        <v>51</v>
      </c>
      <c r="C61" s="465">
        <v>41819</v>
      </c>
      <c r="D61" s="464" t="str">
        <f t="shared" si="23"/>
        <v>Spanje</v>
      </c>
      <c r="E61" s="367" t="s">
        <v>9</v>
      </c>
      <c r="F61" s="406" t="str">
        <f t="shared" si="24"/>
        <v>Kroatië</v>
      </c>
      <c r="G61" s="435">
        <v>3</v>
      </c>
      <c r="H61" s="367" t="s">
        <v>9</v>
      </c>
      <c r="I61" s="447">
        <v>0</v>
      </c>
      <c r="J61" s="448">
        <v>1</v>
      </c>
      <c r="K61" s="407" t="s">
        <v>52</v>
      </c>
      <c r="L61" s="407" t="s">
        <v>49</v>
      </c>
      <c r="M61" s="407"/>
      <c r="O61" s="458">
        <v>4</v>
      </c>
      <c r="P61" s="877" t="s">
        <v>211</v>
      </c>
      <c r="Q61" s="877"/>
      <c r="R61" s="877"/>
      <c r="S61" s="877"/>
      <c r="T61" s="878"/>
      <c r="V61" s="352" t="s">
        <v>132</v>
      </c>
      <c r="W61" s="352" t="s">
        <v>191</v>
      </c>
      <c r="X61" s="352" t="str">
        <f t="shared" si="11"/>
        <v>Tim Krul (k)</v>
      </c>
      <c r="Y61" s="109">
        <f t="shared" si="13"/>
        <v>5</v>
      </c>
      <c r="Z61" s="352" t="str">
        <f t="shared" si="14"/>
        <v>Spanje</v>
      </c>
      <c r="AA61" s="352" t="str">
        <f t="shared" si="14"/>
        <v>Kroatië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5</v>
      </c>
      <c r="AG61" s="108">
        <f t="shared" si="16"/>
        <v>0</v>
      </c>
      <c r="AH61" s="108">
        <f t="shared" si="17"/>
        <v>0</v>
      </c>
      <c r="AI61" s="108">
        <f t="shared" si="18"/>
        <v>0</v>
      </c>
      <c r="AJ61" s="108">
        <f t="shared" si="19"/>
        <v>5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3</v>
      </c>
      <c r="BB61" s="139">
        <f t="shared" si="22"/>
        <v>3</v>
      </c>
    </row>
    <row r="62" spans="2:54">
      <c r="B62" s="376">
        <v>52</v>
      </c>
      <c r="C62" s="466">
        <v>41819</v>
      </c>
      <c r="D62" s="464" t="str">
        <f t="shared" si="23"/>
        <v>Uruguay</v>
      </c>
      <c r="E62" s="379" t="s">
        <v>9</v>
      </c>
      <c r="F62" s="409" t="str">
        <f t="shared" si="24"/>
        <v>Ivoorkust</v>
      </c>
      <c r="G62" s="437">
        <v>1</v>
      </c>
      <c r="H62" s="379" t="s">
        <v>9</v>
      </c>
      <c r="I62" s="449">
        <v>0</v>
      </c>
      <c r="J62" s="450">
        <v>1</v>
      </c>
      <c r="K62" s="407" t="s">
        <v>62</v>
      </c>
      <c r="L62" s="407" t="s">
        <v>58</v>
      </c>
      <c r="M62" s="407"/>
      <c r="O62" s="458">
        <v>5</v>
      </c>
      <c r="P62" s="877" t="s">
        <v>209</v>
      </c>
      <c r="Q62" s="877"/>
      <c r="R62" s="877"/>
      <c r="S62" s="877"/>
      <c r="T62" s="878"/>
      <c r="V62" s="352" t="s">
        <v>132</v>
      </c>
      <c r="W62" s="352" t="s">
        <v>192</v>
      </c>
      <c r="X62" s="352" t="str">
        <f t="shared" si="11"/>
        <v>Maarten Stekelenburg (k)</v>
      </c>
      <c r="Y62" s="109">
        <f t="shared" si="13"/>
        <v>1</v>
      </c>
      <c r="Z62" s="352" t="str">
        <f t="shared" si="14"/>
        <v>Uruguay</v>
      </c>
      <c r="AA62" s="352" t="str">
        <f t="shared" si="14"/>
        <v>Ivoorkust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1</v>
      </c>
      <c r="AG62" s="108">
        <f t="shared" si="16"/>
        <v>1</v>
      </c>
      <c r="AH62" s="108">
        <f t="shared" si="17"/>
        <v>0</v>
      </c>
      <c r="AI62" s="108">
        <f t="shared" si="18"/>
        <v>0</v>
      </c>
      <c r="AJ62" s="108">
        <f t="shared" si="19"/>
        <v>0</v>
      </c>
      <c r="AK62" s="108">
        <f t="shared" si="20"/>
        <v>0</v>
      </c>
      <c r="AL62" s="108">
        <f t="shared" si="21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2"/>
        <v>3</v>
      </c>
    </row>
    <row r="63" spans="2:54">
      <c r="B63" s="364">
        <v>53</v>
      </c>
      <c r="C63" s="465">
        <v>41820</v>
      </c>
      <c r="D63" s="459" t="str">
        <f t="shared" si="23"/>
        <v>Zwitserland</v>
      </c>
      <c r="E63" s="367" t="s">
        <v>9</v>
      </c>
      <c r="F63" s="406" t="str">
        <f t="shared" si="24"/>
        <v>Argentinië</v>
      </c>
      <c r="G63" s="435">
        <v>2</v>
      </c>
      <c r="H63" s="367" t="s">
        <v>9</v>
      </c>
      <c r="I63" s="447">
        <v>2</v>
      </c>
      <c r="J63" s="448">
        <v>1</v>
      </c>
      <c r="K63" s="407" t="s">
        <v>67</v>
      </c>
      <c r="L63" s="407" t="s">
        <v>73</v>
      </c>
      <c r="M63" s="407"/>
      <c r="O63" s="458">
        <v>6</v>
      </c>
      <c r="P63" s="877" t="s">
        <v>226</v>
      </c>
      <c r="Q63" s="877"/>
      <c r="R63" s="877"/>
      <c r="S63" s="877"/>
      <c r="T63" s="878"/>
      <c r="V63" s="352" t="s">
        <v>132</v>
      </c>
      <c r="W63" s="352" t="s">
        <v>193</v>
      </c>
      <c r="X63" s="352" t="str">
        <f t="shared" si="11"/>
        <v>Michel Vorm (k)</v>
      </c>
      <c r="Y63" s="109">
        <f t="shared" si="13"/>
        <v>1</v>
      </c>
      <c r="Z63" s="352" t="str">
        <f t="shared" si="14"/>
        <v>Zwitserland</v>
      </c>
      <c r="AA63" s="352" t="str">
        <f t="shared" si="14"/>
        <v>Argentinië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1</v>
      </c>
      <c r="AG63" s="108">
        <f t="shared" si="16"/>
        <v>1</v>
      </c>
      <c r="AH63" s="108">
        <f t="shared" si="17"/>
        <v>0</v>
      </c>
      <c r="AI63" s="108">
        <f t="shared" si="18"/>
        <v>0</v>
      </c>
      <c r="AJ63" s="108">
        <f t="shared" si="19"/>
        <v>0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3</v>
      </c>
      <c r="BB63" s="139">
        <f t="shared" si="22"/>
        <v>3</v>
      </c>
    </row>
    <row r="64" spans="2:54">
      <c r="B64" s="376">
        <v>54</v>
      </c>
      <c r="C64" s="466">
        <v>41820</v>
      </c>
      <c r="D64" s="460" t="str">
        <f t="shared" si="23"/>
        <v>Duitsland</v>
      </c>
      <c r="E64" s="379" t="s">
        <v>9</v>
      </c>
      <c r="F64" s="409" t="str">
        <f t="shared" si="24"/>
        <v>Rusland</v>
      </c>
      <c r="G64" s="437">
        <v>1</v>
      </c>
      <c r="H64" s="379" t="s">
        <v>9</v>
      </c>
      <c r="I64" s="449">
        <v>1</v>
      </c>
      <c r="J64" s="450">
        <v>1</v>
      </c>
      <c r="K64" s="407" t="s">
        <v>77</v>
      </c>
      <c r="L64" s="407" t="s">
        <v>83</v>
      </c>
      <c r="M64" s="407"/>
      <c r="O64" s="458">
        <v>7</v>
      </c>
      <c r="P64" s="877" t="s">
        <v>214</v>
      </c>
      <c r="Q64" s="877"/>
      <c r="R64" s="877"/>
      <c r="S64" s="877"/>
      <c r="T64" s="878"/>
      <c r="V64" s="352" t="s">
        <v>133</v>
      </c>
      <c r="W64" s="352" t="s">
        <v>112</v>
      </c>
      <c r="X64" s="352" t="str">
        <f t="shared" si="11"/>
        <v>Joël Veltman (v)</v>
      </c>
      <c r="Y64" s="109">
        <f t="shared" si="13"/>
        <v>5</v>
      </c>
      <c r="Z64" s="352" t="str">
        <f t="shared" si="14"/>
        <v>Duitsland</v>
      </c>
      <c r="AA64" s="352" t="str">
        <f t="shared" si="14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5</v>
      </c>
      <c r="AG64" s="108">
        <f t="shared" si="16"/>
        <v>0</v>
      </c>
      <c r="AH64" s="108">
        <f t="shared" si="17"/>
        <v>0</v>
      </c>
      <c r="AI64" s="108">
        <f t="shared" si="18"/>
        <v>0</v>
      </c>
      <c r="AJ64" s="108">
        <f t="shared" si="19"/>
        <v>0</v>
      </c>
      <c r="AK64" s="108">
        <f t="shared" si="20"/>
        <v>0</v>
      </c>
      <c r="AL64" s="108">
        <f t="shared" si="21"/>
        <v>5</v>
      </c>
      <c r="AZ64" s="138" t="str">
        <f>Uitslag!P64</f>
        <v>Wesley Sneijder (m)</v>
      </c>
      <c r="BA64" s="140">
        <f t="shared" si="12"/>
        <v>3</v>
      </c>
      <c r="BB64" s="139">
        <f t="shared" si="22"/>
        <v>3</v>
      </c>
    </row>
    <row r="65" spans="2:54">
      <c r="B65" s="370">
        <v>55</v>
      </c>
      <c r="C65" s="467">
        <v>41821</v>
      </c>
      <c r="D65" s="459" t="str">
        <f t="shared" si="23"/>
        <v>Bosnië H.</v>
      </c>
      <c r="E65" s="373" t="s">
        <v>9</v>
      </c>
      <c r="F65" s="410" t="str">
        <f t="shared" si="24"/>
        <v>Frankrijk</v>
      </c>
      <c r="G65" s="436">
        <v>3</v>
      </c>
      <c r="H65" s="373" t="s">
        <v>9</v>
      </c>
      <c r="I65" s="451">
        <v>1</v>
      </c>
      <c r="J65" s="452">
        <v>1</v>
      </c>
      <c r="K65" s="407" t="s">
        <v>72</v>
      </c>
      <c r="L65" s="407" t="s">
        <v>68</v>
      </c>
      <c r="M65" s="407"/>
      <c r="O65" s="458">
        <v>8</v>
      </c>
      <c r="P65" s="877" t="s">
        <v>213</v>
      </c>
      <c r="Q65" s="877"/>
      <c r="R65" s="877"/>
      <c r="S65" s="877"/>
      <c r="T65" s="878"/>
      <c r="V65" s="352" t="s">
        <v>133</v>
      </c>
      <c r="W65" s="352" t="s">
        <v>109</v>
      </c>
      <c r="X65" s="352" t="str">
        <f t="shared" si="11"/>
        <v>Daley Blind (v)</v>
      </c>
      <c r="Y65" s="109">
        <f t="shared" si="13"/>
        <v>0</v>
      </c>
      <c r="Z65" s="352" t="str">
        <f t="shared" si="14"/>
        <v>Bosnië H.</v>
      </c>
      <c r="AA65" s="352" t="str">
        <f t="shared" si="14"/>
        <v>Frankrijk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0</v>
      </c>
      <c r="AG65" s="108">
        <f t="shared" si="16"/>
        <v>0</v>
      </c>
      <c r="AH65" s="108">
        <f t="shared" si="17"/>
        <v>0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2"/>
        <v>3</v>
      </c>
    </row>
    <row r="66" spans="2:54" ht="15.75" thickBot="1">
      <c r="B66" s="385">
        <v>56</v>
      </c>
      <c r="C66" s="462">
        <v>41821</v>
      </c>
      <c r="D66" s="461" t="str">
        <f t="shared" si="23"/>
        <v>België</v>
      </c>
      <c r="E66" s="388" t="s">
        <v>9</v>
      </c>
      <c r="F66" s="412" t="str">
        <f t="shared" si="24"/>
        <v>Portugal</v>
      </c>
      <c r="G66" s="438">
        <v>1</v>
      </c>
      <c r="H66" s="388" t="s">
        <v>9</v>
      </c>
      <c r="I66" s="453">
        <v>1</v>
      </c>
      <c r="J66" s="454">
        <v>2</v>
      </c>
      <c r="K66" s="407" t="s">
        <v>82</v>
      </c>
      <c r="L66" s="407" t="s">
        <v>78</v>
      </c>
      <c r="M66" s="407"/>
      <c r="O66" s="458">
        <v>9</v>
      </c>
      <c r="P66" s="877" t="s">
        <v>215</v>
      </c>
      <c r="Q66" s="877"/>
      <c r="R66" s="877"/>
      <c r="S66" s="877"/>
      <c r="T66" s="878"/>
      <c r="V66" s="352" t="s">
        <v>133</v>
      </c>
      <c r="W66" s="352" t="s">
        <v>115</v>
      </c>
      <c r="X66" s="352" t="str">
        <f t="shared" si="11"/>
        <v>Daryl Janmaat (v)</v>
      </c>
      <c r="Y66" s="109">
        <f t="shared" si="13"/>
        <v>5</v>
      </c>
      <c r="Z66" s="352" t="str">
        <f>IF(K66=""," ",VLOOKUP(K66,$T$9:$V$54,3,FALSE))</f>
        <v>België</v>
      </c>
      <c r="AA66" s="352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5</v>
      </c>
      <c r="AG66" s="108">
        <f t="shared" si="16"/>
        <v>0</v>
      </c>
      <c r="AH66" s="108">
        <f t="shared" si="17"/>
        <v>0</v>
      </c>
      <c r="AI66" s="108">
        <f t="shared" si="18"/>
        <v>0</v>
      </c>
      <c r="AJ66" s="108">
        <f t="shared" si="19"/>
        <v>0</v>
      </c>
      <c r="AK66" s="108">
        <f t="shared" si="20"/>
        <v>0</v>
      </c>
      <c r="AL66" s="108">
        <f t="shared" si="21"/>
        <v>5</v>
      </c>
      <c r="AZ66" s="138" t="str">
        <f>Uitslag!P66</f>
        <v>Jonathan de Guzman (m)</v>
      </c>
      <c r="BA66" s="140">
        <f t="shared" si="12"/>
        <v>3</v>
      </c>
      <c r="BB66" s="139">
        <f t="shared" si="22"/>
        <v>3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O67" s="458">
        <v>10</v>
      </c>
      <c r="P67" s="877" t="s">
        <v>216</v>
      </c>
      <c r="Q67" s="877"/>
      <c r="R67" s="877"/>
      <c r="S67" s="877"/>
      <c r="T67" s="878"/>
      <c r="V67" s="352" t="s">
        <v>133</v>
      </c>
      <c r="W67" s="352" t="s">
        <v>118</v>
      </c>
      <c r="X67" s="352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2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79"/>
      <c r="K68" s="353"/>
      <c r="L68" s="353"/>
      <c r="M68" s="353"/>
      <c r="O68" s="458">
        <v>11</v>
      </c>
      <c r="P68" s="877" t="s">
        <v>225</v>
      </c>
      <c r="Q68" s="877"/>
      <c r="R68" s="877"/>
      <c r="S68" s="877"/>
      <c r="T68" s="878"/>
      <c r="V68" s="352" t="s">
        <v>133</v>
      </c>
      <c r="W68" s="352" t="s">
        <v>119</v>
      </c>
      <c r="X68" s="352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2"/>
        <v>3</v>
      </c>
    </row>
    <row r="69" spans="2:54">
      <c r="B69" s="428" t="s">
        <v>1</v>
      </c>
      <c r="C69" s="429" t="s">
        <v>2</v>
      </c>
      <c r="D69" s="476" t="s">
        <v>3</v>
      </c>
      <c r="E69" s="431"/>
      <c r="F69" s="477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V69" s="352" t="s">
        <v>133</v>
      </c>
      <c r="W69" s="352" t="s">
        <v>121</v>
      </c>
      <c r="X69" s="352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33</v>
      </c>
      <c r="BB69" s="139">
        <f>IF(AND(BA69&lt;&gt;"",BA69=33),15,"nvt")</f>
        <v>15</v>
      </c>
    </row>
    <row r="70" spans="2:54">
      <c r="B70" s="364">
        <v>57</v>
      </c>
      <c r="C70" s="365">
        <v>41824</v>
      </c>
      <c r="D70" s="405" t="str">
        <f>IF(J63="","Winnaar 53",IF(J63=1,D63,F63))</f>
        <v>Zwitserland</v>
      </c>
      <c r="E70" s="367" t="s">
        <v>9</v>
      </c>
      <c r="F70" s="406" t="str">
        <f>IF(J64="","Winnaar 54",IF(J64=1,D64,F64))</f>
        <v>Duitsland</v>
      </c>
      <c r="G70" s="435">
        <v>2</v>
      </c>
      <c r="H70" s="367" t="s">
        <v>9</v>
      </c>
      <c r="I70" s="447">
        <v>3</v>
      </c>
      <c r="J70" s="448">
        <v>2</v>
      </c>
      <c r="K70" s="353"/>
      <c r="L70" s="353"/>
      <c r="M70" s="353"/>
      <c r="V70" s="352" t="s">
        <v>133</v>
      </c>
      <c r="W70" s="352" t="s">
        <v>126</v>
      </c>
      <c r="X70" s="352" t="str">
        <f t="shared" si="11"/>
        <v>Karim Rekik (v)</v>
      </c>
      <c r="Y70" s="109">
        <f>AF70</f>
        <v>5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5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Brazilië</v>
      </c>
      <c r="E71" s="379" t="s">
        <v>9</v>
      </c>
      <c r="F71" s="409" t="str">
        <f>IF(J60="","Winnaar 50",IF(J60=1,D60,F60))</f>
        <v>Colombia</v>
      </c>
      <c r="G71" s="437">
        <v>1</v>
      </c>
      <c r="H71" s="379" t="s">
        <v>9</v>
      </c>
      <c r="I71" s="449">
        <v>0</v>
      </c>
      <c r="J71" s="450">
        <v>1</v>
      </c>
      <c r="K71" s="353"/>
      <c r="L71" s="353"/>
      <c r="M71" s="353"/>
      <c r="V71" s="352" t="s">
        <v>133</v>
      </c>
      <c r="W71" s="352" t="s">
        <v>194</v>
      </c>
      <c r="X71" s="352" t="str">
        <f t="shared" si="11"/>
        <v>Ron Vlaar (v)</v>
      </c>
      <c r="Y71" s="109">
        <f>AF71</f>
        <v>5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5</v>
      </c>
      <c r="AG71" s="108">
        <f>IF(AC71="",0,(IF(G71=AC71,1,0)))</f>
        <v>0</v>
      </c>
      <c r="AH71" s="108">
        <f>IF(AD71="",0,(IF(I71=AD71,1,0)))</f>
        <v>0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Bosnië H.</v>
      </c>
      <c r="E72" s="367" t="s">
        <v>9</v>
      </c>
      <c r="F72" s="406" t="str">
        <f>IF(J66="","Winnaar 56",IF(J66=1,D66,F66))</f>
        <v>Portugal</v>
      </c>
      <c r="G72" s="435">
        <v>1</v>
      </c>
      <c r="H72" s="367" t="s">
        <v>9</v>
      </c>
      <c r="I72" s="447">
        <v>2</v>
      </c>
      <c r="J72" s="448">
        <v>2</v>
      </c>
      <c r="K72" s="353"/>
      <c r="L72" s="353"/>
      <c r="M72" s="353"/>
      <c r="V72" s="352" t="s">
        <v>133</v>
      </c>
      <c r="W72" s="352" t="s">
        <v>195</v>
      </c>
      <c r="X72" s="352" t="str">
        <f t="shared" si="11"/>
        <v>John Heitinga (v)</v>
      </c>
      <c r="Y72" s="109">
        <f>AF72</f>
        <v>1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1</v>
      </c>
      <c r="AG72" s="108">
        <f>IF(AC72="",0,(IF(G72=AC72,1,0)))</f>
        <v>1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0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Spanje</v>
      </c>
      <c r="E73" s="388" t="s">
        <v>9</v>
      </c>
      <c r="F73" s="412" t="str">
        <f>IF(J62="","Winnaar 52",IF(J62=1,D62,F62))</f>
        <v>Uruguay</v>
      </c>
      <c r="G73" s="438">
        <v>1</v>
      </c>
      <c r="H73" s="388" t="s">
        <v>9</v>
      </c>
      <c r="I73" s="453">
        <v>0</v>
      </c>
      <c r="J73" s="454">
        <v>1</v>
      </c>
      <c r="K73" s="353"/>
      <c r="L73" s="353"/>
      <c r="M73" s="353"/>
      <c r="V73" s="352" t="s">
        <v>133</v>
      </c>
      <c r="W73" s="352" t="s">
        <v>196</v>
      </c>
      <c r="X73" s="352" t="str">
        <f t="shared" si="11"/>
        <v>Urby Emanuelson (v)</v>
      </c>
      <c r="Y73" s="109">
        <f>AF73</f>
        <v>1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1</v>
      </c>
      <c r="AG73" s="108">
        <f>IF(AC73="",0,(IF(G73=AC73,1,0)))</f>
        <v>0</v>
      </c>
      <c r="AH73" s="108">
        <f>IF(AD73="",0,(IF(I73=AD73,1,0)))</f>
        <v>1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V74" s="352" t="s">
        <v>133</v>
      </c>
      <c r="W74" s="352" t="s">
        <v>197</v>
      </c>
      <c r="X74" s="352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79"/>
      <c r="K75" s="353"/>
      <c r="L75" s="353"/>
      <c r="M75" s="353"/>
      <c r="V75" s="352" t="s">
        <v>133</v>
      </c>
      <c r="W75" s="352" t="s">
        <v>198</v>
      </c>
      <c r="X75" s="352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76" t="s">
        <v>3</v>
      </c>
      <c r="E76" s="431"/>
      <c r="F76" s="477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V76" s="352" t="s">
        <v>133</v>
      </c>
      <c r="W76" s="352" t="s">
        <v>202</v>
      </c>
      <c r="X76" s="352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Duitsland</v>
      </c>
      <c r="E77" s="367" t="s">
        <v>9</v>
      </c>
      <c r="F77" s="406" t="str">
        <f>IF(J71="","Winnaar 58",IF(J71=1,D71,F71))</f>
        <v>Brazilië</v>
      </c>
      <c r="G77" s="435">
        <v>2</v>
      </c>
      <c r="H77" s="367" t="s">
        <v>9</v>
      </c>
      <c r="I77" s="447">
        <v>0</v>
      </c>
      <c r="J77" s="448">
        <v>1</v>
      </c>
      <c r="K77" s="353"/>
      <c r="L77" s="353"/>
      <c r="M77" s="353"/>
      <c r="V77" s="352" t="s">
        <v>134</v>
      </c>
      <c r="W77" s="352" t="s">
        <v>203</v>
      </c>
      <c r="X77" s="352" t="str">
        <f t="shared" si="11"/>
        <v>Marco van Ginkel (m)</v>
      </c>
      <c r="Y77" s="109">
        <f>AF77</f>
        <v>5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5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5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Portugal</v>
      </c>
      <c r="E78" s="388" t="s">
        <v>9</v>
      </c>
      <c r="F78" s="412" t="str">
        <f>IF(J73="","Winnaar 60",IF(J73=1,D73,F73))</f>
        <v>Spanje</v>
      </c>
      <c r="G78" s="438">
        <v>0</v>
      </c>
      <c r="H78" s="388" t="s">
        <v>9</v>
      </c>
      <c r="I78" s="453">
        <v>2</v>
      </c>
      <c r="J78" s="454">
        <v>2</v>
      </c>
      <c r="K78" s="353"/>
      <c r="L78" s="353"/>
      <c r="M78" s="353"/>
      <c r="V78" s="352" t="s">
        <v>134</v>
      </c>
      <c r="W78" s="352" t="s">
        <v>199</v>
      </c>
      <c r="X78" s="352" t="str">
        <f t="shared" si="11"/>
        <v>Leroy Fer (m)</v>
      </c>
      <c r="Y78" s="109">
        <f>AF78</f>
        <v>1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1</v>
      </c>
      <c r="AG78" s="108">
        <f>IF(AC78="",0,(IF(G78=AC78,1,0)))</f>
        <v>1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V79" s="352" t="s">
        <v>134</v>
      </c>
      <c r="W79" s="352" t="s">
        <v>114</v>
      </c>
      <c r="X79" s="352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79"/>
      <c r="K80" s="353"/>
      <c r="L80" s="353"/>
      <c r="M80" s="353"/>
      <c r="V80" s="352" t="s">
        <v>134</v>
      </c>
      <c r="W80" s="352" t="s">
        <v>117</v>
      </c>
      <c r="X80" s="352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76" t="s">
        <v>3</v>
      </c>
      <c r="E81" s="431"/>
      <c r="F81" s="477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V81" s="352" t="s">
        <v>134</v>
      </c>
      <c r="W81" s="352" t="s">
        <v>120</v>
      </c>
      <c r="X81" s="352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Brazilië</v>
      </c>
      <c r="E82" s="355" t="s">
        <v>9</v>
      </c>
      <c r="F82" s="415" t="str">
        <f>IF(J78="","Verliezer 62",IF(J78=1,F78,D78))</f>
        <v>Portugal</v>
      </c>
      <c r="G82" s="455">
        <v>1</v>
      </c>
      <c r="H82" s="355" t="s">
        <v>9</v>
      </c>
      <c r="I82" s="456">
        <v>1</v>
      </c>
      <c r="J82" s="457">
        <v>1</v>
      </c>
      <c r="K82" s="353"/>
      <c r="L82" s="353"/>
      <c r="M82" s="353"/>
      <c r="V82" s="352" t="s">
        <v>134</v>
      </c>
      <c r="W82" s="352" t="s">
        <v>125</v>
      </c>
      <c r="X82" s="35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V83" s="352" t="s">
        <v>134</v>
      </c>
      <c r="W83" s="352" t="s">
        <v>136</v>
      </c>
      <c r="X83" s="352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79"/>
      <c r="K84" s="353"/>
      <c r="L84" s="353"/>
      <c r="M84" s="353"/>
      <c r="V84" s="352" t="s">
        <v>134</v>
      </c>
      <c r="W84" s="352" t="s">
        <v>137</v>
      </c>
      <c r="X84" s="352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76" t="s">
        <v>3</v>
      </c>
      <c r="E85" s="431"/>
      <c r="F85" s="477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V85" s="352" t="s">
        <v>134</v>
      </c>
      <c r="W85" s="352" t="s">
        <v>138</v>
      </c>
      <c r="X85" s="352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Duitsland</v>
      </c>
      <c r="E86" s="355" t="s">
        <v>9</v>
      </c>
      <c r="F86" s="415" t="str">
        <f>IF(J78="","Winnaar 62",IF(J78=1,D78,F78))</f>
        <v>Spanje</v>
      </c>
      <c r="G86" s="455">
        <v>3</v>
      </c>
      <c r="H86" s="355" t="s">
        <v>9</v>
      </c>
      <c r="I86" s="456">
        <v>0</v>
      </c>
      <c r="J86" s="457">
        <v>1</v>
      </c>
      <c r="K86" s="353"/>
      <c r="L86" s="353"/>
      <c r="M86" s="353"/>
      <c r="V86" s="352" t="s">
        <v>134</v>
      </c>
      <c r="W86" s="352" t="s">
        <v>139</v>
      </c>
      <c r="X86" s="352" t="str">
        <f t="shared" si="11"/>
        <v>Nigel de Jong (m)</v>
      </c>
      <c r="Y86" s="109">
        <f>AF86</f>
        <v>1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1</v>
      </c>
      <c r="AG86" s="108">
        <f>IF(AC86="",0,(IF(G86=AC86,1,0)))</f>
        <v>0</v>
      </c>
      <c r="AH86" s="108">
        <f>IF(AD86="",0,(IF(I86=AD86,1,0)))</f>
        <v>1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353"/>
      <c r="C87" s="129"/>
      <c r="D87" s="392"/>
      <c r="E87" s="353"/>
      <c r="F87" s="392"/>
      <c r="G87" s="353"/>
      <c r="H87" s="353"/>
      <c r="I87" s="353"/>
      <c r="J87" s="353"/>
      <c r="K87" s="353"/>
      <c r="L87" s="353"/>
      <c r="M87" s="353"/>
      <c r="V87" s="352" t="s">
        <v>135</v>
      </c>
      <c r="W87" s="352" t="s">
        <v>205</v>
      </c>
      <c r="X87" s="352" t="str">
        <f t="shared" si="11"/>
        <v>Ricky van Wolfswinkel (a)</v>
      </c>
      <c r="AP87" s="136" t="s">
        <v>102</v>
      </c>
    </row>
    <row r="88" spans="2:50">
      <c r="B88" s="353"/>
      <c r="C88" s="129"/>
      <c r="D88" s="392"/>
      <c r="E88" s="353"/>
      <c r="F88" s="392"/>
      <c r="G88" s="353"/>
      <c r="H88" s="353"/>
      <c r="I88" s="353"/>
      <c r="J88" s="353"/>
      <c r="K88" s="353"/>
      <c r="L88" s="353"/>
      <c r="M88" s="353"/>
      <c r="V88" s="352" t="s">
        <v>135</v>
      </c>
      <c r="W88" s="352" t="s">
        <v>204</v>
      </c>
      <c r="X88" s="352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458"/>
    </row>
    <row r="89" spans="2:50" ht="20.25">
      <c r="C89" s="874" t="s">
        <v>101</v>
      </c>
      <c r="D89" s="871"/>
      <c r="E89" s="873" t="str">
        <f>IF(J86=1,D86,IF(J86=2,F86,"Wie zal het worden?"))</f>
        <v>Duitsland</v>
      </c>
      <c r="F89" s="873"/>
      <c r="G89" s="873"/>
      <c r="H89" s="873"/>
      <c r="I89" s="873"/>
      <c r="J89" s="873"/>
      <c r="K89" s="353"/>
      <c r="L89" s="353"/>
      <c r="M89" s="353"/>
      <c r="V89" s="352" t="s">
        <v>135</v>
      </c>
      <c r="W89" s="352" t="s">
        <v>201</v>
      </c>
      <c r="X89" s="352" t="str">
        <f t="shared" si="11"/>
        <v>Jermain Lens (a)</v>
      </c>
      <c r="AP89" s="109">
        <f>AU89</f>
        <v>50</v>
      </c>
      <c r="AQ89" s="131">
        <v>1</v>
      </c>
      <c r="AR89" s="904" t="str">
        <f>Uitslag!E89</f>
        <v>Duitsland</v>
      </c>
      <c r="AS89" s="905"/>
      <c r="AT89" s="906"/>
      <c r="AU89" s="352">
        <f>SUM(AV89:AX89)</f>
        <v>50</v>
      </c>
      <c r="AV89" s="352">
        <f>IF(AR89=0,0,IF(E89=AR89,50,0))</f>
        <v>50</v>
      </c>
      <c r="AW89" s="352">
        <f>IF(E89=0,0,IF(OR(E89=AR90),15,0))</f>
        <v>0</v>
      </c>
      <c r="AX89" s="352">
        <f>IF(E89=0,0,IF(OR(E89=AR91,E89=AR92),5,0))</f>
        <v>0</v>
      </c>
    </row>
    <row r="90" spans="2:50">
      <c r="C90" s="870">
        <v>2</v>
      </c>
      <c r="D90" s="871"/>
      <c r="E90" s="872" t="str">
        <f>IF(J86=2,D86,IF(J86=1,F86,"Wie wordt 2de?"))</f>
        <v>Spanje</v>
      </c>
      <c r="F90" s="872"/>
      <c r="G90" s="872"/>
      <c r="H90" s="872"/>
      <c r="I90" s="872"/>
      <c r="J90" s="872"/>
      <c r="V90" s="352" t="s">
        <v>135</v>
      </c>
      <c r="W90" s="352" t="s">
        <v>200</v>
      </c>
      <c r="X90" s="352" t="str">
        <f t="shared" si="11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 s="352">
        <f>SUM(AV90:AX90)</f>
        <v>0</v>
      </c>
      <c r="AV90" s="352">
        <f>IF(AR90=0,0,IF(AR90=E90,25,0))</f>
        <v>0</v>
      </c>
      <c r="AW90" s="352">
        <f>IF(E90=0,0,IF(OR(E90=AR89,),15,0))</f>
        <v>0</v>
      </c>
      <c r="AX90" s="352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Brazilië</v>
      </c>
      <c r="F91" s="872"/>
      <c r="G91" s="872"/>
      <c r="H91" s="872"/>
      <c r="I91" s="872"/>
      <c r="J91" s="872"/>
      <c r="V91" s="352" t="s">
        <v>135</v>
      </c>
      <c r="W91" s="352" t="s">
        <v>128</v>
      </c>
      <c r="X91" s="352" t="str">
        <f t="shared" si="11"/>
        <v>Jürgen Locadia (a)</v>
      </c>
      <c r="AP91" s="109">
        <f>AU91</f>
        <v>10</v>
      </c>
      <c r="AQ91" s="131">
        <v>3</v>
      </c>
      <c r="AR91" s="904" t="str">
        <f>Uitslag!E91</f>
        <v>Nederland</v>
      </c>
      <c r="AS91" s="905"/>
      <c r="AT91" s="906"/>
      <c r="AU91" s="352">
        <f>SUM(AV91:AX91)</f>
        <v>10</v>
      </c>
      <c r="AV91" s="352">
        <f>IF(AR91=0,0,IF(AR91=E91,15,0))</f>
        <v>0</v>
      </c>
      <c r="AW91" s="352">
        <f>IF(E91=0,0,IF(OR(E91=AR92),10,0))</f>
        <v>10</v>
      </c>
      <c r="AX91" s="352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Portugal</v>
      </c>
      <c r="F92" s="872"/>
      <c r="G92" s="872"/>
      <c r="H92" s="872"/>
      <c r="I92" s="872"/>
      <c r="J92" s="872"/>
      <c r="V92" s="352" t="s">
        <v>135</v>
      </c>
      <c r="W92" s="352" t="s">
        <v>127</v>
      </c>
      <c r="X92" s="35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 s="352">
        <f>SUM(AV92:AX92)</f>
        <v>0</v>
      </c>
      <c r="AV92" s="352">
        <f>IF(AR92=0,0,IF(AR92=E92,15,0))</f>
        <v>0</v>
      </c>
      <c r="AW92" s="352">
        <f>IF(E92=0,0,IF(OR(E92=AR91,),10,0))</f>
        <v>0</v>
      </c>
      <c r="AX92" s="352">
        <f>IF(E92=0,0,IF(OR(E92=AR89,E92=AR90),5,0))</f>
        <v>0</v>
      </c>
    </row>
    <row r="93" spans="2:50" ht="15.75" thickBot="1">
      <c r="V93" s="352" t="s">
        <v>135</v>
      </c>
      <c r="W93" s="352" t="s">
        <v>123</v>
      </c>
      <c r="X93" s="352" t="str">
        <f t="shared" si="11"/>
        <v>Quincy Promes (a)</v>
      </c>
      <c r="AS93" s="132"/>
      <c r="AU93" s="133">
        <f>SUM(AU89:AU92)</f>
        <v>60</v>
      </c>
    </row>
    <row r="94" spans="2:50" ht="15.75" thickTop="1">
      <c r="V94" s="352" t="s">
        <v>135</v>
      </c>
      <c r="W94" s="352" t="s">
        <v>122</v>
      </c>
      <c r="X94" s="352" t="str">
        <f t="shared" si="11"/>
        <v>Luc Castaignos (a)</v>
      </c>
    </row>
    <row r="95" spans="2:50">
      <c r="V95" s="352" t="s">
        <v>135</v>
      </c>
      <c r="W95" s="352" t="s">
        <v>113</v>
      </c>
      <c r="X95" s="352" t="str">
        <f t="shared" si="11"/>
        <v>Jean-Paul Boëtius (a)</v>
      </c>
    </row>
    <row r="96" spans="2:50">
      <c r="V96" s="352" t="s">
        <v>135</v>
      </c>
      <c r="W96" s="352" t="s">
        <v>129</v>
      </c>
      <c r="X96" s="352" t="str">
        <f t="shared" si="11"/>
        <v>Luciano Narsingh (a)</v>
      </c>
    </row>
    <row r="97" spans="22:24">
      <c r="V97" s="352" t="s">
        <v>135</v>
      </c>
      <c r="W97" s="352" t="s">
        <v>130</v>
      </c>
      <c r="X97" s="352" t="str">
        <f t="shared" si="11"/>
        <v>Robin van Persie (a)</v>
      </c>
    </row>
    <row r="98" spans="22:24">
      <c r="V98" s="352" t="s">
        <v>135</v>
      </c>
      <c r="W98" s="352" t="s">
        <v>131</v>
      </c>
      <c r="X98" s="352" t="str">
        <f t="shared" si="11"/>
        <v>Arjen Robben (a)</v>
      </c>
    </row>
  </sheetData>
  <mergeCells count="36">
    <mergeCell ref="C91:D91"/>
    <mergeCell ref="E91:J91"/>
    <mergeCell ref="AR91:AT91"/>
    <mergeCell ref="C92:D92"/>
    <mergeCell ref="E92:J92"/>
    <mergeCell ref="AR92:AT92"/>
    <mergeCell ref="C89:D89"/>
    <mergeCell ref="E89:J89"/>
    <mergeCell ref="AR89:AT89"/>
    <mergeCell ref="C90:D90"/>
    <mergeCell ref="E90:J90"/>
    <mergeCell ref="AR90:AT90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</mergeCells>
  <conditionalFormatting sqref="AO9:AO12 AO15:AO18 AO21:AO24 AO27:AO30 AO33:AO36 AO39:AO42 AO45:AO48 AO51:AO54">
    <cfRule type="cellIs" dxfId="101" priority="3" operator="equal">
      <formula>10</formula>
    </cfRule>
  </conditionalFormatting>
  <conditionalFormatting sqref="P58:T58">
    <cfRule type="duplicateValues" dxfId="100" priority="2"/>
  </conditionalFormatting>
  <conditionalFormatting sqref="P58:T68">
    <cfRule type="duplicateValues" dxfId="99" priority="1"/>
  </conditionalFormatting>
  <dataValidations count="10">
    <dataValidation type="list" allowBlank="1" showInputMessage="1" showErrorMessage="1" sqref="P58:P68">
      <formula1>[2]deelnameformulier!$X$58:$X$98</formula1>
    </dataValidation>
    <dataValidation type="list" allowBlank="1" showInputMessage="1" showErrorMessage="1" sqref="T51:T54">
      <formula1>[2]deelnameformulier!$W$51:$W$54</formula1>
    </dataValidation>
    <dataValidation type="list" allowBlank="1" showInputMessage="1" showErrorMessage="1" sqref="T45:T48">
      <formula1>[2]deelnameformulier!$W$45:$W$49</formula1>
    </dataValidation>
    <dataValidation type="list" allowBlank="1" showInputMessage="1" showErrorMessage="1" sqref="T39:T42">
      <formula1>[2]deelnameformulier!$W$39:$W$42</formula1>
    </dataValidation>
    <dataValidation type="list" allowBlank="1" showInputMessage="1" showErrorMessage="1" sqref="T33:T36">
      <formula1>[2]deelnameformulier!$W$33:$W$36</formula1>
    </dataValidation>
    <dataValidation type="list" allowBlank="1" showInputMessage="1" showErrorMessage="1" sqref="T27:T30">
      <formula1>[2]deelnameformulier!$W$27:$W$30</formula1>
    </dataValidation>
    <dataValidation type="list" allowBlank="1" showInputMessage="1" showErrorMessage="1" sqref="T21:T24">
      <formula1>[2]deelnameformulier!$W$21:$W$24</formula1>
    </dataValidation>
    <dataValidation type="list" allowBlank="1" showInputMessage="1" showErrorMessage="1" sqref="T15:T18">
      <formula1>[2]deelnameformulier!$W$15:$W$18</formula1>
    </dataValidation>
    <dataValidation type="list" allowBlank="1" showInputMessage="1" showErrorMessage="1" sqref="T9:T12">
      <formula1>[2]deelnameformulier!$W$9:$W$12</formula1>
    </dataValidation>
    <dataValidation type="list" allowBlank="1" showInputMessage="1" showErrorMessage="1" sqref="J86 J59:J66 J70:J73 J77:J78 J82">
      <formula1>[2]deelnameformulier!$M$59:$M$60</formula1>
    </dataValidation>
  </dataValidation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>
  <dimension ref="B1:BB98"/>
  <sheetViews>
    <sheetView topLeftCell="A40" zoomScale="70" zoomScaleNormal="70" workbookViewId="0">
      <selection activeCell="P58" sqref="P58:T68"/>
    </sheetView>
  </sheetViews>
  <sheetFormatPr defaultRowHeight="15" outlineLevelCol="2"/>
  <cols>
    <col min="1" max="1" width="3.42578125" style="352" customWidth="1"/>
    <col min="2" max="2" width="3.5703125" style="352" bestFit="1" customWidth="1"/>
    <col min="3" max="3" width="11.5703125" style="123" bestFit="1" customWidth="1"/>
    <col min="4" max="4" width="19.7109375" style="352" bestFit="1" customWidth="1"/>
    <col min="5" max="5" width="3.42578125" style="352" customWidth="1"/>
    <col min="6" max="6" width="19.7109375" style="352" bestFit="1" customWidth="1"/>
    <col min="7" max="7" width="6.7109375" style="352" customWidth="1"/>
    <col min="8" max="8" width="1.5703125" style="352" bestFit="1" customWidth="1"/>
    <col min="9" max="9" width="6.7109375" style="352" customWidth="1"/>
    <col min="10" max="10" width="6.85546875" style="352" bestFit="1" customWidth="1"/>
    <col min="11" max="13" width="9.140625" style="352" hidden="1" customWidth="1" outlineLevel="1"/>
    <col min="14" max="14" width="11.42578125" style="352" bestFit="1" customWidth="1" collapsed="1"/>
    <col min="15" max="15" width="14.7109375" style="352" bestFit="1" customWidth="1"/>
    <col min="16" max="16" width="12.28515625" style="352" bestFit="1" customWidth="1"/>
    <col min="17" max="17" width="8.140625" style="352" bestFit="1" customWidth="1"/>
    <col min="18" max="18" width="7.7109375" style="352" bestFit="1" customWidth="1"/>
    <col min="19" max="19" width="9.140625" style="352"/>
    <col min="20" max="20" width="8.5703125" style="352" bestFit="1" customWidth="1"/>
    <col min="21" max="21" width="9.140625" style="352"/>
    <col min="22" max="23" width="9.140625" style="352" hidden="1" customWidth="1" outlineLevel="1"/>
    <col min="24" max="24" width="2" style="352" hidden="1" customWidth="1" outlineLevel="1"/>
    <col min="25" max="25" width="12.28515625" style="352" bestFit="1" customWidth="1" collapsed="1"/>
    <col min="26" max="27" width="12.28515625" style="352" hidden="1" customWidth="1" outlineLevel="1"/>
    <col min="28" max="28" width="4.7109375" style="352" hidden="1" customWidth="1" outlineLevel="1"/>
    <col min="29" max="38" width="9.140625" style="352" hidden="1" customWidth="1" outlineLevel="1"/>
    <col min="39" max="39" width="7.42578125" style="352" bestFit="1" customWidth="1" collapsed="1"/>
    <col min="40" max="40" width="19.7109375" style="352" hidden="1" customWidth="1" outlineLevel="1"/>
    <col min="41" max="41" width="9.140625" style="352" hidden="1" customWidth="1" outlineLevel="1"/>
    <col min="42" max="42" width="9.140625" style="352" collapsed="1"/>
    <col min="43" max="49" width="9.140625" style="352" hidden="1" customWidth="1" outlineLevel="2"/>
    <col min="50" max="50" width="11.5703125" style="352" hidden="1" customWidth="1" outlineLevel="2"/>
    <col min="51" max="51" width="11.85546875" style="352" hidden="1" customWidth="1" outlineLevel="1" collapsed="1"/>
    <col min="52" max="52" width="9.42578125" style="352" hidden="1" customWidth="1" outlineLevel="1"/>
    <col min="53" max="53" width="10.5703125" style="352" hidden="1" customWidth="1" outlineLevel="1"/>
    <col min="54" max="54" width="9.140625" style="352" collapsed="1"/>
    <col min="55" max="55" width="11.85546875" style="352" bestFit="1" customWidth="1"/>
    <col min="56" max="16384" width="9.140625" style="352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320</v>
      </c>
      <c r="E3" s="335"/>
      <c r="F3" s="335"/>
      <c r="N3" s="352" t="str">
        <f>D3</f>
        <v>Annelies J.</v>
      </c>
      <c r="O3" s="144">
        <f>SUM(P3:S3)</f>
        <v>333</v>
      </c>
      <c r="P3" s="109">
        <f>SUM(Y8:Y86)</f>
        <v>169</v>
      </c>
      <c r="Q3" s="109">
        <f>SUM(AM4:AM55)</f>
        <v>130</v>
      </c>
      <c r="R3" s="109">
        <f>SUM(AP89:AP92)</f>
        <v>10</v>
      </c>
      <c r="S3" s="109">
        <f>SUM(BB58:BB69)</f>
        <v>24</v>
      </c>
      <c r="T3" s="109">
        <f>COUNTIF(AF8:AF86,10)</f>
        <v>6</v>
      </c>
      <c r="U3" s="109" t="str">
        <f>E89</f>
        <v>Brazilië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907" t="s">
        <v>0</v>
      </c>
      <c r="C6" s="908"/>
      <c r="D6" s="908"/>
      <c r="E6" s="908"/>
      <c r="F6" s="908"/>
      <c r="G6" s="908"/>
      <c r="H6" s="908"/>
      <c r="I6" s="908"/>
      <c r="J6" s="909"/>
      <c r="K6" s="600"/>
      <c r="L6" s="600"/>
      <c r="M6" s="599"/>
      <c r="N6" s="599"/>
      <c r="O6" s="639"/>
      <c r="P6" s="640"/>
      <c r="Q6" s="640"/>
      <c r="R6" s="640"/>
      <c r="S6" s="640"/>
      <c r="T6" s="640"/>
      <c r="U6" s="392"/>
      <c r="V6" s="392"/>
      <c r="W6" s="392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663" t="s">
        <v>1</v>
      </c>
      <c r="C7" s="664" t="s">
        <v>2</v>
      </c>
      <c r="D7" s="665" t="s">
        <v>3</v>
      </c>
      <c r="E7" s="666"/>
      <c r="F7" s="667" t="s">
        <v>4</v>
      </c>
      <c r="G7" s="910" t="s">
        <v>5</v>
      </c>
      <c r="H7" s="911"/>
      <c r="I7" s="912"/>
      <c r="J7" s="668" t="s">
        <v>6</v>
      </c>
      <c r="K7" s="603" t="s">
        <v>7</v>
      </c>
      <c r="L7" s="603" t="s">
        <v>7</v>
      </c>
      <c r="M7" s="599"/>
      <c r="N7" s="599"/>
      <c r="O7" s="600"/>
      <c r="P7" s="640"/>
      <c r="Q7" s="640"/>
      <c r="R7" s="640"/>
      <c r="S7" s="640"/>
      <c r="T7" s="640"/>
      <c r="U7" s="353"/>
      <c r="V7" s="353"/>
      <c r="W7" s="353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458"/>
      <c r="BB7" s="142"/>
    </row>
    <row r="8" spans="2:54" ht="15.75" thickBot="1">
      <c r="B8" s="604">
        <v>1</v>
      </c>
      <c r="C8" s="605">
        <v>41802</v>
      </c>
      <c r="D8" s="606" t="s">
        <v>8</v>
      </c>
      <c r="E8" s="607" t="s">
        <v>9</v>
      </c>
      <c r="F8" s="608" t="s">
        <v>10</v>
      </c>
      <c r="G8" s="681">
        <v>0</v>
      </c>
      <c r="H8" s="607" t="s">
        <v>9</v>
      </c>
      <c r="I8" s="686">
        <v>0</v>
      </c>
      <c r="J8" s="609">
        <v>3</v>
      </c>
      <c r="K8" s="610">
        <v>1</v>
      </c>
      <c r="L8" s="610">
        <v>1</v>
      </c>
      <c r="M8" s="599"/>
      <c r="N8" s="599"/>
      <c r="O8" s="669" t="s">
        <v>41</v>
      </c>
      <c r="P8" s="670" t="s">
        <v>42</v>
      </c>
      <c r="Q8" s="670" t="s">
        <v>43</v>
      </c>
      <c r="R8" s="671" t="s">
        <v>44</v>
      </c>
      <c r="S8" s="672" t="s">
        <v>45</v>
      </c>
      <c r="T8" s="673" t="s">
        <v>46</v>
      </c>
      <c r="U8" s="392"/>
      <c r="V8" s="392"/>
      <c r="W8" s="392"/>
      <c r="Y8" s="109">
        <f>AF8</f>
        <v>0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0</v>
      </c>
      <c r="AG8" s="108">
        <f t="shared" ref="AG8:AG55" si="0">IF(AC8="",0,(IF(G8=AC8,1,0)))</f>
        <v>0</v>
      </c>
      <c r="AH8" s="108">
        <f t="shared" ref="AH8:AH55" si="1">IF(AD8="",0,(IF(I8=AD8,1,0)))</f>
        <v>0</v>
      </c>
      <c r="AI8" s="108">
        <f>IF(AND(AG8=1,AH8=1),10,0)</f>
        <v>0</v>
      </c>
      <c r="AJ8" s="108">
        <f t="shared" ref="AJ8:AJ55" si="2">IF(AND(G8&gt;I8,AC8&gt;AD8),5,0)</f>
        <v>0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611">
        <v>2</v>
      </c>
      <c r="C9" s="612">
        <v>41803</v>
      </c>
      <c r="D9" s="613" t="s">
        <v>11</v>
      </c>
      <c r="E9" s="614" t="s">
        <v>9</v>
      </c>
      <c r="F9" s="615" t="s">
        <v>12</v>
      </c>
      <c r="G9" s="682">
        <v>0</v>
      </c>
      <c r="H9" s="614" t="s">
        <v>9</v>
      </c>
      <c r="I9" s="687">
        <v>0</v>
      </c>
      <c r="J9" s="616">
        <v>3</v>
      </c>
      <c r="K9" s="610">
        <v>1</v>
      </c>
      <c r="L9" s="610">
        <v>1</v>
      </c>
      <c r="M9" s="599"/>
      <c r="N9" s="599"/>
      <c r="O9" s="641" t="s">
        <v>8</v>
      </c>
      <c r="P9" s="642">
        <v>3</v>
      </c>
      <c r="Q9" s="642">
        <v>2</v>
      </c>
      <c r="R9" s="643">
        <v>1</v>
      </c>
      <c r="S9" s="644">
        <v>5</v>
      </c>
      <c r="T9" s="691" t="s">
        <v>48</v>
      </c>
      <c r="U9" s="392"/>
      <c r="V9" s="392" t="str">
        <f>O9</f>
        <v>Brazilië</v>
      </c>
      <c r="W9" s="392" t="s">
        <v>48</v>
      </c>
      <c r="Y9" s="109">
        <f t="shared" ref="Y9:Y55" si="5">AF9</f>
        <v>1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6">IF(OR(AC9="",AD9=""),0,(IF(SUM(AG9:AL9)&gt;10,10,SUM(AG9:AL9))))</f>
        <v>1</v>
      </c>
      <c r="AG9" s="108">
        <f t="shared" si="0"/>
        <v>0</v>
      </c>
      <c r="AH9" s="108">
        <f t="shared" si="1"/>
        <v>1</v>
      </c>
      <c r="AI9" s="108">
        <f t="shared" ref="AI9:AI55" si="7">IF(AND(AG9=1,AH9=1),10,0)</f>
        <v>0</v>
      </c>
      <c r="AJ9" s="108">
        <f t="shared" si="2"/>
        <v>0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617">
        <v>3</v>
      </c>
      <c r="C10" s="618">
        <v>41803</v>
      </c>
      <c r="D10" s="619" t="s">
        <v>13</v>
      </c>
      <c r="E10" s="620" t="s">
        <v>9</v>
      </c>
      <c r="F10" s="621" t="s">
        <v>14</v>
      </c>
      <c r="G10" s="683">
        <v>0</v>
      </c>
      <c r="H10" s="620" t="s">
        <v>9</v>
      </c>
      <c r="I10" s="688">
        <v>1</v>
      </c>
      <c r="J10" s="622">
        <v>2</v>
      </c>
      <c r="K10" s="610">
        <v>0</v>
      </c>
      <c r="L10" s="610">
        <v>3</v>
      </c>
      <c r="M10" s="599"/>
      <c r="N10" s="599"/>
      <c r="O10" s="645" t="s">
        <v>10</v>
      </c>
      <c r="P10" s="646">
        <v>2</v>
      </c>
      <c r="Q10" s="646">
        <v>4</v>
      </c>
      <c r="R10" s="646">
        <v>-2</v>
      </c>
      <c r="S10" s="647">
        <v>1</v>
      </c>
      <c r="T10" s="692" t="s">
        <v>50</v>
      </c>
      <c r="U10" s="392"/>
      <c r="V10" s="392" t="str">
        <f>O10</f>
        <v>Kroatië</v>
      </c>
      <c r="W10" s="392" t="s">
        <v>49</v>
      </c>
      <c r="Y10" s="109">
        <f t="shared" si="5"/>
        <v>5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6"/>
        <v>5</v>
      </c>
      <c r="AG10" s="108">
        <f t="shared" si="0"/>
        <v>0</v>
      </c>
      <c r="AH10" s="108">
        <f t="shared" si="1"/>
        <v>0</v>
      </c>
      <c r="AI10" s="108">
        <f t="shared" si="7"/>
        <v>0</v>
      </c>
      <c r="AJ10" s="108">
        <f t="shared" si="2"/>
        <v>0</v>
      </c>
      <c r="AK10" s="108">
        <f t="shared" si="3"/>
        <v>5</v>
      </c>
      <c r="AL10" s="108">
        <f t="shared" si="4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623">
        <v>4</v>
      </c>
      <c r="C11" s="624">
        <v>41803</v>
      </c>
      <c r="D11" s="625" t="s">
        <v>15</v>
      </c>
      <c r="E11" s="626" t="s">
        <v>9</v>
      </c>
      <c r="F11" s="627" t="s">
        <v>16</v>
      </c>
      <c r="G11" s="684">
        <v>1</v>
      </c>
      <c r="H11" s="626" t="s">
        <v>9</v>
      </c>
      <c r="I11" s="689">
        <v>2</v>
      </c>
      <c r="J11" s="628">
        <v>2</v>
      </c>
      <c r="K11" s="610">
        <v>0</v>
      </c>
      <c r="L11" s="610">
        <v>3</v>
      </c>
      <c r="M11" s="599"/>
      <c r="N11" s="599"/>
      <c r="O11" s="645" t="s">
        <v>11</v>
      </c>
      <c r="P11" s="646">
        <v>1</v>
      </c>
      <c r="Q11" s="646">
        <v>0</v>
      </c>
      <c r="R11" s="646">
        <v>1</v>
      </c>
      <c r="S11" s="647">
        <v>5</v>
      </c>
      <c r="T11" s="692" t="s">
        <v>49</v>
      </c>
      <c r="U11" s="392"/>
      <c r="V11" s="392" t="str">
        <f>O11</f>
        <v>Mexico</v>
      </c>
      <c r="W11" s="392" t="s">
        <v>47</v>
      </c>
      <c r="Y11" s="109">
        <f t="shared" si="5"/>
        <v>0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6"/>
        <v>0</v>
      </c>
      <c r="AG11" s="108">
        <f t="shared" si="0"/>
        <v>0</v>
      </c>
      <c r="AH11" s="108">
        <f t="shared" si="1"/>
        <v>0</v>
      </c>
      <c r="AI11" s="108">
        <f t="shared" si="7"/>
        <v>0</v>
      </c>
      <c r="AJ11" s="108">
        <f t="shared" si="2"/>
        <v>0</v>
      </c>
      <c r="AK11" s="108">
        <f t="shared" si="3"/>
        <v>0</v>
      </c>
      <c r="AL11" s="108">
        <f t="shared" si="4"/>
        <v>0</v>
      </c>
      <c r="AM11" s="120">
        <f>AO11</f>
        <v>10</v>
      </c>
      <c r="AN11" s="117" t="s">
        <v>11</v>
      </c>
      <c r="AO11" s="115">
        <f>IF(Uitslag!T11="",0,IF(T11=Uitslag!T11,10,0))</f>
        <v>10</v>
      </c>
    </row>
    <row r="12" spans="2:54" ht="15.75" thickBot="1">
      <c r="B12" s="611">
        <v>5</v>
      </c>
      <c r="C12" s="612">
        <v>41804</v>
      </c>
      <c r="D12" s="613" t="s">
        <v>17</v>
      </c>
      <c r="E12" s="614" t="s">
        <v>9</v>
      </c>
      <c r="F12" s="615" t="s">
        <v>18</v>
      </c>
      <c r="G12" s="682">
        <v>1</v>
      </c>
      <c r="H12" s="614" t="s">
        <v>9</v>
      </c>
      <c r="I12" s="687">
        <v>0</v>
      </c>
      <c r="J12" s="616">
        <v>1</v>
      </c>
      <c r="K12" s="610">
        <v>3</v>
      </c>
      <c r="L12" s="610">
        <v>0</v>
      </c>
      <c r="M12" s="599"/>
      <c r="N12" s="599"/>
      <c r="O12" s="648" t="s">
        <v>12</v>
      </c>
      <c r="P12" s="649">
        <v>3</v>
      </c>
      <c r="Q12" s="649">
        <v>3</v>
      </c>
      <c r="R12" s="649">
        <v>0</v>
      </c>
      <c r="S12" s="650">
        <v>4</v>
      </c>
      <c r="T12" s="693" t="s">
        <v>47</v>
      </c>
      <c r="U12" s="392"/>
      <c r="V12" s="392" t="str">
        <f>O12</f>
        <v>Kameroen</v>
      </c>
      <c r="W12" s="392" t="s">
        <v>50</v>
      </c>
      <c r="Y12" s="109">
        <f t="shared" si="5"/>
        <v>6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6"/>
        <v>6</v>
      </c>
      <c r="AG12" s="108">
        <f t="shared" si="0"/>
        <v>0</v>
      </c>
      <c r="AH12" s="108">
        <f t="shared" si="1"/>
        <v>1</v>
      </c>
      <c r="AI12" s="108">
        <f t="shared" si="7"/>
        <v>0</v>
      </c>
      <c r="AJ12" s="108">
        <f t="shared" si="2"/>
        <v>5</v>
      </c>
      <c r="AK12" s="108">
        <f t="shared" si="3"/>
        <v>0</v>
      </c>
      <c r="AL12" s="108">
        <f t="shared" si="4"/>
        <v>0</v>
      </c>
      <c r="AM12" s="120">
        <f>AO12</f>
        <v>0</v>
      </c>
      <c r="AN12" s="118" t="s">
        <v>12</v>
      </c>
      <c r="AO12" s="115">
        <f>IF(Uitslag!T12="",0,IF(T12=Uitslag!T12,10,0))</f>
        <v>0</v>
      </c>
    </row>
    <row r="13" spans="2:54" ht="15.75" thickBot="1">
      <c r="B13" s="617">
        <v>6</v>
      </c>
      <c r="C13" s="618">
        <v>41804</v>
      </c>
      <c r="D13" s="619" t="s">
        <v>19</v>
      </c>
      <c r="E13" s="620" t="s">
        <v>9</v>
      </c>
      <c r="F13" s="629" t="s">
        <v>20</v>
      </c>
      <c r="G13" s="683">
        <v>0</v>
      </c>
      <c r="H13" s="620" t="s">
        <v>9</v>
      </c>
      <c r="I13" s="688">
        <v>0</v>
      </c>
      <c r="J13" s="622">
        <v>3</v>
      </c>
      <c r="K13" s="610">
        <v>1</v>
      </c>
      <c r="L13" s="610">
        <v>1</v>
      </c>
      <c r="M13" s="599"/>
      <c r="N13" s="599"/>
      <c r="O13" s="639"/>
      <c r="P13" s="640"/>
      <c r="Q13" s="640"/>
      <c r="R13" s="640"/>
      <c r="S13" s="640"/>
      <c r="T13" s="640"/>
      <c r="U13" s="392"/>
      <c r="V13" s="392"/>
      <c r="W13" s="392"/>
      <c r="Y13" s="109">
        <f t="shared" si="5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6"/>
        <v>0</v>
      </c>
      <c r="AG13" s="108">
        <f t="shared" si="0"/>
        <v>0</v>
      </c>
      <c r="AH13" s="108">
        <f t="shared" si="1"/>
        <v>0</v>
      </c>
      <c r="AI13" s="108">
        <f t="shared" si="7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392"/>
      <c r="AO13" s="393"/>
    </row>
    <row r="14" spans="2:54" ht="15.75" thickBot="1">
      <c r="B14" s="617">
        <v>7</v>
      </c>
      <c r="C14" s="618">
        <v>41804</v>
      </c>
      <c r="D14" s="619" t="s">
        <v>21</v>
      </c>
      <c r="E14" s="620" t="s">
        <v>9</v>
      </c>
      <c r="F14" s="629" t="s">
        <v>22</v>
      </c>
      <c r="G14" s="683">
        <v>2</v>
      </c>
      <c r="H14" s="620" t="s">
        <v>9</v>
      </c>
      <c r="I14" s="688">
        <v>1</v>
      </c>
      <c r="J14" s="622">
        <v>1</v>
      </c>
      <c r="K14" s="610">
        <v>3</v>
      </c>
      <c r="L14" s="610">
        <v>0</v>
      </c>
      <c r="M14" s="599"/>
      <c r="N14" s="599"/>
      <c r="O14" s="669" t="s">
        <v>51</v>
      </c>
      <c r="P14" s="670" t="s">
        <v>42</v>
      </c>
      <c r="Q14" s="670" t="s">
        <v>43</v>
      </c>
      <c r="R14" s="671" t="s">
        <v>44</v>
      </c>
      <c r="S14" s="672" t="s">
        <v>45</v>
      </c>
      <c r="T14" s="673" t="s">
        <v>46</v>
      </c>
      <c r="U14" s="392"/>
      <c r="V14" s="392"/>
      <c r="W14" s="392"/>
      <c r="Y14" s="109">
        <f t="shared" si="5"/>
        <v>0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6"/>
        <v>0</v>
      </c>
      <c r="AG14" s="108">
        <f t="shared" si="0"/>
        <v>0</v>
      </c>
      <c r="AH14" s="108">
        <f t="shared" si="1"/>
        <v>0</v>
      </c>
      <c r="AI14" s="108">
        <f t="shared" si="7"/>
        <v>0</v>
      </c>
      <c r="AJ14" s="108">
        <f t="shared" si="2"/>
        <v>0</v>
      </c>
      <c r="AK14" s="108">
        <f t="shared" si="3"/>
        <v>0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623">
        <v>8</v>
      </c>
      <c r="C15" s="624">
        <v>41804</v>
      </c>
      <c r="D15" s="625" t="s">
        <v>23</v>
      </c>
      <c r="E15" s="626" t="s">
        <v>9</v>
      </c>
      <c r="F15" s="627" t="s">
        <v>24</v>
      </c>
      <c r="G15" s="684">
        <v>2</v>
      </c>
      <c r="H15" s="626" t="s">
        <v>9</v>
      </c>
      <c r="I15" s="689">
        <v>0</v>
      </c>
      <c r="J15" s="628">
        <v>1</v>
      </c>
      <c r="K15" s="610">
        <v>3</v>
      </c>
      <c r="L15" s="610">
        <v>0</v>
      </c>
      <c r="M15" s="599"/>
      <c r="N15" s="599"/>
      <c r="O15" s="641" t="s">
        <v>13</v>
      </c>
      <c r="P15" s="642">
        <v>1</v>
      </c>
      <c r="Q15" s="642">
        <v>2</v>
      </c>
      <c r="R15" s="643">
        <v>-1</v>
      </c>
      <c r="S15" s="644">
        <v>2</v>
      </c>
      <c r="T15" s="691" t="s">
        <v>54</v>
      </c>
      <c r="U15" s="392"/>
      <c r="V15" s="392" t="str">
        <f>O15</f>
        <v>Spanje</v>
      </c>
      <c r="W15" s="392" t="s">
        <v>52</v>
      </c>
      <c r="Y15" s="109">
        <f t="shared" si="5"/>
        <v>6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6"/>
        <v>6</v>
      </c>
      <c r="AG15" s="108">
        <f t="shared" si="0"/>
        <v>1</v>
      </c>
      <c r="AH15" s="108">
        <f t="shared" si="1"/>
        <v>0</v>
      </c>
      <c r="AI15" s="108">
        <f t="shared" si="7"/>
        <v>0</v>
      </c>
      <c r="AJ15" s="108">
        <f t="shared" si="2"/>
        <v>5</v>
      </c>
      <c r="AK15" s="108">
        <f t="shared" si="3"/>
        <v>0</v>
      </c>
      <c r="AL15" s="108">
        <f t="shared" si="4"/>
        <v>0</v>
      </c>
      <c r="AM15" s="120">
        <f>AO15</f>
        <v>10</v>
      </c>
      <c r="AN15" s="116" t="s">
        <v>13</v>
      </c>
      <c r="AO15" s="115">
        <f>IF(Uitslag!T15="",0,IF(T15=Uitslag!T15,10,0))</f>
        <v>10</v>
      </c>
    </row>
    <row r="16" spans="2:54" ht="15.75" thickBot="1">
      <c r="B16" s="611">
        <v>9</v>
      </c>
      <c r="C16" s="612">
        <v>41805</v>
      </c>
      <c r="D16" s="613" t="s">
        <v>25</v>
      </c>
      <c r="E16" s="614" t="s">
        <v>9</v>
      </c>
      <c r="F16" s="615" t="s">
        <v>26</v>
      </c>
      <c r="G16" s="682">
        <v>1</v>
      </c>
      <c r="H16" s="614" t="s">
        <v>9</v>
      </c>
      <c r="I16" s="687">
        <v>1</v>
      </c>
      <c r="J16" s="616">
        <v>3</v>
      </c>
      <c r="K16" s="610">
        <v>1</v>
      </c>
      <c r="L16" s="610">
        <v>1</v>
      </c>
      <c r="M16" s="599"/>
      <c r="N16" s="599"/>
      <c r="O16" s="651" t="s">
        <v>14</v>
      </c>
      <c r="P16" s="646">
        <v>2</v>
      </c>
      <c r="Q16" s="646">
        <v>1</v>
      </c>
      <c r="R16" s="646">
        <v>1</v>
      </c>
      <c r="S16" s="647">
        <v>5</v>
      </c>
      <c r="T16" s="692" t="s">
        <v>53</v>
      </c>
      <c r="U16" s="392"/>
      <c r="V16" s="392" t="str">
        <f>O16</f>
        <v>Nederland</v>
      </c>
      <c r="W16" s="392" t="s">
        <v>53</v>
      </c>
      <c r="Y16" s="109">
        <f t="shared" si="5"/>
        <v>1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6"/>
        <v>1</v>
      </c>
      <c r="AG16" s="108">
        <f t="shared" si="0"/>
        <v>0</v>
      </c>
      <c r="AH16" s="108">
        <f t="shared" si="1"/>
        <v>1</v>
      </c>
      <c r="AI16" s="108">
        <f t="shared" si="7"/>
        <v>0</v>
      </c>
      <c r="AJ16" s="108">
        <f t="shared" si="2"/>
        <v>0</v>
      </c>
      <c r="AK16" s="108">
        <f t="shared" si="3"/>
        <v>0</v>
      </c>
      <c r="AL16" s="108">
        <f t="shared" si="4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617">
        <v>10</v>
      </c>
      <c r="C17" s="618">
        <v>41805</v>
      </c>
      <c r="D17" s="619" t="s">
        <v>27</v>
      </c>
      <c r="E17" s="620" t="s">
        <v>9</v>
      </c>
      <c r="F17" s="629" t="s">
        <v>28</v>
      </c>
      <c r="G17" s="683">
        <v>2</v>
      </c>
      <c r="H17" s="620" t="s">
        <v>9</v>
      </c>
      <c r="I17" s="688">
        <v>1</v>
      </c>
      <c r="J17" s="622">
        <v>1</v>
      </c>
      <c r="K17" s="610">
        <v>3</v>
      </c>
      <c r="L17" s="610">
        <v>0</v>
      </c>
      <c r="M17" s="599"/>
      <c r="N17" s="599"/>
      <c r="O17" s="645" t="s">
        <v>15</v>
      </c>
      <c r="P17" s="646">
        <v>3</v>
      </c>
      <c r="Q17" s="646">
        <v>4</v>
      </c>
      <c r="R17" s="646">
        <v>-1</v>
      </c>
      <c r="S17" s="647">
        <v>2</v>
      </c>
      <c r="T17" s="692" t="s">
        <v>55</v>
      </c>
      <c r="U17" s="392"/>
      <c r="V17" s="392" t="str">
        <f>O17</f>
        <v>Chili</v>
      </c>
      <c r="W17" s="392" t="s">
        <v>54</v>
      </c>
      <c r="Y17" s="109">
        <f t="shared" si="5"/>
        <v>5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6"/>
        <v>5</v>
      </c>
      <c r="AG17" s="108">
        <f t="shared" si="0"/>
        <v>0</v>
      </c>
      <c r="AH17" s="108">
        <f t="shared" si="1"/>
        <v>0</v>
      </c>
      <c r="AI17" s="108">
        <f t="shared" si="7"/>
        <v>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623">
        <v>11</v>
      </c>
      <c r="C18" s="624">
        <v>41805</v>
      </c>
      <c r="D18" s="625" t="s">
        <v>29</v>
      </c>
      <c r="E18" s="626" t="s">
        <v>9</v>
      </c>
      <c r="F18" s="627" t="s">
        <v>30</v>
      </c>
      <c r="G18" s="684">
        <v>1</v>
      </c>
      <c r="H18" s="626" t="s">
        <v>9</v>
      </c>
      <c r="I18" s="689">
        <v>0</v>
      </c>
      <c r="J18" s="628">
        <v>1</v>
      </c>
      <c r="K18" s="610">
        <v>3</v>
      </c>
      <c r="L18" s="610">
        <v>0</v>
      </c>
      <c r="M18" s="599"/>
      <c r="N18" s="599"/>
      <c r="O18" s="648" t="s">
        <v>16</v>
      </c>
      <c r="P18" s="649">
        <v>2</v>
      </c>
      <c r="Q18" s="649">
        <v>1</v>
      </c>
      <c r="R18" s="649">
        <v>1</v>
      </c>
      <c r="S18" s="650">
        <v>5</v>
      </c>
      <c r="T18" s="693" t="s">
        <v>52</v>
      </c>
      <c r="U18" s="392"/>
      <c r="V18" s="392" t="str">
        <f>O18</f>
        <v>Australië</v>
      </c>
      <c r="W18" s="392" t="s">
        <v>55</v>
      </c>
      <c r="Y18" s="109">
        <f t="shared" si="5"/>
        <v>5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6"/>
        <v>5</v>
      </c>
      <c r="AG18" s="108">
        <f t="shared" si="0"/>
        <v>0</v>
      </c>
      <c r="AH18" s="108">
        <f t="shared" si="1"/>
        <v>0</v>
      </c>
      <c r="AI18" s="108">
        <f t="shared" si="7"/>
        <v>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0</v>
      </c>
      <c r="AN18" s="118" t="s">
        <v>16</v>
      </c>
      <c r="AO18" s="115">
        <f>IF(Uitslag!T18="",0,IF(T18=Uitslag!T18,10,0))</f>
        <v>0</v>
      </c>
    </row>
    <row r="19" spans="2:41" ht="15.75" thickBot="1">
      <c r="B19" s="611">
        <v>12</v>
      </c>
      <c r="C19" s="612">
        <v>41806</v>
      </c>
      <c r="D19" s="613" t="s">
        <v>31</v>
      </c>
      <c r="E19" s="614" t="s">
        <v>9</v>
      </c>
      <c r="F19" s="615" t="s">
        <v>32</v>
      </c>
      <c r="G19" s="682">
        <v>2</v>
      </c>
      <c r="H19" s="614" t="s">
        <v>9</v>
      </c>
      <c r="I19" s="687">
        <v>2</v>
      </c>
      <c r="J19" s="616">
        <v>3</v>
      </c>
      <c r="K19" s="610">
        <v>1</v>
      </c>
      <c r="L19" s="610">
        <v>1</v>
      </c>
      <c r="M19" s="599"/>
      <c r="N19" s="599"/>
      <c r="O19" s="639"/>
      <c r="P19" s="640"/>
      <c r="Q19" s="640"/>
      <c r="R19" s="640"/>
      <c r="S19" s="640"/>
      <c r="T19" s="640"/>
      <c r="U19" s="392"/>
      <c r="V19" s="392"/>
      <c r="W19" s="392"/>
      <c r="Y19" s="109">
        <f t="shared" si="5"/>
        <v>0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6"/>
        <v>0</v>
      </c>
      <c r="AG19" s="108">
        <f t="shared" si="0"/>
        <v>0</v>
      </c>
      <c r="AH19" s="108">
        <f t="shared" si="1"/>
        <v>0</v>
      </c>
      <c r="AI19" s="108">
        <f t="shared" si="7"/>
        <v>0</v>
      </c>
      <c r="AJ19" s="108">
        <f t="shared" si="2"/>
        <v>0</v>
      </c>
      <c r="AK19" s="108">
        <f t="shared" si="3"/>
        <v>0</v>
      </c>
      <c r="AL19" s="108">
        <f t="shared" si="4"/>
        <v>0</v>
      </c>
      <c r="AN19" s="392"/>
      <c r="AO19" s="393"/>
    </row>
    <row r="20" spans="2:41" ht="15.75" thickBot="1">
      <c r="B20" s="617">
        <v>13</v>
      </c>
      <c r="C20" s="618">
        <v>41806</v>
      </c>
      <c r="D20" s="619" t="s">
        <v>33</v>
      </c>
      <c r="E20" s="620" t="s">
        <v>9</v>
      </c>
      <c r="F20" s="629" t="s">
        <v>34</v>
      </c>
      <c r="G20" s="683">
        <v>0</v>
      </c>
      <c r="H20" s="620" t="s">
        <v>9</v>
      </c>
      <c r="I20" s="688">
        <v>3</v>
      </c>
      <c r="J20" s="622">
        <v>2</v>
      </c>
      <c r="K20" s="610">
        <v>0</v>
      </c>
      <c r="L20" s="610">
        <v>3</v>
      </c>
      <c r="M20" s="599"/>
      <c r="N20" s="599"/>
      <c r="O20" s="669" t="s">
        <v>56</v>
      </c>
      <c r="P20" s="670" t="s">
        <v>42</v>
      </c>
      <c r="Q20" s="670" t="s">
        <v>43</v>
      </c>
      <c r="R20" s="671" t="s">
        <v>44</v>
      </c>
      <c r="S20" s="672" t="s">
        <v>45</v>
      </c>
      <c r="T20" s="673" t="s">
        <v>46</v>
      </c>
      <c r="U20" s="392"/>
      <c r="V20" s="392"/>
      <c r="W20" s="392"/>
      <c r="Y20" s="109">
        <f t="shared" si="5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6"/>
        <v>1</v>
      </c>
      <c r="AG20" s="108">
        <f t="shared" si="0"/>
        <v>1</v>
      </c>
      <c r="AH20" s="108">
        <f t="shared" si="1"/>
        <v>0</v>
      </c>
      <c r="AI20" s="108">
        <f t="shared" si="7"/>
        <v>0</v>
      </c>
      <c r="AJ20" s="108">
        <f t="shared" si="2"/>
        <v>0</v>
      </c>
      <c r="AK20" s="108">
        <f t="shared" si="3"/>
        <v>0</v>
      </c>
      <c r="AL20" s="108">
        <f t="shared" si="4"/>
        <v>0</v>
      </c>
      <c r="AN20" s="42" t="s">
        <v>56</v>
      </c>
      <c r="AO20" s="43" t="s">
        <v>46</v>
      </c>
    </row>
    <row r="21" spans="2:41" ht="15.75" thickBot="1">
      <c r="B21" s="623">
        <v>14</v>
      </c>
      <c r="C21" s="624">
        <v>41806</v>
      </c>
      <c r="D21" s="625" t="s">
        <v>35</v>
      </c>
      <c r="E21" s="626" t="s">
        <v>9</v>
      </c>
      <c r="F21" s="627" t="s">
        <v>36</v>
      </c>
      <c r="G21" s="684">
        <v>1</v>
      </c>
      <c r="H21" s="626" t="s">
        <v>9</v>
      </c>
      <c r="I21" s="689">
        <v>1</v>
      </c>
      <c r="J21" s="628">
        <v>3</v>
      </c>
      <c r="K21" s="610">
        <v>1</v>
      </c>
      <c r="L21" s="610">
        <v>1</v>
      </c>
      <c r="M21" s="599"/>
      <c r="N21" s="599"/>
      <c r="O21" s="641" t="s">
        <v>17</v>
      </c>
      <c r="P21" s="642">
        <v>4</v>
      </c>
      <c r="Q21" s="642">
        <v>1</v>
      </c>
      <c r="R21" s="643">
        <v>3</v>
      </c>
      <c r="S21" s="644">
        <v>7</v>
      </c>
      <c r="T21" s="691" t="s">
        <v>57</v>
      </c>
      <c r="U21" s="392"/>
      <c r="V21" s="392" t="str">
        <f>O21</f>
        <v>Colombia</v>
      </c>
      <c r="W21" s="392" t="s">
        <v>57</v>
      </c>
      <c r="Y21" s="109">
        <f t="shared" si="5"/>
        <v>1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6"/>
        <v>1</v>
      </c>
      <c r="AG21" s="108">
        <f t="shared" si="0"/>
        <v>1</v>
      </c>
      <c r="AH21" s="108">
        <f t="shared" si="1"/>
        <v>0</v>
      </c>
      <c r="AI21" s="108">
        <f t="shared" si="7"/>
        <v>0</v>
      </c>
      <c r="AJ21" s="108">
        <f t="shared" si="2"/>
        <v>0</v>
      </c>
      <c r="AK21" s="108">
        <f t="shared" si="3"/>
        <v>0</v>
      </c>
      <c r="AL21" s="108">
        <f t="shared" si="4"/>
        <v>0</v>
      </c>
      <c r="AM21" s="120">
        <f>AO21</f>
        <v>10</v>
      </c>
      <c r="AN21" s="116" t="s">
        <v>17</v>
      </c>
      <c r="AO21" s="115">
        <f>IF(Uitslag!T21="",0,IF(T21=Uitslag!T21,10,0))</f>
        <v>10</v>
      </c>
    </row>
    <row r="22" spans="2:41" ht="15.75" thickBot="1">
      <c r="B22" s="611">
        <v>15</v>
      </c>
      <c r="C22" s="612">
        <v>41807</v>
      </c>
      <c r="D22" s="613" t="s">
        <v>37</v>
      </c>
      <c r="E22" s="614" t="s">
        <v>9</v>
      </c>
      <c r="F22" s="615" t="s">
        <v>38</v>
      </c>
      <c r="G22" s="682">
        <v>2</v>
      </c>
      <c r="H22" s="614" t="s">
        <v>9</v>
      </c>
      <c r="I22" s="687">
        <v>1</v>
      </c>
      <c r="J22" s="616">
        <v>1</v>
      </c>
      <c r="K22" s="610">
        <v>3</v>
      </c>
      <c r="L22" s="610">
        <v>0</v>
      </c>
      <c r="M22" s="599"/>
      <c r="N22" s="599"/>
      <c r="O22" s="645" t="s">
        <v>18</v>
      </c>
      <c r="P22" s="646">
        <v>2</v>
      </c>
      <c r="Q22" s="646">
        <v>4</v>
      </c>
      <c r="R22" s="646">
        <v>-2</v>
      </c>
      <c r="S22" s="647">
        <v>3</v>
      </c>
      <c r="T22" s="692" t="s">
        <v>59</v>
      </c>
      <c r="U22" s="392"/>
      <c r="V22" s="392" t="str">
        <f>O22</f>
        <v>Griekenland</v>
      </c>
      <c r="W22" s="392" t="s">
        <v>58</v>
      </c>
      <c r="Y22" s="109">
        <f t="shared" si="5"/>
        <v>10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6"/>
        <v>10</v>
      </c>
      <c r="AG22" s="108">
        <f t="shared" si="0"/>
        <v>1</v>
      </c>
      <c r="AH22" s="108">
        <f t="shared" si="1"/>
        <v>1</v>
      </c>
      <c r="AI22" s="108">
        <f t="shared" si="7"/>
        <v>10</v>
      </c>
      <c r="AJ22" s="108">
        <f t="shared" si="2"/>
        <v>5</v>
      </c>
      <c r="AK22" s="108">
        <f t="shared" si="3"/>
        <v>0</v>
      </c>
      <c r="AL22" s="108">
        <f t="shared" si="4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617">
        <v>16</v>
      </c>
      <c r="C23" s="618">
        <v>41807</v>
      </c>
      <c r="D23" s="619" t="s">
        <v>8</v>
      </c>
      <c r="E23" s="620" t="s">
        <v>9</v>
      </c>
      <c r="F23" s="629" t="s">
        <v>11</v>
      </c>
      <c r="G23" s="683">
        <v>0</v>
      </c>
      <c r="H23" s="620" t="s">
        <v>9</v>
      </c>
      <c r="I23" s="688">
        <v>0</v>
      </c>
      <c r="J23" s="622">
        <v>3</v>
      </c>
      <c r="K23" s="610">
        <v>1</v>
      </c>
      <c r="L23" s="610">
        <v>1</v>
      </c>
      <c r="M23" s="599"/>
      <c r="N23" s="599"/>
      <c r="O23" s="645" t="s">
        <v>23</v>
      </c>
      <c r="P23" s="646">
        <v>6</v>
      </c>
      <c r="Q23" s="646">
        <v>2</v>
      </c>
      <c r="R23" s="646">
        <v>4</v>
      </c>
      <c r="S23" s="647">
        <v>7</v>
      </c>
      <c r="T23" s="692" t="s">
        <v>58</v>
      </c>
      <c r="U23" s="392"/>
      <c r="V23" s="392" t="str">
        <f>O23</f>
        <v>Ivoorkust</v>
      </c>
      <c r="W23" s="392" t="s">
        <v>59</v>
      </c>
      <c r="Y23" s="109">
        <f t="shared" si="5"/>
        <v>10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6"/>
        <v>10</v>
      </c>
      <c r="AG23" s="108">
        <f t="shared" si="0"/>
        <v>1</v>
      </c>
      <c r="AH23" s="108">
        <f t="shared" si="1"/>
        <v>1</v>
      </c>
      <c r="AI23" s="108">
        <f t="shared" si="7"/>
        <v>10</v>
      </c>
      <c r="AJ23" s="108">
        <f t="shared" si="2"/>
        <v>0</v>
      </c>
      <c r="AK23" s="108">
        <f t="shared" si="3"/>
        <v>0</v>
      </c>
      <c r="AL23" s="108">
        <f t="shared" si="4"/>
        <v>5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623">
        <v>17</v>
      </c>
      <c r="C24" s="624">
        <v>41807</v>
      </c>
      <c r="D24" s="625" t="s">
        <v>39</v>
      </c>
      <c r="E24" s="626" t="s">
        <v>9</v>
      </c>
      <c r="F24" s="627" t="s">
        <v>40</v>
      </c>
      <c r="G24" s="684">
        <v>0</v>
      </c>
      <c r="H24" s="626" t="s">
        <v>9</v>
      </c>
      <c r="I24" s="689">
        <v>1</v>
      </c>
      <c r="J24" s="628">
        <v>2</v>
      </c>
      <c r="K24" s="610">
        <v>0</v>
      </c>
      <c r="L24" s="610">
        <v>3</v>
      </c>
      <c r="M24" s="599"/>
      <c r="N24" s="599"/>
      <c r="O24" s="648" t="s">
        <v>24</v>
      </c>
      <c r="P24" s="649">
        <v>0</v>
      </c>
      <c r="Q24" s="649">
        <v>5</v>
      </c>
      <c r="R24" s="649">
        <v>-5</v>
      </c>
      <c r="S24" s="650">
        <v>0</v>
      </c>
      <c r="T24" s="693" t="s">
        <v>60</v>
      </c>
      <c r="U24" s="392"/>
      <c r="V24" s="392" t="str">
        <f>O24</f>
        <v>Japan</v>
      </c>
      <c r="W24" s="392" t="s">
        <v>60</v>
      </c>
      <c r="Y24" s="109">
        <f t="shared" si="5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6"/>
        <v>1</v>
      </c>
      <c r="AG24" s="108">
        <f t="shared" si="0"/>
        <v>0</v>
      </c>
      <c r="AH24" s="108">
        <f t="shared" si="1"/>
        <v>1</v>
      </c>
      <c r="AI24" s="108">
        <f t="shared" si="7"/>
        <v>0</v>
      </c>
      <c r="AJ24" s="108">
        <f t="shared" si="2"/>
        <v>0</v>
      </c>
      <c r="AK24" s="108">
        <f t="shared" si="3"/>
        <v>0</v>
      </c>
      <c r="AL24" s="108">
        <f t="shared" si="4"/>
        <v>0</v>
      </c>
      <c r="AM24" s="120">
        <f>AO24</f>
        <v>10</v>
      </c>
      <c r="AN24" s="118" t="s">
        <v>24</v>
      </c>
      <c r="AO24" s="115">
        <f>IF(Uitslag!T24="",0,IF(T24=Uitslag!T24,10,0))</f>
        <v>10</v>
      </c>
    </row>
    <row r="25" spans="2:41" ht="15.75" thickBot="1">
      <c r="B25" s="611">
        <v>18</v>
      </c>
      <c r="C25" s="612">
        <v>41808</v>
      </c>
      <c r="D25" s="613" t="s">
        <v>16</v>
      </c>
      <c r="E25" s="614" t="s">
        <v>9</v>
      </c>
      <c r="F25" s="630" t="s">
        <v>14</v>
      </c>
      <c r="G25" s="682">
        <v>0</v>
      </c>
      <c r="H25" s="614" t="s">
        <v>9</v>
      </c>
      <c r="I25" s="687">
        <v>0</v>
      </c>
      <c r="J25" s="616">
        <v>3</v>
      </c>
      <c r="K25" s="610">
        <v>1</v>
      </c>
      <c r="L25" s="610">
        <v>1</v>
      </c>
      <c r="M25" s="599"/>
      <c r="N25" s="599"/>
      <c r="O25" s="639"/>
      <c r="P25" s="640"/>
      <c r="Q25" s="640"/>
      <c r="R25" s="640"/>
      <c r="S25" s="640"/>
      <c r="T25" s="640"/>
      <c r="U25" s="392"/>
      <c r="V25" s="392"/>
      <c r="W25" s="392"/>
      <c r="Y25" s="109">
        <f t="shared" si="5"/>
        <v>0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6"/>
        <v>0</v>
      </c>
      <c r="AG25" s="108">
        <f t="shared" si="0"/>
        <v>0</v>
      </c>
      <c r="AH25" s="108">
        <f t="shared" si="1"/>
        <v>0</v>
      </c>
      <c r="AI25" s="108">
        <f t="shared" si="7"/>
        <v>0</v>
      </c>
      <c r="AJ25" s="108">
        <f t="shared" si="2"/>
        <v>0</v>
      </c>
      <c r="AK25" s="108">
        <f t="shared" si="3"/>
        <v>0</v>
      </c>
      <c r="AL25" s="108">
        <f t="shared" si="4"/>
        <v>0</v>
      </c>
      <c r="AN25" s="392"/>
      <c r="AO25" s="393"/>
    </row>
    <row r="26" spans="2:41" ht="15.75" thickBot="1">
      <c r="B26" s="617">
        <v>19</v>
      </c>
      <c r="C26" s="618">
        <v>41808</v>
      </c>
      <c r="D26" s="619" t="s">
        <v>13</v>
      </c>
      <c r="E26" s="620" t="s">
        <v>9</v>
      </c>
      <c r="F26" s="629" t="s">
        <v>15</v>
      </c>
      <c r="G26" s="683">
        <v>1</v>
      </c>
      <c r="H26" s="620" t="s">
        <v>9</v>
      </c>
      <c r="I26" s="688">
        <v>1</v>
      </c>
      <c r="J26" s="622">
        <v>3</v>
      </c>
      <c r="K26" s="610">
        <v>1</v>
      </c>
      <c r="L26" s="610">
        <v>1</v>
      </c>
      <c r="M26" s="599"/>
      <c r="N26" s="599"/>
      <c r="O26" s="669" t="s">
        <v>61</v>
      </c>
      <c r="P26" s="670" t="s">
        <v>42</v>
      </c>
      <c r="Q26" s="670" t="s">
        <v>43</v>
      </c>
      <c r="R26" s="671" t="s">
        <v>44</v>
      </c>
      <c r="S26" s="672" t="s">
        <v>45</v>
      </c>
      <c r="T26" s="673" t="s">
        <v>46</v>
      </c>
      <c r="U26" s="392"/>
      <c r="V26" s="392"/>
      <c r="W26" s="392"/>
      <c r="Y26" s="109">
        <f t="shared" si="5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6"/>
        <v>0</v>
      </c>
      <c r="AG26" s="108">
        <f t="shared" si="0"/>
        <v>0</v>
      </c>
      <c r="AH26" s="108">
        <f t="shared" si="1"/>
        <v>0</v>
      </c>
      <c r="AI26" s="108">
        <f t="shared" si="7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623">
        <v>20</v>
      </c>
      <c r="C27" s="624">
        <v>41808</v>
      </c>
      <c r="D27" s="625" t="s">
        <v>12</v>
      </c>
      <c r="E27" s="626" t="s">
        <v>9</v>
      </c>
      <c r="F27" s="627" t="s">
        <v>10</v>
      </c>
      <c r="G27" s="684">
        <v>2</v>
      </c>
      <c r="H27" s="626" t="s">
        <v>9</v>
      </c>
      <c r="I27" s="689">
        <v>1</v>
      </c>
      <c r="J27" s="628">
        <v>1</v>
      </c>
      <c r="K27" s="610">
        <v>3</v>
      </c>
      <c r="L27" s="610">
        <v>0</v>
      </c>
      <c r="M27" s="599"/>
      <c r="N27" s="599"/>
      <c r="O27" s="641" t="s">
        <v>19</v>
      </c>
      <c r="P27" s="642">
        <v>0</v>
      </c>
      <c r="Q27" s="642">
        <v>1</v>
      </c>
      <c r="R27" s="643">
        <v>-1</v>
      </c>
      <c r="S27" s="644">
        <v>2</v>
      </c>
      <c r="T27" s="691" t="s">
        <v>64</v>
      </c>
      <c r="U27" s="392"/>
      <c r="V27" s="392" t="str">
        <f>O27</f>
        <v>Uruguay</v>
      </c>
      <c r="W27" s="392" t="s">
        <v>62</v>
      </c>
      <c r="Y27" s="109">
        <f t="shared" si="5"/>
        <v>0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6"/>
        <v>0</v>
      </c>
      <c r="AG27" s="108">
        <f t="shared" si="0"/>
        <v>0</v>
      </c>
      <c r="AH27" s="108">
        <f t="shared" si="1"/>
        <v>0</v>
      </c>
      <c r="AI27" s="108">
        <f t="shared" si="7"/>
        <v>0</v>
      </c>
      <c r="AJ27" s="108">
        <f t="shared" si="2"/>
        <v>0</v>
      </c>
      <c r="AK27" s="108">
        <f t="shared" si="3"/>
        <v>0</v>
      </c>
      <c r="AL27" s="108">
        <f t="shared" si="4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611">
        <v>21</v>
      </c>
      <c r="C28" s="612">
        <v>41809</v>
      </c>
      <c r="D28" s="613" t="s">
        <v>17</v>
      </c>
      <c r="E28" s="614" t="s">
        <v>9</v>
      </c>
      <c r="F28" s="615" t="s">
        <v>23</v>
      </c>
      <c r="G28" s="682">
        <v>1</v>
      </c>
      <c r="H28" s="614" t="s">
        <v>9</v>
      </c>
      <c r="I28" s="687">
        <v>1</v>
      </c>
      <c r="J28" s="616">
        <v>3</v>
      </c>
      <c r="K28" s="610">
        <v>1</v>
      </c>
      <c r="L28" s="610">
        <v>1</v>
      </c>
      <c r="M28" s="599"/>
      <c r="N28" s="599"/>
      <c r="O28" s="645" t="s">
        <v>20</v>
      </c>
      <c r="P28" s="646">
        <v>0</v>
      </c>
      <c r="Q28" s="646">
        <v>2</v>
      </c>
      <c r="R28" s="646">
        <v>-2</v>
      </c>
      <c r="S28" s="647">
        <v>1</v>
      </c>
      <c r="T28" s="692" t="s">
        <v>65</v>
      </c>
      <c r="U28" s="392"/>
      <c r="V28" s="392" t="str">
        <f>O28</f>
        <v>Costa Rica</v>
      </c>
      <c r="W28" s="392" t="s">
        <v>63</v>
      </c>
      <c r="Y28" s="109">
        <f t="shared" si="5"/>
        <v>1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6"/>
        <v>1</v>
      </c>
      <c r="AG28" s="108">
        <f t="shared" si="0"/>
        <v>0</v>
      </c>
      <c r="AH28" s="108">
        <f t="shared" si="1"/>
        <v>1</v>
      </c>
      <c r="AI28" s="108">
        <f t="shared" si="7"/>
        <v>0</v>
      </c>
      <c r="AJ28" s="108">
        <f t="shared" si="2"/>
        <v>0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617">
        <v>22</v>
      </c>
      <c r="C29" s="618">
        <v>41809</v>
      </c>
      <c r="D29" s="619" t="s">
        <v>19</v>
      </c>
      <c r="E29" s="620" t="s">
        <v>9</v>
      </c>
      <c r="F29" s="629" t="s">
        <v>21</v>
      </c>
      <c r="G29" s="683">
        <v>0</v>
      </c>
      <c r="H29" s="620" t="s">
        <v>9</v>
      </c>
      <c r="I29" s="688">
        <v>1</v>
      </c>
      <c r="J29" s="622">
        <v>2</v>
      </c>
      <c r="K29" s="610">
        <v>0</v>
      </c>
      <c r="L29" s="610">
        <v>3</v>
      </c>
      <c r="M29" s="599"/>
      <c r="N29" s="599"/>
      <c r="O29" s="645" t="s">
        <v>21</v>
      </c>
      <c r="P29" s="646">
        <v>4</v>
      </c>
      <c r="Q29" s="646">
        <v>1</v>
      </c>
      <c r="R29" s="646">
        <v>3</v>
      </c>
      <c r="S29" s="647">
        <v>9</v>
      </c>
      <c r="T29" s="692" t="s">
        <v>62</v>
      </c>
      <c r="U29" s="392"/>
      <c r="V29" s="392" t="str">
        <f>O29</f>
        <v>Engeland</v>
      </c>
      <c r="W29" s="392" t="s">
        <v>64</v>
      </c>
      <c r="Y29" s="109">
        <f t="shared" si="5"/>
        <v>1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6"/>
        <v>1</v>
      </c>
      <c r="AG29" s="108">
        <f t="shared" si="0"/>
        <v>0</v>
      </c>
      <c r="AH29" s="108">
        <f t="shared" si="1"/>
        <v>1</v>
      </c>
      <c r="AI29" s="108">
        <f t="shared" si="7"/>
        <v>0</v>
      </c>
      <c r="AJ29" s="108">
        <f t="shared" si="2"/>
        <v>0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623">
        <v>23</v>
      </c>
      <c r="C30" s="624">
        <v>41809</v>
      </c>
      <c r="D30" s="625" t="s">
        <v>24</v>
      </c>
      <c r="E30" s="626" t="s">
        <v>9</v>
      </c>
      <c r="F30" s="627" t="s">
        <v>18</v>
      </c>
      <c r="G30" s="684">
        <v>0</v>
      </c>
      <c r="H30" s="626" t="s">
        <v>9</v>
      </c>
      <c r="I30" s="689">
        <v>1</v>
      </c>
      <c r="J30" s="628">
        <v>2</v>
      </c>
      <c r="K30" s="610">
        <v>0</v>
      </c>
      <c r="L30" s="610">
        <v>3</v>
      </c>
      <c r="M30" s="599"/>
      <c r="N30" s="599"/>
      <c r="O30" s="648" t="s">
        <v>22</v>
      </c>
      <c r="P30" s="649">
        <v>2</v>
      </c>
      <c r="Q30" s="649">
        <v>2</v>
      </c>
      <c r="R30" s="649">
        <v>0</v>
      </c>
      <c r="S30" s="650">
        <v>4</v>
      </c>
      <c r="T30" s="693" t="s">
        <v>63</v>
      </c>
      <c r="U30" s="392"/>
      <c r="V30" s="392" t="str">
        <f>O30</f>
        <v>Italië</v>
      </c>
      <c r="W30" s="392" t="s">
        <v>65</v>
      </c>
      <c r="Y30" s="109">
        <f t="shared" si="5"/>
        <v>1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6"/>
        <v>1</v>
      </c>
      <c r="AG30" s="108">
        <f t="shared" si="0"/>
        <v>1</v>
      </c>
      <c r="AH30" s="108">
        <f t="shared" si="1"/>
        <v>0</v>
      </c>
      <c r="AI30" s="108">
        <f t="shared" si="7"/>
        <v>0</v>
      </c>
      <c r="AJ30" s="108">
        <f t="shared" si="2"/>
        <v>0</v>
      </c>
      <c r="AK30" s="108">
        <f t="shared" si="3"/>
        <v>0</v>
      </c>
      <c r="AL30" s="108">
        <f t="shared" si="4"/>
        <v>0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611">
        <v>24</v>
      </c>
      <c r="C31" s="612">
        <v>41810</v>
      </c>
      <c r="D31" s="613" t="s">
        <v>22</v>
      </c>
      <c r="E31" s="614" t="s">
        <v>9</v>
      </c>
      <c r="F31" s="615" t="s">
        <v>20</v>
      </c>
      <c r="G31" s="682">
        <v>1</v>
      </c>
      <c r="H31" s="614" t="s">
        <v>9</v>
      </c>
      <c r="I31" s="687">
        <v>0</v>
      </c>
      <c r="J31" s="616">
        <v>1</v>
      </c>
      <c r="K31" s="610">
        <v>3</v>
      </c>
      <c r="L31" s="610">
        <v>0</v>
      </c>
      <c r="M31" s="599"/>
      <c r="N31" s="599"/>
      <c r="O31" s="639"/>
      <c r="P31" s="640"/>
      <c r="Q31" s="640"/>
      <c r="R31" s="640"/>
      <c r="S31" s="640"/>
      <c r="T31" s="640"/>
      <c r="U31" s="392"/>
      <c r="V31" s="392"/>
      <c r="W31" s="392"/>
      <c r="Y31" s="109">
        <f t="shared" si="5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6"/>
        <v>0</v>
      </c>
      <c r="AG31" s="108">
        <f t="shared" si="0"/>
        <v>0</v>
      </c>
      <c r="AH31" s="108">
        <f t="shared" si="1"/>
        <v>0</v>
      </c>
      <c r="AI31" s="108">
        <f t="shared" si="7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392"/>
      <c r="AO31" s="393"/>
    </row>
    <row r="32" spans="2:41" ht="15.75" thickBot="1">
      <c r="B32" s="617">
        <v>25</v>
      </c>
      <c r="C32" s="618">
        <v>41810</v>
      </c>
      <c r="D32" s="619" t="s">
        <v>25</v>
      </c>
      <c r="E32" s="620" t="s">
        <v>9</v>
      </c>
      <c r="F32" s="629" t="s">
        <v>27</v>
      </c>
      <c r="G32" s="683">
        <v>1</v>
      </c>
      <c r="H32" s="620" t="s">
        <v>9</v>
      </c>
      <c r="I32" s="688">
        <v>1</v>
      </c>
      <c r="J32" s="622">
        <v>3</v>
      </c>
      <c r="K32" s="610">
        <v>1</v>
      </c>
      <c r="L32" s="610">
        <v>1</v>
      </c>
      <c r="M32" s="599"/>
      <c r="N32" s="599"/>
      <c r="O32" s="669" t="s">
        <v>66</v>
      </c>
      <c r="P32" s="670" t="s">
        <v>42</v>
      </c>
      <c r="Q32" s="670" t="s">
        <v>43</v>
      </c>
      <c r="R32" s="671" t="s">
        <v>44</v>
      </c>
      <c r="S32" s="672" t="s">
        <v>45</v>
      </c>
      <c r="T32" s="673" t="s">
        <v>46</v>
      </c>
      <c r="U32" s="392"/>
      <c r="V32" s="392"/>
      <c r="W32" s="392"/>
      <c r="Y32" s="109">
        <f t="shared" si="5"/>
        <v>0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6"/>
        <v>0</v>
      </c>
      <c r="AG32" s="108">
        <f t="shared" si="0"/>
        <v>0</v>
      </c>
      <c r="AH32" s="108">
        <f t="shared" si="1"/>
        <v>0</v>
      </c>
      <c r="AI32" s="108">
        <f t="shared" si="7"/>
        <v>0</v>
      </c>
      <c r="AJ32" s="108">
        <f t="shared" si="2"/>
        <v>0</v>
      </c>
      <c r="AK32" s="108">
        <f t="shared" si="3"/>
        <v>0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623">
        <v>26</v>
      </c>
      <c r="C33" s="624">
        <v>41810</v>
      </c>
      <c r="D33" s="625" t="s">
        <v>28</v>
      </c>
      <c r="E33" s="626" t="s">
        <v>9</v>
      </c>
      <c r="F33" s="627" t="s">
        <v>26</v>
      </c>
      <c r="G33" s="684">
        <v>2</v>
      </c>
      <c r="H33" s="626" t="s">
        <v>9</v>
      </c>
      <c r="I33" s="689">
        <v>2</v>
      </c>
      <c r="J33" s="628">
        <v>3</v>
      </c>
      <c r="K33" s="610">
        <v>1</v>
      </c>
      <c r="L33" s="610">
        <v>1</v>
      </c>
      <c r="M33" s="599"/>
      <c r="N33" s="599"/>
      <c r="O33" s="641" t="s">
        <v>25</v>
      </c>
      <c r="P33" s="642">
        <v>3</v>
      </c>
      <c r="Q33" s="642">
        <v>3</v>
      </c>
      <c r="R33" s="643">
        <v>0</v>
      </c>
      <c r="S33" s="644">
        <v>3</v>
      </c>
      <c r="T33" s="691" t="s">
        <v>68</v>
      </c>
      <c r="U33" s="392"/>
      <c r="V33" s="392" t="str">
        <f>O33</f>
        <v>Zwitserland</v>
      </c>
      <c r="W33" s="392" t="s">
        <v>67</v>
      </c>
      <c r="Y33" s="109">
        <f t="shared" si="5"/>
        <v>1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6"/>
        <v>1</v>
      </c>
      <c r="AG33" s="108">
        <f t="shared" si="0"/>
        <v>0</v>
      </c>
      <c r="AH33" s="108">
        <f t="shared" si="1"/>
        <v>1</v>
      </c>
      <c r="AI33" s="108">
        <f t="shared" si="7"/>
        <v>0</v>
      </c>
      <c r="AJ33" s="108">
        <f t="shared" si="2"/>
        <v>0</v>
      </c>
      <c r="AK33" s="108">
        <f t="shared" si="3"/>
        <v>0</v>
      </c>
      <c r="AL33" s="108">
        <f t="shared" si="4"/>
        <v>0</v>
      </c>
      <c r="AM33" s="120">
        <f>AO33</f>
        <v>10</v>
      </c>
      <c r="AN33" s="116" t="s">
        <v>25</v>
      </c>
      <c r="AO33" s="115">
        <f>IF(Uitslag!T33="",0,IF(T33=Uitslag!T33,10,0))</f>
        <v>10</v>
      </c>
    </row>
    <row r="34" spans="2:41" ht="15.75" thickBot="1">
      <c r="B34" s="611">
        <v>27</v>
      </c>
      <c r="C34" s="612">
        <v>41811</v>
      </c>
      <c r="D34" s="613" t="s">
        <v>29</v>
      </c>
      <c r="E34" s="614" t="s">
        <v>9</v>
      </c>
      <c r="F34" s="615" t="s">
        <v>33</v>
      </c>
      <c r="G34" s="682">
        <v>2</v>
      </c>
      <c r="H34" s="614" t="s">
        <v>9</v>
      </c>
      <c r="I34" s="687">
        <v>0</v>
      </c>
      <c r="J34" s="616">
        <v>1</v>
      </c>
      <c r="K34" s="610">
        <v>3</v>
      </c>
      <c r="L34" s="610">
        <v>0</v>
      </c>
      <c r="M34" s="599"/>
      <c r="N34" s="599"/>
      <c r="O34" s="645" t="s">
        <v>26</v>
      </c>
      <c r="P34" s="646">
        <v>4</v>
      </c>
      <c r="Q34" s="646">
        <v>5</v>
      </c>
      <c r="R34" s="646">
        <v>-1</v>
      </c>
      <c r="S34" s="647">
        <v>2</v>
      </c>
      <c r="T34" s="692" t="s">
        <v>69</v>
      </c>
      <c r="U34" s="392"/>
      <c r="V34" s="392" t="str">
        <f>O34</f>
        <v>Ecuador</v>
      </c>
      <c r="W34" s="392" t="s">
        <v>68</v>
      </c>
      <c r="Y34" s="109">
        <f t="shared" si="5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6"/>
        <v>6</v>
      </c>
      <c r="AG34" s="108">
        <f t="shared" si="0"/>
        <v>0</v>
      </c>
      <c r="AH34" s="108">
        <f t="shared" si="1"/>
        <v>1</v>
      </c>
      <c r="AI34" s="108">
        <f t="shared" si="7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10</v>
      </c>
      <c r="AN34" s="117" t="s">
        <v>26</v>
      </c>
      <c r="AO34" s="115">
        <f>IF(Uitslag!T34="",0,IF(T34=Uitslag!T34,10,0))</f>
        <v>10</v>
      </c>
    </row>
    <row r="35" spans="2:41" ht="15.75" thickBot="1">
      <c r="B35" s="617">
        <v>28</v>
      </c>
      <c r="C35" s="618">
        <v>41811</v>
      </c>
      <c r="D35" s="619" t="s">
        <v>31</v>
      </c>
      <c r="E35" s="620" t="s">
        <v>9</v>
      </c>
      <c r="F35" s="629" t="s">
        <v>35</v>
      </c>
      <c r="G35" s="683">
        <v>2</v>
      </c>
      <c r="H35" s="620" t="s">
        <v>9</v>
      </c>
      <c r="I35" s="688">
        <v>1</v>
      </c>
      <c r="J35" s="622">
        <v>1</v>
      </c>
      <c r="K35" s="610">
        <v>3</v>
      </c>
      <c r="L35" s="610">
        <v>0</v>
      </c>
      <c r="M35" s="599"/>
      <c r="N35" s="599"/>
      <c r="O35" s="645" t="s">
        <v>27</v>
      </c>
      <c r="P35" s="646">
        <v>5</v>
      </c>
      <c r="Q35" s="646">
        <v>3</v>
      </c>
      <c r="R35" s="646">
        <v>2</v>
      </c>
      <c r="S35" s="647">
        <v>7</v>
      </c>
      <c r="T35" s="692" t="s">
        <v>67</v>
      </c>
      <c r="U35" s="392"/>
      <c r="V35" s="392" t="str">
        <f>O35</f>
        <v>Frankrijk</v>
      </c>
      <c r="W35" s="392" t="s">
        <v>69</v>
      </c>
      <c r="Y35" s="109">
        <f t="shared" si="5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6"/>
        <v>1</v>
      </c>
      <c r="AG35" s="108">
        <f t="shared" si="0"/>
        <v>1</v>
      </c>
      <c r="AH35" s="108">
        <f t="shared" si="1"/>
        <v>0</v>
      </c>
      <c r="AI35" s="108">
        <f t="shared" si="7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623">
        <v>29</v>
      </c>
      <c r="C36" s="624">
        <v>41811</v>
      </c>
      <c r="D36" s="625" t="s">
        <v>34</v>
      </c>
      <c r="E36" s="626" t="s">
        <v>9</v>
      </c>
      <c r="F36" s="627" t="s">
        <v>30</v>
      </c>
      <c r="G36" s="684">
        <v>1</v>
      </c>
      <c r="H36" s="626" t="s">
        <v>9</v>
      </c>
      <c r="I36" s="689">
        <v>0</v>
      </c>
      <c r="J36" s="628">
        <v>1</v>
      </c>
      <c r="K36" s="610">
        <v>3</v>
      </c>
      <c r="L36" s="610">
        <v>0</v>
      </c>
      <c r="M36" s="599"/>
      <c r="N36" s="599"/>
      <c r="O36" s="648" t="s">
        <v>28</v>
      </c>
      <c r="P36" s="649">
        <v>4</v>
      </c>
      <c r="Q36" s="649">
        <v>5</v>
      </c>
      <c r="R36" s="649">
        <v>-1</v>
      </c>
      <c r="S36" s="650">
        <v>2</v>
      </c>
      <c r="T36" s="693" t="s">
        <v>70</v>
      </c>
      <c r="U36" s="392"/>
      <c r="V36" s="392" t="str">
        <f>O36</f>
        <v>Honduras</v>
      </c>
      <c r="W36" s="392" t="s">
        <v>70</v>
      </c>
      <c r="Y36" s="109">
        <f t="shared" si="5"/>
        <v>10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6"/>
        <v>10</v>
      </c>
      <c r="AG36" s="108">
        <f t="shared" si="0"/>
        <v>1</v>
      </c>
      <c r="AH36" s="108">
        <f t="shared" si="1"/>
        <v>1</v>
      </c>
      <c r="AI36" s="108">
        <f t="shared" si="7"/>
        <v>10</v>
      </c>
      <c r="AJ36" s="108">
        <f t="shared" si="2"/>
        <v>5</v>
      </c>
      <c r="AK36" s="108">
        <f t="shared" si="3"/>
        <v>0</v>
      </c>
      <c r="AL36" s="108">
        <f t="shared" si="4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611">
        <v>30</v>
      </c>
      <c r="C37" s="612">
        <v>41812</v>
      </c>
      <c r="D37" s="613" t="s">
        <v>37</v>
      </c>
      <c r="E37" s="614" t="s">
        <v>9</v>
      </c>
      <c r="F37" s="615" t="s">
        <v>39</v>
      </c>
      <c r="G37" s="682">
        <v>1</v>
      </c>
      <c r="H37" s="614" t="s">
        <v>9</v>
      </c>
      <c r="I37" s="687">
        <v>1</v>
      </c>
      <c r="J37" s="616">
        <v>3</v>
      </c>
      <c r="K37" s="610">
        <v>1</v>
      </c>
      <c r="L37" s="610">
        <v>1</v>
      </c>
      <c r="M37" s="599"/>
      <c r="N37" s="599"/>
      <c r="O37" s="639"/>
      <c r="P37" s="640"/>
      <c r="Q37" s="640"/>
      <c r="R37" s="640"/>
      <c r="S37" s="640"/>
      <c r="T37" s="640"/>
      <c r="U37" s="392"/>
      <c r="V37" s="392"/>
      <c r="W37" s="392"/>
      <c r="Y37" s="109">
        <f t="shared" si="5"/>
        <v>1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6"/>
        <v>1</v>
      </c>
      <c r="AG37" s="108">
        <f t="shared" si="0"/>
        <v>1</v>
      </c>
      <c r="AH37" s="108">
        <f t="shared" si="1"/>
        <v>0</v>
      </c>
      <c r="AI37" s="108">
        <f t="shared" si="7"/>
        <v>0</v>
      </c>
      <c r="AJ37" s="108">
        <f t="shared" si="2"/>
        <v>0</v>
      </c>
      <c r="AK37" s="108">
        <f t="shared" si="3"/>
        <v>0</v>
      </c>
      <c r="AL37" s="108">
        <f t="shared" si="4"/>
        <v>0</v>
      </c>
      <c r="AN37" s="392"/>
      <c r="AO37" s="393"/>
    </row>
    <row r="38" spans="2:41" ht="15.75" thickBot="1">
      <c r="B38" s="617">
        <v>31</v>
      </c>
      <c r="C38" s="618">
        <v>41812</v>
      </c>
      <c r="D38" s="619" t="s">
        <v>40</v>
      </c>
      <c r="E38" s="620" t="s">
        <v>9</v>
      </c>
      <c r="F38" s="629" t="s">
        <v>38</v>
      </c>
      <c r="G38" s="683">
        <v>1</v>
      </c>
      <c r="H38" s="620" t="s">
        <v>9</v>
      </c>
      <c r="I38" s="688">
        <v>0</v>
      </c>
      <c r="J38" s="622">
        <v>1</v>
      </c>
      <c r="K38" s="610">
        <v>3</v>
      </c>
      <c r="L38" s="610">
        <v>0</v>
      </c>
      <c r="M38" s="599"/>
      <c r="N38" s="599"/>
      <c r="O38" s="669" t="s">
        <v>71</v>
      </c>
      <c r="P38" s="670" t="s">
        <v>42</v>
      </c>
      <c r="Q38" s="670" t="s">
        <v>43</v>
      </c>
      <c r="R38" s="671" t="s">
        <v>44</v>
      </c>
      <c r="S38" s="672" t="s">
        <v>45</v>
      </c>
      <c r="T38" s="673" t="s">
        <v>46</v>
      </c>
      <c r="U38" s="392"/>
      <c r="V38" s="392"/>
      <c r="W38" s="392"/>
      <c r="Y38" s="109">
        <f t="shared" si="5"/>
        <v>0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6"/>
        <v>0</v>
      </c>
      <c r="AG38" s="108">
        <f t="shared" si="0"/>
        <v>0</v>
      </c>
      <c r="AH38" s="108">
        <f t="shared" si="1"/>
        <v>0</v>
      </c>
      <c r="AI38" s="108">
        <f t="shared" si="7"/>
        <v>0</v>
      </c>
      <c r="AJ38" s="108">
        <f t="shared" si="2"/>
        <v>0</v>
      </c>
      <c r="AK38" s="108">
        <f t="shared" si="3"/>
        <v>0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623">
        <v>32</v>
      </c>
      <c r="C39" s="624">
        <v>41812</v>
      </c>
      <c r="D39" s="625" t="s">
        <v>36</v>
      </c>
      <c r="E39" s="626" t="s">
        <v>9</v>
      </c>
      <c r="F39" s="627" t="s">
        <v>32</v>
      </c>
      <c r="G39" s="684">
        <v>0</v>
      </c>
      <c r="H39" s="626" t="s">
        <v>9</v>
      </c>
      <c r="I39" s="689">
        <v>2</v>
      </c>
      <c r="J39" s="628">
        <v>2</v>
      </c>
      <c r="K39" s="610">
        <v>0</v>
      </c>
      <c r="L39" s="610">
        <v>3</v>
      </c>
      <c r="M39" s="599"/>
      <c r="N39" s="599"/>
      <c r="O39" s="641" t="s">
        <v>29</v>
      </c>
      <c r="P39" s="642">
        <v>5</v>
      </c>
      <c r="Q39" s="642">
        <v>2</v>
      </c>
      <c r="R39" s="643">
        <v>3</v>
      </c>
      <c r="S39" s="644">
        <v>7</v>
      </c>
      <c r="T39" s="691" t="s">
        <v>72</v>
      </c>
      <c r="U39" s="392"/>
      <c r="V39" s="392" t="str">
        <f>O39</f>
        <v>Argentinië</v>
      </c>
      <c r="W39" s="392" t="s">
        <v>72</v>
      </c>
      <c r="Y39" s="109">
        <f t="shared" si="5"/>
        <v>1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6"/>
        <v>1</v>
      </c>
      <c r="AG39" s="108">
        <f t="shared" si="0"/>
        <v>0</v>
      </c>
      <c r="AH39" s="108">
        <f t="shared" si="1"/>
        <v>1</v>
      </c>
      <c r="AI39" s="108">
        <f t="shared" si="7"/>
        <v>0</v>
      </c>
      <c r="AJ39" s="108">
        <f t="shared" si="2"/>
        <v>0</v>
      </c>
      <c r="AK39" s="108">
        <f t="shared" si="3"/>
        <v>0</v>
      </c>
      <c r="AL39" s="108">
        <f t="shared" si="4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611">
        <v>33</v>
      </c>
      <c r="C40" s="612">
        <v>41813</v>
      </c>
      <c r="D40" s="613" t="s">
        <v>16</v>
      </c>
      <c r="E40" s="614" t="s">
        <v>9</v>
      </c>
      <c r="F40" s="615" t="s">
        <v>13</v>
      </c>
      <c r="G40" s="682">
        <v>0</v>
      </c>
      <c r="H40" s="614" t="s">
        <v>9</v>
      </c>
      <c r="I40" s="687">
        <v>0</v>
      </c>
      <c r="J40" s="616">
        <v>3</v>
      </c>
      <c r="K40" s="610">
        <v>1</v>
      </c>
      <c r="L40" s="610">
        <v>1</v>
      </c>
      <c r="M40" s="599"/>
      <c r="N40" s="599"/>
      <c r="O40" s="645" t="s">
        <v>30</v>
      </c>
      <c r="P40" s="646">
        <v>0</v>
      </c>
      <c r="Q40" s="646">
        <v>3</v>
      </c>
      <c r="R40" s="646">
        <v>-3</v>
      </c>
      <c r="S40" s="647">
        <v>0</v>
      </c>
      <c r="T40" s="692" t="s">
        <v>75</v>
      </c>
      <c r="U40" s="392"/>
      <c r="V40" s="392" t="str">
        <f>O40</f>
        <v>Bosnië H.</v>
      </c>
      <c r="W40" s="392" t="s">
        <v>73</v>
      </c>
      <c r="Y40" s="109">
        <f t="shared" si="5"/>
        <v>1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6"/>
        <v>1</v>
      </c>
      <c r="AG40" s="108">
        <f t="shared" si="0"/>
        <v>1</v>
      </c>
      <c r="AH40" s="108">
        <f t="shared" si="1"/>
        <v>0</v>
      </c>
      <c r="AI40" s="108">
        <f t="shared" si="7"/>
        <v>0</v>
      </c>
      <c r="AJ40" s="108">
        <f t="shared" si="2"/>
        <v>0</v>
      </c>
      <c r="AK40" s="108">
        <f t="shared" si="3"/>
        <v>0</v>
      </c>
      <c r="AL40" s="108">
        <f t="shared" si="4"/>
        <v>0</v>
      </c>
      <c r="AM40" s="120">
        <f>AO40</f>
        <v>0</v>
      </c>
      <c r="AN40" s="117" t="s">
        <v>30</v>
      </c>
      <c r="AO40" s="115">
        <f>IF(Uitslag!T40="",0,IF(T40=Uitslag!T40,10,0))</f>
        <v>0</v>
      </c>
    </row>
    <row r="41" spans="2:41" ht="15.75" thickBot="1">
      <c r="B41" s="617">
        <v>34</v>
      </c>
      <c r="C41" s="618">
        <v>41813</v>
      </c>
      <c r="D41" s="631" t="s">
        <v>14</v>
      </c>
      <c r="E41" s="620" t="s">
        <v>9</v>
      </c>
      <c r="F41" s="629" t="s">
        <v>15</v>
      </c>
      <c r="G41" s="683">
        <v>1</v>
      </c>
      <c r="H41" s="620" t="s">
        <v>9</v>
      </c>
      <c r="I41" s="688">
        <v>1</v>
      </c>
      <c r="J41" s="622">
        <v>3</v>
      </c>
      <c r="K41" s="610">
        <v>1</v>
      </c>
      <c r="L41" s="610">
        <v>1</v>
      </c>
      <c r="M41" s="599"/>
      <c r="N41" s="599"/>
      <c r="O41" s="645" t="s">
        <v>33</v>
      </c>
      <c r="P41" s="646">
        <v>1</v>
      </c>
      <c r="Q41" s="646">
        <v>5</v>
      </c>
      <c r="R41" s="646">
        <v>-4</v>
      </c>
      <c r="S41" s="647">
        <v>3</v>
      </c>
      <c r="T41" s="692" t="s">
        <v>74</v>
      </c>
      <c r="U41" s="392"/>
      <c r="V41" s="392" t="str">
        <f>O41</f>
        <v>Iran</v>
      </c>
      <c r="W41" s="392" t="s">
        <v>74</v>
      </c>
      <c r="Y41" s="109">
        <f t="shared" si="5"/>
        <v>0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6"/>
        <v>0</v>
      </c>
      <c r="AG41" s="108">
        <f t="shared" si="0"/>
        <v>0</v>
      </c>
      <c r="AH41" s="108">
        <f t="shared" si="1"/>
        <v>0</v>
      </c>
      <c r="AI41" s="108">
        <f t="shared" si="7"/>
        <v>0</v>
      </c>
      <c r="AJ41" s="108">
        <f t="shared" si="2"/>
        <v>0</v>
      </c>
      <c r="AK41" s="108">
        <f t="shared" si="3"/>
        <v>0</v>
      </c>
      <c r="AL41" s="108">
        <f t="shared" si="4"/>
        <v>0</v>
      </c>
      <c r="AM41" s="120">
        <f>AO41</f>
        <v>0</v>
      </c>
      <c r="AN41" s="117" t="s">
        <v>33</v>
      </c>
      <c r="AO41" s="115">
        <f>IF(Uitslag!T41="",0,IF(T41=Uitslag!T41,10,0))</f>
        <v>0</v>
      </c>
    </row>
    <row r="42" spans="2:41" ht="15.75" thickBot="1">
      <c r="B42" s="617">
        <v>35</v>
      </c>
      <c r="C42" s="618">
        <v>41813</v>
      </c>
      <c r="D42" s="619" t="s">
        <v>12</v>
      </c>
      <c r="E42" s="620" t="s">
        <v>9</v>
      </c>
      <c r="F42" s="629" t="s">
        <v>8</v>
      </c>
      <c r="G42" s="683">
        <v>1</v>
      </c>
      <c r="H42" s="620" t="s">
        <v>9</v>
      </c>
      <c r="I42" s="688">
        <v>2</v>
      </c>
      <c r="J42" s="622">
        <v>2</v>
      </c>
      <c r="K42" s="610">
        <v>0</v>
      </c>
      <c r="L42" s="610">
        <v>3</v>
      </c>
      <c r="M42" s="599"/>
      <c r="N42" s="599"/>
      <c r="O42" s="648" t="s">
        <v>34</v>
      </c>
      <c r="P42" s="649">
        <v>6</v>
      </c>
      <c r="Q42" s="649">
        <v>2</v>
      </c>
      <c r="R42" s="649">
        <v>4</v>
      </c>
      <c r="S42" s="650">
        <v>7</v>
      </c>
      <c r="T42" s="693" t="s">
        <v>73</v>
      </c>
      <c r="U42" s="392"/>
      <c r="V42" s="392" t="str">
        <f>O42</f>
        <v>Nigeria</v>
      </c>
      <c r="W42" s="392" t="s">
        <v>75</v>
      </c>
      <c r="Y42" s="109">
        <f t="shared" si="5"/>
        <v>6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6"/>
        <v>6</v>
      </c>
      <c r="AG42" s="108">
        <f t="shared" si="0"/>
        <v>1</v>
      </c>
      <c r="AH42" s="108">
        <f t="shared" si="1"/>
        <v>0</v>
      </c>
      <c r="AI42" s="108">
        <f t="shared" si="7"/>
        <v>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623">
        <v>36</v>
      </c>
      <c r="C43" s="624">
        <v>41813</v>
      </c>
      <c r="D43" s="625" t="s">
        <v>10</v>
      </c>
      <c r="E43" s="626" t="s">
        <v>9</v>
      </c>
      <c r="F43" s="627" t="s">
        <v>11</v>
      </c>
      <c r="G43" s="684">
        <v>0</v>
      </c>
      <c r="H43" s="626" t="s">
        <v>9</v>
      </c>
      <c r="I43" s="689">
        <v>1</v>
      </c>
      <c r="J43" s="628">
        <v>2</v>
      </c>
      <c r="K43" s="610">
        <v>0</v>
      </c>
      <c r="L43" s="610">
        <v>3</v>
      </c>
      <c r="M43" s="599"/>
      <c r="N43" s="599"/>
      <c r="O43" s="639"/>
      <c r="P43" s="640"/>
      <c r="Q43" s="640"/>
      <c r="R43" s="640"/>
      <c r="S43" s="640"/>
      <c r="T43" s="640"/>
      <c r="U43" s="392"/>
      <c r="V43" s="392"/>
      <c r="W43" s="392"/>
      <c r="Y43" s="109">
        <f t="shared" si="5"/>
        <v>5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6"/>
        <v>5</v>
      </c>
      <c r="AG43" s="108">
        <f t="shared" si="0"/>
        <v>0</v>
      </c>
      <c r="AH43" s="108">
        <f t="shared" si="1"/>
        <v>0</v>
      </c>
      <c r="AI43" s="108">
        <f t="shared" si="7"/>
        <v>0</v>
      </c>
      <c r="AJ43" s="108">
        <f t="shared" si="2"/>
        <v>0</v>
      </c>
      <c r="AK43" s="108">
        <f t="shared" si="3"/>
        <v>5</v>
      </c>
      <c r="AL43" s="108">
        <f t="shared" si="4"/>
        <v>0</v>
      </c>
      <c r="AN43" s="392"/>
      <c r="AO43" s="393"/>
    </row>
    <row r="44" spans="2:41" ht="15.75" thickBot="1">
      <c r="B44" s="611">
        <v>37</v>
      </c>
      <c r="C44" s="612">
        <v>41814</v>
      </c>
      <c r="D44" s="613" t="s">
        <v>22</v>
      </c>
      <c r="E44" s="614" t="s">
        <v>9</v>
      </c>
      <c r="F44" s="615" t="s">
        <v>19</v>
      </c>
      <c r="G44" s="682">
        <v>0</v>
      </c>
      <c r="H44" s="614" t="s">
        <v>9</v>
      </c>
      <c r="I44" s="687">
        <v>0</v>
      </c>
      <c r="J44" s="616">
        <v>3</v>
      </c>
      <c r="K44" s="610">
        <v>1</v>
      </c>
      <c r="L44" s="610">
        <v>1</v>
      </c>
      <c r="M44" s="599"/>
      <c r="N44" s="599"/>
      <c r="O44" s="669" t="s">
        <v>76</v>
      </c>
      <c r="P44" s="670" t="s">
        <v>42</v>
      </c>
      <c r="Q44" s="670" t="s">
        <v>43</v>
      </c>
      <c r="R44" s="671" t="s">
        <v>44</v>
      </c>
      <c r="S44" s="672" t="s">
        <v>45</v>
      </c>
      <c r="T44" s="673" t="s">
        <v>46</v>
      </c>
      <c r="U44" s="392"/>
      <c r="V44" s="392"/>
      <c r="W44" s="392"/>
      <c r="Y44" s="109">
        <f t="shared" si="5"/>
        <v>1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6"/>
        <v>1</v>
      </c>
      <c r="AG44" s="108">
        <f t="shared" si="0"/>
        <v>1</v>
      </c>
      <c r="AH44" s="108">
        <f t="shared" si="1"/>
        <v>0</v>
      </c>
      <c r="AI44" s="108">
        <f t="shared" si="7"/>
        <v>0</v>
      </c>
      <c r="AJ44" s="108">
        <f t="shared" si="2"/>
        <v>0</v>
      </c>
      <c r="AK44" s="108">
        <f t="shared" si="3"/>
        <v>0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617">
        <v>38</v>
      </c>
      <c r="C45" s="618">
        <v>41814</v>
      </c>
      <c r="D45" s="619" t="s">
        <v>20</v>
      </c>
      <c r="E45" s="620" t="s">
        <v>9</v>
      </c>
      <c r="F45" s="629" t="s">
        <v>21</v>
      </c>
      <c r="G45" s="683">
        <v>0</v>
      </c>
      <c r="H45" s="620" t="s">
        <v>9</v>
      </c>
      <c r="I45" s="688">
        <v>1</v>
      </c>
      <c r="J45" s="622">
        <v>2</v>
      </c>
      <c r="K45" s="610">
        <v>0</v>
      </c>
      <c r="L45" s="610">
        <v>3</v>
      </c>
      <c r="M45" s="599"/>
      <c r="N45" s="599"/>
      <c r="O45" s="641" t="s">
        <v>31</v>
      </c>
      <c r="P45" s="642">
        <v>6</v>
      </c>
      <c r="Q45" s="642">
        <v>4</v>
      </c>
      <c r="R45" s="643">
        <v>2</v>
      </c>
      <c r="S45" s="644">
        <v>7</v>
      </c>
      <c r="T45" s="691" t="s">
        <v>77</v>
      </c>
      <c r="U45" s="392"/>
      <c r="V45" s="392" t="str">
        <f>O45</f>
        <v>Duitsland</v>
      </c>
      <c r="W45" s="392" t="s">
        <v>77</v>
      </c>
      <c r="Y45" s="109">
        <f t="shared" si="5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6"/>
        <v>1</v>
      </c>
      <c r="AG45" s="108">
        <f t="shared" si="0"/>
        <v>1</v>
      </c>
      <c r="AH45" s="108">
        <f t="shared" si="1"/>
        <v>0</v>
      </c>
      <c r="AI45" s="108">
        <f t="shared" si="7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617">
        <v>39</v>
      </c>
      <c r="C46" s="618">
        <v>41814</v>
      </c>
      <c r="D46" s="619" t="s">
        <v>24</v>
      </c>
      <c r="E46" s="620" t="s">
        <v>9</v>
      </c>
      <c r="F46" s="629" t="s">
        <v>17</v>
      </c>
      <c r="G46" s="683">
        <v>0</v>
      </c>
      <c r="H46" s="620" t="s">
        <v>9</v>
      </c>
      <c r="I46" s="688">
        <v>2</v>
      </c>
      <c r="J46" s="622">
        <v>2</v>
      </c>
      <c r="K46" s="610">
        <v>0</v>
      </c>
      <c r="L46" s="610">
        <v>3</v>
      </c>
      <c r="M46" s="599"/>
      <c r="N46" s="599"/>
      <c r="O46" s="645" t="s">
        <v>32</v>
      </c>
      <c r="P46" s="646">
        <v>5</v>
      </c>
      <c r="Q46" s="646">
        <v>3</v>
      </c>
      <c r="R46" s="646">
        <v>2</v>
      </c>
      <c r="S46" s="647">
        <v>5</v>
      </c>
      <c r="T46" s="692" t="s">
        <v>78</v>
      </c>
      <c r="U46" s="392"/>
      <c r="V46" s="392" t="str">
        <f>O46</f>
        <v>Portugal</v>
      </c>
      <c r="W46" s="392" t="s">
        <v>78</v>
      </c>
      <c r="Y46" s="109">
        <f t="shared" si="5"/>
        <v>5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6"/>
        <v>5</v>
      </c>
      <c r="AG46" s="108">
        <f t="shared" si="0"/>
        <v>0</v>
      </c>
      <c r="AH46" s="108">
        <f t="shared" si="1"/>
        <v>0</v>
      </c>
      <c r="AI46" s="108">
        <f t="shared" si="7"/>
        <v>0</v>
      </c>
      <c r="AJ46" s="108">
        <f t="shared" si="2"/>
        <v>0</v>
      </c>
      <c r="AK46" s="108">
        <f t="shared" si="3"/>
        <v>5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623">
        <v>40</v>
      </c>
      <c r="C47" s="624">
        <v>41814</v>
      </c>
      <c r="D47" s="625" t="s">
        <v>18</v>
      </c>
      <c r="E47" s="626" t="s">
        <v>9</v>
      </c>
      <c r="F47" s="627" t="s">
        <v>23</v>
      </c>
      <c r="G47" s="684">
        <v>1</v>
      </c>
      <c r="H47" s="626" t="s">
        <v>9</v>
      </c>
      <c r="I47" s="689">
        <v>3</v>
      </c>
      <c r="J47" s="628">
        <v>2</v>
      </c>
      <c r="K47" s="610">
        <v>0</v>
      </c>
      <c r="L47" s="610">
        <v>3</v>
      </c>
      <c r="M47" s="599"/>
      <c r="N47" s="599"/>
      <c r="O47" s="645" t="s">
        <v>35</v>
      </c>
      <c r="P47" s="646">
        <v>3</v>
      </c>
      <c r="Q47" s="646">
        <v>4</v>
      </c>
      <c r="R47" s="646">
        <v>-1</v>
      </c>
      <c r="S47" s="647">
        <v>2</v>
      </c>
      <c r="T47" s="692" t="s">
        <v>79</v>
      </c>
      <c r="U47" s="392"/>
      <c r="V47" s="392" t="str">
        <f>O47</f>
        <v>Ghana</v>
      </c>
      <c r="W47" s="392" t="s">
        <v>79</v>
      </c>
      <c r="Y47" s="109">
        <f t="shared" si="5"/>
        <v>0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6"/>
        <v>0</v>
      </c>
      <c r="AG47" s="108">
        <f t="shared" si="0"/>
        <v>0</v>
      </c>
      <c r="AH47" s="108">
        <f t="shared" si="1"/>
        <v>0</v>
      </c>
      <c r="AI47" s="108">
        <f t="shared" si="7"/>
        <v>0</v>
      </c>
      <c r="AJ47" s="108">
        <f t="shared" si="2"/>
        <v>0</v>
      </c>
      <c r="AK47" s="108">
        <f t="shared" si="3"/>
        <v>0</v>
      </c>
      <c r="AL47" s="108">
        <f t="shared" si="4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611">
        <v>41</v>
      </c>
      <c r="C48" s="612">
        <v>41815</v>
      </c>
      <c r="D48" s="613" t="s">
        <v>34</v>
      </c>
      <c r="E48" s="614" t="s">
        <v>9</v>
      </c>
      <c r="F48" s="615" t="s">
        <v>29</v>
      </c>
      <c r="G48" s="682">
        <v>2</v>
      </c>
      <c r="H48" s="614" t="s">
        <v>9</v>
      </c>
      <c r="I48" s="687">
        <v>2</v>
      </c>
      <c r="J48" s="616">
        <v>3</v>
      </c>
      <c r="K48" s="610">
        <v>1</v>
      </c>
      <c r="L48" s="610">
        <v>1</v>
      </c>
      <c r="M48" s="599"/>
      <c r="N48" s="599"/>
      <c r="O48" s="648" t="s">
        <v>36</v>
      </c>
      <c r="P48" s="649">
        <v>2</v>
      </c>
      <c r="Q48" s="649">
        <v>5</v>
      </c>
      <c r="R48" s="649">
        <v>-3</v>
      </c>
      <c r="S48" s="650">
        <v>1</v>
      </c>
      <c r="T48" s="693" t="s">
        <v>80</v>
      </c>
      <c r="U48" s="392"/>
      <c r="V48" s="392" t="str">
        <f>O48</f>
        <v>Verenigde Staten</v>
      </c>
      <c r="W48" s="392" t="s">
        <v>80</v>
      </c>
      <c r="Y48" s="109">
        <f t="shared" si="5"/>
        <v>1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6"/>
        <v>1</v>
      </c>
      <c r="AG48" s="108">
        <f t="shared" si="0"/>
        <v>1</v>
      </c>
      <c r="AH48" s="108">
        <f t="shared" si="1"/>
        <v>0</v>
      </c>
      <c r="AI48" s="108">
        <f t="shared" si="7"/>
        <v>0</v>
      </c>
      <c r="AJ48" s="108">
        <f t="shared" si="2"/>
        <v>0</v>
      </c>
      <c r="AK48" s="108">
        <f t="shared" si="3"/>
        <v>0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617">
        <v>42</v>
      </c>
      <c r="C49" s="618">
        <v>41815</v>
      </c>
      <c r="D49" s="619" t="s">
        <v>30</v>
      </c>
      <c r="E49" s="620" t="s">
        <v>9</v>
      </c>
      <c r="F49" s="629" t="s">
        <v>33</v>
      </c>
      <c r="G49" s="683">
        <v>0</v>
      </c>
      <c r="H49" s="620" t="s">
        <v>9</v>
      </c>
      <c r="I49" s="688">
        <v>1</v>
      </c>
      <c r="J49" s="622">
        <v>2</v>
      </c>
      <c r="K49" s="610">
        <v>0</v>
      </c>
      <c r="L49" s="610">
        <v>3</v>
      </c>
      <c r="M49" s="599"/>
      <c r="N49" s="599"/>
      <c r="O49" s="639"/>
      <c r="P49" s="640"/>
      <c r="Q49" s="640"/>
      <c r="R49" s="640"/>
      <c r="S49" s="640"/>
      <c r="T49" s="640"/>
      <c r="U49" s="392"/>
      <c r="V49" s="392"/>
      <c r="W49" s="392"/>
      <c r="Y49" s="109">
        <f t="shared" si="5"/>
        <v>1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6"/>
        <v>1</v>
      </c>
      <c r="AG49" s="108">
        <f t="shared" si="0"/>
        <v>0</v>
      </c>
      <c r="AH49" s="108">
        <f t="shared" si="1"/>
        <v>1</v>
      </c>
      <c r="AI49" s="108">
        <f t="shared" si="7"/>
        <v>0</v>
      </c>
      <c r="AJ49" s="108">
        <f t="shared" si="2"/>
        <v>0</v>
      </c>
      <c r="AK49" s="108">
        <f t="shared" si="3"/>
        <v>0</v>
      </c>
      <c r="AL49" s="108">
        <f t="shared" si="4"/>
        <v>0</v>
      </c>
      <c r="AN49" s="392"/>
      <c r="AO49" s="393"/>
    </row>
    <row r="50" spans="2:54" ht="15.75" thickBot="1">
      <c r="B50" s="617">
        <v>43</v>
      </c>
      <c r="C50" s="618">
        <v>41815</v>
      </c>
      <c r="D50" s="619" t="s">
        <v>28</v>
      </c>
      <c r="E50" s="620" t="s">
        <v>9</v>
      </c>
      <c r="F50" s="629" t="s">
        <v>25</v>
      </c>
      <c r="G50" s="683">
        <v>1</v>
      </c>
      <c r="H50" s="620" t="s">
        <v>9</v>
      </c>
      <c r="I50" s="688">
        <v>1</v>
      </c>
      <c r="J50" s="622">
        <v>3</v>
      </c>
      <c r="K50" s="610">
        <v>1</v>
      </c>
      <c r="L50" s="610">
        <v>1</v>
      </c>
      <c r="M50" s="599"/>
      <c r="N50" s="599"/>
      <c r="O50" s="669" t="s">
        <v>81</v>
      </c>
      <c r="P50" s="670" t="s">
        <v>42</v>
      </c>
      <c r="Q50" s="670" t="s">
        <v>43</v>
      </c>
      <c r="R50" s="671" t="s">
        <v>44</v>
      </c>
      <c r="S50" s="672" t="s">
        <v>45</v>
      </c>
      <c r="T50" s="673" t="s">
        <v>46</v>
      </c>
      <c r="U50" s="392"/>
      <c r="V50" s="392"/>
      <c r="W50" s="392"/>
      <c r="Y50" s="109">
        <f t="shared" si="5"/>
        <v>0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6"/>
        <v>0</v>
      </c>
      <c r="AG50" s="108">
        <f t="shared" si="0"/>
        <v>0</v>
      </c>
      <c r="AH50" s="108">
        <f t="shared" si="1"/>
        <v>0</v>
      </c>
      <c r="AI50" s="108">
        <f t="shared" si="7"/>
        <v>0</v>
      </c>
      <c r="AJ50" s="108">
        <f t="shared" si="2"/>
        <v>0</v>
      </c>
      <c r="AK50" s="108">
        <f t="shared" si="3"/>
        <v>0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623">
        <v>44</v>
      </c>
      <c r="C51" s="624">
        <v>41815</v>
      </c>
      <c r="D51" s="625" t="s">
        <v>26</v>
      </c>
      <c r="E51" s="626" t="s">
        <v>9</v>
      </c>
      <c r="F51" s="627" t="s">
        <v>27</v>
      </c>
      <c r="G51" s="684">
        <v>1</v>
      </c>
      <c r="H51" s="626" t="s">
        <v>9</v>
      </c>
      <c r="I51" s="689">
        <v>2</v>
      </c>
      <c r="J51" s="628">
        <v>2</v>
      </c>
      <c r="K51" s="610">
        <v>0</v>
      </c>
      <c r="L51" s="610">
        <v>3</v>
      </c>
      <c r="M51" s="599"/>
      <c r="N51" s="599"/>
      <c r="O51" s="641" t="s">
        <v>37</v>
      </c>
      <c r="P51" s="642">
        <v>3</v>
      </c>
      <c r="Q51" s="642">
        <v>2</v>
      </c>
      <c r="R51" s="643">
        <v>1</v>
      </c>
      <c r="S51" s="644">
        <v>5</v>
      </c>
      <c r="T51" s="691" t="s">
        <v>83</v>
      </c>
      <c r="U51" s="392"/>
      <c r="V51" s="392" t="str">
        <f>O51</f>
        <v>België</v>
      </c>
      <c r="W51" s="392" t="s">
        <v>82</v>
      </c>
      <c r="Y51" s="109">
        <f t="shared" si="5"/>
        <v>0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6"/>
        <v>0</v>
      </c>
      <c r="AG51" s="108">
        <f t="shared" si="0"/>
        <v>0</v>
      </c>
      <c r="AH51" s="108">
        <f t="shared" si="1"/>
        <v>0</v>
      </c>
      <c r="AI51" s="108">
        <f t="shared" si="7"/>
        <v>0</v>
      </c>
      <c r="AJ51" s="108">
        <f t="shared" si="2"/>
        <v>0</v>
      </c>
      <c r="AK51" s="108">
        <f t="shared" si="3"/>
        <v>0</v>
      </c>
      <c r="AL51" s="108">
        <f t="shared" si="4"/>
        <v>0</v>
      </c>
      <c r="AM51" s="120">
        <f>AO51</f>
        <v>0</v>
      </c>
      <c r="AN51" s="116" t="s">
        <v>37</v>
      </c>
      <c r="AO51" s="115">
        <f>IF(Uitslag!T51="",0,IF(T51=Uitslag!T51,10,0))</f>
        <v>0</v>
      </c>
    </row>
    <row r="52" spans="2:54" ht="15.75" thickBot="1">
      <c r="B52" s="617">
        <v>45</v>
      </c>
      <c r="C52" s="618">
        <v>41816</v>
      </c>
      <c r="D52" s="619" t="s">
        <v>36</v>
      </c>
      <c r="E52" s="620" t="s">
        <v>9</v>
      </c>
      <c r="F52" s="629" t="s">
        <v>31</v>
      </c>
      <c r="G52" s="683">
        <v>1</v>
      </c>
      <c r="H52" s="620" t="s">
        <v>9</v>
      </c>
      <c r="I52" s="688">
        <v>2</v>
      </c>
      <c r="J52" s="616">
        <v>2</v>
      </c>
      <c r="K52" s="610">
        <v>0</v>
      </c>
      <c r="L52" s="610">
        <v>3</v>
      </c>
      <c r="M52" s="599"/>
      <c r="N52" s="599"/>
      <c r="O52" s="645" t="s">
        <v>38</v>
      </c>
      <c r="P52" s="646">
        <v>1</v>
      </c>
      <c r="Q52" s="646">
        <v>3</v>
      </c>
      <c r="R52" s="646">
        <v>-2</v>
      </c>
      <c r="S52" s="647">
        <v>1</v>
      </c>
      <c r="T52" s="692" t="s">
        <v>85</v>
      </c>
      <c r="U52" s="392"/>
      <c r="V52" s="392" t="str">
        <f>O52</f>
        <v>Algerije</v>
      </c>
      <c r="W52" s="392" t="s">
        <v>83</v>
      </c>
      <c r="Y52" s="109">
        <f t="shared" si="5"/>
        <v>5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6"/>
        <v>5</v>
      </c>
      <c r="AG52" s="108">
        <f t="shared" si="0"/>
        <v>0</v>
      </c>
      <c r="AH52" s="108">
        <f t="shared" si="1"/>
        <v>0</v>
      </c>
      <c r="AI52" s="108">
        <f t="shared" si="7"/>
        <v>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617">
        <v>46</v>
      </c>
      <c r="C53" s="618">
        <v>41816</v>
      </c>
      <c r="D53" s="619" t="s">
        <v>32</v>
      </c>
      <c r="E53" s="620" t="s">
        <v>9</v>
      </c>
      <c r="F53" s="629" t="s">
        <v>35</v>
      </c>
      <c r="G53" s="683">
        <v>1</v>
      </c>
      <c r="H53" s="620" t="s">
        <v>9</v>
      </c>
      <c r="I53" s="688">
        <v>1</v>
      </c>
      <c r="J53" s="622">
        <v>3</v>
      </c>
      <c r="K53" s="610">
        <v>1</v>
      </c>
      <c r="L53" s="610">
        <v>1</v>
      </c>
      <c r="M53" s="599"/>
      <c r="N53" s="599"/>
      <c r="O53" s="645" t="s">
        <v>39</v>
      </c>
      <c r="P53" s="646">
        <v>1</v>
      </c>
      <c r="Q53" s="646">
        <v>2</v>
      </c>
      <c r="R53" s="646">
        <v>-1</v>
      </c>
      <c r="S53" s="647">
        <v>2</v>
      </c>
      <c r="T53" s="692" t="s">
        <v>84</v>
      </c>
      <c r="U53" s="392"/>
      <c r="V53" s="392" t="str">
        <f>O53</f>
        <v>Rusland</v>
      </c>
      <c r="W53" s="392" t="s">
        <v>84</v>
      </c>
      <c r="Y53" s="109">
        <f t="shared" si="5"/>
        <v>1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6"/>
        <v>1</v>
      </c>
      <c r="AG53" s="108">
        <f t="shared" si="0"/>
        <v>0</v>
      </c>
      <c r="AH53" s="108">
        <f t="shared" si="1"/>
        <v>1</v>
      </c>
      <c r="AI53" s="108">
        <f t="shared" si="7"/>
        <v>0</v>
      </c>
      <c r="AJ53" s="108">
        <f t="shared" si="2"/>
        <v>0</v>
      </c>
      <c r="AK53" s="108">
        <f t="shared" si="3"/>
        <v>0</v>
      </c>
      <c r="AL53" s="108">
        <f t="shared" si="4"/>
        <v>0</v>
      </c>
      <c r="AM53" s="120">
        <f>AO53</f>
        <v>10</v>
      </c>
      <c r="AN53" s="117" t="s">
        <v>39</v>
      </c>
      <c r="AO53" s="115">
        <f>IF(Uitslag!T53="",0,IF(T53=Uitslag!T53,10,0))</f>
        <v>10</v>
      </c>
    </row>
    <row r="54" spans="2:54" ht="15.75" thickBot="1">
      <c r="B54" s="617">
        <v>47</v>
      </c>
      <c r="C54" s="618">
        <v>41816</v>
      </c>
      <c r="D54" s="619" t="s">
        <v>40</v>
      </c>
      <c r="E54" s="620" t="s">
        <v>9</v>
      </c>
      <c r="F54" s="629" t="s">
        <v>37</v>
      </c>
      <c r="G54" s="683">
        <v>0</v>
      </c>
      <c r="H54" s="620" t="s">
        <v>9</v>
      </c>
      <c r="I54" s="688">
        <v>0</v>
      </c>
      <c r="J54" s="622">
        <v>3</v>
      </c>
      <c r="K54" s="610">
        <v>1</v>
      </c>
      <c r="L54" s="610">
        <v>1</v>
      </c>
      <c r="M54" s="599"/>
      <c r="N54" s="599"/>
      <c r="O54" s="648" t="s">
        <v>40</v>
      </c>
      <c r="P54" s="649">
        <v>2</v>
      </c>
      <c r="Q54" s="649">
        <v>0</v>
      </c>
      <c r="R54" s="649">
        <v>2</v>
      </c>
      <c r="S54" s="650">
        <v>7</v>
      </c>
      <c r="T54" s="693" t="s">
        <v>82</v>
      </c>
      <c r="U54" s="392"/>
      <c r="V54" s="392" t="str">
        <f>O54</f>
        <v>Zuid Korea</v>
      </c>
      <c r="W54" s="392" t="s">
        <v>85</v>
      </c>
      <c r="Y54" s="109">
        <f t="shared" si="5"/>
        <v>1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6"/>
        <v>1</v>
      </c>
      <c r="AG54" s="108">
        <f t="shared" si="0"/>
        <v>1</v>
      </c>
      <c r="AH54" s="108">
        <f t="shared" si="1"/>
        <v>0</v>
      </c>
      <c r="AI54" s="108">
        <f t="shared" si="7"/>
        <v>0</v>
      </c>
      <c r="AJ54" s="108">
        <f t="shared" si="2"/>
        <v>0</v>
      </c>
      <c r="AK54" s="108">
        <f t="shared" si="3"/>
        <v>0</v>
      </c>
      <c r="AL54" s="108">
        <f t="shared" si="4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632">
        <v>48</v>
      </c>
      <c r="C55" s="633">
        <v>41816</v>
      </c>
      <c r="D55" s="634" t="s">
        <v>38</v>
      </c>
      <c r="E55" s="635" t="s">
        <v>9</v>
      </c>
      <c r="F55" s="636" t="s">
        <v>39</v>
      </c>
      <c r="G55" s="685">
        <v>0</v>
      </c>
      <c r="H55" s="635" t="s">
        <v>9</v>
      </c>
      <c r="I55" s="690">
        <v>0</v>
      </c>
      <c r="J55" s="637">
        <v>3</v>
      </c>
      <c r="K55" s="610">
        <v>1</v>
      </c>
      <c r="L55" s="610">
        <v>1</v>
      </c>
      <c r="M55" s="599"/>
      <c r="N55" s="599"/>
      <c r="O55" s="639"/>
      <c r="P55" s="640"/>
      <c r="Q55" s="640"/>
      <c r="R55" s="640"/>
      <c r="S55" s="640"/>
      <c r="T55" s="640"/>
      <c r="U55" s="392"/>
      <c r="V55" s="392"/>
      <c r="W55" s="392"/>
      <c r="Y55" s="109">
        <f t="shared" si="5"/>
        <v>5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6"/>
        <v>5</v>
      </c>
      <c r="AG55" s="108">
        <f t="shared" si="0"/>
        <v>0</v>
      </c>
      <c r="AH55" s="108">
        <f t="shared" si="1"/>
        <v>0</v>
      </c>
      <c r="AI55" s="108">
        <f t="shared" si="7"/>
        <v>0</v>
      </c>
      <c r="AJ55" s="108">
        <f t="shared" si="2"/>
        <v>0</v>
      </c>
      <c r="AK55" s="108">
        <f t="shared" si="3"/>
        <v>0</v>
      </c>
      <c r="AL55" s="108">
        <f t="shared" si="4"/>
        <v>5</v>
      </c>
    </row>
    <row r="56" spans="2:54" ht="15.75" thickBot="1">
      <c r="B56" s="600"/>
      <c r="C56" s="638"/>
      <c r="D56" s="639"/>
      <c r="E56" s="600"/>
      <c r="F56" s="639"/>
      <c r="G56" s="600"/>
      <c r="H56" s="600"/>
      <c r="I56" s="600"/>
      <c r="J56" s="600"/>
      <c r="K56" s="600"/>
      <c r="L56" s="600"/>
      <c r="M56" s="600"/>
      <c r="N56" s="599"/>
      <c r="O56" s="599"/>
      <c r="P56" s="599"/>
      <c r="Q56" s="599"/>
      <c r="R56" s="599"/>
      <c r="S56" s="599"/>
      <c r="T56" s="599"/>
      <c r="BB56" s="136" t="s">
        <v>141</v>
      </c>
    </row>
    <row r="57" spans="2:54">
      <c r="B57" s="907" t="s">
        <v>86</v>
      </c>
      <c r="C57" s="908"/>
      <c r="D57" s="908"/>
      <c r="E57" s="908"/>
      <c r="F57" s="908"/>
      <c r="G57" s="908"/>
      <c r="H57" s="908"/>
      <c r="I57" s="908"/>
      <c r="J57" s="674"/>
      <c r="K57" s="600"/>
      <c r="L57" s="600"/>
      <c r="M57" s="600"/>
      <c r="N57" s="599"/>
      <c r="O57" s="916" t="s">
        <v>108</v>
      </c>
      <c r="P57" s="917"/>
      <c r="Q57" s="917"/>
      <c r="R57" s="917"/>
      <c r="S57" s="917"/>
      <c r="T57" s="917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675" t="s">
        <v>1</v>
      </c>
      <c r="C58" s="676" t="s">
        <v>2</v>
      </c>
      <c r="D58" s="710" t="s">
        <v>3</v>
      </c>
      <c r="E58" s="678"/>
      <c r="F58" s="679" t="s">
        <v>4</v>
      </c>
      <c r="G58" s="913" t="s">
        <v>5</v>
      </c>
      <c r="H58" s="914"/>
      <c r="I58" s="915"/>
      <c r="J58" s="680" t="s">
        <v>6</v>
      </c>
      <c r="K58" s="600"/>
      <c r="L58" s="600"/>
      <c r="M58" s="600"/>
      <c r="N58" s="599"/>
      <c r="O58" s="705">
        <v>1</v>
      </c>
      <c r="P58" s="877" t="s">
        <v>218</v>
      </c>
      <c r="Q58" s="877"/>
      <c r="R58" s="877"/>
      <c r="S58" s="877"/>
      <c r="T58" s="878"/>
      <c r="V58" s="352" t="s">
        <v>132</v>
      </c>
      <c r="W58" s="352" t="s">
        <v>124</v>
      </c>
      <c r="X58" s="352" t="str">
        <f t="shared" ref="X58:X98" si="8">CONCATENATE(W58," ",V58)</f>
        <v>Jeroen Zoet (k)</v>
      </c>
      <c r="Y58" s="113" t="s">
        <v>91</v>
      </c>
      <c r="Z58" s="352" t="str">
        <f>IF(K58=""," ",VLOOKUP(K58,$T$9:$V$54,3,FALSE))</f>
        <v xml:space="preserve"> </v>
      </c>
      <c r="AA58" s="352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9">IF(P58="","",COUNTIF($AZ$58:$AZ$68,P58)*3)</f>
        <v>0</v>
      </c>
      <c r="BB58" s="139">
        <f>BA58</f>
        <v>0</v>
      </c>
    </row>
    <row r="59" spans="2:54">
      <c r="B59" s="611">
        <v>49</v>
      </c>
      <c r="C59" s="712">
        <v>41818</v>
      </c>
      <c r="D59" s="706" t="s">
        <v>8</v>
      </c>
      <c r="E59" s="614" t="s">
        <v>9</v>
      </c>
      <c r="F59" s="653" t="s">
        <v>14</v>
      </c>
      <c r="G59" s="682">
        <v>2</v>
      </c>
      <c r="H59" s="614" t="s">
        <v>9</v>
      </c>
      <c r="I59" s="694">
        <v>1</v>
      </c>
      <c r="J59" s="695">
        <v>1</v>
      </c>
      <c r="K59" s="654" t="s">
        <v>48</v>
      </c>
      <c r="L59" s="654" t="s">
        <v>53</v>
      </c>
      <c r="M59" s="654">
        <v>1</v>
      </c>
      <c r="N59" s="599"/>
      <c r="O59" s="705">
        <v>2</v>
      </c>
      <c r="P59" s="877" t="s">
        <v>214</v>
      </c>
      <c r="Q59" s="877"/>
      <c r="R59" s="877"/>
      <c r="S59" s="877"/>
      <c r="T59" s="878"/>
      <c r="V59" s="352" t="s">
        <v>132</v>
      </c>
      <c r="W59" s="352" t="s">
        <v>111</v>
      </c>
      <c r="X59" s="352" t="str">
        <f t="shared" si="8"/>
        <v>Jasper Cillessen (k)</v>
      </c>
      <c r="Y59" s="109">
        <f t="shared" ref="Y59:Y66" si="10">AF59</f>
        <v>1</v>
      </c>
      <c r="Z59" s="352" t="str">
        <f t="shared" ref="Z59:AA65" si="11">IF(K59=""," ",VLOOKUP(K59,$T$9:$V$54,3,FALSE))</f>
        <v>Brazilië</v>
      </c>
      <c r="AA59" s="352" t="str">
        <f t="shared" si="11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2">IF(OR(AC59="",AD59=""),0,(IF(SUM(AG59:AL59)&gt;10,10,SUM(AG59:AL59))))</f>
        <v>1</v>
      </c>
      <c r="AG59" s="108">
        <f t="shared" ref="AG59:AG66" si="13">IF(AC59="",0,(IF(G59=AC59,1,0)))</f>
        <v>0</v>
      </c>
      <c r="AH59" s="108">
        <f t="shared" ref="AH59:AH66" si="14">IF(AD59="",0,(IF(I59=AD59,1,0)))</f>
        <v>1</v>
      </c>
      <c r="AI59" s="108">
        <f t="shared" ref="AI59:AI66" si="15">IF(AND(AG59=1,AH59=1),10,0)</f>
        <v>0</v>
      </c>
      <c r="AJ59" s="108">
        <f t="shared" ref="AJ59:AJ66" si="16">IF(AND(G59&gt;I59,AC59&gt;AD59),5,0)</f>
        <v>0</v>
      </c>
      <c r="AK59" s="108">
        <f t="shared" ref="AK59:AK66" si="17">IF(AND(G59&lt;I59,AC59&lt;AD59),5,0)</f>
        <v>0</v>
      </c>
      <c r="AL59" s="108">
        <f t="shared" ref="AL59:AL66" si="18">IF(AND(G59=I59,AC59=AD59),5,0)</f>
        <v>0</v>
      </c>
      <c r="AZ59" s="138" t="str">
        <f>Uitslag!P59</f>
        <v>Daryl Janmaat (v)</v>
      </c>
      <c r="BA59" s="140">
        <f t="shared" si="9"/>
        <v>3</v>
      </c>
      <c r="BB59" s="139">
        <f t="shared" ref="BB59:BB68" si="19">BA59</f>
        <v>3</v>
      </c>
    </row>
    <row r="60" spans="2:54">
      <c r="B60" s="623">
        <v>50</v>
      </c>
      <c r="C60" s="713">
        <v>41818</v>
      </c>
      <c r="D60" s="707" t="s">
        <v>17</v>
      </c>
      <c r="E60" s="626" t="s">
        <v>9</v>
      </c>
      <c r="F60" s="656" t="s">
        <v>22</v>
      </c>
      <c r="G60" s="684">
        <v>1</v>
      </c>
      <c r="H60" s="626" t="s">
        <v>9</v>
      </c>
      <c r="I60" s="696">
        <v>1</v>
      </c>
      <c r="J60" s="697">
        <v>2</v>
      </c>
      <c r="K60" s="654" t="s">
        <v>57</v>
      </c>
      <c r="L60" s="654" t="s">
        <v>63</v>
      </c>
      <c r="M60" s="654">
        <v>2</v>
      </c>
      <c r="N60" s="599"/>
      <c r="O60" s="705">
        <v>3</v>
      </c>
      <c r="P60" s="877" t="s">
        <v>209</v>
      </c>
      <c r="Q60" s="877"/>
      <c r="R60" s="877"/>
      <c r="S60" s="877"/>
      <c r="T60" s="878"/>
      <c r="V60" s="352" t="s">
        <v>132</v>
      </c>
      <c r="W60" s="352" t="s">
        <v>110</v>
      </c>
      <c r="X60" s="352" t="str">
        <f t="shared" si="8"/>
        <v>Kenneth Vermeer (k)</v>
      </c>
      <c r="Y60" s="109">
        <f t="shared" si="10"/>
        <v>0</v>
      </c>
      <c r="Z60" s="352" t="str">
        <f t="shared" si="11"/>
        <v>Colombia</v>
      </c>
      <c r="AA60" s="352" t="str">
        <f t="shared" si="11"/>
        <v>Italië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2"/>
        <v>0</v>
      </c>
      <c r="AG60" s="108">
        <f t="shared" si="13"/>
        <v>0</v>
      </c>
      <c r="AH60" s="108">
        <f t="shared" si="14"/>
        <v>0</v>
      </c>
      <c r="AI60" s="108">
        <f t="shared" si="15"/>
        <v>0</v>
      </c>
      <c r="AJ60" s="108">
        <f t="shared" si="16"/>
        <v>0</v>
      </c>
      <c r="AK60" s="108">
        <f t="shared" si="17"/>
        <v>0</v>
      </c>
      <c r="AL60" s="108">
        <f t="shared" si="18"/>
        <v>0</v>
      </c>
      <c r="AZ60" s="138" t="str">
        <f>Uitslag!P60</f>
        <v>Stefan de Vrij (v)</v>
      </c>
      <c r="BA60" s="140">
        <f t="shared" si="9"/>
        <v>3</v>
      </c>
      <c r="BB60" s="139">
        <f t="shared" si="19"/>
        <v>3</v>
      </c>
    </row>
    <row r="61" spans="2:54">
      <c r="B61" s="611">
        <v>51</v>
      </c>
      <c r="C61" s="712">
        <v>41819</v>
      </c>
      <c r="D61" s="711" t="s">
        <v>16</v>
      </c>
      <c r="E61" s="614" t="s">
        <v>9</v>
      </c>
      <c r="F61" s="653" t="s">
        <v>11</v>
      </c>
      <c r="G61" s="682">
        <v>1</v>
      </c>
      <c r="H61" s="614" t="s">
        <v>9</v>
      </c>
      <c r="I61" s="694">
        <v>1</v>
      </c>
      <c r="J61" s="695">
        <v>1</v>
      </c>
      <c r="K61" s="654" t="s">
        <v>52</v>
      </c>
      <c r="L61" s="654" t="s">
        <v>49</v>
      </c>
      <c r="M61" s="654"/>
      <c r="N61" s="599"/>
      <c r="O61" s="705">
        <v>4</v>
      </c>
      <c r="P61" s="877" t="s">
        <v>212</v>
      </c>
      <c r="Q61" s="877"/>
      <c r="R61" s="877"/>
      <c r="S61" s="877"/>
      <c r="T61" s="878"/>
      <c r="V61" s="352" t="s">
        <v>132</v>
      </c>
      <c r="W61" s="352" t="s">
        <v>191</v>
      </c>
      <c r="X61" s="352" t="str">
        <f t="shared" si="8"/>
        <v>Tim Krul (k)</v>
      </c>
      <c r="Y61" s="109">
        <f t="shared" si="10"/>
        <v>1</v>
      </c>
      <c r="Z61" s="352" t="str">
        <f t="shared" si="11"/>
        <v>Australië</v>
      </c>
      <c r="AA61" s="352" t="str">
        <f t="shared" si="11"/>
        <v>Mexico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2"/>
        <v>1</v>
      </c>
      <c r="AG61" s="108">
        <f t="shared" si="13"/>
        <v>0</v>
      </c>
      <c r="AH61" s="108">
        <f t="shared" si="14"/>
        <v>1</v>
      </c>
      <c r="AI61" s="108">
        <f t="shared" si="15"/>
        <v>0</v>
      </c>
      <c r="AJ61" s="108">
        <f t="shared" si="16"/>
        <v>0</v>
      </c>
      <c r="AK61" s="108">
        <f t="shared" si="17"/>
        <v>0</v>
      </c>
      <c r="AL61" s="108">
        <f t="shared" si="18"/>
        <v>0</v>
      </c>
      <c r="AZ61" s="138" t="str">
        <f>Uitslag!P61</f>
        <v>Ron Vlaar (v)</v>
      </c>
      <c r="BA61" s="140">
        <f t="shared" si="9"/>
        <v>3</v>
      </c>
      <c r="BB61" s="139">
        <f t="shared" si="19"/>
        <v>3</v>
      </c>
    </row>
    <row r="62" spans="2:54">
      <c r="B62" s="623">
        <v>52</v>
      </c>
      <c r="C62" s="713">
        <v>41819</v>
      </c>
      <c r="D62" s="711" t="s">
        <v>21</v>
      </c>
      <c r="E62" s="626" t="s">
        <v>9</v>
      </c>
      <c r="F62" s="656" t="s">
        <v>23</v>
      </c>
      <c r="G62" s="684">
        <v>0</v>
      </c>
      <c r="H62" s="626" t="s">
        <v>9</v>
      </c>
      <c r="I62" s="696">
        <v>1</v>
      </c>
      <c r="J62" s="697">
        <v>2</v>
      </c>
      <c r="K62" s="654" t="s">
        <v>62</v>
      </c>
      <c r="L62" s="654" t="s">
        <v>58</v>
      </c>
      <c r="M62" s="654"/>
      <c r="N62" s="599"/>
      <c r="O62" s="705">
        <v>5</v>
      </c>
      <c r="P62" s="877" t="s">
        <v>213</v>
      </c>
      <c r="Q62" s="877"/>
      <c r="R62" s="877"/>
      <c r="S62" s="877"/>
      <c r="T62" s="878"/>
      <c r="V62" s="352" t="s">
        <v>132</v>
      </c>
      <c r="W62" s="352" t="s">
        <v>192</v>
      </c>
      <c r="X62" s="352" t="str">
        <f t="shared" si="8"/>
        <v>Maarten Stekelenburg (k)</v>
      </c>
      <c r="Y62" s="109">
        <f t="shared" si="10"/>
        <v>1</v>
      </c>
      <c r="Z62" s="352" t="str">
        <f t="shared" si="11"/>
        <v>Engeland</v>
      </c>
      <c r="AA62" s="352" t="str">
        <f t="shared" si="11"/>
        <v>Ivoorkust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2"/>
        <v>1</v>
      </c>
      <c r="AG62" s="108">
        <f t="shared" si="13"/>
        <v>0</v>
      </c>
      <c r="AH62" s="108">
        <f t="shared" si="14"/>
        <v>1</v>
      </c>
      <c r="AI62" s="108">
        <f t="shared" si="15"/>
        <v>0</v>
      </c>
      <c r="AJ62" s="108">
        <f t="shared" si="16"/>
        <v>0</v>
      </c>
      <c r="AK62" s="108">
        <f t="shared" si="17"/>
        <v>0</v>
      </c>
      <c r="AL62" s="108">
        <f t="shared" si="18"/>
        <v>0</v>
      </c>
      <c r="AZ62" s="138" t="str">
        <f>Uitslag!P62</f>
        <v>Bruno Martins Indi (v)</v>
      </c>
      <c r="BA62" s="140">
        <f t="shared" si="9"/>
        <v>3</v>
      </c>
      <c r="BB62" s="139">
        <f t="shared" si="19"/>
        <v>3</v>
      </c>
    </row>
    <row r="63" spans="2:54">
      <c r="B63" s="611">
        <v>53</v>
      </c>
      <c r="C63" s="712">
        <v>41820</v>
      </c>
      <c r="D63" s="706" t="s">
        <v>27</v>
      </c>
      <c r="E63" s="614" t="s">
        <v>9</v>
      </c>
      <c r="F63" s="653" t="s">
        <v>34</v>
      </c>
      <c r="G63" s="682">
        <v>1</v>
      </c>
      <c r="H63" s="614" t="s">
        <v>9</v>
      </c>
      <c r="I63" s="694">
        <v>1</v>
      </c>
      <c r="J63" s="695">
        <v>1</v>
      </c>
      <c r="K63" s="654" t="s">
        <v>67</v>
      </c>
      <c r="L63" s="654" t="s">
        <v>73</v>
      </c>
      <c r="M63" s="654"/>
      <c r="N63" s="599"/>
      <c r="O63" s="705">
        <v>6</v>
      </c>
      <c r="P63" s="877" t="s">
        <v>226</v>
      </c>
      <c r="Q63" s="877"/>
      <c r="R63" s="877"/>
      <c r="S63" s="877"/>
      <c r="T63" s="878"/>
      <c r="V63" s="352" t="s">
        <v>132</v>
      </c>
      <c r="W63" s="352" t="s">
        <v>193</v>
      </c>
      <c r="X63" s="352" t="str">
        <f t="shared" si="8"/>
        <v>Michel Vorm (k)</v>
      </c>
      <c r="Y63" s="109">
        <f t="shared" si="10"/>
        <v>0</v>
      </c>
      <c r="Z63" s="352" t="str">
        <f t="shared" si="11"/>
        <v>Frankrijk</v>
      </c>
      <c r="AA63" s="352" t="str">
        <f t="shared" si="11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2"/>
        <v>0</v>
      </c>
      <c r="AG63" s="108">
        <f t="shared" si="13"/>
        <v>0</v>
      </c>
      <c r="AH63" s="108">
        <f t="shared" si="14"/>
        <v>0</v>
      </c>
      <c r="AI63" s="108">
        <f t="shared" si="15"/>
        <v>0</v>
      </c>
      <c r="AJ63" s="108">
        <f t="shared" si="16"/>
        <v>0</v>
      </c>
      <c r="AK63" s="108">
        <f t="shared" si="17"/>
        <v>0</v>
      </c>
      <c r="AL63" s="108">
        <f t="shared" si="18"/>
        <v>0</v>
      </c>
      <c r="AZ63" s="138" t="str">
        <f>Uitslag!P63</f>
        <v>Daley Blind (v)</v>
      </c>
      <c r="BA63" s="140">
        <f t="shared" si="9"/>
        <v>3</v>
      </c>
      <c r="BB63" s="139">
        <f t="shared" si="19"/>
        <v>3</v>
      </c>
    </row>
    <row r="64" spans="2:54">
      <c r="B64" s="623">
        <v>54</v>
      </c>
      <c r="C64" s="713">
        <v>41820</v>
      </c>
      <c r="D64" s="707" t="s">
        <v>31</v>
      </c>
      <c r="E64" s="626" t="s">
        <v>9</v>
      </c>
      <c r="F64" s="656" t="s">
        <v>37</v>
      </c>
      <c r="G64" s="684">
        <v>2</v>
      </c>
      <c r="H64" s="626" t="s">
        <v>9</v>
      </c>
      <c r="I64" s="696">
        <v>2</v>
      </c>
      <c r="J64" s="697">
        <v>1</v>
      </c>
      <c r="K64" s="654" t="s">
        <v>77</v>
      </c>
      <c r="L64" s="654" t="s">
        <v>83</v>
      </c>
      <c r="M64" s="654"/>
      <c r="N64" s="599"/>
      <c r="O64" s="705">
        <v>7</v>
      </c>
      <c r="P64" s="877" t="s">
        <v>215</v>
      </c>
      <c r="Q64" s="877"/>
      <c r="R64" s="877"/>
      <c r="S64" s="877"/>
      <c r="T64" s="878"/>
      <c r="V64" s="352" t="s">
        <v>133</v>
      </c>
      <c r="W64" s="352" t="s">
        <v>112</v>
      </c>
      <c r="X64" s="352" t="str">
        <f t="shared" si="8"/>
        <v>Joël Veltman (v)</v>
      </c>
      <c r="Y64" s="109">
        <f t="shared" si="10"/>
        <v>5</v>
      </c>
      <c r="Z64" s="352" t="str">
        <f t="shared" si="11"/>
        <v>Duitsland</v>
      </c>
      <c r="AA64" s="352" t="str">
        <f t="shared" si="11"/>
        <v>België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2"/>
        <v>5</v>
      </c>
      <c r="AG64" s="108">
        <f t="shared" si="13"/>
        <v>0</v>
      </c>
      <c r="AH64" s="108">
        <f t="shared" si="14"/>
        <v>0</v>
      </c>
      <c r="AI64" s="108">
        <f t="shared" si="15"/>
        <v>0</v>
      </c>
      <c r="AJ64" s="108">
        <f t="shared" si="16"/>
        <v>0</v>
      </c>
      <c r="AK64" s="108">
        <f t="shared" si="17"/>
        <v>0</v>
      </c>
      <c r="AL64" s="108">
        <f t="shared" si="18"/>
        <v>5</v>
      </c>
      <c r="AZ64" s="138" t="str">
        <f>Uitslag!P64</f>
        <v>Wesley Sneijder (m)</v>
      </c>
      <c r="BA64" s="140">
        <f t="shared" si="9"/>
        <v>3</v>
      </c>
      <c r="BB64" s="139">
        <f t="shared" si="19"/>
        <v>3</v>
      </c>
    </row>
    <row r="65" spans="2:54">
      <c r="B65" s="617">
        <v>55</v>
      </c>
      <c r="C65" s="714">
        <v>41821</v>
      </c>
      <c r="D65" s="706" t="s">
        <v>29</v>
      </c>
      <c r="E65" s="620" t="s">
        <v>9</v>
      </c>
      <c r="F65" s="657" t="s">
        <v>25</v>
      </c>
      <c r="G65" s="683">
        <v>1</v>
      </c>
      <c r="H65" s="620" t="s">
        <v>9</v>
      </c>
      <c r="I65" s="698">
        <v>1</v>
      </c>
      <c r="J65" s="699">
        <v>1</v>
      </c>
      <c r="K65" s="654" t="s">
        <v>72</v>
      </c>
      <c r="L65" s="654" t="s">
        <v>68</v>
      </c>
      <c r="M65" s="654"/>
      <c r="N65" s="599"/>
      <c r="O65" s="705">
        <v>8</v>
      </c>
      <c r="P65" s="877" t="s">
        <v>216</v>
      </c>
      <c r="Q65" s="877"/>
      <c r="R65" s="877"/>
      <c r="S65" s="877"/>
      <c r="T65" s="878"/>
      <c r="V65" s="352" t="s">
        <v>133</v>
      </c>
      <c r="W65" s="352" t="s">
        <v>109</v>
      </c>
      <c r="X65" s="352" t="str">
        <f t="shared" si="8"/>
        <v>Daley Blind (v)</v>
      </c>
      <c r="Y65" s="109">
        <f t="shared" si="10"/>
        <v>5</v>
      </c>
      <c r="Z65" s="352" t="str">
        <f t="shared" si="11"/>
        <v>Argentinië</v>
      </c>
      <c r="AA65" s="352" t="str">
        <f t="shared" si="11"/>
        <v>Zwitserland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2"/>
        <v>5</v>
      </c>
      <c r="AG65" s="108">
        <f t="shared" si="13"/>
        <v>0</v>
      </c>
      <c r="AH65" s="108">
        <f t="shared" si="14"/>
        <v>0</v>
      </c>
      <c r="AI65" s="108">
        <f t="shared" si="15"/>
        <v>0</v>
      </c>
      <c r="AJ65" s="108">
        <f t="shared" si="16"/>
        <v>0</v>
      </c>
      <c r="AK65" s="108">
        <f t="shared" si="17"/>
        <v>0</v>
      </c>
      <c r="AL65" s="108">
        <f t="shared" si="18"/>
        <v>5</v>
      </c>
      <c r="AZ65" s="138" t="str">
        <f>Uitslag!P65</f>
        <v>Nigel de Jong (m)</v>
      </c>
      <c r="BA65" s="140">
        <f t="shared" si="9"/>
        <v>3</v>
      </c>
      <c r="BB65" s="139">
        <f t="shared" si="19"/>
        <v>3</v>
      </c>
    </row>
    <row r="66" spans="2:54" ht="15.75" thickBot="1">
      <c r="B66" s="632">
        <v>56</v>
      </c>
      <c r="C66" s="709">
        <v>41821</v>
      </c>
      <c r="D66" s="708" t="s">
        <v>40</v>
      </c>
      <c r="E66" s="635" t="s">
        <v>9</v>
      </c>
      <c r="F66" s="659" t="s">
        <v>32</v>
      </c>
      <c r="G66" s="685">
        <v>0</v>
      </c>
      <c r="H66" s="635" t="s">
        <v>9</v>
      </c>
      <c r="I66" s="700">
        <v>2</v>
      </c>
      <c r="J66" s="701">
        <v>2</v>
      </c>
      <c r="K66" s="654" t="s">
        <v>82</v>
      </c>
      <c r="L66" s="654" t="s">
        <v>78</v>
      </c>
      <c r="M66" s="654"/>
      <c r="N66" s="599"/>
      <c r="O66" s="705">
        <v>9</v>
      </c>
      <c r="P66" s="877" t="s">
        <v>225</v>
      </c>
      <c r="Q66" s="877"/>
      <c r="R66" s="877"/>
      <c r="S66" s="877"/>
      <c r="T66" s="878"/>
      <c r="V66" s="352" t="s">
        <v>133</v>
      </c>
      <c r="W66" s="352" t="s">
        <v>115</v>
      </c>
      <c r="X66" s="352" t="str">
        <f t="shared" si="8"/>
        <v>Daryl Janmaat (v)</v>
      </c>
      <c r="Y66" s="109">
        <f t="shared" si="10"/>
        <v>1</v>
      </c>
      <c r="Z66" s="352" t="str">
        <f>IF(K66=""," ",VLOOKUP(K66,$T$9:$V$54,3,FALSE))</f>
        <v>Zuid Korea</v>
      </c>
      <c r="AA66" s="352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2"/>
        <v>1</v>
      </c>
      <c r="AG66" s="108">
        <f t="shared" si="13"/>
        <v>1</v>
      </c>
      <c r="AH66" s="108">
        <f t="shared" si="14"/>
        <v>0</v>
      </c>
      <c r="AI66" s="108">
        <f t="shared" si="15"/>
        <v>0</v>
      </c>
      <c r="AJ66" s="108">
        <f t="shared" si="16"/>
        <v>0</v>
      </c>
      <c r="AK66" s="108">
        <f t="shared" si="17"/>
        <v>0</v>
      </c>
      <c r="AL66" s="108">
        <f t="shared" si="18"/>
        <v>0</v>
      </c>
      <c r="AZ66" s="138" t="str">
        <f>Uitslag!P66</f>
        <v>Jonathan de Guzman (m)</v>
      </c>
      <c r="BA66" s="140">
        <f t="shared" si="9"/>
        <v>3</v>
      </c>
      <c r="BB66" s="139">
        <f t="shared" si="19"/>
        <v>3</v>
      </c>
    </row>
    <row r="67" spans="2:54" ht="15.75" thickBot="1">
      <c r="B67" s="600"/>
      <c r="C67" s="638"/>
      <c r="D67" s="639"/>
      <c r="E67" s="600"/>
      <c r="F67" s="639"/>
      <c r="G67" s="600"/>
      <c r="H67" s="600"/>
      <c r="I67" s="600"/>
      <c r="J67" s="600"/>
      <c r="K67" s="600"/>
      <c r="L67" s="600"/>
      <c r="M67" s="600"/>
      <c r="N67" s="599"/>
      <c r="O67" s="705">
        <v>10</v>
      </c>
      <c r="P67" s="877" t="s">
        <v>240</v>
      </c>
      <c r="Q67" s="877"/>
      <c r="R67" s="877"/>
      <c r="S67" s="877"/>
      <c r="T67" s="878"/>
      <c r="V67" s="352" t="s">
        <v>133</v>
      </c>
      <c r="W67" s="352" t="s">
        <v>118</v>
      </c>
      <c r="X67" s="352" t="str">
        <f t="shared" si="8"/>
        <v>Terence Kongolo (v)</v>
      </c>
      <c r="AZ67" s="138" t="str">
        <f>Uitslag!P67</f>
        <v>Robin van Persie (a)</v>
      </c>
      <c r="BA67" s="140">
        <f t="shared" si="9"/>
        <v>0</v>
      </c>
      <c r="BB67" s="139">
        <f t="shared" si="19"/>
        <v>0</v>
      </c>
    </row>
    <row r="68" spans="2:54">
      <c r="B68" s="907" t="s">
        <v>87</v>
      </c>
      <c r="C68" s="908"/>
      <c r="D68" s="908"/>
      <c r="E68" s="908"/>
      <c r="F68" s="908"/>
      <c r="G68" s="908"/>
      <c r="H68" s="908"/>
      <c r="I68" s="908"/>
      <c r="J68" s="674"/>
      <c r="K68" s="600"/>
      <c r="L68" s="600"/>
      <c r="M68" s="600"/>
      <c r="N68" s="599"/>
      <c r="O68" s="705">
        <v>11</v>
      </c>
      <c r="P68" s="877" t="s">
        <v>229</v>
      </c>
      <c r="Q68" s="877"/>
      <c r="R68" s="877"/>
      <c r="S68" s="877"/>
      <c r="T68" s="878"/>
      <c r="V68" s="352" t="s">
        <v>133</v>
      </c>
      <c r="W68" s="352" t="s">
        <v>119</v>
      </c>
      <c r="X68" s="352" t="str">
        <f t="shared" si="8"/>
        <v>Bruno Martins Indi (v)</v>
      </c>
      <c r="Y68" s="112" t="s">
        <v>99</v>
      </c>
      <c r="AZ68" s="138" t="str">
        <f>Uitslag!P68</f>
        <v>Arjen Robben (a)</v>
      </c>
      <c r="BA68" s="140">
        <f t="shared" si="9"/>
        <v>0</v>
      </c>
      <c r="BB68" s="139">
        <f t="shared" si="19"/>
        <v>0</v>
      </c>
    </row>
    <row r="69" spans="2:54">
      <c r="B69" s="675" t="s">
        <v>1</v>
      </c>
      <c r="C69" s="676" t="s">
        <v>2</v>
      </c>
      <c r="D69" s="677" t="s">
        <v>3</v>
      </c>
      <c r="E69" s="678"/>
      <c r="F69" s="679" t="s">
        <v>4</v>
      </c>
      <c r="G69" s="913" t="s">
        <v>5</v>
      </c>
      <c r="H69" s="914"/>
      <c r="I69" s="915"/>
      <c r="J69" s="680" t="s">
        <v>6</v>
      </c>
      <c r="K69" s="600"/>
      <c r="L69" s="600"/>
      <c r="M69" s="600"/>
      <c r="N69" s="599"/>
      <c r="O69" s="599"/>
      <c r="P69" s="599"/>
      <c r="Q69" s="599"/>
      <c r="R69" s="599"/>
      <c r="S69" s="599"/>
      <c r="T69" s="599"/>
      <c r="V69" s="352" t="s">
        <v>133</v>
      </c>
      <c r="W69" s="352" t="s">
        <v>121</v>
      </c>
      <c r="X69" s="352" t="str">
        <f t="shared" si="8"/>
        <v>Stefan de Vrij (v)</v>
      </c>
      <c r="Y69" s="113" t="s">
        <v>91</v>
      </c>
      <c r="AP69" s="137" t="s">
        <v>140</v>
      </c>
      <c r="AY69" s="137"/>
      <c r="BA69" s="141">
        <f>SUM(BA58:BA68)</f>
        <v>24</v>
      </c>
      <c r="BB69" s="139" t="str">
        <f>IF(AND(BA69&lt;&gt;"",BA69=33),15,"nvt")</f>
        <v>nvt</v>
      </c>
    </row>
    <row r="70" spans="2:54">
      <c r="B70" s="611">
        <v>57</v>
      </c>
      <c r="C70" s="612">
        <v>41824</v>
      </c>
      <c r="D70" s="652" t="s">
        <v>27</v>
      </c>
      <c r="E70" s="614" t="s">
        <v>9</v>
      </c>
      <c r="F70" s="653" t="s">
        <v>31</v>
      </c>
      <c r="G70" s="682">
        <v>0</v>
      </c>
      <c r="H70" s="614" t="s">
        <v>9</v>
      </c>
      <c r="I70" s="694">
        <v>1</v>
      </c>
      <c r="J70" s="695">
        <v>2</v>
      </c>
      <c r="K70" s="600"/>
      <c r="L70" s="600"/>
      <c r="M70" s="600"/>
      <c r="N70" s="599"/>
      <c r="O70" s="599"/>
      <c r="P70" s="599"/>
      <c r="Q70" s="599"/>
      <c r="R70" s="599"/>
      <c r="S70" s="599"/>
      <c r="T70" s="599"/>
      <c r="V70" s="352" t="s">
        <v>133</v>
      </c>
      <c r="W70" s="352" t="s">
        <v>126</v>
      </c>
      <c r="X70" s="352" t="str">
        <f t="shared" si="8"/>
        <v>Karim Rekik (v)</v>
      </c>
      <c r="Y70" s="109">
        <f>AF70</f>
        <v>10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10</v>
      </c>
      <c r="AG70" s="108">
        <f>IF(AC70="",0,(IF(G70=AC70,1,0)))</f>
        <v>1</v>
      </c>
      <c r="AH70" s="108">
        <f>IF(AD70="",0,(IF(I70=AD70,1,0)))</f>
        <v>1</v>
      </c>
      <c r="AI70" s="108">
        <f>IF(AND(AG70=1,AH70=1),10,0)</f>
        <v>10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623">
        <v>58</v>
      </c>
      <c r="C71" s="624">
        <v>41824</v>
      </c>
      <c r="D71" s="655" t="s">
        <v>8</v>
      </c>
      <c r="E71" s="626" t="s">
        <v>9</v>
      </c>
      <c r="F71" s="656" t="s">
        <v>22</v>
      </c>
      <c r="G71" s="684">
        <v>2</v>
      </c>
      <c r="H71" s="626" t="s">
        <v>9</v>
      </c>
      <c r="I71" s="696">
        <v>1</v>
      </c>
      <c r="J71" s="697">
        <v>1</v>
      </c>
      <c r="K71" s="600"/>
      <c r="L71" s="600"/>
      <c r="M71" s="600"/>
      <c r="N71" s="599"/>
      <c r="O71" s="599"/>
      <c r="P71" s="599"/>
      <c r="Q71" s="599"/>
      <c r="R71" s="599"/>
      <c r="S71" s="599"/>
      <c r="T71" s="599"/>
      <c r="V71" s="352" t="s">
        <v>133</v>
      </c>
      <c r="W71" s="352" t="s">
        <v>194</v>
      </c>
      <c r="X71" s="352" t="str">
        <f t="shared" si="8"/>
        <v>Ron Vlaar (v)</v>
      </c>
      <c r="Y71" s="109">
        <f>AF71</f>
        <v>10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10</v>
      </c>
      <c r="AG71" s="108">
        <f>IF(AC71="",0,(IF(G71=AC71,1,0)))</f>
        <v>1</v>
      </c>
      <c r="AH71" s="108">
        <f>IF(AD71="",0,(IF(I71=AD71,1,0)))</f>
        <v>1</v>
      </c>
      <c r="AI71" s="108">
        <f>IF(AND(AG71=1,AH71=1),10,0)</f>
        <v>10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611">
        <v>59</v>
      </c>
      <c r="C72" s="612">
        <v>41825</v>
      </c>
      <c r="D72" s="652" t="s">
        <v>29</v>
      </c>
      <c r="E72" s="614" t="s">
        <v>9</v>
      </c>
      <c r="F72" s="653" t="s">
        <v>32</v>
      </c>
      <c r="G72" s="682">
        <v>1</v>
      </c>
      <c r="H72" s="614" t="s">
        <v>9</v>
      </c>
      <c r="I72" s="694">
        <v>1</v>
      </c>
      <c r="J72" s="695">
        <v>2</v>
      </c>
      <c r="K72" s="600"/>
      <c r="L72" s="600"/>
      <c r="M72" s="600"/>
      <c r="N72" s="599"/>
      <c r="O72" s="599"/>
      <c r="P72" s="599"/>
      <c r="Q72" s="599"/>
      <c r="R72" s="599"/>
      <c r="S72" s="599"/>
      <c r="T72" s="599"/>
      <c r="V72" s="352" t="s">
        <v>133</v>
      </c>
      <c r="W72" s="352" t="s">
        <v>195</v>
      </c>
      <c r="X72" s="352" t="str">
        <f t="shared" si="8"/>
        <v>John Heitinga (v)</v>
      </c>
      <c r="Y72" s="109">
        <f>AF72</f>
        <v>1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1</v>
      </c>
      <c r="AG72" s="108">
        <f>IF(AC72="",0,(IF(G72=AC72,1,0)))</f>
        <v>1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0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632">
        <v>60</v>
      </c>
      <c r="C73" s="633">
        <v>41825</v>
      </c>
      <c r="D73" s="658" t="s">
        <v>16</v>
      </c>
      <c r="E73" s="635" t="s">
        <v>9</v>
      </c>
      <c r="F73" s="659" t="s">
        <v>23</v>
      </c>
      <c r="G73" s="685">
        <v>0</v>
      </c>
      <c r="H73" s="635" t="s">
        <v>9</v>
      </c>
      <c r="I73" s="700">
        <v>0</v>
      </c>
      <c r="J73" s="701">
        <v>1</v>
      </c>
      <c r="K73" s="600"/>
      <c r="L73" s="600"/>
      <c r="M73" s="600"/>
      <c r="N73" s="599"/>
      <c r="O73" s="599"/>
      <c r="P73" s="599"/>
      <c r="Q73" s="599"/>
      <c r="R73" s="599"/>
      <c r="S73" s="599"/>
      <c r="T73" s="599"/>
      <c r="V73" s="352" t="s">
        <v>133</v>
      </c>
      <c r="W73" s="352" t="s">
        <v>196</v>
      </c>
      <c r="X73" s="352" t="str">
        <f t="shared" si="8"/>
        <v>Urby Emanuelson (v)</v>
      </c>
      <c r="Y73" s="109">
        <f>AF73</f>
        <v>10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10</v>
      </c>
      <c r="AG73" s="108">
        <f>IF(AC73="",0,(IF(G73=AC73,1,0)))</f>
        <v>1</v>
      </c>
      <c r="AH73" s="108">
        <f>IF(AD73="",0,(IF(I73=AD73,1,0)))</f>
        <v>1</v>
      </c>
      <c r="AI73" s="108">
        <f>IF(AND(AG73=1,AH73=1),10,0)</f>
        <v>10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5</v>
      </c>
    </row>
    <row r="74" spans="2:54" ht="15.75" thickBot="1">
      <c r="B74" s="600"/>
      <c r="C74" s="638"/>
      <c r="D74" s="639"/>
      <c r="E74" s="600"/>
      <c r="F74" s="639"/>
      <c r="G74" s="600"/>
      <c r="H74" s="600"/>
      <c r="I74" s="600"/>
      <c r="J74" s="600"/>
      <c r="K74" s="600"/>
      <c r="L74" s="600"/>
      <c r="M74" s="600"/>
      <c r="N74" s="599"/>
      <c r="O74" s="599"/>
      <c r="P74" s="599"/>
      <c r="Q74" s="599"/>
      <c r="R74" s="599"/>
      <c r="S74" s="599"/>
      <c r="T74" s="599"/>
      <c r="V74" s="352" t="s">
        <v>133</v>
      </c>
      <c r="W74" s="352" t="s">
        <v>197</v>
      </c>
      <c r="X74" s="352" t="str">
        <f t="shared" si="8"/>
        <v>Gregory van der Wiel (v)</v>
      </c>
    </row>
    <row r="75" spans="2:54">
      <c r="B75" s="907" t="s">
        <v>88</v>
      </c>
      <c r="C75" s="908"/>
      <c r="D75" s="908"/>
      <c r="E75" s="908"/>
      <c r="F75" s="908"/>
      <c r="G75" s="908"/>
      <c r="H75" s="908"/>
      <c r="I75" s="908"/>
      <c r="J75" s="674"/>
      <c r="K75" s="600"/>
      <c r="L75" s="600"/>
      <c r="M75" s="600"/>
      <c r="N75" s="599"/>
      <c r="O75" s="599"/>
      <c r="P75" s="599"/>
      <c r="Q75" s="599"/>
      <c r="R75" s="599"/>
      <c r="S75" s="599"/>
      <c r="T75" s="599"/>
      <c r="V75" s="352" t="s">
        <v>133</v>
      </c>
      <c r="W75" s="352" t="s">
        <v>198</v>
      </c>
      <c r="X75" s="352" t="str">
        <f t="shared" si="8"/>
        <v>Virgil van Dijk (v)</v>
      </c>
      <c r="Y75" s="112" t="s">
        <v>99</v>
      </c>
    </row>
    <row r="76" spans="2:54">
      <c r="B76" s="675" t="s">
        <v>1</v>
      </c>
      <c r="C76" s="676" t="s">
        <v>2</v>
      </c>
      <c r="D76" s="677" t="s">
        <v>3</v>
      </c>
      <c r="E76" s="678"/>
      <c r="F76" s="679" t="s">
        <v>4</v>
      </c>
      <c r="G76" s="913" t="s">
        <v>5</v>
      </c>
      <c r="H76" s="914"/>
      <c r="I76" s="915"/>
      <c r="J76" s="680" t="s">
        <v>6</v>
      </c>
      <c r="K76" s="600"/>
      <c r="L76" s="600"/>
      <c r="M76" s="600"/>
      <c r="N76" s="599"/>
      <c r="O76" s="599"/>
      <c r="P76" s="599"/>
      <c r="Q76" s="599"/>
      <c r="R76" s="599"/>
      <c r="S76" s="599"/>
      <c r="T76" s="599"/>
      <c r="V76" s="352" t="s">
        <v>133</v>
      </c>
      <c r="W76" s="352" t="s">
        <v>202</v>
      </c>
      <c r="X76" s="352" t="str">
        <f t="shared" si="8"/>
        <v>Alexander Buttner (v)</v>
      </c>
      <c r="Y76" s="113" t="s">
        <v>91</v>
      </c>
    </row>
    <row r="77" spans="2:54">
      <c r="B77" s="611">
        <v>61</v>
      </c>
      <c r="C77" s="612">
        <v>41828</v>
      </c>
      <c r="D77" s="652" t="s">
        <v>31</v>
      </c>
      <c r="E77" s="614" t="s">
        <v>9</v>
      </c>
      <c r="F77" s="653" t="s">
        <v>8</v>
      </c>
      <c r="G77" s="682">
        <v>0</v>
      </c>
      <c r="H77" s="614" t="s">
        <v>9</v>
      </c>
      <c r="I77" s="694">
        <v>0</v>
      </c>
      <c r="J77" s="695">
        <v>2</v>
      </c>
      <c r="K77" s="600"/>
      <c r="L77" s="600"/>
      <c r="M77" s="600"/>
      <c r="N77" s="599"/>
      <c r="O77" s="599"/>
      <c r="P77" s="599"/>
      <c r="Q77" s="599"/>
      <c r="R77" s="599"/>
      <c r="S77" s="599"/>
      <c r="T77" s="599"/>
      <c r="V77" s="352" t="s">
        <v>134</v>
      </c>
      <c r="W77" s="352" t="s">
        <v>203</v>
      </c>
      <c r="X77" s="352" t="str">
        <f t="shared" si="8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632">
        <v>62</v>
      </c>
      <c r="C78" s="633">
        <v>41829</v>
      </c>
      <c r="D78" s="658" t="s">
        <v>32</v>
      </c>
      <c r="E78" s="635" t="s">
        <v>9</v>
      </c>
      <c r="F78" s="659" t="s">
        <v>16</v>
      </c>
      <c r="G78" s="685">
        <v>1</v>
      </c>
      <c r="H78" s="635" t="s">
        <v>9</v>
      </c>
      <c r="I78" s="700">
        <v>1</v>
      </c>
      <c r="J78" s="701">
        <v>1</v>
      </c>
      <c r="K78" s="600"/>
      <c r="L78" s="600"/>
      <c r="M78" s="600"/>
      <c r="N78" s="599"/>
      <c r="O78" s="599"/>
      <c r="P78" s="599"/>
      <c r="Q78" s="599"/>
      <c r="R78" s="599"/>
      <c r="S78" s="599"/>
      <c r="T78" s="599"/>
      <c r="V78" s="352" t="s">
        <v>134</v>
      </c>
      <c r="W78" s="352" t="s">
        <v>199</v>
      </c>
      <c r="X78" s="352" t="str">
        <f t="shared" si="8"/>
        <v>Leroy Fer (m)</v>
      </c>
      <c r="Y78" s="109">
        <f>AF78</f>
        <v>5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5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5</v>
      </c>
    </row>
    <row r="79" spans="2:54" ht="15.75" thickBot="1">
      <c r="B79" s="600"/>
      <c r="C79" s="638"/>
      <c r="D79" s="639"/>
      <c r="E79" s="600"/>
      <c r="F79" s="639"/>
      <c r="G79" s="600"/>
      <c r="H79" s="600"/>
      <c r="I79" s="600"/>
      <c r="J79" s="600"/>
      <c r="K79" s="600"/>
      <c r="L79" s="600"/>
      <c r="M79" s="600"/>
      <c r="N79" s="599"/>
      <c r="O79" s="599"/>
      <c r="P79" s="599"/>
      <c r="Q79" s="599"/>
      <c r="R79" s="599"/>
      <c r="S79" s="599"/>
      <c r="T79" s="599"/>
      <c r="V79" s="352" t="s">
        <v>134</v>
      </c>
      <c r="W79" s="352" t="s">
        <v>114</v>
      </c>
      <c r="X79" s="352" t="str">
        <f t="shared" si="8"/>
        <v>Jordy Clasie (m)</v>
      </c>
    </row>
    <row r="80" spans="2:54">
      <c r="B80" s="907" t="s">
        <v>89</v>
      </c>
      <c r="C80" s="908"/>
      <c r="D80" s="908"/>
      <c r="E80" s="908"/>
      <c r="F80" s="908"/>
      <c r="G80" s="908"/>
      <c r="H80" s="908"/>
      <c r="I80" s="908"/>
      <c r="J80" s="674"/>
      <c r="K80" s="600"/>
      <c r="L80" s="600"/>
      <c r="M80" s="600"/>
      <c r="N80" s="599"/>
      <c r="O80" s="599"/>
      <c r="P80" s="599"/>
      <c r="Q80" s="599"/>
      <c r="R80" s="599"/>
      <c r="S80" s="599"/>
      <c r="T80" s="599"/>
      <c r="V80" s="352" t="s">
        <v>134</v>
      </c>
      <c r="W80" s="352" t="s">
        <v>117</v>
      </c>
      <c r="X80" s="352" t="str">
        <f t="shared" si="8"/>
        <v>Davy Klaassen (m)</v>
      </c>
      <c r="Y80" s="112" t="s">
        <v>99</v>
      </c>
    </row>
    <row r="81" spans="2:50">
      <c r="B81" s="675" t="s">
        <v>1</v>
      </c>
      <c r="C81" s="676" t="s">
        <v>2</v>
      </c>
      <c r="D81" s="677" t="s">
        <v>3</v>
      </c>
      <c r="E81" s="678"/>
      <c r="F81" s="679" t="s">
        <v>4</v>
      </c>
      <c r="G81" s="913" t="s">
        <v>5</v>
      </c>
      <c r="H81" s="914"/>
      <c r="I81" s="915"/>
      <c r="J81" s="680" t="s">
        <v>6</v>
      </c>
      <c r="K81" s="600"/>
      <c r="L81" s="600"/>
      <c r="M81" s="600"/>
      <c r="N81" s="599"/>
      <c r="O81" s="599"/>
      <c r="P81" s="599"/>
      <c r="Q81" s="599"/>
      <c r="R81" s="599"/>
      <c r="S81" s="599"/>
      <c r="T81" s="599"/>
      <c r="V81" s="352" t="s">
        <v>134</v>
      </c>
      <c r="W81" s="352" t="s">
        <v>120</v>
      </c>
      <c r="X81" s="352" t="str">
        <f t="shared" si="8"/>
        <v>Tonny Trindade de Vilhena (m)</v>
      </c>
      <c r="Y81" s="113" t="s">
        <v>91</v>
      </c>
    </row>
    <row r="82" spans="2:50" ht="15.75" thickBot="1">
      <c r="B82" s="601">
        <v>63</v>
      </c>
      <c r="C82" s="660">
        <v>41832</v>
      </c>
      <c r="D82" s="661" t="s">
        <v>31</v>
      </c>
      <c r="E82" s="602" t="s">
        <v>9</v>
      </c>
      <c r="F82" s="662" t="s">
        <v>16</v>
      </c>
      <c r="G82" s="702">
        <v>0</v>
      </c>
      <c r="H82" s="602" t="s">
        <v>9</v>
      </c>
      <c r="I82" s="703">
        <v>1</v>
      </c>
      <c r="J82" s="704">
        <v>2</v>
      </c>
      <c r="K82" s="600"/>
      <c r="L82" s="600"/>
      <c r="M82" s="600"/>
      <c r="N82" s="599"/>
      <c r="O82" s="599"/>
      <c r="P82" s="599"/>
      <c r="Q82" s="599"/>
      <c r="R82" s="599"/>
      <c r="S82" s="599"/>
      <c r="T82" s="599"/>
      <c r="V82" s="352" t="s">
        <v>134</v>
      </c>
      <c r="W82" s="352" t="s">
        <v>125</v>
      </c>
      <c r="X82" s="352" t="str">
        <f t="shared" si="8"/>
        <v>Georginio Wijnaldum (m)</v>
      </c>
      <c r="Y82" s="109">
        <f>AF82</f>
        <v>6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6</v>
      </c>
      <c r="AG82" s="108">
        <f>IF(AC82="",0,(IF(G82=AC82,1,0)))</f>
        <v>1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5</v>
      </c>
      <c r="AL82" s="108">
        <f>IF(AND(G82=I82,AC82=AD82),5,0)</f>
        <v>0</v>
      </c>
    </row>
    <row r="83" spans="2:50" ht="15.75" thickBot="1">
      <c r="B83" s="600"/>
      <c r="C83" s="638"/>
      <c r="D83" s="639"/>
      <c r="E83" s="600"/>
      <c r="F83" s="639"/>
      <c r="G83" s="600"/>
      <c r="H83" s="600"/>
      <c r="I83" s="600"/>
      <c r="J83" s="600"/>
      <c r="K83" s="600"/>
      <c r="L83" s="600"/>
      <c r="M83" s="600"/>
      <c r="N83" s="599"/>
      <c r="O83" s="599"/>
      <c r="P83" s="599"/>
      <c r="Q83" s="599"/>
      <c r="R83" s="599"/>
      <c r="S83" s="599"/>
      <c r="T83" s="599"/>
      <c r="V83" s="352" t="s">
        <v>134</v>
      </c>
      <c r="W83" s="352" t="s">
        <v>136</v>
      </c>
      <c r="X83" s="352" t="str">
        <f t="shared" si="8"/>
        <v>Rafael vd Vaart (m)</v>
      </c>
    </row>
    <row r="84" spans="2:50">
      <c r="B84" s="907" t="s">
        <v>90</v>
      </c>
      <c r="C84" s="908"/>
      <c r="D84" s="908"/>
      <c r="E84" s="908"/>
      <c r="F84" s="908"/>
      <c r="G84" s="908"/>
      <c r="H84" s="908"/>
      <c r="I84" s="908"/>
      <c r="J84" s="674"/>
      <c r="K84" s="600"/>
      <c r="L84" s="600"/>
      <c r="M84" s="600"/>
      <c r="N84" s="599"/>
      <c r="O84" s="599"/>
      <c r="P84" s="599"/>
      <c r="Q84" s="599"/>
      <c r="R84" s="599"/>
      <c r="S84" s="599"/>
      <c r="T84" s="599"/>
      <c r="V84" s="352" t="s">
        <v>134</v>
      </c>
      <c r="W84" s="352" t="s">
        <v>137</v>
      </c>
      <c r="X84" s="352" t="str">
        <f t="shared" si="8"/>
        <v>Wesley Sneijder (m)</v>
      </c>
      <c r="Y84" s="112" t="s">
        <v>99</v>
      </c>
    </row>
    <row r="85" spans="2:50">
      <c r="B85" s="675" t="s">
        <v>1</v>
      </c>
      <c r="C85" s="676" t="s">
        <v>2</v>
      </c>
      <c r="D85" s="677" t="s">
        <v>3</v>
      </c>
      <c r="E85" s="678"/>
      <c r="F85" s="679" t="s">
        <v>4</v>
      </c>
      <c r="G85" s="913" t="s">
        <v>5</v>
      </c>
      <c r="H85" s="914"/>
      <c r="I85" s="915"/>
      <c r="J85" s="680" t="s">
        <v>6</v>
      </c>
      <c r="K85" s="600"/>
      <c r="L85" s="600"/>
      <c r="M85" s="600"/>
      <c r="N85" s="599"/>
      <c r="O85" s="599"/>
      <c r="P85" s="599"/>
      <c r="Q85" s="599"/>
      <c r="R85" s="599"/>
      <c r="S85" s="599"/>
      <c r="T85" s="599"/>
      <c r="V85" s="352" t="s">
        <v>134</v>
      </c>
      <c r="W85" s="352" t="s">
        <v>138</v>
      </c>
      <c r="X85" s="352" t="str">
        <f t="shared" si="8"/>
        <v>Jonathan de Guzman (m)</v>
      </c>
      <c r="Y85" s="113" t="s">
        <v>91</v>
      </c>
    </row>
    <row r="86" spans="2:50" ht="15.75" thickBot="1">
      <c r="B86" s="601">
        <v>64</v>
      </c>
      <c r="C86" s="660">
        <v>41833</v>
      </c>
      <c r="D86" s="661" t="s">
        <v>8</v>
      </c>
      <c r="E86" s="602" t="s">
        <v>9</v>
      </c>
      <c r="F86" s="662" t="s">
        <v>32</v>
      </c>
      <c r="G86" s="702">
        <v>1</v>
      </c>
      <c r="H86" s="602" t="s">
        <v>9</v>
      </c>
      <c r="I86" s="703">
        <v>1</v>
      </c>
      <c r="J86" s="704">
        <v>1</v>
      </c>
      <c r="K86" s="600"/>
      <c r="L86" s="600"/>
      <c r="M86" s="600"/>
      <c r="N86" s="599"/>
      <c r="O86" s="599"/>
      <c r="P86" s="599"/>
      <c r="Q86" s="599"/>
      <c r="R86" s="599"/>
      <c r="S86" s="599"/>
      <c r="T86" s="599"/>
      <c r="V86" s="352" t="s">
        <v>134</v>
      </c>
      <c r="W86" s="352" t="s">
        <v>139</v>
      </c>
      <c r="X86" s="352" t="str">
        <f t="shared" si="8"/>
        <v>Nigel de Jong (m)</v>
      </c>
      <c r="Y86" s="109">
        <f>AF86</f>
        <v>5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5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5</v>
      </c>
    </row>
    <row r="87" spans="2:50">
      <c r="B87" s="353"/>
      <c r="C87" s="129"/>
      <c r="D87" s="392"/>
      <c r="E87" s="353"/>
      <c r="F87" s="392"/>
      <c r="G87" s="353"/>
      <c r="H87" s="353"/>
      <c r="I87" s="353"/>
      <c r="J87" s="353"/>
      <c r="K87" s="353"/>
      <c r="L87" s="353"/>
      <c r="M87" s="353"/>
      <c r="V87" s="352" t="s">
        <v>135</v>
      </c>
      <c r="W87" s="352" t="s">
        <v>205</v>
      </c>
      <c r="X87" s="352" t="str">
        <f t="shared" si="8"/>
        <v>Ricky van Wolfswinkel (a)</v>
      </c>
      <c r="AP87" s="136" t="s">
        <v>102</v>
      </c>
    </row>
    <row r="88" spans="2:50">
      <c r="B88" s="353"/>
      <c r="C88" s="129"/>
      <c r="D88" s="392"/>
      <c r="E88" s="353"/>
      <c r="F88" s="392"/>
      <c r="G88" s="353"/>
      <c r="H88" s="353"/>
      <c r="I88" s="353"/>
      <c r="J88" s="353"/>
      <c r="K88" s="353"/>
      <c r="L88" s="353"/>
      <c r="M88" s="353"/>
      <c r="V88" s="352" t="s">
        <v>135</v>
      </c>
      <c r="W88" s="352" t="s">
        <v>204</v>
      </c>
      <c r="X88" s="352" t="str">
        <f t="shared" si="8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458"/>
    </row>
    <row r="89" spans="2:50" ht="20.25">
      <c r="C89" s="874" t="s">
        <v>101</v>
      </c>
      <c r="D89" s="871"/>
      <c r="E89" s="873" t="str">
        <f>IF(J86=1,D86,IF(J86=2,F86,"Wie zal het worden?"))</f>
        <v>Brazilië</v>
      </c>
      <c r="F89" s="873"/>
      <c r="G89" s="873"/>
      <c r="H89" s="873"/>
      <c r="I89" s="873"/>
      <c r="J89" s="873"/>
      <c r="K89" s="353"/>
      <c r="L89" s="353"/>
      <c r="M89" s="353"/>
      <c r="V89" s="352" t="s">
        <v>135</v>
      </c>
      <c r="W89" s="352" t="s">
        <v>201</v>
      </c>
      <c r="X89" s="352" t="str">
        <f t="shared" si="8"/>
        <v>Jermain Lens (a)</v>
      </c>
      <c r="AP89" s="109">
        <f>AU89</f>
        <v>5</v>
      </c>
      <c r="AQ89" s="131">
        <v>1</v>
      </c>
      <c r="AR89" s="904" t="str">
        <f>Uitslag!E89</f>
        <v>Duitsland</v>
      </c>
      <c r="AS89" s="905"/>
      <c r="AT89" s="906"/>
      <c r="AU89" s="352">
        <f>SUM(AV89:AX89)</f>
        <v>5</v>
      </c>
      <c r="AV89" s="352">
        <f>IF(AR89=0,0,IF(E89=AR89,50,0))</f>
        <v>0</v>
      </c>
      <c r="AW89" s="352">
        <f>IF(E89=0,0,IF(OR(E89=AR90),15,0))</f>
        <v>0</v>
      </c>
      <c r="AX89" s="352">
        <f>IF(E89=0,0,IF(OR(E89=AR91,E89=AR92),5,0))</f>
        <v>5</v>
      </c>
    </row>
    <row r="90" spans="2:50">
      <c r="C90" s="870">
        <v>2</v>
      </c>
      <c r="D90" s="871"/>
      <c r="E90" s="872" t="str">
        <f>IF(J86=2,D86,IF(J86=1,F86,"Wie wordt 2de?"))</f>
        <v>Portugal</v>
      </c>
      <c r="F90" s="872"/>
      <c r="G90" s="872"/>
      <c r="H90" s="872"/>
      <c r="I90" s="872"/>
      <c r="J90" s="872"/>
      <c r="V90" s="352" t="s">
        <v>135</v>
      </c>
      <c r="W90" s="352" t="s">
        <v>200</v>
      </c>
      <c r="X90" s="352" t="str">
        <f t="shared" si="8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 s="352">
        <f>SUM(AV90:AX90)</f>
        <v>0</v>
      </c>
      <c r="AV90" s="352">
        <f>IF(AR90=0,0,IF(AR90=E90,25,0))</f>
        <v>0</v>
      </c>
      <c r="AW90" s="352">
        <f>IF(E90=0,0,IF(OR(E90=AR89,),15,0))</f>
        <v>0</v>
      </c>
      <c r="AX90" s="352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Australië</v>
      </c>
      <c r="F91" s="872"/>
      <c r="G91" s="872"/>
      <c r="H91" s="872"/>
      <c r="I91" s="872"/>
      <c r="J91" s="872"/>
      <c r="V91" s="352" t="s">
        <v>135</v>
      </c>
      <c r="W91" s="352" t="s">
        <v>128</v>
      </c>
      <c r="X91" s="352" t="str">
        <f t="shared" si="8"/>
        <v>Jürgen Locadia (a)</v>
      </c>
      <c r="AP91" s="109">
        <f>AU91</f>
        <v>0</v>
      </c>
      <c r="AQ91" s="131">
        <v>3</v>
      </c>
      <c r="AR91" s="904" t="str">
        <f>Uitslag!E91</f>
        <v>Nederland</v>
      </c>
      <c r="AS91" s="905"/>
      <c r="AT91" s="906"/>
      <c r="AU91" s="352">
        <f>SUM(AV91:AX91)</f>
        <v>0</v>
      </c>
      <c r="AV91" s="352">
        <f>IF(AR91=0,0,IF(AR91=E91,15,0))</f>
        <v>0</v>
      </c>
      <c r="AW91" s="352">
        <f>IF(E91=0,0,IF(OR(E91=AR92),10,0))</f>
        <v>0</v>
      </c>
      <c r="AX91" s="352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Duitsland</v>
      </c>
      <c r="F92" s="872"/>
      <c r="G92" s="872"/>
      <c r="H92" s="872"/>
      <c r="I92" s="872"/>
      <c r="J92" s="872"/>
      <c r="V92" s="352" t="s">
        <v>135</v>
      </c>
      <c r="W92" s="352" t="s">
        <v>127</v>
      </c>
      <c r="X92" s="352" t="str">
        <f t="shared" si="8"/>
        <v>Memphis Depay (a)</v>
      </c>
      <c r="AP92" s="109">
        <f>AU92</f>
        <v>5</v>
      </c>
      <c r="AQ92" s="131">
        <v>4</v>
      </c>
      <c r="AR92" s="904" t="str">
        <f>Uitslag!E92</f>
        <v>Brazilië</v>
      </c>
      <c r="AS92" s="905"/>
      <c r="AT92" s="906"/>
      <c r="AU92" s="352">
        <f>SUM(AV92:AX92)</f>
        <v>5</v>
      </c>
      <c r="AV92" s="352">
        <f>IF(AR92=0,0,IF(AR92=E92,15,0))</f>
        <v>0</v>
      </c>
      <c r="AW92" s="352">
        <f>IF(E92=0,0,IF(OR(E92=AR91,),10,0))</f>
        <v>0</v>
      </c>
      <c r="AX92" s="352">
        <f>IF(E92=0,0,IF(OR(E92=AR89,E92=AR90),5,0))</f>
        <v>5</v>
      </c>
    </row>
    <row r="93" spans="2:50" ht="15.75" thickBot="1">
      <c r="V93" s="352" t="s">
        <v>135</v>
      </c>
      <c r="W93" s="352" t="s">
        <v>123</v>
      </c>
      <c r="X93" s="352" t="str">
        <f t="shared" si="8"/>
        <v>Quincy Promes (a)</v>
      </c>
      <c r="AS93" s="132"/>
      <c r="AU93" s="133">
        <f>SUM(AU89:AU92)</f>
        <v>10</v>
      </c>
    </row>
    <row r="94" spans="2:50" ht="15.75" thickTop="1">
      <c r="V94" s="352" t="s">
        <v>135</v>
      </c>
      <c r="W94" s="352" t="s">
        <v>122</v>
      </c>
      <c r="X94" s="352" t="str">
        <f t="shared" si="8"/>
        <v>Luc Castaignos (a)</v>
      </c>
    </row>
    <row r="95" spans="2:50">
      <c r="V95" s="352" t="s">
        <v>135</v>
      </c>
      <c r="W95" s="352" t="s">
        <v>113</v>
      </c>
      <c r="X95" s="352" t="str">
        <f t="shared" si="8"/>
        <v>Jean-Paul Boëtius (a)</v>
      </c>
    </row>
    <row r="96" spans="2:50">
      <c r="V96" s="352" t="s">
        <v>135</v>
      </c>
      <c r="W96" s="352" t="s">
        <v>129</v>
      </c>
      <c r="X96" s="352" t="str">
        <f t="shared" si="8"/>
        <v>Luciano Narsingh (a)</v>
      </c>
    </row>
    <row r="97" spans="22:24">
      <c r="V97" s="352" t="s">
        <v>135</v>
      </c>
      <c r="W97" s="352" t="s">
        <v>130</v>
      </c>
      <c r="X97" s="352" t="str">
        <f t="shared" si="8"/>
        <v>Robin van Persie (a)</v>
      </c>
    </row>
    <row r="98" spans="22:24">
      <c r="V98" s="352" t="s">
        <v>135</v>
      </c>
      <c r="W98" s="352" t="s">
        <v>131</v>
      </c>
      <c r="X98" s="352" t="str">
        <f t="shared" si="8"/>
        <v>Arjen Robben (a)</v>
      </c>
    </row>
  </sheetData>
  <mergeCells count="36">
    <mergeCell ref="C92:D92"/>
    <mergeCell ref="E92:J92"/>
    <mergeCell ref="AR92:AT92"/>
    <mergeCell ref="P67:T67"/>
    <mergeCell ref="G85:I85"/>
    <mergeCell ref="B75:I75"/>
    <mergeCell ref="P68:T68"/>
    <mergeCell ref="B68:I68"/>
    <mergeCell ref="G81:I81"/>
    <mergeCell ref="G69:I69"/>
    <mergeCell ref="AR89:AT89"/>
    <mergeCell ref="C90:D90"/>
    <mergeCell ref="E90:J90"/>
    <mergeCell ref="AR90:AT90"/>
    <mergeCell ref="C91:D91"/>
    <mergeCell ref="E91:J91"/>
    <mergeCell ref="AR91:AT91"/>
    <mergeCell ref="B84:I84"/>
    <mergeCell ref="P65:T65"/>
    <mergeCell ref="P66:T66"/>
    <mergeCell ref="C89:D89"/>
    <mergeCell ref="E89:J89"/>
    <mergeCell ref="P62:T62"/>
    <mergeCell ref="B6:J6"/>
    <mergeCell ref="G7:I7"/>
    <mergeCell ref="G76:I76"/>
    <mergeCell ref="B80:I80"/>
    <mergeCell ref="O57:T57"/>
    <mergeCell ref="P58:T58"/>
    <mergeCell ref="P59:T59"/>
    <mergeCell ref="P60:T60"/>
    <mergeCell ref="P61:T61"/>
    <mergeCell ref="P63:T63"/>
    <mergeCell ref="P64:T64"/>
    <mergeCell ref="B57:I57"/>
    <mergeCell ref="G58:I58"/>
  </mergeCells>
  <conditionalFormatting sqref="AO9:AO12 AO15:AO18 AO21:AO24 AO27:AO30 AO33:AO36 AO39:AO42 AO45:AO48 AO51:AO54">
    <cfRule type="cellIs" dxfId="98" priority="3" operator="equal">
      <formula>10</formula>
    </cfRule>
  </conditionalFormatting>
  <conditionalFormatting sqref="P58:T58">
    <cfRule type="duplicateValues" dxfId="97" priority="2"/>
  </conditionalFormatting>
  <conditionalFormatting sqref="P58:T68">
    <cfRule type="duplicateValues" dxfId="96" priority="1"/>
  </conditionalFormatting>
  <dataValidations count="10">
    <dataValidation type="list" allowBlank="1" showInputMessage="1" showErrorMessage="1" sqref="P58:P68">
      <formula1>$X$58:$X$98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51:T54">
      <formula1>$W$51:$W$54</formula1>
    </dataValidation>
  </dataValidation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>
  <dimension ref="B1:BB98"/>
  <sheetViews>
    <sheetView topLeftCell="A37" zoomScale="70" zoomScaleNormal="70" workbookViewId="0">
      <selection activeCell="P58" sqref="P58:T68"/>
    </sheetView>
  </sheetViews>
  <sheetFormatPr defaultRowHeight="15" outlineLevelCol="2"/>
  <cols>
    <col min="1" max="1" width="3.42578125" style="352" customWidth="1"/>
    <col min="2" max="2" width="3.5703125" style="352" bestFit="1" customWidth="1"/>
    <col min="3" max="3" width="11.5703125" style="123" bestFit="1" customWidth="1"/>
    <col min="4" max="4" width="19.7109375" style="352" bestFit="1" customWidth="1"/>
    <col min="5" max="5" width="3.42578125" style="352" customWidth="1"/>
    <col min="6" max="6" width="19.7109375" style="352" bestFit="1" customWidth="1"/>
    <col min="7" max="7" width="6.7109375" style="352" customWidth="1"/>
    <col min="8" max="8" width="1.5703125" style="352" bestFit="1" customWidth="1"/>
    <col min="9" max="9" width="6.7109375" style="352" customWidth="1"/>
    <col min="10" max="10" width="6.85546875" style="352" bestFit="1" customWidth="1"/>
    <col min="11" max="13" width="9.140625" style="352" hidden="1" customWidth="1" outlineLevel="1"/>
    <col min="14" max="14" width="11.42578125" style="352" bestFit="1" customWidth="1" collapsed="1"/>
    <col min="15" max="15" width="14.7109375" style="352" bestFit="1" customWidth="1"/>
    <col min="16" max="16" width="12.28515625" style="352" bestFit="1" customWidth="1"/>
    <col min="17" max="17" width="8.140625" style="352" bestFit="1" customWidth="1"/>
    <col min="18" max="18" width="7.7109375" style="352" bestFit="1" customWidth="1"/>
    <col min="19" max="19" width="9.140625" style="352"/>
    <col min="20" max="20" width="8.5703125" style="352" bestFit="1" customWidth="1"/>
    <col min="21" max="21" width="9.140625" style="352"/>
    <col min="22" max="23" width="9.140625" style="352" hidden="1" customWidth="1" outlineLevel="1"/>
    <col min="24" max="24" width="2" style="352" hidden="1" customWidth="1" outlineLevel="1"/>
    <col min="25" max="25" width="12.28515625" style="352" bestFit="1" customWidth="1" collapsed="1"/>
    <col min="26" max="27" width="12.28515625" style="352" hidden="1" customWidth="1" outlineLevel="1"/>
    <col min="28" max="28" width="4.7109375" style="352" hidden="1" customWidth="1" outlineLevel="1"/>
    <col min="29" max="38" width="9.140625" style="352" hidden="1" customWidth="1" outlineLevel="1"/>
    <col min="39" max="39" width="7.42578125" style="352" bestFit="1" customWidth="1" collapsed="1"/>
    <col min="40" max="40" width="19.7109375" style="352" hidden="1" customWidth="1" outlineLevel="1"/>
    <col min="41" max="41" width="9.140625" style="352" hidden="1" customWidth="1" outlineLevel="1"/>
    <col min="42" max="42" width="9.140625" style="352" collapsed="1"/>
    <col min="43" max="49" width="9.140625" style="352" hidden="1" customWidth="1" outlineLevel="2"/>
    <col min="50" max="50" width="11.5703125" style="352" hidden="1" customWidth="1" outlineLevel="2"/>
    <col min="51" max="51" width="11.85546875" style="352" hidden="1" customWidth="1" outlineLevel="1" collapsed="1"/>
    <col min="52" max="52" width="9.42578125" style="352" hidden="1" customWidth="1" outlineLevel="1"/>
    <col min="53" max="53" width="10.5703125" style="352" hidden="1" customWidth="1" outlineLevel="1"/>
    <col min="54" max="54" width="9.140625" style="352" collapsed="1"/>
    <col min="55" max="55" width="11.85546875" style="352" bestFit="1" customWidth="1"/>
    <col min="56" max="16384" width="9.140625" style="352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288</v>
      </c>
      <c r="E3" s="335"/>
      <c r="F3" s="335"/>
      <c r="N3" s="352" t="str">
        <f>D3</f>
        <v>Marcel H. (introducee Marjan)</v>
      </c>
      <c r="O3" s="144">
        <f>SUM(P3:S3)</f>
        <v>386</v>
      </c>
      <c r="P3" s="109">
        <f>SUM(Y8:Y86)</f>
        <v>179</v>
      </c>
      <c r="Q3" s="109">
        <f>SUM(AM4:AM55)</f>
        <v>120</v>
      </c>
      <c r="R3" s="109">
        <f>SUM(AP89:AP92)</f>
        <v>60</v>
      </c>
      <c r="S3" s="109">
        <f>SUM(BB58:BB69)</f>
        <v>27</v>
      </c>
      <c r="T3" s="109">
        <f>COUNTIF(AF8:AF86,10)</f>
        <v>4</v>
      </c>
      <c r="U3" s="109" t="str">
        <f>E89</f>
        <v>Duitsland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O6" s="392"/>
      <c r="P6" s="393"/>
      <c r="Q6" s="393"/>
      <c r="R6" s="393"/>
      <c r="S6" s="393"/>
      <c r="T6" s="393"/>
      <c r="U6" s="392"/>
      <c r="V6" s="392"/>
      <c r="W6" s="392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80" t="s">
        <v>3</v>
      </c>
      <c r="E7" s="419"/>
      <c r="F7" s="481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O7" s="353"/>
      <c r="P7" s="393"/>
      <c r="Q7" s="393"/>
      <c r="R7" s="393"/>
      <c r="S7" s="393"/>
      <c r="T7" s="393"/>
      <c r="U7" s="353"/>
      <c r="V7" s="353"/>
      <c r="W7" s="353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458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3</v>
      </c>
      <c r="H8" s="360" t="s">
        <v>9</v>
      </c>
      <c r="I8" s="478">
        <v>1</v>
      </c>
      <c r="J8" s="362">
        <f>IF(I8="","",IF(G8&gt;I8,1,IF(G8&lt;I8,2,3)))</f>
        <v>1</v>
      </c>
      <c r="K8" s="363">
        <f>IF(I8="","",IF($G8&gt;$I8,3,IF($G8=$I8,1,0)))</f>
        <v>3</v>
      </c>
      <c r="L8" s="363">
        <f>IF(I8="","",IF($G8&lt;$I8,3,IF($G8=$I8,1,0)))</f>
        <v>0</v>
      </c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392"/>
      <c r="V8" s="392"/>
      <c r="W8" s="392"/>
      <c r="Y8" s="109">
        <f>AF8</f>
        <v>10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10</v>
      </c>
      <c r="AG8" s="108">
        <f t="shared" ref="AG8:AG55" si="0">IF(AC8="",0,(IF(G8=AC8,1,0)))</f>
        <v>1</v>
      </c>
      <c r="AH8" s="108">
        <f t="shared" ref="AH8:AH55" si="1">IF(AD8="",0,(IF(I8=AD8,1,0)))</f>
        <v>1</v>
      </c>
      <c r="AI8" s="108">
        <f>IF(AND(AG8=1,AH8=1),10,0)</f>
        <v>10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0</v>
      </c>
      <c r="H9" s="367" t="s">
        <v>9</v>
      </c>
      <c r="I9" s="440">
        <v>1</v>
      </c>
      <c r="J9" s="369">
        <f t="shared" ref="J9:J55" si="5">IF(I9="","",IF(G9&gt;I9,1,IF(G9&lt;I9,2,3)))</f>
        <v>2</v>
      </c>
      <c r="K9" s="363">
        <f t="shared" ref="K9:K55" si="6">IF(I9="","",IF($G9&gt;$I9,3,IF($G9=$I9,1,0)))</f>
        <v>0</v>
      </c>
      <c r="L9" s="363">
        <f t="shared" ref="L9:L55" si="7">IF(I9="","",IF($G9&lt;$I9,3,IF($G9=$I9,1,0)))</f>
        <v>3</v>
      </c>
      <c r="O9" s="394" t="s">
        <v>8</v>
      </c>
      <c r="P9" s="395">
        <f>SUMIF($D$8:$D$55,$O9,$G$8:$G$55)+SUMIF($F$8:$F$55,$O9,$I$8:$I$55)</f>
        <v>9</v>
      </c>
      <c r="Q9" s="395">
        <f>SUMIF($D$8:$D$55,$O9,$I$8:$I$55)+SUMIF($F$8:$F$55,$O9,$G$8:$G$55)</f>
        <v>3</v>
      </c>
      <c r="R9" s="396">
        <f>P9-Q9</f>
        <v>6</v>
      </c>
      <c r="S9" s="397">
        <f>SUMIF($D$8:$D$55,$O9,$K$8:$K$55)+SUMIF($F$8:$F$55,$O9,$L$8:$L$55)</f>
        <v>9</v>
      </c>
      <c r="T9" s="444" t="s">
        <v>48</v>
      </c>
      <c r="U9" s="392"/>
      <c r="V9" s="392" t="str">
        <f>O9</f>
        <v>Brazilië</v>
      </c>
      <c r="W9" s="392" t="s">
        <v>48</v>
      </c>
      <c r="Y9" s="109">
        <f t="shared" ref="Y9:Y55" si="8">AF9</f>
        <v>0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0</v>
      </c>
      <c r="AG9" s="108">
        <f t="shared" si="0"/>
        <v>0</v>
      </c>
      <c r="AH9" s="108">
        <f t="shared" si="1"/>
        <v>0</v>
      </c>
      <c r="AI9" s="108">
        <f t="shared" ref="AI9:AI55" si="10">IF(AND(AG9=1,AH9=1),10,0)</f>
        <v>0</v>
      </c>
      <c r="AJ9" s="108">
        <f t="shared" si="2"/>
        <v>0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1</v>
      </c>
      <c r="H10" s="373" t="s">
        <v>9</v>
      </c>
      <c r="I10" s="441">
        <v>2</v>
      </c>
      <c r="J10" s="375">
        <f t="shared" si="5"/>
        <v>2</v>
      </c>
      <c r="K10" s="363">
        <f t="shared" si="6"/>
        <v>0</v>
      </c>
      <c r="L10" s="363">
        <f t="shared" si="7"/>
        <v>3</v>
      </c>
      <c r="O10" s="398" t="s">
        <v>10</v>
      </c>
      <c r="P10" s="399">
        <f>SUMIF($D$8:$D$55,$O10,$G$8:$G$55)+SUMIF($F$8:$F$55,$O10,$I$8:$I$55)</f>
        <v>5</v>
      </c>
      <c r="Q10" s="399">
        <f>SUMIF($D$8:$D$55,$O10,$I$8:$I$55)+SUMIF($F$8:$F$55,$O10,$G$8:$G$55)</f>
        <v>4</v>
      </c>
      <c r="R10" s="399">
        <f>P10-Q10</f>
        <v>1</v>
      </c>
      <c r="S10" s="400">
        <f>SUMIF($D$8:$D$55,$O10,$K$8:$K$55)+SUMIF($F$8:$F$55,$O10,$L$8:$L$55)</f>
        <v>6</v>
      </c>
      <c r="T10" s="445" t="s">
        <v>49</v>
      </c>
      <c r="U10" s="392"/>
      <c r="V10" s="392" t="str">
        <f>O10</f>
        <v>Kroatië</v>
      </c>
      <c r="W10" s="392" t="s">
        <v>49</v>
      </c>
      <c r="Y10" s="109">
        <f t="shared" si="8"/>
        <v>6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6</v>
      </c>
      <c r="AG10" s="108">
        <f t="shared" si="0"/>
        <v>1</v>
      </c>
      <c r="AH10" s="108">
        <f t="shared" si="1"/>
        <v>0</v>
      </c>
      <c r="AI10" s="108">
        <f t="shared" si="10"/>
        <v>0</v>
      </c>
      <c r="AJ10" s="108">
        <f t="shared" si="2"/>
        <v>0</v>
      </c>
      <c r="AK10" s="108">
        <f t="shared" si="3"/>
        <v>5</v>
      </c>
      <c r="AL10" s="108">
        <f t="shared" si="4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0</v>
      </c>
      <c r="H11" s="379" t="s">
        <v>9</v>
      </c>
      <c r="I11" s="442">
        <v>2</v>
      </c>
      <c r="J11" s="381">
        <f t="shared" si="5"/>
        <v>2</v>
      </c>
      <c r="K11" s="363">
        <f t="shared" si="6"/>
        <v>0</v>
      </c>
      <c r="L11" s="363">
        <f t="shared" si="7"/>
        <v>3</v>
      </c>
      <c r="O11" s="398" t="s">
        <v>11</v>
      </c>
      <c r="P11" s="399">
        <f>SUMIF($D$8:$D$55,$O11,$G$8:$G$55)+SUMIF($F$8:$F$55,$O11,$I$8:$I$55)</f>
        <v>1</v>
      </c>
      <c r="Q11" s="399">
        <f>SUMIF($D$8:$D$55,$O11,$I$8:$I$55)+SUMIF($F$8:$F$55,$O11,$G$8:$G$55)</f>
        <v>6</v>
      </c>
      <c r="R11" s="399">
        <f>P11-Q11</f>
        <v>-5</v>
      </c>
      <c r="S11" s="400">
        <f>SUMIF($D$8:$D$55,$O11,$K$8:$K$55)+SUMIF($F$8:$F$55,$O11,$L$8:$L$55)</f>
        <v>0</v>
      </c>
      <c r="T11" s="445" t="s">
        <v>50</v>
      </c>
      <c r="U11" s="392"/>
      <c r="V11" s="392" t="str">
        <f>O11</f>
        <v>Mexico</v>
      </c>
      <c r="W11" s="392" t="s">
        <v>47</v>
      </c>
      <c r="Y11" s="109">
        <f t="shared" si="8"/>
        <v>0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0</v>
      </c>
      <c r="AG11" s="108">
        <f t="shared" si="0"/>
        <v>0</v>
      </c>
      <c r="AH11" s="108">
        <f t="shared" si="1"/>
        <v>0</v>
      </c>
      <c r="AI11" s="108">
        <f t="shared" si="10"/>
        <v>0</v>
      </c>
      <c r="AJ11" s="108">
        <f t="shared" si="2"/>
        <v>0</v>
      </c>
      <c r="AK11" s="108">
        <f t="shared" si="3"/>
        <v>0</v>
      </c>
      <c r="AL11" s="108">
        <f t="shared" si="4"/>
        <v>0</v>
      </c>
      <c r="AM11" s="120">
        <f>AO11</f>
        <v>0</v>
      </c>
      <c r="AN11" s="117" t="s">
        <v>11</v>
      </c>
      <c r="AO11" s="115">
        <f>IF(Uitslag!T11="",0,IF(T11=Uitslag!T11,10,0))</f>
        <v>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0</v>
      </c>
      <c r="H12" s="367" t="s">
        <v>9</v>
      </c>
      <c r="I12" s="440">
        <v>1</v>
      </c>
      <c r="J12" s="369">
        <f t="shared" si="5"/>
        <v>2</v>
      </c>
      <c r="K12" s="363">
        <f t="shared" si="6"/>
        <v>0</v>
      </c>
      <c r="L12" s="363">
        <f t="shared" si="7"/>
        <v>3</v>
      </c>
      <c r="O12" s="401" t="s">
        <v>12</v>
      </c>
      <c r="P12" s="402">
        <f>SUMIF($D$8:$D$55,$O12,$G$8:$G$55)+SUMIF($F$8:$F$55,$O12,$I$8:$I$55)</f>
        <v>3</v>
      </c>
      <c r="Q12" s="402">
        <f>SUMIF($D$8:$D$55,$O12,$I$8:$I$55)+SUMIF($F$8:$F$55,$O12,$G$8:$G$55)</f>
        <v>5</v>
      </c>
      <c r="R12" s="402">
        <f>P12-Q12</f>
        <v>-2</v>
      </c>
      <c r="S12" s="403">
        <f>SUMIF($D$8:$D$55,$O12,$K$8:$K$55)+SUMIF($F$8:$F$55,$O12,$L$8:$L$55)</f>
        <v>3</v>
      </c>
      <c r="T12" s="446" t="s">
        <v>47</v>
      </c>
      <c r="U12" s="392"/>
      <c r="V12" s="392" t="str">
        <f>O12</f>
        <v>Kameroen</v>
      </c>
      <c r="W12" s="392" t="s">
        <v>50</v>
      </c>
      <c r="Y12" s="109">
        <f t="shared" si="8"/>
        <v>0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0</v>
      </c>
      <c r="AG12" s="108">
        <f t="shared" si="0"/>
        <v>0</v>
      </c>
      <c r="AH12" s="108">
        <f t="shared" si="1"/>
        <v>0</v>
      </c>
      <c r="AI12" s="108">
        <f t="shared" si="10"/>
        <v>0</v>
      </c>
      <c r="AJ12" s="108">
        <f t="shared" si="2"/>
        <v>0</v>
      </c>
      <c r="AK12" s="108">
        <f t="shared" si="3"/>
        <v>0</v>
      </c>
      <c r="AL12" s="108">
        <f t="shared" si="4"/>
        <v>0</v>
      </c>
      <c r="AM12" s="120">
        <f>AO12</f>
        <v>0</v>
      </c>
      <c r="AN12" s="118" t="s">
        <v>12</v>
      </c>
      <c r="AO12" s="115">
        <f>IF(Uitslag!T12="",0,IF(T12=Uitslag!T12,10,0))</f>
        <v>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2</v>
      </c>
      <c r="H13" s="373" t="s">
        <v>9</v>
      </c>
      <c r="I13" s="441">
        <v>0</v>
      </c>
      <c r="J13" s="375">
        <f t="shared" si="5"/>
        <v>1</v>
      </c>
      <c r="K13" s="363">
        <f t="shared" si="6"/>
        <v>3</v>
      </c>
      <c r="L13" s="363">
        <f t="shared" si="7"/>
        <v>0</v>
      </c>
      <c r="O13" s="392"/>
      <c r="P13" s="393"/>
      <c r="Q13" s="393"/>
      <c r="R13" s="393"/>
      <c r="S13" s="393"/>
      <c r="T13" s="393"/>
      <c r="U13" s="392"/>
      <c r="V13" s="392"/>
      <c r="W13" s="392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0"/>
        <v>0</v>
      </c>
      <c r="AH13" s="108">
        <f t="shared" si="1"/>
        <v>0</v>
      </c>
      <c r="AI13" s="108">
        <f t="shared" si="10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392"/>
      <c r="AO13" s="393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1</v>
      </c>
      <c r="H14" s="373" t="s">
        <v>9</v>
      </c>
      <c r="I14" s="441">
        <v>3</v>
      </c>
      <c r="J14" s="375">
        <f t="shared" si="5"/>
        <v>2</v>
      </c>
      <c r="K14" s="363">
        <f t="shared" si="6"/>
        <v>0</v>
      </c>
      <c r="L14" s="363">
        <f t="shared" si="7"/>
        <v>3</v>
      </c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392"/>
      <c r="V14" s="392"/>
      <c r="W14" s="392"/>
      <c r="Y14" s="109">
        <f t="shared" si="8"/>
        <v>6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6</v>
      </c>
      <c r="AG14" s="108">
        <f t="shared" si="0"/>
        <v>1</v>
      </c>
      <c r="AH14" s="108">
        <f t="shared" si="1"/>
        <v>0</v>
      </c>
      <c r="AI14" s="108">
        <f t="shared" si="10"/>
        <v>0</v>
      </c>
      <c r="AJ14" s="108">
        <f t="shared" si="2"/>
        <v>0</v>
      </c>
      <c r="AK14" s="108">
        <f t="shared" si="3"/>
        <v>5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2</v>
      </c>
      <c r="H15" s="379" t="s">
        <v>9</v>
      </c>
      <c r="I15" s="442">
        <v>1</v>
      </c>
      <c r="J15" s="381">
        <f t="shared" si="5"/>
        <v>1</v>
      </c>
      <c r="K15" s="363">
        <f t="shared" si="6"/>
        <v>3</v>
      </c>
      <c r="L15" s="363">
        <f t="shared" si="7"/>
        <v>0</v>
      </c>
      <c r="O15" s="394" t="s">
        <v>13</v>
      </c>
      <c r="P15" s="395">
        <f>SUMIF($D$8:$D$55,$O15,$G$8:$G$55)+SUMIF($F$8:$F$55,$O15,$I$8:$I$55)</f>
        <v>7</v>
      </c>
      <c r="Q15" s="395">
        <f>SUMIF($D$8:$D$55,$O15,$I$8:$I$55)+SUMIF($F$8:$F$55,$O15,$G$8:$G$55)</f>
        <v>3</v>
      </c>
      <c r="R15" s="396">
        <f>P15-Q15</f>
        <v>4</v>
      </c>
      <c r="S15" s="397">
        <f>SUMIF($D$8:$D$55,$O15,$K$8:$K$55)+SUMIF($F$8:$F$55,$O15,$L$8:$L$55)</f>
        <v>6</v>
      </c>
      <c r="T15" s="444" t="s">
        <v>53</v>
      </c>
      <c r="U15" s="392"/>
      <c r="V15" s="392" t="str">
        <f>O15</f>
        <v>Spanje</v>
      </c>
      <c r="W15" s="392" t="s">
        <v>52</v>
      </c>
      <c r="Y15" s="109">
        <f t="shared" si="8"/>
        <v>10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10</v>
      </c>
      <c r="AG15" s="108">
        <f t="shared" si="0"/>
        <v>1</v>
      </c>
      <c r="AH15" s="108">
        <f t="shared" si="1"/>
        <v>1</v>
      </c>
      <c r="AI15" s="108">
        <f t="shared" si="10"/>
        <v>10</v>
      </c>
      <c r="AJ15" s="108">
        <f t="shared" si="2"/>
        <v>5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2</v>
      </c>
      <c r="H16" s="367" t="s">
        <v>9</v>
      </c>
      <c r="I16" s="440">
        <v>0</v>
      </c>
      <c r="J16" s="369">
        <f t="shared" si="5"/>
        <v>1</v>
      </c>
      <c r="K16" s="363">
        <f t="shared" si="6"/>
        <v>3</v>
      </c>
      <c r="L16" s="363">
        <f t="shared" si="7"/>
        <v>0</v>
      </c>
      <c r="O16" s="404" t="s">
        <v>14</v>
      </c>
      <c r="P16" s="399">
        <f>SUMIF($D$8:$D$55,$O16,$G$8:$G$55)+SUMIF($F$8:$F$55,$O16,$I$8:$I$55)</f>
        <v>9</v>
      </c>
      <c r="Q16" s="399">
        <f>SUMIF($D$8:$D$55,$O16,$I$8:$I$55)+SUMIF($F$8:$F$55,$O16,$G$8:$G$55)</f>
        <v>3</v>
      </c>
      <c r="R16" s="399">
        <f>P16-Q16</f>
        <v>6</v>
      </c>
      <c r="S16" s="400">
        <f>SUMIF($D$8:$D$55,$O16,$K$8:$K$55)+SUMIF($F$8:$F$55,$O16,$L$8:$L$55)</f>
        <v>9</v>
      </c>
      <c r="T16" s="445" t="s">
        <v>52</v>
      </c>
      <c r="U16" s="392"/>
      <c r="V16" s="392" t="str">
        <f>O16</f>
        <v>Nederland</v>
      </c>
      <c r="W16" s="392" t="s">
        <v>53</v>
      </c>
      <c r="Y16" s="109">
        <f t="shared" si="8"/>
        <v>6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6</v>
      </c>
      <c r="AG16" s="108">
        <f t="shared" si="0"/>
        <v>1</v>
      </c>
      <c r="AH16" s="108">
        <f t="shared" si="1"/>
        <v>0</v>
      </c>
      <c r="AI16" s="108">
        <f t="shared" si="10"/>
        <v>0</v>
      </c>
      <c r="AJ16" s="108">
        <f t="shared" si="2"/>
        <v>5</v>
      </c>
      <c r="AK16" s="108">
        <f t="shared" si="3"/>
        <v>0</v>
      </c>
      <c r="AL16" s="108">
        <f t="shared" si="4"/>
        <v>0</v>
      </c>
      <c r="AM16" s="120">
        <f>AO16</f>
        <v>10</v>
      </c>
      <c r="AN16" s="119" t="s">
        <v>14</v>
      </c>
      <c r="AO16" s="115">
        <f>IF(Uitslag!T16="",0,IF(T16=Uitslag!T16,10,0))</f>
        <v>10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3</v>
      </c>
      <c r="H17" s="373" t="s">
        <v>9</v>
      </c>
      <c r="I17" s="441">
        <v>0</v>
      </c>
      <c r="J17" s="375">
        <f t="shared" si="5"/>
        <v>1</v>
      </c>
      <c r="K17" s="363">
        <f t="shared" si="6"/>
        <v>3</v>
      </c>
      <c r="L17" s="363">
        <f t="shared" si="7"/>
        <v>0</v>
      </c>
      <c r="O17" s="398" t="s">
        <v>15</v>
      </c>
      <c r="P17" s="399">
        <f>SUMIF($D$8:$D$55,$O17,$G$8:$G$55)+SUMIF($F$8:$F$55,$O17,$I$8:$I$55)</f>
        <v>1</v>
      </c>
      <c r="Q17" s="399">
        <f>SUMIF($D$8:$D$55,$O17,$I$8:$I$55)+SUMIF($F$8:$F$55,$O17,$G$8:$G$55)</f>
        <v>9</v>
      </c>
      <c r="R17" s="399">
        <f>P17-Q17</f>
        <v>-8</v>
      </c>
      <c r="S17" s="400">
        <f>SUMIF($D$8:$D$55,$O17,$K$8:$K$55)+SUMIF($F$8:$F$55,$O17,$L$8:$L$55)</f>
        <v>0</v>
      </c>
      <c r="T17" s="445" t="s">
        <v>55</v>
      </c>
      <c r="U17" s="392"/>
      <c r="V17" s="392" t="str">
        <f>O17</f>
        <v>Chili</v>
      </c>
      <c r="W17" s="392" t="s">
        <v>54</v>
      </c>
      <c r="Y17" s="109">
        <f t="shared" si="8"/>
        <v>10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10</v>
      </c>
      <c r="AG17" s="108">
        <f t="shared" si="0"/>
        <v>1</v>
      </c>
      <c r="AH17" s="108">
        <f t="shared" si="1"/>
        <v>1</v>
      </c>
      <c r="AI17" s="108">
        <f t="shared" si="10"/>
        <v>10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2</v>
      </c>
      <c r="H18" s="379" t="s">
        <v>9</v>
      </c>
      <c r="I18" s="442">
        <v>1</v>
      </c>
      <c r="J18" s="381">
        <f t="shared" si="5"/>
        <v>1</v>
      </c>
      <c r="K18" s="363">
        <f t="shared" si="6"/>
        <v>3</v>
      </c>
      <c r="L18" s="363">
        <f t="shared" si="7"/>
        <v>0</v>
      </c>
      <c r="O18" s="401" t="s">
        <v>16</v>
      </c>
      <c r="P18" s="402">
        <f>SUMIF($D$8:$D$55,$O18,$G$8:$G$55)+SUMIF($F$8:$F$55,$O18,$I$8:$I$55)</f>
        <v>4</v>
      </c>
      <c r="Q18" s="402">
        <f>SUMIF($D$8:$D$55,$O18,$I$8:$I$55)+SUMIF($F$8:$F$55,$O18,$G$8:$G$55)</f>
        <v>6</v>
      </c>
      <c r="R18" s="402">
        <f>P18-Q18</f>
        <v>-2</v>
      </c>
      <c r="S18" s="403">
        <f>SUMIF($D$8:$D$55,$O18,$K$8:$K$55)+SUMIF($F$8:$F$55,$O18,$L$8:$L$55)</f>
        <v>3</v>
      </c>
      <c r="T18" s="446" t="s">
        <v>54</v>
      </c>
      <c r="U18" s="392"/>
      <c r="V18" s="392" t="str">
        <f>O18</f>
        <v>Australië</v>
      </c>
      <c r="W18" s="392" t="s">
        <v>55</v>
      </c>
      <c r="Y18" s="109">
        <f t="shared" si="8"/>
        <v>10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10</v>
      </c>
      <c r="AG18" s="108">
        <f t="shared" si="0"/>
        <v>1</v>
      </c>
      <c r="AH18" s="108">
        <f t="shared" si="1"/>
        <v>1</v>
      </c>
      <c r="AI18" s="108">
        <f t="shared" si="10"/>
        <v>10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0</v>
      </c>
      <c r="AN18" s="118" t="s">
        <v>16</v>
      </c>
      <c r="AO18" s="115">
        <f>IF(Uitslag!T18="",0,IF(T18=Uitslag!T18,10,0))</f>
        <v>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3</v>
      </c>
      <c r="H19" s="367" t="s">
        <v>9</v>
      </c>
      <c r="I19" s="440">
        <v>1</v>
      </c>
      <c r="J19" s="369">
        <f t="shared" si="5"/>
        <v>1</v>
      </c>
      <c r="K19" s="363">
        <f t="shared" si="6"/>
        <v>3</v>
      </c>
      <c r="L19" s="363">
        <f t="shared" si="7"/>
        <v>0</v>
      </c>
      <c r="O19" s="392"/>
      <c r="P19" s="393"/>
      <c r="Q19" s="393"/>
      <c r="R19" s="393"/>
      <c r="S19" s="393"/>
      <c r="T19" s="393"/>
      <c r="U19" s="392"/>
      <c r="V19" s="392"/>
      <c r="W19" s="392"/>
      <c r="Y19" s="109">
        <f t="shared" si="8"/>
        <v>5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5</v>
      </c>
      <c r="AG19" s="108">
        <f t="shared" si="0"/>
        <v>0</v>
      </c>
      <c r="AH19" s="108">
        <f t="shared" si="1"/>
        <v>0</v>
      </c>
      <c r="AI19" s="108">
        <f t="shared" si="10"/>
        <v>0</v>
      </c>
      <c r="AJ19" s="108">
        <f t="shared" si="2"/>
        <v>5</v>
      </c>
      <c r="AK19" s="108">
        <f t="shared" si="3"/>
        <v>0</v>
      </c>
      <c r="AL19" s="108">
        <f t="shared" si="4"/>
        <v>0</v>
      </c>
      <c r="AN19" s="392"/>
      <c r="AO19" s="393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0</v>
      </c>
      <c r="H20" s="373" t="s">
        <v>9</v>
      </c>
      <c r="I20" s="441">
        <v>2</v>
      </c>
      <c r="J20" s="375">
        <f t="shared" si="5"/>
        <v>2</v>
      </c>
      <c r="K20" s="363">
        <f t="shared" si="6"/>
        <v>0</v>
      </c>
      <c r="L20" s="363">
        <f t="shared" si="7"/>
        <v>3</v>
      </c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392"/>
      <c r="V20" s="392"/>
      <c r="W20" s="392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0"/>
        <v>1</v>
      </c>
      <c r="AH20" s="108">
        <f t="shared" si="1"/>
        <v>0</v>
      </c>
      <c r="AI20" s="108">
        <f t="shared" si="10"/>
        <v>0</v>
      </c>
      <c r="AJ20" s="108">
        <f t="shared" si="2"/>
        <v>0</v>
      </c>
      <c r="AK20" s="108">
        <f t="shared" si="3"/>
        <v>0</v>
      </c>
      <c r="AL20" s="108">
        <f t="shared" si="4"/>
        <v>0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0</v>
      </c>
      <c r="H21" s="379" t="s">
        <v>9</v>
      </c>
      <c r="I21" s="442">
        <v>1</v>
      </c>
      <c r="J21" s="381">
        <f t="shared" si="5"/>
        <v>2</v>
      </c>
      <c r="K21" s="363">
        <f t="shared" si="6"/>
        <v>0</v>
      </c>
      <c r="L21" s="363">
        <f t="shared" si="7"/>
        <v>3</v>
      </c>
      <c r="O21" s="394" t="s">
        <v>17</v>
      </c>
      <c r="P21" s="395">
        <f>SUMIF($D$8:$D$55,$O21,$G$8:$G$55)+SUMIF($F$8:$F$55,$O21,$I$8:$I$55)</f>
        <v>1</v>
      </c>
      <c r="Q21" s="395">
        <f>SUMIF($D$8:$D$55,$O21,$I$8:$I$55)+SUMIF($F$8:$F$55,$O21,$G$8:$G$55)</f>
        <v>4</v>
      </c>
      <c r="R21" s="396">
        <f>P21-Q21</f>
        <v>-3</v>
      </c>
      <c r="S21" s="397">
        <f>SUMIF($D$8:$D$55,$O21,$K$8:$K$55)+SUMIF($F$8:$F$55,$O21,$L$8:$L$55)</f>
        <v>1</v>
      </c>
      <c r="T21" s="444" t="s">
        <v>60</v>
      </c>
      <c r="U21" s="392"/>
      <c r="V21" s="392" t="str">
        <f>O21</f>
        <v>Colombia</v>
      </c>
      <c r="W21" s="392" t="s">
        <v>57</v>
      </c>
      <c r="Y21" s="109">
        <f t="shared" si="8"/>
        <v>5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5</v>
      </c>
      <c r="AG21" s="108">
        <f t="shared" si="0"/>
        <v>0</v>
      </c>
      <c r="AH21" s="108">
        <f t="shared" si="1"/>
        <v>0</v>
      </c>
      <c r="AI21" s="108">
        <f t="shared" si="10"/>
        <v>0</v>
      </c>
      <c r="AJ21" s="108">
        <f t="shared" si="2"/>
        <v>0</v>
      </c>
      <c r="AK21" s="108">
        <f t="shared" si="3"/>
        <v>5</v>
      </c>
      <c r="AL21" s="108">
        <f t="shared" si="4"/>
        <v>0</v>
      </c>
      <c r="AM21" s="120">
        <f>AO21</f>
        <v>0</v>
      </c>
      <c r="AN21" s="116" t="s">
        <v>17</v>
      </c>
      <c r="AO21" s="115">
        <f>IF(Uitslag!T21="",0,IF(T21=Uitslag!T21,10,0))</f>
        <v>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2</v>
      </c>
      <c r="H22" s="367" t="s">
        <v>9</v>
      </c>
      <c r="I22" s="440">
        <v>0</v>
      </c>
      <c r="J22" s="369">
        <f t="shared" si="5"/>
        <v>1</v>
      </c>
      <c r="K22" s="363">
        <f t="shared" si="6"/>
        <v>3</v>
      </c>
      <c r="L22" s="363">
        <f t="shared" si="7"/>
        <v>0</v>
      </c>
      <c r="O22" s="398" t="s">
        <v>18</v>
      </c>
      <c r="P22" s="399">
        <f>SUMIF($D$8:$D$55,$O22,$G$8:$G$55)+SUMIF($F$8:$F$55,$O22,$I$8:$I$55)</f>
        <v>2</v>
      </c>
      <c r="Q22" s="399">
        <f>SUMIF($D$8:$D$55,$O22,$I$8:$I$55)+SUMIF($F$8:$F$55,$O22,$G$8:$G$55)</f>
        <v>4</v>
      </c>
      <c r="R22" s="399">
        <f>P22-Q22</f>
        <v>-2</v>
      </c>
      <c r="S22" s="400">
        <f>SUMIF($D$8:$D$55,$O22,$K$8:$K$55)+SUMIF($F$8:$F$55,$O22,$L$8:$L$55)</f>
        <v>3</v>
      </c>
      <c r="T22" s="445" t="s">
        <v>59</v>
      </c>
      <c r="U22" s="392"/>
      <c r="V22" s="392" t="str">
        <f>O22</f>
        <v>Griekenland</v>
      </c>
      <c r="W22" s="392" t="s">
        <v>58</v>
      </c>
      <c r="Y22" s="109">
        <f t="shared" si="8"/>
        <v>6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6</v>
      </c>
      <c r="AG22" s="108">
        <f t="shared" si="0"/>
        <v>1</v>
      </c>
      <c r="AH22" s="108">
        <f t="shared" si="1"/>
        <v>0</v>
      </c>
      <c r="AI22" s="108">
        <f t="shared" si="10"/>
        <v>0</v>
      </c>
      <c r="AJ22" s="108">
        <f t="shared" si="2"/>
        <v>5</v>
      </c>
      <c r="AK22" s="108">
        <f t="shared" si="3"/>
        <v>0</v>
      </c>
      <c r="AL22" s="108">
        <f t="shared" si="4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3</v>
      </c>
      <c r="H23" s="373" t="s">
        <v>9</v>
      </c>
      <c r="I23" s="441">
        <v>1</v>
      </c>
      <c r="J23" s="375">
        <f t="shared" si="5"/>
        <v>1</v>
      </c>
      <c r="K23" s="363">
        <f t="shared" si="6"/>
        <v>3</v>
      </c>
      <c r="L23" s="363">
        <f t="shared" si="7"/>
        <v>0</v>
      </c>
      <c r="O23" s="398" t="s">
        <v>23</v>
      </c>
      <c r="P23" s="399">
        <f>SUMIF($D$8:$D$55,$O23,$G$8:$G$55)+SUMIF($F$8:$F$55,$O23,$I$8:$I$55)</f>
        <v>5</v>
      </c>
      <c r="Q23" s="399">
        <f>SUMIF($D$8:$D$55,$O23,$I$8:$I$55)+SUMIF($F$8:$F$55,$O23,$G$8:$G$55)</f>
        <v>3</v>
      </c>
      <c r="R23" s="399">
        <f>P23-Q23</f>
        <v>2</v>
      </c>
      <c r="S23" s="400">
        <f>SUMIF($D$8:$D$55,$O23,$K$8:$K$55)+SUMIF($F$8:$F$55,$O23,$L$8:$L$55)</f>
        <v>7</v>
      </c>
      <c r="T23" s="445" t="s">
        <v>57</v>
      </c>
      <c r="U23" s="392"/>
      <c r="V23" s="392" t="str">
        <f>O23</f>
        <v>Ivoorkust</v>
      </c>
      <c r="W23" s="392" t="s">
        <v>59</v>
      </c>
      <c r="Y23" s="109">
        <f t="shared" si="8"/>
        <v>0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0</v>
      </c>
      <c r="AG23" s="108">
        <f t="shared" si="0"/>
        <v>0</v>
      </c>
      <c r="AH23" s="108">
        <f t="shared" si="1"/>
        <v>0</v>
      </c>
      <c r="AI23" s="108">
        <f t="shared" si="10"/>
        <v>0</v>
      </c>
      <c r="AJ23" s="108">
        <f t="shared" si="2"/>
        <v>0</v>
      </c>
      <c r="AK23" s="108">
        <f t="shared" si="3"/>
        <v>0</v>
      </c>
      <c r="AL23" s="108">
        <f t="shared" si="4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1</v>
      </c>
      <c r="H24" s="379" t="s">
        <v>9</v>
      </c>
      <c r="I24" s="442">
        <v>0</v>
      </c>
      <c r="J24" s="381">
        <f t="shared" si="5"/>
        <v>1</v>
      </c>
      <c r="K24" s="363">
        <f t="shared" si="6"/>
        <v>3</v>
      </c>
      <c r="L24" s="363">
        <f t="shared" si="7"/>
        <v>0</v>
      </c>
      <c r="O24" s="401" t="s">
        <v>24</v>
      </c>
      <c r="P24" s="402">
        <f>SUMIF($D$8:$D$55,$O24,$G$8:$G$55)+SUMIF($F$8:$F$55,$O24,$I$8:$I$55)</f>
        <v>5</v>
      </c>
      <c r="Q24" s="402">
        <f>SUMIF($D$8:$D$55,$O24,$I$8:$I$55)+SUMIF($F$8:$F$55,$O24,$G$8:$G$55)</f>
        <v>2</v>
      </c>
      <c r="R24" s="402">
        <f>P24-Q24</f>
        <v>3</v>
      </c>
      <c r="S24" s="403">
        <f>SUMIF($D$8:$D$55,$O24,$K$8:$K$55)+SUMIF($F$8:$F$55,$O24,$L$8:$L$55)</f>
        <v>6</v>
      </c>
      <c r="T24" s="446" t="s">
        <v>58</v>
      </c>
      <c r="U24" s="392"/>
      <c r="V24" s="392" t="str">
        <f>O24</f>
        <v>Japan</v>
      </c>
      <c r="W24" s="392" t="s">
        <v>60</v>
      </c>
      <c r="Y24" s="109">
        <f t="shared" si="8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</v>
      </c>
      <c r="AG24" s="108">
        <f t="shared" si="0"/>
        <v>1</v>
      </c>
      <c r="AH24" s="108">
        <f t="shared" si="1"/>
        <v>0</v>
      </c>
      <c r="AI24" s="108">
        <f t="shared" si="10"/>
        <v>0</v>
      </c>
      <c r="AJ24" s="108">
        <f t="shared" si="2"/>
        <v>0</v>
      </c>
      <c r="AK24" s="108">
        <f t="shared" si="3"/>
        <v>0</v>
      </c>
      <c r="AL24" s="108">
        <f t="shared" si="4"/>
        <v>0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1</v>
      </c>
      <c r="H25" s="367" t="s">
        <v>9</v>
      </c>
      <c r="I25" s="440">
        <v>3</v>
      </c>
      <c r="J25" s="369">
        <f t="shared" si="5"/>
        <v>2</v>
      </c>
      <c r="K25" s="363">
        <f t="shared" si="6"/>
        <v>0</v>
      </c>
      <c r="L25" s="363">
        <f t="shared" si="7"/>
        <v>3</v>
      </c>
      <c r="O25" s="392"/>
      <c r="P25" s="393"/>
      <c r="Q25" s="393"/>
      <c r="R25" s="393"/>
      <c r="S25" s="393"/>
      <c r="T25" s="393"/>
      <c r="U25" s="392"/>
      <c r="V25" s="392"/>
      <c r="W25" s="392"/>
      <c r="Y25" s="109">
        <f t="shared" si="8"/>
        <v>6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6</v>
      </c>
      <c r="AG25" s="108">
        <f t="shared" si="0"/>
        <v>0</v>
      </c>
      <c r="AH25" s="108">
        <f t="shared" si="1"/>
        <v>1</v>
      </c>
      <c r="AI25" s="108">
        <f t="shared" si="10"/>
        <v>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392"/>
      <c r="AO25" s="393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3</v>
      </c>
      <c r="H26" s="373" t="s">
        <v>9</v>
      </c>
      <c r="I26" s="441">
        <v>0</v>
      </c>
      <c r="J26" s="375">
        <f t="shared" si="5"/>
        <v>1</v>
      </c>
      <c r="K26" s="363">
        <f t="shared" si="6"/>
        <v>3</v>
      </c>
      <c r="L26" s="363">
        <f t="shared" si="7"/>
        <v>0</v>
      </c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392"/>
      <c r="V26" s="392"/>
      <c r="W26" s="392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0"/>
        <v>0</v>
      </c>
      <c r="AH26" s="108">
        <f t="shared" si="1"/>
        <v>0</v>
      </c>
      <c r="AI26" s="108">
        <f t="shared" si="10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1</v>
      </c>
      <c r="H27" s="379" t="s">
        <v>9</v>
      </c>
      <c r="I27" s="442">
        <v>2</v>
      </c>
      <c r="J27" s="381">
        <f t="shared" si="5"/>
        <v>2</v>
      </c>
      <c r="K27" s="363">
        <f t="shared" si="6"/>
        <v>0</v>
      </c>
      <c r="L27" s="363">
        <f t="shared" si="7"/>
        <v>3</v>
      </c>
      <c r="O27" s="394" t="s">
        <v>19</v>
      </c>
      <c r="P27" s="395">
        <f>SUMIF($D$8:$D$55,$O27,$G$8:$G$55)+SUMIF($F$8:$F$55,$O27,$I$8:$I$55)</f>
        <v>4</v>
      </c>
      <c r="Q27" s="395">
        <f>SUMIF($D$8:$D$55,$O27,$I$8:$I$55)+SUMIF($F$8:$F$55,$O27,$G$8:$G$55)</f>
        <v>5</v>
      </c>
      <c r="R27" s="396">
        <f>P27-Q27</f>
        <v>-1</v>
      </c>
      <c r="S27" s="397">
        <f>SUMIF($D$8:$D$55,$O27,$K$8:$K$55)+SUMIF($F$8:$F$55,$O27,$L$8:$L$55)</f>
        <v>3</v>
      </c>
      <c r="T27" s="444" t="s">
        <v>64</v>
      </c>
      <c r="U27" s="392"/>
      <c r="V27" s="392" t="str">
        <f>O27</f>
        <v>Uruguay</v>
      </c>
      <c r="W27" s="392" t="s">
        <v>62</v>
      </c>
      <c r="Y27" s="109">
        <f t="shared" si="8"/>
        <v>5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5</v>
      </c>
      <c r="AG27" s="108">
        <f t="shared" si="0"/>
        <v>0</v>
      </c>
      <c r="AH27" s="108">
        <f t="shared" si="1"/>
        <v>0</v>
      </c>
      <c r="AI27" s="108">
        <f t="shared" si="10"/>
        <v>0</v>
      </c>
      <c r="AJ27" s="108">
        <f t="shared" si="2"/>
        <v>0</v>
      </c>
      <c r="AK27" s="108">
        <f t="shared" si="3"/>
        <v>5</v>
      </c>
      <c r="AL27" s="108">
        <f t="shared" si="4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1</v>
      </c>
      <c r="H28" s="367" t="s">
        <v>9</v>
      </c>
      <c r="I28" s="440">
        <v>1</v>
      </c>
      <c r="J28" s="369">
        <f t="shared" si="5"/>
        <v>3</v>
      </c>
      <c r="K28" s="363">
        <f t="shared" si="6"/>
        <v>1</v>
      </c>
      <c r="L28" s="363">
        <f t="shared" si="7"/>
        <v>1</v>
      </c>
      <c r="O28" s="398" t="s">
        <v>20</v>
      </c>
      <c r="P28" s="399">
        <f>SUMIF($D$8:$D$55,$O28,$G$8:$G$55)+SUMIF($F$8:$F$55,$O28,$I$8:$I$55)</f>
        <v>1</v>
      </c>
      <c r="Q28" s="399">
        <f>SUMIF($D$8:$D$55,$O28,$I$8:$I$55)+SUMIF($F$8:$F$55,$O28,$G$8:$G$55)</f>
        <v>7</v>
      </c>
      <c r="R28" s="399">
        <f>P28-Q28</f>
        <v>-6</v>
      </c>
      <c r="S28" s="400">
        <f>SUMIF($D$8:$D$55,$O28,$K$8:$K$55)+SUMIF($F$8:$F$55,$O28,$L$8:$L$55)</f>
        <v>0</v>
      </c>
      <c r="T28" s="445" t="s">
        <v>65</v>
      </c>
      <c r="U28" s="392"/>
      <c r="V28" s="392" t="str">
        <f>O28</f>
        <v>Costa Rica</v>
      </c>
      <c r="W28" s="392" t="s">
        <v>63</v>
      </c>
      <c r="Y28" s="109">
        <f t="shared" si="8"/>
        <v>1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1</v>
      </c>
      <c r="AG28" s="108">
        <f t="shared" si="0"/>
        <v>0</v>
      </c>
      <c r="AH28" s="108">
        <f t="shared" si="1"/>
        <v>1</v>
      </c>
      <c r="AI28" s="108">
        <f t="shared" si="10"/>
        <v>0</v>
      </c>
      <c r="AJ28" s="108">
        <f t="shared" si="2"/>
        <v>0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1</v>
      </c>
      <c r="H29" s="373" t="s">
        <v>9</v>
      </c>
      <c r="I29" s="441">
        <v>2</v>
      </c>
      <c r="J29" s="375">
        <f t="shared" si="5"/>
        <v>2</v>
      </c>
      <c r="K29" s="363">
        <f t="shared" si="6"/>
        <v>0</v>
      </c>
      <c r="L29" s="363">
        <f t="shared" si="7"/>
        <v>3</v>
      </c>
      <c r="O29" s="398" t="s">
        <v>21</v>
      </c>
      <c r="P29" s="399">
        <f>SUMIF($D$8:$D$55,$O29,$G$8:$G$55)+SUMIF($F$8:$F$55,$O29,$I$8:$I$55)</f>
        <v>5</v>
      </c>
      <c r="Q29" s="399">
        <f>SUMIF($D$8:$D$55,$O29,$I$8:$I$55)+SUMIF($F$8:$F$55,$O29,$G$8:$G$55)</f>
        <v>4</v>
      </c>
      <c r="R29" s="399">
        <f>P29-Q29</f>
        <v>1</v>
      </c>
      <c r="S29" s="400">
        <f>SUMIF($D$8:$D$55,$O29,$K$8:$K$55)+SUMIF($F$8:$F$55,$O29,$L$8:$L$55)</f>
        <v>6</v>
      </c>
      <c r="T29" s="445" t="s">
        <v>63</v>
      </c>
      <c r="U29" s="392"/>
      <c r="V29" s="392" t="str">
        <f>O29</f>
        <v>Engeland</v>
      </c>
      <c r="W29" s="392" t="s">
        <v>64</v>
      </c>
      <c r="Y29" s="109">
        <f t="shared" si="8"/>
        <v>0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0</v>
      </c>
      <c r="AG29" s="108">
        <f t="shared" si="0"/>
        <v>0</v>
      </c>
      <c r="AH29" s="108">
        <f t="shared" si="1"/>
        <v>0</v>
      </c>
      <c r="AI29" s="108">
        <f t="shared" si="10"/>
        <v>0</v>
      </c>
      <c r="AJ29" s="108">
        <f t="shared" si="2"/>
        <v>0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2</v>
      </c>
      <c r="H30" s="379" t="s">
        <v>9</v>
      </c>
      <c r="I30" s="442">
        <v>0</v>
      </c>
      <c r="J30" s="381">
        <f t="shared" si="5"/>
        <v>1</v>
      </c>
      <c r="K30" s="363">
        <f t="shared" si="6"/>
        <v>3</v>
      </c>
      <c r="L30" s="363">
        <f t="shared" si="7"/>
        <v>0</v>
      </c>
      <c r="O30" s="401" t="s">
        <v>22</v>
      </c>
      <c r="P30" s="402">
        <f>SUMIF($D$8:$D$55,$O30,$G$8:$G$55)+SUMIF($F$8:$F$55,$O30,$I$8:$I$55)</f>
        <v>9</v>
      </c>
      <c r="Q30" s="402">
        <f>SUMIF($D$8:$D$55,$O30,$I$8:$I$55)+SUMIF($F$8:$F$55,$O30,$G$8:$G$55)</f>
        <v>3</v>
      </c>
      <c r="R30" s="402">
        <f>P30-Q30</f>
        <v>6</v>
      </c>
      <c r="S30" s="403">
        <f>SUMIF($D$8:$D$55,$O30,$K$8:$K$55)+SUMIF($F$8:$F$55,$O30,$L$8:$L$55)</f>
        <v>9</v>
      </c>
      <c r="T30" s="446" t="s">
        <v>62</v>
      </c>
      <c r="U30" s="392"/>
      <c r="V30" s="392" t="str">
        <f>O30</f>
        <v>Italië</v>
      </c>
      <c r="W30" s="392" t="s">
        <v>65</v>
      </c>
      <c r="Y30" s="109">
        <f t="shared" si="8"/>
        <v>1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1</v>
      </c>
      <c r="AG30" s="108">
        <f t="shared" si="0"/>
        <v>0</v>
      </c>
      <c r="AH30" s="108">
        <f t="shared" si="1"/>
        <v>1</v>
      </c>
      <c r="AI30" s="108">
        <f t="shared" si="10"/>
        <v>0</v>
      </c>
      <c r="AJ30" s="108">
        <f t="shared" si="2"/>
        <v>0</v>
      </c>
      <c r="AK30" s="108">
        <f t="shared" si="3"/>
        <v>0</v>
      </c>
      <c r="AL30" s="108">
        <f t="shared" si="4"/>
        <v>0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3</v>
      </c>
      <c r="H31" s="367" t="s">
        <v>9</v>
      </c>
      <c r="I31" s="440">
        <v>1</v>
      </c>
      <c r="J31" s="369">
        <f t="shared" si="5"/>
        <v>1</v>
      </c>
      <c r="K31" s="363">
        <f t="shared" si="6"/>
        <v>3</v>
      </c>
      <c r="L31" s="363">
        <f t="shared" si="7"/>
        <v>0</v>
      </c>
      <c r="O31" s="392"/>
      <c r="P31" s="393"/>
      <c r="Q31" s="393"/>
      <c r="R31" s="393"/>
      <c r="S31" s="393"/>
      <c r="T31" s="393"/>
      <c r="U31" s="392"/>
      <c r="V31" s="392"/>
      <c r="W31" s="392"/>
      <c r="Y31" s="109">
        <f t="shared" si="8"/>
        <v>1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1</v>
      </c>
      <c r="AG31" s="108">
        <f t="shared" si="0"/>
        <v>0</v>
      </c>
      <c r="AH31" s="108">
        <f t="shared" si="1"/>
        <v>1</v>
      </c>
      <c r="AI31" s="108">
        <f t="shared" si="10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392"/>
      <c r="AO31" s="393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0</v>
      </c>
      <c r="H32" s="373" t="s">
        <v>9</v>
      </c>
      <c r="I32" s="441">
        <v>2</v>
      </c>
      <c r="J32" s="375">
        <f t="shared" si="5"/>
        <v>2</v>
      </c>
      <c r="K32" s="363">
        <f t="shared" si="6"/>
        <v>0</v>
      </c>
      <c r="L32" s="363">
        <f t="shared" si="7"/>
        <v>3</v>
      </c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392"/>
      <c r="V32" s="392"/>
      <c r="W32" s="392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0"/>
        <v>0</v>
      </c>
      <c r="AH32" s="108">
        <f t="shared" si="1"/>
        <v>0</v>
      </c>
      <c r="AI32" s="108">
        <f t="shared" si="10"/>
        <v>0</v>
      </c>
      <c r="AJ32" s="108">
        <f t="shared" si="2"/>
        <v>0</v>
      </c>
      <c r="AK32" s="108">
        <f t="shared" si="3"/>
        <v>5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1</v>
      </c>
      <c r="H33" s="379" t="s">
        <v>9</v>
      </c>
      <c r="I33" s="442">
        <v>1</v>
      </c>
      <c r="J33" s="381">
        <f t="shared" si="5"/>
        <v>3</v>
      </c>
      <c r="K33" s="363">
        <f t="shared" si="6"/>
        <v>1</v>
      </c>
      <c r="L33" s="363">
        <f t="shared" si="7"/>
        <v>1</v>
      </c>
      <c r="O33" s="394" t="s">
        <v>25</v>
      </c>
      <c r="P33" s="395">
        <f>SUMIF($D$8:$D$55,$O33,$G$8:$G$55)+SUMIF($F$8:$F$55,$O33,$I$8:$I$55)</f>
        <v>3</v>
      </c>
      <c r="Q33" s="395">
        <f>SUMIF($D$8:$D$55,$O33,$I$8:$I$55)+SUMIF($F$8:$F$55,$O33,$G$8:$G$55)</f>
        <v>2</v>
      </c>
      <c r="R33" s="396">
        <f>P33-Q33</f>
        <v>1</v>
      </c>
      <c r="S33" s="397">
        <f>SUMIF($D$8:$D$55,$O33,$K$8:$K$55)+SUMIF($F$8:$F$55,$O33,$L$8:$L$55)</f>
        <v>6</v>
      </c>
      <c r="T33" s="444" t="s">
        <v>68</v>
      </c>
      <c r="U33" s="392"/>
      <c r="V33" s="392" t="str">
        <f>O33</f>
        <v>Zwitserland</v>
      </c>
      <c r="W33" s="392" t="s">
        <v>67</v>
      </c>
      <c r="Y33" s="109">
        <f t="shared" si="8"/>
        <v>1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1</v>
      </c>
      <c r="AG33" s="108">
        <f t="shared" si="0"/>
        <v>1</v>
      </c>
      <c r="AH33" s="108">
        <f t="shared" si="1"/>
        <v>0</v>
      </c>
      <c r="AI33" s="108">
        <f t="shared" si="10"/>
        <v>0</v>
      </c>
      <c r="AJ33" s="108">
        <f t="shared" si="2"/>
        <v>0</v>
      </c>
      <c r="AK33" s="108">
        <f t="shared" si="3"/>
        <v>0</v>
      </c>
      <c r="AL33" s="108">
        <f t="shared" si="4"/>
        <v>0</v>
      </c>
      <c r="AM33" s="120">
        <f>AO33</f>
        <v>10</v>
      </c>
      <c r="AN33" s="116" t="s">
        <v>25</v>
      </c>
      <c r="AO33" s="115">
        <f>IF(Uitslag!T33="",0,IF(T33=Uitslag!T33,10,0))</f>
        <v>10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4</v>
      </c>
      <c r="H34" s="367" t="s">
        <v>9</v>
      </c>
      <c r="I34" s="440">
        <v>1</v>
      </c>
      <c r="J34" s="369">
        <f t="shared" si="5"/>
        <v>1</v>
      </c>
      <c r="K34" s="363">
        <f t="shared" si="6"/>
        <v>3</v>
      </c>
      <c r="L34" s="363">
        <f t="shared" si="7"/>
        <v>0</v>
      </c>
      <c r="O34" s="398" t="s">
        <v>26</v>
      </c>
      <c r="P34" s="399">
        <f>SUMIF($D$8:$D$55,$O34,$G$8:$G$55)+SUMIF($F$8:$F$55,$O34,$I$8:$I$55)</f>
        <v>2</v>
      </c>
      <c r="Q34" s="399">
        <f>SUMIF($D$8:$D$55,$O34,$I$8:$I$55)+SUMIF($F$8:$F$55,$O34,$G$8:$G$55)</f>
        <v>6</v>
      </c>
      <c r="R34" s="399">
        <f>P34-Q34</f>
        <v>-4</v>
      </c>
      <c r="S34" s="400">
        <f>SUMIF($D$8:$D$55,$O34,$K$8:$K$55)+SUMIF($F$8:$F$55,$O34,$L$8:$L$55)</f>
        <v>1</v>
      </c>
      <c r="T34" s="445" t="s">
        <v>69</v>
      </c>
      <c r="U34" s="392"/>
      <c r="V34" s="392" t="str">
        <f>O34</f>
        <v>Ecuador</v>
      </c>
      <c r="W34" s="392" t="s">
        <v>68</v>
      </c>
      <c r="Y34" s="109">
        <f t="shared" si="8"/>
        <v>5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5</v>
      </c>
      <c r="AG34" s="108">
        <f t="shared" si="0"/>
        <v>0</v>
      </c>
      <c r="AH34" s="108">
        <f t="shared" si="1"/>
        <v>0</v>
      </c>
      <c r="AI34" s="108">
        <f t="shared" si="10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10</v>
      </c>
      <c r="AN34" s="117" t="s">
        <v>26</v>
      </c>
      <c r="AO34" s="115">
        <f>IF(Uitslag!T34="",0,IF(T34=Uitslag!T34,10,0))</f>
        <v>10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3</v>
      </c>
      <c r="H35" s="373" t="s">
        <v>9</v>
      </c>
      <c r="I35" s="441">
        <v>0</v>
      </c>
      <c r="J35" s="375">
        <f t="shared" si="5"/>
        <v>1</v>
      </c>
      <c r="K35" s="363">
        <f t="shared" si="6"/>
        <v>3</v>
      </c>
      <c r="L35" s="363">
        <f t="shared" si="7"/>
        <v>0</v>
      </c>
      <c r="O35" s="398" t="s">
        <v>27</v>
      </c>
      <c r="P35" s="399">
        <f>SUMIF($D$8:$D$55,$O35,$G$8:$G$55)+SUMIF($F$8:$F$55,$O35,$I$8:$I$55)</f>
        <v>8</v>
      </c>
      <c r="Q35" s="399">
        <f>SUMIF($D$8:$D$55,$O35,$I$8:$I$55)+SUMIF($F$8:$F$55,$O35,$G$8:$G$55)</f>
        <v>1</v>
      </c>
      <c r="R35" s="399">
        <f>P35-Q35</f>
        <v>7</v>
      </c>
      <c r="S35" s="400">
        <f>SUMIF($D$8:$D$55,$O35,$K$8:$K$55)+SUMIF($F$8:$F$55,$O35,$L$8:$L$55)</f>
        <v>9</v>
      </c>
      <c r="T35" s="445" t="s">
        <v>67</v>
      </c>
      <c r="U35" s="392"/>
      <c r="V35" s="392" t="str">
        <f>O35</f>
        <v>Frankrijk</v>
      </c>
      <c r="W35" s="392" t="s">
        <v>69</v>
      </c>
      <c r="Y35" s="109">
        <f t="shared" si="8"/>
        <v>0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0</v>
      </c>
      <c r="AG35" s="108">
        <f t="shared" si="0"/>
        <v>0</v>
      </c>
      <c r="AH35" s="108">
        <f t="shared" si="1"/>
        <v>0</v>
      </c>
      <c r="AI35" s="108">
        <f t="shared" si="10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2</v>
      </c>
      <c r="H36" s="379" t="s">
        <v>9</v>
      </c>
      <c r="I36" s="442">
        <v>1</v>
      </c>
      <c r="J36" s="381">
        <f t="shared" si="5"/>
        <v>1</v>
      </c>
      <c r="K36" s="363">
        <f t="shared" si="6"/>
        <v>3</v>
      </c>
      <c r="L36" s="363">
        <f t="shared" si="7"/>
        <v>0</v>
      </c>
      <c r="O36" s="401" t="s">
        <v>28</v>
      </c>
      <c r="P36" s="402">
        <f>SUMIF($D$8:$D$55,$O36,$G$8:$G$55)+SUMIF($F$8:$F$55,$O36,$I$8:$I$55)</f>
        <v>1</v>
      </c>
      <c r="Q36" s="402">
        <f>SUMIF($D$8:$D$55,$O36,$I$8:$I$55)+SUMIF($F$8:$F$55,$O36,$G$8:$G$55)</f>
        <v>5</v>
      </c>
      <c r="R36" s="402">
        <f>P36-Q36</f>
        <v>-4</v>
      </c>
      <c r="S36" s="403">
        <f>SUMIF($D$8:$D$55,$O36,$K$8:$K$55)+SUMIF($F$8:$F$55,$O36,$L$8:$L$55)</f>
        <v>1</v>
      </c>
      <c r="T36" s="446" t="s">
        <v>70</v>
      </c>
      <c r="U36" s="392"/>
      <c r="V36" s="392" t="str">
        <f>O36</f>
        <v>Honduras</v>
      </c>
      <c r="W36" s="392" t="s">
        <v>70</v>
      </c>
      <c r="Y36" s="109">
        <f t="shared" si="8"/>
        <v>5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5</v>
      </c>
      <c r="AG36" s="108">
        <f t="shared" si="0"/>
        <v>0</v>
      </c>
      <c r="AH36" s="108">
        <f t="shared" si="1"/>
        <v>0</v>
      </c>
      <c r="AI36" s="108">
        <f t="shared" si="10"/>
        <v>0</v>
      </c>
      <c r="AJ36" s="108">
        <f t="shared" si="2"/>
        <v>5</v>
      </c>
      <c r="AK36" s="108">
        <f t="shared" si="3"/>
        <v>0</v>
      </c>
      <c r="AL36" s="108">
        <f t="shared" si="4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1</v>
      </c>
      <c r="H37" s="367" t="s">
        <v>9</v>
      </c>
      <c r="I37" s="440">
        <v>2</v>
      </c>
      <c r="J37" s="369">
        <f t="shared" si="5"/>
        <v>2</v>
      </c>
      <c r="K37" s="363">
        <f t="shared" si="6"/>
        <v>0</v>
      </c>
      <c r="L37" s="363">
        <f t="shared" si="7"/>
        <v>3</v>
      </c>
      <c r="O37" s="392"/>
      <c r="P37" s="393"/>
      <c r="Q37" s="393"/>
      <c r="R37" s="393"/>
      <c r="S37" s="393"/>
      <c r="T37" s="393"/>
      <c r="U37" s="392"/>
      <c r="V37" s="392"/>
      <c r="W37" s="392"/>
      <c r="Y37" s="109">
        <f t="shared" si="8"/>
        <v>1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1</v>
      </c>
      <c r="AG37" s="108">
        <f t="shared" si="0"/>
        <v>1</v>
      </c>
      <c r="AH37" s="108">
        <f t="shared" si="1"/>
        <v>0</v>
      </c>
      <c r="AI37" s="108">
        <f t="shared" si="10"/>
        <v>0</v>
      </c>
      <c r="AJ37" s="108">
        <f t="shared" si="2"/>
        <v>0</v>
      </c>
      <c r="AK37" s="108">
        <f t="shared" si="3"/>
        <v>0</v>
      </c>
      <c r="AL37" s="108">
        <f t="shared" si="4"/>
        <v>0</v>
      </c>
      <c r="AN37" s="392"/>
      <c r="AO37" s="393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1</v>
      </c>
      <c r="H38" s="373" t="s">
        <v>9</v>
      </c>
      <c r="I38" s="441">
        <v>0</v>
      </c>
      <c r="J38" s="375">
        <f t="shared" si="5"/>
        <v>1</v>
      </c>
      <c r="K38" s="363">
        <f t="shared" si="6"/>
        <v>3</v>
      </c>
      <c r="L38" s="363">
        <f t="shared" si="7"/>
        <v>0</v>
      </c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392"/>
      <c r="V38" s="392"/>
      <c r="W38" s="392"/>
      <c r="Y38" s="109">
        <f t="shared" si="8"/>
        <v>0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0</v>
      </c>
      <c r="AG38" s="108">
        <f t="shared" si="0"/>
        <v>0</v>
      </c>
      <c r="AH38" s="108">
        <f t="shared" si="1"/>
        <v>0</v>
      </c>
      <c r="AI38" s="108">
        <f t="shared" si="10"/>
        <v>0</v>
      </c>
      <c r="AJ38" s="108">
        <f t="shared" si="2"/>
        <v>0</v>
      </c>
      <c r="AK38" s="108">
        <f t="shared" si="3"/>
        <v>0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0</v>
      </c>
      <c r="H39" s="379" t="s">
        <v>9</v>
      </c>
      <c r="I39" s="442">
        <v>2</v>
      </c>
      <c r="J39" s="381">
        <f t="shared" si="5"/>
        <v>2</v>
      </c>
      <c r="K39" s="363">
        <f t="shared" si="6"/>
        <v>0</v>
      </c>
      <c r="L39" s="363">
        <f t="shared" si="7"/>
        <v>3</v>
      </c>
      <c r="O39" s="394" t="s">
        <v>29</v>
      </c>
      <c r="P39" s="395">
        <f>SUMIF($D$8:$D$55,$O39,$G$8:$G$55)+SUMIF($F$8:$F$55,$O39,$I$8:$I$55)</f>
        <v>8</v>
      </c>
      <c r="Q39" s="395">
        <f>SUMIF($D$8:$D$55,$O39,$I$8:$I$55)+SUMIF($F$8:$F$55,$O39,$G$8:$G$55)</f>
        <v>4</v>
      </c>
      <c r="R39" s="396">
        <f>P39-Q39</f>
        <v>4</v>
      </c>
      <c r="S39" s="397">
        <f>SUMIF($D$8:$D$55,$O39,$K$8:$K$55)+SUMIF($F$8:$F$55,$O39,$L$8:$L$55)</f>
        <v>7</v>
      </c>
      <c r="T39" s="444" t="s">
        <v>72</v>
      </c>
      <c r="U39" s="392"/>
      <c r="V39" s="392" t="str">
        <f>O39</f>
        <v>Argentinië</v>
      </c>
      <c r="W39" s="392" t="s">
        <v>72</v>
      </c>
      <c r="Y39" s="109">
        <f t="shared" si="8"/>
        <v>1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1</v>
      </c>
      <c r="AG39" s="108">
        <f t="shared" si="0"/>
        <v>0</v>
      </c>
      <c r="AH39" s="108">
        <f t="shared" si="1"/>
        <v>1</v>
      </c>
      <c r="AI39" s="108">
        <f t="shared" si="10"/>
        <v>0</v>
      </c>
      <c r="AJ39" s="108">
        <f t="shared" si="2"/>
        <v>0</v>
      </c>
      <c r="AK39" s="108">
        <f t="shared" si="3"/>
        <v>0</v>
      </c>
      <c r="AL39" s="108">
        <f t="shared" si="4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1</v>
      </c>
      <c r="H40" s="367" t="s">
        <v>9</v>
      </c>
      <c r="I40" s="440">
        <v>3</v>
      </c>
      <c r="J40" s="369">
        <f t="shared" si="5"/>
        <v>2</v>
      </c>
      <c r="K40" s="363">
        <f t="shared" si="6"/>
        <v>0</v>
      </c>
      <c r="L40" s="363">
        <f t="shared" si="7"/>
        <v>3</v>
      </c>
      <c r="O40" s="398" t="s">
        <v>30</v>
      </c>
      <c r="P40" s="399">
        <f>SUMIF($D$8:$D$55,$O40,$G$8:$G$55)+SUMIF($F$8:$F$55,$O40,$I$8:$I$55)</f>
        <v>3</v>
      </c>
      <c r="Q40" s="399">
        <f>SUMIF($D$8:$D$55,$O40,$I$8:$I$55)+SUMIF($F$8:$F$55,$O40,$G$8:$G$55)</f>
        <v>4</v>
      </c>
      <c r="R40" s="399">
        <f>P40-Q40</f>
        <v>-1</v>
      </c>
      <c r="S40" s="400">
        <f>SUMIF($D$8:$D$55,$O40,$K$8:$K$55)+SUMIF($F$8:$F$55,$O40,$L$8:$L$55)</f>
        <v>3</v>
      </c>
      <c r="T40" s="445" t="s">
        <v>74</v>
      </c>
      <c r="U40" s="392"/>
      <c r="V40" s="392" t="str">
        <f>O40</f>
        <v>Bosnië H.</v>
      </c>
      <c r="W40" s="392" t="s">
        <v>73</v>
      </c>
      <c r="Y40" s="109">
        <f t="shared" si="8"/>
        <v>6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6</v>
      </c>
      <c r="AG40" s="108">
        <f t="shared" si="0"/>
        <v>0</v>
      </c>
      <c r="AH40" s="108">
        <f t="shared" si="1"/>
        <v>1</v>
      </c>
      <c r="AI40" s="108">
        <f t="shared" si="10"/>
        <v>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4</v>
      </c>
      <c r="H41" s="373" t="s">
        <v>9</v>
      </c>
      <c r="I41" s="441">
        <v>1</v>
      </c>
      <c r="J41" s="375">
        <f t="shared" si="5"/>
        <v>1</v>
      </c>
      <c r="K41" s="363">
        <f t="shared" si="6"/>
        <v>3</v>
      </c>
      <c r="L41" s="363">
        <f t="shared" si="7"/>
        <v>0</v>
      </c>
      <c r="O41" s="398" t="s">
        <v>33</v>
      </c>
      <c r="P41" s="399">
        <f>SUMIF($D$8:$D$55,$O41,$G$8:$G$55)+SUMIF($F$8:$F$55,$O41,$I$8:$I$55)</f>
        <v>1</v>
      </c>
      <c r="Q41" s="399">
        <f>SUMIF($D$8:$D$55,$O41,$I$8:$I$55)+SUMIF($F$8:$F$55,$O41,$G$8:$G$55)</f>
        <v>7</v>
      </c>
      <c r="R41" s="399">
        <f>P41-Q41</f>
        <v>-6</v>
      </c>
      <c r="S41" s="400">
        <f>SUMIF($D$8:$D$55,$O41,$K$8:$K$55)+SUMIF($F$8:$F$55,$O41,$L$8:$L$55)</f>
        <v>0</v>
      </c>
      <c r="T41" s="445" t="s">
        <v>75</v>
      </c>
      <c r="U41" s="392"/>
      <c r="V41" s="392" t="str">
        <f>O41</f>
        <v>Iran</v>
      </c>
      <c r="W41" s="392" t="s">
        <v>74</v>
      </c>
      <c r="Y41" s="109">
        <f t="shared" si="8"/>
        <v>5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5</v>
      </c>
      <c r="AG41" s="108">
        <f t="shared" si="0"/>
        <v>0</v>
      </c>
      <c r="AH41" s="108">
        <f t="shared" si="1"/>
        <v>0</v>
      </c>
      <c r="AI41" s="108">
        <f t="shared" si="10"/>
        <v>0</v>
      </c>
      <c r="AJ41" s="108">
        <f t="shared" si="2"/>
        <v>5</v>
      </c>
      <c r="AK41" s="108">
        <f t="shared" si="3"/>
        <v>0</v>
      </c>
      <c r="AL41" s="108">
        <f t="shared" si="4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1</v>
      </c>
      <c r="H42" s="373" t="s">
        <v>9</v>
      </c>
      <c r="I42" s="441">
        <v>3</v>
      </c>
      <c r="J42" s="375">
        <f t="shared" si="5"/>
        <v>2</v>
      </c>
      <c r="K42" s="363">
        <f t="shared" si="6"/>
        <v>0</v>
      </c>
      <c r="L42" s="363">
        <f t="shared" si="7"/>
        <v>3</v>
      </c>
      <c r="O42" s="401" t="s">
        <v>34</v>
      </c>
      <c r="P42" s="402">
        <f>SUMIF($D$8:$D$55,$O42,$G$8:$G$55)+SUMIF($F$8:$F$55,$O42,$I$8:$I$55)</f>
        <v>6</v>
      </c>
      <c r="Q42" s="402">
        <f>SUMIF($D$8:$D$55,$O42,$I$8:$I$55)+SUMIF($F$8:$F$55,$O42,$G$8:$G$55)</f>
        <v>3</v>
      </c>
      <c r="R42" s="402">
        <f>P42-Q42</f>
        <v>3</v>
      </c>
      <c r="S42" s="403">
        <f>SUMIF($D$8:$D$55,$O42,$K$8:$K$55)+SUMIF($F$8:$F$55,$O42,$L$8:$L$55)</f>
        <v>7</v>
      </c>
      <c r="T42" s="446" t="s">
        <v>73</v>
      </c>
      <c r="U42" s="392"/>
      <c r="V42" s="392" t="str">
        <f>O42</f>
        <v>Nigeria</v>
      </c>
      <c r="W42" s="392" t="s">
        <v>75</v>
      </c>
      <c r="Y42" s="109">
        <f t="shared" si="8"/>
        <v>6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6</v>
      </c>
      <c r="AG42" s="108">
        <f t="shared" si="0"/>
        <v>1</v>
      </c>
      <c r="AH42" s="108">
        <f t="shared" si="1"/>
        <v>0</v>
      </c>
      <c r="AI42" s="108">
        <f t="shared" si="10"/>
        <v>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2</v>
      </c>
      <c r="H43" s="379" t="s">
        <v>9</v>
      </c>
      <c r="I43" s="442">
        <v>0</v>
      </c>
      <c r="J43" s="381">
        <f t="shared" si="5"/>
        <v>1</v>
      </c>
      <c r="K43" s="363">
        <f t="shared" si="6"/>
        <v>3</v>
      </c>
      <c r="L43" s="363">
        <f t="shared" si="7"/>
        <v>0</v>
      </c>
      <c r="O43" s="392"/>
      <c r="P43" s="393"/>
      <c r="Q43" s="393"/>
      <c r="R43" s="393"/>
      <c r="S43" s="393"/>
      <c r="T43" s="393"/>
      <c r="U43" s="392"/>
      <c r="V43" s="392"/>
      <c r="W43" s="392"/>
      <c r="Y43" s="109">
        <f t="shared" si="8"/>
        <v>0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0</v>
      </c>
      <c r="AG43" s="108">
        <f t="shared" si="0"/>
        <v>0</v>
      </c>
      <c r="AH43" s="108">
        <f t="shared" si="1"/>
        <v>0</v>
      </c>
      <c r="AI43" s="108">
        <f t="shared" si="10"/>
        <v>0</v>
      </c>
      <c r="AJ43" s="108">
        <f t="shared" si="2"/>
        <v>0</v>
      </c>
      <c r="AK43" s="108">
        <f t="shared" si="3"/>
        <v>0</v>
      </c>
      <c r="AL43" s="108">
        <f t="shared" si="4"/>
        <v>0</v>
      </c>
      <c r="AN43" s="392"/>
      <c r="AO43" s="393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3</v>
      </c>
      <c r="H44" s="367" t="s">
        <v>9</v>
      </c>
      <c r="I44" s="440">
        <v>1</v>
      </c>
      <c r="J44" s="369">
        <f t="shared" si="5"/>
        <v>1</v>
      </c>
      <c r="K44" s="363">
        <f t="shared" si="6"/>
        <v>3</v>
      </c>
      <c r="L44" s="363">
        <f t="shared" si="7"/>
        <v>0</v>
      </c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392"/>
      <c r="V44" s="392"/>
      <c r="W44" s="392"/>
      <c r="Y44" s="109">
        <f t="shared" si="8"/>
        <v>1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1</v>
      </c>
      <c r="AG44" s="108">
        <f t="shared" si="0"/>
        <v>0</v>
      </c>
      <c r="AH44" s="108">
        <f t="shared" si="1"/>
        <v>1</v>
      </c>
      <c r="AI44" s="108">
        <f t="shared" si="10"/>
        <v>0</v>
      </c>
      <c r="AJ44" s="108">
        <f t="shared" si="2"/>
        <v>0</v>
      </c>
      <c r="AK44" s="108">
        <f t="shared" si="3"/>
        <v>0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0</v>
      </c>
      <c r="H45" s="373" t="s">
        <v>9</v>
      </c>
      <c r="I45" s="441">
        <v>2</v>
      </c>
      <c r="J45" s="375">
        <f t="shared" si="5"/>
        <v>2</v>
      </c>
      <c r="K45" s="363">
        <f t="shared" si="6"/>
        <v>0</v>
      </c>
      <c r="L45" s="363">
        <f t="shared" si="7"/>
        <v>3</v>
      </c>
      <c r="O45" s="394" t="s">
        <v>31</v>
      </c>
      <c r="P45" s="395">
        <f>SUMIF($D$8:$D$55,$O45,$G$8:$G$55)+SUMIF($F$8:$F$55,$O45,$I$8:$I$55)</f>
        <v>8</v>
      </c>
      <c r="Q45" s="395">
        <f>SUMIF($D$8:$D$55,$O45,$I$8:$I$55)+SUMIF($F$8:$F$55,$O45,$G$8:$G$55)</f>
        <v>1</v>
      </c>
      <c r="R45" s="396">
        <f>P45-Q45</f>
        <v>7</v>
      </c>
      <c r="S45" s="397">
        <f>SUMIF($D$8:$D$55,$O45,$K$8:$K$55)+SUMIF($F$8:$F$55,$O45,$L$8:$L$55)</f>
        <v>9</v>
      </c>
      <c r="T45" s="444" t="s">
        <v>77</v>
      </c>
      <c r="U45" s="392"/>
      <c r="V45" s="392" t="str">
        <f>O45</f>
        <v>Duitsland</v>
      </c>
      <c r="W45" s="392" t="s">
        <v>77</v>
      </c>
      <c r="Y45" s="109">
        <f t="shared" si="8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1</v>
      </c>
      <c r="AG45" s="108">
        <f t="shared" si="0"/>
        <v>1</v>
      </c>
      <c r="AH45" s="108">
        <f t="shared" si="1"/>
        <v>0</v>
      </c>
      <c r="AI45" s="108">
        <f t="shared" si="10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2</v>
      </c>
      <c r="H46" s="373" t="s">
        <v>9</v>
      </c>
      <c r="I46" s="441">
        <v>0</v>
      </c>
      <c r="J46" s="375">
        <f t="shared" si="5"/>
        <v>1</v>
      </c>
      <c r="K46" s="363">
        <f t="shared" si="6"/>
        <v>3</v>
      </c>
      <c r="L46" s="363">
        <f t="shared" si="7"/>
        <v>0</v>
      </c>
      <c r="O46" s="398" t="s">
        <v>32</v>
      </c>
      <c r="P46" s="399">
        <f>SUMIF($D$8:$D$55,$O46,$G$8:$G$55)+SUMIF($F$8:$F$55,$O46,$I$8:$I$55)</f>
        <v>4</v>
      </c>
      <c r="Q46" s="399">
        <f>SUMIF($D$8:$D$55,$O46,$I$8:$I$55)+SUMIF($F$8:$F$55,$O46,$G$8:$G$55)</f>
        <v>4</v>
      </c>
      <c r="R46" s="399">
        <f>P46-Q46</f>
        <v>0</v>
      </c>
      <c r="S46" s="400">
        <f>SUMIF($D$8:$D$55,$O46,$K$8:$K$55)+SUMIF($F$8:$F$55,$O46,$L$8:$L$55)</f>
        <v>4</v>
      </c>
      <c r="T46" s="445" t="s">
        <v>78</v>
      </c>
      <c r="U46" s="392"/>
      <c r="V46" s="392" t="str">
        <f>O46</f>
        <v>Portugal</v>
      </c>
      <c r="W46" s="392" t="s">
        <v>78</v>
      </c>
      <c r="Y46" s="109">
        <f t="shared" si="8"/>
        <v>0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0</v>
      </c>
      <c r="AG46" s="108">
        <f t="shared" si="0"/>
        <v>0</v>
      </c>
      <c r="AH46" s="108">
        <f t="shared" si="1"/>
        <v>0</v>
      </c>
      <c r="AI46" s="108">
        <f t="shared" si="10"/>
        <v>0</v>
      </c>
      <c r="AJ46" s="108">
        <f t="shared" si="2"/>
        <v>0</v>
      </c>
      <c r="AK46" s="108">
        <f t="shared" si="3"/>
        <v>0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1</v>
      </c>
      <c r="H47" s="379" t="s">
        <v>9</v>
      </c>
      <c r="I47" s="442">
        <v>2</v>
      </c>
      <c r="J47" s="381">
        <f t="shared" si="5"/>
        <v>2</v>
      </c>
      <c r="K47" s="363">
        <f t="shared" si="6"/>
        <v>0</v>
      </c>
      <c r="L47" s="363">
        <f t="shared" si="7"/>
        <v>3</v>
      </c>
      <c r="O47" s="398" t="s">
        <v>35</v>
      </c>
      <c r="P47" s="399">
        <f>SUMIF($D$8:$D$55,$O47,$G$8:$G$55)+SUMIF($F$8:$F$55,$O47,$I$8:$I$55)</f>
        <v>1</v>
      </c>
      <c r="Q47" s="399">
        <f>SUMIF($D$8:$D$55,$O47,$I$8:$I$55)+SUMIF($F$8:$F$55,$O47,$G$8:$G$55)</f>
        <v>5</v>
      </c>
      <c r="R47" s="399">
        <f>P47-Q47</f>
        <v>-4</v>
      </c>
      <c r="S47" s="400">
        <f>SUMIF($D$8:$D$55,$O47,$K$8:$K$55)+SUMIF($F$8:$F$55,$O47,$L$8:$L$55)</f>
        <v>1</v>
      </c>
      <c r="T47" s="445" t="s">
        <v>80</v>
      </c>
      <c r="U47" s="392"/>
      <c r="V47" s="392" t="str">
        <f>O47</f>
        <v>Ghana</v>
      </c>
      <c r="W47" s="392" t="s">
        <v>79</v>
      </c>
      <c r="Y47" s="109">
        <f t="shared" si="8"/>
        <v>0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0</v>
      </c>
      <c r="AG47" s="108">
        <f t="shared" si="0"/>
        <v>0</v>
      </c>
      <c r="AH47" s="108">
        <f t="shared" si="1"/>
        <v>0</v>
      </c>
      <c r="AI47" s="108">
        <f t="shared" si="10"/>
        <v>0</v>
      </c>
      <c r="AJ47" s="108">
        <f t="shared" si="2"/>
        <v>0</v>
      </c>
      <c r="AK47" s="108">
        <f t="shared" si="3"/>
        <v>0</v>
      </c>
      <c r="AL47" s="108">
        <f t="shared" si="4"/>
        <v>0</v>
      </c>
      <c r="AM47" s="120">
        <f>AO47</f>
        <v>10</v>
      </c>
      <c r="AN47" s="117" t="s">
        <v>35</v>
      </c>
      <c r="AO47" s="115">
        <f>IF(Uitslag!T47="",0,IF(T47=Uitslag!T47,10,0))</f>
        <v>10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2</v>
      </c>
      <c r="H48" s="367" t="s">
        <v>9</v>
      </c>
      <c r="I48" s="440">
        <v>2</v>
      </c>
      <c r="J48" s="369">
        <f t="shared" si="5"/>
        <v>3</v>
      </c>
      <c r="K48" s="363">
        <f t="shared" si="6"/>
        <v>1</v>
      </c>
      <c r="L48" s="363">
        <f t="shared" si="7"/>
        <v>1</v>
      </c>
      <c r="O48" s="401" t="s">
        <v>36</v>
      </c>
      <c r="P48" s="402">
        <f>SUMIF($D$8:$D$55,$O48,$G$8:$G$55)+SUMIF($F$8:$F$55,$O48,$I$8:$I$55)</f>
        <v>1</v>
      </c>
      <c r="Q48" s="402">
        <f>SUMIF($D$8:$D$55,$O48,$I$8:$I$55)+SUMIF($F$8:$F$55,$O48,$G$8:$G$55)</f>
        <v>4</v>
      </c>
      <c r="R48" s="402">
        <f>P48-Q48</f>
        <v>-3</v>
      </c>
      <c r="S48" s="403">
        <f>SUMIF($D$8:$D$55,$O48,$K$8:$K$55)+SUMIF($F$8:$F$55,$O48,$L$8:$L$55)</f>
        <v>3</v>
      </c>
      <c r="T48" s="446" t="s">
        <v>79</v>
      </c>
      <c r="U48" s="392"/>
      <c r="V48" s="392" t="str">
        <f>O48</f>
        <v>Verenigde Staten</v>
      </c>
      <c r="W48" s="392" t="s">
        <v>80</v>
      </c>
      <c r="Y48" s="109">
        <f t="shared" si="8"/>
        <v>1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1</v>
      </c>
      <c r="AG48" s="108">
        <f t="shared" si="0"/>
        <v>1</v>
      </c>
      <c r="AH48" s="108">
        <f t="shared" si="1"/>
        <v>0</v>
      </c>
      <c r="AI48" s="108">
        <f t="shared" si="10"/>
        <v>0</v>
      </c>
      <c r="AJ48" s="108">
        <f t="shared" si="2"/>
        <v>0</v>
      </c>
      <c r="AK48" s="108">
        <f t="shared" si="3"/>
        <v>0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1</v>
      </c>
      <c r="H49" s="373" t="s">
        <v>9</v>
      </c>
      <c r="I49" s="441">
        <v>0</v>
      </c>
      <c r="J49" s="375">
        <f t="shared" si="5"/>
        <v>1</v>
      </c>
      <c r="K49" s="363">
        <f t="shared" si="6"/>
        <v>3</v>
      </c>
      <c r="L49" s="363">
        <f t="shared" si="7"/>
        <v>0</v>
      </c>
      <c r="O49" s="392"/>
      <c r="P49" s="393"/>
      <c r="Q49" s="393"/>
      <c r="R49" s="393"/>
      <c r="S49" s="393"/>
      <c r="T49" s="393"/>
      <c r="U49" s="392"/>
      <c r="V49" s="392"/>
      <c r="W49" s="392"/>
      <c r="Y49" s="109">
        <f t="shared" si="8"/>
        <v>5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5</v>
      </c>
      <c r="AG49" s="108">
        <f t="shared" si="0"/>
        <v>0</v>
      </c>
      <c r="AH49" s="108">
        <f t="shared" si="1"/>
        <v>0</v>
      </c>
      <c r="AI49" s="108">
        <f t="shared" si="10"/>
        <v>0</v>
      </c>
      <c r="AJ49" s="108">
        <f t="shared" si="2"/>
        <v>5</v>
      </c>
      <c r="AK49" s="108">
        <f t="shared" si="3"/>
        <v>0</v>
      </c>
      <c r="AL49" s="108">
        <f t="shared" si="4"/>
        <v>0</v>
      </c>
      <c r="AN49" s="392"/>
      <c r="AO49" s="393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0</v>
      </c>
      <c r="H50" s="373" t="s">
        <v>9</v>
      </c>
      <c r="I50" s="441">
        <v>1</v>
      </c>
      <c r="J50" s="375">
        <f t="shared" si="5"/>
        <v>2</v>
      </c>
      <c r="K50" s="363">
        <f t="shared" si="6"/>
        <v>0</v>
      </c>
      <c r="L50" s="363">
        <f t="shared" si="7"/>
        <v>3</v>
      </c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392"/>
      <c r="V50" s="392"/>
      <c r="W50" s="392"/>
      <c r="Y50" s="109">
        <f t="shared" si="8"/>
        <v>6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6</v>
      </c>
      <c r="AG50" s="108">
        <f t="shared" si="0"/>
        <v>1</v>
      </c>
      <c r="AH50" s="108">
        <f t="shared" si="1"/>
        <v>0</v>
      </c>
      <c r="AI50" s="108">
        <f t="shared" si="10"/>
        <v>0</v>
      </c>
      <c r="AJ50" s="108">
        <f t="shared" si="2"/>
        <v>0</v>
      </c>
      <c r="AK50" s="108">
        <f t="shared" si="3"/>
        <v>5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1</v>
      </c>
      <c r="H51" s="379" t="s">
        <v>9</v>
      </c>
      <c r="I51" s="442">
        <v>3</v>
      </c>
      <c r="J51" s="381">
        <f t="shared" si="5"/>
        <v>2</v>
      </c>
      <c r="K51" s="363">
        <f t="shared" si="6"/>
        <v>0</v>
      </c>
      <c r="L51" s="363">
        <f>IF(I51="","",IF($G51&lt;$I51,3,IF($G51=$I51,1,0)))</f>
        <v>3</v>
      </c>
      <c r="O51" s="394" t="s">
        <v>37</v>
      </c>
      <c r="P51" s="395">
        <f>SUMIF($D$8:$D$55,$O51,$G$8:$G$55)+SUMIF($F$8:$F$55,$O51,$I$8:$I$55)</f>
        <v>3</v>
      </c>
      <c r="Q51" s="395">
        <f>SUMIF($D$8:$D$55,$O51,$I$8:$I$55)+SUMIF($F$8:$F$55,$O51,$G$8:$G$55)</f>
        <v>3</v>
      </c>
      <c r="R51" s="396">
        <f>P51-Q51</f>
        <v>0</v>
      </c>
      <c r="S51" s="397">
        <f>SUMIF($D$8:$D$55,$O51,$K$8:$K$55)+SUMIF($F$8:$F$55,$O51,$L$8:$L$55)</f>
        <v>3</v>
      </c>
      <c r="T51" s="444" t="s">
        <v>84</v>
      </c>
      <c r="U51" s="392"/>
      <c r="V51" s="392" t="str">
        <f>O51</f>
        <v>België</v>
      </c>
      <c r="W51" s="392" t="s">
        <v>82</v>
      </c>
      <c r="Y51" s="109">
        <f t="shared" si="8"/>
        <v>0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0</v>
      </c>
      <c r="AG51" s="108">
        <f t="shared" si="0"/>
        <v>0</v>
      </c>
      <c r="AH51" s="108">
        <f t="shared" si="1"/>
        <v>0</v>
      </c>
      <c r="AI51" s="108">
        <f t="shared" si="10"/>
        <v>0</v>
      </c>
      <c r="AJ51" s="108">
        <f t="shared" si="2"/>
        <v>0</v>
      </c>
      <c r="AK51" s="108">
        <f t="shared" si="3"/>
        <v>0</v>
      </c>
      <c r="AL51" s="108">
        <f t="shared" si="4"/>
        <v>0</v>
      </c>
      <c r="AM51" s="120">
        <f>AO51</f>
        <v>0</v>
      </c>
      <c r="AN51" s="116" t="s">
        <v>37</v>
      </c>
      <c r="AO51" s="115">
        <f>IF(Uitslag!T51="",0,IF(T51=Uitslag!T51,10,0))</f>
        <v>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0</v>
      </c>
      <c r="H52" s="373" t="s">
        <v>9</v>
      </c>
      <c r="I52" s="441">
        <v>2</v>
      </c>
      <c r="J52" s="369">
        <f t="shared" si="5"/>
        <v>2</v>
      </c>
      <c r="K52" s="363">
        <f t="shared" si="6"/>
        <v>0</v>
      </c>
      <c r="L52" s="363">
        <f t="shared" si="7"/>
        <v>3</v>
      </c>
      <c r="O52" s="398" t="s">
        <v>38</v>
      </c>
      <c r="P52" s="399">
        <f>SUMIF($D$8:$D$55,$O52,$G$8:$G$55)+SUMIF($F$8:$F$55,$O52,$I$8:$I$55)</f>
        <v>0</v>
      </c>
      <c r="Q52" s="399">
        <f>SUMIF($D$8:$D$55,$O52,$I$8:$I$55)+SUMIF($F$8:$F$55,$O52,$G$8:$G$55)</f>
        <v>5</v>
      </c>
      <c r="R52" s="399">
        <f>P52-Q52</f>
        <v>-5</v>
      </c>
      <c r="S52" s="400">
        <f>SUMIF($D$8:$D$55,$O52,$K$8:$K$55)+SUMIF($F$8:$F$55,$O52,$L$8:$L$55)</f>
        <v>0</v>
      </c>
      <c r="T52" s="445" t="s">
        <v>85</v>
      </c>
      <c r="U52" s="392"/>
      <c r="V52" s="392" t="str">
        <f>O52</f>
        <v>Algerije</v>
      </c>
      <c r="W52" s="392" t="s">
        <v>83</v>
      </c>
      <c r="Y52" s="109">
        <f t="shared" si="8"/>
        <v>6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6</v>
      </c>
      <c r="AG52" s="108">
        <f t="shared" si="0"/>
        <v>1</v>
      </c>
      <c r="AH52" s="108">
        <f t="shared" si="1"/>
        <v>0</v>
      </c>
      <c r="AI52" s="108">
        <f t="shared" si="10"/>
        <v>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1</v>
      </c>
      <c r="H53" s="373" t="s">
        <v>9</v>
      </c>
      <c r="I53" s="441">
        <v>1</v>
      </c>
      <c r="J53" s="375">
        <f t="shared" si="5"/>
        <v>3</v>
      </c>
      <c r="K53" s="363">
        <f t="shared" si="6"/>
        <v>1</v>
      </c>
      <c r="L53" s="363">
        <f t="shared" si="7"/>
        <v>1</v>
      </c>
      <c r="O53" s="398" t="s">
        <v>39</v>
      </c>
      <c r="P53" s="399">
        <f>SUMIF($D$8:$D$55,$O53,$G$8:$G$55)+SUMIF($F$8:$F$55,$O53,$I$8:$I$55)</f>
        <v>5</v>
      </c>
      <c r="Q53" s="399">
        <f>SUMIF($D$8:$D$55,$O53,$I$8:$I$55)+SUMIF($F$8:$F$55,$O53,$G$8:$G$55)</f>
        <v>1</v>
      </c>
      <c r="R53" s="399">
        <f>P53-Q53</f>
        <v>4</v>
      </c>
      <c r="S53" s="400">
        <f>SUMIF($D$8:$D$55,$O53,$K$8:$K$55)+SUMIF($F$8:$F$55,$O53,$L$8:$L$55)</f>
        <v>9</v>
      </c>
      <c r="T53" s="445" t="s">
        <v>82</v>
      </c>
      <c r="U53" s="392"/>
      <c r="V53" s="392" t="str">
        <f>O53</f>
        <v>Rusland</v>
      </c>
      <c r="W53" s="392" t="s">
        <v>84</v>
      </c>
      <c r="Y53" s="109">
        <f t="shared" si="8"/>
        <v>1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1</v>
      </c>
      <c r="AG53" s="108">
        <f t="shared" si="0"/>
        <v>0</v>
      </c>
      <c r="AH53" s="108">
        <f t="shared" si="1"/>
        <v>1</v>
      </c>
      <c r="AI53" s="108">
        <f t="shared" si="10"/>
        <v>0</v>
      </c>
      <c r="AJ53" s="108">
        <f t="shared" si="2"/>
        <v>0</v>
      </c>
      <c r="AK53" s="108">
        <f t="shared" si="3"/>
        <v>0</v>
      </c>
      <c r="AL53" s="108">
        <f t="shared" si="4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1</v>
      </c>
      <c r="H54" s="373" t="s">
        <v>9</v>
      </c>
      <c r="I54" s="441">
        <v>0</v>
      </c>
      <c r="J54" s="375">
        <f t="shared" si="5"/>
        <v>1</v>
      </c>
      <c r="K54" s="363">
        <f t="shared" si="6"/>
        <v>3</v>
      </c>
      <c r="L54" s="363">
        <f t="shared" si="7"/>
        <v>0</v>
      </c>
      <c r="O54" s="401" t="s">
        <v>40</v>
      </c>
      <c r="P54" s="402">
        <f>SUMIF($D$8:$D$55,$O54,$G$8:$G$55)+SUMIF($F$8:$F$55,$O54,$I$8:$I$55)</f>
        <v>2</v>
      </c>
      <c r="Q54" s="402">
        <f>SUMIF($D$8:$D$55,$O54,$I$8:$I$55)+SUMIF($F$8:$F$55,$O54,$G$8:$G$55)</f>
        <v>1</v>
      </c>
      <c r="R54" s="402">
        <f>P54-Q54</f>
        <v>1</v>
      </c>
      <c r="S54" s="403">
        <f>SUMIF($D$8:$D$55,$O54,$K$8:$K$55)+SUMIF($F$8:$F$55,$O54,$L$8:$L$55)</f>
        <v>6</v>
      </c>
      <c r="T54" s="446" t="s">
        <v>83</v>
      </c>
      <c r="U54" s="392"/>
      <c r="V54" s="392" t="str">
        <f>O54</f>
        <v>Zuid Korea</v>
      </c>
      <c r="W54" s="392" t="s">
        <v>85</v>
      </c>
      <c r="Y54" s="109">
        <f t="shared" si="8"/>
        <v>0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0</v>
      </c>
      <c r="AG54" s="108">
        <f t="shared" si="0"/>
        <v>0</v>
      </c>
      <c r="AH54" s="108">
        <f t="shared" si="1"/>
        <v>0</v>
      </c>
      <c r="AI54" s="108">
        <f t="shared" si="10"/>
        <v>0</v>
      </c>
      <c r="AJ54" s="108">
        <f t="shared" si="2"/>
        <v>0</v>
      </c>
      <c r="AK54" s="108">
        <f t="shared" si="3"/>
        <v>0</v>
      </c>
      <c r="AL54" s="108">
        <f t="shared" si="4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0</v>
      </c>
      <c r="H55" s="388" t="s">
        <v>9</v>
      </c>
      <c r="I55" s="443">
        <v>2</v>
      </c>
      <c r="J55" s="390">
        <f t="shared" si="5"/>
        <v>2</v>
      </c>
      <c r="K55" s="363">
        <f t="shared" si="6"/>
        <v>0</v>
      </c>
      <c r="L55" s="363">
        <f t="shared" si="7"/>
        <v>3</v>
      </c>
      <c r="O55" s="392"/>
      <c r="P55" s="393"/>
      <c r="Q55" s="393"/>
      <c r="R55" s="393"/>
      <c r="S55" s="393"/>
      <c r="T55" s="393"/>
      <c r="U55" s="392"/>
      <c r="V55" s="392"/>
      <c r="W55" s="392"/>
      <c r="Y55" s="109">
        <f t="shared" si="8"/>
        <v>0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0</v>
      </c>
      <c r="AG55" s="108">
        <f t="shared" si="0"/>
        <v>0</v>
      </c>
      <c r="AH55" s="108">
        <f t="shared" si="1"/>
        <v>0</v>
      </c>
      <c r="AI55" s="108">
        <f t="shared" si="10"/>
        <v>0</v>
      </c>
      <c r="AJ55" s="108">
        <f t="shared" si="2"/>
        <v>0</v>
      </c>
      <c r="AK55" s="108">
        <f t="shared" si="3"/>
        <v>0</v>
      </c>
      <c r="AL55" s="108">
        <f t="shared" si="4"/>
        <v>0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79"/>
      <c r="K57" s="353"/>
      <c r="L57" s="353"/>
      <c r="M57" s="353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77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O58" s="458">
        <v>1</v>
      </c>
      <c r="P58" s="877" t="s">
        <v>224</v>
      </c>
      <c r="Q58" s="877"/>
      <c r="R58" s="877"/>
      <c r="S58" s="877"/>
      <c r="T58" s="878"/>
      <c r="V58" s="352" t="s">
        <v>132</v>
      </c>
      <c r="W58" s="352" t="s">
        <v>124</v>
      </c>
      <c r="X58" s="352" t="str">
        <f t="shared" ref="X58:X98" si="11">CONCATENATE(W58," ",V58)</f>
        <v>Jeroen Zoet (k)</v>
      </c>
      <c r="Y58" s="113" t="s">
        <v>91</v>
      </c>
      <c r="Z58" s="352" t="str">
        <f>IF(K58=""," ",VLOOKUP(K58,$T$9:$V$54,3,FALSE))</f>
        <v xml:space="preserve"> </v>
      </c>
      <c r="AA58" s="352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>IF(ISERROR(Z59),K59,Z59)</f>
        <v>Brazilië</v>
      </c>
      <c r="E59" s="367" t="s">
        <v>9</v>
      </c>
      <c r="F59" s="406" t="str">
        <f>IF(ISERROR(AA59),L59,AA59)</f>
        <v>Spanje</v>
      </c>
      <c r="G59" s="435">
        <v>2</v>
      </c>
      <c r="H59" s="367" t="s">
        <v>9</v>
      </c>
      <c r="I59" s="447">
        <v>2</v>
      </c>
      <c r="J59" s="448">
        <v>1</v>
      </c>
      <c r="K59" s="407" t="s">
        <v>48</v>
      </c>
      <c r="L59" s="407" t="s">
        <v>53</v>
      </c>
      <c r="M59" s="407">
        <v>1</v>
      </c>
      <c r="O59" s="458">
        <v>2</v>
      </c>
      <c r="P59" s="877" t="s">
        <v>212</v>
      </c>
      <c r="Q59" s="877"/>
      <c r="R59" s="877"/>
      <c r="S59" s="877"/>
      <c r="T59" s="878"/>
      <c r="V59" s="352" t="s">
        <v>132</v>
      </c>
      <c r="W59" s="352" t="s">
        <v>111</v>
      </c>
      <c r="X59" s="352" t="str">
        <f t="shared" si="11"/>
        <v>Jasper Cillessen (k)</v>
      </c>
      <c r="Y59" s="109">
        <f t="shared" ref="Y59:Y66" si="13">AF59</f>
        <v>5</v>
      </c>
      <c r="Z59" s="352" t="str">
        <f t="shared" ref="Z59:AA65" si="14">IF(K59=""," ",VLOOKUP(K59,$T$9:$V$54,3,FALSE))</f>
        <v>Brazilië</v>
      </c>
      <c r="AA59" s="352" t="str">
        <f t="shared" si="14"/>
        <v>Spanje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5</v>
      </c>
      <c r="AG59" s="108">
        <f t="shared" ref="AG59:AG66" si="16">IF(AC59="",0,(IF(G59=AC59,1,0)))</f>
        <v>0</v>
      </c>
      <c r="AH59" s="108">
        <f t="shared" ref="AH59:AH66" si="17">IF(AD59="",0,(IF(I59=AD59,1,0)))</f>
        <v>0</v>
      </c>
      <c r="AI59" s="108">
        <f t="shared" ref="AI59:AI66" si="18">IF(AND(AG59=1,AH59=1),10,0)</f>
        <v>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5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376">
        <v>50</v>
      </c>
      <c r="C60" s="466">
        <v>41818</v>
      </c>
      <c r="D60" s="460" t="str">
        <f t="shared" ref="D60:D66" si="23">IF(ISERROR(Z60),K60,Z60)</f>
        <v>Ivoorkust</v>
      </c>
      <c r="E60" s="379" t="s">
        <v>9</v>
      </c>
      <c r="F60" s="409" t="str">
        <f t="shared" ref="F60:F66" si="24">IF(ISERROR(AA60),L60,AA60)</f>
        <v>Engeland</v>
      </c>
      <c r="G60" s="437">
        <v>1</v>
      </c>
      <c r="H60" s="379" t="s">
        <v>9</v>
      </c>
      <c r="I60" s="449">
        <v>2</v>
      </c>
      <c r="J60" s="450">
        <v>2</v>
      </c>
      <c r="K60" s="407" t="s">
        <v>57</v>
      </c>
      <c r="L60" s="407" t="s">
        <v>63</v>
      </c>
      <c r="M60" s="407">
        <v>2</v>
      </c>
      <c r="O60" s="458">
        <v>3</v>
      </c>
      <c r="P60" s="877" t="s">
        <v>209</v>
      </c>
      <c r="Q60" s="877"/>
      <c r="R60" s="877"/>
      <c r="S60" s="877"/>
      <c r="T60" s="878"/>
      <c r="V60" s="352" t="s">
        <v>132</v>
      </c>
      <c r="W60" s="352" t="s">
        <v>110</v>
      </c>
      <c r="X60" s="352" t="str">
        <f t="shared" si="11"/>
        <v>Kenneth Vermeer (k)</v>
      </c>
      <c r="Y60" s="109">
        <f t="shared" si="13"/>
        <v>0</v>
      </c>
      <c r="Z60" s="352" t="str">
        <f t="shared" si="14"/>
        <v>Ivoorkust</v>
      </c>
      <c r="AA60" s="352" t="str">
        <f t="shared" si="14"/>
        <v>Engeland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0</v>
      </c>
      <c r="AG60" s="108">
        <f t="shared" si="16"/>
        <v>0</v>
      </c>
      <c r="AH60" s="108">
        <f t="shared" si="17"/>
        <v>0</v>
      </c>
      <c r="AI60" s="108">
        <f t="shared" si="18"/>
        <v>0</v>
      </c>
      <c r="AJ60" s="108">
        <f t="shared" si="19"/>
        <v>0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2"/>
        <v>3</v>
      </c>
    </row>
    <row r="61" spans="2:54">
      <c r="B61" s="364">
        <v>51</v>
      </c>
      <c r="C61" s="465">
        <v>41819</v>
      </c>
      <c r="D61" s="464" t="str">
        <f t="shared" si="23"/>
        <v>Nederland</v>
      </c>
      <c r="E61" s="367" t="s">
        <v>9</v>
      </c>
      <c r="F61" s="406" t="str">
        <f t="shared" si="24"/>
        <v>Kroatië</v>
      </c>
      <c r="G61" s="435">
        <v>1</v>
      </c>
      <c r="H61" s="367" t="s">
        <v>9</v>
      </c>
      <c r="I61" s="447">
        <v>1</v>
      </c>
      <c r="J61" s="448">
        <v>1</v>
      </c>
      <c r="K61" s="407" t="s">
        <v>52</v>
      </c>
      <c r="L61" s="407" t="s">
        <v>49</v>
      </c>
      <c r="M61" s="407"/>
      <c r="O61" s="458">
        <v>4</v>
      </c>
      <c r="P61" s="877" t="s">
        <v>211</v>
      </c>
      <c r="Q61" s="877"/>
      <c r="R61" s="877"/>
      <c r="S61" s="877"/>
      <c r="T61" s="878"/>
      <c r="V61" s="352" t="s">
        <v>132</v>
      </c>
      <c r="W61" s="352" t="s">
        <v>191</v>
      </c>
      <c r="X61" s="352" t="str">
        <f t="shared" si="11"/>
        <v>Tim Krul (k)</v>
      </c>
      <c r="Y61" s="109">
        <f t="shared" si="13"/>
        <v>1</v>
      </c>
      <c r="Z61" s="352" t="str">
        <f t="shared" si="14"/>
        <v>Nederland</v>
      </c>
      <c r="AA61" s="352" t="str">
        <f t="shared" si="14"/>
        <v>Kroatië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1</v>
      </c>
      <c r="AG61" s="108">
        <f t="shared" si="16"/>
        <v>0</v>
      </c>
      <c r="AH61" s="108">
        <f t="shared" si="17"/>
        <v>1</v>
      </c>
      <c r="AI61" s="108">
        <f t="shared" si="18"/>
        <v>0</v>
      </c>
      <c r="AJ61" s="108">
        <f t="shared" si="19"/>
        <v>0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3</v>
      </c>
      <c r="BB61" s="139">
        <f t="shared" si="22"/>
        <v>3</v>
      </c>
    </row>
    <row r="62" spans="2:54">
      <c r="B62" s="376">
        <v>52</v>
      </c>
      <c r="C62" s="466">
        <v>41819</v>
      </c>
      <c r="D62" s="464" t="str">
        <f t="shared" si="23"/>
        <v>Italië</v>
      </c>
      <c r="E62" s="379" t="s">
        <v>9</v>
      </c>
      <c r="F62" s="409" t="str">
        <f t="shared" si="24"/>
        <v>Japan</v>
      </c>
      <c r="G62" s="437">
        <v>3</v>
      </c>
      <c r="H62" s="379" t="s">
        <v>9</v>
      </c>
      <c r="I62" s="449">
        <v>0</v>
      </c>
      <c r="J62" s="450">
        <v>1</v>
      </c>
      <c r="K62" s="407" t="s">
        <v>62</v>
      </c>
      <c r="L62" s="407" t="s">
        <v>58</v>
      </c>
      <c r="M62" s="407"/>
      <c r="O62" s="458">
        <v>5</v>
      </c>
      <c r="P62" s="877" t="s">
        <v>220</v>
      </c>
      <c r="Q62" s="877"/>
      <c r="R62" s="877"/>
      <c r="S62" s="877"/>
      <c r="T62" s="878"/>
      <c r="V62" s="352" t="s">
        <v>132</v>
      </c>
      <c r="W62" s="352" t="s">
        <v>192</v>
      </c>
      <c r="X62" s="352" t="str">
        <f t="shared" si="11"/>
        <v>Maarten Stekelenburg (k)</v>
      </c>
      <c r="Y62" s="109">
        <f t="shared" si="13"/>
        <v>0</v>
      </c>
      <c r="Z62" s="352" t="str">
        <f t="shared" si="14"/>
        <v>Italië</v>
      </c>
      <c r="AA62" s="352" t="str">
        <f t="shared" si="14"/>
        <v>Japan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0</v>
      </c>
      <c r="AG62" s="108">
        <f t="shared" si="16"/>
        <v>0</v>
      </c>
      <c r="AH62" s="108">
        <f t="shared" si="17"/>
        <v>0</v>
      </c>
      <c r="AI62" s="108">
        <f t="shared" si="18"/>
        <v>0</v>
      </c>
      <c r="AJ62" s="108">
        <f t="shared" si="19"/>
        <v>0</v>
      </c>
      <c r="AK62" s="108">
        <f t="shared" si="20"/>
        <v>0</v>
      </c>
      <c r="AL62" s="108">
        <f t="shared" si="21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2"/>
        <v>3</v>
      </c>
    </row>
    <row r="63" spans="2:54">
      <c r="B63" s="364">
        <v>53</v>
      </c>
      <c r="C63" s="465">
        <v>41820</v>
      </c>
      <c r="D63" s="459" t="str">
        <f t="shared" si="23"/>
        <v>Frankrijk</v>
      </c>
      <c r="E63" s="367" t="s">
        <v>9</v>
      </c>
      <c r="F63" s="406" t="str">
        <f t="shared" si="24"/>
        <v>Nigeria</v>
      </c>
      <c r="G63" s="435">
        <v>2</v>
      </c>
      <c r="H63" s="367" t="s">
        <v>9</v>
      </c>
      <c r="I63" s="447">
        <v>1</v>
      </c>
      <c r="J63" s="448">
        <v>1</v>
      </c>
      <c r="K63" s="407" t="s">
        <v>67</v>
      </c>
      <c r="L63" s="407" t="s">
        <v>73</v>
      </c>
      <c r="M63" s="407"/>
      <c r="O63" s="458">
        <v>6</v>
      </c>
      <c r="P63" s="877" t="s">
        <v>214</v>
      </c>
      <c r="Q63" s="877"/>
      <c r="R63" s="877"/>
      <c r="S63" s="877"/>
      <c r="T63" s="878"/>
      <c r="V63" s="352" t="s">
        <v>132</v>
      </c>
      <c r="W63" s="352" t="s">
        <v>193</v>
      </c>
      <c r="X63" s="352" t="str">
        <f t="shared" si="11"/>
        <v>Michel Vorm (k)</v>
      </c>
      <c r="Y63" s="109">
        <f t="shared" si="13"/>
        <v>6</v>
      </c>
      <c r="Z63" s="352" t="str">
        <f t="shared" si="14"/>
        <v>Frankrijk</v>
      </c>
      <c r="AA63" s="352" t="str">
        <f t="shared" si="14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6</v>
      </c>
      <c r="AG63" s="108">
        <f t="shared" si="16"/>
        <v>1</v>
      </c>
      <c r="AH63" s="108">
        <f t="shared" si="17"/>
        <v>0</v>
      </c>
      <c r="AI63" s="108">
        <f t="shared" si="18"/>
        <v>0</v>
      </c>
      <c r="AJ63" s="108">
        <f t="shared" si="19"/>
        <v>5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3</v>
      </c>
      <c r="BB63" s="139">
        <f t="shared" si="22"/>
        <v>3</v>
      </c>
    </row>
    <row r="64" spans="2:54">
      <c r="B64" s="376">
        <v>54</v>
      </c>
      <c r="C64" s="466">
        <v>41820</v>
      </c>
      <c r="D64" s="460" t="str">
        <f t="shared" si="23"/>
        <v>Duitsland</v>
      </c>
      <c r="E64" s="379" t="s">
        <v>9</v>
      </c>
      <c r="F64" s="409" t="str">
        <f t="shared" si="24"/>
        <v>Zuid Korea</v>
      </c>
      <c r="G64" s="437">
        <v>3</v>
      </c>
      <c r="H64" s="379" t="s">
        <v>9</v>
      </c>
      <c r="I64" s="449">
        <v>0</v>
      </c>
      <c r="J64" s="450">
        <v>1</v>
      </c>
      <c r="K64" s="407" t="s">
        <v>77</v>
      </c>
      <c r="L64" s="407" t="s">
        <v>83</v>
      </c>
      <c r="M64" s="407"/>
      <c r="O64" s="458">
        <v>7</v>
      </c>
      <c r="P64" s="877" t="s">
        <v>268</v>
      </c>
      <c r="Q64" s="877"/>
      <c r="R64" s="877"/>
      <c r="S64" s="877"/>
      <c r="T64" s="878"/>
      <c r="V64" s="352" t="s">
        <v>133</v>
      </c>
      <c r="W64" s="352" t="s">
        <v>112</v>
      </c>
      <c r="X64" s="352" t="str">
        <f t="shared" si="11"/>
        <v>Joël Veltman (v)</v>
      </c>
      <c r="Y64" s="109">
        <f t="shared" si="13"/>
        <v>1</v>
      </c>
      <c r="Z64" s="352" t="str">
        <f t="shared" si="14"/>
        <v>Duitsland</v>
      </c>
      <c r="AA64" s="352" t="str">
        <f t="shared" si="14"/>
        <v>Zuid Korea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1</v>
      </c>
      <c r="AG64" s="108">
        <f t="shared" si="16"/>
        <v>0</v>
      </c>
      <c r="AH64" s="108">
        <f t="shared" si="17"/>
        <v>1</v>
      </c>
      <c r="AI64" s="108">
        <f t="shared" si="18"/>
        <v>0</v>
      </c>
      <c r="AJ64" s="108">
        <f t="shared" si="19"/>
        <v>0</v>
      </c>
      <c r="AK64" s="108">
        <f t="shared" si="20"/>
        <v>0</v>
      </c>
      <c r="AL64" s="108">
        <f t="shared" si="21"/>
        <v>0</v>
      </c>
      <c r="AZ64" s="138" t="str">
        <f>Uitslag!P64</f>
        <v>Wesley Sneijder (m)</v>
      </c>
      <c r="BA64" s="140">
        <f t="shared" si="12"/>
        <v>0</v>
      </c>
      <c r="BB64" s="139">
        <f t="shared" si="22"/>
        <v>0</v>
      </c>
    </row>
    <row r="65" spans="2:54">
      <c r="B65" s="370">
        <v>55</v>
      </c>
      <c r="C65" s="467">
        <v>41821</v>
      </c>
      <c r="D65" s="459" t="str">
        <f t="shared" si="23"/>
        <v>Argentinië</v>
      </c>
      <c r="E65" s="373" t="s">
        <v>9</v>
      </c>
      <c r="F65" s="410" t="str">
        <f t="shared" si="24"/>
        <v>Zwitserland</v>
      </c>
      <c r="G65" s="436">
        <v>2</v>
      </c>
      <c r="H65" s="373" t="s">
        <v>9</v>
      </c>
      <c r="I65" s="451">
        <v>0</v>
      </c>
      <c r="J65" s="452">
        <v>1</v>
      </c>
      <c r="K65" s="407" t="s">
        <v>72</v>
      </c>
      <c r="L65" s="407" t="s">
        <v>68</v>
      </c>
      <c r="M65" s="407"/>
      <c r="O65" s="458">
        <v>8</v>
      </c>
      <c r="P65" s="877" t="s">
        <v>226</v>
      </c>
      <c r="Q65" s="877"/>
      <c r="R65" s="877"/>
      <c r="S65" s="877"/>
      <c r="T65" s="878"/>
      <c r="V65" s="352" t="s">
        <v>133</v>
      </c>
      <c r="W65" s="352" t="s">
        <v>109</v>
      </c>
      <c r="X65" s="352" t="str">
        <f t="shared" si="11"/>
        <v>Daley Blind (v)</v>
      </c>
      <c r="Y65" s="109">
        <f t="shared" si="13"/>
        <v>1</v>
      </c>
      <c r="Z65" s="352" t="str">
        <f t="shared" si="14"/>
        <v>Argentinië</v>
      </c>
      <c r="AA65" s="352" t="str">
        <f t="shared" si="14"/>
        <v>Zwitserland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1</v>
      </c>
      <c r="AG65" s="108">
        <f t="shared" si="16"/>
        <v>0</v>
      </c>
      <c r="AH65" s="108">
        <f t="shared" si="17"/>
        <v>1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2"/>
        <v>3</v>
      </c>
    </row>
    <row r="66" spans="2:54" ht="15.75" thickBot="1">
      <c r="B66" s="385">
        <v>56</v>
      </c>
      <c r="C66" s="462">
        <v>41821</v>
      </c>
      <c r="D66" s="461" t="str">
        <f t="shared" si="23"/>
        <v>Rusland</v>
      </c>
      <c r="E66" s="388" t="s">
        <v>9</v>
      </c>
      <c r="F66" s="412" t="str">
        <f t="shared" si="24"/>
        <v>Portugal</v>
      </c>
      <c r="G66" s="438">
        <v>1</v>
      </c>
      <c r="H66" s="388" t="s">
        <v>9</v>
      </c>
      <c r="I66" s="453">
        <v>2</v>
      </c>
      <c r="J66" s="454">
        <v>2</v>
      </c>
      <c r="K66" s="407" t="s">
        <v>82</v>
      </c>
      <c r="L66" s="407" t="s">
        <v>78</v>
      </c>
      <c r="M66" s="407"/>
      <c r="O66" s="458">
        <v>9</v>
      </c>
      <c r="P66" s="877" t="s">
        <v>223</v>
      </c>
      <c r="Q66" s="877"/>
      <c r="R66" s="877"/>
      <c r="S66" s="877"/>
      <c r="T66" s="878"/>
      <c r="V66" s="352" t="s">
        <v>133</v>
      </c>
      <c r="W66" s="352" t="s">
        <v>115</v>
      </c>
      <c r="X66" s="352" t="str">
        <f t="shared" si="11"/>
        <v>Daryl Janmaat (v)</v>
      </c>
      <c r="Y66" s="109">
        <f t="shared" si="13"/>
        <v>0</v>
      </c>
      <c r="Z66" s="352" t="str">
        <f>IF(K66=""," ",VLOOKUP(K66,$T$9:$V$54,3,FALSE))</f>
        <v>Rusland</v>
      </c>
      <c r="AA66" s="352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0</v>
      </c>
      <c r="AG66" s="108">
        <f t="shared" si="16"/>
        <v>0</v>
      </c>
      <c r="AH66" s="108">
        <f t="shared" si="17"/>
        <v>0</v>
      </c>
      <c r="AI66" s="108">
        <f t="shared" si="18"/>
        <v>0</v>
      </c>
      <c r="AJ66" s="108">
        <f t="shared" si="19"/>
        <v>0</v>
      </c>
      <c r="AK66" s="108">
        <f t="shared" si="20"/>
        <v>0</v>
      </c>
      <c r="AL66" s="108">
        <f t="shared" si="21"/>
        <v>0</v>
      </c>
      <c r="AZ66" s="138" t="str">
        <f>Uitslag!P66</f>
        <v>Jonathan de Guzman (m)</v>
      </c>
      <c r="BA66" s="140">
        <f t="shared" si="12"/>
        <v>0</v>
      </c>
      <c r="BB66" s="139">
        <f t="shared" si="22"/>
        <v>0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O67" s="458">
        <v>10</v>
      </c>
      <c r="P67" s="877" t="s">
        <v>216</v>
      </c>
      <c r="Q67" s="877"/>
      <c r="R67" s="877"/>
      <c r="S67" s="877"/>
      <c r="T67" s="878"/>
      <c r="V67" s="352" t="s">
        <v>133</v>
      </c>
      <c r="W67" s="352" t="s">
        <v>118</v>
      </c>
      <c r="X67" s="352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2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79"/>
      <c r="K68" s="353"/>
      <c r="L68" s="353"/>
      <c r="M68" s="353"/>
      <c r="O68" s="458">
        <v>11</v>
      </c>
      <c r="P68" s="877" t="s">
        <v>215</v>
      </c>
      <c r="Q68" s="877"/>
      <c r="R68" s="877"/>
      <c r="S68" s="877"/>
      <c r="T68" s="878"/>
      <c r="V68" s="352" t="s">
        <v>133</v>
      </c>
      <c r="W68" s="352" t="s">
        <v>119</v>
      </c>
      <c r="X68" s="352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2"/>
        <v>3</v>
      </c>
    </row>
    <row r="69" spans="2:54">
      <c r="B69" s="428" t="s">
        <v>1</v>
      </c>
      <c r="C69" s="429" t="s">
        <v>2</v>
      </c>
      <c r="D69" s="476" t="s">
        <v>3</v>
      </c>
      <c r="E69" s="431"/>
      <c r="F69" s="477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V69" s="352" t="s">
        <v>133</v>
      </c>
      <c r="W69" s="352" t="s">
        <v>121</v>
      </c>
      <c r="X69" s="352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27</v>
      </c>
      <c r="BB69" s="139" t="str">
        <f>IF(AND(BA69&lt;&gt;"",BA69=33),15,"nvt")</f>
        <v>nvt</v>
      </c>
    </row>
    <row r="70" spans="2:54">
      <c r="B70" s="364">
        <v>57</v>
      </c>
      <c r="C70" s="365">
        <v>41824</v>
      </c>
      <c r="D70" s="405" t="str">
        <f>IF(J63="","Winnaar 53",IF(J63=1,D63,F63))</f>
        <v>Frankrijk</v>
      </c>
      <c r="E70" s="367" t="s">
        <v>9</v>
      </c>
      <c r="F70" s="406" t="str">
        <f>IF(J64="","Winnaar 54",IF(J64=1,D64,F64))</f>
        <v>Duitsland</v>
      </c>
      <c r="G70" s="435">
        <v>1</v>
      </c>
      <c r="H70" s="367" t="s">
        <v>9</v>
      </c>
      <c r="I70" s="447">
        <v>2</v>
      </c>
      <c r="J70" s="448">
        <v>2</v>
      </c>
      <c r="K70" s="353"/>
      <c r="L70" s="353"/>
      <c r="M70" s="353"/>
      <c r="V70" s="352" t="s">
        <v>133</v>
      </c>
      <c r="W70" s="352" t="s">
        <v>126</v>
      </c>
      <c r="X70" s="352" t="str">
        <f t="shared" si="11"/>
        <v>Karim Rekik (v)</v>
      </c>
      <c r="Y70" s="109">
        <f>AF70</f>
        <v>5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5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Brazilië</v>
      </c>
      <c r="E71" s="379" t="s">
        <v>9</v>
      </c>
      <c r="F71" s="409" t="str">
        <f>IF(J60="","Winnaar 50",IF(J60=1,D60,F60))</f>
        <v>Engeland</v>
      </c>
      <c r="G71" s="437">
        <v>2</v>
      </c>
      <c r="H71" s="379" t="s">
        <v>9</v>
      </c>
      <c r="I71" s="449">
        <v>0</v>
      </c>
      <c r="J71" s="450">
        <v>1</v>
      </c>
      <c r="K71" s="353"/>
      <c r="L71" s="353"/>
      <c r="M71" s="353"/>
      <c r="V71" s="352" t="s">
        <v>133</v>
      </c>
      <c r="W71" s="352" t="s">
        <v>194</v>
      </c>
      <c r="X71" s="352" t="str">
        <f t="shared" si="11"/>
        <v>Ron Vlaar (v)</v>
      </c>
      <c r="Y71" s="109">
        <f>AF71</f>
        <v>6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6</v>
      </c>
      <c r="AG71" s="108">
        <f>IF(AC71="",0,(IF(G71=AC71,1,0)))</f>
        <v>1</v>
      </c>
      <c r="AH71" s="108">
        <f>IF(AD71="",0,(IF(I71=AD71,1,0)))</f>
        <v>0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Argentinië</v>
      </c>
      <c r="E72" s="367" t="s">
        <v>9</v>
      </c>
      <c r="F72" s="406" t="str">
        <f>IF(J66="","Winnaar 56",IF(J66=1,D66,F66))</f>
        <v>Portugal</v>
      </c>
      <c r="G72" s="435">
        <v>1</v>
      </c>
      <c r="H72" s="367" t="s">
        <v>9</v>
      </c>
      <c r="I72" s="447">
        <v>2</v>
      </c>
      <c r="J72" s="448">
        <v>2</v>
      </c>
      <c r="K72" s="353"/>
      <c r="L72" s="353"/>
      <c r="M72" s="353"/>
      <c r="V72" s="352" t="s">
        <v>133</v>
      </c>
      <c r="W72" s="352" t="s">
        <v>195</v>
      </c>
      <c r="X72" s="352" t="str">
        <f t="shared" si="11"/>
        <v>John Heitinga (v)</v>
      </c>
      <c r="Y72" s="109">
        <f>AF72</f>
        <v>1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1</v>
      </c>
      <c r="AG72" s="108">
        <f>IF(AC72="",0,(IF(G72=AC72,1,0)))</f>
        <v>1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0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Nederland</v>
      </c>
      <c r="E73" s="388" t="s">
        <v>9</v>
      </c>
      <c r="F73" s="412" t="str">
        <f>IF(J62="","Winnaar 52",IF(J62=1,D62,F62))</f>
        <v>Italië</v>
      </c>
      <c r="G73" s="438">
        <v>1</v>
      </c>
      <c r="H73" s="388" t="s">
        <v>9</v>
      </c>
      <c r="I73" s="453">
        <v>2</v>
      </c>
      <c r="J73" s="454">
        <v>2</v>
      </c>
      <c r="K73" s="353"/>
      <c r="L73" s="353"/>
      <c r="M73" s="353"/>
      <c r="V73" s="352" t="s">
        <v>133</v>
      </c>
      <c r="W73" s="352" t="s">
        <v>196</v>
      </c>
      <c r="X73" s="352" t="str">
        <f t="shared" si="11"/>
        <v>Urby Emanuelson (v)</v>
      </c>
      <c r="Y73" s="109">
        <f>AF73</f>
        <v>0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0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V74" s="352" t="s">
        <v>133</v>
      </c>
      <c r="W74" s="352" t="s">
        <v>197</v>
      </c>
      <c r="X74" s="352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79"/>
      <c r="K75" s="353"/>
      <c r="L75" s="353"/>
      <c r="M75" s="353"/>
      <c r="V75" s="352" t="s">
        <v>133</v>
      </c>
      <c r="W75" s="352" t="s">
        <v>198</v>
      </c>
      <c r="X75" s="352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76" t="s">
        <v>3</v>
      </c>
      <c r="E76" s="431"/>
      <c r="F76" s="477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V76" s="352" t="s">
        <v>133</v>
      </c>
      <c r="W76" s="352" t="s">
        <v>202</v>
      </c>
      <c r="X76" s="352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Duitsland</v>
      </c>
      <c r="E77" s="367" t="s">
        <v>9</v>
      </c>
      <c r="F77" s="406" t="str">
        <f>IF(J71="","Winnaar 58",IF(J71=1,D71,F71))</f>
        <v>Brazilië</v>
      </c>
      <c r="G77" s="435">
        <v>2</v>
      </c>
      <c r="H77" s="367" t="s">
        <v>9</v>
      </c>
      <c r="I77" s="447">
        <v>1</v>
      </c>
      <c r="J77" s="448">
        <v>1</v>
      </c>
      <c r="K77" s="353"/>
      <c r="L77" s="353"/>
      <c r="M77" s="353"/>
      <c r="V77" s="352" t="s">
        <v>134</v>
      </c>
      <c r="W77" s="352" t="s">
        <v>203</v>
      </c>
      <c r="X77" s="352" t="str">
        <f t="shared" si="11"/>
        <v>Marco van Ginkel (m)</v>
      </c>
      <c r="Y77" s="109">
        <f>AF77</f>
        <v>6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6</v>
      </c>
      <c r="AG77" s="108">
        <f>IF(AC77="",0,(IF(G77=AC77,1,0)))</f>
        <v>0</v>
      </c>
      <c r="AH77" s="108">
        <f>IF(AD77="",0,(IF(I77=AD77,1,0)))</f>
        <v>1</v>
      </c>
      <c r="AI77" s="108">
        <f>IF(AND(AG77=1,AH77=1),10,0)</f>
        <v>0</v>
      </c>
      <c r="AJ77" s="108">
        <f>IF(AND(G77&gt;I77,AC77&gt;AD77),5,0)</f>
        <v>5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Portugal</v>
      </c>
      <c r="E78" s="388" t="s">
        <v>9</v>
      </c>
      <c r="F78" s="412" t="str">
        <f>IF(J73="","Winnaar 60",IF(J73=1,D73,F73))</f>
        <v>Italië</v>
      </c>
      <c r="G78" s="438">
        <v>1</v>
      </c>
      <c r="H78" s="388" t="s">
        <v>9</v>
      </c>
      <c r="I78" s="453">
        <v>3</v>
      </c>
      <c r="J78" s="454">
        <v>2</v>
      </c>
      <c r="K78" s="353"/>
      <c r="L78" s="353"/>
      <c r="M78" s="353"/>
      <c r="V78" s="352" t="s">
        <v>134</v>
      </c>
      <c r="W78" s="352" t="s">
        <v>199</v>
      </c>
      <c r="X78" s="352" t="str">
        <f t="shared" si="11"/>
        <v>Leroy Fer (m)</v>
      </c>
      <c r="Y78" s="109">
        <f>AF78</f>
        <v>0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0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V79" s="352" t="s">
        <v>134</v>
      </c>
      <c r="W79" s="352" t="s">
        <v>114</v>
      </c>
      <c r="X79" s="352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79"/>
      <c r="K80" s="353"/>
      <c r="L80" s="353"/>
      <c r="M80" s="353"/>
      <c r="V80" s="352" t="s">
        <v>134</v>
      </c>
      <c r="W80" s="352" t="s">
        <v>117</v>
      </c>
      <c r="X80" s="352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76" t="s">
        <v>3</v>
      </c>
      <c r="E81" s="431"/>
      <c r="F81" s="477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V81" s="352" t="s">
        <v>134</v>
      </c>
      <c r="W81" s="352" t="s">
        <v>120</v>
      </c>
      <c r="X81" s="352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Brazilië</v>
      </c>
      <c r="E82" s="355" t="s">
        <v>9</v>
      </c>
      <c r="F82" s="415" t="str">
        <f>IF(J78="","Verliezer 62",IF(J78=1,F78,D78))</f>
        <v>Portugal</v>
      </c>
      <c r="G82" s="455">
        <v>3</v>
      </c>
      <c r="H82" s="355" t="s">
        <v>9</v>
      </c>
      <c r="I82" s="456">
        <v>1</v>
      </c>
      <c r="J82" s="457">
        <v>1</v>
      </c>
      <c r="K82" s="353"/>
      <c r="L82" s="353"/>
      <c r="M82" s="353"/>
      <c r="V82" s="352" t="s">
        <v>134</v>
      </c>
      <c r="W82" s="352" t="s">
        <v>125</v>
      </c>
      <c r="X82" s="35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V83" s="352" t="s">
        <v>134</v>
      </c>
      <c r="W83" s="352" t="s">
        <v>136</v>
      </c>
      <c r="X83" s="352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79"/>
      <c r="K84" s="353"/>
      <c r="L84" s="353"/>
      <c r="M84" s="353"/>
      <c r="V84" s="352" t="s">
        <v>134</v>
      </c>
      <c r="W84" s="352" t="s">
        <v>137</v>
      </c>
      <c r="X84" s="352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76" t="s">
        <v>3</v>
      </c>
      <c r="E85" s="431"/>
      <c r="F85" s="477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V85" s="352" t="s">
        <v>134</v>
      </c>
      <c r="W85" s="352" t="s">
        <v>138</v>
      </c>
      <c r="X85" s="352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Duitsland</v>
      </c>
      <c r="E86" s="355" t="s">
        <v>9</v>
      </c>
      <c r="F86" s="415" t="str">
        <f>IF(J78="","Winnaar 62",IF(J78=1,D78,F78))</f>
        <v>Italië</v>
      </c>
      <c r="G86" s="455">
        <v>2</v>
      </c>
      <c r="H86" s="355" t="s">
        <v>9</v>
      </c>
      <c r="I86" s="456">
        <v>0</v>
      </c>
      <c r="J86" s="457">
        <v>1</v>
      </c>
      <c r="K86" s="353"/>
      <c r="L86" s="353"/>
      <c r="M86" s="353"/>
      <c r="V86" s="352" t="s">
        <v>134</v>
      </c>
      <c r="W86" s="352" t="s">
        <v>139</v>
      </c>
      <c r="X86" s="352" t="str">
        <f t="shared" si="11"/>
        <v>Nigel de Jong (m)</v>
      </c>
      <c r="Y86" s="109">
        <f>AF86</f>
        <v>1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1</v>
      </c>
      <c r="AG86" s="108">
        <f>IF(AC86="",0,(IF(G86=AC86,1,0)))</f>
        <v>0</v>
      </c>
      <c r="AH86" s="108">
        <f>IF(AD86="",0,(IF(I86=AD86,1,0)))</f>
        <v>1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353"/>
      <c r="C87" s="129"/>
      <c r="D87" s="392"/>
      <c r="E87" s="353"/>
      <c r="F87" s="392"/>
      <c r="G87" s="353"/>
      <c r="H87" s="353"/>
      <c r="I87" s="353"/>
      <c r="J87" s="353"/>
      <c r="K87" s="353"/>
      <c r="L87" s="353"/>
      <c r="M87" s="353"/>
      <c r="V87" s="352" t="s">
        <v>135</v>
      </c>
      <c r="W87" s="352" t="s">
        <v>205</v>
      </c>
      <c r="X87" s="352" t="str">
        <f t="shared" si="11"/>
        <v>Ricky van Wolfswinkel (a)</v>
      </c>
      <c r="AP87" s="136" t="s">
        <v>102</v>
      </c>
    </row>
    <row r="88" spans="2:50">
      <c r="B88" s="353"/>
      <c r="C88" s="129"/>
      <c r="D88" s="392"/>
      <c r="E88" s="353"/>
      <c r="F88" s="392"/>
      <c r="G88" s="353"/>
      <c r="H88" s="353"/>
      <c r="I88" s="353"/>
      <c r="J88" s="353"/>
      <c r="K88" s="353"/>
      <c r="L88" s="353"/>
      <c r="M88" s="353"/>
      <c r="V88" s="352" t="s">
        <v>135</v>
      </c>
      <c r="W88" s="352" t="s">
        <v>204</v>
      </c>
      <c r="X88" s="352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458"/>
    </row>
    <row r="89" spans="2:50" ht="20.25">
      <c r="C89" s="874" t="s">
        <v>101</v>
      </c>
      <c r="D89" s="871"/>
      <c r="E89" s="873" t="str">
        <f>IF(J86=1,D86,IF(J86=2,F86,"Wie zal het worden?"))</f>
        <v>Duitsland</v>
      </c>
      <c r="F89" s="873"/>
      <c r="G89" s="873"/>
      <c r="H89" s="873"/>
      <c r="I89" s="873"/>
      <c r="J89" s="873"/>
      <c r="K89" s="353"/>
      <c r="L89" s="353"/>
      <c r="M89" s="353"/>
      <c r="V89" s="352" t="s">
        <v>135</v>
      </c>
      <c r="W89" s="352" t="s">
        <v>201</v>
      </c>
      <c r="X89" s="352" t="str">
        <f t="shared" si="11"/>
        <v>Jermain Lens (a)</v>
      </c>
      <c r="AP89" s="109">
        <f>AU89</f>
        <v>50</v>
      </c>
      <c r="AQ89" s="131">
        <v>1</v>
      </c>
      <c r="AR89" s="904" t="str">
        <f>Uitslag!E89</f>
        <v>Duitsland</v>
      </c>
      <c r="AS89" s="905"/>
      <c r="AT89" s="906"/>
      <c r="AU89" s="352">
        <f>SUM(AV89:AX89)</f>
        <v>50</v>
      </c>
      <c r="AV89" s="352">
        <f>IF(AR89=0,0,IF(E89=AR89,50,0))</f>
        <v>50</v>
      </c>
      <c r="AW89" s="352">
        <f>IF(E89=0,0,IF(OR(E89=AR90),15,0))</f>
        <v>0</v>
      </c>
      <c r="AX89" s="352">
        <f>IF(E89=0,0,IF(OR(E89=AR91,E89=AR92),5,0))</f>
        <v>0</v>
      </c>
    </row>
    <row r="90" spans="2:50">
      <c r="C90" s="870">
        <v>2</v>
      </c>
      <c r="D90" s="871"/>
      <c r="E90" s="872" t="str">
        <f>IF(J86=2,D86,IF(J86=1,F86,"Wie wordt 2de?"))</f>
        <v>Italië</v>
      </c>
      <c r="F90" s="872"/>
      <c r="G90" s="872"/>
      <c r="H90" s="872"/>
      <c r="I90" s="872"/>
      <c r="J90" s="872"/>
      <c r="V90" s="352" t="s">
        <v>135</v>
      </c>
      <c r="W90" s="352" t="s">
        <v>200</v>
      </c>
      <c r="X90" s="352" t="str">
        <f t="shared" si="11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 s="352">
        <f>SUM(AV90:AX90)</f>
        <v>0</v>
      </c>
      <c r="AV90" s="352">
        <f>IF(AR90=0,0,IF(AR90=E90,25,0))</f>
        <v>0</v>
      </c>
      <c r="AW90" s="352">
        <f>IF(E90=0,0,IF(OR(E90=AR89,),15,0))</f>
        <v>0</v>
      </c>
      <c r="AX90" s="352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Brazilië</v>
      </c>
      <c r="F91" s="872"/>
      <c r="G91" s="872"/>
      <c r="H91" s="872"/>
      <c r="I91" s="872"/>
      <c r="J91" s="872"/>
      <c r="V91" s="352" t="s">
        <v>135</v>
      </c>
      <c r="W91" s="352" t="s">
        <v>128</v>
      </c>
      <c r="X91" s="352" t="str">
        <f t="shared" si="11"/>
        <v>Jürgen Locadia (a)</v>
      </c>
      <c r="AP91" s="109">
        <f>AU91</f>
        <v>10</v>
      </c>
      <c r="AQ91" s="131">
        <v>3</v>
      </c>
      <c r="AR91" s="904" t="str">
        <f>Uitslag!E91</f>
        <v>Nederland</v>
      </c>
      <c r="AS91" s="905"/>
      <c r="AT91" s="906"/>
      <c r="AU91" s="352">
        <f>SUM(AV91:AX91)</f>
        <v>10</v>
      </c>
      <c r="AV91" s="352">
        <f>IF(AR91=0,0,IF(AR91=E91,15,0))</f>
        <v>0</v>
      </c>
      <c r="AW91" s="352">
        <f>IF(E91=0,0,IF(OR(E91=AR92),10,0))</f>
        <v>10</v>
      </c>
      <c r="AX91" s="352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Portugal</v>
      </c>
      <c r="F92" s="872"/>
      <c r="G92" s="872"/>
      <c r="H92" s="872"/>
      <c r="I92" s="872"/>
      <c r="J92" s="872"/>
      <c r="V92" s="352" t="s">
        <v>135</v>
      </c>
      <c r="W92" s="352" t="s">
        <v>127</v>
      </c>
      <c r="X92" s="35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 s="352">
        <f>SUM(AV92:AX92)</f>
        <v>0</v>
      </c>
      <c r="AV92" s="352">
        <f>IF(AR92=0,0,IF(AR92=E92,15,0))</f>
        <v>0</v>
      </c>
      <c r="AW92" s="352">
        <f>IF(E92=0,0,IF(OR(E92=AR91,),10,0))</f>
        <v>0</v>
      </c>
      <c r="AX92" s="352">
        <f>IF(E92=0,0,IF(OR(E92=AR89,E92=AR90),5,0))</f>
        <v>0</v>
      </c>
    </row>
    <row r="93" spans="2:50" ht="15.75" thickBot="1">
      <c r="V93" s="352" t="s">
        <v>135</v>
      </c>
      <c r="W93" s="352" t="s">
        <v>123</v>
      </c>
      <c r="X93" s="352" t="str">
        <f t="shared" si="11"/>
        <v>Quincy Promes (a)</v>
      </c>
      <c r="AS93" s="132"/>
      <c r="AU93" s="133">
        <f>SUM(AU89:AU92)</f>
        <v>60</v>
      </c>
    </row>
    <row r="94" spans="2:50" ht="15.75" thickTop="1">
      <c r="V94" s="352" t="s">
        <v>135</v>
      </c>
      <c r="W94" s="352" t="s">
        <v>122</v>
      </c>
      <c r="X94" s="352" t="str">
        <f t="shared" si="11"/>
        <v>Luc Castaignos (a)</v>
      </c>
    </row>
    <row r="95" spans="2:50">
      <c r="V95" s="352" t="s">
        <v>135</v>
      </c>
      <c r="W95" s="352" t="s">
        <v>113</v>
      </c>
      <c r="X95" s="352" t="str">
        <f t="shared" si="11"/>
        <v>Jean-Paul Boëtius (a)</v>
      </c>
    </row>
    <row r="96" spans="2:50">
      <c r="V96" s="352" t="s">
        <v>135</v>
      </c>
      <c r="W96" s="352" t="s">
        <v>129</v>
      </c>
      <c r="X96" s="352" t="str">
        <f t="shared" si="11"/>
        <v>Luciano Narsingh (a)</v>
      </c>
    </row>
    <row r="97" spans="22:24">
      <c r="V97" s="352" t="s">
        <v>135</v>
      </c>
      <c r="W97" s="352" t="s">
        <v>130</v>
      </c>
      <c r="X97" s="352" t="str">
        <f t="shared" si="11"/>
        <v>Robin van Persie (a)</v>
      </c>
    </row>
    <row r="98" spans="22:24">
      <c r="V98" s="352" t="s">
        <v>135</v>
      </c>
      <c r="W98" s="352" t="s">
        <v>131</v>
      </c>
      <c r="X98" s="352" t="str">
        <f t="shared" si="11"/>
        <v>Arjen Robben (a)</v>
      </c>
    </row>
  </sheetData>
  <mergeCells count="36">
    <mergeCell ref="C91:D91"/>
    <mergeCell ref="E91:J91"/>
    <mergeCell ref="AR91:AT91"/>
    <mergeCell ref="C92:D92"/>
    <mergeCell ref="E92:J92"/>
    <mergeCell ref="AR92:AT92"/>
    <mergeCell ref="C89:D89"/>
    <mergeCell ref="E89:J89"/>
    <mergeCell ref="AR89:AT89"/>
    <mergeCell ref="C90:D90"/>
    <mergeCell ref="E90:J90"/>
    <mergeCell ref="AR90:AT90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</mergeCells>
  <conditionalFormatting sqref="AO9:AO12 AO15:AO18 AO21:AO24 AO27:AO30 AO33:AO36 AO39:AO42 AO45:AO48 AO51:AO54">
    <cfRule type="cellIs" dxfId="95" priority="3" operator="equal">
      <formula>10</formula>
    </cfRule>
  </conditionalFormatting>
  <conditionalFormatting sqref="P58:T58">
    <cfRule type="duplicateValues" dxfId="94" priority="2"/>
  </conditionalFormatting>
  <conditionalFormatting sqref="P58:T68">
    <cfRule type="duplicateValues" dxfId="93" priority="1"/>
  </conditionalFormatting>
  <dataValidations count="10">
    <dataValidation type="list" allowBlank="1" showInputMessage="1" showErrorMessage="1" sqref="T51:T54">
      <formula1>$W$51:$W$54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P58:P68">
      <formula1>$X$58:$X$98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B1:BB98"/>
  <sheetViews>
    <sheetView topLeftCell="A52" zoomScale="70" zoomScaleNormal="70" workbookViewId="0">
      <selection activeCell="A66" sqref="A66"/>
    </sheetView>
  </sheetViews>
  <sheetFormatPr defaultRowHeight="15" outlineLevelCol="2"/>
  <cols>
    <col min="1" max="1" width="3.42578125" customWidth="1"/>
    <col min="2" max="2" width="3.5703125" bestFit="1" customWidth="1"/>
    <col min="3" max="3" width="7.7109375" style="123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bestFit="1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204" t="s">
        <v>145</v>
      </c>
      <c r="D3" s="145" t="s">
        <v>217</v>
      </c>
      <c r="E3" s="145"/>
      <c r="F3" s="145"/>
      <c r="N3" t="str">
        <f>D3</f>
        <v>Margret N.</v>
      </c>
      <c r="O3" s="144">
        <f>SUM(P3:S3)</f>
        <v>353</v>
      </c>
      <c r="P3" s="109">
        <f>SUM(Y8:Y86)</f>
        <v>163</v>
      </c>
      <c r="Q3" s="109">
        <f>SUM(AM4:AM55)</f>
        <v>160</v>
      </c>
      <c r="R3" s="109">
        <f>SUM(AP89:AP92)</f>
        <v>15</v>
      </c>
      <c r="S3" s="109">
        <f>SUM(BB58:BB69)</f>
        <v>15</v>
      </c>
      <c r="T3" s="109">
        <f>COUNTIF(AF8:AF86,10)</f>
        <v>3</v>
      </c>
      <c r="U3" s="109" t="str">
        <f>E89</f>
        <v>Nederland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1"/>
      <c r="L6" s="1"/>
      <c r="O6" s="40"/>
      <c r="P6" s="41"/>
      <c r="Q6" s="41"/>
      <c r="R6" s="41"/>
      <c r="S6" s="41"/>
      <c r="T6" s="41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66" t="s">
        <v>1</v>
      </c>
      <c r="C7" s="121" t="s">
        <v>2</v>
      </c>
      <c r="D7" s="196" t="s">
        <v>3</v>
      </c>
      <c r="E7" s="69"/>
      <c r="F7" s="197" t="s">
        <v>4</v>
      </c>
      <c r="G7" s="880" t="s">
        <v>5</v>
      </c>
      <c r="H7" s="881"/>
      <c r="I7" s="882"/>
      <c r="J7" s="71" t="s">
        <v>6</v>
      </c>
      <c r="K7" s="4" t="s">
        <v>7</v>
      </c>
      <c r="L7" s="4" t="s">
        <v>7</v>
      </c>
      <c r="O7" s="1"/>
      <c r="P7" s="41"/>
      <c r="Q7" s="41"/>
      <c r="R7" s="41"/>
      <c r="S7" s="41"/>
      <c r="T7" s="41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5">
        <v>1</v>
      </c>
      <c r="C8" s="205">
        <v>41802</v>
      </c>
      <c r="D8" s="7" t="s">
        <v>8</v>
      </c>
      <c r="E8" s="8" t="s">
        <v>9</v>
      </c>
      <c r="F8" s="9" t="s">
        <v>10</v>
      </c>
      <c r="G8" s="84">
        <v>3</v>
      </c>
      <c r="H8" s="8" t="s">
        <v>9</v>
      </c>
      <c r="I8" s="192">
        <v>0</v>
      </c>
      <c r="J8" s="10">
        <f t="shared" ref="J8:J55" si="0">IF(I8="","",IF(G8&gt;I8,1,IF(G8&lt;I8,2,3)))</f>
        <v>1</v>
      </c>
      <c r="K8" s="11">
        <f t="shared" ref="K8:K55" si="1">IF(I8="","",IF($G8&gt;$I8,3,IF($G8=$I8,1,0)))</f>
        <v>3</v>
      </c>
      <c r="L8" s="11">
        <f t="shared" ref="L8:L55" si="2">IF(I8="","",IF($G8&lt;$I8,3,IF($G8=$I8,1,0)))</f>
        <v>0</v>
      </c>
      <c r="O8" s="72" t="s">
        <v>41</v>
      </c>
      <c r="P8" s="73" t="s">
        <v>42</v>
      </c>
      <c r="Q8" s="73" t="s">
        <v>43</v>
      </c>
      <c r="R8" s="74" t="s">
        <v>44</v>
      </c>
      <c r="S8" s="75" t="s">
        <v>45</v>
      </c>
      <c r="T8" s="76" t="s">
        <v>46</v>
      </c>
      <c r="U8" s="40"/>
      <c r="V8" s="40"/>
      <c r="W8" s="40"/>
      <c r="Y8" s="109">
        <f>AF8</f>
        <v>6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6</v>
      </c>
      <c r="AG8" s="108">
        <f t="shared" ref="AG8:AG55" si="3">IF(AC8="",0,(IF(G8=AC8,1,0)))</f>
        <v>1</v>
      </c>
      <c r="AH8" s="108">
        <f t="shared" ref="AH8:AH55" si="4">IF(AD8="",0,(IF(I8=AD8,1,0)))</f>
        <v>0</v>
      </c>
      <c r="AI8" s="108">
        <f>IF(AND(AG8=1,AH8=1),10,0)</f>
        <v>0</v>
      </c>
      <c r="AJ8" s="108">
        <f t="shared" ref="AJ8:AJ55" si="5">IF(AND(G8&gt;I8,AC8&gt;AD8),5,0)</f>
        <v>5</v>
      </c>
      <c r="AK8" s="108">
        <f t="shared" ref="AK8:AK55" si="6">IF(AND(G8&lt;I8,AC8&lt;AD8),5,0)</f>
        <v>0</v>
      </c>
      <c r="AL8" s="108">
        <f t="shared" ref="AL8:AL55" si="7">IF(AND(G8=I8,AC8=AD8),5,0)</f>
        <v>0</v>
      </c>
      <c r="AN8" s="42" t="s">
        <v>41</v>
      </c>
      <c r="AO8" s="43" t="s">
        <v>46</v>
      </c>
    </row>
    <row r="9" spans="2:54" ht="15.75" thickBot="1">
      <c r="B9" s="12">
        <v>2</v>
      </c>
      <c r="C9" s="206">
        <v>41803</v>
      </c>
      <c r="D9" s="14" t="s">
        <v>11</v>
      </c>
      <c r="E9" s="15" t="s">
        <v>9</v>
      </c>
      <c r="F9" s="16" t="s">
        <v>12</v>
      </c>
      <c r="G9" s="85">
        <v>2</v>
      </c>
      <c r="H9" s="15" t="s">
        <v>9</v>
      </c>
      <c r="I9" s="90">
        <v>2</v>
      </c>
      <c r="J9" s="17">
        <f t="shared" si="0"/>
        <v>3</v>
      </c>
      <c r="K9" s="11">
        <f t="shared" si="1"/>
        <v>1</v>
      </c>
      <c r="L9" s="11">
        <f t="shared" si="2"/>
        <v>1</v>
      </c>
      <c r="O9" s="44" t="s">
        <v>8</v>
      </c>
      <c r="P9" s="45">
        <f>SUMIF($D$8:$D$55,$O9,$G$8:$G$55)+SUMIF($F$8:$F$55,$O9,$I$8:$I$55)</f>
        <v>10</v>
      </c>
      <c r="Q9" s="45">
        <f>SUMIF($D$8:$D$55,$O9,$I$8:$I$55)+SUMIF($F$8:$F$55,$O9,$G$8:$G$55)</f>
        <v>3</v>
      </c>
      <c r="R9" s="46">
        <f>P9-Q9</f>
        <v>7</v>
      </c>
      <c r="S9" s="47">
        <f>SUMIF($D$8:$D$55,$O9,$K$8:$K$55)+SUMIF($F$8:$F$55,$O9,$L$8:$L$55)</f>
        <v>9</v>
      </c>
      <c r="T9" s="94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0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0</v>
      </c>
      <c r="AG9" s="108">
        <f t="shared" si="3"/>
        <v>0</v>
      </c>
      <c r="AH9" s="108">
        <f t="shared" si="4"/>
        <v>0</v>
      </c>
      <c r="AI9" s="108">
        <f t="shared" ref="AI9:AI55" si="10">IF(AND(AG9=1,AH9=1),10,0)</f>
        <v>0</v>
      </c>
      <c r="AJ9" s="108">
        <f t="shared" si="5"/>
        <v>0</v>
      </c>
      <c r="AK9" s="108">
        <f t="shared" si="6"/>
        <v>0</v>
      </c>
      <c r="AL9" s="108">
        <f t="shared" si="7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18">
        <v>3</v>
      </c>
      <c r="C10" s="207">
        <v>41803</v>
      </c>
      <c r="D10" s="20" t="s">
        <v>13</v>
      </c>
      <c r="E10" s="21" t="s">
        <v>9</v>
      </c>
      <c r="F10" s="22" t="s">
        <v>14</v>
      </c>
      <c r="G10" s="86">
        <v>1</v>
      </c>
      <c r="H10" s="21" t="s">
        <v>9</v>
      </c>
      <c r="I10" s="91">
        <v>2</v>
      </c>
      <c r="J10" s="23">
        <f t="shared" si="0"/>
        <v>2</v>
      </c>
      <c r="K10" s="11">
        <f t="shared" si="1"/>
        <v>0</v>
      </c>
      <c r="L10" s="11">
        <f t="shared" si="2"/>
        <v>3</v>
      </c>
      <c r="O10" s="48" t="s">
        <v>10</v>
      </c>
      <c r="P10" s="49">
        <f>SUMIF($D$8:$D$55,$O10,$G$8:$G$55)+SUMIF($F$8:$F$55,$O10,$I$8:$I$55)</f>
        <v>1</v>
      </c>
      <c r="Q10" s="49">
        <f>SUMIF($D$8:$D$55,$O10,$I$8:$I$55)+SUMIF($F$8:$F$55,$O10,$G$8:$G$55)</f>
        <v>4</v>
      </c>
      <c r="R10" s="49">
        <f>P10-Q10</f>
        <v>-3</v>
      </c>
      <c r="S10" s="50">
        <f>SUMIF($D$8:$D$55,$O10,$K$8:$K$55)+SUMIF($F$8:$F$55,$O10,$L$8:$L$55)</f>
        <v>2</v>
      </c>
      <c r="T10" s="95" t="s">
        <v>47</v>
      </c>
      <c r="U10" s="40"/>
      <c r="V10" s="40" t="str">
        <f>O10</f>
        <v>Kroatië</v>
      </c>
      <c r="W10" s="40" t="s">
        <v>49</v>
      </c>
      <c r="Y10" s="109">
        <f t="shared" si="8"/>
        <v>6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6</v>
      </c>
      <c r="AG10" s="108">
        <f t="shared" si="3"/>
        <v>1</v>
      </c>
      <c r="AH10" s="108">
        <f t="shared" si="4"/>
        <v>0</v>
      </c>
      <c r="AI10" s="108">
        <f t="shared" si="10"/>
        <v>0</v>
      </c>
      <c r="AJ10" s="108">
        <f t="shared" si="5"/>
        <v>0</v>
      </c>
      <c r="AK10" s="108">
        <f t="shared" si="6"/>
        <v>5</v>
      </c>
      <c r="AL10" s="108">
        <f t="shared" si="7"/>
        <v>0</v>
      </c>
      <c r="AM10" s="120">
        <f>AO10</f>
        <v>10</v>
      </c>
      <c r="AN10" s="117" t="s">
        <v>10</v>
      </c>
      <c r="AO10" s="115">
        <f>IF(Uitslag!T10="",0,IF(T10=Uitslag!T10,10,0))</f>
        <v>10</v>
      </c>
    </row>
    <row r="11" spans="2:54" ht="15.75" thickBot="1">
      <c r="B11" s="24">
        <v>4</v>
      </c>
      <c r="C11" s="208">
        <v>41803</v>
      </c>
      <c r="D11" s="26" t="s">
        <v>15</v>
      </c>
      <c r="E11" s="27" t="s">
        <v>9</v>
      </c>
      <c r="F11" s="28" t="s">
        <v>16</v>
      </c>
      <c r="G11" s="87">
        <v>1</v>
      </c>
      <c r="H11" s="27" t="s">
        <v>9</v>
      </c>
      <c r="I11" s="92">
        <v>1</v>
      </c>
      <c r="J11" s="29">
        <f t="shared" si="0"/>
        <v>3</v>
      </c>
      <c r="K11" s="11">
        <f t="shared" si="1"/>
        <v>1</v>
      </c>
      <c r="L11" s="11">
        <f t="shared" si="2"/>
        <v>1</v>
      </c>
      <c r="O11" s="48" t="s">
        <v>11</v>
      </c>
      <c r="P11" s="49">
        <f>SUMIF($D$8:$D$55,$O11,$G$8:$G$55)+SUMIF($F$8:$F$55,$O11,$I$8:$I$55)</f>
        <v>5</v>
      </c>
      <c r="Q11" s="49">
        <f>SUMIF($D$8:$D$55,$O11,$I$8:$I$55)+SUMIF($F$8:$F$55,$O11,$G$8:$G$55)</f>
        <v>7</v>
      </c>
      <c r="R11" s="49">
        <f>P11-Q11</f>
        <v>-2</v>
      </c>
      <c r="S11" s="50">
        <f>SUMIF($D$8:$D$55,$O11,$K$8:$K$55)+SUMIF($F$8:$F$55,$O11,$L$8:$L$55)</f>
        <v>2</v>
      </c>
      <c r="T11" s="95" t="s">
        <v>49</v>
      </c>
      <c r="U11" s="40"/>
      <c r="V11" s="40" t="str">
        <f>O11</f>
        <v>Mexico</v>
      </c>
      <c r="W11" s="40" t="s">
        <v>47</v>
      </c>
      <c r="Y11" s="109">
        <f t="shared" si="8"/>
        <v>1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1</v>
      </c>
      <c r="AG11" s="108">
        <f t="shared" si="3"/>
        <v>0</v>
      </c>
      <c r="AH11" s="108">
        <f t="shared" si="4"/>
        <v>1</v>
      </c>
      <c r="AI11" s="108">
        <f t="shared" si="10"/>
        <v>0</v>
      </c>
      <c r="AJ11" s="108">
        <f t="shared" si="5"/>
        <v>0</v>
      </c>
      <c r="AK11" s="108">
        <f t="shared" si="6"/>
        <v>0</v>
      </c>
      <c r="AL11" s="108">
        <f t="shared" si="7"/>
        <v>0</v>
      </c>
      <c r="AM11" s="120">
        <f>AO11</f>
        <v>10</v>
      </c>
      <c r="AN11" s="117" t="s">
        <v>11</v>
      </c>
      <c r="AO11" s="115">
        <f>IF(Uitslag!T11="",0,IF(T11=Uitslag!T11,10,0))</f>
        <v>10</v>
      </c>
    </row>
    <row r="12" spans="2:54" ht="15.75" thickBot="1">
      <c r="B12" s="12">
        <v>5</v>
      </c>
      <c r="C12" s="206">
        <v>41804</v>
      </c>
      <c r="D12" s="14" t="s">
        <v>17</v>
      </c>
      <c r="E12" s="15" t="s">
        <v>9</v>
      </c>
      <c r="F12" s="16" t="s">
        <v>18</v>
      </c>
      <c r="G12" s="85">
        <v>0</v>
      </c>
      <c r="H12" s="15" t="s">
        <v>9</v>
      </c>
      <c r="I12" s="90">
        <v>2</v>
      </c>
      <c r="J12" s="17">
        <f t="shared" si="0"/>
        <v>2</v>
      </c>
      <c r="K12" s="11">
        <f t="shared" si="1"/>
        <v>0</v>
      </c>
      <c r="L12" s="11">
        <f t="shared" si="2"/>
        <v>3</v>
      </c>
      <c r="O12" s="51" t="s">
        <v>12</v>
      </c>
      <c r="P12" s="52">
        <f>SUMIF($D$8:$D$55,$O12,$G$8:$G$55)+SUMIF($F$8:$F$55,$O12,$I$8:$I$55)</f>
        <v>3</v>
      </c>
      <c r="Q12" s="52">
        <f>SUMIF($D$8:$D$55,$O12,$I$8:$I$55)+SUMIF($F$8:$F$55,$O12,$G$8:$G$55)</f>
        <v>5</v>
      </c>
      <c r="R12" s="52">
        <f>P12-Q12</f>
        <v>-2</v>
      </c>
      <c r="S12" s="53">
        <f>SUMIF($D$8:$D$55,$O12,$K$8:$K$55)+SUMIF($F$8:$F$55,$O12,$L$8:$L$55)</f>
        <v>2</v>
      </c>
      <c r="T12" s="96" t="s">
        <v>50</v>
      </c>
      <c r="U12" s="40"/>
      <c r="V12" s="40" t="str">
        <f>O12</f>
        <v>Kameroen</v>
      </c>
      <c r="W12" s="40" t="s">
        <v>50</v>
      </c>
      <c r="Y12" s="109">
        <f t="shared" si="8"/>
        <v>0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0</v>
      </c>
      <c r="AG12" s="108">
        <f t="shared" si="3"/>
        <v>0</v>
      </c>
      <c r="AH12" s="108">
        <f t="shared" si="4"/>
        <v>0</v>
      </c>
      <c r="AI12" s="108">
        <f t="shared" si="10"/>
        <v>0</v>
      </c>
      <c r="AJ12" s="108">
        <f t="shared" si="5"/>
        <v>0</v>
      </c>
      <c r="AK12" s="108">
        <f t="shared" si="6"/>
        <v>0</v>
      </c>
      <c r="AL12" s="108">
        <f t="shared" si="7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18">
        <v>6</v>
      </c>
      <c r="C13" s="207">
        <v>41804</v>
      </c>
      <c r="D13" s="20" t="s">
        <v>19</v>
      </c>
      <c r="E13" s="21" t="s">
        <v>9</v>
      </c>
      <c r="F13" s="30" t="s">
        <v>20</v>
      </c>
      <c r="G13" s="86">
        <v>3</v>
      </c>
      <c r="H13" s="21" t="s">
        <v>9</v>
      </c>
      <c r="I13" s="91">
        <v>3</v>
      </c>
      <c r="J13" s="23">
        <f t="shared" si="0"/>
        <v>3</v>
      </c>
      <c r="K13" s="11">
        <f t="shared" si="1"/>
        <v>1</v>
      </c>
      <c r="L13" s="11">
        <f t="shared" si="2"/>
        <v>1</v>
      </c>
      <c r="O13" s="40"/>
      <c r="P13" s="41"/>
      <c r="Q13" s="41"/>
      <c r="R13" s="41"/>
      <c r="S13" s="41"/>
      <c r="T13" s="41"/>
      <c r="U13" s="40"/>
      <c r="V13" s="40"/>
      <c r="W13" s="40"/>
      <c r="Y13" s="109">
        <f t="shared" si="8"/>
        <v>1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1</v>
      </c>
      <c r="AG13" s="108">
        <f t="shared" si="3"/>
        <v>0</v>
      </c>
      <c r="AH13" s="108">
        <f t="shared" si="4"/>
        <v>1</v>
      </c>
      <c r="AI13" s="108">
        <f t="shared" si="10"/>
        <v>0</v>
      </c>
      <c r="AJ13" s="108">
        <f t="shared" si="5"/>
        <v>0</v>
      </c>
      <c r="AK13" s="108">
        <f t="shared" si="6"/>
        <v>0</v>
      </c>
      <c r="AL13" s="108">
        <f t="shared" si="7"/>
        <v>0</v>
      </c>
      <c r="AN13" s="40"/>
      <c r="AO13" s="41"/>
    </row>
    <row r="14" spans="2:54" ht="15.75" thickBot="1">
      <c r="B14" s="18">
        <v>7</v>
      </c>
      <c r="C14" s="207">
        <v>41804</v>
      </c>
      <c r="D14" s="20" t="s">
        <v>21</v>
      </c>
      <c r="E14" s="21" t="s">
        <v>9</v>
      </c>
      <c r="F14" s="30" t="s">
        <v>22</v>
      </c>
      <c r="G14" s="86">
        <v>2</v>
      </c>
      <c r="H14" s="21" t="s">
        <v>9</v>
      </c>
      <c r="I14" s="91">
        <v>1</v>
      </c>
      <c r="J14" s="23">
        <f t="shared" si="0"/>
        <v>1</v>
      </c>
      <c r="K14" s="11">
        <f t="shared" si="1"/>
        <v>3</v>
      </c>
      <c r="L14" s="11">
        <f t="shared" si="2"/>
        <v>0</v>
      </c>
      <c r="O14" s="72" t="s">
        <v>51</v>
      </c>
      <c r="P14" s="73" t="s">
        <v>42</v>
      </c>
      <c r="Q14" s="73" t="s">
        <v>43</v>
      </c>
      <c r="R14" s="74" t="s">
        <v>44</v>
      </c>
      <c r="S14" s="75" t="s">
        <v>45</v>
      </c>
      <c r="T14" s="76" t="s">
        <v>46</v>
      </c>
      <c r="U14" s="40"/>
      <c r="V14" s="40"/>
      <c r="W14" s="40"/>
      <c r="Y14" s="109">
        <f t="shared" si="8"/>
        <v>0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0</v>
      </c>
      <c r="AG14" s="108">
        <f t="shared" si="3"/>
        <v>0</v>
      </c>
      <c r="AH14" s="108">
        <f t="shared" si="4"/>
        <v>0</v>
      </c>
      <c r="AI14" s="108">
        <f t="shared" si="10"/>
        <v>0</v>
      </c>
      <c r="AJ14" s="108">
        <f t="shared" si="5"/>
        <v>0</v>
      </c>
      <c r="AK14" s="108">
        <f t="shared" si="6"/>
        <v>0</v>
      </c>
      <c r="AL14" s="108">
        <f t="shared" si="7"/>
        <v>0</v>
      </c>
      <c r="AN14" s="42" t="s">
        <v>51</v>
      </c>
      <c r="AO14" s="43" t="s">
        <v>46</v>
      </c>
    </row>
    <row r="15" spans="2:54" ht="15.75" thickBot="1">
      <c r="B15" s="24">
        <v>8</v>
      </c>
      <c r="C15" s="208">
        <v>41804</v>
      </c>
      <c r="D15" s="26" t="s">
        <v>23</v>
      </c>
      <c r="E15" s="27" t="s">
        <v>9</v>
      </c>
      <c r="F15" s="28" t="s">
        <v>24</v>
      </c>
      <c r="G15" s="87">
        <v>3</v>
      </c>
      <c r="H15" s="27" t="s">
        <v>9</v>
      </c>
      <c r="I15" s="92">
        <v>2</v>
      </c>
      <c r="J15" s="29">
        <f t="shared" si="0"/>
        <v>1</v>
      </c>
      <c r="K15" s="11">
        <f t="shared" si="1"/>
        <v>3</v>
      </c>
      <c r="L15" s="11">
        <f t="shared" si="2"/>
        <v>0</v>
      </c>
      <c r="O15" s="44" t="s">
        <v>13</v>
      </c>
      <c r="P15" s="45">
        <f>SUMIF($D$8:$D$55,$O15,$G$8:$G$55)+SUMIF($F$8:$F$55,$O15,$I$8:$I$55)</f>
        <v>5</v>
      </c>
      <c r="Q15" s="45">
        <f>SUMIF($D$8:$D$55,$O15,$I$8:$I$55)+SUMIF($F$8:$F$55,$O15,$G$8:$G$55)</f>
        <v>4</v>
      </c>
      <c r="R15" s="46">
        <f>P15-Q15</f>
        <v>1</v>
      </c>
      <c r="S15" s="47">
        <f>SUMIF($D$8:$D$55,$O15,$K$8:$K$55)+SUMIF($F$8:$F$55,$O15,$L$8:$L$55)</f>
        <v>6</v>
      </c>
      <c r="T15" s="94" t="s">
        <v>53</v>
      </c>
      <c r="U15" s="40"/>
      <c r="V15" s="40" t="str">
        <f>O15</f>
        <v>Spanje</v>
      </c>
      <c r="W15" s="40" t="s">
        <v>52</v>
      </c>
      <c r="Y15" s="109">
        <f t="shared" si="8"/>
        <v>5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5</v>
      </c>
      <c r="AG15" s="108">
        <f t="shared" si="3"/>
        <v>0</v>
      </c>
      <c r="AH15" s="108">
        <f t="shared" si="4"/>
        <v>0</v>
      </c>
      <c r="AI15" s="108">
        <f t="shared" si="10"/>
        <v>0</v>
      </c>
      <c r="AJ15" s="108">
        <f t="shared" si="5"/>
        <v>5</v>
      </c>
      <c r="AK15" s="108">
        <f t="shared" si="6"/>
        <v>0</v>
      </c>
      <c r="AL15" s="108">
        <f t="shared" si="7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12">
        <v>9</v>
      </c>
      <c r="C16" s="206">
        <v>41805</v>
      </c>
      <c r="D16" s="14" t="s">
        <v>25</v>
      </c>
      <c r="E16" s="15" t="s">
        <v>9</v>
      </c>
      <c r="F16" s="16" t="s">
        <v>26</v>
      </c>
      <c r="G16" s="85">
        <v>0</v>
      </c>
      <c r="H16" s="15" t="s">
        <v>9</v>
      </c>
      <c r="I16" s="90">
        <v>0</v>
      </c>
      <c r="J16" s="17">
        <f t="shared" si="0"/>
        <v>3</v>
      </c>
      <c r="K16" s="11">
        <f t="shared" si="1"/>
        <v>1</v>
      </c>
      <c r="L16" s="11">
        <f t="shared" si="2"/>
        <v>1</v>
      </c>
      <c r="O16" s="54" t="s">
        <v>14</v>
      </c>
      <c r="P16" s="49">
        <f>SUMIF($D$8:$D$55,$O16,$G$8:$G$55)+SUMIF($F$8:$F$55,$O16,$I$8:$I$55)</f>
        <v>8</v>
      </c>
      <c r="Q16" s="49">
        <f>SUMIF($D$8:$D$55,$O16,$I$8:$I$55)+SUMIF($F$8:$F$55,$O16,$G$8:$G$55)</f>
        <v>3</v>
      </c>
      <c r="R16" s="49">
        <f>P16-Q16</f>
        <v>5</v>
      </c>
      <c r="S16" s="50">
        <f>SUMIF($D$8:$D$55,$O16,$K$8:$K$55)+SUMIF($F$8:$F$55,$O16,$L$8:$L$55)</f>
        <v>9</v>
      </c>
      <c r="T16" s="95" t="s">
        <v>52</v>
      </c>
      <c r="U16" s="40"/>
      <c r="V16" s="40" t="str">
        <f>O16</f>
        <v>Nederland</v>
      </c>
      <c r="W16" s="40" t="s">
        <v>53</v>
      </c>
      <c r="Y16" s="109">
        <f t="shared" si="8"/>
        <v>0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0</v>
      </c>
      <c r="AG16" s="108">
        <f t="shared" si="3"/>
        <v>0</v>
      </c>
      <c r="AH16" s="108">
        <f t="shared" si="4"/>
        <v>0</v>
      </c>
      <c r="AI16" s="108">
        <f t="shared" si="10"/>
        <v>0</v>
      </c>
      <c r="AJ16" s="108">
        <f t="shared" si="5"/>
        <v>0</v>
      </c>
      <c r="AK16" s="108">
        <f t="shared" si="6"/>
        <v>0</v>
      </c>
      <c r="AL16" s="108">
        <f t="shared" si="7"/>
        <v>0</v>
      </c>
      <c r="AM16" s="120">
        <f>AO16</f>
        <v>10</v>
      </c>
      <c r="AN16" s="119" t="s">
        <v>14</v>
      </c>
      <c r="AO16" s="115">
        <f>IF(Uitslag!T16="",0,IF(T16=Uitslag!T16,10,0))</f>
        <v>10</v>
      </c>
    </row>
    <row r="17" spans="2:41" ht="15.75" thickBot="1">
      <c r="B17" s="18">
        <v>10</v>
      </c>
      <c r="C17" s="207">
        <v>41805</v>
      </c>
      <c r="D17" s="20" t="s">
        <v>27</v>
      </c>
      <c r="E17" s="21" t="s">
        <v>9</v>
      </c>
      <c r="F17" s="30" t="s">
        <v>28</v>
      </c>
      <c r="G17" s="86">
        <v>2</v>
      </c>
      <c r="H17" s="21" t="s">
        <v>9</v>
      </c>
      <c r="I17" s="91">
        <v>0</v>
      </c>
      <c r="J17" s="23">
        <f t="shared" si="0"/>
        <v>1</v>
      </c>
      <c r="K17" s="11">
        <f t="shared" si="1"/>
        <v>3</v>
      </c>
      <c r="L17" s="11">
        <f t="shared" si="2"/>
        <v>0</v>
      </c>
      <c r="O17" s="48" t="s">
        <v>15</v>
      </c>
      <c r="P17" s="49">
        <f>SUMIF($D$8:$D$55,$O17,$G$8:$G$55)+SUMIF($F$8:$F$55,$O17,$I$8:$I$55)</f>
        <v>3</v>
      </c>
      <c r="Q17" s="49">
        <f>SUMIF($D$8:$D$55,$O17,$I$8:$I$55)+SUMIF($F$8:$F$55,$O17,$G$8:$G$55)</f>
        <v>6</v>
      </c>
      <c r="R17" s="49">
        <f>P17-Q17</f>
        <v>-3</v>
      </c>
      <c r="S17" s="50">
        <f>SUMIF($D$8:$D$55,$O17,$K$8:$K$55)+SUMIF($F$8:$F$55,$O17,$L$8:$L$55)</f>
        <v>1</v>
      </c>
      <c r="T17" s="95" t="s">
        <v>55</v>
      </c>
      <c r="U17" s="40"/>
      <c r="V17" s="40" t="str">
        <f>O17</f>
        <v>Chili</v>
      </c>
      <c r="W17" s="40" t="s">
        <v>54</v>
      </c>
      <c r="Y17" s="109">
        <f t="shared" si="8"/>
        <v>6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6</v>
      </c>
      <c r="AG17" s="108">
        <f t="shared" si="3"/>
        <v>0</v>
      </c>
      <c r="AH17" s="108">
        <f t="shared" si="4"/>
        <v>1</v>
      </c>
      <c r="AI17" s="108">
        <f t="shared" si="10"/>
        <v>0</v>
      </c>
      <c r="AJ17" s="108">
        <f t="shared" si="5"/>
        <v>5</v>
      </c>
      <c r="AK17" s="108">
        <f t="shared" si="6"/>
        <v>0</v>
      </c>
      <c r="AL17" s="108">
        <f t="shared" si="7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24">
        <v>11</v>
      </c>
      <c r="C18" s="208">
        <v>41805</v>
      </c>
      <c r="D18" s="26" t="s">
        <v>29</v>
      </c>
      <c r="E18" s="27" t="s">
        <v>9</v>
      </c>
      <c r="F18" s="28" t="s">
        <v>30</v>
      </c>
      <c r="G18" s="87">
        <v>3</v>
      </c>
      <c r="H18" s="27" t="s">
        <v>9</v>
      </c>
      <c r="I18" s="92">
        <v>1</v>
      </c>
      <c r="J18" s="29">
        <f t="shared" si="0"/>
        <v>1</v>
      </c>
      <c r="K18" s="11">
        <f t="shared" si="1"/>
        <v>3</v>
      </c>
      <c r="L18" s="11">
        <f t="shared" si="2"/>
        <v>0</v>
      </c>
      <c r="O18" s="51" t="s">
        <v>16</v>
      </c>
      <c r="P18" s="52">
        <f>SUMIF($D$8:$D$55,$O18,$G$8:$G$55)+SUMIF($F$8:$F$55,$O18,$I$8:$I$55)</f>
        <v>3</v>
      </c>
      <c r="Q18" s="52">
        <f>SUMIF($D$8:$D$55,$O18,$I$8:$I$55)+SUMIF($F$8:$F$55,$O18,$G$8:$G$55)</f>
        <v>6</v>
      </c>
      <c r="R18" s="52">
        <f>P18-Q18</f>
        <v>-3</v>
      </c>
      <c r="S18" s="53">
        <f>SUMIF($D$8:$D$55,$O18,$K$8:$K$55)+SUMIF($F$8:$F$55,$O18,$L$8:$L$55)</f>
        <v>1</v>
      </c>
      <c r="T18" s="96" t="s">
        <v>54</v>
      </c>
      <c r="U18" s="40"/>
      <c r="V18" s="40" t="str">
        <f>O18</f>
        <v>Australië</v>
      </c>
      <c r="W18" s="40" t="s">
        <v>55</v>
      </c>
      <c r="Y18" s="109">
        <f t="shared" si="8"/>
        <v>6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6</v>
      </c>
      <c r="AG18" s="108">
        <f t="shared" si="3"/>
        <v>0</v>
      </c>
      <c r="AH18" s="108">
        <f t="shared" si="4"/>
        <v>1</v>
      </c>
      <c r="AI18" s="108">
        <f t="shared" si="10"/>
        <v>0</v>
      </c>
      <c r="AJ18" s="108">
        <f t="shared" si="5"/>
        <v>5</v>
      </c>
      <c r="AK18" s="108">
        <f t="shared" si="6"/>
        <v>0</v>
      </c>
      <c r="AL18" s="108">
        <f t="shared" si="7"/>
        <v>0</v>
      </c>
      <c r="AM18" s="120">
        <f>AO18</f>
        <v>0</v>
      </c>
      <c r="AN18" s="118" t="s">
        <v>16</v>
      </c>
      <c r="AO18" s="115">
        <f>IF(Uitslag!T18="",0,IF(T18=Uitslag!T18,10,0))</f>
        <v>0</v>
      </c>
    </row>
    <row r="19" spans="2:41" ht="15.75" thickBot="1">
      <c r="B19" s="12">
        <v>12</v>
      </c>
      <c r="C19" s="206">
        <v>41806</v>
      </c>
      <c r="D19" s="14" t="s">
        <v>31</v>
      </c>
      <c r="E19" s="15" t="s">
        <v>9</v>
      </c>
      <c r="F19" s="16" t="s">
        <v>32</v>
      </c>
      <c r="G19" s="85">
        <v>0</v>
      </c>
      <c r="H19" s="15" t="s">
        <v>9</v>
      </c>
      <c r="I19" s="90">
        <v>0</v>
      </c>
      <c r="J19" s="17">
        <f t="shared" si="0"/>
        <v>3</v>
      </c>
      <c r="K19" s="11">
        <f t="shared" si="1"/>
        <v>1</v>
      </c>
      <c r="L19" s="11">
        <f t="shared" si="2"/>
        <v>1</v>
      </c>
      <c r="O19" s="40"/>
      <c r="P19" s="41"/>
      <c r="Q19" s="41"/>
      <c r="R19" s="41"/>
      <c r="S19" s="41"/>
      <c r="T19" s="41"/>
      <c r="U19" s="40"/>
      <c r="V19" s="40"/>
      <c r="W19" s="40"/>
      <c r="Y19" s="109">
        <f t="shared" si="8"/>
        <v>1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1</v>
      </c>
      <c r="AG19" s="108">
        <f t="shared" si="3"/>
        <v>0</v>
      </c>
      <c r="AH19" s="108">
        <f t="shared" si="4"/>
        <v>1</v>
      </c>
      <c r="AI19" s="108">
        <f t="shared" si="10"/>
        <v>0</v>
      </c>
      <c r="AJ19" s="108">
        <f t="shared" si="5"/>
        <v>0</v>
      </c>
      <c r="AK19" s="108">
        <f t="shared" si="6"/>
        <v>0</v>
      </c>
      <c r="AL19" s="108">
        <f t="shared" si="7"/>
        <v>0</v>
      </c>
      <c r="AN19" s="40"/>
      <c r="AO19" s="41"/>
    </row>
    <row r="20" spans="2:41" ht="15.75" thickBot="1">
      <c r="B20" s="18">
        <v>13</v>
      </c>
      <c r="C20" s="207">
        <v>41806</v>
      </c>
      <c r="D20" s="20" t="s">
        <v>33</v>
      </c>
      <c r="E20" s="21" t="s">
        <v>9</v>
      </c>
      <c r="F20" s="30" t="s">
        <v>34</v>
      </c>
      <c r="G20" s="86">
        <v>1</v>
      </c>
      <c r="H20" s="21" t="s">
        <v>9</v>
      </c>
      <c r="I20" s="91">
        <v>2</v>
      </c>
      <c r="J20" s="23">
        <f t="shared" si="0"/>
        <v>2</v>
      </c>
      <c r="K20" s="11">
        <f t="shared" si="1"/>
        <v>0</v>
      </c>
      <c r="L20" s="11">
        <f t="shared" si="2"/>
        <v>3</v>
      </c>
      <c r="O20" s="72" t="s">
        <v>56</v>
      </c>
      <c r="P20" s="73" t="s">
        <v>42</v>
      </c>
      <c r="Q20" s="73" t="s">
        <v>43</v>
      </c>
      <c r="R20" s="74" t="s">
        <v>44</v>
      </c>
      <c r="S20" s="75" t="s">
        <v>45</v>
      </c>
      <c r="T20" s="76" t="s">
        <v>46</v>
      </c>
      <c r="U20" s="40"/>
      <c r="V20" s="40"/>
      <c r="W20" s="40"/>
      <c r="Y20" s="109">
        <f t="shared" si="8"/>
        <v>0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0</v>
      </c>
      <c r="AG20" s="108">
        <f t="shared" si="3"/>
        <v>0</v>
      </c>
      <c r="AH20" s="108">
        <f t="shared" si="4"/>
        <v>0</v>
      </c>
      <c r="AI20" s="108">
        <f t="shared" si="10"/>
        <v>0</v>
      </c>
      <c r="AJ20" s="108">
        <f t="shared" si="5"/>
        <v>0</v>
      </c>
      <c r="AK20" s="108">
        <f t="shared" si="6"/>
        <v>0</v>
      </c>
      <c r="AL20" s="108">
        <f t="shared" si="7"/>
        <v>0</v>
      </c>
      <c r="AN20" s="42" t="s">
        <v>56</v>
      </c>
      <c r="AO20" s="43" t="s">
        <v>46</v>
      </c>
    </row>
    <row r="21" spans="2:41" ht="15.75" thickBot="1">
      <c r="B21" s="24">
        <v>14</v>
      </c>
      <c r="C21" s="208">
        <v>41806</v>
      </c>
      <c r="D21" s="26" t="s">
        <v>35</v>
      </c>
      <c r="E21" s="27" t="s">
        <v>9</v>
      </c>
      <c r="F21" s="28" t="s">
        <v>36</v>
      </c>
      <c r="G21" s="87">
        <v>1</v>
      </c>
      <c r="H21" s="27" t="s">
        <v>9</v>
      </c>
      <c r="I21" s="92">
        <v>1</v>
      </c>
      <c r="J21" s="29">
        <f t="shared" si="0"/>
        <v>3</v>
      </c>
      <c r="K21" s="11">
        <f t="shared" si="1"/>
        <v>1</v>
      </c>
      <c r="L21" s="11">
        <f t="shared" si="2"/>
        <v>1</v>
      </c>
      <c r="O21" s="44" t="s">
        <v>17</v>
      </c>
      <c r="P21" s="45">
        <f>SUMIF($D$8:$D$55,$O21,$G$8:$G$55)+SUMIF($F$8:$F$55,$O21,$I$8:$I$55)</f>
        <v>0</v>
      </c>
      <c r="Q21" s="45">
        <f>SUMIF($D$8:$D$55,$O21,$I$8:$I$55)+SUMIF($F$8:$F$55,$O21,$G$8:$G$55)</f>
        <v>2</v>
      </c>
      <c r="R21" s="46">
        <f>P21-Q21</f>
        <v>-2</v>
      </c>
      <c r="S21" s="47">
        <f>SUMIF($D$8:$D$55,$O21,$K$8:$K$55)+SUMIF($F$8:$F$55,$O21,$L$8:$L$55)</f>
        <v>2</v>
      </c>
      <c r="T21" s="94" t="s">
        <v>60</v>
      </c>
      <c r="U21" s="40"/>
      <c r="V21" s="40" t="str">
        <f>O21</f>
        <v>Colombia</v>
      </c>
      <c r="W21" s="40" t="s">
        <v>57</v>
      </c>
      <c r="Y21" s="109">
        <f t="shared" si="8"/>
        <v>1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1</v>
      </c>
      <c r="AG21" s="108">
        <f t="shared" si="3"/>
        <v>1</v>
      </c>
      <c r="AH21" s="108">
        <f t="shared" si="4"/>
        <v>0</v>
      </c>
      <c r="AI21" s="108">
        <f t="shared" si="10"/>
        <v>0</v>
      </c>
      <c r="AJ21" s="108">
        <f t="shared" si="5"/>
        <v>0</v>
      </c>
      <c r="AK21" s="108">
        <f t="shared" si="6"/>
        <v>0</v>
      </c>
      <c r="AL21" s="108">
        <f t="shared" si="7"/>
        <v>0</v>
      </c>
      <c r="AM21" s="120">
        <f>AO21</f>
        <v>0</v>
      </c>
      <c r="AN21" s="116" t="s">
        <v>17</v>
      </c>
      <c r="AO21" s="115">
        <f>IF(Uitslag!T21="",0,IF(T21=Uitslag!T21,10,0))</f>
        <v>0</v>
      </c>
    </row>
    <row r="22" spans="2:41" ht="15.75" thickBot="1">
      <c r="B22" s="12">
        <v>15</v>
      </c>
      <c r="C22" s="206">
        <v>41807</v>
      </c>
      <c r="D22" s="14" t="s">
        <v>37</v>
      </c>
      <c r="E22" s="15" t="s">
        <v>9</v>
      </c>
      <c r="F22" s="16" t="s">
        <v>38</v>
      </c>
      <c r="G22" s="85">
        <v>2</v>
      </c>
      <c r="H22" s="15" t="s">
        <v>9</v>
      </c>
      <c r="I22" s="90">
        <v>1</v>
      </c>
      <c r="J22" s="17">
        <f t="shared" si="0"/>
        <v>1</v>
      </c>
      <c r="K22" s="11">
        <f t="shared" si="1"/>
        <v>3</v>
      </c>
      <c r="L22" s="11">
        <f t="shared" si="2"/>
        <v>0</v>
      </c>
      <c r="O22" s="48" t="s">
        <v>18</v>
      </c>
      <c r="P22" s="49">
        <f>SUMIF($D$8:$D$55,$O22,$G$8:$G$55)+SUMIF($F$8:$F$55,$O22,$I$8:$I$55)</f>
        <v>3</v>
      </c>
      <c r="Q22" s="49">
        <f>SUMIF($D$8:$D$55,$O22,$I$8:$I$55)+SUMIF($F$8:$F$55,$O22,$G$8:$G$55)</f>
        <v>1</v>
      </c>
      <c r="R22" s="49">
        <f>P22-Q22</f>
        <v>2</v>
      </c>
      <c r="S22" s="50">
        <f>SUMIF($D$8:$D$55,$O22,$K$8:$K$55)+SUMIF($F$8:$F$55,$O22,$L$8:$L$55)</f>
        <v>5</v>
      </c>
      <c r="T22" s="95" t="s">
        <v>57</v>
      </c>
      <c r="U22" s="40"/>
      <c r="V22" s="40" t="str">
        <f>O22</f>
        <v>Griekenland</v>
      </c>
      <c r="W22" s="40" t="s">
        <v>58</v>
      </c>
      <c r="Y22" s="109">
        <f t="shared" si="8"/>
        <v>10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10</v>
      </c>
      <c r="AG22" s="108">
        <f t="shared" si="3"/>
        <v>1</v>
      </c>
      <c r="AH22" s="108">
        <f t="shared" si="4"/>
        <v>1</v>
      </c>
      <c r="AI22" s="108">
        <f t="shared" si="10"/>
        <v>10</v>
      </c>
      <c r="AJ22" s="108">
        <f t="shared" si="5"/>
        <v>5</v>
      </c>
      <c r="AK22" s="108">
        <f t="shared" si="6"/>
        <v>0</v>
      </c>
      <c r="AL22" s="108">
        <f t="shared" si="7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18">
        <v>16</v>
      </c>
      <c r="C23" s="207">
        <v>41807</v>
      </c>
      <c r="D23" s="20" t="s">
        <v>8</v>
      </c>
      <c r="E23" s="21" t="s">
        <v>9</v>
      </c>
      <c r="F23" s="30" t="s">
        <v>11</v>
      </c>
      <c r="G23" s="86">
        <v>4</v>
      </c>
      <c r="H23" s="21" t="s">
        <v>9</v>
      </c>
      <c r="I23" s="91">
        <v>2</v>
      </c>
      <c r="J23" s="23">
        <f t="shared" si="0"/>
        <v>1</v>
      </c>
      <c r="K23" s="11">
        <f t="shared" si="1"/>
        <v>3</v>
      </c>
      <c r="L23" s="11">
        <f t="shared" si="2"/>
        <v>0</v>
      </c>
      <c r="O23" s="48" t="s">
        <v>23</v>
      </c>
      <c r="P23" s="49">
        <f>SUMIF($D$8:$D$55,$O23,$G$8:$G$55)+SUMIF($F$8:$F$55,$O23,$I$8:$I$55)</f>
        <v>3</v>
      </c>
      <c r="Q23" s="49">
        <f>SUMIF($D$8:$D$55,$O23,$I$8:$I$55)+SUMIF($F$8:$F$55,$O23,$G$8:$G$55)</f>
        <v>2</v>
      </c>
      <c r="R23" s="49">
        <f>P23-Q23</f>
        <v>1</v>
      </c>
      <c r="S23" s="50">
        <f>SUMIF($D$8:$D$55,$O23,$K$8:$K$55)+SUMIF($F$8:$F$55,$O23,$L$8:$L$55)</f>
        <v>5</v>
      </c>
      <c r="T23" s="95" t="s">
        <v>58</v>
      </c>
      <c r="U23" s="40"/>
      <c r="V23" s="40" t="str">
        <f>O23</f>
        <v>Ivoorkust</v>
      </c>
      <c r="W23" s="40" t="s">
        <v>59</v>
      </c>
      <c r="Y23" s="109">
        <f t="shared" si="8"/>
        <v>0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0</v>
      </c>
      <c r="AG23" s="108">
        <f t="shared" si="3"/>
        <v>0</v>
      </c>
      <c r="AH23" s="108">
        <f t="shared" si="4"/>
        <v>0</v>
      </c>
      <c r="AI23" s="108">
        <f t="shared" si="10"/>
        <v>0</v>
      </c>
      <c r="AJ23" s="108">
        <f t="shared" si="5"/>
        <v>0</v>
      </c>
      <c r="AK23" s="108">
        <f t="shared" si="6"/>
        <v>0</v>
      </c>
      <c r="AL23" s="108">
        <f t="shared" si="7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24">
        <v>17</v>
      </c>
      <c r="C24" s="208">
        <v>41807</v>
      </c>
      <c r="D24" s="26" t="s">
        <v>39</v>
      </c>
      <c r="E24" s="27" t="s">
        <v>9</v>
      </c>
      <c r="F24" s="28" t="s">
        <v>40</v>
      </c>
      <c r="G24" s="87">
        <v>1</v>
      </c>
      <c r="H24" s="27" t="s">
        <v>9</v>
      </c>
      <c r="I24" s="92">
        <v>1</v>
      </c>
      <c r="J24" s="29">
        <f t="shared" si="0"/>
        <v>3</v>
      </c>
      <c r="K24" s="11">
        <f t="shared" si="1"/>
        <v>1</v>
      </c>
      <c r="L24" s="11">
        <f t="shared" si="2"/>
        <v>1</v>
      </c>
      <c r="O24" s="51" t="s">
        <v>24</v>
      </c>
      <c r="P24" s="52">
        <f>SUMIF($D$8:$D$55,$O24,$G$8:$G$55)+SUMIF($F$8:$F$55,$O24,$I$8:$I$55)</f>
        <v>3</v>
      </c>
      <c r="Q24" s="52">
        <f>SUMIF($D$8:$D$55,$O24,$I$8:$I$55)+SUMIF($F$8:$F$55,$O24,$G$8:$G$55)</f>
        <v>4</v>
      </c>
      <c r="R24" s="52">
        <f>P24-Q24</f>
        <v>-1</v>
      </c>
      <c r="S24" s="53">
        <f>SUMIF($D$8:$D$55,$O24,$K$8:$K$55)+SUMIF($F$8:$F$55,$O24,$L$8:$L$55)</f>
        <v>2</v>
      </c>
      <c r="T24" s="96" t="s">
        <v>59</v>
      </c>
      <c r="U24" s="40"/>
      <c r="V24" s="40" t="str">
        <f>O24</f>
        <v>Japan</v>
      </c>
      <c r="W24" s="40" t="s">
        <v>60</v>
      </c>
      <c r="Y24" s="109">
        <f t="shared" si="8"/>
        <v>10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10</v>
      </c>
      <c r="AG24" s="108">
        <f t="shared" si="3"/>
        <v>1</v>
      </c>
      <c r="AH24" s="108">
        <f t="shared" si="4"/>
        <v>1</v>
      </c>
      <c r="AI24" s="108">
        <f t="shared" si="10"/>
        <v>10</v>
      </c>
      <c r="AJ24" s="108">
        <f t="shared" si="5"/>
        <v>0</v>
      </c>
      <c r="AK24" s="108">
        <f t="shared" si="6"/>
        <v>0</v>
      </c>
      <c r="AL24" s="108">
        <f t="shared" si="7"/>
        <v>5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12">
        <v>18</v>
      </c>
      <c r="C25" s="206">
        <v>41808</v>
      </c>
      <c r="D25" s="14" t="s">
        <v>16</v>
      </c>
      <c r="E25" s="15" t="s">
        <v>9</v>
      </c>
      <c r="F25" s="31" t="s">
        <v>14</v>
      </c>
      <c r="G25" s="85">
        <v>1</v>
      </c>
      <c r="H25" s="15" t="s">
        <v>9</v>
      </c>
      <c r="I25" s="90">
        <v>3</v>
      </c>
      <c r="J25" s="17">
        <f t="shared" si="0"/>
        <v>2</v>
      </c>
      <c r="K25" s="11">
        <f t="shared" si="1"/>
        <v>0</v>
      </c>
      <c r="L25" s="11">
        <f t="shared" si="2"/>
        <v>3</v>
      </c>
      <c r="O25" s="40"/>
      <c r="P25" s="41"/>
      <c r="Q25" s="41"/>
      <c r="R25" s="41"/>
      <c r="S25" s="41"/>
      <c r="T25" s="41"/>
      <c r="U25" s="40"/>
      <c r="V25" s="40"/>
      <c r="W25" s="40"/>
      <c r="Y25" s="109">
        <f t="shared" si="8"/>
        <v>6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6</v>
      </c>
      <c r="AG25" s="108">
        <f t="shared" si="3"/>
        <v>0</v>
      </c>
      <c r="AH25" s="108">
        <f t="shared" si="4"/>
        <v>1</v>
      </c>
      <c r="AI25" s="108">
        <f t="shared" si="10"/>
        <v>0</v>
      </c>
      <c r="AJ25" s="108">
        <f t="shared" si="5"/>
        <v>0</v>
      </c>
      <c r="AK25" s="108">
        <f t="shared" si="6"/>
        <v>5</v>
      </c>
      <c r="AL25" s="108">
        <f t="shared" si="7"/>
        <v>0</v>
      </c>
      <c r="AN25" s="40"/>
      <c r="AO25" s="41"/>
    </row>
    <row r="26" spans="2:41" ht="15.75" thickBot="1">
      <c r="B26" s="18">
        <v>19</v>
      </c>
      <c r="C26" s="207">
        <v>41808</v>
      </c>
      <c r="D26" s="20" t="s">
        <v>13</v>
      </c>
      <c r="E26" s="21" t="s">
        <v>9</v>
      </c>
      <c r="F26" s="30" t="s">
        <v>15</v>
      </c>
      <c r="G26" s="86">
        <v>2</v>
      </c>
      <c r="H26" s="21" t="s">
        <v>9</v>
      </c>
      <c r="I26" s="91">
        <v>1</v>
      </c>
      <c r="J26" s="23">
        <f t="shared" si="0"/>
        <v>1</v>
      </c>
      <c r="K26" s="11">
        <f t="shared" si="1"/>
        <v>3</v>
      </c>
      <c r="L26" s="11">
        <f t="shared" si="2"/>
        <v>0</v>
      </c>
      <c r="O26" s="72" t="s">
        <v>61</v>
      </c>
      <c r="P26" s="73" t="s">
        <v>42</v>
      </c>
      <c r="Q26" s="73" t="s">
        <v>43</v>
      </c>
      <c r="R26" s="74" t="s">
        <v>44</v>
      </c>
      <c r="S26" s="75" t="s">
        <v>45</v>
      </c>
      <c r="T26" s="76" t="s">
        <v>46</v>
      </c>
      <c r="U26" s="40"/>
      <c r="V26" s="40"/>
      <c r="W26" s="40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3"/>
        <v>0</v>
      </c>
      <c r="AH26" s="108">
        <f t="shared" si="4"/>
        <v>0</v>
      </c>
      <c r="AI26" s="108">
        <f t="shared" si="10"/>
        <v>0</v>
      </c>
      <c r="AJ26" s="108">
        <f t="shared" si="5"/>
        <v>0</v>
      </c>
      <c r="AK26" s="108">
        <f t="shared" si="6"/>
        <v>0</v>
      </c>
      <c r="AL26" s="108">
        <f t="shared" si="7"/>
        <v>0</v>
      </c>
      <c r="AN26" s="42" t="s">
        <v>61</v>
      </c>
      <c r="AO26" s="43" t="s">
        <v>46</v>
      </c>
    </row>
    <row r="27" spans="2:41" ht="15.75" thickBot="1">
      <c r="B27" s="24">
        <v>20</v>
      </c>
      <c r="C27" s="208">
        <v>41808</v>
      </c>
      <c r="D27" s="26" t="s">
        <v>12</v>
      </c>
      <c r="E27" s="27" t="s">
        <v>9</v>
      </c>
      <c r="F27" s="28" t="s">
        <v>10</v>
      </c>
      <c r="G27" s="87">
        <v>0</v>
      </c>
      <c r="H27" s="27" t="s">
        <v>9</v>
      </c>
      <c r="I27" s="92">
        <v>0</v>
      </c>
      <c r="J27" s="29">
        <f t="shared" si="0"/>
        <v>3</v>
      </c>
      <c r="K27" s="11">
        <f t="shared" si="1"/>
        <v>1</v>
      </c>
      <c r="L27" s="11">
        <f t="shared" si="2"/>
        <v>1</v>
      </c>
      <c r="O27" s="44" t="s">
        <v>19</v>
      </c>
      <c r="P27" s="45">
        <f>SUMIF($D$8:$D$55,$O27,$G$8:$G$55)+SUMIF($F$8:$F$55,$O27,$I$8:$I$55)</f>
        <v>5</v>
      </c>
      <c r="Q27" s="45">
        <f>SUMIF($D$8:$D$55,$O27,$I$8:$I$55)+SUMIF($F$8:$F$55,$O27,$G$8:$G$55)</f>
        <v>8</v>
      </c>
      <c r="R27" s="46">
        <f>P27-Q27</f>
        <v>-3</v>
      </c>
      <c r="S27" s="47">
        <f>SUMIF($D$8:$D$55,$O27,$K$8:$K$55)+SUMIF($F$8:$F$55,$O27,$L$8:$L$55)</f>
        <v>1</v>
      </c>
      <c r="T27" s="94" t="s">
        <v>64</v>
      </c>
      <c r="U27" s="40"/>
      <c r="V27" s="40" t="str">
        <f>O27</f>
        <v>Uruguay</v>
      </c>
      <c r="W27" s="40" t="s">
        <v>62</v>
      </c>
      <c r="Y27" s="109">
        <f t="shared" si="8"/>
        <v>1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1</v>
      </c>
      <c r="AG27" s="108">
        <f t="shared" si="3"/>
        <v>1</v>
      </c>
      <c r="AH27" s="108">
        <f t="shared" si="4"/>
        <v>0</v>
      </c>
      <c r="AI27" s="108">
        <f t="shared" si="10"/>
        <v>0</v>
      </c>
      <c r="AJ27" s="108">
        <f t="shared" si="5"/>
        <v>0</v>
      </c>
      <c r="AK27" s="108">
        <f t="shared" si="6"/>
        <v>0</v>
      </c>
      <c r="AL27" s="108">
        <f t="shared" si="7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12">
        <v>21</v>
      </c>
      <c r="C28" s="206">
        <v>41809</v>
      </c>
      <c r="D28" s="14" t="s">
        <v>17</v>
      </c>
      <c r="E28" s="15" t="s">
        <v>9</v>
      </c>
      <c r="F28" s="16" t="s">
        <v>23</v>
      </c>
      <c r="G28" s="85">
        <v>0</v>
      </c>
      <c r="H28" s="15" t="s">
        <v>9</v>
      </c>
      <c r="I28" s="90">
        <v>0</v>
      </c>
      <c r="J28" s="17">
        <f t="shared" si="0"/>
        <v>3</v>
      </c>
      <c r="K28" s="11">
        <f t="shared" si="1"/>
        <v>1</v>
      </c>
      <c r="L28" s="11">
        <f t="shared" si="2"/>
        <v>1</v>
      </c>
      <c r="O28" s="48" t="s">
        <v>20</v>
      </c>
      <c r="P28" s="49">
        <f>SUMIF($D$8:$D$55,$O28,$G$8:$G$55)+SUMIF($F$8:$F$55,$O28,$I$8:$I$55)</f>
        <v>3</v>
      </c>
      <c r="Q28" s="49">
        <f>SUMIF($D$8:$D$55,$O28,$I$8:$I$55)+SUMIF($F$8:$F$55,$O28,$G$8:$G$55)</f>
        <v>10</v>
      </c>
      <c r="R28" s="49">
        <f>P28-Q28</f>
        <v>-7</v>
      </c>
      <c r="S28" s="50">
        <f>SUMIF($D$8:$D$55,$O28,$K$8:$K$55)+SUMIF($F$8:$F$55,$O28,$L$8:$L$55)</f>
        <v>1</v>
      </c>
      <c r="T28" s="95" t="s">
        <v>65</v>
      </c>
      <c r="U28" s="40"/>
      <c r="V28" s="40" t="str">
        <f>O28</f>
        <v>Costa Rica</v>
      </c>
      <c r="W28" s="40" t="s">
        <v>63</v>
      </c>
      <c r="Y28" s="109">
        <f t="shared" si="8"/>
        <v>0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0</v>
      </c>
      <c r="AG28" s="108">
        <f t="shared" si="3"/>
        <v>0</v>
      </c>
      <c r="AH28" s="108">
        <f t="shared" si="4"/>
        <v>0</v>
      </c>
      <c r="AI28" s="108">
        <f t="shared" si="10"/>
        <v>0</v>
      </c>
      <c r="AJ28" s="108">
        <f t="shared" si="5"/>
        <v>0</v>
      </c>
      <c r="AK28" s="108">
        <f t="shared" si="6"/>
        <v>0</v>
      </c>
      <c r="AL28" s="108">
        <f t="shared" si="7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18">
        <v>22</v>
      </c>
      <c r="C29" s="207">
        <v>41809</v>
      </c>
      <c r="D29" s="20" t="s">
        <v>19</v>
      </c>
      <c r="E29" s="21" t="s">
        <v>9</v>
      </c>
      <c r="F29" s="30" t="s">
        <v>21</v>
      </c>
      <c r="G29" s="86">
        <v>1</v>
      </c>
      <c r="H29" s="21" t="s">
        <v>9</v>
      </c>
      <c r="I29" s="91">
        <v>3</v>
      </c>
      <c r="J29" s="23">
        <f t="shared" si="0"/>
        <v>2</v>
      </c>
      <c r="K29" s="11">
        <f t="shared" si="1"/>
        <v>0</v>
      </c>
      <c r="L29" s="11">
        <f t="shared" si="2"/>
        <v>3</v>
      </c>
      <c r="O29" s="48" t="s">
        <v>21</v>
      </c>
      <c r="P29" s="49">
        <f>SUMIF($D$8:$D$55,$O29,$G$8:$G$55)+SUMIF($F$8:$F$55,$O29,$I$8:$I$55)</f>
        <v>8</v>
      </c>
      <c r="Q29" s="49">
        <f>SUMIF($D$8:$D$55,$O29,$I$8:$I$55)+SUMIF($F$8:$F$55,$O29,$G$8:$G$55)</f>
        <v>2</v>
      </c>
      <c r="R29" s="49">
        <f>P29-Q29</f>
        <v>6</v>
      </c>
      <c r="S29" s="50">
        <f>SUMIF($D$8:$D$55,$O29,$K$8:$K$55)+SUMIF($F$8:$F$55,$O29,$L$8:$L$55)</f>
        <v>9</v>
      </c>
      <c r="T29" s="95" t="s">
        <v>62</v>
      </c>
      <c r="U29" s="40"/>
      <c r="V29" s="40" t="str">
        <f>O29</f>
        <v>Engeland</v>
      </c>
      <c r="W29" s="40" t="s">
        <v>64</v>
      </c>
      <c r="Y29" s="109">
        <f t="shared" si="8"/>
        <v>0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0</v>
      </c>
      <c r="AG29" s="108">
        <f t="shared" si="3"/>
        <v>0</v>
      </c>
      <c r="AH29" s="108">
        <f t="shared" si="4"/>
        <v>0</v>
      </c>
      <c r="AI29" s="108">
        <f t="shared" si="10"/>
        <v>0</v>
      </c>
      <c r="AJ29" s="108">
        <f t="shared" si="5"/>
        <v>0</v>
      </c>
      <c r="AK29" s="108">
        <f t="shared" si="6"/>
        <v>0</v>
      </c>
      <c r="AL29" s="108">
        <f t="shared" si="7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24">
        <v>23</v>
      </c>
      <c r="C30" s="208">
        <v>41809</v>
      </c>
      <c r="D30" s="26" t="s">
        <v>24</v>
      </c>
      <c r="E30" s="27" t="s">
        <v>9</v>
      </c>
      <c r="F30" s="28" t="s">
        <v>18</v>
      </c>
      <c r="G30" s="87">
        <v>1</v>
      </c>
      <c r="H30" s="27" t="s">
        <v>9</v>
      </c>
      <c r="I30" s="92">
        <v>1</v>
      </c>
      <c r="J30" s="29">
        <f t="shared" si="0"/>
        <v>3</v>
      </c>
      <c r="K30" s="11">
        <f t="shared" si="1"/>
        <v>1</v>
      </c>
      <c r="L30" s="11">
        <f t="shared" si="2"/>
        <v>1</v>
      </c>
      <c r="O30" s="51" t="s">
        <v>22</v>
      </c>
      <c r="P30" s="52">
        <f>SUMIF($D$8:$D$55,$O30,$G$8:$G$55)+SUMIF($F$8:$F$55,$O30,$I$8:$I$55)</f>
        <v>7</v>
      </c>
      <c r="Q30" s="52">
        <f>SUMIF($D$8:$D$55,$O30,$I$8:$I$55)+SUMIF($F$8:$F$55,$O30,$G$8:$G$55)</f>
        <v>3</v>
      </c>
      <c r="R30" s="52">
        <f>P30-Q30</f>
        <v>4</v>
      </c>
      <c r="S30" s="53">
        <f>SUMIF($D$8:$D$55,$O30,$K$8:$K$55)+SUMIF($F$8:$F$55,$O30,$L$8:$L$55)</f>
        <v>6</v>
      </c>
      <c r="T30" s="96" t="s">
        <v>63</v>
      </c>
      <c r="U30" s="40"/>
      <c r="V30" s="40" t="str">
        <f>O30</f>
        <v>Italië</v>
      </c>
      <c r="W30" s="40" t="s">
        <v>65</v>
      </c>
      <c r="Y30" s="109">
        <f t="shared" si="8"/>
        <v>5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5</v>
      </c>
      <c r="AG30" s="108">
        <f t="shared" si="3"/>
        <v>0</v>
      </c>
      <c r="AH30" s="108">
        <f t="shared" si="4"/>
        <v>0</v>
      </c>
      <c r="AI30" s="108">
        <f t="shared" si="10"/>
        <v>0</v>
      </c>
      <c r="AJ30" s="108">
        <f t="shared" si="5"/>
        <v>0</v>
      </c>
      <c r="AK30" s="108">
        <f t="shared" si="6"/>
        <v>0</v>
      </c>
      <c r="AL30" s="108">
        <f t="shared" si="7"/>
        <v>5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12">
        <v>24</v>
      </c>
      <c r="C31" s="206">
        <v>41810</v>
      </c>
      <c r="D31" s="14" t="s">
        <v>22</v>
      </c>
      <c r="E31" s="15" t="s">
        <v>9</v>
      </c>
      <c r="F31" s="16" t="s">
        <v>20</v>
      </c>
      <c r="G31" s="85">
        <v>4</v>
      </c>
      <c r="H31" s="15" t="s">
        <v>9</v>
      </c>
      <c r="I31" s="90">
        <v>0</v>
      </c>
      <c r="J31" s="17">
        <f t="shared" si="0"/>
        <v>1</v>
      </c>
      <c r="K31" s="11">
        <f t="shared" si="1"/>
        <v>3</v>
      </c>
      <c r="L31" s="11">
        <f t="shared" si="2"/>
        <v>0</v>
      </c>
      <c r="O31" s="40"/>
      <c r="P31" s="41"/>
      <c r="Q31" s="41"/>
      <c r="R31" s="41"/>
      <c r="S31" s="41"/>
      <c r="T31" s="41"/>
      <c r="U31" s="40"/>
      <c r="V31" s="40"/>
      <c r="W31" s="40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3"/>
        <v>0</v>
      </c>
      <c r="AH31" s="108">
        <f t="shared" si="4"/>
        <v>0</v>
      </c>
      <c r="AI31" s="108">
        <f t="shared" si="10"/>
        <v>0</v>
      </c>
      <c r="AJ31" s="108">
        <f t="shared" si="5"/>
        <v>0</v>
      </c>
      <c r="AK31" s="108">
        <f t="shared" si="6"/>
        <v>0</v>
      </c>
      <c r="AL31" s="108">
        <f t="shared" si="7"/>
        <v>0</v>
      </c>
      <c r="AN31" s="40"/>
      <c r="AO31" s="41"/>
    </row>
    <row r="32" spans="2:41" ht="15.75" thickBot="1">
      <c r="B32" s="18">
        <v>25</v>
      </c>
      <c r="C32" s="207">
        <v>41810</v>
      </c>
      <c r="D32" s="20" t="s">
        <v>25</v>
      </c>
      <c r="E32" s="21" t="s">
        <v>9</v>
      </c>
      <c r="F32" s="30" t="s">
        <v>27</v>
      </c>
      <c r="G32" s="86">
        <v>1</v>
      </c>
      <c r="H32" s="21" t="s">
        <v>9</v>
      </c>
      <c r="I32" s="91">
        <v>1</v>
      </c>
      <c r="J32" s="23">
        <f t="shared" si="0"/>
        <v>3</v>
      </c>
      <c r="K32" s="11">
        <f t="shared" si="1"/>
        <v>1</v>
      </c>
      <c r="L32" s="11">
        <f t="shared" si="2"/>
        <v>1</v>
      </c>
      <c r="O32" s="72" t="s">
        <v>66</v>
      </c>
      <c r="P32" s="73" t="s">
        <v>42</v>
      </c>
      <c r="Q32" s="73" t="s">
        <v>43</v>
      </c>
      <c r="R32" s="74" t="s">
        <v>44</v>
      </c>
      <c r="S32" s="75" t="s">
        <v>45</v>
      </c>
      <c r="T32" s="76" t="s">
        <v>46</v>
      </c>
      <c r="U32" s="40"/>
      <c r="V32" s="40"/>
      <c r="W32" s="40"/>
      <c r="Y32" s="109">
        <f t="shared" si="8"/>
        <v>0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0</v>
      </c>
      <c r="AG32" s="108">
        <f t="shared" si="3"/>
        <v>0</v>
      </c>
      <c r="AH32" s="108">
        <f t="shared" si="4"/>
        <v>0</v>
      </c>
      <c r="AI32" s="108">
        <f t="shared" si="10"/>
        <v>0</v>
      </c>
      <c r="AJ32" s="108">
        <f t="shared" si="5"/>
        <v>0</v>
      </c>
      <c r="AK32" s="108">
        <f t="shared" si="6"/>
        <v>0</v>
      </c>
      <c r="AL32" s="108">
        <f t="shared" si="7"/>
        <v>0</v>
      </c>
      <c r="AN32" s="42" t="s">
        <v>66</v>
      </c>
      <c r="AO32" s="43" t="s">
        <v>46</v>
      </c>
    </row>
    <row r="33" spans="2:41" ht="15.75" thickBot="1">
      <c r="B33" s="24">
        <v>26</v>
      </c>
      <c r="C33" s="208">
        <v>41810</v>
      </c>
      <c r="D33" s="26" t="s">
        <v>28</v>
      </c>
      <c r="E33" s="27" t="s">
        <v>9</v>
      </c>
      <c r="F33" s="28" t="s">
        <v>26</v>
      </c>
      <c r="G33" s="87">
        <v>0</v>
      </c>
      <c r="H33" s="27" t="s">
        <v>9</v>
      </c>
      <c r="I33" s="92">
        <v>0</v>
      </c>
      <c r="J33" s="29">
        <f t="shared" si="0"/>
        <v>3</v>
      </c>
      <c r="K33" s="11">
        <f t="shared" si="1"/>
        <v>1</v>
      </c>
      <c r="L33" s="11">
        <f t="shared" si="2"/>
        <v>1</v>
      </c>
      <c r="O33" s="44" t="s">
        <v>25</v>
      </c>
      <c r="P33" s="45">
        <f>SUMIF($D$8:$D$55,$O33,$G$8:$G$55)+SUMIF($F$8:$F$55,$O33,$I$8:$I$55)</f>
        <v>2</v>
      </c>
      <c r="Q33" s="45">
        <f>SUMIF($D$8:$D$55,$O33,$I$8:$I$55)+SUMIF($F$8:$F$55,$O33,$G$8:$G$55)</f>
        <v>2</v>
      </c>
      <c r="R33" s="46">
        <f>P33-Q33</f>
        <v>0</v>
      </c>
      <c r="S33" s="47">
        <f>SUMIF($D$8:$D$55,$O33,$K$8:$K$55)+SUMIF($F$8:$F$55,$O33,$L$8:$L$55)</f>
        <v>3</v>
      </c>
      <c r="T33" s="94" t="s">
        <v>68</v>
      </c>
      <c r="U33" s="40"/>
      <c r="V33" s="40" t="str">
        <f>O33</f>
        <v>Zwitserland</v>
      </c>
      <c r="W33" s="40" t="s">
        <v>67</v>
      </c>
      <c r="Y33" s="109">
        <f t="shared" si="8"/>
        <v>0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0</v>
      </c>
      <c r="AG33" s="108">
        <f t="shared" si="3"/>
        <v>0</v>
      </c>
      <c r="AH33" s="108">
        <f t="shared" si="4"/>
        <v>0</v>
      </c>
      <c r="AI33" s="108">
        <f t="shared" si="10"/>
        <v>0</v>
      </c>
      <c r="AJ33" s="108">
        <f t="shared" si="5"/>
        <v>0</v>
      </c>
      <c r="AK33" s="108">
        <f t="shared" si="6"/>
        <v>0</v>
      </c>
      <c r="AL33" s="108">
        <f t="shared" si="7"/>
        <v>0</v>
      </c>
      <c r="AM33" s="120">
        <f>AO33</f>
        <v>10</v>
      </c>
      <c r="AN33" s="116" t="s">
        <v>25</v>
      </c>
      <c r="AO33" s="115">
        <f>IF(Uitslag!T33="",0,IF(T33=Uitslag!T33,10,0))</f>
        <v>10</v>
      </c>
    </row>
    <row r="34" spans="2:41" ht="15.75" thickBot="1">
      <c r="B34" s="12">
        <v>27</v>
      </c>
      <c r="C34" s="206">
        <v>41811</v>
      </c>
      <c r="D34" s="14" t="s">
        <v>29</v>
      </c>
      <c r="E34" s="15" t="s">
        <v>9</v>
      </c>
      <c r="F34" s="16" t="s">
        <v>33</v>
      </c>
      <c r="G34" s="85">
        <v>3</v>
      </c>
      <c r="H34" s="15" t="s">
        <v>9</v>
      </c>
      <c r="I34" s="90">
        <v>0</v>
      </c>
      <c r="J34" s="17">
        <f t="shared" si="0"/>
        <v>1</v>
      </c>
      <c r="K34" s="11">
        <f t="shared" si="1"/>
        <v>3</v>
      </c>
      <c r="L34" s="11">
        <f t="shared" si="2"/>
        <v>0</v>
      </c>
      <c r="O34" s="48" t="s">
        <v>26</v>
      </c>
      <c r="P34" s="49">
        <f>SUMIF($D$8:$D$55,$O34,$G$8:$G$55)+SUMIF($F$8:$F$55,$O34,$I$8:$I$55)</f>
        <v>0</v>
      </c>
      <c r="Q34" s="49">
        <f>SUMIF($D$8:$D$55,$O34,$I$8:$I$55)+SUMIF($F$8:$F$55,$O34,$G$8:$G$55)</f>
        <v>2</v>
      </c>
      <c r="R34" s="49">
        <f>P34-Q34</f>
        <v>-2</v>
      </c>
      <c r="S34" s="50">
        <f>SUMIF($D$8:$D$55,$O34,$K$8:$K$55)+SUMIF($F$8:$F$55,$O34,$L$8:$L$55)</f>
        <v>2</v>
      </c>
      <c r="T34" s="95" t="s">
        <v>69</v>
      </c>
      <c r="U34" s="40"/>
      <c r="V34" s="40" t="str">
        <f>O34</f>
        <v>Ecuador</v>
      </c>
      <c r="W34" s="40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3"/>
        <v>0</v>
      </c>
      <c r="AH34" s="108">
        <f t="shared" si="4"/>
        <v>1</v>
      </c>
      <c r="AI34" s="108">
        <f t="shared" si="10"/>
        <v>0</v>
      </c>
      <c r="AJ34" s="108">
        <f t="shared" si="5"/>
        <v>5</v>
      </c>
      <c r="AK34" s="108">
        <f t="shared" si="6"/>
        <v>0</v>
      </c>
      <c r="AL34" s="108">
        <f t="shared" si="7"/>
        <v>0</v>
      </c>
      <c r="AM34" s="120">
        <f>AO34</f>
        <v>10</v>
      </c>
      <c r="AN34" s="117" t="s">
        <v>26</v>
      </c>
      <c r="AO34" s="115">
        <f>IF(Uitslag!T34="",0,IF(T34=Uitslag!T34,10,0))</f>
        <v>10</v>
      </c>
    </row>
    <row r="35" spans="2:41" ht="15.75" thickBot="1">
      <c r="B35" s="18">
        <v>28</v>
      </c>
      <c r="C35" s="207">
        <v>41811</v>
      </c>
      <c r="D35" s="20" t="s">
        <v>31</v>
      </c>
      <c r="E35" s="21" t="s">
        <v>9</v>
      </c>
      <c r="F35" s="30" t="s">
        <v>35</v>
      </c>
      <c r="G35" s="86">
        <v>2</v>
      </c>
      <c r="H35" s="21" t="s">
        <v>9</v>
      </c>
      <c r="I35" s="91">
        <v>0</v>
      </c>
      <c r="J35" s="23">
        <f t="shared" si="0"/>
        <v>1</v>
      </c>
      <c r="K35" s="11">
        <f t="shared" si="1"/>
        <v>3</v>
      </c>
      <c r="L35" s="11">
        <f t="shared" si="2"/>
        <v>0</v>
      </c>
      <c r="O35" s="48" t="s">
        <v>27</v>
      </c>
      <c r="P35" s="49">
        <f>SUMIF($D$8:$D$55,$O35,$G$8:$G$55)+SUMIF($F$8:$F$55,$O35,$I$8:$I$55)</f>
        <v>5</v>
      </c>
      <c r="Q35" s="49">
        <f>SUMIF($D$8:$D$55,$O35,$I$8:$I$55)+SUMIF($F$8:$F$55,$O35,$G$8:$G$55)</f>
        <v>1</v>
      </c>
      <c r="R35" s="49">
        <f>P35-Q35</f>
        <v>4</v>
      </c>
      <c r="S35" s="50">
        <f>SUMIF($D$8:$D$55,$O35,$K$8:$K$55)+SUMIF($F$8:$F$55,$O35,$L$8:$L$55)</f>
        <v>7</v>
      </c>
      <c r="T35" s="95" t="s">
        <v>67</v>
      </c>
      <c r="U35" s="40"/>
      <c r="V35" s="40" t="str">
        <f>O35</f>
        <v>Frankrijk</v>
      </c>
      <c r="W35" s="40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3"/>
        <v>1</v>
      </c>
      <c r="AH35" s="108">
        <f t="shared" si="4"/>
        <v>0</v>
      </c>
      <c r="AI35" s="108">
        <f t="shared" si="10"/>
        <v>0</v>
      </c>
      <c r="AJ35" s="108">
        <f t="shared" si="5"/>
        <v>0</v>
      </c>
      <c r="AK35" s="108">
        <f t="shared" si="6"/>
        <v>0</v>
      </c>
      <c r="AL35" s="108">
        <f t="shared" si="7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24">
        <v>29</v>
      </c>
      <c r="C36" s="208">
        <v>41811</v>
      </c>
      <c r="D36" s="26" t="s">
        <v>34</v>
      </c>
      <c r="E36" s="27" t="s">
        <v>9</v>
      </c>
      <c r="F36" s="28" t="s">
        <v>30</v>
      </c>
      <c r="G36" s="87">
        <v>1</v>
      </c>
      <c r="H36" s="27" t="s">
        <v>9</v>
      </c>
      <c r="I36" s="92">
        <v>1</v>
      </c>
      <c r="J36" s="29">
        <f t="shared" si="0"/>
        <v>3</v>
      </c>
      <c r="K36" s="11">
        <f t="shared" si="1"/>
        <v>1</v>
      </c>
      <c r="L36" s="11">
        <f t="shared" si="2"/>
        <v>1</v>
      </c>
      <c r="O36" s="51" t="s">
        <v>28</v>
      </c>
      <c r="P36" s="52">
        <f>SUMIF($D$8:$D$55,$O36,$G$8:$G$55)+SUMIF($F$8:$F$55,$O36,$I$8:$I$55)</f>
        <v>1</v>
      </c>
      <c r="Q36" s="52">
        <f>SUMIF($D$8:$D$55,$O36,$I$8:$I$55)+SUMIF($F$8:$F$55,$O36,$G$8:$G$55)</f>
        <v>3</v>
      </c>
      <c r="R36" s="52">
        <f>P36-Q36</f>
        <v>-2</v>
      </c>
      <c r="S36" s="53">
        <f>SUMIF($D$8:$D$55,$O36,$K$8:$K$55)+SUMIF($F$8:$F$55,$O36,$L$8:$L$55)</f>
        <v>2</v>
      </c>
      <c r="T36" s="96" t="s">
        <v>70</v>
      </c>
      <c r="U36" s="40"/>
      <c r="V36" s="40" t="str">
        <f>O36</f>
        <v>Honduras</v>
      </c>
      <c r="W36" s="40" t="s">
        <v>70</v>
      </c>
      <c r="Y36" s="109">
        <f t="shared" si="8"/>
        <v>1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1</v>
      </c>
      <c r="AG36" s="108">
        <f t="shared" si="3"/>
        <v>1</v>
      </c>
      <c r="AH36" s="108">
        <f t="shared" si="4"/>
        <v>0</v>
      </c>
      <c r="AI36" s="108">
        <f t="shared" si="10"/>
        <v>0</v>
      </c>
      <c r="AJ36" s="108">
        <f t="shared" si="5"/>
        <v>0</v>
      </c>
      <c r="AK36" s="108">
        <f t="shared" si="6"/>
        <v>0</v>
      </c>
      <c r="AL36" s="108">
        <f t="shared" si="7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12">
        <v>30</v>
      </c>
      <c r="C37" s="206">
        <v>41812</v>
      </c>
      <c r="D37" s="14" t="s">
        <v>37</v>
      </c>
      <c r="E37" s="15" t="s">
        <v>9</v>
      </c>
      <c r="F37" s="16" t="s">
        <v>39</v>
      </c>
      <c r="G37" s="85">
        <v>2</v>
      </c>
      <c r="H37" s="15" t="s">
        <v>9</v>
      </c>
      <c r="I37" s="90">
        <v>2</v>
      </c>
      <c r="J37" s="17">
        <f t="shared" si="0"/>
        <v>3</v>
      </c>
      <c r="K37" s="11">
        <f t="shared" si="1"/>
        <v>1</v>
      </c>
      <c r="L37" s="11">
        <f t="shared" si="2"/>
        <v>1</v>
      </c>
      <c r="O37" s="40"/>
      <c r="P37" s="41"/>
      <c r="Q37" s="41"/>
      <c r="R37" s="41"/>
      <c r="S37" s="41"/>
      <c r="T37" s="41"/>
      <c r="U37" s="40"/>
      <c r="V37" s="40"/>
      <c r="W37" s="40"/>
      <c r="Y37" s="109">
        <f t="shared" si="8"/>
        <v>0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0</v>
      </c>
      <c r="AG37" s="108">
        <f t="shared" si="3"/>
        <v>0</v>
      </c>
      <c r="AH37" s="108">
        <f t="shared" si="4"/>
        <v>0</v>
      </c>
      <c r="AI37" s="108">
        <f t="shared" si="10"/>
        <v>0</v>
      </c>
      <c r="AJ37" s="108">
        <f t="shared" si="5"/>
        <v>0</v>
      </c>
      <c r="AK37" s="108">
        <f t="shared" si="6"/>
        <v>0</v>
      </c>
      <c r="AL37" s="108">
        <f t="shared" si="7"/>
        <v>0</v>
      </c>
      <c r="AN37" s="40"/>
      <c r="AO37" s="41"/>
    </row>
    <row r="38" spans="2:41" ht="15.75" thickBot="1">
      <c r="B38" s="18">
        <v>31</v>
      </c>
      <c r="C38" s="207">
        <v>41812</v>
      </c>
      <c r="D38" s="20" t="s">
        <v>40</v>
      </c>
      <c r="E38" s="21" t="s">
        <v>9</v>
      </c>
      <c r="F38" s="30" t="s">
        <v>38</v>
      </c>
      <c r="G38" s="86">
        <v>0</v>
      </c>
      <c r="H38" s="21" t="s">
        <v>9</v>
      </c>
      <c r="I38" s="91">
        <v>0</v>
      </c>
      <c r="J38" s="23">
        <f t="shared" si="0"/>
        <v>3</v>
      </c>
      <c r="K38" s="11">
        <f t="shared" si="1"/>
        <v>1</v>
      </c>
      <c r="L38" s="11">
        <f t="shared" si="2"/>
        <v>1</v>
      </c>
      <c r="O38" s="72" t="s">
        <v>71</v>
      </c>
      <c r="P38" s="73" t="s">
        <v>42</v>
      </c>
      <c r="Q38" s="73" t="s">
        <v>43</v>
      </c>
      <c r="R38" s="74" t="s">
        <v>44</v>
      </c>
      <c r="S38" s="75" t="s">
        <v>45</v>
      </c>
      <c r="T38" s="76" t="s">
        <v>46</v>
      </c>
      <c r="U38" s="40"/>
      <c r="V38" s="40"/>
      <c r="W38" s="40"/>
      <c r="Y38" s="109">
        <f t="shared" si="8"/>
        <v>0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0</v>
      </c>
      <c r="AG38" s="108">
        <f t="shared" si="3"/>
        <v>0</v>
      </c>
      <c r="AH38" s="108">
        <f t="shared" si="4"/>
        <v>0</v>
      </c>
      <c r="AI38" s="108">
        <f t="shared" si="10"/>
        <v>0</v>
      </c>
      <c r="AJ38" s="108">
        <f t="shared" si="5"/>
        <v>0</v>
      </c>
      <c r="AK38" s="108">
        <f t="shared" si="6"/>
        <v>0</v>
      </c>
      <c r="AL38" s="108">
        <f t="shared" si="7"/>
        <v>0</v>
      </c>
      <c r="AN38" s="42" t="s">
        <v>71</v>
      </c>
      <c r="AO38" s="43" t="s">
        <v>46</v>
      </c>
    </row>
    <row r="39" spans="2:41" ht="15.75" thickBot="1">
      <c r="B39" s="24">
        <v>32</v>
      </c>
      <c r="C39" s="208">
        <v>41812</v>
      </c>
      <c r="D39" s="26" t="s">
        <v>36</v>
      </c>
      <c r="E39" s="27" t="s">
        <v>9</v>
      </c>
      <c r="F39" s="28" t="s">
        <v>32</v>
      </c>
      <c r="G39" s="87">
        <v>0</v>
      </c>
      <c r="H39" s="27" t="s">
        <v>9</v>
      </c>
      <c r="I39" s="92">
        <v>3</v>
      </c>
      <c r="J39" s="29">
        <f t="shared" si="0"/>
        <v>2</v>
      </c>
      <c r="K39" s="11">
        <f t="shared" si="1"/>
        <v>0</v>
      </c>
      <c r="L39" s="11">
        <f t="shared" si="2"/>
        <v>3</v>
      </c>
      <c r="O39" s="44" t="s">
        <v>29</v>
      </c>
      <c r="P39" s="45">
        <f>SUMIF($D$8:$D$55,$O39,$G$8:$G$55)+SUMIF($F$8:$F$55,$O39,$I$8:$I$55)</f>
        <v>9</v>
      </c>
      <c r="Q39" s="45">
        <f>SUMIF($D$8:$D$55,$O39,$I$8:$I$55)+SUMIF($F$8:$F$55,$O39,$G$8:$G$55)</f>
        <v>2</v>
      </c>
      <c r="R39" s="46">
        <f>P39-Q39</f>
        <v>7</v>
      </c>
      <c r="S39" s="47">
        <f>SUMIF($D$8:$D$55,$O39,$K$8:$K$55)+SUMIF($F$8:$F$55,$O39,$L$8:$L$55)</f>
        <v>9</v>
      </c>
      <c r="T39" s="94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0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0</v>
      </c>
      <c r="AG39" s="108">
        <f t="shared" si="3"/>
        <v>0</v>
      </c>
      <c r="AH39" s="108">
        <f t="shared" si="4"/>
        <v>0</v>
      </c>
      <c r="AI39" s="108">
        <f t="shared" si="10"/>
        <v>0</v>
      </c>
      <c r="AJ39" s="108">
        <f t="shared" si="5"/>
        <v>0</v>
      </c>
      <c r="AK39" s="108">
        <f t="shared" si="6"/>
        <v>0</v>
      </c>
      <c r="AL39" s="108">
        <f t="shared" si="7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12">
        <v>33</v>
      </c>
      <c r="C40" s="206">
        <v>41813</v>
      </c>
      <c r="D40" s="14" t="s">
        <v>16</v>
      </c>
      <c r="E40" s="15" t="s">
        <v>9</v>
      </c>
      <c r="F40" s="16" t="s">
        <v>13</v>
      </c>
      <c r="G40" s="85">
        <v>1</v>
      </c>
      <c r="H40" s="15" t="s">
        <v>9</v>
      </c>
      <c r="I40" s="90">
        <v>2</v>
      </c>
      <c r="J40" s="17">
        <f t="shared" si="0"/>
        <v>2</v>
      </c>
      <c r="K40" s="11">
        <f t="shared" si="1"/>
        <v>0</v>
      </c>
      <c r="L40" s="11">
        <f t="shared" si="2"/>
        <v>3</v>
      </c>
      <c r="O40" s="48" t="s">
        <v>30</v>
      </c>
      <c r="P40" s="49">
        <f>SUMIF($D$8:$D$55,$O40,$G$8:$G$55)+SUMIF($F$8:$F$55,$O40,$I$8:$I$55)</f>
        <v>3</v>
      </c>
      <c r="Q40" s="49">
        <f>SUMIF($D$8:$D$55,$O40,$I$8:$I$55)+SUMIF($F$8:$F$55,$O40,$G$8:$G$55)</f>
        <v>5</v>
      </c>
      <c r="R40" s="49">
        <f>P40-Q40</f>
        <v>-2</v>
      </c>
      <c r="S40" s="50">
        <f>SUMIF($D$8:$D$55,$O40,$K$8:$K$55)+SUMIF($F$8:$F$55,$O40,$L$8:$L$55)</f>
        <v>2</v>
      </c>
      <c r="T40" s="95" t="s">
        <v>74</v>
      </c>
      <c r="U40" s="40"/>
      <c r="V40" s="40" t="str">
        <f>O40</f>
        <v>Bosnië H.</v>
      </c>
      <c r="W40" s="40" t="s">
        <v>73</v>
      </c>
      <c r="Y40" s="109">
        <f t="shared" si="8"/>
        <v>5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5</v>
      </c>
      <c r="AG40" s="108">
        <f t="shared" si="3"/>
        <v>0</v>
      </c>
      <c r="AH40" s="108">
        <f t="shared" si="4"/>
        <v>0</v>
      </c>
      <c r="AI40" s="108">
        <f t="shared" si="10"/>
        <v>0</v>
      </c>
      <c r="AJ40" s="108">
        <f t="shared" si="5"/>
        <v>0</v>
      </c>
      <c r="AK40" s="108">
        <f t="shared" si="6"/>
        <v>5</v>
      </c>
      <c r="AL40" s="108">
        <f t="shared" si="7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18">
        <v>34</v>
      </c>
      <c r="C41" s="207">
        <v>41813</v>
      </c>
      <c r="D41" s="32" t="s">
        <v>14</v>
      </c>
      <c r="E41" s="21" t="s">
        <v>9</v>
      </c>
      <c r="F41" s="30" t="s">
        <v>15</v>
      </c>
      <c r="G41" s="86">
        <v>3</v>
      </c>
      <c r="H41" s="21" t="s">
        <v>9</v>
      </c>
      <c r="I41" s="91">
        <v>1</v>
      </c>
      <c r="J41" s="23">
        <f t="shared" si="0"/>
        <v>1</v>
      </c>
      <c r="K41" s="11">
        <f t="shared" si="1"/>
        <v>3</v>
      </c>
      <c r="L41" s="11">
        <f t="shared" si="2"/>
        <v>0</v>
      </c>
      <c r="O41" s="48" t="s">
        <v>33</v>
      </c>
      <c r="P41" s="49">
        <f>SUMIF($D$8:$D$55,$O41,$G$8:$G$55)+SUMIF($F$8:$F$55,$O41,$I$8:$I$55)</f>
        <v>2</v>
      </c>
      <c r="Q41" s="49">
        <f>SUMIF($D$8:$D$55,$O41,$I$8:$I$55)+SUMIF($F$8:$F$55,$O41,$G$8:$G$55)</f>
        <v>6</v>
      </c>
      <c r="R41" s="49">
        <f>P41-Q41</f>
        <v>-4</v>
      </c>
      <c r="S41" s="50">
        <f>SUMIF($D$8:$D$55,$O41,$K$8:$K$55)+SUMIF($F$8:$F$55,$O41,$L$8:$L$55)</f>
        <v>1</v>
      </c>
      <c r="T41" s="95" t="s">
        <v>75</v>
      </c>
      <c r="U41" s="40"/>
      <c r="V41" s="40" t="str">
        <f>O41</f>
        <v>Iran</v>
      </c>
      <c r="W41" s="40" t="s">
        <v>74</v>
      </c>
      <c r="Y41" s="109">
        <f t="shared" si="8"/>
        <v>5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5</v>
      </c>
      <c r="AG41" s="108">
        <f t="shared" si="3"/>
        <v>0</v>
      </c>
      <c r="AH41" s="108">
        <f t="shared" si="4"/>
        <v>0</v>
      </c>
      <c r="AI41" s="108">
        <f t="shared" si="10"/>
        <v>0</v>
      </c>
      <c r="AJ41" s="108">
        <f t="shared" si="5"/>
        <v>5</v>
      </c>
      <c r="AK41" s="108">
        <f t="shared" si="6"/>
        <v>0</v>
      </c>
      <c r="AL41" s="108">
        <f t="shared" si="7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18">
        <v>35</v>
      </c>
      <c r="C42" s="207">
        <v>41813</v>
      </c>
      <c r="D42" s="20" t="s">
        <v>12</v>
      </c>
      <c r="E42" s="21" t="s">
        <v>9</v>
      </c>
      <c r="F42" s="30" t="s">
        <v>8</v>
      </c>
      <c r="G42" s="86">
        <v>1</v>
      </c>
      <c r="H42" s="21" t="s">
        <v>9</v>
      </c>
      <c r="I42" s="91">
        <v>3</v>
      </c>
      <c r="J42" s="23">
        <f t="shared" si="0"/>
        <v>2</v>
      </c>
      <c r="K42" s="11">
        <f t="shared" si="1"/>
        <v>0</v>
      </c>
      <c r="L42" s="11">
        <f t="shared" si="2"/>
        <v>3</v>
      </c>
      <c r="O42" s="51" t="s">
        <v>34</v>
      </c>
      <c r="P42" s="52">
        <f>SUMIF($D$8:$D$55,$O42,$G$8:$G$55)+SUMIF($F$8:$F$55,$O42,$I$8:$I$55)</f>
        <v>4</v>
      </c>
      <c r="Q42" s="52">
        <f>SUMIF($D$8:$D$55,$O42,$I$8:$I$55)+SUMIF($F$8:$F$55,$O42,$G$8:$G$55)</f>
        <v>5</v>
      </c>
      <c r="R42" s="52">
        <f>P42-Q42</f>
        <v>-1</v>
      </c>
      <c r="S42" s="53">
        <f>SUMIF($D$8:$D$55,$O42,$K$8:$K$55)+SUMIF($F$8:$F$55,$O42,$L$8:$L$55)</f>
        <v>4</v>
      </c>
      <c r="T42" s="96" t="s">
        <v>73</v>
      </c>
      <c r="U42" s="40"/>
      <c r="V42" s="40" t="str">
        <f>O42</f>
        <v>Nigeria</v>
      </c>
      <c r="W42" s="40" t="s">
        <v>75</v>
      </c>
      <c r="Y42" s="109">
        <f t="shared" si="8"/>
        <v>6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6</v>
      </c>
      <c r="AG42" s="108">
        <f t="shared" si="3"/>
        <v>1</v>
      </c>
      <c r="AH42" s="108">
        <f t="shared" si="4"/>
        <v>0</v>
      </c>
      <c r="AI42" s="108">
        <f t="shared" si="10"/>
        <v>0</v>
      </c>
      <c r="AJ42" s="108">
        <f t="shared" si="5"/>
        <v>0</v>
      </c>
      <c r="AK42" s="108">
        <f t="shared" si="6"/>
        <v>5</v>
      </c>
      <c r="AL42" s="108">
        <f t="shared" si="7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24">
        <v>36</v>
      </c>
      <c r="C43" s="208">
        <v>41813</v>
      </c>
      <c r="D43" s="26" t="s">
        <v>10</v>
      </c>
      <c r="E43" s="27" t="s">
        <v>9</v>
      </c>
      <c r="F43" s="28" t="s">
        <v>11</v>
      </c>
      <c r="G43" s="87">
        <v>1</v>
      </c>
      <c r="H43" s="27" t="s">
        <v>9</v>
      </c>
      <c r="I43" s="92">
        <v>1</v>
      </c>
      <c r="J43" s="29">
        <f t="shared" si="0"/>
        <v>3</v>
      </c>
      <c r="K43" s="11">
        <f t="shared" si="1"/>
        <v>1</v>
      </c>
      <c r="L43" s="11">
        <f t="shared" si="2"/>
        <v>1</v>
      </c>
      <c r="O43" s="40"/>
      <c r="P43" s="41"/>
      <c r="Q43" s="41"/>
      <c r="R43" s="41"/>
      <c r="S43" s="41"/>
      <c r="T43" s="41"/>
      <c r="U43" s="40"/>
      <c r="V43" s="40"/>
      <c r="W43" s="40"/>
      <c r="Y43" s="109">
        <f t="shared" si="8"/>
        <v>1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1</v>
      </c>
      <c r="AG43" s="108">
        <f t="shared" si="3"/>
        <v>1</v>
      </c>
      <c r="AH43" s="108">
        <f t="shared" si="4"/>
        <v>0</v>
      </c>
      <c r="AI43" s="108">
        <f t="shared" si="10"/>
        <v>0</v>
      </c>
      <c r="AJ43" s="108">
        <f t="shared" si="5"/>
        <v>0</v>
      </c>
      <c r="AK43" s="108">
        <f t="shared" si="6"/>
        <v>0</v>
      </c>
      <c r="AL43" s="108">
        <f t="shared" si="7"/>
        <v>0</v>
      </c>
      <c r="AN43" s="40"/>
      <c r="AO43" s="41"/>
    </row>
    <row r="44" spans="2:41" ht="15.75" thickBot="1">
      <c r="B44" s="12">
        <v>37</v>
      </c>
      <c r="C44" s="206">
        <v>41814</v>
      </c>
      <c r="D44" s="14" t="s">
        <v>22</v>
      </c>
      <c r="E44" s="15" t="s">
        <v>9</v>
      </c>
      <c r="F44" s="16" t="s">
        <v>19</v>
      </c>
      <c r="G44" s="85">
        <v>2</v>
      </c>
      <c r="H44" s="15" t="s">
        <v>9</v>
      </c>
      <c r="I44" s="90">
        <v>1</v>
      </c>
      <c r="J44" s="17">
        <f t="shared" si="0"/>
        <v>1</v>
      </c>
      <c r="K44" s="11">
        <f t="shared" si="1"/>
        <v>3</v>
      </c>
      <c r="L44" s="11">
        <f t="shared" si="2"/>
        <v>0</v>
      </c>
      <c r="O44" s="72" t="s">
        <v>76</v>
      </c>
      <c r="P44" s="73" t="s">
        <v>42</v>
      </c>
      <c r="Q44" s="73" t="s">
        <v>43</v>
      </c>
      <c r="R44" s="74" t="s">
        <v>44</v>
      </c>
      <c r="S44" s="75" t="s">
        <v>45</v>
      </c>
      <c r="T44" s="76" t="s">
        <v>46</v>
      </c>
      <c r="U44" s="40"/>
      <c r="V44" s="40"/>
      <c r="W44" s="40"/>
      <c r="Y44" s="109">
        <f t="shared" si="8"/>
        <v>1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1</v>
      </c>
      <c r="AG44" s="108">
        <f t="shared" si="3"/>
        <v>0</v>
      </c>
      <c r="AH44" s="108">
        <f t="shared" si="4"/>
        <v>1</v>
      </c>
      <c r="AI44" s="108">
        <f t="shared" si="10"/>
        <v>0</v>
      </c>
      <c r="AJ44" s="108">
        <f t="shared" si="5"/>
        <v>0</v>
      </c>
      <c r="AK44" s="108">
        <f t="shared" si="6"/>
        <v>0</v>
      </c>
      <c r="AL44" s="108">
        <f t="shared" si="7"/>
        <v>0</v>
      </c>
      <c r="AN44" s="42" t="s">
        <v>76</v>
      </c>
      <c r="AO44" s="43" t="s">
        <v>46</v>
      </c>
    </row>
    <row r="45" spans="2:41" ht="15.75" thickBot="1">
      <c r="B45" s="18">
        <v>38</v>
      </c>
      <c r="C45" s="207">
        <v>41814</v>
      </c>
      <c r="D45" s="20" t="s">
        <v>20</v>
      </c>
      <c r="E45" s="21" t="s">
        <v>9</v>
      </c>
      <c r="F45" s="30" t="s">
        <v>21</v>
      </c>
      <c r="G45" s="86">
        <v>0</v>
      </c>
      <c r="H45" s="21" t="s">
        <v>9</v>
      </c>
      <c r="I45" s="91">
        <v>3</v>
      </c>
      <c r="J45" s="23">
        <f t="shared" si="0"/>
        <v>2</v>
      </c>
      <c r="K45" s="11">
        <f t="shared" si="1"/>
        <v>0</v>
      </c>
      <c r="L45" s="11">
        <f t="shared" si="2"/>
        <v>3</v>
      </c>
      <c r="O45" s="44" t="s">
        <v>31</v>
      </c>
      <c r="P45" s="45">
        <f>SUMIF($D$8:$D$55,$O45,$G$8:$G$55)+SUMIF($F$8:$F$55,$O45,$I$8:$I$55)</f>
        <v>5</v>
      </c>
      <c r="Q45" s="45">
        <f>SUMIF($D$8:$D$55,$O45,$I$8:$I$55)+SUMIF($F$8:$F$55,$O45,$G$8:$G$55)</f>
        <v>0</v>
      </c>
      <c r="R45" s="46">
        <f>P45-Q45</f>
        <v>5</v>
      </c>
      <c r="S45" s="47">
        <f>SUMIF($D$8:$D$55,$O45,$K$8:$K$55)+SUMIF($F$8:$F$55,$O45,$L$8:$L$55)</f>
        <v>7</v>
      </c>
      <c r="T45" s="94" t="s">
        <v>77</v>
      </c>
      <c r="U45" s="40"/>
      <c r="V45" s="40" t="str">
        <f>O45</f>
        <v>Duitsland</v>
      </c>
      <c r="W45" s="40" t="s">
        <v>77</v>
      </c>
      <c r="Y45" s="109">
        <f t="shared" si="8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1</v>
      </c>
      <c r="AG45" s="108">
        <f t="shared" si="3"/>
        <v>1</v>
      </c>
      <c r="AH45" s="108">
        <f t="shared" si="4"/>
        <v>0</v>
      </c>
      <c r="AI45" s="108">
        <f t="shared" si="10"/>
        <v>0</v>
      </c>
      <c r="AJ45" s="108">
        <f t="shared" si="5"/>
        <v>0</v>
      </c>
      <c r="AK45" s="108">
        <f t="shared" si="6"/>
        <v>0</v>
      </c>
      <c r="AL45" s="108">
        <f t="shared" si="7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18">
        <v>39</v>
      </c>
      <c r="C46" s="207">
        <v>41814</v>
      </c>
      <c r="D46" s="20" t="s">
        <v>24</v>
      </c>
      <c r="E46" s="21" t="s">
        <v>9</v>
      </c>
      <c r="F46" s="30" t="s">
        <v>17</v>
      </c>
      <c r="G46" s="86">
        <v>0</v>
      </c>
      <c r="H46" s="21" t="s">
        <v>9</v>
      </c>
      <c r="I46" s="91">
        <v>0</v>
      </c>
      <c r="J46" s="23">
        <f t="shared" si="0"/>
        <v>3</v>
      </c>
      <c r="K46" s="11">
        <f t="shared" si="1"/>
        <v>1</v>
      </c>
      <c r="L46" s="11">
        <f t="shared" si="2"/>
        <v>1</v>
      </c>
      <c r="O46" s="48" t="s">
        <v>32</v>
      </c>
      <c r="P46" s="49">
        <f>SUMIF($D$8:$D$55,$O46,$G$8:$G$55)+SUMIF($F$8:$F$55,$O46,$I$8:$I$55)</f>
        <v>4</v>
      </c>
      <c r="Q46" s="49">
        <f>SUMIF($D$8:$D$55,$O46,$I$8:$I$55)+SUMIF($F$8:$F$55,$O46,$G$8:$G$55)</f>
        <v>1</v>
      </c>
      <c r="R46" s="49">
        <f>P46-Q46</f>
        <v>3</v>
      </c>
      <c r="S46" s="50">
        <f>SUMIF($D$8:$D$55,$O46,$K$8:$K$55)+SUMIF($F$8:$F$55,$O46,$L$8:$L$55)</f>
        <v>5</v>
      </c>
      <c r="T46" s="95" t="s">
        <v>78</v>
      </c>
      <c r="U46" s="40"/>
      <c r="V46" s="40" t="str">
        <f>O46</f>
        <v>Portugal</v>
      </c>
      <c r="W46" s="40" t="s">
        <v>78</v>
      </c>
      <c r="Y46" s="109">
        <f t="shared" si="8"/>
        <v>0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0</v>
      </c>
      <c r="AG46" s="108">
        <f t="shared" si="3"/>
        <v>0</v>
      </c>
      <c r="AH46" s="108">
        <f t="shared" si="4"/>
        <v>0</v>
      </c>
      <c r="AI46" s="108">
        <f t="shared" si="10"/>
        <v>0</v>
      </c>
      <c r="AJ46" s="108">
        <f t="shared" si="5"/>
        <v>0</v>
      </c>
      <c r="AK46" s="108">
        <f t="shared" si="6"/>
        <v>0</v>
      </c>
      <c r="AL46" s="108">
        <f t="shared" si="7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24">
        <v>40</v>
      </c>
      <c r="C47" s="208">
        <v>41814</v>
      </c>
      <c r="D47" s="26" t="s">
        <v>18</v>
      </c>
      <c r="E47" s="27" t="s">
        <v>9</v>
      </c>
      <c r="F47" s="28" t="s">
        <v>23</v>
      </c>
      <c r="G47" s="87">
        <v>0</v>
      </c>
      <c r="H47" s="27" t="s">
        <v>9</v>
      </c>
      <c r="I47" s="92">
        <v>0</v>
      </c>
      <c r="J47" s="29">
        <f t="shared" si="0"/>
        <v>3</v>
      </c>
      <c r="K47" s="11">
        <f t="shared" si="1"/>
        <v>1</v>
      </c>
      <c r="L47" s="11">
        <f t="shared" si="2"/>
        <v>1</v>
      </c>
      <c r="O47" s="48" t="s">
        <v>35</v>
      </c>
      <c r="P47" s="49">
        <f>SUMIF($D$8:$D$55,$O47,$G$8:$G$55)+SUMIF($F$8:$F$55,$O47,$I$8:$I$55)</f>
        <v>2</v>
      </c>
      <c r="Q47" s="49">
        <f>SUMIF($D$8:$D$55,$O47,$I$8:$I$55)+SUMIF($F$8:$F$55,$O47,$G$8:$G$55)</f>
        <v>4</v>
      </c>
      <c r="R47" s="49">
        <f>P47-Q47</f>
        <v>-2</v>
      </c>
      <c r="S47" s="50">
        <f>SUMIF($D$8:$D$55,$O47,$K$8:$K$55)+SUMIF($F$8:$F$55,$O47,$L$8:$L$55)</f>
        <v>2</v>
      </c>
      <c r="T47" s="95" t="s">
        <v>79</v>
      </c>
      <c r="U47" s="40"/>
      <c r="V47" s="40" t="str">
        <f>O47</f>
        <v>Ghana</v>
      </c>
      <c r="W47" s="40" t="s">
        <v>79</v>
      </c>
      <c r="Y47" s="109">
        <f t="shared" si="8"/>
        <v>0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0</v>
      </c>
      <c r="AG47" s="108">
        <f t="shared" si="3"/>
        <v>0</v>
      </c>
      <c r="AH47" s="108">
        <f t="shared" si="4"/>
        <v>0</v>
      </c>
      <c r="AI47" s="108">
        <f t="shared" si="10"/>
        <v>0</v>
      </c>
      <c r="AJ47" s="108">
        <f t="shared" si="5"/>
        <v>0</v>
      </c>
      <c r="AK47" s="108">
        <f t="shared" si="6"/>
        <v>0</v>
      </c>
      <c r="AL47" s="108">
        <f t="shared" si="7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12">
        <v>41</v>
      </c>
      <c r="C48" s="206">
        <v>41815</v>
      </c>
      <c r="D48" s="14" t="s">
        <v>34</v>
      </c>
      <c r="E48" s="15" t="s">
        <v>9</v>
      </c>
      <c r="F48" s="16" t="s">
        <v>29</v>
      </c>
      <c r="G48" s="85">
        <v>1</v>
      </c>
      <c r="H48" s="15" t="s">
        <v>9</v>
      </c>
      <c r="I48" s="90">
        <v>3</v>
      </c>
      <c r="J48" s="17">
        <f t="shared" si="0"/>
        <v>2</v>
      </c>
      <c r="K48" s="11">
        <f t="shared" si="1"/>
        <v>0</v>
      </c>
      <c r="L48" s="11">
        <f t="shared" si="2"/>
        <v>3</v>
      </c>
      <c r="O48" s="51" t="s">
        <v>36</v>
      </c>
      <c r="P48" s="52">
        <f>SUMIF($D$8:$D$55,$O48,$G$8:$G$55)+SUMIF($F$8:$F$55,$O48,$I$8:$I$55)</f>
        <v>1</v>
      </c>
      <c r="Q48" s="52">
        <f>SUMIF($D$8:$D$55,$O48,$I$8:$I$55)+SUMIF($F$8:$F$55,$O48,$G$8:$G$55)</f>
        <v>7</v>
      </c>
      <c r="R48" s="52">
        <f>P48-Q48</f>
        <v>-6</v>
      </c>
      <c r="S48" s="53">
        <f>SUMIF($D$8:$D$55,$O48,$K$8:$K$55)+SUMIF($F$8:$F$55,$O48,$L$8:$L$55)</f>
        <v>1</v>
      </c>
      <c r="T48" s="96" t="s">
        <v>80</v>
      </c>
      <c r="U48" s="40"/>
      <c r="V48" s="40" t="str">
        <f>O48</f>
        <v>Verenigde Staten</v>
      </c>
      <c r="W48" s="40" t="s">
        <v>80</v>
      </c>
      <c r="Y48" s="109">
        <f t="shared" si="8"/>
        <v>6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6</v>
      </c>
      <c r="AG48" s="108">
        <f t="shared" si="3"/>
        <v>0</v>
      </c>
      <c r="AH48" s="108">
        <f t="shared" si="4"/>
        <v>1</v>
      </c>
      <c r="AI48" s="108">
        <f t="shared" si="10"/>
        <v>0</v>
      </c>
      <c r="AJ48" s="108">
        <f t="shared" si="5"/>
        <v>0</v>
      </c>
      <c r="AK48" s="108">
        <f t="shared" si="6"/>
        <v>5</v>
      </c>
      <c r="AL48" s="108">
        <f t="shared" si="7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18">
        <v>42</v>
      </c>
      <c r="C49" s="207">
        <v>41815</v>
      </c>
      <c r="D49" s="20" t="s">
        <v>30</v>
      </c>
      <c r="E49" s="21" t="s">
        <v>9</v>
      </c>
      <c r="F49" s="30" t="s">
        <v>33</v>
      </c>
      <c r="G49" s="86">
        <v>1</v>
      </c>
      <c r="H49" s="21" t="s">
        <v>9</v>
      </c>
      <c r="I49" s="91">
        <v>1</v>
      </c>
      <c r="J49" s="23">
        <f t="shared" si="0"/>
        <v>3</v>
      </c>
      <c r="K49" s="11">
        <f t="shared" si="1"/>
        <v>1</v>
      </c>
      <c r="L49" s="11">
        <f t="shared" si="2"/>
        <v>1</v>
      </c>
      <c r="O49" s="40"/>
      <c r="P49" s="41"/>
      <c r="Q49" s="41"/>
      <c r="R49" s="41"/>
      <c r="S49" s="41"/>
      <c r="T49" s="41"/>
      <c r="U49" s="40"/>
      <c r="V49" s="40"/>
      <c r="W49" s="40"/>
      <c r="Y49" s="109">
        <f t="shared" si="8"/>
        <v>1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1</v>
      </c>
      <c r="AG49" s="108">
        <f t="shared" si="3"/>
        <v>0</v>
      </c>
      <c r="AH49" s="108">
        <f t="shared" si="4"/>
        <v>1</v>
      </c>
      <c r="AI49" s="108">
        <f t="shared" si="10"/>
        <v>0</v>
      </c>
      <c r="AJ49" s="108">
        <f t="shared" si="5"/>
        <v>0</v>
      </c>
      <c r="AK49" s="108">
        <f t="shared" si="6"/>
        <v>0</v>
      </c>
      <c r="AL49" s="108">
        <f t="shared" si="7"/>
        <v>0</v>
      </c>
      <c r="AN49" s="40"/>
      <c r="AO49" s="41"/>
    </row>
    <row r="50" spans="2:54" ht="15.75" thickBot="1">
      <c r="B50" s="18">
        <v>43</v>
      </c>
      <c r="C50" s="207">
        <v>41815</v>
      </c>
      <c r="D50" s="20" t="s">
        <v>28</v>
      </c>
      <c r="E50" s="21" t="s">
        <v>9</v>
      </c>
      <c r="F50" s="30" t="s">
        <v>25</v>
      </c>
      <c r="G50" s="86">
        <v>1</v>
      </c>
      <c r="H50" s="21" t="s">
        <v>9</v>
      </c>
      <c r="I50" s="91">
        <v>1</v>
      </c>
      <c r="J50" s="23">
        <f t="shared" si="0"/>
        <v>3</v>
      </c>
      <c r="K50" s="11">
        <f t="shared" si="1"/>
        <v>1</v>
      </c>
      <c r="L50" s="11">
        <f t="shared" si="2"/>
        <v>1</v>
      </c>
      <c r="O50" s="72" t="s">
        <v>81</v>
      </c>
      <c r="P50" s="73" t="s">
        <v>42</v>
      </c>
      <c r="Q50" s="73" t="s">
        <v>43</v>
      </c>
      <c r="R50" s="74" t="s">
        <v>44</v>
      </c>
      <c r="S50" s="75" t="s">
        <v>45</v>
      </c>
      <c r="T50" s="76" t="s">
        <v>46</v>
      </c>
      <c r="U50" s="40"/>
      <c r="V50" s="40"/>
      <c r="W50" s="40"/>
      <c r="Y50" s="109">
        <f t="shared" si="8"/>
        <v>0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0</v>
      </c>
      <c r="AG50" s="108">
        <f t="shared" si="3"/>
        <v>0</v>
      </c>
      <c r="AH50" s="108">
        <f t="shared" si="4"/>
        <v>0</v>
      </c>
      <c r="AI50" s="108">
        <f t="shared" si="10"/>
        <v>0</v>
      </c>
      <c r="AJ50" s="108">
        <f t="shared" si="5"/>
        <v>0</v>
      </c>
      <c r="AK50" s="108">
        <f t="shared" si="6"/>
        <v>0</v>
      </c>
      <c r="AL50" s="108">
        <f t="shared" si="7"/>
        <v>0</v>
      </c>
      <c r="AN50" s="42" t="s">
        <v>81</v>
      </c>
      <c r="AO50" s="43" t="s">
        <v>46</v>
      </c>
    </row>
    <row r="51" spans="2:54" ht="15.75" thickBot="1">
      <c r="B51" s="24">
        <v>44</v>
      </c>
      <c r="C51" s="208">
        <v>41815</v>
      </c>
      <c r="D51" s="26" t="s">
        <v>26</v>
      </c>
      <c r="E51" s="27" t="s">
        <v>9</v>
      </c>
      <c r="F51" s="28" t="s">
        <v>27</v>
      </c>
      <c r="G51" s="87">
        <v>0</v>
      </c>
      <c r="H51" s="27" t="s">
        <v>9</v>
      </c>
      <c r="I51" s="92">
        <v>2</v>
      </c>
      <c r="J51" s="29">
        <f t="shared" si="0"/>
        <v>2</v>
      </c>
      <c r="K51" s="11">
        <f t="shared" si="1"/>
        <v>0</v>
      </c>
      <c r="L51" s="11">
        <f t="shared" si="2"/>
        <v>3</v>
      </c>
      <c r="O51" s="44" t="s">
        <v>37</v>
      </c>
      <c r="P51" s="45">
        <f>SUMIF($D$8:$D$55,$O51,$G$8:$G$55)+SUMIF($F$8:$F$55,$O51,$I$8:$I$55)</f>
        <v>7</v>
      </c>
      <c r="Q51" s="45">
        <f>SUMIF($D$8:$D$55,$O51,$I$8:$I$55)+SUMIF($F$8:$F$55,$O51,$G$8:$G$55)</f>
        <v>3</v>
      </c>
      <c r="R51" s="46">
        <f>P51-Q51</f>
        <v>4</v>
      </c>
      <c r="S51" s="47">
        <f>SUMIF($D$8:$D$55,$O51,$K$8:$K$55)+SUMIF($F$8:$F$55,$O51,$L$8:$L$55)</f>
        <v>7</v>
      </c>
      <c r="T51" s="94" t="s">
        <v>82</v>
      </c>
      <c r="U51" s="40"/>
      <c r="V51" s="40" t="str">
        <f>O51</f>
        <v>België</v>
      </c>
      <c r="W51" s="40" t="s">
        <v>82</v>
      </c>
      <c r="Y51" s="109">
        <f t="shared" si="8"/>
        <v>1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1</v>
      </c>
      <c r="AG51" s="108">
        <f t="shared" si="3"/>
        <v>1</v>
      </c>
      <c r="AH51" s="108">
        <f t="shared" si="4"/>
        <v>0</v>
      </c>
      <c r="AI51" s="108">
        <f t="shared" si="10"/>
        <v>0</v>
      </c>
      <c r="AJ51" s="108">
        <f t="shared" si="5"/>
        <v>0</v>
      </c>
      <c r="AK51" s="108">
        <f t="shared" si="6"/>
        <v>0</v>
      </c>
      <c r="AL51" s="108">
        <f t="shared" si="7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18">
        <v>45</v>
      </c>
      <c r="C52" s="207">
        <v>41816</v>
      </c>
      <c r="D52" s="20" t="s">
        <v>36</v>
      </c>
      <c r="E52" s="21" t="s">
        <v>9</v>
      </c>
      <c r="F52" s="30" t="s">
        <v>31</v>
      </c>
      <c r="G52" s="86">
        <v>0</v>
      </c>
      <c r="H52" s="21" t="s">
        <v>9</v>
      </c>
      <c r="I52" s="91">
        <v>3</v>
      </c>
      <c r="J52" s="17">
        <f t="shared" si="0"/>
        <v>2</v>
      </c>
      <c r="K52" s="11">
        <f t="shared" si="1"/>
        <v>0</v>
      </c>
      <c r="L52" s="11">
        <f t="shared" si="2"/>
        <v>3</v>
      </c>
      <c r="O52" s="48" t="s">
        <v>38</v>
      </c>
      <c r="P52" s="49">
        <f>SUMIF($D$8:$D$55,$O52,$G$8:$G$55)+SUMIF($F$8:$F$55,$O52,$I$8:$I$55)</f>
        <v>2</v>
      </c>
      <c r="Q52" s="49">
        <f>SUMIF($D$8:$D$55,$O52,$I$8:$I$55)+SUMIF($F$8:$F$55,$O52,$G$8:$G$55)</f>
        <v>3</v>
      </c>
      <c r="R52" s="49">
        <f>P52-Q52</f>
        <v>-1</v>
      </c>
      <c r="S52" s="50">
        <f>SUMIF($D$8:$D$55,$O52,$K$8:$K$55)+SUMIF($F$8:$F$55,$O52,$L$8:$L$55)</f>
        <v>2</v>
      </c>
      <c r="T52" s="95" t="s">
        <v>84</v>
      </c>
      <c r="U52" s="40"/>
      <c r="V52" s="40" t="str">
        <f>O52</f>
        <v>Algerije</v>
      </c>
      <c r="W52" s="40" t="s">
        <v>83</v>
      </c>
      <c r="Y52" s="109">
        <f t="shared" si="8"/>
        <v>6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6</v>
      </c>
      <c r="AG52" s="108">
        <f t="shared" si="3"/>
        <v>1</v>
      </c>
      <c r="AH52" s="108">
        <f t="shared" si="4"/>
        <v>0</v>
      </c>
      <c r="AI52" s="108">
        <f t="shared" si="10"/>
        <v>0</v>
      </c>
      <c r="AJ52" s="108">
        <f t="shared" si="5"/>
        <v>0</v>
      </c>
      <c r="AK52" s="108">
        <f t="shared" si="6"/>
        <v>5</v>
      </c>
      <c r="AL52" s="108">
        <f t="shared" si="7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18">
        <v>46</v>
      </c>
      <c r="C53" s="207">
        <v>41816</v>
      </c>
      <c r="D53" s="20" t="s">
        <v>32</v>
      </c>
      <c r="E53" s="21" t="s">
        <v>9</v>
      </c>
      <c r="F53" s="30" t="s">
        <v>35</v>
      </c>
      <c r="G53" s="86">
        <v>1</v>
      </c>
      <c r="H53" s="21" t="s">
        <v>9</v>
      </c>
      <c r="I53" s="91">
        <v>1</v>
      </c>
      <c r="J53" s="23">
        <f t="shared" si="0"/>
        <v>3</v>
      </c>
      <c r="K53" s="11">
        <f t="shared" si="1"/>
        <v>1</v>
      </c>
      <c r="L53" s="11">
        <f t="shared" si="2"/>
        <v>1</v>
      </c>
      <c r="O53" s="48" t="s">
        <v>39</v>
      </c>
      <c r="P53" s="49">
        <f>SUMIF($D$8:$D$55,$O53,$G$8:$G$55)+SUMIF($F$8:$F$55,$O53,$I$8:$I$55)</f>
        <v>4</v>
      </c>
      <c r="Q53" s="49">
        <f>SUMIF($D$8:$D$55,$O53,$I$8:$I$55)+SUMIF($F$8:$F$55,$O53,$G$8:$G$55)</f>
        <v>4</v>
      </c>
      <c r="R53" s="49">
        <f>P53-Q53</f>
        <v>0</v>
      </c>
      <c r="S53" s="50">
        <f>SUMIF($D$8:$D$55,$O53,$K$8:$K$55)+SUMIF($F$8:$F$55,$O53,$L$8:$L$55)</f>
        <v>3</v>
      </c>
      <c r="T53" s="95" t="s">
        <v>83</v>
      </c>
      <c r="U53" s="40"/>
      <c r="V53" s="40" t="str">
        <f>O53</f>
        <v>Rusland</v>
      </c>
      <c r="W53" s="40" t="s">
        <v>84</v>
      </c>
      <c r="Y53" s="109">
        <f t="shared" si="8"/>
        <v>1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1</v>
      </c>
      <c r="AG53" s="108">
        <f t="shared" si="3"/>
        <v>0</v>
      </c>
      <c r="AH53" s="108">
        <f t="shared" si="4"/>
        <v>1</v>
      </c>
      <c r="AI53" s="108">
        <f t="shared" si="10"/>
        <v>0</v>
      </c>
      <c r="AJ53" s="108">
        <f t="shared" si="5"/>
        <v>0</v>
      </c>
      <c r="AK53" s="108">
        <f t="shared" si="6"/>
        <v>0</v>
      </c>
      <c r="AL53" s="108">
        <f t="shared" si="7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18">
        <v>47</v>
      </c>
      <c r="C54" s="207">
        <v>41816</v>
      </c>
      <c r="D54" s="20" t="s">
        <v>40</v>
      </c>
      <c r="E54" s="21" t="s">
        <v>9</v>
      </c>
      <c r="F54" s="30" t="s">
        <v>37</v>
      </c>
      <c r="G54" s="86">
        <v>0</v>
      </c>
      <c r="H54" s="21" t="s">
        <v>9</v>
      </c>
      <c r="I54" s="91">
        <v>3</v>
      </c>
      <c r="J54" s="23">
        <f t="shared" si="0"/>
        <v>2</v>
      </c>
      <c r="K54" s="11">
        <f t="shared" si="1"/>
        <v>0</v>
      </c>
      <c r="L54" s="11">
        <f t="shared" si="2"/>
        <v>3</v>
      </c>
      <c r="O54" s="51" t="s">
        <v>40</v>
      </c>
      <c r="P54" s="52">
        <f>SUMIF($D$8:$D$55,$O54,$G$8:$G$55)+SUMIF($F$8:$F$55,$O54,$I$8:$I$55)</f>
        <v>1</v>
      </c>
      <c r="Q54" s="52">
        <f>SUMIF($D$8:$D$55,$O54,$I$8:$I$55)+SUMIF($F$8:$F$55,$O54,$G$8:$G$55)</f>
        <v>4</v>
      </c>
      <c r="R54" s="52">
        <f>P54-Q54</f>
        <v>-3</v>
      </c>
      <c r="S54" s="53">
        <f>SUMIF($D$8:$D$55,$O54,$K$8:$K$55)+SUMIF($F$8:$F$55,$O54,$L$8:$L$55)</f>
        <v>2</v>
      </c>
      <c r="T54" s="96" t="s">
        <v>85</v>
      </c>
      <c r="U54" s="40"/>
      <c r="V54" s="40" t="str">
        <f>O54</f>
        <v>Zuid Korea</v>
      </c>
      <c r="W54" s="40" t="s">
        <v>85</v>
      </c>
      <c r="Y54" s="109">
        <f t="shared" si="8"/>
        <v>6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6</v>
      </c>
      <c r="AG54" s="108">
        <f t="shared" si="3"/>
        <v>1</v>
      </c>
      <c r="AH54" s="108">
        <f t="shared" si="4"/>
        <v>0</v>
      </c>
      <c r="AI54" s="108">
        <f t="shared" si="10"/>
        <v>0</v>
      </c>
      <c r="AJ54" s="108">
        <f t="shared" si="5"/>
        <v>0</v>
      </c>
      <c r="AK54" s="108">
        <f t="shared" si="6"/>
        <v>5</v>
      </c>
      <c r="AL54" s="108">
        <f t="shared" si="7"/>
        <v>0</v>
      </c>
      <c r="AM54" s="120">
        <f>AO54</f>
        <v>10</v>
      </c>
      <c r="AN54" s="118" t="s">
        <v>40</v>
      </c>
      <c r="AO54" s="115">
        <f>IF(Uitslag!T54="",0,IF(T54=Uitslag!T54,10,0))</f>
        <v>10</v>
      </c>
    </row>
    <row r="55" spans="2:54" ht="15.75" thickBot="1">
      <c r="B55" s="33">
        <v>48</v>
      </c>
      <c r="C55" s="209">
        <v>41816</v>
      </c>
      <c r="D55" s="35" t="s">
        <v>38</v>
      </c>
      <c r="E55" s="36" t="s">
        <v>9</v>
      </c>
      <c r="F55" s="37" t="s">
        <v>39</v>
      </c>
      <c r="G55" s="88">
        <v>1</v>
      </c>
      <c r="H55" s="36" t="s">
        <v>9</v>
      </c>
      <c r="I55" s="93">
        <v>1</v>
      </c>
      <c r="J55" s="38">
        <f t="shared" si="0"/>
        <v>3</v>
      </c>
      <c r="K55" s="11">
        <f t="shared" si="1"/>
        <v>1</v>
      </c>
      <c r="L55" s="11">
        <f t="shared" si="2"/>
        <v>1</v>
      </c>
      <c r="O55" s="40"/>
      <c r="P55" s="41"/>
      <c r="Q55" s="41"/>
      <c r="R55" s="41"/>
      <c r="S55" s="41"/>
      <c r="T55" s="41"/>
      <c r="U55" s="40"/>
      <c r="V55" s="40"/>
      <c r="W55" s="40"/>
      <c r="Y55" s="109">
        <f t="shared" si="8"/>
        <v>10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10</v>
      </c>
      <c r="AG55" s="108">
        <f t="shared" si="3"/>
        <v>1</v>
      </c>
      <c r="AH55" s="108">
        <f t="shared" si="4"/>
        <v>1</v>
      </c>
      <c r="AI55" s="108">
        <f t="shared" si="10"/>
        <v>10</v>
      </c>
      <c r="AJ55" s="108">
        <f t="shared" si="5"/>
        <v>0</v>
      </c>
      <c r="AK55" s="108">
        <f t="shared" si="6"/>
        <v>0</v>
      </c>
      <c r="AL55" s="108">
        <f t="shared" si="7"/>
        <v>5</v>
      </c>
    </row>
    <row r="56" spans="2:54" ht="15.75" thickBot="1">
      <c r="B56" s="1"/>
      <c r="C56" s="210"/>
      <c r="D56" s="40"/>
      <c r="E56" s="1"/>
      <c r="F56" s="40"/>
      <c r="G56" s="1"/>
      <c r="H56" s="1"/>
      <c r="I56" s="1"/>
      <c r="J56" s="1"/>
      <c r="K56" s="1"/>
      <c r="L56" s="1"/>
      <c r="M56" s="1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195"/>
      <c r="K57" s="1"/>
      <c r="L57" s="1"/>
      <c r="M57" s="1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78" t="s">
        <v>1</v>
      </c>
      <c r="C58" s="122" t="s">
        <v>2</v>
      </c>
      <c r="D58" s="187" t="s">
        <v>3</v>
      </c>
      <c r="E58" s="81"/>
      <c r="F58" s="194" t="s">
        <v>4</v>
      </c>
      <c r="G58" s="867" t="s">
        <v>5</v>
      </c>
      <c r="H58" s="868"/>
      <c r="I58" s="869"/>
      <c r="J58" s="83" t="s">
        <v>6</v>
      </c>
      <c r="K58" s="1"/>
      <c r="L58" s="1"/>
      <c r="M58" s="1"/>
      <c r="O58" s="135">
        <v>1</v>
      </c>
      <c r="P58" s="877" t="s">
        <v>218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0</v>
      </c>
      <c r="BB58" s="139">
        <f>BA58</f>
        <v>0</v>
      </c>
    </row>
    <row r="59" spans="2:54">
      <c r="B59" s="12">
        <v>49</v>
      </c>
      <c r="C59" s="211">
        <v>41818</v>
      </c>
      <c r="D59" s="153" t="str">
        <f t="shared" ref="D59:D66" si="13">IF(ISERROR(Z59),K59,Z59)</f>
        <v>Brazilië</v>
      </c>
      <c r="E59" s="15" t="s">
        <v>9</v>
      </c>
      <c r="F59" s="56" t="str">
        <f t="shared" ref="F59:F66" si="14">IF(ISERROR(AA59),L59,AA59)</f>
        <v>Spanje</v>
      </c>
      <c r="G59" s="85">
        <v>2</v>
      </c>
      <c r="H59" s="15" t="s">
        <v>9</v>
      </c>
      <c r="I59" s="97">
        <v>2</v>
      </c>
      <c r="J59" s="98">
        <v>2</v>
      </c>
      <c r="K59" s="57" t="s">
        <v>48</v>
      </c>
      <c r="L59" s="57" t="s">
        <v>53</v>
      </c>
      <c r="M59" s="57">
        <v>1</v>
      </c>
      <c r="O59" s="135">
        <v>2</v>
      </c>
      <c r="P59" s="877" t="s">
        <v>219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5">AF59</f>
        <v>5</v>
      </c>
      <c r="Z59" t="str">
        <f t="shared" ref="Z59:AA65" si="16">IF(K59=""," ",VLOOKUP(K59,$T$9:$V$54,3,FALSE))</f>
        <v>Brazilië</v>
      </c>
      <c r="AA59" t="str">
        <f t="shared" si="16"/>
        <v>Spanje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7">IF(OR(AC59="",AD59=""),0,(IF(SUM(AG59:AL59)&gt;10,10,SUM(AG59:AL59))))</f>
        <v>5</v>
      </c>
      <c r="AG59" s="108">
        <f t="shared" ref="AG59:AG66" si="18">IF(AC59="",0,(IF(G59=AC59,1,0)))</f>
        <v>0</v>
      </c>
      <c r="AH59" s="108">
        <f t="shared" ref="AH59:AH66" si="19">IF(AD59="",0,(IF(I59=AD59,1,0)))</f>
        <v>0</v>
      </c>
      <c r="AI59" s="108">
        <f t="shared" ref="AI59:AI66" si="20">IF(AND(AG59=1,AH59=1),10,0)</f>
        <v>0</v>
      </c>
      <c r="AJ59" s="108">
        <f t="shared" ref="AJ59:AJ66" si="21">IF(AND(G59&gt;I59,AC59&gt;AD59),5,0)</f>
        <v>0</v>
      </c>
      <c r="AK59" s="108">
        <f t="shared" ref="AK59:AK66" si="22">IF(AND(G59&lt;I59,AC59&lt;AD59),5,0)</f>
        <v>0</v>
      </c>
      <c r="AL59" s="108">
        <f t="shared" ref="AL59:AL66" si="23">IF(AND(G59=I59,AC59=AD59),5,0)</f>
        <v>5</v>
      </c>
      <c r="AZ59" s="138" t="str">
        <f>Uitslag!P59</f>
        <v>Daryl Janmaat (v)</v>
      </c>
      <c r="BA59" s="140">
        <f t="shared" si="12"/>
        <v>0</v>
      </c>
      <c r="BB59" s="139">
        <f t="shared" ref="BB59:BB68" si="24">BA59</f>
        <v>0</v>
      </c>
    </row>
    <row r="60" spans="2:54">
      <c r="B60" s="24">
        <v>50</v>
      </c>
      <c r="C60" s="212">
        <v>41818</v>
      </c>
      <c r="D60" s="154" t="str">
        <f t="shared" si="13"/>
        <v>Griekenland</v>
      </c>
      <c r="E60" s="27" t="s">
        <v>9</v>
      </c>
      <c r="F60" s="59" t="str">
        <f t="shared" si="14"/>
        <v>Italië</v>
      </c>
      <c r="G60" s="87">
        <v>0</v>
      </c>
      <c r="H60" s="27" t="s">
        <v>9</v>
      </c>
      <c r="I60" s="99">
        <v>3</v>
      </c>
      <c r="J60" s="100">
        <v>2</v>
      </c>
      <c r="K60" s="57" t="s">
        <v>57</v>
      </c>
      <c r="L60" s="57" t="s">
        <v>63</v>
      </c>
      <c r="M60" s="57">
        <v>2</v>
      </c>
      <c r="O60" s="135">
        <v>3</v>
      </c>
      <c r="P60" s="877" t="s">
        <v>212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5"/>
        <v>0</v>
      </c>
      <c r="Z60" t="str">
        <f t="shared" si="16"/>
        <v>Griekenland</v>
      </c>
      <c r="AA60" t="str">
        <f t="shared" si="16"/>
        <v>Italië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7"/>
        <v>0</v>
      </c>
      <c r="AG60" s="108">
        <f t="shared" si="18"/>
        <v>0</v>
      </c>
      <c r="AH60" s="108">
        <f t="shared" si="19"/>
        <v>0</v>
      </c>
      <c r="AI60" s="108">
        <f t="shared" si="20"/>
        <v>0</v>
      </c>
      <c r="AJ60" s="108">
        <f t="shared" si="21"/>
        <v>0</v>
      </c>
      <c r="AK60" s="108">
        <f t="shared" si="22"/>
        <v>0</v>
      </c>
      <c r="AL60" s="108">
        <f t="shared" si="23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4"/>
        <v>3</v>
      </c>
    </row>
    <row r="61" spans="2:54">
      <c r="B61" s="12">
        <v>51</v>
      </c>
      <c r="C61" s="211">
        <v>41819</v>
      </c>
      <c r="D61" s="188" t="str">
        <f t="shared" si="13"/>
        <v>Nederland</v>
      </c>
      <c r="E61" s="15" t="s">
        <v>9</v>
      </c>
      <c r="F61" s="56" t="str">
        <f t="shared" si="14"/>
        <v>Mexico</v>
      </c>
      <c r="G61" s="85">
        <v>2</v>
      </c>
      <c r="H61" s="15" t="s">
        <v>9</v>
      </c>
      <c r="I61" s="97">
        <v>0</v>
      </c>
      <c r="J61" s="98">
        <v>1</v>
      </c>
      <c r="K61" s="57" t="s">
        <v>52</v>
      </c>
      <c r="L61" s="57" t="s">
        <v>49</v>
      </c>
      <c r="M61" s="57"/>
      <c r="O61" s="135">
        <v>4</v>
      </c>
      <c r="P61" s="877" t="s">
        <v>220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5"/>
        <v>6</v>
      </c>
      <c r="Z61" t="str">
        <f t="shared" si="16"/>
        <v>Nederland</v>
      </c>
      <c r="AA61" t="str">
        <f t="shared" si="16"/>
        <v>Mexico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7"/>
        <v>6</v>
      </c>
      <c r="AG61" s="108">
        <f t="shared" si="18"/>
        <v>1</v>
      </c>
      <c r="AH61" s="108">
        <f t="shared" si="19"/>
        <v>0</v>
      </c>
      <c r="AI61" s="108">
        <f t="shared" si="20"/>
        <v>0</v>
      </c>
      <c r="AJ61" s="108">
        <f t="shared" si="21"/>
        <v>5</v>
      </c>
      <c r="AK61" s="108">
        <f t="shared" si="22"/>
        <v>0</v>
      </c>
      <c r="AL61" s="108">
        <f t="shared" si="23"/>
        <v>0</v>
      </c>
      <c r="AZ61" s="138" t="str">
        <f>Uitslag!P61</f>
        <v>Ron Vlaar (v)</v>
      </c>
      <c r="BA61" s="140">
        <f t="shared" si="12"/>
        <v>3</v>
      </c>
      <c r="BB61" s="139">
        <f t="shared" si="24"/>
        <v>3</v>
      </c>
    </row>
    <row r="62" spans="2:54">
      <c r="B62" s="24">
        <v>52</v>
      </c>
      <c r="C62" s="212">
        <v>41819</v>
      </c>
      <c r="D62" s="188" t="str">
        <f t="shared" si="13"/>
        <v>Engeland</v>
      </c>
      <c r="E62" s="27" t="s">
        <v>9</v>
      </c>
      <c r="F62" s="59" t="str">
        <f t="shared" si="14"/>
        <v>Ivoorkust</v>
      </c>
      <c r="G62" s="87">
        <v>2</v>
      </c>
      <c r="H62" s="27" t="s">
        <v>9</v>
      </c>
      <c r="I62" s="99">
        <v>0</v>
      </c>
      <c r="J62" s="100">
        <v>1</v>
      </c>
      <c r="K62" s="57" t="s">
        <v>62</v>
      </c>
      <c r="L62" s="57" t="s">
        <v>58</v>
      </c>
      <c r="M62" s="57"/>
      <c r="O62" s="135">
        <v>5</v>
      </c>
      <c r="P62" s="877" t="s">
        <v>210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5"/>
        <v>0</v>
      </c>
      <c r="Z62" t="str">
        <f t="shared" si="16"/>
        <v>Engeland</v>
      </c>
      <c r="AA62" t="str">
        <f t="shared" si="16"/>
        <v>Ivoorkust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7"/>
        <v>0</v>
      </c>
      <c r="AG62" s="108">
        <f t="shared" si="18"/>
        <v>0</v>
      </c>
      <c r="AH62" s="108">
        <f t="shared" si="19"/>
        <v>0</v>
      </c>
      <c r="AI62" s="108">
        <f t="shared" si="20"/>
        <v>0</v>
      </c>
      <c r="AJ62" s="108">
        <f t="shared" si="21"/>
        <v>0</v>
      </c>
      <c r="AK62" s="108">
        <f t="shared" si="22"/>
        <v>0</v>
      </c>
      <c r="AL62" s="108">
        <f t="shared" si="23"/>
        <v>0</v>
      </c>
      <c r="AZ62" s="138" t="str">
        <f>Uitslag!P62</f>
        <v>Bruno Martins Indi (v)</v>
      </c>
      <c r="BA62" s="140">
        <f t="shared" si="12"/>
        <v>0</v>
      </c>
      <c r="BB62" s="139">
        <f t="shared" si="24"/>
        <v>0</v>
      </c>
    </row>
    <row r="63" spans="2:54">
      <c r="B63" s="12">
        <v>53</v>
      </c>
      <c r="C63" s="211">
        <v>41820</v>
      </c>
      <c r="D63" s="153" t="str">
        <f t="shared" si="13"/>
        <v>Frankrijk</v>
      </c>
      <c r="E63" s="15" t="s">
        <v>9</v>
      </c>
      <c r="F63" s="56" t="str">
        <f t="shared" si="14"/>
        <v>Nigeria</v>
      </c>
      <c r="G63" s="85">
        <v>3</v>
      </c>
      <c r="H63" s="15" t="s">
        <v>9</v>
      </c>
      <c r="I63" s="97">
        <v>1</v>
      </c>
      <c r="J63" s="98">
        <v>1</v>
      </c>
      <c r="K63" s="57" t="s">
        <v>67</v>
      </c>
      <c r="L63" s="57" t="s">
        <v>73</v>
      </c>
      <c r="M63" s="57"/>
      <c r="O63" s="135">
        <v>6</v>
      </c>
      <c r="P63" s="877" t="s">
        <v>221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5"/>
        <v>5</v>
      </c>
      <c r="Z63" t="str">
        <f t="shared" si="16"/>
        <v>Frankrijk</v>
      </c>
      <c r="AA63" t="str">
        <f t="shared" si="16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7"/>
        <v>5</v>
      </c>
      <c r="AG63" s="108">
        <f t="shared" si="18"/>
        <v>0</v>
      </c>
      <c r="AH63" s="108">
        <f t="shared" si="19"/>
        <v>0</v>
      </c>
      <c r="AI63" s="108">
        <f t="shared" si="20"/>
        <v>0</v>
      </c>
      <c r="AJ63" s="108">
        <f t="shared" si="21"/>
        <v>5</v>
      </c>
      <c r="AK63" s="108">
        <f t="shared" si="22"/>
        <v>0</v>
      </c>
      <c r="AL63" s="108">
        <f t="shared" si="23"/>
        <v>0</v>
      </c>
      <c r="AZ63" s="138" t="str">
        <f>Uitslag!P63</f>
        <v>Daley Blind (v)</v>
      </c>
      <c r="BA63" s="140">
        <f t="shared" si="12"/>
        <v>0</v>
      </c>
      <c r="BB63" s="139">
        <f t="shared" si="24"/>
        <v>0</v>
      </c>
    </row>
    <row r="64" spans="2:54">
      <c r="B64" s="24">
        <v>54</v>
      </c>
      <c r="C64" s="212">
        <v>41820</v>
      </c>
      <c r="D64" s="154" t="str">
        <f t="shared" si="13"/>
        <v>Duitsland</v>
      </c>
      <c r="E64" s="27" t="s">
        <v>9</v>
      </c>
      <c r="F64" s="59" t="str">
        <f t="shared" si="14"/>
        <v>Rusland</v>
      </c>
      <c r="G64" s="87">
        <v>2</v>
      </c>
      <c r="H64" s="27" t="s">
        <v>9</v>
      </c>
      <c r="I64" s="99">
        <v>0</v>
      </c>
      <c r="J64" s="100">
        <v>1</v>
      </c>
      <c r="K64" s="57" t="s">
        <v>77</v>
      </c>
      <c r="L64" s="57" t="s">
        <v>83</v>
      </c>
      <c r="M64" s="57"/>
      <c r="O64" s="135">
        <v>7</v>
      </c>
      <c r="P64" s="877" t="s">
        <v>213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5"/>
        <v>1</v>
      </c>
      <c r="Z64" t="str">
        <f t="shared" si="16"/>
        <v>Duitsland</v>
      </c>
      <c r="AA64" t="str">
        <f t="shared" si="16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7"/>
        <v>1</v>
      </c>
      <c r="AG64" s="108">
        <f t="shared" si="18"/>
        <v>0</v>
      </c>
      <c r="AH64" s="108">
        <f t="shared" si="19"/>
        <v>1</v>
      </c>
      <c r="AI64" s="108">
        <f t="shared" si="20"/>
        <v>0</v>
      </c>
      <c r="AJ64" s="108">
        <f t="shared" si="21"/>
        <v>0</v>
      </c>
      <c r="AK64" s="108">
        <f t="shared" si="22"/>
        <v>0</v>
      </c>
      <c r="AL64" s="108">
        <f t="shared" si="23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4"/>
        <v>3</v>
      </c>
    </row>
    <row r="65" spans="2:54">
      <c r="B65" s="18">
        <v>55</v>
      </c>
      <c r="C65" s="213">
        <v>41821</v>
      </c>
      <c r="D65" s="153" t="str">
        <f t="shared" si="13"/>
        <v>Argentinië</v>
      </c>
      <c r="E65" s="21" t="s">
        <v>9</v>
      </c>
      <c r="F65" s="60" t="str">
        <f t="shared" si="14"/>
        <v>Zwitserland</v>
      </c>
      <c r="G65" s="86">
        <v>2</v>
      </c>
      <c r="H65" s="21" t="s">
        <v>9</v>
      </c>
      <c r="I65" s="101">
        <v>0</v>
      </c>
      <c r="J65" s="102">
        <v>1</v>
      </c>
      <c r="K65" s="57" t="s">
        <v>72</v>
      </c>
      <c r="L65" s="57" t="s">
        <v>68</v>
      </c>
      <c r="M65" s="57"/>
      <c r="O65" s="135">
        <v>8</v>
      </c>
      <c r="P65" s="877" t="s">
        <v>222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5"/>
        <v>1</v>
      </c>
      <c r="Z65" t="str">
        <f t="shared" si="16"/>
        <v>Argentinië</v>
      </c>
      <c r="AA65" t="str">
        <f t="shared" si="16"/>
        <v>Zwitserland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7"/>
        <v>1</v>
      </c>
      <c r="AG65" s="108">
        <f t="shared" si="18"/>
        <v>0</v>
      </c>
      <c r="AH65" s="108">
        <f t="shared" si="19"/>
        <v>1</v>
      </c>
      <c r="AI65" s="108">
        <f t="shared" si="20"/>
        <v>0</v>
      </c>
      <c r="AJ65" s="108">
        <f t="shared" si="21"/>
        <v>0</v>
      </c>
      <c r="AK65" s="108">
        <f t="shared" si="22"/>
        <v>0</v>
      </c>
      <c r="AL65" s="108">
        <f t="shared" si="23"/>
        <v>0</v>
      </c>
      <c r="AZ65" s="138" t="str">
        <f>Uitslag!P65</f>
        <v>Nigel de Jong (m)</v>
      </c>
      <c r="BA65" s="140">
        <f t="shared" si="12"/>
        <v>0</v>
      </c>
      <c r="BB65" s="139">
        <f t="shared" si="24"/>
        <v>0</v>
      </c>
    </row>
    <row r="66" spans="2:54" ht="15.75" thickBot="1">
      <c r="B66" s="33">
        <v>56</v>
      </c>
      <c r="C66" s="214">
        <v>41821</v>
      </c>
      <c r="D66" s="155" t="str">
        <f t="shared" si="13"/>
        <v>België</v>
      </c>
      <c r="E66" s="36" t="s">
        <v>9</v>
      </c>
      <c r="F66" s="62" t="str">
        <f t="shared" si="14"/>
        <v>Portugal</v>
      </c>
      <c r="G66" s="88">
        <v>2</v>
      </c>
      <c r="H66" s="36" t="s">
        <v>9</v>
      </c>
      <c r="I66" s="103">
        <v>2</v>
      </c>
      <c r="J66" s="104">
        <v>2</v>
      </c>
      <c r="K66" s="57" t="s">
        <v>82</v>
      </c>
      <c r="L66" s="57" t="s">
        <v>78</v>
      </c>
      <c r="M66" s="57"/>
      <c r="O66" s="135">
        <v>9</v>
      </c>
      <c r="P66" s="877" t="s">
        <v>216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5"/>
        <v>5</v>
      </c>
      <c r="Z66" t="str">
        <f>IF(K66=""," ",VLOOKUP(K66,$T$9:$V$54,3,FALSE))</f>
        <v>België</v>
      </c>
      <c r="AA66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7"/>
        <v>5</v>
      </c>
      <c r="AG66" s="108">
        <f t="shared" si="18"/>
        <v>0</v>
      </c>
      <c r="AH66" s="108">
        <f t="shared" si="19"/>
        <v>0</v>
      </c>
      <c r="AI66" s="108">
        <f t="shared" si="20"/>
        <v>0</v>
      </c>
      <c r="AJ66" s="108">
        <f t="shared" si="21"/>
        <v>0</v>
      </c>
      <c r="AK66" s="108">
        <f t="shared" si="22"/>
        <v>0</v>
      </c>
      <c r="AL66" s="108">
        <f t="shared" si="23"/>
        <v>5</v>
      </c>
      <c r="AZ66" s="138" t="str">
        <f>Uitslag!P66</f>
        <v>Jonathan de Guzman (m)</v>
      </c>
      <c r="BA66" s="140">
        <f t="shared" si="12"/>
        <v>3</v>
      </c>
      <c r="BB66" s="139">
        <f t="shared" si="24"/>
        <v>3</v>
      </c>
    </row>
    <row r="67" spans="2:54" ht="15.75" thickBot="1">
      <c r="B67" s="1"/>
      <c r="C67" s="210"/>
      <c r="D67" s="40"/>
      <c r="E67" s="1"/>
      <c r="F67" s="40"/>
      <c r="G67" s="1"/>
      <c r="H67" s="1"/>
      <c r="I67" s="1"/>
      <c r="J67" s="1"/>
      <c r="K67" s="1"/>
      <c r="L67" s="1"/>
      <c r="M67" s="1"/>
      <c r="O67" s="135">
        <v>10</v>
      </c>
      <c r="P67" s="877" t="s">
        <v>223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0</v>
      </c>
      <c r="BB67" s="139">
        <f t="shared" si="24"/>
        <v>0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195"/>
      <c r="K68" s="1"/>
      <c r="L68" s="1"/>
      <c r="M68" s="1"/>
      <c r="O68" s="135">
        <v>11</v>
      </c>
      <c r="P68" s="877" t="s">
        <v>215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4"/>
        <v>3</v>
      </c>
    </row>
    <row r="69" spans="2:54">
      <c r="B69" s="78" t="s">
        <v>1</v>
      </c>
      <c r="C69" s="122" t="s">
        <v>2</v>
      </c>
      <c r="D69" s="193" t="s">
        <v>3</v>
      </c>
      <c r="E69" s="81"/>
      <c r="F69" s="194" t="s">
        <v>4</v>
      </c>
      <c r="G69" s="867" t="s">
        <v>5</v>
      </c>
      <c r="H69" s="868"/>
      <c r="I69" s="869"/>
      <c r="J69" s="83" t="s">
        <v>6</v>
      </c>
      <c r="K69" s="1"/>
      <c r="L69" s="1"/>
      <c r="M69" s="1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15</v>
      </c>
      <c r="BB69" s="139" t="str">
        <f>IF(AND(BA69&lt;&gt;"",BA69=33),15,"nvt")</f>
        <v>nvt</v>
      </c>
    </row>
    <row r="70" spans="2:54">
      <c r="B70" s="12">
        <v>57</v>
      </c>
      <c r="C70" s="206">
        <v>41824</v>
      </c>
      <c r="D70" s="55" t="str">
        <f>IF(J63="","Winnaar 53",IF(J63=1,D63,F63))</f>
        <v>Frankrijk</v>
      </c>
      <c r="E70" s="15" t="s">
        <v>9</v>
      </c>
      <c r="F70" s="56" t="str">
        <f>IF(J64="","Winnaar 54",IF(J64=1,D64,F64))</f>
        <v>Duitsland</v>
      </c>
      <c r="G70" s="85">
        <v>1</v>
      </c>
      <c r="H70" s="15" t="s">
        <v>9</v>
      </c>
      <c r="I70" s="97">
        <v>1</v>
      </c>
      <c r="J70" s="98">
        <v>2</v>
      </c>
      <c r="K70" s="1"/>
      <c r="L70" s="1"/>
      <c r="M70" s="1"/>
      <c r="V70" t="s">
        <v>133</v>
      </c>
      <c r="W70" t="s">
        <v>126</v>
      </c>
      <c r="X70" t="str">
        <f t="shared" si="11"/>
        <v>Karim Rekik (v)</v>
      </c>
      <c r="Y70" s="109">
        <f>AF70</f>
        <v>1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1</v>
      </c>
      <c r="AG70" s="108">
        <f>IF(AC70="",0,(IF(G70=AC70,1,0)))</f>
        <v>0</v>
      </c>
      <c r="AH70" s="108">
        <f>IF(AD70="",0,(IF(I70=AD70,1,0)))</f>
        <v>1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0</v>
      </c>
      <c r="AL70" s="108">
        <f>IF(AND(G70=I70,AC70=AD70),5,0)</f>
        <v>0</v>
      </c>
    </row>
    <row r="71" spans="2:54">
      <c r="B71" s="24">
        <v>58</v>
      </c>
      <c r="C71" s="208">
        <v>41824</v>
      </c>
      <c r="D71" s="58" t="str">
        <f>IF(J59="","Winnaar 49",IF(J59=1,D59,F59))</f>
        <v>Spanje</v>
      </c>
      <c r="E71" s="27" t="s">
        <v>9</v>
      </c>
      <c r="F71" s="59" t="str">
        <f>IF(J60="","Winnaar 50",IF(J60=1,D60,F60))</f>
        <v>Italië</v>
      </c>
      <c r="G71" s="87">
        <v>1</v>
      </c>
      <c r="H71" s="27" t="s">
        <v>9</v>
      </c>
      <c r="I71" s="99">
        <v>2</v>
      </c>
      <c r="J71" s="100">
        <v>2</v>
      </c>
      <c r="K71" s="1"/>
      <c r="L71" s="1"/>
      <c r="M71" s="1"/>
      <c r="V71" t="s">
        <v>133</v>
      </c>
      <c r="W71" t="s">
        <v>194</v>
      </c>
      <c r="X71" t="str">
        <f t="shared" si="11"/>
        <v>Ron Vlaar (v)</v>
      </c>
      <c r="Y71" s="109">
        <f>AF71</f>
        <v>0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0</v>
      </c>
      <c r="AG71" s="108">
        <f>IF(AC71="",0,(IF(G71=AC71,1,0)))</f>
        <v>0</v>
      </c>
      <c r="AH71" s="108">
        <f>IF(AD71="",0,(IF(I71=AD71,1,0)))</f>
        <v>0</v>
      </c>
      <c r="AI71" s="108">
        <f>IF(AND(AG71=1,AH71=1),10,0)</f>
        <v>0</v>
      </c>
      <c r="AJ71" s="108">
        <f>IF(AND(G71&gt;I71,AC71&gt;AD71),5,0)</f>
        <v>0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12">
        <v>59</v>
      </c>
      <c r="C72" s="206">
        <v>41825</v>
      </c>
      <c r="D72" s="55" t="str">
        <f>IF(J65="","Winnaar 55",IF(J65=1,D65,F65))</f>
        <v>Argentinië</v>
      </c>
      <c r="E72" s="15" t="s">
        <v>9</v>
      </c>
      <c r="F72" s="56" t="str">
        <f>IF(J66="","Winnaar 56",IF(J66=1,D66,F66))</f>
        <v>Portugal</v>
      </c>
      <c r="G72" s="85">
        <v>0</v>
      </c>
      <c r="H72" s="15" t="s">
        <v>9</v>
      </c>
      <c r="I72" s="97">
        <v>0</v>
      </c>
      <c r="J72" s="98">
        <v>1</v>
      </c>
      <c r="K72" s="1"/>
      <c r="L72" s="1"/>
      <c r="M72" s="1"/>
      <c r="V72" t="s">
        <v>133</v>
      </c>
      <c r="W72" t="s">
        <v>195</v>
      </c>
      <c r="X72" t="str">
        <f t="shared" si="11"/>
        <v>John Heitinga (v)</v>
      </c>
      <c r="Y72" s="109">
        <f>AF72</f>
        <v>1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1</v>
      </c>
      <c r="AG72" s="108">
        <f>IF(AC72="",0,(IF(G72=AC72,1,0)))</f>
        <v>0</v>
      </c>
      <c r="AH72" s="108">
        <f>IF(AD72="",0,(IF(I72=AD72,1,0)))</f>
        <v>1</v>
      </c>
      <c r="AI72" s="108">
        <f>IF(AND(AG72=1,AH72=1),10,0)</f>
        <v>0</v>
      </c>
      <c r="AJ72" s="108">
        <f>IF(AND(G72&gt;I72,AC72&gt;AD72),5,0)</f>
        <v>0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3">
        <v>60</v>
      </c>
      <c r="C73" s="209">
        <v>41825</v>
      </c>
      <c r="D73" s="61" t="str">
        <f>IF(J61="","Winnaar 51",IF(J61=1,D61,F61))</f>
        <v>Nederland</v>
      </c>
      <c r="E73" s="36" t="s">
        <v>9</v>
      </c>
      <c r="F73" s="62" t="str">
        <f>IF(J62="","Winnaar 52",IF(J62=1,D62,F62))</f>
        <v>Engeland</v>
      </c>
      <c r="G73" s="88">
        <v>2</v>
      </c>
      <c r="H73" s="36" t="s">
        <v>9</v>
      </c>
      <c r="I73" s="103">
        <v>2</v>
      </c>
      <c r="J73" s="104">
        <v>1</v>
      </c>
      <c r="K73" s="1"/>
      <c r="L73" s="1"/>
      <c r="M73" s="1"/>
      <c r="V73" t="s">
        <v>133</v>
      </c>
      <c r="W73" t="s">
        <v>196</v>
      </c>
      <c r="X73" t="str">
        <f t="shared" si="11"/>
        <v>Urby Emanuelson (v)</v>
      </c>
      <c r="Y73" s="109">
        <f>AF73</f>
        <v>5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5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5</v>
      </c>
    </row>
    <row r="74" spans="2:54" ht="15.75" thickBot="1">
      <c r="B74" s="1"/>
      <c r="C74" s="210"/>
      <c r="D74" s="40"/>
      <c r="E74" s="1"/>
      <c r="F74" s="40"/>
      <c r="G74" s="1"/>
      <c r="H74" s="1"/>
      <c r="I74" s="1"/>
      <c r="J74" s="1"/>
      <c r="K74" s="1"/>
      <c r="L74" s="1"/>
      <c r="M74" s="1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195"/>
      <c r="K75" s="1"/>
      <c r="L75" s="1"/>
      <c r="M75" s="1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78" t="s">
        <v>1</v>
      </c>
      <c r="C76" s="122" t="s">
        <v>2</v>
      </c>
      <c r="D76" s="193" t="s">
        <v>3</v>
      </c>
      <c r="E76" s="81"/>
      <c r="F76" s="194" t="s">
        <v>4</v>
      </c>
      <c r="G76" s="867" t="s">
        <v>5</v>
      </c>
      <c r="H76" s="868"/>
      <c r="I76" s="869"/>
      <c r="J76" s="83" t="s">
        <v>6</v>
      </c>
      <c r="K76" s="1"/>
      <c r="L76" s="1"/>
      <c r="M76" s="1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12">
        <v>61</v>
      </c>
      <c r="C77" s="206">
        <v>41828</v>
      </c>
      <c r="D77" s="55" t="str">
        <f>IF(J70="","Winnaar 57",IF(J70=1,D70,F70))</f>
        <v>Duitsland</v>
      </c>
      <c r="E77" s="15" t="s">
        <v>9</v>
      </c>
      <c r="F77" s="56" t="str">
        <f>IF(J71="","Winnaar 58",IF(J71=1,D71,F71))</f>
        <v>Italië</v>
      </c>
      <c r="G77" s="85">
        <v>1</v>
      </c>
      <c r="H77" s="15" t="s">
        <v>9</v>
      </c>
      <c r="I77" s="97">
        <v>2</v>
      </c>
      <c r="J77" s="98">
        <v>2</v>
      </c>
      <c r="K77" s="1"/>
      <c r="L77" s="1"/>
      <c r="M77" s="1"/>
      <c r="V77" t="s">
        <v>134</v>
      </c>
      <c r="W77" t="s">
        <v>203</v>
      </c>
      <c r="X77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3">
        <v>62</v>
      </c>
      <c r="C78" s="209">
        <v>41829</v>
      </c>
      <c r="D78" s="61" t="str">
        <f>IF(J72="","Winnaar 59",IF(J72=1,D72,F72))</f>
        <v>Argentinië</v>
      </c>
      <c r="E78" s="36" t="s">
        <v>9</v>
      </c>
      <c r="F78" s="62" t="str">
        <f>IF(J73="","Winnaar 60",IF(J73=1,D73,F73))</f>
        <v>Nederland</v>
      </c>
      <c r="G78" s="88">
        <v>1</v>
      </c>
      <c r="H78" s="36" t="s">
        <v>9</v>
      </c>
      <c r="I78" s="103">
        <v>1</v>
      </c>
      <c r="J78" s="104">
        <v>2</v>
      </c>
      <c r="K78" s="1"/>
      <c r="L78" s="1"/>
      <c r="M78" s="1"/>
      <c r="V78" t="s">
        <v>134</v>
      </c>
      <c r="W78" t="s">
        <v>199</v>
      </c>
      <c r="X78" t="str">
        <f t="shared" si="11"/>
        <v>Leroy Fer (m)</v>
      </c>
      <c r="Y78" s="109">
        <f>AF78</f>
        <v>5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5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5</v>
      </c>
    </row>
    <row r="79" spans="2:54" ht="15.75" thickBot="1">
      <c r="B79" s="1"/>
      <c r="C79" s="210"/>
      <c r="D79" s="40"/>
      <c r="E79" s="1"/>
      <c r="F79" s="40"/>
      <c r="G79" s="1"/>
      <c r="H79" s="1"/>
      <c r="I79" s="1"/>
      <c r="J79" s="1"/>
      <c r="K79" s="1"/>
      <c r="L79" s="1"/>
      <c r="M79" s="1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195"/>
      <c r="K80" s="1"/>
      <c r="L80" s="1"/>
      <c r="M80" s="1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78" t="s">
        <v>1</v>
      </c>
      <c r="C81" s="122" t="s">
        <v>2</v>
      </c>
      <c r="D81" s="193" t="s">
        <v>3</v>
      </c>
      <c r="E81" s="81"/>
      <c r="F81" s="194" t="s">
        <v>4</v>
      </c>
      <c r="G81" s="867" t="s">
        <v>5</v>
      </c>
      <c r="H81" s="868"/>
      <c r="I81" s="869"/>
      <c r="J81" s="83" t="s">
        <v>6</v>
      </c>
      <c r="K81" s="1"/>
      <c r="L81" s="1"/>
      <c r="M81" s="1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2">
        <v>63</v>
      </c>
      <c r="C82" s="215">
        <v>41832</v>
      </c>
      <c r="D82" s="64" t="str">
        <f>IF(J77="","Verliezer 61",IF(J77=1,F77,D77))</f>
        <v>Duitsland</v>
      </c>
      <c r="E82" s="3" t="s">
        <v>9</v>
      </c>
      <c r="F82" s="65" t="str">
        <f>IF(J78="","Verliezer 62",IF(J78=1,F78,D78))</f>
        <v>Argentinië</v>
      </c>
      <c r="G82" s="105">
        <v>2</v>
      </c>
      <c r="H82" s="3" t="s">
        <v>9</v>
      </c>
      <c r="I82" s="106">
        <v>2</v>
      </c>
      <c r="J82" s="107">
        <v>2</v>
      </c>
      <c r="K82" s="1"/>
      <c r="L82" s="1"/>
      <c r="M82" s="1"/>
      <c r="V82" t="s">
        <v>134</v>
      </c>
      <c r="W82" t="s">
        <v>125</v>
      </c>
      <c r="X8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1"/>
      <c r="C83" s="210"/>
      <c r="D83" s="40"/>
      <c r="E83" s="1"/>
      <c r="F83" s="40"/>
      <c r="G83" s="1"/>
      <c r="H83" s="1"/>
      <c r="I83" s="1"/>
      <c r="J83" s="1"/>
      <c r="K83" s="1"/>
      <c r="L83" s="1"/>
      <c r="M83" s="1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195"/>
      <c r="K84" s="1"/>
      <c r="L84" s="1"/>
      <c r="M84" s="1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78" t="s">
        <v>1</v>
      </c>
      <c r="C85" s="122" t="s">
        <v>2</v>
      </c>
      <c r="D85" s="193" t="s">
        <v>3</v>
      </c>
      <c r="E85" s="81"/>
      <c r="F85" s="194" t="s">
        <v>4</v>
      </c>
      <c r="G85" s="867" t="s">
        <v>5</v>
      </c>
      <c r="H85" s="868"/>
      <c r="I85" s="869"/>
      <c r="J85" s="83" t="s">
        <v>6</v>
      </c>
      <c r="K85" s="1"/>
      <c r="L85" s="1"/>
      <c r="M85" s="1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2">
        <v>64</v>
      </c>
      <c r="C86" s="215">
        <v>41833</v>
      </c>
      <c r="D86" s="64" t="str">
        <f>IF(J77="","Winnaar 61",IF(J77=1,D77,F77))</f>
        <v>Italië</v>
      </c>
      <c r="E86" s="3" t="s">
        <v>9</v>
      </c>
      <c r="F86" s="65" t="str">
        <f>IF(J78="","Winnaar 62",IF(J78=1,D78,F78))</f>
        <v>Nederland</v>
      </c>
      <c r="G86" s="105">
        <v>1</v>
      </c>
      <c r="H86" s="3" t="s">
        <v>9</v>
      </c>
      <c r="I86" s="106">
        <v>1</v>
      </c>
      <c r="J86" s="107">
        <v>2</v>
      </c>
      <c r="K86" s="1"/>
      <c r="L86" s="1"/>
      <c r="M86" s="1"/>
      <c r="V86" t="s">
        <v>134</v>
      </c>
      <c r="W86" t="s">
        <v>139</v>
      </c>
      <c r="X86" t="str">
        <f t="shared" si="11"/>
        <v>Nigel de Jong (m)</v>
      </c>
      <c r="Y86" s="109">
        <f>AF86</f>
        <v>5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5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5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Nederland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5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5</v>
      </c>
      <c r="AV89">
        <f>IF(AR89=0,0,IF(E89=AR89,50,0))</f>
        <v>0</v>
      </c>
      <c r="AW89">
        <f>IF(E89=0,0,IF(OR(E89=AR90),15,0))</f>
        <v>0</v>
      </c>
      <c r="AX89">
        <f>IF(E89=0,0,IF(OR(E89=AR91,E89=AR92),5,0))</f>
        <v>5</v>
      </c>
    </row>
    <row r="90" spans="2:50">
      <c r="C90" s="870">
        <v>2</v>
      </c>
      <c r="D90" s="871"/>
      <c r="E90" s="872" t="str">
        <f>IF(J86=2,D86,IF(J86=1,F86,"Wie wordt 2de?"))</f>
        <v>Italië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0</v>
      </c>
      <c r="AV90">
        <f>IF(AR90=0,0,IF(AR90=E90,25,0))</f>
        <v>0</v>
      </c>
      <c r="AW90">
        <f>IF(E90=0,0,IF(OR(E90=AR89,),15,0))</f>
        <v>0</v>
      </c>
      <c r="AX90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Argentinië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5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5</v>
      </c>
      <c r="AV91">
        <f>IF(AR91=0,0,IF(AR91=E91,15,0))</f>
        <v>0</v>
      </c>
      <c r="AW91">
        <f>IF(E91=0,0,IF(OR(E91=AR92),10,0))</f>
        <v>0</v>
      </c>
      <c r="AX91">
        <f>IF(E91=0,0,IF(OR(E91=AR89,E91=AR90),5,0))</f>
        <v>5</v>
      </c>
    </row>
    <row r="92" spans="2:50">
      <c r="C92" s="870">
        <v>4</v>
      </c>
      <c r="D92" s="871"/>
      <c r="E92" s="872" t="str">
        <f>IF(J82=2,D82,IF(J82=1,F82,"Wie wordt 4de?"))</f>
        <v>Duitsland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5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5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5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15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C91:D91"/>
    <mergeCell ref="E91:J91"/>
    <mergeCell ref="AR91:AT91"/>
    <mergeCell ref="C92:D92"/>
    <mergeCell ref="E92:J92"/>
    <mergeCell ref="AR92:AT92"/>
    <mergeCell ref="C89:D89"/>
    <mergeCell ref="E89:J89"/>
    <mergeCell ref="AR89:AT89"/>
    <mergeCell ref="C90:D90"/>
    <mergeCell ref="E90:J90"/>
    <mergeCell ref="AR90:AT90"/>
    <mergeCell ref="P61:T61"/>
    <mergeCell ref="P62:T62"/>
    <mergeCell ref="P63:T63"/>
    <mergeCell ref="G81:I81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4:I84"/>
    <mergeCell ref="P64:T64"/>
    <mergeCell ref="B80:I80"/>
    <mergeCell ref="P59:T59"/>
    <mergeCell ref="P60:T60"/>
    <mergeCell ref="B6:J6"/>
    <mergeCell ref="G7:I7"/>
    <mergeCell ref="B57:I57"/>
    <mergeCell ref="O57:T57"/>
    <mergeCell ref="G58:I58"/>
    <mergeCell ref="P58:T58"/>
  </mergeCells>
  <phoneticPr fontId="24" type="noConversion"/>
  <conditionalFormatting sqref="AO9:AO12 AO15:AO18 AO21:AO24 AO27:AO30 AO33:AO36 AO39:AO42 AO45:AO48 AO51:AO54">
    <cfRule type="cellIs" dxfId="282" priority="3" operator="equal">
      <formula>10</formula>
    </cfRule>
  </conditionalFormatting>
  <conditionalFormatting sqref="P58:T58">
    <cfRule type="duplicateValues" dxfId="281" priority="2"/>
  </conditionalFormatting>
  <conditionalFormatting sqref="P58:T68">
    <cfRule type="duplicateValues" dxfId="280" priority="1"/>
  </conditionalFormatting>
  <dataValidations count="10">
    <dataValidation type="list" allowBlank="1" showInputMessage="1" showErrorMessage="1" sqref="T51:T54">
      <formula1>$W$51:$W$54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P58:P68">
      <formula1>$X$58:$X$98</formula1>
    </dataValidation>
  </dataValidations>
  <pageMargins left="0.7" right="0.7" top="0.75" bottom="0.75" header="0.3" footer="0.3"/>
  <pageSetup paperSize="9" orientation="portrait" horizontalDpi="0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>
  <dimension ref="B1:BB98"/>
  <sheetViews>
    <sheetView topLeftCell="A43" zoomScale="70" zoomScaleNormal="70" workbookViewId="0">
      <selection activeCell="P58" sqref="P58:T68"/>
    </sheetView>
  </sheetViews>
  <sheetFormatPr defaultRowHeight="15" outlineLevelCol="2"/>
  <cols>
    <col min="1" max="1" width="3.42578125" style="352" customWidth="1"/>
    <col min="2" max="2" width="3.5703125" style="352" bestFit="1" customWidth="1"/>
    <col min="3" max="3" width="11.5703125" style="123" bestFit="1" customWidth="1"/>
    <col min="4" max="4" width="19.7109375" style="352" bestFit="1" customWidth="1"/>
    <col min="5" max="5" width="3.42578125" style="352" customWidth="1"/>
    <col min="6" max="6" width="19.7109375" style="352" bestFit="1" customWidth="1"/>
    <col min="7" max="7" width="6.7109375" style="352" customWidth="1"/>
    <col min="8" max="8" width="1.5703125" style="352" bestFit="1" customWidth="1"/>
    <col min="9" max="9" width="6.7109375" style="352" customWidth="1"/>
    <col min="10" max="10" width="6.85546875" style="352" bestFit="1" customWidth="1"/>
    <col min="11" max="13" width="9.140625" style="352" hidden="1" customWidth="1" outlineLevel="1"/>
    <col min="14" max="14" width="11.42578125" style="352" bestFit="1" customWidth="1" collapsed="1"/>
    <col min="15" max="15" width="14.7109375" style="352" bestFit="1" customWidth="1"/>
    <col min="16" max="16" width="12.28515625" style="352" bestFit="1" customWidth="1"/>
    <col min="17" max="17" width="8.140625" style="352" bestFit="1" customWidth="1"/>
    <col min="18" max="18" width="7.7109375" style="352" bestFit="1" customWidth="1"/>
    <col min="19" max="19" width="9.140625" style="352"/>
    <col min="20" max="20" width="8.5703125" style="352" bestFit="1" customWidth="1"/>
    <col min="21" max="21" width="9.140625" style="352"/>
    <col min="22" max="23" width="9.140625" style="352" hidden="1" customWidth="1" outlineLevel="1"/>
    <col min="24" max="24" width="2" style="352" hidden="1" customWidth="1" outlineLevel="1"/>
    <col min="25" max="25" width="12.28515625" style="352" bestFit="1" customWidth="1" collapsed="1"/>
    <col min="26" max="27" width="12.28515625" style="352" hidden="1" customWidth="1" outlineLevel="1"/>
    <col min="28" max="28" width="4.7109375" style="352" hidden="1" customWidth="1" outlineLevel="1"/>
    <col min="29" max="38" width="9.140625" style="352" hidden="1" customWidth="1" outlineLevel="1"/>
    <col min="39" max="39" width="7.42578125" style="352" bestFit="1" customWidth="1" collapsed="1"/>
    <col min="40" max="40" width="19.7109375" style="352" hidden="1" customWidth="1" outlineLevel="1"/>
    <col min="41" max="41" width="9.140625" style="352" hidden="1" customWidth="1" outlineLevel="1"/>
    <col min="42" max="42" width="9.140625" style="352" collapsed="1"/>
    <col min="43" max="49" width="9.140625" style="352" hidden="1" customWidth="1" outlineLevel="2"/>
    <col min="50" max="50" width="11.5703125" style="352" hidden="1" customWidth="1" outlineLevel="2"/>
    <col min="51" max="51" width="11.85546875" style="352" hidden="1" customWidth="1" outlineLevel="1" collapsed="1"/>
    <col min="52" max="52" width="9.42578125" style="352" hidden="1" customWidth="1" outlineLevel="1"/>
    <col min="53" max="53" width="10.5703125" style="352" hidden="1" customWidth="1" outlineLevel="1"/>
    <col min="54" max="54" width="9.140625" style="352" collapsed="1"/>
    <col min="55" max="55" width="11.85546875" style="352" bestFit="1" customWidth="1"/>
    <col min="56" max="16384" width="9.140625" style="352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289</v>
      </c>
      <c r="E3" s="335"/>
      <c r="F3" s="335"/>
      <c r="N3" s="352" t="str">
        <f>D3</f>
        <v>Wim D.</v>
      </c>
      <c r="O3" s="144">
        <f>SUM(P3:S3)</f>
        <v>365</v>
      </c>
      <c r="P3" s="109">
        <f>SUM(Y8:Y86)</f>
        <v>177</v>
      </c>
      <c r="Q3" s="109">
        <f>SUM(AM4:AM55)</f>
        <v>110</v>
      </c>
      <c r="R3" s="109">
        <f>SUM(AP89:AP92)</f>
        <v>30</v>
      </c>
      <c r="S3" s="109">
        <f>SUM(BB58:BB69)</f>
        <v>48</v>
      </c>
      <c r="T3" s="109">
        <f>COUNTIF(AF8:AF86,10)</f>
        <v>3</v>
      </c>
      <c r="U3" s="109" t="str">
        <f>E89</f>
        <v>Nederland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907" t="s">
        <v>0</v>
      </c>
      <c r="C6" s="908"/>
      <c r="D6" s="908"/>
      <c r="E6" s="908"/>
      <c r="F6" s="908"/>
      <c r="G6" s="908"/>
      <c r="H6" s="908"/>
      <c r="I6" s="908"/>
      <c r="J6" s="909"/>
      <c r="K6" s="716"/>
      <c r="L6" s="716"/>
      <c r="M6" s="715"/>
      <c r="N6" s="715"/>
      <c r="O6" s="755"/>
      <c r="P6" s="756"/>
      <c r="Q6" s="756"/>
      <c r="R6" s="756"/>
      <c r="S6" s="756"/>
      <c r="T6" s="756"/>
      <c r="U6" s="392"/>
      <c r="V6" s="392"/>
      <c r="W6" s="392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779" t="s">
        <v>1</v>
      </c>
      <c r="C7" s="780" t="s">
        <v>2</v>
      </c>
      <c r="D7" s="781" t="s">
        <v>3</v>
      </c>
      <c r="E7" s="782"/>
      <c r="F7" s="783" t="s">
        <v>4</v>
      </c>
      <c r="G7" s="910" t="s">
        <v>5</v>
      </c>
      <c r="H7" s="911"/>
      <c r="I7" s="912"/>
      <c r="J7" s="784" t="s">
        <v>6</v>
      </c>
      <c r="K7" s="719" t="s">
        <v>7</v>
      </c>
      <c r="L7" s="719" t="s">
        <v>7</v>
      </c>
      <c r="M7" s="715"/>
      <c r="N7" s="715"/>
      <c r="O7" s="716"/>
      <c r="P7" s="756"/>
      <c r="Q7" s="756"/>
      <c r="R7" s="756"/>
      <c r="S7" s="756"/>
      <c r="T7" s="756"/>
      <c r="U7" s="353"/>
      <c r="V7" s="353"/>
      <c r="W7" s="353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458"/>
      <c r="BB7" s="142"/>
    </row>
    <row r="8" spans="2:54" ht="15.75" thickBot="1">
      <c r="B8" s="720">
        <v>1</v>
      </c>
      <c r="C8" s="721">
        <v>41802</v>
      </c>
      <c r="D8" s="722" t="s">
        <v>8</v>
      </c>
      <c r="E8" s="723" t="s">
        <v>9</v>
      </c>
      <c r="F8" s="724" t="s">
        <v>10</v>
      </c>
      <c r="G8" s="797">
        <v>3</v>
      </c>
      <c r="H8" s="723" t="s">
        <v>9</v>
      </c>
      <c r="I8" s="802">
        <v>2</v>
      </c>
      <c r="J8" s="725">
        <v>1</v>
      </c>
      <c r="K8" s="726">
        <v>3</v>
      </c>
      <c r="L8" s="726">
        <v>0</v>
      </c>
      <c r="M8" s="715"/>
      <c r="N8" s="715"/>
      <c r="O8" s="785" t="s">
        <v>41</v>
      </c>
      <c r="P8" s="786" t="s">
        <v>42</v>
      </c>
      <c r="Q8" s="786" t="s">
        <v>43</v>
      </c>
      <c r="R8" s="787" t="s">
        <v>44</v>
      </c>
      <c r="S8" s="788" t="s">
        <v>45</v>
      </c>
      <c r="T8" s="789" t="s">
        <v>46</v>
      </c>
      <c r="U8" s="392"/>
      <c r="V8" s="392"/>
      <c r="W8" s="392"/>
      <c r="Y8" s="109">
        <f>AF8</f>
        <v>6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6</v>
      </c>
      <c r="AG8" s="108">
        <f t="shared" ref="AG8:AG55" si="0">IF(AC8="",0,(IF(G8=AC8,1,0)))</f>
        <v>1</v>
      </c>
      <c r="AH8" s="108">
        <f t="shared" ref="AH8:AH55" si="1">IF(AD8="",0,(IF(I8=AD8,1,0)))</f>
        <v>0</v>
      </c>
      <c r="AI8" s="108">
        <f>IF(AND(AG8=1,AH8=1),10,0)</f>
        <v>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727">
        <v>2</v>
      </c>
      <c r="C9" s="728">
        <v>41803</v>
      </c>
      <c r="D9" s="729" t="s">
        <v>11</v>
      </c>
      <c r="E9" s="730" t="s">
        <v>9</v>
      </c>
      <c r="F9" s="731" t="s">
        <v>12</v>
      </c>
      <c r="G9" s="798">
        <v>2</v>
      </c>
      <c r="H9" s="730" t="s">
        <v>9</v>
      </c>
      <c r="I9" s="803">
        <v>1</v>
      </c>
      <c r="J9" s="732">
        <v>1</v>
      </c>
      <c r="K9" s="726">
        <v>3</v>
      </c>
      <c r="L9" s="726">
        <v>0</v>
      </c>
      <c r="M9" s="715"/>
      <c r="N9" s="715"/>
      <c r="O9" s="757" t="s">
        <v>8</v>
      </c>
      <c r="P9" s="758">
        <v>10</v>
      </c>
      <c r="Q9" s="758">
        <v>4</v>
      </c>
      <c r="R9" s="759">
        <v>6</v>
      </c>
      <c r="S9" s="760">
        <v>9</v>
      </c>
      <c r="T9" s="807" t="s">
        <v>48</v>
      </c>
      <c r="U9" s="392"/>
      <c r="V9" s="392" t="str">
        <f>O9</f>
        <v>Brazilië</v>
      </c>
      <c r="W9" s="392" t="s">
        <v>48</v>
      </c>
      <c r="Y9" s="109">
        <f t="shared" ref="Y9:Y55" si="5">AF9</f>
        <v>5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6">IF(OR(AC9="",AD9=""),0,(IF(SUM(AG9:AL9)&gt;10,10,SUM(AG9:AL9))))</f>
        <v>5</v>
      </c>
      <c r="AG9" s="108">
        <f t="shared" si="0"/>
        <v>0</v>
      </c>
      <c r="AH9" s="108">
        <f t="shared" si="1"/>
        <v>0</v>
      </c>
      <c r="AI9" s="108">
        <f t="shared" ref="AI9:AI55" si="7">IF(AND(AG9=1,AH9=1),10,0)</f>
        <v>0</v>
      </c>
      <c r="AJ9" s="108">
        <f t="shared" si="2"/>
        <v>5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733">
        <v>3</v>
      </c>
      <c r="C10" s="734">
        <v>41803</v>
      </c>
      <c r="D10" s="735" t="s">
        <v>13</v>
      </c>
      <c r="E10" s="736" t="s">
        <v>9</v>
      </c>
      <c r="F10" s="737" t="s">
        <v>14</v>
      </c>
      <c r="G10" s="799">
        <v>1</v>
      </c>
      <c r="H10" s="736" t="s">
        <v>9</v>
      </c>
      <c r="I10" s="804">
        <v>2</v>
      </c>
      <c r="J10" s="738">
        <v>2</v>
      </c>
      <c r="K10" s="726">
        <v>0</v>
      </c>
      <c r="L10" s="726">
        <v>3</v>
      </c>
      <c r="M10" s="715"/>
      <c r="N10" s="715"/>
      <c r="O10" s="761" t="s">
        <v>10</v>
      </c>
      <c r="P10" s="762">
        <v>8</v>
      </c>
      <c r="Q10" s="762">
        <v>8</v>
      </c>
      <c r="R10" s="762">
        <v>0</v>
      </c>
      <c r="S10" s="763">
        <v>4</v>
      </c>
      <c r="T10" s="808" t="s">
        <v>49</v>
      </c>
      <c r="U10" s="392"/>
      <c r="V10" s="392" t="str">
        <f>O10</f>
        <v>Kroatië</v>
      </c>
      <c r="W10" s="392" t="s">
        <v>49</v>
      </c>
      <c r="Y10" s="109">
        <f t="shared" si="5"/>
        <v>6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6"/>
        <v>6</v>
      </c>
      <c r="AG10" s="108">
        <f t="shared" si="0"/>
        <v>1</v>
      </c>
      <c r="AH10" s="108">
        <f t="shared" si="1"/>
        <v>0</v>
      </c>
      <c r="AI10" s="108">
        <f t="shared" si="7"/>
        <v>0</v>
      </c>
      <c r="AJ10" s="108">
        <f t="shared" si="2"/>
        <v>0</v>
      </c>
      <c r="AK10" s="108">
        <f t="shared" si="3"/>
        <v>5</v>
      </c>
      <c r="AL10" s="108">
        <f t="shared" si="4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739">
        <v>4</v>
      </c>
      <c r="C11" s="740">
        <v>41803</v>
      </c>
      <c r="D11" s="741" t="s">
        <v>15</v>
      </c>
      <c r="E11" s="742" t="s">
        <v>9</v>
      </c>
      <c r="F11" s="743" t="s">
        <v>16</v>
      </c>
      <c r="G11" s="800">
        <v>1</v>
      </c>
      <c r="H11" s="742" t="s">
        <v>9</v>
      </c>
      <c r="I11" s="805">
        <v>3</v>
      </c>
      <c r="J11" s="744">
        <v>2</v>
      </c>
      <c r="K11" s="726">
        <v>0</v>
      </c>
      <c r="L11" s="726">
        <v>3</v>
      </c>
      <c r="M11" s="715"/>
      <c r="N11" s="715"/>
      <c r="O11" s="761" t="s">
        <v>11</v>
      </c>
      <c r="P11" s="762">
        <v>6</v>
      </c>
      <c r="Q11" s="762">
        <v>7</v>
      </c>
      <c r="R11" s="762">
        <v>-1</v>
      </c>
      <c r="S11" s="763">
        <v>4</v>
      </c>
      <c r="T11" s="808" t="s">
        <v>47</v>
      </c>
      <c r="U11" s="392"/>
      <c r="V11" s="392" t="str">
        <f>O11</f>
        <v>Mexico</v>
      </c>
      <c r="W11" s="392" t="s">
        <v>47</v>
      </c>
      <c r="Y11" s="109">
        <f t="shared" si="5"/>
        <v>0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6"/>
        <v>0</v>
      </c>
      <c r="AG11" s="108">
        <f t="shared" si="0"/>
        <v>0</v>
      </c>
      <c r="AH11" s="108">
        <f t="shared" si="1"/>
        <v>0</v>
      </c>
      <c r="AI11" s="108">
        <f t="shared" si="7"/>
        <v>0</v>
      </c>
      <c r="AJ11" s="108">
        <f t="shared" si="2"/>
        <v>0</v>
      </c>
      <c r="AK11" s="108">
        <f t="shared" si="3"/>
        <v>0</v>
      </c>
      <c r="AL11" s="108">
        <f t="shared" si="4"/>
        <v>0</v>
      </c>
      <c r="AM11" s="120">
        <f>AO11</f>
        <v>0</v>
      </c>
      <c r="AN11" s="117" t="s">
        <v>11</v>
      </c>
      <c r="AO11" s="115">
        <f>IF(Uitslag!T11="",0,IF(T11=Uitslag!T11,10,0))</f>
        <v>0</v>
      </c>
    </row>
    <row r="12" spans="2:54" ht="15.75" thickBot="1">
      <c r="B12" s="727">
        <v>5</v>
      </c>
      <c r="C12" s="728">
        <v>41804</v>
      </c>
      <c r="D12" s="729" t="s">
        <v>17</v>
      </c>
      <c r="E12" s="730" t="s">
        <v>9</v>
      </c>
      <c r="F12" s="731" t="s">
        <v>18</v>
      </c>
      <c r="G12" s="798">
        <v>1</v>
      </c>
      <c r="H12" s="730" t="s">
        <v>9</v>
      </c>
      <c r="I12" s="803">
        <v>1</v>
      </c>
      <c r="J12" s="732">
        <v>3</v>
      </c>
      <c r="K12" s="726">
        <v>1</v>
      </c>
      <c r="L12" s="726">
        <v>1</v>
      </c>
      <c r="M12" s="715"/>
      <c r="N12" s="715"/>
      <c r="O12" s="764" t="s">
        <v>12</v>
      </c>
      <c r="P12" s="765">
        <v>4</v>
      </c>
      <c r="Q12" s="765">
        <v>9</v>
      </c>
      <c r="R12" s="765">
        <v>-5</v>
      </c>
      <c r="S12" s="766">
        <v>0</v>
      </c>
      <c r="T12" s="809" t="s">
        <v>50</v>
      </c>
      <c r="U12" s="392"/>
      <c r="V12" s="392" t="str">
        <f>O12</f>
        <v>Kameroen</v>
      </c>
      <c r="W12" s="392" t="s">
        <v>50</v>
      </c>
      <c r="Y12" s="109">
        <f t="shared" si="5"/>
        <v>0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6"/>
        <v>0</v>
      </c>
      <c r="AG12" s="108">
        <f t="shared" si="0"/>
        <v>0</v>
      </c>
      <c r="AH12" s="108">
        <f t="shared" si="1"/>
        <v>0</v>
      </c>
      <c r="AI12" s="108">
        <f t="shared" si="7"/>
        <v>0</v>
      </c>
      <c r="AJ12" s="108">
        <f t="shared" si="2"/>
        <v>0</v>
      </c>
      <c r="AK12" s="108">
        <f t="shared" si="3"/>
        <v>0</v>
      </c>
      <c r="AL12" s="108">
        <f t="shared" si="4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733">
        <v>6</v>
      </c>
      <c r="C13" s="734">
        <v>41804</v>
      </c>
      <c r="D13" s="735" t="s">
        <v>19</v>
      </c>
      <c r="E13" s="736" t="s">
        <v>9</v>
      </c>
      <c r="F13" s="745" t="s">
        <v>20</v>
      </c>
      <c r="G13" s="799">
        <v>0</v>
      </c>
      <c r="H13" s="736" t="s">
        <v>9</v>
      </c>
      <c r="I13" s="804">
        <v>4</v>
      </c>
      <c r="J13" s="738">
        <v>2</v>
      </c>
      <c r="K13" s="726">
        <v>0</v>
      </c>
      <c r="L13" s="726">
        <v>3</v>
      </c>
      <c r="M13" s="715"/>
      <c r="N13" s="715"/>
      <c r="O13" s="755"/>
      <c r="P13" s="756"/>
      <c r="Q13" s="756"/>
      <c r="R13" s="756"/>
      <c r="S13" s="756"/>
      <c r="T13" s="756"/>
      <c r="U13" s="392"/>
      <c r="V13" s="392"/>
      <c r="W13" s="392"/>
      <c r="Y13" s="109">
        <f t="shared" si="5"/>
        <v>5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6"/>
        <v>5</v>
      </c>
      <c r="AG13" s="108">
        <f t="shared" si="0"/>
        <v>0</v>
      </c>
      <c r="AH13" s="108">
        <f t="shared" si="1"/>
        <v>0</v>
      </c>
      <c r="AI13" s="108">
        <f t="shared" si="7"/>
        <v>0</v>
      </c>
      <c r="AJ13" s="108">
        <f t="shared" si="2"/>
        <v>0</v>
      </c>
      <c r="AK13" s="108">
        <f t="shared" si="3"/>
        <v>5</v>
      </c>
      <c r="AL13" s="108">
        <f t="shared" si="4"/>
        <v>0</v>
      </c>
      <c r="AN13" s="392"/>
      <c r="AO13" s="393"/>
    </row>
    <row r="14" spans="2:54" ht="15.75" thickBot="1">
      <c r="B14" s="733">
        <v>7</v>
      </c>
      <c r="C14" s="734">
        <v>41804</v>
      </c>
      <c r="D14" s="735" t="s">
        <v>21</v>
      </c>
      <c r="E14" s="736" t="s">
        <v>9</v>
      </c>
      <c r="F14" s="745" t="s">
        <v>22</v>
      </c>
      <c r="G14" s="799">
        <v>2</v>
      </c>
      <c r="H14" s="736" t="s">
        <v>9</v>
      </c>
      <c r="I14" s="804">
        <v>4</v>
      </c>
      <c r="J14" s="738">
        <v>2</v>
      </c>
      <c r="K14" s="726">
        <v>0</v>
      </c>
      <c r="L14" s="726">
        <v>3</v>
      </c>
      <c r="M14" s="715"/>
      <c r="N14" s="715"/>
      <c r="O14" s="785" t="s">
        <v>51</v>
      </c>
      <c r="P14" s="786" t="s">
        <v>42</v>
      </c>
      <c r="Q14" s="786" t="s">
        <v>43</v>
      </c>
      <c r="R14" s="787" t="s">
        <v>44</v>
      </c>
      <c r="S14" s="788" t="s">
        <v>45</v>
      </c>
      <c r="T14" s="789" t="s">
        <v>46</v>
      </c>
      <c r="U14" s="392"/>
      <c r="V14" s="392"/>
      <c r="W14" s="392"/>
      <c r="Y14" s="109">
        <f t="shared" si="5"/>
        <v>5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6"/>
        <v>5</v>
      </c>
      <c r="AG14" s="108">
        <f t="shared" si="0"/>
        <v>0</v>
      </c>
      <c r="AH14" s="108">
        <f t="shared" si="1"/>
        <v>0</v>
      </c>
      <c r="AI14" s="108">
        <f t="shared" si="7"/>
        <v>0</v>
      </c>
      <c r="AJ14" s="108">
        <f t="shared" si="2"/>
        <v>0</v>
      </c>
      <c r="AK14" s="108">
        <f t="shared" si="3"/>
        <v>5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739">
        <v>8</v>
      </c>
      <c r="C15" s="740">
        <v>41804</v>
      </c>
      <c r="D15" s="741" t="s">
        <v>23</v>
      </c>
      <c r="E15" s="742" t="s">
        <v>9</v>
      </c>
      <c r="F15" s="743" t="s">
        <v>24</v>
      </c>
      <c r="G15" s="800">
        <v>0</v>
      </c>
      <c r="H15" s="742" t="s">
        <v>9</v>
      </c>
      <c r="I15" s="805">
        <v>2</v>
      </c>
      <c r="J15" s="744">
        <v>2</v>
      </c>
      <c r="K15" s="726">
        <v>0</v>
      </c>
      <c r="L15" s="726">
        <v>3</v>
      </c>
      <c r="M15" s="715"/>
      <c r="N15" s="715"/>
      <c r="O15" s="757" t="s">
        <v>13</v>
      </c>
      <c r="P15" s="758">
        <v>7</v>
      </c>
      <c r="Q15" s="758">
        <v>5</v>
      </c>
      <c r="R15" s="759">
        <v>2</v>
      </c>
      <c r="S15" s="760">
        <v>4</v>
      </c>
      <c r="T15" s="807" t="s">
        <v>53</v>
      </c>
      <c r="U15" s="392"/>
      <c r="V15" s="392" t="str">
        <f>O15</f>
        <v>Spanje</v>
      </c>
      <c r="W15" s="392" t="s">
        <v>52</v>
      </c>
      <c r="Y15" s="109">
        <f t="shared" si="5"/>
        <v>0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6"/>
        <v>0</v>
      </c>
      <c r="AG15" s="108">
        <f t="shared" si="0"/>
        <v>0</v>
      </c>
      <c r="AH15" s="108">
        <f t="shared" si="1"/>
        <v>0</v>
      </c>
      <c r="AI15" s="108">
        <f t="shared" si="7"/>
        <v>0</v>
      </c>
      <c r="AJ15" s="108">
        <f t="shared" si="2"/>
        <v>0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727">
        <v>9</v>
      </c>
      <c r="C16" s="728">
        <v>41805</v>
      </c>
      <c r="D16" s="729" t="s">
        <v>25</v>
      </c>
      <c r="E16" s="730" t="s">
        <v>9</v>
      </c>
      <c r="F16" s="731" t="s">
        <v>26</v>
      </c>
      <c r="G16" s="798">
        <v>1</v>
      </c>
      <c r="H16" s="730" t="s">
        <v>9</v>
      </c>
      <c r="I16" s="803">
        <v>2</v>
      </c>
      <c r="J16" s="732">
        <v>2</v>
      </c>
      <c r="K16" s="726">
        <v>0</v>
      </c>
      <c r="L16" s="726">
        <v>3</v>
      </c>
      <c r="M16" s="715"/>
      <c r="N16" s="715"/>
      <c r="O16" s="767" t="s">
        <v>14</v>
      </c>
      <c r="P16" s="762">
        <v>9</v>
      </c>
      <c r="Q16" s="762">
        <v>2</v>
      </c>
      <c r="R16" s="762">
        <v>7</v>
      </c>
      <c r="S16" s="763">
        <v>9</v>
      </c>
      <c r="T16" s="808" t="s">
        <v>52</v>
      </c>
      <c r="U16" s="392"/>
      <c r="V16" s="392" t="str">
        <f>O16</f>
        <v>Nederland</v>
      </c>
      <c r="W16" s="392" t="s">
        <v>53</v>
      </c>
      <c r="Y16" s="109">
        <f t="shared" si="5"/>
        <v>0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6"/>
        <v>0</v>
      </c>
      <c r="AG16" s="108">
        <f t="shared" si="0"/>
        <v>0</v>
      </c>
      <c r="AH16" s="108">
        <f t="shared" si="1"/>
        <v>0</v>
      </c>
      <c r="AI16" s="108">
        <f t="shared" si="7"/>
        <v>0</v>
      </c>
      <c r="AJ16" s="108">
        <f t="shared" si="2"/>
        <v>0</v>
      </c>
      <c r="AK16" s="108">
        <f t="shared" si="3"/>
        <v>0</v>
      </c>
      <c r="AL16" s="108">
        <f t="shared" si="4"/>
        <v>0</v>
      </c>
      <c r="AM16" s="120">
        <f>AO16</f>
        <v>10</v>
      </c>
      <c r="AN16" s="119" t="s">
        <v>14</v>
      </c>
      <c r="AO16" s="115">
        <f>IF(Uitslag!T16="",0,IF(T16=Uitslag!T16,10,0))</f>
        <v>10</v>
      </c>
    </row>
    <row r="17" spans="2:41" ht="15.75" thickBot="1">
      <c r="B17" s="733">
        <v>10</v>
      </c>
      <c r="C17" s="734">
        <v>41805</v>
      </c>
      <c r="D17" s="735" t="s">
        <v>27</v>
      </c>
      <c r="E17" s="736" t="s">
        <v>9</v>
      </c>
      <c r="F17" s="745" t="s">
        <v>28</v>
      </c>
      <c r="G17" s="799">
        <v>3</v>
      </c>
      <c r="H17" s="736" t="s">
        <v>9</v>
      </c>
      <c r="I17" s="804">
        <v>1</v>
      </c>
      <c r="J17" s="738">
        <v>1</v>
      </c>
      <c r="K17" s="726">
        <v>3</v>
      </c>
      <c r="L17" s="726">
        <v>0</v>
      </c>
      <c r="M17" s="715"/>
      <c r="N17" s="715"/>
      <c r="O17" s="761" t="s">
        <v>15</v>
      </c>
      <c r="P17" s="762">
        <v>1</v>
      </c>
      <c r="Q17" s="762">
        <v>10</v>
      </c>
      <c r="R17" s="762">
        <v>-9</v>
      </c>
      <c r="S17" s="763">
        <v>0</v>
      </c>
      <c r="T17" s="808" t="s">
        <v>55</v>
      </c>
      <c r="U17" s="392"/>
      <c r="V17" s="392" t="str">
        <f>O17</f>
        <v>Chili</v>
      </c>
      <c r="W17" s="392" t="s">
        <v>54</v>
      </c>
      <c r="Y17" s="109">
        <f t="shared" si="5"/>
        <v>6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6"/>
        <v>6</v>
      </c>
      <c r="AG17" s="108">
        <f t="shared" si="0"/>
        <v>1</v>
      </c>
      <c r="AH17" s="108">
        <f t="shared" si="1"/>
        <v>0</v>
      </c>
      <c r="AI17" s="108">
        <f t="shared" si="7"/>
        <v>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739">
        <v>11</v>
      </c>
      <c r="C18" s="740">
        <v>41805</v>
      </c>
      <c r="D18" s="741" t="s">
        <v>29</v>
      </c>
      <c r="E18" s="742" t="s">
        <v>9</v>
      </c>
      <c r="F18" s="743" t="s">
        <v>30</v>
      </c>
      <c r="G18" s="800">
        <v>3</v>
      </c>
      <c r="H18" s="742" t="s">
        <v>9</v>
      </c>
      <c r="I18" s="805">
        <v>1</v>
      </c>
      <c r="J18" s="744">
        <v>1</v>
      </c>
      <c r="K18" s="726">
        <v>3</v>
      </c>
      <c r="L18" s="726">
        <v>0</v>
      </c>
      <c r="M18" s="715"/>
      <c r="N18" s="715"/>
      <c r="O18" s="764" t="s">
        <v>16</v>
      </c>
      <c r="P18" s="765">
        <v>7</v>
      </c>
      <c r="Q18" s="765">
        <v>7</v>
      </c>
      <c r="R18" s="765">
        <v>0</v>
      </c>
      <c r="S18" s="766">
        <v>4</v>
      </c>
      <c r="T18" s="809" t="s">
        <v>54</v>
      </c>
      <c r="U18" s="392"/>
      <c r="V18" s="392" t="str">
        <f>O18</f>
        <v>Australië</v>
      </c>
      <c r="W18" s="392" t="s">
        <v>55</v>
      </c>
      <c r="Y18" s="109">
        <f t="shared" si="5"/>
        <v>6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6"/>
        <v>6</v>
      </c>
      <c r="AG18" s="108">
        <f t="shared" si="0"/>
        <v>0</v>
      </c>
      <c r="AH18" s="108">
        <f t="shared" si="1"/>
        <v>1</v>
      </c>
      <c r="AI18" s="108">
        <f t="shared" si="7"/>
        <v>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0</v>
      </c>
      <c r="AN18" s="118" t="s">
        <v>16</v>
      </c>
      <c r="AO18" s="115">
        <f>IF(Uitslag!T18="",0,IF(T18=Uitslag!T18,10,0))</f>
        <v>0</v>
      </c>
    </row>
    <row r="19" spans="2:41" ht="15.75" thickBot="1">
      <c r="B19" s="727">
        <v>12</v>
      </c>
      <c r="C19" s="728">
        <v>41806</v>
      </c>
      <c r="D19" s="729" t="s">
        <v>31</v>
      </c>
      <c r="E19" s="730" t="s">
        <v>9</v>
      </c>
      <c r="F19" s="731" t="s">
        <v>32</v>
      </c>
      <c r="G19" s="798">
        <v>2</v>
      </c>
      <c r="H19" s="730" t="s">
        <v>9</v>
      </c>
      <c r="I19" s="803">
        <v>3</v>
      </c>
      <c r="J19" s="732">
        <v>2</v>
      </c>
      <c r="K19" s="726">
        <v>0</v>
      </c>
      <c r="L19" s="726">
        <v>3</v>
      </c>
      <c r="M19" s="715"/>
      <c r="N19" s="715"/>
      <c r="O19" s="755"/>
      <c r="P19" s="756"/>
      <c r="Q19" s="756"/>
      <c r="R19" s="756"/>
      <c r="S19" s="756"/>
      <c r="T19" s="756"/>
      <c r="U19" s="392"/>
      <c r="V19" s="392"/>
      <c r="W19" s="392"/>
      <c r="Y19" s="109">
        <f t="shared" si="5"/>
        <v>0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6"/>
        <v>0</v>
      </c>
      <c r="AG19" s="108">
        <f t="shared" si="0"/>
        <v>0</v>
      </c>
      <c r="AH19" s="108">
        <f t="shared" si="1"/>
        <v>0</v>
      </c>
      <c r="AI19" s="108">
        <f t="shared" si="7"/>
        <v>0</v>
      </c>
      <c r="AJ19" s="108">
        <f t="shared" si="2"/>
        <v>0</v>
      </c>
      <c r="AK19" s="108">
        <f t="shared" si="3"/>
        <v>0</v>
      </c>
      <c r="AL19" s="108">
        <f t="shared" si="4"/>
        <v>0</v>
      </c>
      <c r="AN19" s="392"/>
      <c r="AO19" s="393"/>
    </row>
    <row r="20" spans="2:41" ht="15.75" thickBot="1">
      <c r="B20" s="733">
        <v>13</v>
      </c>
      <c r="C20" s="734">
        <v>41806</v>
      </c>
      <c r="D20" s="735" t="s">
        <v>33</v>
      </c>
      <c r="E20" s="736" t="s">
        <v>9</v>
      </c>
      <c r="F20" s="745" t="s">
        <v>34</v>
      </c>
      <c r="G20" s="799">
        <v>2</v>
      </c>
      <c r="H20" s="736" t="s">
        <v>9</v>
      </c>
      <c r="I20" s="804">
        <v>0</v>
      </c>
      <c r="J20" s="738">
        <v>1</v>
      </c>
      <c r="K20" s="726">
        <v>3</v>
      </c>
      <c r="L20" s="726">
        <v>0</v>
      </c>
      <c r="M20" s="715"/>
      <c r="N20" s="715"/>
      <c r="O20" s="785" t="s">
        <v>56</v>
      </c>
      <c r="P20" s="786" t="s">
        <v>42</v>
      </c>
      <c r="Q20" s="786" t="s">
        <v>43</v>
      </c>
      <c r="R20" s="787" t="s">
        <v>44</v>
      </c>
      <c r="S20" s="788" t="s">
        <v>45</v>
      </c>
      <c r="T20" s="789" t="s">
        <v>46</v>
      </c>
      <c r="U20" s="392"/>
      <c r="V20" s="392"/>
      <c r="W20" s="392"/>
      <c r="Y20" s="109">
        <f t="shared" si="5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6"/>
        <v>1</v>
      </c>
      <c r="AG20" s="108">
        <f t="shared" si="0"/>
        <v>0</v>
      </c>
      <c r="AH20" s="108">
        <f t="shared" si="1"/>
        <v>1</v>
      </c>
      <c r="AI20" s="108">
        <f t="shared" si="7"/>
        <v>0</v>
      </c>
      <c r="AJ20" s="108">
        <f t="shared" si="2"/>
        <v>0</v>
      </c>
      <c r="AK20" s="108">
        <f t="shared" si="3"/>
        <v>0</v>
      </c>
      <c r="AL20" s="108">
        <f t="shared" si="4"/>
        <v>0</v>
      </c>
      <c r="AN20" s="42" t="s">
        <v>56</v>
      </c>
      <c r="AO20" s="43" t="s">
        <v>46</v>
      </c>
    </row>
    <row r="21" spans="2:41" ht="15.75" thickBot="1">
      <c r="B21" s="739">
        <v>14</v>
      </c>
      <c r="C21" s="740">
        <v>41806</v>
      </c>
      <c r="D21" s="741" t="s">
        <v>35</v>
      </c>
      <c r="E21" s="742" t="s">
        <v>9</v>
      </c>
      <c r="F21" s="743" t="s">
        <v>36</v>
      </c>
      <c r="G21" s="800">
        <v>1</v>
      </c>
      <c r="H21" s="742" t="s">
        <v>9</v>
      </c>
      <c r="I21" s="805">
        <v>1</v>
      </c>
      <c r="J21" s="744">
        <v>3</v>
      </c>
      <c r="K21" s="726">
        <v>1</v>
      </c>
      <c r="L21" s="726">
        <v>1</v>
      </c>
      <c r="M21" s="715"/>
      <c r="N21" s="715"/>
      <c r="O21" s="757" t="s">
        <v>17</v>
      </c>
      <c r="P21" s="758">
        <v>5</v>
      </c>
      <c r="Q21" s="758">
        <v>7</v>
      </c>
      <c r="R21" s="759">
        <v>-2</v>
      </c>
      <c r="S21" s="760">
        <v>2</v>
      </c>
      <c r="T21" s="807" t="s">
        <v>59</v>
      </c>
      <c r="U21" s="392"/>
      <c r="V21" s="392" t="str">
        <f>O21</f>
        <v>Colombia</v>
      </c>
      <c r="W21" s="392" t="s">
        <v>57</v>
      </c>
      <c r="Y21" s="109">
        <f t="shared" si="5"/>
        <v>1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6"/>
        <v>1</v>
      </c>
      <c r="AG21" s="108">
        <f t="shared" si="0"/>
        <v>1</v>
      </c>
      <c r="AH21" s="108">
        <f t="shared" si="1"/>
        <v>0</v>
      </c>
      <c r="AI21" s="108">
        <f t="shared" si="7"/>
        <v>0</v>
      </c>
      <c r="AJ21" s="108">
        <f t="shared" si="2"/>
        <v>0</v>
      </c>
      <c r="AK21" s="108">
        <f t="shared" si="3"/>
        <v>0</v>
      </c>
      <c r="AL21" s="108">
        <f t="shared" si="4"/>
        <v>0</v>
      </c>
      <c r="AM21" s="120">
        <f>AO21</f>
        <v>0</v>
      </c>
      <c r="AN21" s="116" t="s">
        <v>17</v>
      </c>
      <c r="AO21" s="115">
        <f>IF(Uitslag!T21="",0,IF(T21=Uitslag!T21,10,0))</f>
        <v>0</v>
      </c>
    </row>
    <row r="22" spans="2:41" ht="15.75" thickBot="1">
      <c r="B22" s="727">
        <v>15</v>
      </c>
      <c r="C22" s="728">
        <v>41807</v>
      </c>
      <c r="D22" s="729" t="s">
        <v>37</v>
      </c>
      <c r="E22" s="730" t="s">
        <v>9</v>
      </c>
      <c r="F22" s="731" t="s">
        <v>38</v>
      </c>
      <c r="G22" s="798">
        <v>3</v>
      </c>
      <c r="H22" s="730" t="s">
        <v>9</v>
      </c>
      <c r="I22" s="803">
        <v>1</v>
      </c>
      <c r="J22" s="732">
        <v>1</v>
      </c>
      <c r="K22" s="726">
        <v>3</v>
      </c>
      <c r="L22" s="726">
        <v>0</v>
      </c>
      <c r="M22" s="715"/>
      <c r="N22" s="715"/>
      <c r="O22" s="761" t="s">
        <v>18</v>
      </c>
      <c r="P22" s="762">
        <v>7</v>
      </c>
      <c r="Q22" s="762">
        <v>3</v>
      </c>
      <c r="R22" s="762">
        <v>4</v>
      </c>
      <c r="S22" s="763">
        <v>7</v>
      </c>
      <c r="T22" s="808" t="s">
        <v>57</v>
      </c>
      <c r="U22" s="392"/>
      <c r="V22" s="392" t="str">
        <f>O22</f>
        <v>Griekenland</v>
      </c>
      <c r="W22" s="392" t="s">
        <v>58</v>
      </c>
      <c r="Y22" s="109">
        <f t="shared" si="5"/>
        <v>6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6"/>
        <v>6</v>
      </c>
      <c r="AG22" s="108">
        <f t="shared" si="0"/>
        <v>0</v>
      </c>
      <c r="AH22" s="108">
        <f t="shared" si="1"/>
        <v>1</v>
      </c>
      <c r="AI22" s="108">
        <f t="shared" si="7"/>
        <v>0</v>
      </c>
      <c r="AJ22" s="108">
        <f t="shared" si="2"/>
        <v>5</v>
      </c>
      <c r="AK22" s="108">
        <f t="shared" si="3"/>
        <v>0</v>
      </c>
      <c r="AL22" s="108">
        <f t="shared" si="4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733">
        <v>16</v>
      </c>
      <c r="C23" s="734">
        <v>41807</v>
      </c>
      <c r="D23" s="735" t="s">
        <v>8</v>
      </c>
      <c r="E23" s="736" t="s">
        <v>9</v>
      </c>
      <c r="F23" s="745" t="s">
        <v>11</v>
      </c>
      <c r="G23" s="799">
        <v>4</v>
      </c>
      <c r="H23" s="736" t="s">
        <v>9</v>
      </c>
      <c r="I23" s="804">
        <v>2</v>
      </c>
      <c r="J23" s="738">
        <v>1</v>
      </c>
      <c r="K23" s="726">
        <v>3</v>
      </c>
      <c r="L23" s="726">
        <v>0</v>
      </c>
      <c r="M23" s="715"/>
      <c r="N23" s="715"/>
      <c r="O23" s="761" t="s">
        <v>23</v>
      </c>
      <c r="P23" s="762">
        <v>3</v>
      </c>
      <c r="Q23" s="762">
        <v>6</v>
      </c>
      <c r="R23" s="762">
        <v>-3</v>
      </c>
      <c r="S23" s="763">
        <v>1</v>
      </c>
      <c r="T23" s="808" t="s">
        <v>58</v>
      </c>
      <c r="U23" s="392"/>
      <c r="V23" s="392" t="str">
        <f>O23</f>
        <v>Ivoorkust</v>
      </c>
      <c r="W23" s="392" t="s">
        <v>59</v>
      </c>
      <c r="Y23" s="109">
        <f t="shared" si="5"/>
        <v>0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6"/>
        <v>0</v>
      </c>
      <c r="AG23" s="108">
        <f t="shared" si="0"/>
        <v>0</v>
      </c>
      <c r="AH23" s="108">
        <f t="shared" si="1"/>
        <v>0</v>
      </c>
      <c r="AI23" s="108">
        <f t="shared" si="7"/>
        <v>0</v>
      </c>
      <c r="AJ23" s="108">
        <f t="shared" si="2"/>
        <v>0</v>
      </c>
      <c r="AK23" s="108">
        <f t="shared" si="3"/>
        <v>0</v>
      </c>
      <c r="AL23" s="108">
        <f t="shared" si="4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739">
        <v>17</v>
      </c>
      <c r="C24" s="740">
        <v>41807</v>
      </c>
      <c r="D24" s="741" t="s">
        <v>39</v>
      </c>
      <c r="E24" s="742" t="s">
        <v>9</v>
      </c>
      <c r="F24" s="743" t="s">
        <v>40</v>
      </c>
      <c r="G24" s="800">
        <v>2</v>
      </c>
      <c r="H24" s="742" t="s">
        <v>9</v>
      </c>
      <c r="I24" s="805">
        <v>1</v>
      </c>
      <c r="J24" s="744">
        <v>1</v>
      </c>
      <c r="K24" s="726">
        <v>3</v>
      </c>
      <c r="L24" s="726">
        <v>0</v>
      </c>
      <c r="M24" s="715"/>
      <c r="N24" s="715"/>
      <c r="O24" s="764" t="s">
        <v>24</v>
      </c>
      <c r="P24" s="765">
        <v>7</v>
      </c>
      <c r="Q24" s="765">
        <v>6</v>
      </c>
      <c r="R24" s="765">
        <v>1</v>
      </c>
      <c r="S24" s="766">
        <v>6</v>
      </c>
      <c r="T24" s="809" t="s">
        <v>60</v>
      </c>
      <c r="U24" s="392"/>
      <c r="V24" s="392" t="str">
        <f>O24</f>
        <v>Japan</v>
      </c>
      <c r="W24" s="392" t="s">
        <v>60</v>
      </c>
      <c r="Y24" s="109">
        <f t="shared" si="5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6"/>
        <v>1</v>
      </c>
      <c r="AG24" s="108">
        <f t="shared" si="0"/>
        <v>0</v>
      </c>
      <c r="AH24" s="108">
        <f t="shared" si="1"/>
        <v>1</v>
      </c>
      <c r="AI24" s="108">
        <f t="shared" si="7"/>
        <v>0</v>
      </c>
      <c r="AJ24" s="108">
        <f t="shared" si="2"/>
        <v>0</v>
      </c>
      <c r="AK24" s="108">
        <f t="shared" si="3"/>
        <v>0</v>
      </c>
      <c r="AL24" s="108">
        <f t="shared" si="4"/>
        <v>0</v>
      </c>
      <c r="AM24" s="120">
        <f>AO24</f>
        <v>10</v>
      </c>
      <c r="AN24" s="118" t="s">
        <v>24</v>
      </c>
      <c r="AO24" s="115">
        <f>IF(Uitslag!T24="",0,IF(T24=Uitslag!T24,10,0))</f>
        <v>10</v>
      </c>
    </row>
    <row r="25" spans="2:41" ht="15.75" thickBot="1">
      <c r="B25" s="727">
        <v>18</v>
      </c>
      <c r="C25" s="728">
        <v>41808</v>
      </c>
      <c r="D25" s="729" t="s">
        <v>16</v>
      </c>
      <c r="E25" s="730" t="s">
        <v>9</v>
      </c>
      <c r="F25" s="746" t="s">
        <v>14</v>
      </c>
      <c r="G25" s="798">
        <v>1</v>
      </c>
      <c r="H25" s="730" t="s">
        <v>9</v>
      </c>
      <c r="I25" s="803">
        <v>3</v>
      </c>
      <c r="J25" s="732">
        <v>2</v>
      </c>
      <c r="K25" s="726">
        <v>0</v>
      </c>
      <c r="L25" s="726">
        <v>3</v>
      </c>
      <c r="M25" s="715"/>
      <c r="N25" s="715"/>
      <c r="O25" s="755"/>
      <c r="P25" s="756"/>
      <c r="Q25" s="756"/>
      <c r="R25" s="756"/>
      <c r="S25" s="756"/>
      <c r="T25" s="756"/>
      <c r="U25" s="392"/>
      <c r="V25" s="392"/>
      <c r="W25" s="392"/>
      <c r="Y25" s="109">
        <f t="shared" si="5"/>
        <v>6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6"/>
        <v>6</v>
      </c>
      <c r="AG25" s="108">
        <f t="shared" si="0"/>
        <v>0</v>
      </c>
      <c r="AH25" s="108">
        <f t="shared" si="1"/>
        <v>1</v>
      </c>
      <c r="AI25" s="108">
        <f t="shared" si="7"/>
        <v>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392"/>
      <c r="AO25" s="393"/>
    </row>
    <row r="26" spans="2:41" ht="15.75" thickBot="1">
      <c r="B26" s="733">
        <v>19</v>
      </c>
      <c r="C26" s="734">
        <v>41808</v>
      </c>
      <c r="D26" s="735" t="s">
        <v>13</v>
      </c>
      <c r="E26" s="736" t="s">
        <v>9</v>
      </c>
      <c r="F26" s="745" t="s">
        <v>15</v>
      </c>
      <c r="G26" s="799">
        <v>3</v>
      </c>
      <c r="H26" s="736" t="s">
        <v>9</v>
      </c>
      <c r="I26" s="804">
        <v>0</v>
      </c>
      <c r="J26" s="738">
        <v>1</v>
      </c>
      <c r="K26" s="726">
        <v>3</v>
      </c>
      <c r="L26" s="726">
        <v>0</v>
      </c>
      <c r="M26" s="715"/>
      <c r="N26" s="715"/>
      <c r="O26" s="785" t="s">
        <v>61</v>
      </c>
      <c r="P26" s="786" t="s">
        <v>42</v>
      </c>
      <c r="Q26" s="786" t="s">
        <v>43</v>
      </c>
      <c r="R26" s="787" t="s">
        <v>44</v>
      </c>
      <c r="S26" s="788" t="s">
        <v>45</v>
      </c>
      <c r="T26" s="789" t="s">
        <v>46</v>
      </c>
      <c r="U26" s="392"/>
      <c r="V26" s="392"/>
      <c r="W26" s="392"/>
      <c r="Y26" s="109">
        <f t="shared" si="5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6"/>
        <v>0</v>
      </c>
      <c r="AG26" s="108">
        <f t="shared" si="0"/>
        <v>0</v>
      </c>
      <c r="AH26" s="108">
        <f t="shared" si="1"/>
        <v>0</v>
      </c>
      <c r="AI26" s="108">
        <f t="shared" si="7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739">
        <v>20</v>
      </c>
      <c r="C27" s="740">
        <v>41808</v>
      </c>
      <c r="D27" s="741" t="s">
        <v>12</v>
      </c>
      <c r="E27" s="742" t="s">
        <v>9</v>
      </c>
      <c r="F27" s="743" t="s">
        <v>10</v>
      </c>
      <c r="G27" s="800">
        <v>3</v>
      </c>
      <c r="H27" s="742" t="s">
        <v>9</v>
      </c>
      <c r="I27" s="805">
        <v>4</v>
      </c>
      <c r="J27" s="744">
        <v>2</v>
      </c>
      <c r="K27" s="726">
        <v>0</v>
      </c>
      <c r="L27" s="726">
        <v>3</v>
      </c>
      <c r="M27" s="715"/>
      <c r="N27" s="715"/>
      <c r="O27" s="757" t="s">
        <v>19</v>
      </c>
      <c r="P27" s="758">
        <v>3</v>
      </c>
      <c r="Q27" s="758">
        <v>10</v>
      </c>
      <c r="R27" s="759">
        <v>-7</v>
      </c>
      <c r="S27" s="760">
        <v>0</v>
      </c>
      <c r="T27" s="807" t="s">
        <v>65</v>
      </c>
      <c r="U27" s="392"/>
      <c r="V27" s="392" t="str">
        <f>O27</f>
        <v>Uruguay</v>
      </c>
      <c r="W27" s="392" t="s">
        <v>62</v>
      </c>
      <c r="Y27" s="109">
        <f t="shared" si="5"/>
        <v>6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6"/>
        <v>6</v>
      </c>
      <c r="AG27" s="108">
        <f t="shared" si="0"/>
        <v>0</v>
      </c>
      <c r="AH27" s="108">
        <f t="shared" si="1"/>
        <v>1</v>
      </c>
      <c r="AI27" s="108">
        <f t="shared" si="7"/>
        <v>0</v>
      </c>
      <c r="AJ27" s="108">
        <f t="shared" si="2"/>
        <v>0</v>
      </c>
      <c r="AK27" s="108">
        <f t="shared" si="3"/>
        <v>5</v>
      </c>
      <c r="AL27" s="108">
        <f t="shared" si="4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727">
        <v>21</v>
      </c>
      <c r="C28" s="728">
        <v>41809</v>
      </c>
      <c r="D28" s="729" t="s">
        <v>17</v>
      </c>
      <c r="E28" s="730" t="s">
        <v>9</v>
      </c>
      <c r="F28" s="731" t="s">
        <v>23</v>
      </c>
      <c r="G28" s="798">
        <v>2</v>
      </c>
      <c r="H28" s="730" t="s">
        <v>9</v>
      </c>
      <c r="I28" s="803">
        <v>2</v>
      </c>
      <c r="J28" s="732">
        <v>3</v>
      </c>
      <c r="K28" s="726">
        <v>1</v>
      </c>
      <c r="L28" s="726">
        <v>1</v>
      </c>
      <c r="M28" s="715"/>
      <c r="N28" s="715"/>
      <c r="O28" s="761" t="s">
        <v>20</v>
      </c>
      <c r="P28" s="762">
        <v>5</v>
      </c>
      <c r="Q28" s="762">
        <v>7</v>
      </c>
      <c r="R28" s="762">
        <v>-2</v>
      </c>
      <c r="S28" s="763">
        <v>3</v>
      </c>
      <c r="T28" s="808" t="s">
        <v>64</v>
      </c>
      <c r="U28" s="392"/>
      <c r="V28" s="392" t="str">
        <f>O28</f>
        <v>Costa Rica</v>
      </c>
      <c r="W28" s="392" t="s">
        <v>63</v>
      </c>
      <c r="Y28" s="109">
        <f t="shared" si="5"/>
        <v>1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6"/>
        <v>1</v>
      </c>
      <c r="AG28" s="108">
        <f t="shared" si="0"/>
        <v>1</v>
      </c>
      <c r="AH28" s="108">
        <f t="shared" si="1"/>
        <v>0</v>
      </c>
      <c r="AI28" s="108">
        <f t="shared" si="7"/>
        <v>0</v>
      </c>
      <c r="AJ28" s="108">
        <f t="shared" si="2"/>
        <v>0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733">
        <v>22</v>
      </c>
      <c r="C29" s="734">
        <v>41809</v>
      </c>
      <c r="D29" s="735" t="s">
        <v>19</v>
      </c>
      <c r="E29" s="736" t="s">
        <v>9</v>
      </c>
      <c r="F29" s="745" t="s">
        <v>21</v>
      </c>
      <c r="G29" s="799">
        <v>2</v>
      </c>
      <c r="H29" s="736" t="s">
        <v>9</v>
      </c>
      <c r="I29" s="804">
        <v>3</v>
      </c>
      <c r="J29" s="738">
        <v>2</v>
      </c>
      <c r="K29" s="726">
        <v>0</v>
      </c>
      <c r="L29" s="726">
        <v>3</v>
      </c>
      <c r="M29" s="715"/>
      <c r="N29" s="715"/>
      <c r="O29" s="761" t="s">
        <v>21</v>
      </c>
      <c r="P29" s="762">
        <v>9</v>
      </c>
      <c r="Q29" s="762">
        <v>7</v>
      </c>
      <c r="R29" s="762">
        <v>2</v>
      </c>
      <c r="S29" s="763">
        <v>6</v>
      </c>
      <c r="T29" s="808" t="s">
        <v>63</v>
      </c>
      <c r="U29" s="392"/>
      <c r="V29" s="392" t="str">
        <f>O29</f>
        <v>Engeland</v>
      </c>
      <c r="W29" s="392" t="s">
        <v>64</v>
      </c>
      <c r="Y29" s="109">
        <f t="shared" si="5"/>
        <v>1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6"/>
        <v>1</v>
      </c>
      <c r="AG29" s="108">
        <f t="shared" si="0"/>
        <v>1</v>
      </c>
      <c r="AH29" s="108">
        <f t="shared" si="1"/>
        <v>0</v>
      </c>
      <c r="AI29" s="108">
        <f t="shared" si="7"/>
        <v>0</v>
      </c>
      <c r="AJ29" s="108">
        <f t="shared" si="2"/>
        <v>0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739">
        <v>23</v>
      </c>
      <c r="C30" s="740">
        <v>41809</v>
      </c>
      <c r="D30" s="741" t="s">
        <v>24</v>
      </c>
      <c r="E30" s="742" t="s">
        <v>9</v>
      </c>
      <c r="F30" s="743" t="s">
        <v>18</v>
      </c>
      <c r="G30" s="800">
        <v>1</v>
      </c>
      <c r="H30" s="742" t="s">
        <v>9</v>
      </c>
      <c r="I30" s="805">
        <v>4</v>
      </c>
      <c r="J30" s="744">
        <v>2</v>
      </c>
      <c r="K30" s="726">
        <v>0</v>
      </c>
      <c r="L30" s="726">
        <v>3</v>
      </c>
      <c r="M30" s="715"/>
      <c r="N30" s="715"/>
      <c r="O30" s="764" t="s">
        <v>22</v>
      </c>
      <c r="P30" s="765">
        <v>10</v>
      </c>
      <c r="Q30" s="765">
        <v>3</v>
      </c>
      <c r="R30" s="765">
        <v>7</v>
      </c>
      <c r="S30" s="766">
        <v>9</v>
      </c>
      <c r="T30" s="809" t="s">
        <v>62</v>
      </c>
      <c r="U30" s="392"/>
      <c r="V30" s="392" t="str">
        <f>O30</f>
        <v>Italië</v>
      </c>
      <c r="W30" s="392" t="s">
        <v>65</v>
      </c>
      <c r="Y30" s="109">
        <f t="shared" si="5"/>
        <v>0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6"/>
        <v>0</v>
      </c>
      <c r="AG30" s="108">
        <f t="shared" si="0"/>
        <v>0</v>
      </c>
      <c r="AH30" s="108">
        <f t="shared" si="1"/>
        <v>0</v>
      </c>
      <c r="AI30" s="108">
        <f t="shared" si="7"/>
        <v>0</v>
      </c>
      <c r="AJ30" s="108">
        <f t="shared" si="2"/>
        <v>0</v>
      </c>
      <c r="AK30" s="108">
        <f t="shared" si="3"/>
        <v>0</v>
      </c>
      <c r="AL30" s="108">
        <f t="shared" si="4"/>
        <v>0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727">
        <v>24</v>
      </c>
      <c r="C31" s="728">
        <v>41810</v>
      </c>
      <c r="D31" s="729" t="s">
        <v>22</v>
      </c>
      <c r="E31" s="730" t="s">
        <v>9</v>
      </c>
      <c r="F31" s="731" t="s">
        <v>20</v>
      </c>
      <c r="G31" s="798">
        <v>3</v>
      </c>
      <c r="H31" s="730" t="s">
        <v>9</v>
      </c>
      <c r="I31" s="803">
        <v>0</v>
      </c>
      <c r="J31" s="732">
        <v>1</v>
      </c>
      <c r="K31" s="726">
        <v>3</v>
      </c>
      <c r="L31" s="726">
        <v>0</v>
      </c>
      <c r="M31" s="715"/>
      <c r="N31" s="715"/>
      <c r="O31" s="755"/>
      <c r="P31" s="756"/>
      <c r="Q31" s="756"/>
      <c r="R31" s="756"/>
      <c r="S31" s="756"/>
      <c r="T31" s="756"/>
      <c r="U31" s="392"/>
      <c r="V31" s="392"/>
      <c r="W31" s="392"/>
      <c r="Y31" s="109">
        <f t="shared" si="5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6"/>
        <v>0</v>
      </c>
      <c r="AG31" s="108">
        <f t="shared" si="0"/>
        <v>0</v>
      </c>
      <c r="AH31" s="108">
        <f t="shared" si="1"/>
        <v>0</v>
      </c>
      <c r="AI31" s="108">
        <f t="shared" si="7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392"/>
      <c r="AO31" s="393"/>
    </row>
    <row r="32" spans="2:41" ht="15.75" thickBot="1">
      <c r="B32" s="733">
        <v>25</v>
      </c>
      <c r="C32" s="734">
        <v>41810</v>
      </c>
      <c r="D32" s="735" t="s">
        <v>25</v>
      </c>
      <c r="E32" s="736" t="s">
        <v>9</v>
      </c>
      <c r="F32" s="745" t="s">
        <v>27</v>
      </c>
      <c r="G32" s="799">
        <v>2</v>
      </c>
      <c r="H32" s="736" t="s">
        <v>9</v>
      </c>
      <c r="I32" s="804">
        <v>4</v>
      </c>
      <c r="J32" s="738">
        <v>2</v>
      </c>
      <c r="K32" s="726">
        <v>0</v>
      </c>
      <c r="L32" s="726">
        <v>3</v>
      </c>
      <c r="M32" s="715"/>
      <c r="N32" s="715"/>
      <c r="O32" s="785" t="s">
        <v>66</v>
      </c>
      <c r="P32" s="786" t="s">
        <v>42</v>
      </c>
      <c r="Q32" s="786" t="s">
        <v>43</v>
      </c>
      <c r="R32" s="787" t="s">
        <v>44</v>
      </c>
      <c r="S32" s="788" t="s">
        <v>45</v>
      </c>
      <c r="T32" s="789" t="s">
        <v>46</v>
      </c>
      <c r="U32" s="392"/>
      <c r="V32" s="392"/>
      <c r="W32" s="392"/>
      <c r="Y32" s="109">
        <f t="shared" si="5"/>
        <v>6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6"/>
        <v>6</v>
      </c>
      <c r="AG32" s="108">
        <f t="shared" si="0"/>
        <v>1</v>
      </c>
      <c r="AH32" s="108">
        <f t="shared" si="1"/>
        <v>0</v>
      </c>
      <c r="AI32" s="108">
        <f t="shared" si="7"/>
        <v>0</v>
      </c>
      <c r="AJ32" s="108">
        <f t="shared" si="2"/>
        <v>0</v>
      </c>
      <c r="AK32" s="108">
        <f t="shared" si="3"/>
        <v>5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739">
        <v>26</v>
      </c>
      <c r="C33" s="740">
        <v>41810</v>
      </c>
      <c r="D33" s="741" t="s">
        <v>28</v>
      </c>
      <c r="E33" s="742" t="s">
        <v>9</v>
      </c>
      <c r="F33" s="743" t="s">
        <v>26</v>
      </c>
      <c r="G33" s="800">
        <v>2</v>
      </c>
      <c r="H33" s="742" t="s">
        <v>9</v>
      </c>
      <c r="I33" s="805">
        <v>1</v>
      </c>
      <c r="J33" s="744">
        <v>1</v>
      </c>
      <c r="K33" s="726">
        <v>3</v>
      </c>
      <c r="L33" s="726">
        <v>0</v>
      </c>
      <c r="M33" s="715"/>
      <c r="N33" s="715"/>
      <c r="O33" s="757" t="s">
        <v>25</v>
      </c>
      <c r="P33" s="758">
        <v>5</v>
      </c>
      <c r="Q33" s="758">
        <v>7</v>
      </c>
      <c r="R33" s="759">
        <v>-2</v>
      </c>
      <c r="S33" s="760">
        <v>3</v>
      </c>
      <c r="T33" s="807" t="s">
        <v>69</v>
      </c>
      <c r="U33" s="392"/>
      <c r="V33" s="392" t="str">
        <f>O33</f>
        <v>Zwitserland</v>
      </c>
      <c r="W33" s="392" t="s">
        <v>67</v>
      </c>
      <c r="Y33" s="109">
        <f t="shared" si="5"/>
        <v>0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6"/>
        <v>0</v>
      </c>
      <c r="AG33" s="108">
        <f t="shared" si="0"/>
        <v>0</v>
      </c>
      <c r="AH33" s="108">
        <f t="shared" si="1"/>
        <v>0</v>
      </c>
      <c r="AI33" s="108">
        <f t="shared" si="7"/>
        <v>0</v>
      </c>
      <c r="AJ33" s="108">
        <f t="shared" si="2"/>
        <v>0</v>
      </c>
      <c r="AK33" s="108">
        <f t="shared" si="3"/>
        <v>0</v>
      </c>
      <c r="AL33" s="108">
        <f t="shared" si="4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727">
        <v>27</v>
      </c>
      <c r="C34" s="728">
        <v>41811</v>
      </c>
      <c r="D34" s="729" t="s">
        <v>29</v>
      </c>
      <c r="E34" s="730" t="s">
        <v>9</v>
      </c>
      <c r="F34" s="731" t="s">
        <v>33</v>
      </c>
      <c r="G34" s="798">
        <v>2</v>
      </c>
      <c r="H34" s="730" t="s">
        <v>9</v>
      </c>
      <c r="I34" s="803">
        <v>2</v>
      </c>
      <c r="J34" s="732">
        <v>3</v>
      </c>
      <c r="K34" s="726">
        <v>1</v>
      </c>
      <c r="L34" s="726">
        <v>1</v>
      </c>
      <c r="M34" s="715"/>
      <c r="N34" s="715"/>
      <c r="O34" s="761" t="s">
        <v>26</v>
      </c>
      <c r="P34" s="762">
        <v>5</v>
      </c>
      <c r="Q34" s="762">
        <v>6</v>
      </c>
      <c r="R34" s="762">
        <v>-1</v>
      </c>
      <c r="S34" s="763">
        <v>3</v>
      </c>
      <c r="T34" s="808" t="s">
        <v>68</v>
      </c>
      <c r="U34" s="392"/>
      <c r="V34" s="392" t="str">
        <f>O34</f>
        <v>Ecuador</v>
      </c>
      <c r="W34" s="392" t="s">
        <v>68</v>
      </c>
      <c r="Y34" s="109">
        <f t="shared" si="5"/>
        <v>0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6"/>
        <v>0</v>
      </c>
      <c r="AG34" s="108">
        <f t="shared" si="0"/>
        <v>0</v>
      </c>
      <c r="AH34" s="108">
        <f t="shared" si="1"/>
        <v>0</v>
      </c>
      <c r="AI34" s="108">
        <f t="shared" si="7"/>
        <v>0</v>
      </c>
      <c r="AJ34" s="108">
        <f t="shared" si="2"/>
        <v>0</v>
      </c>
      <c r="AK34" s="108">
        <f t="shared" si="3"/>
        <v>0</v>
      </c>
      <c r="AL34" s="108">
        <f t="shared" si="4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733">
        <v>28</v>
      </c>
      <c r="C35" s="734">
        <v>41811</v>
      </c>
      <c r="D35" s="735" t="s">
        <v>31</v>
      </c>
      <c r="E35" s="736" t="s">
        <v>9</v>
      </c>
      <c r="F35" s="745" t="s">
        <v>35</v>
      </c>
      <c r="G35" s="799">
        <v>4</v>
      </c>
      <c r="H35" s="736" t="s">
        <v>9</v>
      </c>
      <c r="I35" s="804">
        <v>1</v>
      </c>
      <c r="J35" s="738">
        <v>1</v>
      </c>
      <c r="K35" s="726">
        <v>3</v>
      </c>
      <c r="L35" s="726">
        <v>0</v>
      </c>
      <c r="M35" s="715"/>
      <c r="N35" s="715"/>
      <c r="O35" s="761" t="s">
        <v>27</v>
      </c>
      <c r="P35" s="762">
        <v>10</v>
      </c>
      <c r="Q35" s="762">
        <v>5</v>
      </c>
      <c r="R35" s="762">
        <v>5</v>
      </c>
      <c r="S35" s="763">
        <v>9</v>
      </c>
      <c r="T35" s="808" t="s">
        <v>67</v>
      </c>
      <c r="U35" s="392"/>
      <c r="V35" s="392" t="str">
        <f>O35</f>
        <v>Frankrijk</v>
      </c>
      <c r="W35" s="392" t="s">
        <v>69</v>
      </c>
      <c r="Y35" s="109">
        <f t="shared" si="5"/>
        <v>0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6"/>
        <v>0</v>
      </c>
      <c r="AG35" s="108">
        <f t="shared" si="0"/>
        <v>0</v>
      </c>
      <c r="AH35" s="108">
        <f t="shared" si="1"/>
        <v>0</v>
      </c>
      <c r="AI35" s="108">
        <f t="shared" si="7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739">
        <v>29</v>
      </c>
      <c r="C36" s="740">
        <v>41811</v>
      </c>
      <c r="D36" s="741" t="s">
        <v>34</v>
      </c>
      <c r="E36" s="742" t="s">
        <v>9</v>
      </c>
      <c r="F36" s="743" t="s">
        <v>30</v>
      </c>
      <c r="G36" s="800">
        <v>1</v>
      </c>
      <c r="H36" s="742" t="s">
        <v>9</v>
      </c>
      <c r="I36" s="805">
        <v>0</v>
      </c>
      <c r="J36" s="744">
        <v>1</v>
      </c>
      <c r="K36" s="726">
        <v>3</v>
      </c>
      <c r="L36" s="726">
        <v>0</v>
      </c>
      <c r="M36" s="715"/>
      <c r="N36" s="715"/>
      <c r="O36" s="764" t="s">
        <v>28</v>
      </c>
      <c r="P36" s="765">
        <v>4</v>
      </c>
      <c r="Q36" s="765">
        <v>6</v>
      </c>
      <c r="R36" s="765">
        <v>-2</v>
      </c>
      <c r="S36" s="766">
        <v>3</v>
      </c>
      <c r="T36" s="809" t="s">
        <v>70</v>
      </c>
      <c r="U36" s="392"/>
      <c r="V36" s="392" t="str">
        <f>O36</f>
        <v>Honduras</v>
      </c>
      <c r="W36" s="392" t="s">
        <v>70</v>
      </c>
      <c r="Y36" s="109">
        <f t="shared" si="5"/>
        <v>10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6"/>
        <v>10</v>
      </c>
      <c r="AG36" s="108">
        <f t="shared" si="0"/>
        <v>1</v>
      </c>
      <c r="AH36" s="108">
        <f t="shared" si="1"/>
        <v>1</v>
      </c>
      <c r="AI36" s="108">
        <f t="shared" si="7"/>
        <v>10</v>
      </c>
      <c r="AJ36" s="108">
        <f t="shared" si="2"/>
        <v>5</v>
      </c>
      <c r="AK36" s="108">
        <f t="shared" si="3"/>
        <v>0</v>
      </c>
      <c r="AL36" s="108">
        <f t="shared" si="4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727">
        <v>30</v>
      </c>
      <c r="C37" s="728">
        <v>41812</v>
      </c>
      <c r="D37" s="729" t="s">
        <v>37</v>
      </c>
      <c r="E37" s="730" t="s">
        <v>9</v>
      </c>
      <c r="F37" s="731" t="s">
        <v>39</v>
      </c>
      <c r="G37" s="798">
        <v>2</v>
      </c>
      <c r="H37" s="730" t="s">
        <v>9</v>
      </c>
      <c r="I37" s="803">
        <v>0</v>
      </c>
      <c r="J37" s="732">
        <v>1</v>
      </c>
      <c r="K37" s="726">
        <v>3</v>
      </c>
      <c r="L37" s="726">
        <v>0</v>
      </c>
      <c r="M37" s="715"/>
      <c r="N37" s="715"/>
      <c r="O37" s="755"/>
      <c r="P37" s="756"/>
      <c r="Q37" s="756"/>
      <c r="R37" s="756"/>
      <c r="S37" s="756"/>
      <c r="T37" s="756"/>
      <c r="U37" s="392"/>
      <c r="V37" s="392"/>
      <c r="W37" s="392"/>
      <c r="Y37" s="109">
        <f t="shared" si="5"/>
        <v>6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6"/>
        <v>6</v>
      </c>
      <c r="AG37" s="108">
        <f t="shared" si="0"/>
        <v>0</v>
      </c>
      <c r="AH37" s="108">
        <f t="shared" si="1"/>
        <v>1</v>
      </c>
      <c r="AI37" s="108">
        <f t="shared" si="7"/>
        <v>0</v>
      </c>
      <c r="AJ37" s="108">
        <f t="shared" si="2"/>
        <v>5</v>
      </c>
      <c r="AK37" s="108">
        <f t="shared" si="3"/>
        <v>0</v>
      </c>
      <c r="AL37" s="108">
        <f t="shared" si="4"/>
        <v>0</v>
      </c>
      <c r="AN37" s="392"/>
      <c r="AO37" s="393"/>
    </row>
    <row r="38" spans="2:41" ht="15.75" thickBot="1">
      <c r="B38" s="733">
        <v>31</v>
      </c>
      <c r="C38" s="734">
        <v>41812</v>
      </c>
      <c r="D38" s="735" t="s">
        <v>40</v>
      </c>
      <c r="E38" s="736" t="s">
        <v>9</v>
      </c>
      <c r="F38" s="745" t="s">
        <v>38</v>
      </c>
      <c r="G38" s="799">
        <v>1</v>
      </c>
      <c r="H38" s="736" t="s">
        <v>9</v>
      </c>
      <c r="I38" s="804">
        <v>1</v>
      </c>
      <c r="J38" s="738">
        <v>3</v>
      </c>
      <c r="K38" s="726">
        <v>1</v>
      </c>
      <c r="L38" s="726">
        <v>1</v>
      </c>
      <c r="M38" s="715"/>
      <c r="N38" s="715"/>
      <c r="O38" s="785" t="s">
        <v>71</v>
      </c>
      <c r="P38" s="786" t="s">
        <v>42</v>
      </c>
      <c r="Q38" s="786" t="s">
        <v>43</v>
      </c>
      <c r="R38" s="787" t="s">
        <v>44</v>
      </c>
      <c r="S38" s="788" t="s">
        <v>45</v>
      </c>
      <c r="T38" s="789" t="s">
        <v>46</v>
      </c>
      <c r="U38" s="392"/>
      <c r="V38" s="392"/>
      <c r="W38" s="392"/>
      <c r="Y38" s="109">
        <f t="shared" si="5"/>
        <v>0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6"/>
        <v>0</v>
      </c>
      <c r="AG38" s="108">
        <f t="shared" si="0"/>
        <v>0</v>
      </c>
      <c r="AH38" s="108">
        <f t="shared" si="1"/>
        <v>0</v>
      </c>
      <c r="AI38" s="108">
        <f t="shared" si="7"/>
        <v>0</v>
      </c>
      <c r="AJ38" s="108">
        <f t="shared" si="2"/>
        <v>0</v>
      </c>
      <c r="AK38" s="108">
        <f t="shared" si="3"/>
        <v>0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739">
        <v>32</v>
      </c>
      <c r="C39" s="740">
        <v>41812</v>
      </c>
      <c r="D39" s="741" t="s">
        <v>36</v>
      </c>
      <c r="E39" s="742" t="s">
        <v>9</v>
      </c>
      <c r="F39" s="743" t="s">
        <v>32</v>
      </c>
      <c r="G39" s="800">
        <v>1</v>
      </c>
      <c r="H39" s="742" t="s">
        <v>9</v>
      </c>
      <c r="I39" s="805">
        <v>4</v>
      </c>
      <c r="J39" s="744">
        <v>2</v>
      </c>
      <c r="K39" s="726">
        <v>0</v>
      </c>
      <c r="L39" s="726">
        <v>3</v>
      </c>
      <c r="M39" s="715"/>
      <c r="N39" s="715"/>
      <c r="O39" s="757" t="s">
        <v>29</v>
      </c>
      <c r="P39" s="758">
        <v>7</v>
      </c>
      <c r="Q39" s="758">
        <v>3</v>
      </c>
      <c r="R39" s="759">
        <v>4</v>
      </c>
      <c r="S39" s="760">
        <v>7</v>
      </c>
      <c r="T39" s="807" t="s">
        <v>72</v>
      </c>
      <c r="U39" s="392"/>
      <c r="V39" s="392" t="str">
        <f>O39</f>
        <v>Argentinië</v>
      </c>
      <c r="W39" s="392" t="s">
        <v>72</v>
      </c>
      <c r="Y39" s="109">
        <f t="shared" si="5"/>
        <v>0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6"/>
        <v>0</v>
      </c>
      <c r="AG39" s="108">
        <f t="shared" si="0"/>
        <v>0</v>
      </c>
      <c r="AH39" s="108">
        <f t="shared" si="1"/>
        <v>0</v>
      </c>
      <c r="AI39" s="108">
        <f t="shared" si="7"/>
        <v>0</v>
      </c>
      <c r="AJ39" s="108">
        <f t="shared" si="2"/>
        <v>0</v>
      </c>
      <c r="AK39" s="108">
        <f t="shared" si="3"/>
        <v>0</v>
      </c>
      <c r="AL39" s="108">
        <f t="shared" si="4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727">
        <v>33</v>
      </c>
      <c r="C40" s="728">
        <v>41813</v>
      </c>
      <c r="D40" s="729" t="s">
        <v>16</v>
      </c>
      <c r="E40" s="730" t="s">
        <v>9</v>
      </c>
      <c r="F40" s="731" t="s">
        <v>13</v>
      </c>
      <c r="G40" s="798">
        <v>3</v>
      </c>
      <c r="H40" s="730" t="s">
        <v>9</v>
      </c>
      <c r="I40" s="803">
        <v>3</v>
      </c>
      <c r="J40" s="732">
        <v>3</v>
      </c>
      <c r="K40" s="726">
        <v>1</v>
      </c>
      <c r="L40" s="726">
        <v>1</v>
      </c>
      <c r="M40" s="715"/>
      <c r="N40" s="715"/>
      <c r="O40" s="761" t="s">
        <v>30</v>
      </c>
      <c r="P40" s="762">
        <v>1</v>
      </c>
      <c r="Q40" s="762">
        <v>4</v>
      </c>
      <c r="R40" s="762">
        <v>-3</v>
      </c>
      <c r="S40" s="763">
        <v>1</v>
      </c>
      <c r="T40" s="808" t="s">
        <v>73</v>
      </c>
      <c r="U40" s="392"/>
      <c r="V40" s="392" t="str">
        <f>O40</f>
        <v>Bosnië H.</v>
      </c>
      <c r="W40" s="392" t="s">
        <v>73</v>
      </c>
      <c r="Y40" s="109">
        <f t="shared" si="5"/>
        <v>1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6"/>
        <v>1</v>
      </c>
      <c r="AG40" s="108">
        <f t="shared" si="0"/>
        <v>0</v>
      </c>
      <c r="AH40" s="108">
        <f t="shared" si="1"/>
        <v>1</v>
      </c>
      <c r="AI40" s="108">
        <f t="shared" si="7"/>
        <v>0</v>
      </c>
      <c r="AJ40" s="108">
        <f t="shared" si="2"/>
        <v>0</v>
      </c>
      <c r="AK40" s="108">
        <f t="shared" si="3"/>
        <v>0</v>
      </c>
      <c r="AL40" s="108">
        <f t="shared" si="4"/>
        <v>0</v>
      </c>
      <c r="AM40" s="120">
        <f>AO40</f>
        <v>0</v>
      </c>
      <c r="AN40" s="117" t="s">
        <v>30</v>
      </c>
      <c r="AO40" s="115">
        <f>IF(Uitslag!T40="",0,IF(T40=Uitslag!T40,10,0))</f>
        <v>0</v>
      </c>
    </row>
    <row r="41" spans="2:41" ht="15.75" thickBot="1">
      <c r="B41" s="733">
        <v>34</v>
      </c>
      <c r="C41" s="734">
        <v>41813</v>
      </c>
      <c r="D41" s="747" t="s">
        <v>14</v>
      </c>
      <c r="E41" s="736" t="s">
        <v>9</v>
      </c>
      <c r="F41" s="745" t="s">
        <v>15</v>
      </c>
      <c r="G41" s="799">
        <v>4</v>
      </c>
      <c r="H41" s="736" t="s">
        <v>9</v>
      </c>
      <c r="I41" s="804">
        <v>0</v>
      </c>
      <c r="J41" s="738">
        <v>1</v>
      </c>
      <c r="K41" s="726">
        <v>3</v>
      </c>
      <c r="L41" s="726">
        <v>0</v>
      </c>
      <c r="M41" s="715"/>
      <c r="N41" s="715"/>
      <c r="O41" s="761" t="s">
        <v>33</v>
      </c>
      <c r="P41" s="762">
        <v>4</v>
      </c>
      <c r="Q41" s="762">
        <v>2</v>
      </c>
      <c r="R41" s="762">
        <v>2</v>
      </c>
      <c r="S41" s="763">
        <v>5</v>
      </c>
      <c r="T41" s="808" t="s">
        <v>74</v>
      </c>
      <c r="U41" s="392"/>
      <c r="V41" s="392" t="str">
        <f>O41</f>
        <v>Iran</v>
      </c>
      <c r="W41" s="392" t="s">
        <v>74</v>
      </c>
      <c r="Y41" s="109">
        <f t="shared" si="5"/>
        <v>6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6"/>
        <v>6</v>
      </c>
      <c r="AG41" s="108">
        <f t="shared" si="0"/>
        <v>0</v>
      </c>
      <c r="AH41" s="108">
        <f t="shared" si="1"/>
        <v>1</v>
      </c>
      <c r="AI41" s="108">
        <f t="shared" si="7"/>
        <v>0</v>
      </c>
      <c r="AJ41" s="108">
        <f t="shared" si="2"/>
        <v>5</v>
      </c>
      <c r="AK41" s="108">
        <f t="shared" si="3"/>
        <v>0</v>
      </c>
      <c r="AL41" s="108">
        <f t="shared" si="4"/>
        <v>0</v>
      </c>
      <c r="AM41" s="120">
        <f>AO41</f>
        <v>0</v>
      </c>
      <c r="AN41" s="117" t="s">
        <v>33</v>
      </c>
      <c r="AO41" s="115">
        <f>IF(Uitslag!T41="",0,IF(T41=Uitslag!T41,10,0))</f>
        <v>0</v>
      </c>
    </row>
    <row r="42" spans="2:41" ht="15.75" thickBot="1">
      <c r="B42" s="733">
        <v>35</v>
      </c>
      <c r="C42" s="734">
        <v>41813</v>
      </c>
      <c r="D42" s="735" t="s">
        <v>12</v>
      </c>
      <c r="E42" s="736" t="s">
        <v>9</v>
      </c>
      <c r="F42" s="745" t="s">
        <v>8</v>
      </c>
      <c r="G42" s="799">
        <v>0</v>
      </c>
      <c r="H42" s="736" t="s">
        <v>9</v>
      </c>
      <c r="I42" s="804">
        <v>3</v>
      </c>
      <c r="J42" s="738">
        <v>2</v>
      </c>
      <c r="K42" s="726">
        <v>0</v>
      </c>
      <c r="L42" s="726">
        <v>3</v>
      </c>
      <c r="M42" s="715"/>
      <c r="N42" s="715"/>
      <c r="O42" s="764" t="s">
        <v>34</v>
      </c>
      <c r="P42" s="765">
        <v>1</v>
      </c>
      <c r="Q42" s="765">
        <v>4</v>
      </c>
      <c r="R42" s="765">
        <v>-3</v>
      </c>
      <c r="S42" s="766">
        <v>3</v>
      </c>
      <c r="T42" s="809" t="s">
        <v>75</v>
      </c>
      <c r="U42" s="392"/>
      <c r="V42" s="392" t="str">
        <f>O42</f>
        <v>Nigeria</v>
      </c>
      <c r="W42" s="392" t="s">
        <v>75</v>
      </c>
      <c r="Y42" s="109">
        <f t="shared" si="5"/>
        <v>5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6"/>
        <v>5</v>
      </c>
      <c r="AG42" s="108">
        <f t="shared" si="0"/>
        <v>0</v>
      </c>
      <c r="AH42" s="108">
        <f t="shared" si="1"/>
        <v>0</v>
      </c>
      <c r="AI42" s="108">
        <f t="shared" si="7"/>
        <v>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0</v>
      </c>
      <c r="AN42" s="118" t="s">
        <v>34</v>
      </c>
      <c r="AO42" s="115">
        <f>IF(Uitslag!T42="",0,IF(T42=Uitslag!T42,10,0))</f>
        <v>0</v>
      </c>
    </row>
    <row r="43" spans="2:41" ht="15.75" thickBot="1">
      <c r="B43" s="739">
        <v>36</v>
      </c>
      <c r="C43" s="740">
        <v>41813</v>
      </c>
      <c r="D43" s="741" t="s">
        <v>10</v>
      </c>
      <c r="E43" s="742" t="s">
        <v>9</v>
      </c>
      <c r="F43" s="743" t="s">
        <v>11</v>
      </c>
      <c r="G43" s="800">
        <v>2</v>
      </c>
      <c r="H43" s="742" t="s">
        <v>9</v>
      </c>
      <c r="I43" s="805">
        <v>2</v>
      </c>
      <c r="J43" s="744">
        <v>3</v>
      </c>
      <c r="K43" s="726">
        <v>1</v>
      </c>
      <c r="L43" s="726">
        <v>1</v>
      </c>
      <c r="M43" s="715"/>
      <c r="N43" s="715"/>
      <c r="O43" s="755"/>
      <c r="P43" s="756"/>
      <c r="Q43" s="756"/>
      <c r="R43" s="756"/>
      <c r="S43" s="756"/>
      <c r="T43" s="756"/>
      <c r="U43" s="392"/>
      <c r="V43" s="392"/>
      <c r="W43" s="392"/>
      <c r="Y43" s="109">
        <f t="shared" si="5"/>
        <v>0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6"/>
        <v>0</v>
      </c>
      <c r="AG43" s="108">
        <f t="shared" si="0"/>
        <v>0</v>
      </c>
      <c r="AH43" s="108">
        <f t="shared" si="1"/>
        <v>0</v>
      </c>
      <c r="AI43" s="108">
        <f t="shared" si="7"/>
        <v>0</v>
      </c>
      <c r="AJ43" s="108">
        <f t="shared" si="2"/>
        <v>0</v>
      </c>
      <c r="AK43" s="108">
        <f t="shared" si="3"/>
        <v>0</v>
      </c>
      <c r="AL43" s="108">
        <f t="shared" si="4"/>
        <v>0</v>
      </c>
      <c r="AN43" s="392"/>
      <c r="AO43" s="393"/>
    </row>
    <row r="44" spans="2:41" ht="15.75" thickBot="1">
      <c r="B44" s="727">
        <v>37</v>
      </c>
      <c r="C44" s="728">
        <v>41814</v>
      </c>
      <c r="D44" s="729" t="s">
        <v>22</v>
      </c>
      <c r="E44" s="730" t="s">
        <v>9</v>
      </c>
      <c r="F44" s="731" t="s">
        <v>19</v>
      </c>
      <c r="G44" s="798">
        <v>3</v>
      </c>
      <c r="H44" s="730" t="s">
        <v>9</v>
      </c>
      <c r="I44" s="803">
        <v>1</v>
      </c>
      <c r="J44" s="732">
        <v>1</v>
      </c>
      <c r="K44" s="726">
        <v>3</v>
      </c>
      <c r="L44" s="726">
        <v>0</v>
      </c>
      <c r="M44" s="715"/>
      <c r="N44" s="715"/>
      <c r="O44" s="785" t="s">
        <v>76</v>
      </c>
      <c r="P44" s="786" t="s">
        <v>42</v>
      </c>
      <c r="Q44" s="786" t="s">
        <v>43</v>
      </c>
      <c r="R44" s="787" t="s">
        <v>44</v>
      </c>
      <c r="S44" s="788" t="s">
        <v>45</v>
      </c>
      <c r="T44" s="789" t="s">
        <v>46</v>
      </c>
      <c r="U44" s="392"/>
      <c r="V44" s="392"/>
      <c r="W44" s="392"/>
      <c r="Y44" s="109">
        <f t="shared" si="5"/>
        <v>1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6"/>
        <v>1</v>
      </c>
      <c r="AG44" s="108">
        <f t="shared" si="0"/>
        <v>0</v>
      </c>
      <c r="AH44" s="108">
        <f t="shared" si="1"/>
        <v>1</v>
      </c>
      <c r="AI44" s="108">
        <f t="shared" si="7"/>
        <v>0</v>
      </c>
      <c r="AJ44" s="108">
        <f t="shared" si="2"/>
        <v>0</v>
      </c>
      <c r="AK44" s="108">
        <f t="shared" si="3"/>
        <v>0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733">
        <v>38</v>
      </c>
      <c r="C45" s="734">
        <v>41814</v>
      </c>
      <c r="D45" s="735" t="s">
        <v>20</v>
      </c>
      <c r="E45" s="736" t="s">
        <v>9</v>
      </c>
      <c r="F45" s="745" t="s">
        <v>21</v>
      </c>
      <c r="G45" s="799">
        <v>1</v>
      </c>
      <c r="H45" s="736" t="s">
        <v>9</v>
      </c>
      <c r="I45" s="804">
        <v>4</v>
      </c>
      <c r="J45" s="738">
        <v>2</v>
      </c>
      <c r="K45" s="726">
        <v>0</v>
      </c>
      <c r="L45" s="726">
        <v>3</v>
      </c>
      <c r="M45" s="715"/>
      <c r="N45" s="715"/>
      <c r="O45" s="757" t="s">
        <v>31</v>
      </c>
      <c r="P45" s="758">
        <v>10</v>
      </c>
      <c r="Q45" s="758">
        <v>5</v>
      </c>
      <c r="R45" s="759">
        <v>5</v>
      </c>
      <c r="S45" s="760">
        <v>6</v>
      </c>
      <c r="T45" s="807" t="s">
        <v>77</v>
      </c>
      <c r="U45" s="392"/>
      <c r="V45" s="392" t="str">
        <f>O45</f>
        <v>Duitsland</v>
      </c>
      <c r="W45" s="392" t="s">
        <v>77</v>
      </c>
      <c r="Y45" s="109">
        <f t="shared" si="5"/>
        <v>0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6"/>
        <v>0</v>
      </c>
      <c r="AG45" s="108">
        <f t="shared" si="0"/>
        <v>0</v>
      </c>
      <c r="AH45" s="108">
        <f t="shared" si="1"/>
        <v>0</v>
      </c>
      <c r="AI45" s="108">
        <f t="shared" si="7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733">
        <v>39</v>
      </c>
      <c r="C46" s="734">
        <v>41814</v>
      </c>
      <c r="D46" s="735" t="s">
        <v>24</v>
      </c>
      <c r="E46" s="736" t="s">
        <v>9</v>
      </c>
      <c r="F46" s="745" t="s">
        <v>17</v>
      </c>
      <c r="G46" s="799">
        <v>4</v>
      </c>
      <c r="H46" s="736" t="s">
        <v>9</v>
      </c>
      <c r="I46" s="804">
        <v>2</v>
      </c>
      <c r="J46" s="738">
        <v>1</v>
      </c>
      <c r="K46" s="726">
        <v>3</v>
      </c>
      <c r="L46" s="726">
        <v>0</v>
      </c>
      <c r="M46" s="715"/>
      <c r="N46" s="715"/>
      <c r="O46" s="761" t="s">
        <v>32</v>
      </c>
      <c r="P46" s="762">
        <v>9</v>
      </c>
      <c r="Q46" s="762">
        <v>3</v>
      </c>
      <c r="R46" s="762">
        <v>6</v>
      </c>
      <c r="S46" s="763">
        <v>9</v>
      </c>
      <c r="T46" s="808" t="s">
        <v>78</v>
      </c>
      <c r="U46" s="392"/>
      <c r="V46" s="392" t="str">
        <f>O46</f>
        <v>Portugal</v>
      </c>
      <c r="W46" s="392" t="s">
        <v>78</v>
      </c>
      <c r="Y46" s="109">
        <f t="shared" si="5"/>
        <v>0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6"/>
        <v>0</v>
      </c>
      <c r="AG46" s="108">
        <f t="shared" si="0"/>
        <v>0</v>
      </c>
      <c r="AH46" s="108">
        <f t="shared" si="1"/>
        <v>0</v>
      </c>
      <c r="AI46" s="108">
        <f t="shared" si="7"/>
        <v>0</v>
      </c>
      <c r="AJ46" s="108">
        <f t="shared" si="2"/>
        <v>0</v>
      </c>
      <c r="AK46" s="108">
        <f t="shared" si="3"/>
        <v>0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739">
        <v>40</v>
      </c>
      <c r="C47" s="740">
        <v>41814</v>
      </c>
      <c r="D47" s="741" t="s">
        <v>18</v>
      </c>
      <c r="E47" s="742" t="s">
        <v>9</v>
      </c>
      <c r="F47" s="743" t="s">
        <v>23</v>
      </c>
      <c r="G47" s="800">
        <v>2</v>
      </c>
      <c r="H47" s="742" t="s">
        <v>9</v>
      </c>
      <c r="I47" s="805">
        <v>1</v>
      </c>
      <c r="J47" s="744">
        <v>1</v>
      </c>
      <c r="K47" s="726">
        <v>3</v>
      </c>
      <c r="L47" s="726">
        <v>0</v>
      </c>
      <c r="M47" s="715"/>
      <c r="N47" s="715"/>
      <c r="O47" s="761" t="s">
        <v>35</v>
      </c>
      <c r="P47" s="762">
        <v>2</v>
      </c>
      <c r="Q47" s="762">
        <v>7</v>
      </c>
      <c r="R47" s="762">
        <v>-5</v>
      </c>
      <c r="S47" s="763">
        <v>1</v>
      </c>
      <c r="T47" s="808" t="s">
        <v>80</v>
      </c>
      <c r="U47" s="392"/>
      <c r="V47" s="392" t="str">
        <f>O47</f>
        <v>Ghana</v>
      </c>
      <c r="W47" s="392" t="s">
        <v>79</v>
      </c>
      <c r="Y47" s="109">
        <f t="shared" si="5"/>
        <v>10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6"/>
        <v>10</v>
      </c>
      <c r="AG47" s="108">
        <f t="shared" si="0"/>
        <v>1</v>
      </c>
      <c r="AH47" s="108">
        <f t="shared" si="1"/>
        <v>1</v>
      </c>
      <c r="AI47" s="108">
        <f t="shared" si="7"/>
        <v>10</v>
      </c>
      <c r="AJ47" s="108">
        <f t="shared" si="2"/>
        <v>5</v>
      </c>
      <c r="AK47" s="108">
        <f t="shared" si="3"/>
        <v>0</v>
      </c>
      <c r="AL47" s="108">
        <f t="shared" si="4"/>
        <v>0</v>
      </c>
      <c r="AM47" s="120">
        <f>AO47</f>
        <v>10</v>
      </c>
      <c r="AN47" s="117" t="s">
        <v>35</v>
      </c>
      <c r="AO47" s="115">
        <f>IF(Uitslag!T47="",0,IF(T47=Uitslag!T47,10,0))</f>
        <v>10</v>
      </c>
    </row>
    <row r="48" spans="2:41" ht="15.75" thickBot="1">
      <c r="B48" s="727">
        <v>41</v>
      </c>
      <c r="C48" s="728">
        <v>41815</v>
      </c>
      <c r="D48" s="729" t="s">
        <v>34</v>
      </c>
      <c r="E48" s="730" t="s">
        <v>9</v>
      </c>
      <c r="F48" s="731" t="s">
        <v>29</v>
      </c>
      <c r="G48" s="798">
        <v>0</v>
      </c>
      <c r="H48" s="730" t="s">
        <v>9</v>
      </c>
      <c r="I48" s="803">
        <v>2</v>
      </c>
      <c r="J48" s="732">
        <v>2</v>
      </c>
      <c r="K48" s="726">
        <v>0</v>
      </c>
      <c r="L48" s="726">
        <v>3</v>
      </c>
      <c r="M48" s="715"/>
      <c r="N48" s="715"/>
      <c r="O48" s="764" t="s">
        <v>36</v>
      </c>
      <c r="P48" s="765">
        <v>3</v>
      </c>
      <c r="Q48" s="765">
        <v>9</v>
      </c>
      <c r="R48" s="765">
        <v>-6</v>
      </c>
      <c r="S48" s="766">
        <v>1</v>
      </c>
      <c r="T48" s="809" t="s">
        <v>79</v>
      </c>
      <c r="U48" s="392"/>
      <c r="V48" s="392" t="str">
        <f>O48</f>
        <v>Verenigde Staten</v>
      </c>
      <c r="W48" s="392" t="s">
        <v>80</v>
      </c>
      <c r="Y48" s="109">
        <f t="shared" si="5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6"/>
        <v>5</v>
      </c>
      <c r="AG48" s="108">
        <f t="shared" si="0"/>
        <v>0</v>
      </c>
      <c r="AH48" s="108">
        <f t="shared" si="1"/>
        <v>0</v>
      </c>
      <c r="AI48" s="108">
        <f t="shared" si="7"/>
        <v>0</v>
      </c>
      <c r="AJ48" s="108">
        <f t="shared" si="2"/>
        <v>0</v>
      </c>
      <c r="AK48" s="108">
        <f t="shared" si="3"/>
        <v>5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733">
        <v>42</v>
      </c>
      <c r="C49" s="734">
        <v>41815</v>
      </c>
      <c r="D49" s="735" t="s">
        <v>30</v>
      </c>
      <c r="E49" s="736" t="s">
        <v>9</v>
      </c>
      <c r="F49" s="745" t="s">
        <v>33</v>
      </c>
      <c r="G49" s="799">
        <v>0</v>
      </c>
      <c r="H49" s="736" t="s">
        <v>9</v>
      </c>
      <c r="I49" s="804">
        <v>0</v>
      </c>
      <c r="J49" s="738">
        <v>3</v>
      </c>
      <c r="K49" s="726">
        <v>1</v>
      </c>
      <c r="L49" s="726">
        <v>1</v>
      </c>
      <c r="M49" s="715"/>
      <c r="N49" s="715"/>
      <c r="O49" s="755"/>
      <c r="P49" s="756"/>
      <c r="Q49" s="756"/>
      <c r="R49" s="756"/>
      <c r="S49" s="756"/>
      <c r="T49" s="756"/>
      <c r="U49" s="392"/>
      <c r="V49" s="392"/>
      <c r="W49" s="392"/>
      <c r="Y49" s="109">
        <f t="shared" si="5"/>
        <v>0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6"/>
        <v>0</v>
      </c>
      <c r="AG49" s="108">
        <f t="shared" si="0"/>
        <v>0</v>
      </c>
      <c r="AH49" s="108">
        <f t="shared" si="1"/>
        <v>0</v>
      </c>
      <c r="AI49" s="108">
        <f t="shared" si="7"/>
        <v>0</v>
      </c>
      <c r="AJ49" s="108">
        <f t="shared" si="2"/>
        <v>0</v>
      </c>
      <c r="AK49" s="108">
        <f t="shared" si="3"/>
        <v>0</v>
      </c>
      <c r="AL49" s="108">
        <f t="shared" si="4"/>
        <v>0</v>
      </c>
      <c r="AN49" s="392"/>
      <c r="AO49" s="393"/>
    </row>
    <row r="50" spans="2:54" ht="15.75" thickBot="1">
      <c r="B50" s="733">
        <v>43</v>
      </c>
      <c r="C50" s="734">
        <v>41815</v>
      </c>
      <c r="D50" s="735" t="s">
        <v>28</v>
      </c>
      <c r="E50" s="736" t="s">
        <v>9</v>
      </c>
      <c r="F50" s="745" t="s">
        <v>25</v>
      </c>
      <c r="G50" s="799">
        <v>1</v>
      </c>
      <c r="H50" s="736" t="s">
        <v>9</v>
      </c>
      <c r="I50" s="804">
        <v>2</v>
      </c>
      <c r="J50" s="738">
        <v>2</v>
      </c>
      <c r="K50" s="726">
        <v>0</v>
      </c>
      <c r="L50" s="726">
        <v>3</v>
      </c>
      <c r="M50" s="715"/>
      <c r="N50" s="715"/>
      <c r="O50" s="785" t="s">
        <v>81</v>
      </c>
      <c r="P50" s="786" t="s">
        <v>42</v>
      </c>
      <c r="Q50" s="786" t="s">
        <v>43</v>
      </c>
      <c r="R50" s="787" t="s">
        <v>44</v>
      </c>
      <c r="S50" s="788" t="s">
        <v>45</v>
      </c>
      <c r="T50" s="789" t="s">
        <v>46</v>
      </c>
      <c r="U50" s="392"/>
      <c r="V50" s="392"/>
      <c r="W50" s="392"/>
      <c r="Y50" s="109">
        <f t="shared" si="5"/>
        <v>5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6"/>
        <v>5</v>
      </c>
      <c r="AG50" s="108">
        <f t="shared" si="0"/>
        <v>0</v>
      </c>
      <c r="AH50" s="108">
        <f t="shared" si="1"/>
        <v>0</v>
      </c>
      <c r="AI50" s="108">
        <f t="shared" si="7"/>
        <v>0</v>
      </c>
      <c r="AJ50" s="108">
        <f t="shared" si="2"/>
        <v>0</v>
      </c>
      <c r="AK50" s="108">
        <f t="shared" si="3"/>
        <v>5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739">
        <v>44</v>
      </c>
      <c r="C51" s="740">
        <v>41815</v>
      </c>
      <c r="D51" s="741" t="s">
        <v>26</v>
      </c>
      <c r="E51" s="742" t="s">
        <v>9</v>
      </c>
      <c r="F51" s="743" t="s">
        <v>27</v>
      </c>
      <c r="G51" s="800">
        <v>2</v>
      </c>
      <c r="H51" s="742" t="s">
        <v>9</v>
      </c>
      <c r="I51" s="805">
        <v>3</v>
      </c>
      <c r="J51" s="744">
        <v>2</v>
      </c>
      <c r="K51" s="726">
        <v>0</v>
      </c>
      <c r="L51" s="726">
        <v>3</v>
      </c>
      <c r="M51" s="715"/>
      <c r="N51" s="715"/>
      <c r="O51" s="757" t="s">
        <v>37</v>
      </c>
      <c r="P51" s="758">
        <v>7</v>
      </c>
      <c r="Q51" s="758">
        <v>1</v>
      </c>
      <c r="R51" s="759">
        <v>6</v>
      </c>
      <c r="S51" s="760">
        <v>9</v>
      </c>
      <c r="T51" s="807" t="s">
        <v>82</v>
      </c>
      <c r="U51" s="392"/>
      <c r="V51" s="392" t="str">
        <f>O51</f>
        <v>België</v>
      </c>
      <c r="W51" s="392" t="s">
        <v>82</v>
      </c>
      <c r="Y51" s="109">
        <f t="shared" si="5"/>
        <v>0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6"/>
        <v>0</v>
      </c>
      <c r="AG51" s="108">
        <f t="shared" si="0"/>
        <v>0</v>
      </c>
      <c r="AH51" s="108">
        <f t="shared" si="1"/>
        <v>0</v>
      </c>
      <c r="AI51" s="108">
        <f t="shared" si="7"/>
        <v>0</v>
      </c>
      <c r="AJ51" s="108">
        <f t="shared" si="2"/>
        <v>0</v>
      </c>
      <c r="AK51" s="108">
        <f t="shared" si="3"/>
        <v>0</v>
      </c>
      <c r="AL51" s="108">
        <f t="shared" si="4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733">
        <v>45</v>
      </c>
      <c r="C52" s="734">
        <v>41816</v>
      </c>
      <c r="D52" s="735" t="s">
        <v>36</v>
      </c>
      <c r="E52" s="736" t="s">
        <v>9</v>
      </c>
      <c r="F52" s="745" t="s">
        <v>31</v>
      </c>
      <c r="G52" s="799">
        <v>1</v>
      </c>
      <c r="H52" s="736" t="s">
        <v>9</v>
      </c>
      <c r="I52" s="804">
        <v>4</v>
      </c>
      <c r="J52" s="732">
        <v>2</v>
      </c>
      <c r="K52" s="726">
        <v>0</v>
      </c>
      <c r="L52" s="726">
        <v>3</v>
      </c>
      <c r="M52" s="715"/>
      <c r="N52" s="715"/>
      <c r="O52" s="761" t="s">
        <v>38</v>
      </c>
      <c r="P52" s="762">
        <v>3</v>
      </c>
      <c r="Q52" s="762">
        <v>5</v>
      </c>
      <c r="R52" s="762">
        <v>-2</v>
      </c>
      <c r="S52" s="763">
        <v>2</v>
      </c>
      <c r="T52" s="808" t="s">
        <v>84</v>
      </c>
      <c r="U52" s="392"/>
      <c r="V52" s="392" t="str">
        <f>O52</f>
        <v>Algerije</v>
      </c>
      <c r="W52" s="392" t="s">
        <v>83</v>
      </c>
      <c r="Y52" s="109">
        <f t="shared" si="5"/>
        <v>5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6"/>
        <v>5</v>
      </c>
      <c r="AG52" s="108">
        <f t="shared" si="0"/>
        <v>0</v>
      </c>
      <c r="AH52" s="108">
        <f t="shared" si="1"/>
        <v>0</v>
      </c>
      <c r="AI52" s="108">
        <f t="shared" si="7"/>
        <v>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733">
        <v>46</v>
      </c>
      <c r="C53" s="734">
        <v>41816</v>
      </c>
      <c r="D53" s="735" t="s">
        <v>32</v>
      </c>
      <c r="E53" s="736" t="s">
        <v>9</v>
      </c>
      <c r="F53" s="745" t="s">
        <v>35</v>
      </c>
      <c r="G53" s="799">
        <v>2</v>
      </c>
      <c r="H53" s="736" t="s">
        <v>9</v>
      </c>
      <c r="I53" s="804">
        <v>0</v>
      </c>
      <c r="J53" s="738">
        <v>1</v>
      </c>
      <c r="K53" s="726">
        <v>3</v>
      </c>
      <c r="L53" s="726">
        <v>0</v>
      </c>
      <c r="M53" s="715"/>
      <c r="N53" s="715"/>
      <c r="O53" s="761" t="s">
        <v>39</v>
      </c>
      <c r="P53" s="762">
        <v>3</v>
      </c>
      <c r="Q53" s="762">
        <v>4</v>
      </c>
      <c r="R53" s="762">
        <v>-1</v>
      </c>
      <c r="S53" s="763">
        <v>4</v>
      </c>
      <c r="T53" s="808" t="s">
        <v>83</v>
      </c>
      <c r="U53" s="392"/>
      <c r="V53" s="392" t="str">
        <f>O53</f>
        <v>Rusland</v>
      </c>
      <c r="W53" s="392" t="s">
        <v>84</v>
      </c>
      <c r="Y53" s="109">
        <f t="shared" si="5"/>
        <v>6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6"/>
        <v>6</v>
      </c>
      <c r="AG53" s="108">
        <f t="shared" si="0"/>
        <v>1</v>
      </c>
      <c r="AH53" s="108">
        <f t="shared" si="1"/>
        <v>0</v>
      </c>
      <c r="AI53" s="108">
        <f t="shared" si="7"/>
        <v>0</v>
      </c>
      <c r="AJ53" s="108">
        <f t="shared" si="2"/>
        <v>5</v>
      </c>
      <c r="AK53" s="108">
        <f t="shared" si="3"/>
        <v>0</v>
      </c>
      <c r="AL53" s="108">
        <f t="shared" si="4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733">
        <v>47</v>
      </c>
      <c r="C54" s="734">
        <v>41816</v>
      </c>
      <c r="D54" s="735" t="s">
        <v>40</v>
      </c>
      <c r="E54" s="736" t="s">
        <v>9</v>
      </c>
      <c r="F54" s="745" t="s">
        <v>37</v>
      </c>
      <c r="G54" s="799">
        <v>0</v>
      </c>
      <c r="H54" s="736" t="s">
        <v>9</v>
      </c>
      <c r="I54" s="804">
        <v>2</v>
      </c>
      <c r="J54" s="738">
        <v>2</v>
      </c>
      <c r="K54" s="726">
        <v>0</v>
      </c>
      <c r="L54" s="726">
        <v>3</v>
      </c>
      <c r="M54" s="715"/>
      <c r="N54" s="715"/>
      <c r="O54" s="764" t="s">
        <v>40</v>
      </c>
      <c r="P54" s="765">
        <v>2</v>
      </c>
      <c r="Q54" s="765">
        <v>5</v>
      </c>
      <c r="R54" s="765">
        <v>-3</v>
      </c>
      <c r="S54" s="766">
        <v>1</v>
      </c>
      <c r="T54" s="809" t="s">
        <v>85</v>
      </c>
      <c r="U54" s="392"/>
      <c r="V54" s="392" t="str">
        <f>O54</f>
        <v>Zuid Korea</v>
      </c>
      <c r="W54" s="392" t="s">
        <v>85</v>
      </c>
      <c r="Y54" s="109">
        <f t="shared" si="5"/>
        <v>6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6"/>
        <v>6</v>
      </c>
      <c r="AG54" s="108">
        <f t="shared" si="0"/>
        <v>1</v>
      </c>
      <c r="AH54" s="108">
        <f t="shared" si="1"/>
        <v>0</v>
      </c>
      <c r="AI54" s="108">
        <f t="shared" si="7"/>
        <v>0</v>
      </c>
      <c r="AJ54" s="108">
        <f t="shared" si="2"/>
        <v>0</v>
      </c>
      <c r="AK54" s="108">
        <f t="shared" si="3"/>
        <v>5</v>
      </c>
      <c r="AL54" s="108">
        <f t="shared" si="4"/>
        <v>0</v>
      </c>
      <c r="AM54" s="120">
        <f>AO54</f>
        <v>10</v>
      </c>
      <c r="AN54" s="118" t="s">
        <v>40</v>
      </c>
      <c r="AO54" s="115">
        <f>IF(Uitslag!T54="",0,IF(T54=Uitslag!T54,10,0))</f>
        <v>10</v>
      </c>
    </row>
    <row r="55" spans="2:54" ht="15.75" thickBot="1">
      <c r="B55" s="748">
        <v>48</v>
      </c>
      <c r="C55" s="749">
        <v>41816</v>
      </c>
      <c r="D55" s="750" t="s">
        <v>38</v>
      </c>
      <c r="E55" s="751" t="s">
        <v>9</v>
      </c>
      <c r="F55" s="752" t="s">
        <v>39</v>
      </c>
      <c r="G55" s="801">
        <v>1</v>
      </c>
      <c r="H55" s="751" t="s">
        <v>9</v>
      </c>
      <c r="I55" s="806">
        <v>1</v>
      </c>
      <c r="J55" s="753">
        <v>3</v>
      </c>
      <c r="K55" s="726">
        <v>1</v>
      </c>
      <c r="L55" s="726">
        <v>1</v>
      </c>
      <c r="M55" s="715"/>
      <c r="N55" s="715"/>
      <c r="O55" s="755"/>
      <c r="P55" s="756"/>
      <c r="Q55" s="756"/>
      <c r="R55" s="756"/>
      <c r="S55" s="756"/>
      <c r="T55" s="756"/>
      <c r="U55" s="392"/>
      <c r="V55" s="392"/>
      <c r="W55" s="392"/>
      <c r="Y55" s="109">
        <f t="shared" si="5"/>
        <v>10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6"/>
        <v>10</v>
      </c>
      <c r="AG55" s="108">
        <f t="shared" si="0"/>
        <v>1</v>
      </c>
      <c r="AH55" s="108">
        <f t="shared" si="1"/>
        <v>1</v>
      </c>
      <c r="AI55" s="108">
        <f t="shared" si="7"/>
        <v>10</v>
      </c>
      <c r="AJ55" s="108">
        <f t="shared" si="2"/>
        <v>0</v>
      </c>
      <c r="AK55" s="108">
        <f t="shared" si="3"/>
        <v>0</v>
      </c>
      <c r="AL55" s="108">
        <f t="shared" si="4"/>
        <v>5</v>
      </c>
    </row>
    <row r="56" spans="2:54" ht="15.75" thickBot="1">
      <c r="B56" s="716"/>
      <c r="C56" s="754"/>
      <c r="D56" s="755"/>
      <c r="E56" s="716"/>
      <c r="F56" s="755"/>
      <c r="G56" s="716"/>
      <c r="H56" s="716"/>
      <c r="I56" s="716"/>
      <c r="J56" s="716"/>
      <c r="K56" s="716"/>
      <c r="L56" s="716"/>
      <c r="M56" s="716"/>
      <c r="N56" s="715"/>
      <c r="O56" s="715"/>
      <c r="P56" s="715"/>
      <c r="Q56" s="715"/>
      <c r="R56" s="715"/>
      <c r="S56" s="715"/>
      <c r="T56" s="715"/>
      <c r="BB56" s="136" t="s">
        <v>141</v>
      </c>
    </row>
    <row r="57" spans="2:54">
      <c r="B57" s="907" t="s">
        <v>86</v>
      </c>
      <c r="C57" s="908"/>
      <c r="D57" s="908"/>
      <c r="E57" s="908"/>
      <c r="F57" s="908"/>
      <c r="G57" s="908"/>
      <c r="H57" s="908"/>
      <c r="I57" s="908"/>
      <c r="J57" s="790"/>
      <c r="K57" s="716"/>
      <c r="L57" s="716"/>
      <c r="M57" s="716"/>
      <c r="N57" s="715"/>
      <c r="O57" s="916" t="s">
        <v>108</v>
      </c>
      <c r="P57" s="917"/>
      <c r="Q57" s="917"/>
      <c r="R57" s="917"/>
      <c r="S57" s="917"/>
      <c r="T57" s="917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791" t="s">
        <v>1</v>
      </c>
      <c r="C58" s="792" t="s">
        <v>2</v>
      </c>
      <c r="D58" s="826" t="s">
        <v>3</v>
      </c>
      <c r="E58" s="794"/>
      <c r="F58" s="795" t="s">
        <v>4</v>
      </c>
      <c r="G58" s="913" t="s">
        <v>5</v>
      </c>
      <c r="H58" s="914"/>
      <c r="I58" s="915"/>
      <c r="J58" s="796" t="s">
        <v>6</v>
      </c>
      <c r="K58" s="716"/>
      <c r="L58" s="716"/>
      <c r="M58" s="716"/>
      <c r="N58" s="715"/>
      <c r="O58" s="821">
        <v>1</v>
      </c>
      <c r="P58" s="877" t="s">
        <v>224</v>
      </c>
      <c r="Q58" s="877"/>
      <c r="R58" s="877"/>
      <c r="S58" s="877"/>
      <c r="T58" s="878"/>
      <c r="V58" s="352" t="s">
        <v>132</v>
      </c>
      <c r="W58" s="352" t="s">
        <v>124</v>
      </c>
      <c r="X58" s="352" t="str">
        <f t="shared" ref="X58:X98" si="8">CONCATENATE(W58," ",V58)</f>
        <v>Jeroen Zoet (k)</v>
      </c>
      <c r="Y58" s="113" t="s">
        <v>91</v>
      </c>
      <c r="Z58" s="352" t="str">
        <f>IF(K58=""," ",VLOOKUP(K58,$T$9:$V$54,3,FALSE))</f>
        <v xml:space="preserve"> </v>
      </c>
      <c r="AA58" s="352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9">IF(P58="","",COUNTIF($AZ$58:$AZ$68,P58)*3)</f>
        <v>3</v>
      </c>
      <c r="BB58" s="139">
        <f>BA58</f>
        <v>3</v>
      </c>
    </row>
    <row r="59" spans="2:54">
      <c r="B59" s="727">
        <v>49</v>
      </c>
      <c r="C59" s="828">
        <v>41818</v>
      </c>
      <c r="D59" s="822" t="s">
        <v>8</v>
      </c>
      <c r="E59" s="730" t="s">
        <v>9</v>
      </c>
      <c r="F59" s="769" t="s">
        <v>13</v>
      </c>
      <c r="G59" s="798">
        <v>2</v>
      </c>
      <c r="H59" s="730" t="s">
        <v>9</v>
      </c>
      <c r="I59" s="810">
        <v>2</v>
      </c>
      <c r="J59" s="811">
        <v>1</v>
      </c>
      <c r="K59" s="770" t="s">
        <v>48</v>
      </c>
      <c r="L59" s="770" t="s">
        <v>53</v>
      </c>
      <c r="M59" s="770">
        <v>1</v>
      </c>
      <c r="N59" s="715"/>
      <c r="O59" s="821">
        <v>2</v>
      </c>
      <c r="P59" s="877" t="s">
        <v>220</v>
      </c>
      <c r="Q59" s="877"/>
      <c r="R59" s="877"/>
      <c r="S59" s="877"/>
      <c r="T59" s="878"/>
      <c r="V59" s="352" t="s">
        <v>132</v>
      </c>
      <c r="W59" s="352" t="s">
        <v>111</v>
      </c>
      <c r="X59" s="352" t="str">
        <f t="shared" si="8"/>
        <v>Jasper Cillessen (k)</v>
      </c>
      <c r="Y59" s="109">
        <f t="shared" ref="Y59:Y66" si="10">AF59</f>
        <v>5</v>
      </c>
      <c r="Z59" s="352" t="str">
        <f t="shared" ref="Z59:AA65" si="11">IF(K59=""," ",VLOOKUP(K59,$T$9:$V$54,3,FALSE))</f>
        <v>Brazilië</v>
      </c>
      <c r="AA59" s="352" t="str">
        <f t="shared" si="11"/>
        <v>Spanje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2">IF(OR(AC59="",AD59=""),0,(IF(SUM(AG59:AL59)&gt;10,10,SUM(AG59:AL59))))</f>
        <v>5</v>
      </c>
      <c r="AG59" s="108">
        <f t="shared" ref="AG59:AG66" si="13">IF(AC59="",0,(IF(G59=AC59,1,0)))</f>
        <v>0</v>
      </c>
      <c r="AH59" s="108">
        <f t="shared" ref="AH59:AH66" si="14">IF(AD59="",0,(IF(I59=AD59,1,0)))</f>
        <v>0</v>
      </c>
      <c r="AI59" s="108">
        <f t="shared" ref="AI59:AI66" si="15">IF(AND(AG59=1,AH59=1),10,0)</f>
        <v>0</v>
      </c>
      <c r="AJ59" s="108">
        <f t="shared" ref="AJ59:AJ66" si="16">IF(AND(G59&gt;I59,AC59&gt;AD59),5,0)</f>
        <v>0</v>
      </c>
      <c r="AK59" s="108">
        <f t="shared" ref="AK59:AK66" si="17">IF(AND(G59&lt;I59,AC59&lt;AD59),5,0)</f>
        <v>0</v>
      </c>
      <c r="AL59" s="108">
        <f t="shared" ref="AL59:AL66" si="18">IF(AND(G59=I59,AC59=AD59),5,0)</f>
        <v>5</v>
      </c>
      <c r="AZ59" s="138" t="str">
        <f>Uitslag!P59</f>
        <v>Daryl Janmaat (v)</v>
      </c>
      <c r="BA59" s="140">
        <f t="shared" si="9"/>
        <v>3</v>
      </c>
      <c r="BB59" s="139">
        <f t="shared" ref="BB59:BB68" si="19">BA59</f>
        <v>3</v>
      </c>
    </row>
    <row r="60" spans="2:54">
      <c r="B60" s="739">
        <v>50</v>
      </c>
      <c r="C60" s="829">
        <v>41818</v>
      </c>
      <c r="D60" s="823" t="s">
        <v>18</v>
      </c>
      <c r="E60" s="742" t="s">
        <v>9</v>
      </c>
      <c r="F60" s="772" t="s">
        <v>21</v>
      </c>
      <c r="G60" s="800">
        <v>1</v>
      </c>
      <c r="H60" s="742" t="s">
        <v>9</v>
      </c>
      <c r="I60" s="812">
        <v>2</v>
      </c>
      <c r="J60" s="813">
        <v>2</v>
      </c>
      <c r="K60" s="770" t="s">
        <v>57</v>
      </c>
      <c r="L60" s="770" t="s">
        <v>63</v>
      </c>
      <c r="M60" s="770">
        <v>2</v>
      </c>
      <c r="N60" s="715"/>
      <c r="O60" s="821">
        <v>3</v>
      </c>
      <c r="P60" s="877" t="s">
        <v>225</v>
      </c>
      <c r="Q60" s="877"/>
      <c r="R60" s="877"/>
      <c r="S60" s="877"/>
      <c r="T60" s="878"/>
      <c r="V60" s="352" t="s">
        <v>132</v>
      </c>
      <c r="W60" s="352" t="s">
        <v>110</v>
      </c>
      <c r="X60" s="352" t="str">
        <f t="shared" si="8"/>
        <v>Kenneth Vermeer (k)</v>
      </c>
      <c r="Y60" s="109">
        <f t="shared" si="10"/>
        <v>0</v>
      </c>
      <c r="Z60" s="352" t="str">
        <f t="shared" si="11"/>
        <v>Griekenland</v>
      </c>
      <c r="AA60" s="352" t="str">
        <f t="shared" si="11"/>
        <v>Engeland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2"/>
        <v>0</v>
      </c>
      <c r="AG60" s="108">
        <f t="shared" si="13"/>
        <v>0</v>
      </c>
      <c r="AH60" s="108">
        <f t="shared" si="14"/>
        <v>0</v>
      </c>
      <c r="AI60" s="108">
        <f t="shared" si="15"/>
        <v>0</v>
      </c>
      <c r="AJ60" s="108">
        <f t="shared" si="16"/>
        <v>0</v>
      </c>
      <c r="AK60" s="108">
        <f t="shared" si="17"/>
        <v>0</v>
      </c>
      <c r="AL60" s="108">
        <f t="shared" si="18"/>
        <v>0</v>
      </c>
      <c r="AZ60" s="138" t="str">
        <f>Uitslag!P60</f>
        <v>Stefan de Vrij (v)</v>
      </c>
      <c r="BA60" s="140">
        <f t="shared" si="9"/>
        <v>3</v>
      </c>
      <c r="BB60" s="139">
        <f t="shared" si="19"/>
        <v>3</v>
      </c>
    </row>
    <row r="61" spans="2:54">
      <c r="B61" s="727">
        <v>51</v>
      </c>
      <c r="C61" s="828">
        <v>41819</v>
      </c>
      <c r="D61" s="827" t="s">
        <v>14</v>
      </c>
      <c r="E61" s="730" t="s">
        <v>9</v>
      </c>
      <c r="F61" s="769" t="s">
        <v>10</v>
      </c>
      <c r="G61" s="798">
        <v>3</v>
      </c>
      <c r="H61" s="730" t="s">
        <v>9</v>
      </c>
      <c r="I61" s="810">
        <v>2</v>
      </c>
      <c r="J61" s="811">
        <v>1</v>
      </c>
      <c r="K61" s="770" t="s">
        <v>52</v>
      </c>
      <c r="L61" s="770" t="s">
        <v>49</v>
      </c>
      <c r="M61" s="770"/>
      <c r="N61" s="715"/>
      <c r="O61" s="821">
        <v>4</v>
      </c>
      <c r="P61" s="877" t="s">
        <v>209</v>
      </c>
      <c r="Q61" s="877"/>
      <c r="R61" s="877"/>
      <c r="S61" s="877"/>
      <c r="T61" s="878"/>
      <c r="V61" s="352" t="s">
        <v>132</v>
      </c>
      <c r="W61" s="352" t="s">
        <v>191</v>
      </c>
      <c r="X61" s="352" t="str">
        <f t="shared" si="8"/>
        <v>Tim Krul (k)</v>
      </c>
      <c r="Y61" s="109">
        <f t="shared" si="10"/>
        <v>5</v>
      </c>
      <c r="Z61" s="352" t="str">
        <f t="shared" si="11"/>
        <v>Nederland</v>
      </c>
      <c r="AA61" s="352" t="str">
        <f t="shared" si="11"/>
        <v>Kroatië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2"/>
        <v>5</v>
      </c>
      <c r="AG61" s="108">
        <f t="shared" si="13"/>
        <v>0</v>
      </c>
      <c r="AH61" s="108">
        <f t="shared" si="14"/>
        <v>0</v>
      </c>
      <c r="AI61" s="108">
        <f t="shared" si="15"/>
        <v>0</v>
      </c>
      <c r="AJ61" s="108">
        <f t="shared" si="16"/>
        <v>5</v>
      </c>
      <c r="AK61" s="108">
        <f t="shared" si="17"/>
        <v>0</v>
      </c>
      <c r="AL61" s="108">
        <f t="shared" si="18"/>
        <v>0</v>
      </c>
      <c r="AZ61" s="138" t="str">
        <f>Uitslag!P61</f>
        <v>Ron Vlaar (v)</v>
      </c>
      <c r="BA61" s="140">
        <f t="shared" si="9"/>
        <v>3</v>
      </c>
      <c r="BB61" s="139">
        <f t="shared" si="19"/>
        <v>3</v>
      </c>
    </row>
    <row r="62" spans="2:54">
      <c r="B62" s="739">
        <v>52</v>
      </c>
      <c r="C62" s="829">
        <v>41819</v>
      </c>
      <c r="D62" s="827" t="s">
        <v>22</v>
      </c>
      <c r="E62" s="742" t="s">
        <v>9</v>
      </c>
      <c r="F62" s="772" t="s">
        <v>23</v>
      </c>
      <c r="G62" s="800">
        <v>2</v>
      </c>
      <c r="H62" s="742" t="s">
        <v>9</v>
      </c>
      <c r="I62" s="812">
        <v>1</v>
      </c>
      <c r="J62" s="813">
        <v>1</v>
      </c>
      <c r="K62" s="770" t="s">
        <v>62</v>
      </c>
      <c r="L62" s="770" t="s">
        <v>58</v>
      </c>
      <c r="M62" s="770"/>
      <c r="N62" s="715"/>
      <c r="O62" s="821">
        <v>5</v>
      </c>
      <c r="P62" s="877" t="s">
        <v>211</v>
      </c>
      <c r="Q62" s="877"/>
      <c r="R62" s="877"/>
      <c r="S62" s="877"/>
      <c r="T62" s="878"/>
      <c r="V62" s="352" t="s">
        <v>132</v>
      </c>
      <c r="W62" s="352" t="s">
        <v>192</v>
      </c>
      <c r="X62" s="352" t="str">
        <f t="shared" si="8"/>
        <v>Maarten Stekelenburg (k)</v>
      </c>
      <c r="Y62" s="109">
        <f t="shared" si="10"/>
        <v>1</v>
      </c>
      <c r="Z62" s="352" t="str">
        <f t="shared" si="11"/>
        <v>Italië</v>
      </c>
      <c r="AA62" s="352" t="str">
        <f t="shared" si="11"/>
        <v>Ivoorkust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2"/>
        <v>1</v>
      </c>
      <c r="AG62" s="108">
        <f t="shared" si="13"/>
        <v>0</v>
      </c>
      <c r="AH62" s="108">
        <f t="shared" si="14"/>
        <v>1</v>
      </c>
      <c r="AI62" s="108">
        <f t="shared" si="15"/>
        <v>0</v>
      </c>
      <c r="AJ62" s="108">
        <f t="shared" si="16"/>
        <v>0</v>
      </c>
      <c r="AK62" s="108">
        <f t="shared" si="17"/>
        <v>0</v>
      </c>
      <c r="AL62" s="108">
        <f t="shared" si="18"/>
        <v>0</v>
      </c>
      <c r="AZ62" s="138" t="str">
        <f>Uitslag!P62</f>
        <v>Bruno Martins Indi (v)</v>
      </c>
      <c r="BA62" s="140">
        <f t="shared" si="9"/>
        <v>3</v>
      </c>
      <c r="BB62" s="139">
        <f t="shared" si="19"/>
        <v>3</v>
      </c>
    </row>
    <row r="63" spans="2:54">
      <c r="B63" s="727">
        <v>53</v>
      </c>
      <c r="C63" s="828">
        <v>41820</v>
      </c>
      <c r="D63" s="822" t="s">
        <v>27</v>
      </c>
      <c r="E63" s="730" t="s">
        <v>9</v>
      </c>
      <c r="F63" s="769" t="s">
        <v>30</v>
      </c>
      <c r="G63" s="798">
        <v>4</v>
      </c>
      <c r="H63" s="730" t="s">
        <v>9</v>
      </c>
      <c r="I63" s="810">
        <v>1</v>
      </c>
      <c r="J63" s="811">
        <v>1</v>
      </c>
      <c r="K63" s="770" t="s">
        <v>67</v>
      </c>
      <c r="L63" s="770" t="s">
        <v>73</v>
      </c>
      <c r="M63" s="770"/>
      <c r="N63" s="715"/>
      <c r="O63" s="821">
        <v>6</v>
      </c>
      <c r="P63" s="877" t="s">
        <v>226</v>
      </c>
      <c r="Q63" s="877"/>
      <c r="R63" s="877"/>
      <c r="S63" s="877"/>
      <c r="T63" s="878"/>
      <c r="V63" s="352" t="s">
        <v>132</v>
      </c>
      <c r="W63" s="352" t="s">
        <v>193</v>
      </c>
      <c r="X63" s="352" t="str">
        <f t="shared" si="8"/>
        <v>Michel Vorm (k)</v>
      </c>
      <c r="Y63" s="109">
        <f t="shared" si="10"/>
        <v>5</v>
      </c>
      <c r="Z63" s="352" t="str">
        <f t="shared" si="11"/>
        <v>Frankrijk</v>
      </c>
      <c r="AA63" s="352" t="str">
        <f t="shared" si="11"/>
        <v>Bosnië H.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2"/>
        <v>5</v>
      </c>
      <c r="AG63" s="108">
        <f t="shared" si="13"/>
        <v>0</v>
      </c>
      <c r="AH63" s="108">
        <f t="shared" si="14"/>
        <v>0</v>
      </c>
      <c r="AI63" s="108">
        <f t="shared" si="15"/>
        <v>0</v>
      </c>
      <c r="AJ63" s="108">
        <f t="shared" si="16"/>
        <v>5</v>
      </c>
      <c r="AK63" s="108">
        <f t="shared" si="17"/>
        <v>0</v>
      </c>
      <c r="AL63" s="108">
        <f t="shared" si="18"/>
        <v>0</v>
      </c>
      <c r="AZ63" s="138" t="str">
        <f>Uitslag!P63</f>
        <v>Daley Blind (v)</v>
      </c>
      <c r="BA63" s="140">
        <f t="shared" si="9"/>
        <v>3</v>
      </c>
      <c r="BB63" s="139">
        <f t="shared" si="19"/>
        <v>3</v>
      </c>
    </row>
    <row r="64" spans="2:54">
      <c r="B64" s="739">
        <v>54</v>
      </c>
      <c r="C64" s="829">
        <v>41820</v>
      </c>
      <c r="D64" s="823" t="s">
        <v>31</v>
      </c>
      <c r="E64" s="742" t="s">
        <v>9</v>
      </c>
      <c r="F64" s="772" t="s">
        <v>39</v>
      </c>
      <c r="G64" s="800">
        <v>3</v>
      </c>
      <c r="H64" s="742" t="s">
        <v>9</v>
      </c>
      <c r="I64" s="812">
        <v>2</v>
      </c>
      <c r="J64" s="813">
        <v>1</v>
      </c>
      <c r="K64" s="770" t="s">
        <v>77</v>
      </c>
      <c r="L64" s="770" t="s">
        <v>83</v>
      </c>
      <c r="M64" s="770"/>
      <c r="N64" s="715"/>
      <c r="O64" s="821">
        <v>7</v>
      </c>
      <c r="P64" s="877" t="s">
        <v>213</v>
      </c>
      <c r="Q64" s="877"/>
      <c r="R64" s="877"/>
      <c r="S64" s="877"/>
      <c r="T64" s="878"/>
      <c r="V64" s="352" t="s">
        <v>133</v>
      </c>
      <c r="W64" s="352" t="s">
        <v>112</v>
      </c>
      <c r="X64" s="352" t="str">
        <f t="shared" si="8"/>
        <v>Joël Veltman (v)</v>
      </c>
      <c r="Y64" s="109">
        <f t="shared" si="10"/>
        <v>0</v>
      </c>
      <c r="Z64" s="352" t="str">
        <f t="shared" si="11"/>
        <v>Duitsland</v>
      </c>
      <c r="AA64" s="352" t="str">
        <f t="shared" si="11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2"/>
        <v>0</v>
      </c>
      <c r="AG64" s="108">
        <f t="shared" si="13"/>
        <v>0</v>
      </c>
      <c r="AH64" s="108">
        <f t="shared" si="14"/>
        <v>0</v>
      </c>
      <c r="AI64" s="108">
        <f t="shared" si="15"/>
        <v>0</v>
      </c>
      <c r="AJ64" s="108">
        <f t="shared" si="16"/>
        <v>0</v>
      </c>
      <c r="AK64" s="108">
        <f t="shared" si="17"/>
        <v>0</v>
      </c>
      <c r="AL64" s="108">
        <f t="shared" si="18"/>
        <v>0</v>
      </c>
      <c r="AZ64" s="138" t="str">
        <f>Uitslag!P64</f>
        <v>Wesley Sneijder (m)</v>
      </c>
      <c r="BA64" s="140">
        <f t="shared" si="9"/>
        <v>3</v>
      </c>
      <c r="BB64" s="139">
        <f t="shared" si="19"/>
        <v>3</v>
      </c>
    </row>
    <row r="65" spans="2:54">
      <c r="B65" s="733">
        <v>55</v>
      </c>
      <c r="C65" s="830">
        <v>41821</v>
      </c>
      <c r="D65" s="822" t="s">
        <v>29</v>
      </c>
      <c r="E65" s="736" t="s">
        <v>9</v>
      </c>
      <c r="F65" s="773" t="s">
        <v>26</v>
      </c>
      <c r="G65" s="799">
        <v>2</v>
      </c>
      <c r="H65" s="736" t="s">
        <v>9</v>
      </c>
      <c r="I65" s="814">
        <v>2</v>
      </c>
      <c r="J65" s="815">
        <v>1</v>
      </c>
      <c r="K65" s="770" t="s">
        <v>72</v>
      </c>
      <c r="L65" s="770" t="s">
        <v>68</v>
      </c>
      <c r="M65" s="770"/>
      <c r="N65" s="715"/>
      <c r="O65" s="821">
        <v>8</v>
      </c>
      <c r="P65" s="877" t="s">
        <v>212</v>
      </c>
      <c r="Q65" s="877"/>
      <c r="R65" s="877"/>
      <c r="S65" s="877"/>
      <c r="T65" s="878"/>
      <c r="V65" s="352" t="s">
        <v>133</v>
      </c>
      <c r="W65" s="352" t="s">
        <v>109</v>
      </c>
      <c r="X65" s="352" t="str">
        <f t="shared" si="8"/>
        <v>Daley Blind (v)</v>
      </c>
      <c r="Y65" s="109">
        <f t="shared" si="10"/>
        <v>5</v>
      </c>
      <c r="Z65" s="352" t="str">
        <f t="shared" si="11"/>
        <v>Argentinië</v>
      </c>
      <c r="AA65" s="352" t="str">
        <f t="shared" si="11"/>
        <v>Ecuador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2"/>
        <v>5</v>
      </c>
      <c r="AG65" s="108">
        <f t="shared" si="13"/>
        <v>0</v>
      </c>
      <c r="AH65" s="108">
        <f t="shared" si="14"/>
        <v>0</v>
      </c>
      <c r="AI65" s="108">
        <f t="shared" si="15"/>
        <v>0</v>
      </c>
      <c r="AJ65" s="108">
        <f t="shared" si="16"/>
        <v>0</v>
      </c>
      <c r="AK65" s="108">
        <f t="shared" si="17"/>
        <v>0</v>
      </c>
      <c r="AL65" s="108">
        <f t="shared" si="18"/>
        <v>5</v>
      </c>
      <c r="AZ65" s="138" t="str">
        <f>Uitslag!P65</f>
        <v>Nigel de Jong (m)</v>
      </c>
      <c r="BA65" s="140">
        <f t="shared" si="9"/>
        <v>3</v>
      </c>
      <c r="BB65" s="139">
        <f t="shared" si="19"/>
        <v>3</v>
      </c>
    </row>
    <row r="66" spans="2:54" ht="15.75" thickBot="1">
      <c r="B66" s="748">
        <v>56</v>
      </c>
      <c r="C66" s="825">
        <v>41821</v>
      </c>
      <c r="D66" s="824" t="s">
        <v>37</v>
      </c>
      <c r="E66" s="751" t="s">
        <v>9</v>
      </c>
      <c r="F66" s="775" t="s">
        <v>32</v>
      </c>
      <c r="G66" s="801">
        <v>1</v>
      </c>
      <c r="H66" s="751" t="s">
        <v>9</v>
      </c>
      <c r="I66" s="816">
        <v>3</v>
      </c>
      <c r="J66" s="817">
        <v>2</v>
      </c>
      <c r="K66" s="770" t="s">
        <v>82</v>
      </c>
      <c r="L66" s="770" t="s">
        <v>78</v>
      </c>
      <c r="M66" s="770"/>
      <c r="N66" s="715"/>
      <c r="O66" s="821">
        <v>9</v>
      </c>
      <c r="P66" s="877" t="s">
        <v>214</v>
      </c>
      <c r="Q66" s="877"/>
      <c r="R66" s="877"/>
      <c r="S66" s="877"/>
      <c r="T66" s="878"/>
      <c r="V66" s="352" t="s">
        <v>133</v>
      </c>
      <c r="W66" s="352" t="s">
        <v>115</v>
      </c>
      <c r="X66" s="352" t="str">
        <f t="shared" si="8"/>
        <v>Daryl Janmaat (v)</v>
      </c>
      <c r="Y66" s="109">
        <f t="shared" si="10"/>
        <v>0</v>
      </c>
      <c r="Z66" s="352" t="str">
        <f>IF(K66=""," ",VLOOKUP(K66,$T$9:$V$54,3,FALSE))</f>
        <v>België</v>
      </c>
      <c r="AA66" s="352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2"/>
        <v>0</v>
      </c>
      <c r="AG66" s="108">
        <f t="shared" si="13"/>
        <v>0</v>
      </c>
      <c r="AH66" s="108">
        <f t="shared" si="14"/>
        <v>0</v>
      </c>
      <c r="AI66" s="108">
        <f t="shared" si="15"/>
        <v>0</v>
      </c>
      <c r="AJ66" s="108">
        <f t="shared" si="16"/>
        <v>0</v>
      </c>
      <c r="AK66" s="108">
        <f t="shared" si="17"/>
        <v>0</v>
      </c>
      <c r="AL66" s="108">
        <f t="shared" si="18"/>
        <v>0</v>
      </c>
      <c r="AZ66" s="138" t="str">
        <f>Uitslag!P66</f>
        <v>Jonathan de Guzman (m)</v>
      </c>
      <c r="BA66" s="140">
        <f t="shared" si="9"/>
        <v>3</v>
      </c>
      <c r="BB66" s="139">
        <f t="shared" si="19"/>
        <v>3</v>
      </c>
    </row>
    <row r="67" spans="2:54" ht="15.75" thickBot="1">
      <c r="B67" s="716"/>
      <c r="C67" s="754"/>
      <c r="D67" s="755"/>
      <c r="E67" s="716"/>
      <c r="F67" s="755"/>
      <c r="G67" s="716"/>
      <c r="H67" s="716"/>
      <c r="I67" s="716"/>
      <c r="J67" s="716"/>
      <c r="K67" s="716"/>
      <c r="L67" s="716"/>
      <c r="M67" s="716"/>
      <c r="N67" s="715"/>
      <c r="O67" s="821">
        <v>10</v>
      </c>
      <c r="P67" s="877" t="s">
        <v>216</v>
      </c>
      <c r="Q67" s="877"/>
      <c r="R67" s="877"/>
      <c r="S67" s="877"/>
      <c r="T67" s="878"/>
      <c r="V67" s="352" t="s">
        <v>133</v>
      </c>
      <c r="W67" s="352" t="s">
        <v>118</v>
      </c>
      <c r="X67" s="352" t="str">
        <f t="shared" si="8"/>
        <v>Terence Kongolo (v)</v>
      </c>
      <c r="AZ67" s="138" t="str">
        <f>Uitslag!P67</f>
        <v>Robin van Persie (a)</v>
      </c>
      <c r="BA67" s="140">
        <f t="shared" si="9"/>
        <v>3</v>
      </c>
      <c r="BB67" s="139">
        <f t="shared" si="19"/>
        <v>3</v>
      </c>
    </row>
    <row r="68" spans="2:54">
      <c r="B68" s="907" t="s">
        <v>87</v>
      </c>
      <c r="C68" s="908"/>
      <c r="D68" s="908"/>
      <c r="E68" s="908"/>
      <c r="F68" s="908"/>
      <c r="G68" s="908"/>
      <c r="H68" s="908"/>
      <c r="I68" s="908"/>
      <c r="J68" s="790"/>
      <c r="K68" s="716"/>
      <c r="L68" s="716"/>
      <c r="M68" s="716"/>
      <c r="N68" s="715"/>
      <c r="O68" s="821">
        <v>11</v>
      </c>
      <c r="P68" s="877" t="s">
        <v>215</v>
      </c>
      <c r="Q68" s="877"/>
      <c r="R68" s="877"/>
      <c r="S68" s="877"/>
      <c r="T68" s="878"/>
      <c r="V68" s="352" t="s">
        <v>133</v>
      </c>
      <c r="W68" s="352" t="s">
        <v>119</v>
      </c>
      <c r="X68" s="352" t="str">
        <f t="shared" si="8"/>
        <v>Bruno Martins Indi (v)</v>
      </c>
      <c r="Y68" s="112" t="s">
        <v>99</v>
      </c>
      <c r="AZ68" s="138" t="str">
        <f>Uitslag!P68</f>
        <v>Arjen Robben (a)</v>
      </c>
      <c r="BA68" s="140">
        <f t="shared" si="9"/>
        <v>3</v>
      </c>
      <c r="BB68" s="139">
        <f t="shared" si="19"/>
        <v>3</v>
      </c>
    </row>
    <row r="69" spans="2:54">
      <c r="B69" s="791" t="s">
        <v>1</v>
      </c>
      <c r="C69" s="792" t="s">
        <v>2</v>
      </c>
      <c r="D69" s="793" t="s">
        <v>3</v>
      </c>
      <c r="E69" s="794"/>
      <c r="F69" s="795" t="s">
        <v>4</v>
      </c>
      <c r="G69" s="913" t="s">
        <v>5</v>
      </c>
      <c r="H69" s="914"/>
      <c r="I69" s="915"/>
      <c r="J69" s="796" t="s">
        <v>6</v>
      </c>
      <c r="K69" s="716"/>
      <c r="L69" s="716"/>
      <c r="M69" s="716"/>
      <c r="N69" s="715"/>
      <c r="O69" s="715"/>
      <c r="P69" s="715"/>
      <c r="Q69" s="715"/>
      <c r="R69" s="715"/>
      <c r="S69" s="715"/>
      <c r="T69" s="715"/>
      <c r="V69" s="352" t="s">
        <v>133</v>
      </c>
      <c r="W69" s="352" t="s">
        <v>121</v>
      </c>
      <c r="X69" s="352" t="str">
        <f t="shared" si="8"/>
        <v>Stefan de Vrij (v)</v>
      </c>
      <c r="Y69" s="113" t="s">
        <v>91</v>
      </c>
      <c r="AP69" s="137" t="s">
        <v>140</v>
      </c>
      <c r="AY69" s="137"/>
      <c r="BA69" s="141">
        <f>SUM(BA58:BA68)</f>
        <v>33</v>
      </c>
      <c r="BB69" s="139">
        <f>IF(AND(BA69&lt;&gt;"",BA69=33),15,"nvt")</f>
        <v>15</v>
      </c>
    </row>
    <row r="70" spans="2:54">
      <c r="B70" s="727">
        <v>57</v>
      </c>
      <c r="C70" s="728">
        <v>41824</v>
      </c>
      <c r="D70" s="768" t="s">
        <v>27</v>
      </c>
      <c r="E70" s="730" t="s">
        <v>9</v>
      </c>
      <c r="F70" s="769" t="s">
        <v>31</v>
      </c>
      <c r="G70" s="798">
        <v>2</v>
      </c>
      <c r="H70" s="730" t="s">
        <v>9</v>
      </c>
      <c r="I70" s="810">
        <v>3</v>
      </c>
      <c r="J70" s="811">
        <v>2</v>
      </c>
      <c r="K70" s="716"/>
      <c r="L70" s="716"/>
      <c r="M70" s="716"/>
      <c r="N70" s="715"/>
      <c r="O70" s="715"/>
      <c r="P70" s="715"/>
      <c r="Q70" s="715"/>
      <c r="R70" s="715"/>
      <c r="S70" s="715"/>
      <c r="T70" s="715"/>
      <c r="V70" s="352" t="s">
        <v>133</v>
      </c>
      <c r="W70" s="352" t="s">
        <v>126</v>
      </c>
      <c r="X70" s="352" t="str">
        <f t="shared" si="8"/>
        <v>Karim Rekik (v)</v>
      </c>
      <c r="Y70" s="109">
        <f>AF70</f>
        <v>5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5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739">
        <v>58</v>
      </c>
      <c r="C71" s="740">
        <v>41824</v>
      </c>
      <c r="D71" s="771" t="s">
        <v>8</v>
      </c>
      <c r="E71" s="742" t="s">
        <v>9</v>
      </c>
      <c r="F71" s="772" t="s">
        <v>21</v>
      </c>
      <c r="G71" s="800">
        <v>3</v>
      </c>
      <c r="H71" s="742" t="s">
        <v>9</v>
      </c>
      <c r="I71" s="812">
        <v>1</v>
      </c>
      <c r="J71" s="813">
        <v>1</v>
      </c>
      <c r="K71" s="716"/>
      <c r="L71" s="716"/>
      <c r="M71" s="716"/>
      <c r="N71" s="715"/>
      <c r="O71" s="715"/>
      <c r="P71" s="715"/>
      <c r="Q71" s="715"/>
      <c r="R71" s="715"/>
      <c r="S71" s="715"/>
      <c r="T71" s="715"/>
      <c r="V71" s="352" t="s">
        <v>133</v>
      </c>
      <c r="W71" s="352" t="s">
        <v>194</v>
      </c>
      <c r="X71" s="352" t="str">
        <f t="shared" si="8"/>
        <v>Ron Vlaar (v)</v>
      </c>
      <c r="Y71" s="109">
        <f>AF71</f>
        <v>6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6</v>
      </c>
      <c r="AG71" s="108">
        <f>IF(AC71="",0,(IF(G71=AC71,1,0)))</f>
        <v>0</v>
      </c>
      <c r="AH71" s="108">
        <f>IF(AD71="",0,(IF(I71=AD71,1,0)))</f>
        <v>1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727">
        <v>59</v>
      </c>
      <c r="C72" s="728">
        <v>41825</v>
      </c>
      <c r="D72" s="768" t="s">
        <v>29</v>
      </c>
      <c r="E72" s="730" t="s">
        <v>9</v>
      </c>
      <c r="F72" s="769" t="s">
        <v>32</v>
      </c>
      <c r="G72" s="798">
        <v>1</v>
      </c>
      <c r="H72" s="730" t="s">
        <v>9</v>
      </c>
      <c r="I72" s="810">
        <v>2</v>
      </c>
      <c r="J72" s="811">
        <v>2</v>
      </c>
      <c r="K72" s="716"/>
      <c r="L72" s="716"/>
      <c r="M72" s="716"/>
      <c r="N72" s="715"/>
      <c r="O72" s="715"/>
      <c r="P72" s="715"/>
      <c r="Q72" s="715"/>
      <c r="R72" s="715"/>
      <c r="S72" s="715"/>
      <c r="T72" s="715"/>
      <c r="V72" s="352" t="s">
        <v>133</v>
      </c>
      <c r="W72" s="352" t="s">
        <v>195</v>
      </c>
      <c r="X72" s="352" t="str">
        <f t="shared" si="8"/>
        <v>John Heitinga (v)</v>
      </c>
      <c r="Y72" s="109">
        <f>AF72</f>
        <v>1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1</v>
      </c>
      <c r="AG72" s="108">
        <f>IF(AC72="",0,(IF(G72=AC72,1,0)))</f>
        <v>1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0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748">
        <v>60</v>
      </c>
      <c r="C73" s="749">
        <v>41825</v>
      </c>
      <c r="D73" s="774" t="s">
        <v>14</v>
      </c>
      <c r="E73" s="751" t="s">
        <v>9</v>
      </c>
      <c r="F73" s="775" t="s">
        <v>22</v>
      </c>
      <c r="G73" s="801">
        <v>3</v>
      </c>
      <c r="H73" s="751" t="s">
        <v>9</v>
      </c>
      <c r="I73" s="816">
        <v>1</v>
      </c>
      <c r="J73" s="817">
        <v>1</v>
      </c>
      <c r="K73" s="716"/>
      <c r="L73" s="716"/>
      <c r="M73" s="716"/>
      <c r="N73" s="715"/>
      <c r="O73" s="715"/>
      <c r="P73" s="715"/>
      <c r="Q73" s="715"/>
      <c r="R73" s="715"/>
      <c r="S73" s="715"/>
      <c r="T73" s="715"/>
      <c r="V73" s="352" t="s">
        <v>133</v>
      </c>
      <c r="W73" s="352" t="s">
        <v>196</v>
      </c>
      <c r="X73" s="352" t="str">
        <f t="shared" si="8"/>
        <v>Urby Emanuelson (v)</v>
      </c>
      <c r="Y73" s="109">
        <f>AF73</f>
        <v>0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0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716"/>
      <c r="C74" s="754"/>
      <c r="D74" s="755"/>
      <c r="E74" s="716"/>
      <c r="F74" s="755"/>
      <c r="G74" s="716"/>
      <c r="H74" s="716"/>
      <c r="I74" s="716"/>
      <c r="J74" s="716"/>
      <c r="K74" s="716"/>
      <c r="L74" s="716"/>
      <c r="M74" s="716"/>
      <c r="N74" s="715"/>
      <c r="O74" s="715"/>
      <c r="P74" s="715"/>
      <c r="Q74" s="715"/>
      <c r="R74" s="715"/>
      <c r="S74" s="715"/>
      <c r="T74" s="715"/>
      <c r="V74" s="352" t="s">
        <v>133</v>
      </c>
      <c r="W74" s="352" t="s">
        <v>197</v>
      </c>
      <c r="X74" s="352" t="str">
        <f t="shared" si="8"/>
        <v>Gregory van der Wiel (v)</v>
      </c>
    </row>
    <row r="75" spans="2:54">
      <c r="B75" s="907" t="s">
        <v>88</v>
      </c>
      <c r="C75" s="908"/>
      <c r="D75" s="908"/>
      <c r="E75" s="908"/>
      <c r="F75" s="908"/>
      <c r="G75" s="908"/>
      <c r="H75" s="908"/>
      <c r="I75" s="908"/>
      <c r="J75" s="790"/>
      <c r="K75" s="716"/>
      <c r="L75" s="716"/>
      <c r="M75" s="716"/>
      <c r="N75" s="715"/>
      <c r="O75" s="715"/>
      <c r="P75" s="715"/>
      <c r="Q75" s="715"/>
      <c r="R75" s="715"/>
      <c r="S75" s="715"/>
      <c r="T75" s="715"/>
      <c r="V75" s="352" t="s">
        <v>133</v>
      </c>
      <c r="W75" s="352" t="s">
        <v>198</v>
      </c>
      <c r="X75" s="352" t="str">
        <f t="shared" si="8"/>
        <v>Virgil van Dijk (v)</v>
      </c>
      <c r="Y75" s="112" t="s">
        <v>99</v>
      </c>
    </row>
    <row r="76" spans="2:54">
      <c r="B76" s="791" t="s">
        <v>1</v>
      </c>
      <c r="C76" s="792" t="s">
        <v>2</v>
      </c>
      <c r="D76" s="793" t="s">
        <v>3</v>
      </c>
      <c r="E76" s="794"/>
      <c r="F76" s="795" t="s">
        <v>4</v>
      </c>
      <c r="G76" s="913" t="s">
        <v>5</v>
      </c>
      <c r="H76" s="914"/>
      <c r="I76" s="915"/>
      <c r="J76" s="796" t="s">
        <v>6</v>
      </c>
      <c r="K76" s="716"/>
      <c r="L76" s="716"/>
      <c r="M76" s="716"/>
      <c r="N76" s="715"/>
      <c r="O76" s="715"/>
      <c r="P76" s="715"/>
      <c r="Q76" s="715"/>
      <c r="R76" s="715"/>
      <c r="S76" s="715"/>
      <c r="T76" s="715"/>
      <c r="V76" s="352" t="s">
        <v>133</v>
      </c>
      <c r="W76" s="352" t="s">
        <v>202</v>
      </c>
      <c r="X76" s="352" t="str">
        <f t="shared" si="8"/>
        <v>Alexander Buttner (v)</v>
      </c>
      <c r="Y76" s="113" t="s">
        <v>91</v>
      </c>
    </row>
    <row r="77" spans="2:54">
      <c r="B77" s="727">
        <v>61</v>
      </c>
      <c r="C77" s="728">
        <v>41828</v>
      </c>
      <c r="D77" s="768" t="s">
        <v>31</v>
      </c>
      <c r="E77" s="730" t="s">
        <v>9</v>
      </c>
      <c r="F77" s="769" t="s">
        <v>8</v>
      </c>
      <c r="G77" s="798">
        <v>2</v>
      </c>
      <c r="H77" s="730" t="s">
        <v>9</v>
      </c>
      <c r="I77" s="810">
        <v>3</v>
      </c>
      <c r="J77" s="811">
        <v>1</v>
      </c>
      <c r="K77" s="716"/>
      <c r="L77" s="716"/>
      <c r="M77" s="716"/>
      <c r="N77" s="715"/>
      <c r="O77" s="715"/>
      <c r="P77" s="715"/>
      <c r="Q77" s="715"/>
      <c r="R77" s="715"/>
      <c r="S77" s="715"/>
      <c r="T77" s="715"/>
      <c r="V77" s="352" t="s">
        <v>134</v>
      </c>
      <c r="W77" s="352" t="s">
        <v>203</v>
      </c>
      <c r="X77" s="352" t="str">
        <f t="shared" si="8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748">
        <v>62</v>
      </c>
      <c r="C78" s="749">
        <v>41829</v>
      </c>
      <c r="D78" s="774" t="s">
        <v>32</v>
      </c>
      <c r="E78" s="751" t="s">
        <v>9</v>
      </c>
      <c r="F78" s="775" t="s">
        <v>14</v>
      </c>
      <c r="G78" s="801">
        <v>1</v>
      </c>
      <c r="H78" s="751" t="s">
        <v>9</v>
      </c>
      <c r="I78" s="816">
        <v>3</v>
      </c>
      <c r="J78" s="817">
        <v>2</v>
      </c>
      <c r="K78" s="716"/>
      <c r="L78" s="716"/>
      <c r="M78" s="716"/>
      <c r="N78" s="715"/>
      <c r="O78" s="715"/>
      <c r="P78" s="715"/>
      <c r="Q78" s="715"/>
      <c r="R78" s="715"/>
      <c r="S78" s="715"/>
      <c r="T78" s="715"/>
      <c r="V78" s="352" t="s">
        <v>134</v>
      </c>
      <c r="W78" s="352" t="s">
        <v>199</v>
      </c>
      <c r="X78" s="352" t="str">
        <f t="shared" si="8"/>
        <v>Leroy Fer (m)</v>
      </c>
      <c r="Y78" s="109">
        <f>AF78</f>
        <v>0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0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716"/>
      <c r="C79" s="754"/>
      <c r="D79" s="755"/>
      <c r="E79" s="716"/>
      <c r="F79" s="755"/>
      <c r="G79" s="716"/>
      <c r="H79" s="716"/>
      <c r="I79" s="716"/>
      <c r="J79" s="716"/>
      <c r="K79" s="716"/>
      <c r="L79" s="716"/>
      <c r="M79" s="716"/>
      <c r="N79" s="715"/>
      <c r="O79" s="715"/>
      <c r="P79" s="715"/>
      <c r="Q79" s="715"/>
      <c r="R79" s="715"/>
      <c r="S79" s="715"/>
      <c r="T79" s="715"/>
      <c r="V79" s="352" t="s">
        <v>134</v>
      </c>
      <c r="W79" s="352" t="s">
        <v>114</v>
      </c>
      <c r="X79" s="352" t="str">
        <f t="shared" si="8"/>
        <v>Jordy Clasie (m)</v>
      </c>
    </row>
    <row r="80" spans="2:54">
      <c r="B80" s="907" t="s">
        <v>89</v>
      </c>
      <c r="C80" s="908"/>
      <c r="D80" s="908"/>
      <c r="E80" s="908"/>
      <c r="F80" s="908"/>
      <c r="G80" s="908"/>
      <c r="H80" s="908"/>
      <c r="I80" s="908"/>
      <c r="J80" s="790"/>
      <c r="K80" s="716"/>
      <c r="L80" s="716"/>
      <c r="M80" s="716"/>
      <c r="N80" s="715"/>
      <c r="O80" s="715"/>
      <c r="P80" s="715"/>
      <c r="Q80" s="715"/>
      <c r="R80" s="715"/>
      <c r="S80" s="715"/>
      <c r="T80" s="715"/>
      <c r="V80" s="352" t="s">
        <v>134</v>
      </c>
      <c r="W80" s="352" t="s">
        <v>117</v>
      </c>
      <c r="X80" s="352" t="str">
        <f t="shared" si="8"/>
        <v>Davy Klaassen (m)</v>
      </c>
      <c r="Y80" s="112" t="s">
        <v>99</v>
      </c>
    </row>
    <row r="81" spans="2:50">
      <c r="B81" s="791" t="s">
        <v>1</v>
      </c>
      <c r="C81" s="792" t="s">
        <v>2</v>
      </c>
      <c r="D81" s="793" t="s">
        <v>3</v>
      </c>
      <c r="E81" s="794"/>
      <c r="F81" s="795" t="s">
        <v>4</v>
      </c>
      <c r="G81" s="913" t="s">
        <v>5</v>
      </c>
      <c r="H81" s="914"/>
      <c r="I81" s="915"/>
      <c r="J81" s="796" t="s">
        <v>6</v>
      </c>
      <c r="K81" s="716"/>
      <c r="L81" s="716"/>
      <c r="M81" s="716"/>
      <c r="N81" s="715"/>
      <c r="O81" s="715"/>
      <c r="P81" s="715"/>
      <c r="Q81" s="715"/>
      <c r="R81" s="715"/>
      <c r="S81" s="715"/>
      <c r="T81" s="715"/>
      <c r="V81" s="352" t="s">
        <v>134</v>
      </c>
      <c r="W81" s="352" t="s">
        <v>120</v>
      </c>
      <c r="X81" s="352" t="str">
        <f t="shared" si="8"/>
        <v>Tonny Trindade de Vilhena (m)</v>
      </c>
      <c r="Y81" s="113" t="s">
        <v>91</v>
      </c>
    </row>
    <row r="82" spans="2:50" ht="15.75" thickBot="1">
      <c r="B82" s="717">
        <v>63</v>
      </c>
      <c r="C82" s="776">
        <v>41832</v>
      </c>
      <c r="D82" s="777" t="s">
        <v>8</v>
      </c>
      <c r="E82" s="718" t="s">
        <v>9</v>
      </c>
      <c r="F82" s="778" t="s">
        <v>32</v>
      </c>
      <c r="G82" s="818">
        <v>2</v>
      </c>
      <c r="H82" s="718" t="s">
        <v>9</v>
      </c>
      <c r="I82" s="819">
        <v>0</v>
      </c>
      <c r="J82" s="820">
        <v>1</v>
      </c>
      <c r="K82" s="716"/>
      <c r="L82" s="716"/>
      <c r="M82" s="716"/>
      <c r="N82" s="715"/>
      <c r="O82" s="715"/>
      <c r="P82" s="715"/>
      <c r="Q82" s="715"/>
      <c r="R82" s="715"/>
      <c r="S82" s="715"/>
      <c r="T82" s="715"/>
      <c r="V82" s="352" t="s">
        <v>134</v>
      </c>
      <c r="W82" s="352" t="s">
        <v>125</v>
      </c>
      <c r="X82" s="352" t="str">
        <f t="shared" si="8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716"/>
      <c r="C83" s="754"/>
      <c r="D83" s="755"/>
      <c r="E83" s="716"/>
      <c r="F83" s="755"/>
      <c r="G83" s="716"/>
      <c r="H83" s="716"/>
      <c r="I83" s="716"/>
      <c r="J83" s="716"/>
      <c r="K83" s="716"/>
      <c r="L83" s="716"/>
      <c r="M83" s="716"/>
      <c r="N83" s="715"/>
      <c r="O83" s="715"/>
      <c r="P83" s="715"/>
      <c r="Q83" s="715"/>
      <c r="R83" s="715"/>
      <c r="S83" s="715"/>
      <c r="T83" s="715"/>
      <c r="V83" s="352" t="s">
        <v>134</v>
      </c>
      <c r="W83" s="352" t="s">
        <v>136</v>
      </c>
      <c r="X83" s="352" t="str">
        <f t="shared" si="8"/>
        <v>Rafael vd Vaart (m)</v>
      </c>
    </row>
    <row r="84" spans="2:50">
      <c r="B84" s="907" t="s">
        <v>90</v>
      </c>
      <c r="C84" s="908"/>
      <c r="D84" s="908"/>
      <c r="E84" s="908"/>
      <c r="F84" s="908"/>
      <c r="G84" s="908"/>
      <c r="H84" s="908"/>
      <c r="I84" s="908"/>
      <c r="J84" s="790"/>
      <c r="K84" s="716"/>
      <c r="L84" s="716"/>
      <c r="M84" s="716"/>
      <c r="N84" s="715"/>
      <c r="O84" s="715"/>
      <c r="P84" s="715"/>
      <c r="Q84" s="715"/>
      <c r="R84" s="715"/>
      <c r="S84" s="715"/>
      <c r="T84" s="715"/>
      <c r="V84" s="352" t="s">
        <v>134</v>
      </c>
      <c r="W84" s="352" t="s">
        <v>137</v>
      </c>
      <c r="X84" s="352" t="str">
        <f t="shared" si="8"/>
        <v>Wesley Sneijder (m)</v>
      </c>
      <c r="Y84" s="112" t="s">
        <v>99</v>
      </c>
    </row>
    <row r="85" spans="2:50">
      <c r="B85" s="791" t="s">
        <v>1</v>
      </c>
      <c r="C85" s="792" t="s">
        <v>2</v>
      </c>
      <c r="D85" s="793" t="s">
        <v>3</v>
      </c>
      <c r="E85" s="794"/>
      <c r="F85" s="795" t="s">
        <v>4</v>
      </c>
      <c r="G85" s="913" t="s">
        <v>5</v>
      </c>
      <c r="H85" s="914"/>
      <c r="I85" s="915"/>
      <c r="J85" s="796" t="s">
        <v>6</v>
      </c>
      <c r="K85" s="716"/>
      <c r="L85" s="716"/>
      <c r="M85" s="716"/>
      <c r="N85" s="715"/>
      <c r="O85" s="715"/>
      <c r="P85" s="715"/>
      <c r="Q85" s="715"/>
      <c r="R85" s="715"/>
      <c r="S85" s="715"/>
      <c r="T85" s="715"/>
      <c r="V85" s="352" t="s">
        <v>134</v>
      </c>
      <c r="W85" s="352" t="s">
        <v>138</v>
      </c>
      <c r="X85" s="352" t="str">
        <f t="shared" si="8"/>
        <v>Jonathan de Guzman (m)</v>
      </c>
      <c r="Y85" s="113" t="s">
        <v>91</v>
      </c>
    </row>
    <row r="86" spans="2:50" ht="15.75" thickBot="1">
      <c r="B86" s="717">
        <v>64</v>
      </c>
      <c r="C86" s="776">
        <v>41833</v>
      </c>
      <c r="D86" s="777" t="s">
        <v>31</v>
      </c>
      <c r="E86" s="718" t="s">
        <v>9</v>
      </c>
      <c r="F86" s="778" t="s">
        <v>14</v>
      </c>
      <c r="G86" s="818">
        <v>1</v>
      </c>
      <c r="H86" s="718" t="s">
        <v>9</v>
      </c>
      <c r="I86" s="819">
        <v>3</v>
      </c>
      <c r="J86" s="820">
        <v>2</v>
      </c>
      <c r="K86" s="716"/>
      <c r="L86" s="716"/>
      <c r="M86" s="716"/>
      <c r="N86" s="715"/>
      <c r="O86" s="715"/>
      <c r="P86" s="715"/>
      <c r="Q86" s="715"/>
      <c r="R86" s="715"/>
      <c r="S86" s="715"/>
      <c r="T86" s="715"/>
      <c r="V86" s="352" t="s">
        <v>134</v>
      </c>
      <c r="W86" s="352" t="s">
        <v>139</v>
      </c>
      <c r="X86" s="352" t="str">
        <f t="shared" si="8"/>
        <v>Nigel de Jong (m)</v>
      </c>
      <c r="Y86" s="109">
        <f>AF86</f>
        <v>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0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353"/>
      <c r="C87" s="129"/>
      <c r="D87" s="392"/>
      <c r="E87" s="353"/>
      <c r="F87" s="392"/>
      <c r="G87" s="353"/>
      <c r="H87" s="353"/>
      <c r="I87" s="353"/>
      <c r="J87" s="353"/>
      <c r="K87" s="353"/>
      <c r="L87" s="353"/>
      <c r="M87" s="353"/>
      <c r="V87" s="352" t="s">
        <v>135</v>
      </c>
      <c r="W87" s="352" t="s">
        <v>205</v>
      </c>
      <c r="X87" s="352" t="str">
        <f t="shared" si="8"/>
        <v>Ricky van Wolfswinkel (a)</v>
      </c>
      <c r="AP87" s="136" t="s">
        <v>102</v>
      </c>
    </row>
    <row r="88" spans="2:50">
      <c r="B88" s="353"/>
      <c r="C88" s="129"/>
      <c r="D88" s="392"/>
      <c r="E88" s="353"/>
      <c r="F88" s="392"/>
      <c r="G88" s="353"/>
      <c r="H88" s="353"/>
      <c r="I88" s="353"/>
      <c r="J88" s="353"/>
      <c r="K88" s="353"/>
      <c r="L88" s="353"/>
      <c r="M88" s="353"/>
      <c r="V88" s="352" t="s">
        <v>135</v>
      </c>
      <c r="W88" s="352" t="s">
        <v>204</v>
      </c>
      <c r="X88" s="352" t="str">
        <f t="shared" si="8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458"/>
    </row>
    <row r="89" spans="2:50" ht="20.25">
      <c r="C89" s="874" t="s">
        <v>101</v>
      </c>
      <c r="D89" s="871"/>
      <c r="E89" s="873" t="str">
        <f>IF(J86=1,D86,IF(J86=2,F86,"Wie zal het worden?"))</f>
        <v>Nederland</v>
      </c>
      <c r="F89" s="873"/>
      <c r="G89" s="873"/>
      <c r="H89" s="873"/>
      <c r="I89" s="873"/>
      <c r="J89" s="873"/>
      <c r="K89" s="353"/>
      <c r="L89" s="353"/>
      <c r="M89" s="353"/>
      <c r="V89" s="352" t="s">
        <v>135</v>
      </c>
      <c r="W89" s="352" t="s">
        <v>201</v>
      </c>
      <c r="X89" s="352" t="str">
        <f t="shared" si="8"/>
        <v>Jermain Lens (a)</v>
      </c>
      <c r="AP89" s="109">
        <f>AU89</f>
        <v>5</v>
      </c>
      <c r="AQ89" s="131">
        <v>1</v>
      </c>
      <c r="AR89" s="904" t="str">
        <f>Uitslag!E89</f>
        <v>Duitsland</v>
      </c>
      <c r="AS89" s="905"/>
      <c r="AT89" s="906"/>
      <c r="AU89" s="352">
        <f>SUM(AV89:AX89)</f>
        <v>5</v>
      </c>
      <c r="AV89" s="352">
        <f>IF(AR89=0,0,IF(E89=AR89,50,0))</f>
        <v>0</v>
      </c>
      <c r="AW89" s="352">
        <f>IF(E89=0,0,IF(OR(E89=AR90),15,0))</f>
        <v>0</v>
      </c>
      <c r="AX89" s="352">
        <f>IF(E89=0,0,IF(OR(E89=AR91,E89=AR92),5,0))</f>
        <v>5</v>
      </c>
    </row>
    <row r="90" spans="2:50">
      <c r="C90" s="870">
        <v>2</v>
      </c>
      <c r="D90" s="871"/>
      <c r="E90" s="872" t="str">
        <f>IF(J86=2,D86,IF(J86=1,F86,"Wie wordt 2de?"))</f>
        <v>Duitsland</v>
      </c>
      <c r="F90" s="872"/>
      <c r="G90" s="872"/>
      <c r="H90" s="872"/>
      <c r="I90" s="872"/>
      <c r="J90" s="872"/>
      <c r="V90" s="352" t="s">
        <v>135</v>
      </c>
      <c r="W90" s="352" t="s">
        <v>200</v>
      </c>
      <c r="X90" s="352" t="str">
        <f t="shared" si="8"/>
        <v>Dirk Kuyt (a)</v>
      </c>
      <c r="AP90" s="109">
        <f>AU90</f>
        <v>15</v>
      </c>
      <c r="AQ90" s="131">
        <v>2</v>
      </c>
      <c r="AR90" s="904" t="str">
        <f>Uitslag!E90</f>
        <v>Argentinië</v>
      </c>
      <c r="AS90" s="905"/>
      <c r="AT90" s="906"/>
      <c r="AU90" s="352">
        <f>SUM(AV90:AX90)</f>
        <v>15</v>
      </c>
      <c r="AV90" s="352">
        <f>IF(AR90=0,0,IF(AR90=E90,25,0))</f>
        <v>0</v>
      </c>
      <c r="AW90" s="352">
        <f>IF(E90=0,0,IF(OR(E90=AR89,),15,0))</f>
        <v>15</v>
      </c>
      <c r="AX90" s="352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Brazilië</v>
      </c>
      <c r="F91" s="872"/>
      <c r="G91" s="872"/>
      <c r="H91" s="872"/>
      <c r="I91" s="872"/>
      <c r="J91" s="872"/>
      <c r="V91" s="352" t="s">
        <v>135</v>
      </c>
      <c r="W91" s="352" t="s">
        <v>128</v>
      </c>
      <c r="X91" s="352" t="str">
        <f t="shared" si="8"/>
        <v>Jürgen Locadia (a)</v>
      </c>
      <c r="AP91" s="109">
        <f>AU91</f>
        <v>10</v>
      </c>
      <c r="AQ91" s="131">
        <v>3</v>
      </c>
      <c r="AR91" s="904" t="str">
        <f>Uitslag!E91</f>
        <v>Nederland</v>
      </c>
      <c r="AS91" s="905"/>
      <c r="AT91" s="906"/>
      <c r="AU91" s="352">
        <f>SUM(AV91:AX91)</f>
        <v>10</v>
      </c>
      <c r="AV91" s="352">
        <f>IF(AR91=0,0,IF(AR91=E91,15,0))</f>
        <v>0</v>
      </c>
      <c r="AW91" s="352">
        <f>IF(E91=0,0,IF(OR(E91=AR92),10,0))</f>
        <v>10</v>
      </c>
      <c r="AX91" s="352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Portugal</v>
      </c>
      <c r="F92" s="872"/>
      <c r="G92" s="872"/>
      <c r="H92" s="872"/>
      <c r="I92" s="872"/>
      <c r="J92" s="872"/>
      <c r="V92" s="352" t="s">
        <v>135</v>
      </c>
      <c r="W92" s="352" t="s">
        <v>127</v>
      </c>
      <c r="X92" s="352" t="str">
        <f t="shared" si="8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 s="352">
        <f>SUM(AV92:AX92)</f>
        <v>0</v>
      </c>
      <c r="AV92" s="352">
        <f>IF(AR92=0,0,IF(AR92=E92,15,0))</f>
        <v>0</v>
      </c>
      <c r="AW92" s="352">
        <f>IF(E92=0,0,IF(OR(E92=AR91,),10,0))</f>
        <v>0</v>
      </c>
      <c r="AX92" s="352">
        <f>IF(E92=0,0,IF(OR(E92=AR89,E92=AR90),5,0))</f>
        <v>0</v>
      </c>
    </row>
    <row r="93" spans="2:50" ht="15.75" thickBot="1">
      <c r="V93" s="352" t="s">
        <v>135</v>
      </c>
      <c r="W93" s="352" t="s">
        <v>123</v>
      </c>
      <c r="X93" s="352" t="str">
        <f t="shared" si="8"/>
        <v>Quincy Promes (a)</v>
      </c>
      <c r="AS93" s="132"/>
      <c r="AU93" s="133">
        <f>SUM(AU89:AU92)</f>
        <v>30</v>
      </c>
    </row>
    <row r="94" spans="2:50" ht="15.75" thickTop="1">
      <c r="V94" s="352" t="s">
        <v>135</v>
      </c>
      <c r="W94" s="352" t="s">
        <v>122</v>
      </c>
      <c r="X94" s="352" t="str">
        <f t="shared" si="8"/>
        <v>Luc Castaignos (a)</v>
      </c>
    </row>
    <row r="95" spans="2:50">
      <c r="V95" s="352" t="s">
        <v>135</v>
      </c>
      <c r="W95" s="352" t="s">
        <v>113</v>
      </c>
      <c r="X95" s="352" t="str">
        <f t="shared" si="8"/>
        <v>Jean-Paul Boëtius (a)</v>
      </c>
    </row>
    <row r="96" spans="2:50">
      <c r="V96" s="352" t="s">
        <v>135</v>
      </c>
      <c r="W96" s="352" t="s">
        <v>129</v>
      </c>
      <c r="X96" s="352" t="str">
        <f t="shared" si="8"/>
        <v>Luciano Narsingh (a)</v>
      </c>
    </row>
    <row r="97" spans="22:24">
      <c r="V97" s="352" t="s">
        <v>135</v>
      </c>
      <c r="W97" s="352" t="s">
        <v>130</v>
      </c>
      <c r="X97" s="352" t="str">
        <f t="shared" si="8"/>
        <v>Robin van Persie (a)</v>
      </c>
    </row>
    <row r="98" spans="22:24">
      <c r="V98" s="352" t="s">
        <v>135</v>
      </c>
      <c r="W98" s="352" t="s">
        <v>131</v>
      </c>
      <c r="X98" s="352" t="str">
        <f t="shared" si="8"/>
        <v>Arjen Robben (a)</v>
      </c>
    </row>
  </sheetData>
  <mergeCells count="36">
    <mergeCell ref="C92:D92"/>
    <mergeCell ref="E92:J92"/>
    <mergeCell ref="AR92:AT92"/>
    <mergeCell ref="P67:T67"/>
    <mergeCell ref="G85:I85"/>
    <mergeCell ref="B75:I75"/>
    <mergeCell ref="P68:T68"/>
    <mergeCell ref="B68:I68"/>
    <mergeCell ref="G81:I81"/>
    <mergeCell ref="G69:I69"/>
    <mergeCell ref="AR89:AT89"/>
    <mergeCell ref="C90:D90"/>
    <mergeCell ref="E90:J90"/>
    <mergeCell ref="AR90:AT90"/>
    <mergeCell ref="C91:D91"/>
    <mergeCell ref="E91:J91"/>
    <mergeCell ref="AR91:AT91"/>
    <mergeCell ref="B84:I84"/>
    <mergeCell ref="P65:T65"/>
    <mergeCell ref="P66:T66"/>
    <mergeCell ref="C89:D89"/>
    <mergeCell ref="E89:J89"/>
    <mergeCell ref="P62:T62"/>
    <mergeCell ref="B6:J6"/>
    <mergeCell ref="G7:I7"/>
    <mergeCell ref="G76:I76"/>
    <mergeCell ref="B80:I80"/>
    <mergeCell ref="O57:T57"/>
    <mergeCell ref="P58:T58"/>
    <mergeCell ref="P59:T59"/>
    <mergeCell ref="P60:T60"/>
    <mergeCell ref="P61:T61"/>
    <mergeCell ref="P63:T63"/>
    <mergeCell ref="P64:T64"/>
    <mergeCell ref="B57:I57"/>
    <mergeCell ref="G58:I58"/>
  </mergeCells>
  <conditionalFormatting sqref="AO9:AO12 AO15:AO18 AO21:AO24 AO27:AO30 AO33:AO36 AO39:AO42 AO45:AO48 AO51:AO54">
    <cfRule type="cellIs" dxfId="92" priority="3" operator="equal">
      <formula>10</formula>
    </cfRule>
  </conditionalFormatting>
  <conditionalFormatting sqref="P58:T58">
    <cfRule type="duplicateValues" dxfId="91" priority="2"/>
  </conditionalFormatting>
  <conditionalFormatting sqref="P58:T68">
    <cfRule type="duplicateValues" dxfId="90" priority="1"/>
  </conditionalFormatting>
  <dataValidations count="10">
    <dataValidation type="list" allowBlank="1" showInputMessage="1" showErrorMessage="1" sqref="T51:T54">
      <formula1>$W$51:$W$54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P58:P68">
      <formula1>$X$58:$X$98</formula1>
    </dataValidation>
  </dataValidation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>
  <dimension ref="B1:BB98"/>
  <sheetViews>
    <sheetView topLeftCell="A37" zoomScale="70" zoomScaleNormal="70" workbookViewId="0">
      <selection activeCell="P58" sqref="P58:T68"/>
    </sheetView>
  </sheetViews>
  <sheetFormatPr defaultRowHeight="15" outlineLevelCol="2"/>
  <cols>
    <col min="1" max="1" width="3.42578125" style="352" customWidth="1"/>
    <col min="2" max="2" width="3.5703125" style="352" bestFit="1" customWidth="1"/>
    <col min="3" max="3" width="11.5703125" style="123" bestFit="1" customWidth="1"/>
    <col min="4" max="4" width="19.7109375" style="352" bestFit="1" customWidth="1"/>
    <col min="5" max="5" width="3.42578125" style="352" customWidth="1"/>
    <col min="6" max="6" width="19.7109375" style="352" bestFit="1" customWidth="1"/>
    <col min="7" max="7" width="6.7109375" style="352" customWidth="1"/>
    <col min="8" max="8" width="1.5703125" style="352" bestFit="1" customWidth="1"/>
    <col min="9" max="9" width="6.7109375" style="352" customWidth="1"/>
    <col min="10" max="10" width="6.85546875" style="352" bestFit="1" customWidth="1"/>
    <col min="11" max="13" width="9.140625" style="352" hidden="1" customWidth="1" outlineLevel="1"/>
    <col min="14" max="14" width="11.42578125" style="352" bestFit="1" customWidth="1" collapsed="1"/>
    <col min="15" max="15" width="14.7109375" style="352" bestFit="1" customWidth="1"/>
    <col min="16" max="16" width="12.28515625" style="352" bestFit="1" customWidth="1"/>
    <col min="17" max="17" width="8.140625" style="352" bestFit="1" customWidth="1"/>
    <col min="18" max="18" width="7.7109375" style="352" bestFit="1" customWidth="1"/>
    <col min="19" max="19" width="9.140625" style="352"/>
    <col min="20" max="20" width="8.5703125" style="352" bestFit="1" customWidth="1"/>
    <col min="21" max="21" width="9.140625" style="352"/>
    <col min="22" max="23" width="9.140625" style="352" hidden="1" customWidth="1" outlineLevel="1"/>
    <col min="24" max="24" width="2" style="352" hidden="1" customWidth="1" outlineLevel="1"/>
    <col min="25" max="25" width="12.28515625" style="352" bestFit="1" customWidth="1" collapsed="1"/>
    <col min="26" max="27" width="12.28515625" style="352" hidden="1" customWidth="1" outlineLevel="1"/>
    <col min="28" max="28" width="4.7109375" style="352" hidden="1" customWidth="1" outlineLevel="1"/>
    <col min="29" max="38" width="9.140625" style="352" hidden="1" customWidth="1" outlineLevel="1"/>
    <col min="39" max="39" width="7.42578125" style="352" bestFit="1" customWidth="1" collapsed="1"/>
    <col min="40" max="40" width="19.7109375" style="352" hidden="1" customWidth="1" outlineLevel="1"/>
    <col min="41" max="41" width="9.140625" style="352" hidden="1" customWidth="1" outlineLevel="1"/>
    <col min="42" max="42" width="9.140625" style="352" collapsed="1"/>
    <col min="43" max="49" width="9.140625" style="352" hidden="1" customWidth="1" outlineLevel="2"/>
    <col min="50" max="50" width="11.5703125" style="352" hidden="1" customWidth="1" outlineLevel="2"/>
    <col min="51" max="51" width="11.85546875" style="352" hidden="1" customWidth="1" outlineLevel="1" collapsed="1"/>
    <col min="52" max="52" width="9.42578125" style="352" hidden="1" customWidth="1" outlineLevel="1"/>
    <col min="53" max="53" width="10.5703125" style="352" hidden="1" customWidth="1" outlineLevel="1"/>
    <col min="54" max="54" width="9.140625" style="352" collapsed="1"/>
    <col min="55" max="55" width="11.85546875" style="352" bestFit="1" customWidth="1"/>
    <col min="56" max="16384" width="9.140625" style="352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291</v>
      </c>
      <c r="E3" s="335"/>
      <c r="F3" s="335"/>
      <c r="N3" s="352" t="str">
        <f>D3</f>
        <v>Jorg R.</v>
      </c>
      <c r="O3" s="144">
        <f>SUM(P3:S3)</f>
        <v>455</v>
      </c>
      <c r="P3" s="109">
        <f>SUM(Y8:Y86)</f>
        <v>201</v>
      </c>
      <c r="Q3" s="109">
        <f>SUM(AM4:AM55)</f>
        <v>160</v>
      </c>
      <c r="R3" s="109">
        <f>SUM(AP89:AP92)</f>
        <v>70</v>
      </c>
      <c r="S3" s="109">
        <f>SUM(BB58:BB69)</f>
        <v>24</v>
      </c>
      <c r="T3" s="109">
        <f>COUNTIF(AF8:AF86,10)</f>
        <v>6</v>
      </c>
      <c r="U3" s="109" t="str">
        <f>E89</f>
        <v>Duitsland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O6" s="392"/>
      <c r="P6" s="393"/>
      <c r="Q6" s="393"/>
      <c r="R6" s="393"/>
      <c r="S6" s="393"/>
      <c r="T6" s="393"/>
      <c r="U6" s="392"/>
      <c r="V6" s="392"/>
      <c r="W6" s="392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80" t="s">
        <v>3</v>
      </c>
      <c r="E7" s="419"/>
      <c r="F7" s="481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O7" s="353"/>
      <c r="P7" s="393"/>
      <c r="Q7" s="393"/>
      <c r="R7" s="393"/>
      <c r="S7" s="393"/>
      <c r="T7" s="393"/>
      <c r="U7" s="353"/>
      <c r="V7" s="353"/>
      <c r="W7" s="353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458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2</v>
      </c>
      <c r="H8" s="360" t="s">
        <v>9</v>
      </c>
      <c r="I8" s="478">
        <v>1</v>
      </c>
      <c r="J8" s="362">
        <f t="shared" ref="J8:J55" si="0">IF(I8="","",IF(G8&gt;I8,1,IF(G8&lt;I8,2,3)))</f>
        <v>1</v>
      </c>
      <c r="K8" s="363">
        <f t="shared" ref="K8:K55" si="1">IF(I8="","",IF($G8&gt;$I8,3,IF($G8=$I8,1,0)))</f>
        <v>3</v>
      </c>
      <c r="L8" s="363">
        <f t="shared" ref="L8:L55" si="2">IF(I8="","",IF($G8&lt;$I8,3,IF($G8=$I8,1,0)))</f>
        <v>0</v>
      </c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392"/>
      <c r="V8" s="392"/>
      <c r="W8" s="392"/>
      <c r="Y8" s="109">
        <f>AF8</f>
        <v>6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6</v>
      </c>
      <c r="AG8" s="108">
        <f t="shared" ref="AG8:AG55" si="3">IF(AC8="",0,(IF(G8=AC8,1,0)))</f>
        <v>0</v>
      </c>
      <c r="AH8" s="108">
        <f t="shared" ref="AH8:AH55" si="4">IF(AD8="",0,(IF(I8=AD8,1,0)))</f>
        <v>1</v>
      </c>
      <c r="AI8" s="108">
        <f>IF(AND(AG8=1,AH8=1),10,0)</f>
        <v>0</v>
      </c>
      <c r="AJ8" s="108">
        <f t="shared" ref="AJ8:AJ55" si="5">IF(AND(G8&gt;I8,AC8&gt;AD8),5,0)</f>
        <v>5</v>
      </c>
      <c r="AK8" s="108">
        <f t="shared" ref="AK8:AK55" si="6">IF(AND(G8&lt;I8,AC8&lt;AD8),5,0)</f>
        <v>0</v>
      </c>
      <c r="AL8" s="108">
        <f t="shared" ref="AL8:AL55" si="7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1</v>
      </c>
      <c r="H9" s="367" t="s">
        <v>9</v>
      </c>
      <c r="I9" s="440">
        <v>0</v>
      </c>
      <c r="J9" s="369">
        <f t="shared" si="0"/>
        <v>1</v>
      </c>
      <c r="K9" s="363">
        <f t="shared" si="1"/>
        <v>3</v>
      </c>
      <c r="L9" s="363">
        <f t="shared" si="2"/>
        <v>0</v>
      </c>
      <c r="O9" s="394" t="s">
        <v>8</v>
      </c>
      <c r="P9" s="395">
        <f>SUMIF($D$8:$D$55,$O9,$G$8:$G$55)+SUMIF($F$8:$F$55,$O9,$I$8:$I$55)</f>
        <v>8</v>
      </c>
      <c r="Q9" s="395">
        <f>SUMIF($D$8:$D$55,$O9,$I$8:$I$55)+SUMIF($F$8:$F$55,$O9,$G$8:$G$55)</f>
        <v>2</v>
      </c>
      <c r="R9" s="396">
        <f>P9-Q9</f>
        <v>6</v>
      </c>
      <c r="S9" s="397">
        <f>SUMIF($D$8:$D$55,$O9,$K$8:$K$55)+SUMIF($F$8:$F$55,$O9,$L$8:$L$55)</f>
        <v>9</v>
      </c>
      <c r="T9" s="444" t="s">
        <v>48</v>
      </c>
      <c r="U9" s="392"/>
      <c r="V9" s="392" t="str">
        <f>O9</f>
        <v>Brazilië</v>
      </c>
      <c r="W9" s="392" t="s">
        <v>48</v>
      </c>
      <c r="Y9" s="109">
        <f t="shared" ref="Y9:Y55" si="8">AF9</f>
        <v>10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10</v>
      </c>
      <c r="AG9" s="108">
        <f t="shared" si="3"/>
        <v>1</v>
      </c>
      <c r="AH9" s="108">
        <f t="shared" si="4"/>
        <v>1</v>
      </c>
      <c r="AI9" s="108">
        <f t="shared" ref="AI9:AI55" si="10">IF(AND(AG9=1,AH9=1),10,0)</f>
        <v>10</v>
      </c>
      <c r="AJ9" s="108">
        <f t="shared" si="5"/>
        <v>5</v>
      </c>
      <c r="AK9" s="108">
        <f t="shared" si="6"/>
        <v>0</v>
      </c>
      <c r="AL9" s="108">
        <f t="shared" si="7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1</v>
      </c>
      <c r="H10" s="373" t="s">
        <v>9</v>
      </c>
      <c r="I10" s="441">
        <v>1</v>
      </c>
      <c r="J10" s="375">
        <f t="shared" si="0"/>
        <v>3</v>
      </c>
      <c r="K10" s="363">
        <f t="shared" si="1"/>
        <v>1</v>
      </c>
      <c r="L10" s="363">
        <f t="shared" si="2"/>
        <v>1</v>
      </c>
      <c r="O10" s="398" t="s">
        <v>10</v>
      </c>
      <c r="P10" s="399">
        <f>SUMIF($D$8:$D$55,$O10,$G$8:$G$55)+SUMIF($F$8:$F$55,$O10,$I$8:$I$55)</f>
        <v>3</v>
      </c>
      <c r="Q10" s="399">
        <f>SUMIF($D$8:$D$55,$O10,$I$8:$I$55)+SUMIF($F$8:$F$55,$O10,$G$8:$G$55)</f>
        <v>4</v>
      </c>
      <c r="R10" s="399">
        <f>P10-Q10</f>
        <v>-1</v>
      </c>
      <c r="S10" s="400">
        <f>SUMIF($D$8:$D$55,$O10,$K$8:$K$55)+SUMIF($F$8:$F$55,$O10,$L$8:$L$55)</f>
        <v>2</v>
      </c>
      <c r="T10" s="445" t="s">
        <v>47</v>
      </c>
      <c r="U10" s="392"/>
      <c r="V10" s="392" t="str">
        <f>O10</f>
        <v>Kroatië</v>
      </c>
      <c r="W10" s="392" t="s">
        <v>49</v>
      </c>
      <c r="Y10" s="109">
        <f t="shared" si="8"/>
        <v>1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1</v>
      </c>
      <c r="AG10" s="108">
        <f t="shared" si="3"/>
        <v>1</v>
      </c>
      <c r="AH10" s="108">
        <f t="shared" si="4"/>
        <v>0</v>
      </c>
      <c r="AI10" s="108">
        <f t="shared" si="10"/>
        <v>0</v>
      </c>
      <c r="AJ10" s="108">
        <f t="shared" si="5"/>
        <v>0</v>
      </c>
      <c r="AK10" s="108">
        <f t="shared" si="6"/>
        <v>0</v>
      </c>
      <c r="AL10" s="108">
        <f t="shared" si="7"/>
        <v>0</v>
      </c>
      <c r="AM10" s="120">
        <f>AO10</f>
        <v>10</v>
      </c>
      <c r="AN10" s="117" t="s">
        <v>10</v>
      </c>
      <c r="AO10" s="115">
        <f>IF(Uitslag!T10="",0,IF(T10=Uitslag!T10,10,0))</f>
        <v>10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1</v>
      </c>
      <c r="H11" s="379" t="s">
        <v>9</v>
      </c>
      <c r="I11" s="442">
        <v>2</v>
      </c>
      <c r="J11" s="381">
        <f t="shared" si="0"/>
        <v>2</v>
      </c>
      <c r="K11" s="363">
        <f t="shared" si="1"/>
        <v>0</v>
      </c>
      <c r="L11" s="363">
        <f t="shared" si="2"/>
        <v>3</v>
      </c>
      <c r="O11" s="398" t="s">
        <v>11</v>
      </c>
      <c r="P11" s="399">
        <f>SUMIF($D$8:$D$55,$O11,$G$8:$G$55)+SUMIF($F$8:$F$55,$O11,$I$8:$I$55)</f>
        <v>3</v>
      </c>
      <c r="Q11" s="399">
        <f>SUMIF($D$8:$D$55,$O11,$I$8:$I$55)+SUMIF($F$8:$F$55,$O11,$G$8:$G$55)</f>
        <v>4</v>
      </c>
      <c r="R11" s="399">
        <f>P11-Q11</f>
        <v>-1</v>
      </c>
      <c r="S11" s="400">
        <f>SUMIF($D$8:$D$55,$O11,$K$8:$K$55)+SUMIF($F$8:$F$55,$O11,$L$8:$L$55)</f>
        <v>4</v>
      </c>
      <c r="T11" s="445" t="s">
        <v>49</v>
      </c>
      <c r="U11" s="392"/>
      <c r="V11" s="392" t="str">
        <f>O11</f>
        <v>Mexico</v>
      </c>
      <c r="W11" s="392" t="s">
        <v>47</v>
      </c>
      <c r="Y11" s="109">
        <f t="shared" si="8"/>
        <v>0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0</v>
      </c>
      <c r="AG11" s="108">
        <f t="shared" si="3"/>
        <v>0</v>
      </c>
      <c r="AH11" s="108">
        <f t="shared" si="4"/>
        <v>0</v>
      </c>
      <c r="AI11" s="108">
        <f t="shared" si="10"/>
        <v>0</v>
      </c>
      <c r="AJ11" s="108">
        <f t="shared" si="5"/>
        <v>0</v>
      </c>
      <c r="AK11" s="108">
        <f t="shared" si="6"/>
        <v>0</v>
      </c>
      <c r="AL11" s="108">
        <f t="shared" si="7"/>
        <v>0</v>
      </c>
      <c r="AM11" s="120">
        <f>AO11</f>
        <v>10</v>
      </c>
      <c r="AN11" s="117" t="s">
        <v>11</v>
      </c>
      <c r="AO11" s="115">
        <f>IF(Uitslag!T11="",0,IF(T11=Uitslag!T11,10,0))</f>
        <v>10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2</v>
      </c>
      <c r="H12" s="367" t="s">
        <v>9</v>
      </c>
      <c r="I12" s="440">
        <v>1</v>
      </c>
      <c r="J12" s="369">
        <f t="shared" si="0"/>
        <v>1</v>
      </c>
      <c r="K12" s="363">
        <f t="shared" si="1"/>
        <v>3</v>
      </c>
      <c r="L12" s="363">
        <f t="shared" si="2"/>
        <v>0</v>
      </c>
      <c r="O12" s="401" t="s">
        <v>12</v>
      </c>
      <c r="P12" s="402">
        <f>SUMIF($D$8:$D$55,$O12,$G$8:$G$55)+SUMIF($F$8:$F$55,$O12,$I$8:$I$55)</f>
        <v>1</v>
      </c>
      <c r="Q12" s="402">
        <f>SUMIF($D$8:$D$55,$O12,$I$8:$I$55)+SUMIF($F$8:$F$55,$O12,$G$8:$G$55)</f>
        <v>5</v>
      </c>
      <c r="R12" s="402">
        <f>P12-Q12</f>
        <v>-4</v>
      </c>
      <c r="S12" s="403">
        <f>SUMIF($D$8:$D$55,$O12,$K$8:$K$55)+SUMIF($F$8:$F$55,$O12,$L$8:$L$55)</f>
        <v>1</v>
      </c>
      <c r="T12" s="446" t="s">
        <v>50</v>
      </c>
      <c r="U12" s="392"/>
      <c r="V12" s="392" t="str">
        <f>O12</f>
        <v>Kameroen</v>
      </c>
      <c r="W12" s="392" t="s">
        <v>50</v>
      </c>
      <c r="Y12" s="109">
        <f t="shared" si="8"/>
        <v>5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5</v>
      </c>
      <c r="AG12" s="108">
        <f t="shared" si="3"/>
        <v>0</v>
      </c>
      <c r="AH12" s="108">
        <f t="shared" si="4"/>
        <v>0</v>
      </c>
      <c r="AI12" s="108">
        <f t="shared" si="10"/>
        <v>0</v>
      </c>
      <c r="AJ12" s="108">
        <f t="shared" si="5"/>
        <v>5</v>
      </c>
      <c r="AK12" s="108">
        <f t="shared" si="6"/>
        <v>0</v>
      </c>
      <c r="AL12" s="108">
        <f t="shared" si="7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1</v>
      </c>
      <c r="H13" s="373" t="s">
        <v>9</v>
      </c>
      <c r="I13" s="441">
        <v>0</v>
      </c>
      <c r="J13" s="375">
        <f t="shared" si="0"/>
        <v>1</v>
      </c>
      <c r="K13" s="363">
        <f t="shared" si="1"/>
        <v>3</v>
      </c>
      <c r="L13" s="363">
        <f t="shared" si="2"/>
        <v>0</v>
      </c>
      <c r="O13" s="392"/>
      <c r="P13" s="393"/>
      <c r="Q13" s="393"/>
      <c r="R13" s="393"/>
      <c r="S13" s="393"/>
      <c r="T13" s="393"/>
      <c r="U13" s="392"/>
      <c r="V13" s="392"/>
      <c r="W13" s="392"/>
      <c r="Y13" s="109">
        <f t="shared" si="8"/>
        <v>1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1</v>
      </c>
      <c r="AG13" s="108">
        <f t="shared" si="3"/>
        <v>1</v>
      </c>
      <c r="AH13" s="108">
        <f t="shared" si="4"/>
        <v>0</v>
      </c>
      <c r="AI13" s="108">
        <f t="shared" si="10"/>
        <v>0</v>
      </c>
      <c r="AJ13" s="108">
        <f t="shared" si="5"/>
        <v>0</v>
      </c>
      <c r="AK13" s="108">
        <f t="shared" si="6"/>
        <v>0</v>
      </c>
      <c r="AL13" s="108">
        <f t="shared" si="7"/>
        <v>0</v>
      </c>
      <c r="AN13" s="392"/>
      <c r="AO13" s="393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2</v>
      </c>
      <c r="H14" s="373" t="s">
        <v>9</v>
      </c>
      <c r="I14" s="441">
        <v>2</v>
      </c>
      <c r="J14" s="375">
        <f t="shared" si="0"/>
        <v>3</v>
      </c>
      <c r="K14" s="363">
        <f t="shared" si="1"/>
        <v>1</v>
      </c>
      <c r="L14" s="363">
        <f t="shared" si="2"/>
        <v>1</v>
      </c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392"/>
      <c r="V14" s="392"/>
      <c r="W14" s="392"/>
      <c r="Y14" s="109">
        <f t="shared" si="8"/>
        <v>1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</v>
      </c>
      <c r="AG14" s="108">
        <f t="shared" si="3"/>
        <v>0</v>
      </c>
      <c r="AH14" s="108">
        <f t="shared" si="4"/>
        <v>1</v>
      </c>
      <c r="AI14" s="108">
        <f t="shared" si="10"/>
        <v>0</v>
      </c>
      <c r="AJ14" s="108">
        <f t="shared" si="5"/>
        <v>0</v>
      </c>
      <c r="AK14" s="108">
        <f t="shared" si="6"/>
        <v>0</v>
      </c>
      <c r="AL14" s="108">
        <f t="shared" si="7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1</v>
      </c>
      <c r="H15" s="379" t="s">
        <v>9</v>
      </c>
      <c r="I15" s="442">
        <v>1</v>
      </c>
      <c r="J15" s="381">
        <f t="shared" si="0"/>
        <v>3</v>
      </c>
      <c r="K15" s="363">
        <f t="shared" si="1"/>
        <v>1</v>
      </c>
      <c r="L15" s="363">
        <f t="shared" si="2"/>
        <v>1</v>
      </c>
      <c r="O15" s="394" t="s">
        <v>13</v>
      </c>
      <c r="P15" s="395">
        <f>SUMIF($D$8:$D$55,$O15,$G$8:$G$55)+SUMIF($F$8:$F$55,$O15,$I$8:$I$55)</f>
        <v>5</v>
      </c>
      <c r="Q15" s="395">
        <f>SUMIF($D$8:$D$55,$O15,$I$8:$I$55)+SUMIF($F$8:$F$55,$O15,$G$8:$G$55)</f>
        <v>3</v>
      </c>
      <c r="R15" s="396">
        <f>P15-Q15</f>
        <v>2</v>
      </c>
      <c r="S15" s="397">
        <f>SUMIF($D$8:$D$55,$O15,$K$8:$K$55)+SUMIF($F$8:$F$55,$O15,$L$8:$L$55)</f>
        <v>7</v>
      </c>
      <c r="T15" s="444" t="s">
        <v>53</v>
      </c>
      <c r="U15" s="392"/>
      <c r="V15" s="392" t="str">
        <f>O15</f>
        <v>Spanje</v>
      </c>
      <c r="W15" s="392" t="s">
        <v>52</v>
      </c>
      <c r="Y15" s="109">
        <f t="shared" si="8"/>
        <v>1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1</v>
      </c>
      <c r="AG15" s="108">
        <f t="shared" si="3"/>
        <v>0</v>
      </c>
      <c r="AH15" s="108">
        <f t="shared" si="4"/>
        <v>1</v>
      </c>
      <c r="AI15" s="108">
        <f t="shared" si="10"/>
        <v>0</v>
      </c>
      <c r="AJ15" s="108">
        <f t="shared" si="5"/>
        <v>0</v>
      </c>
      <c r="AK15" s="108">
        <f t="shared" si="6"/>
        <v>0</v>
      </c>
      <c r="AL15" s="108">
        <f t="shared" si="7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1</v>
      </c>
      <c r="H16" s="367" t="s">
        <v>9</v>
      </c>
      <c r="I16" s="440">
        <v>0</v>
      </c>
      <c r="J16" s="369">
        <f t="shared" si="0"/>
        <v>1</v>
      </c>
      <c r="K16" s="363">
        <f t="shared" si="1"/>
        <v>3</v>
      </c>
      <c r="L16" s="363">
        <f t="shared" si="2"/>
        <v>0</v>
      </c>
      <c r="O16" s="404" t="s">
        <v>14</v>
      </c>
      <c r="P16" s="399">
        <f>SUMIF($D$8:$D$55,$O16,$G$8:$G$55)+SUMIF($F$8:$F$55,$O16,$I$8:$I$55)</f>
        <v>5</v>
      </c>
      <c r="Q16" s="399">
        <f>SUMIF($D$8:$D$55,$O16,$I$8:$I$55)+SUMIF($F$8:$F$55,$O16,$G$8:$G$55)</f>
        <v>2</v>
      </c>
      <c r="R16" s="399">
        <f>P16-Q16</f>
        <v>3</v>
      </c>
      <c r="S16" s="400">
        <f>SUMIF($D$8:$D$55,$O16,$K$8:$K$55)+SUMIF($F$8:$F$55,$O16,$L$8:$L$55)</f>
        <v>7</v>
      </c>
      <c r="T16" s="445" t="s">
        <v>52</v>
      </c>
      <c r="U16" s="392"/>
      <c r="V16" s="392" t="str">
        <f>O16</f>
        <v>Nederland</v>
      </c>
      <c r="W16" s="392" t="s">
        <v>53</v>
      </c>
      <c r="Y16" s="109">
        <f t="shared" si="8"/>
        <v>5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5</v>
      </c>
      <c r="AG16" s="108">
        <f t="shared" si="3"/>
        <v>0</v>
      </c>
      <c r="AH16" s="108">
        <f t="shared" si="4"/>
        <v>0</v>
      </c>
      <c r="AI16" s="108">
        <f t="shared" si="10"/>
        <v>0</v>
      </c>
      <c r="AJ16" s="108">
        <f t="shared" si="5"/>
        <v>5</v>
      </c>
      <c r="AK16" s="108">
        <f t="shared" si="6"/>
        <v>0</v>
      </c>
      <c r="AL16" s="108">
        <f t="shared" si="7"/>
        <v>0</v>
      </c>
      <c r="AM16" s="120">
        <f>AO16</f>
        <v>10</v>
      </c>
      <c r="AN16" s="119" t="s">
        <v>14</v>
      </c>
      <c r="AO16" s="115">
        <f>IF(Uitslag!T16="",0,IF(T16=Uitslag!T16,10,0))</f>
        <v>10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1</v>
      </c>
      <c r="H17" s="373" t="s">
        <v>9</v>
      </c>
      <c r="I17" s="441">
        <v>0</v>
      </c>
      <c r="J17" s="375">
        <f t="shared" si="0"/>
        <v>1</v>
      </c>
      <c r="K17" s="363">
        <f t="shared" si="1"/>
        <v>3</v>
      </c>
      <c r="L17" s="363">
        <f t="shared" si="2"/>
        <v>0</v>
      </c>
      <c r="O17" s="398" t="s">
        <v>15</v>
      </c>
      <c r="P17" s="399">
        <f>SUMIF($D$8:$D$55,$O17,$G$8:$G$55)+SUMIF($F$8:$F$55,$O17,$I$8:$I$55)</f>
        <v>3</v>
      </c>
      <c r="Q17" s="399">
        <f>SUMIF($D$8:$D$55,$O17,$I$8:$I$55)+SUMIF($F$8:$F$55,$O17,$G$8:$G$55)</f>
        <v>6</v>
      </c>
      <c r="R17" s="399">
        <f>P17-Q17</f>
        <v>-3</v>
      </c>
      <c r="S17" s="400">
        <f>SUMIF($D$8:$D$55,$O17,$K$8:$K$55)+SUMIF($F$8:$F$55,$O17,$L$8:$L$55)</f>
        <v>0</v>
      </c>
      <c r="T17" s="445" t="s">
        <v>54</v>
      </c>
      <c r="U17" s="392"/>
      <c r="V17" s="392" t="str">
        <f>O17</f>
        <v>Chili</v>
      </c>
      <c r="W17" s="392" t="s">
        <v>54</v>
      </c>
      <c r="Y17" s="109">
        <f t="shared" si="8"/>
        <v>6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6</v>
      </c>
      <c r="AG17" s="108">
        <f t="shared" si="3"/>
        <v>0</v>
      </c>
      <c r="AH17" s="108">
        <f t="shared" si="4"/>
        <v>1</v>
      </c>
      <c r="AI17" s="108">
        <f t="shared" si="10"/>
        <v>0</v>
      </c>
      <c r="AJ17" s="108">
        <f t="shared" si="5"/>
        <v>5</v>
      </c>
      <c r="AK17" s="108">
        <f t="shared" si="6"/>
        <v>0</v>
      </c>
      <c r="AL17" s="108">
        <f t="shared" si="7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2</v>
      </c>
      <c r="H18" s="379" t="s">
        <v>9</v>
      </c>
      <c r="I18" s="442">
        <v>1</v>
      </c>
      <c r="J18" s="381">
        <f t="shared" si="0"/>
        <v>1</v>
      </c>
      <c r="K18" s="363">
        <f t="shared" si="1"/>
        <v>3</v>
      </c>
      <c r="L18" s="363">
        <f t="shared" si="2"/>
        <v>0</v>
      </c>
      <c r="O18" s="401" t="s">
        <v>16</v>
      </c>
      <c r="P18" s="402">
        <f>SUMIF($D$8:$D$55,$O18,$G$8:$G$55)+SUMIF($F$8:$F$55,$O18,$I$8:$I$55)</f>
        <v>3</v>
      </c>
      <c r="Q18" s="402">
        <f>SUMIF($D$8:$D$55,$O18,$I$8:$I$55)+SUMIF($F$8:$F$55,$O18,$G$8:$G$55)</f>
        <v>5</v>
      </c>
      <c r="R18" s="402">
        <f>P18-Q18</f>
        <v>-2</v>
      </c>
      <c r="S18" s="403">
        <f>SUMIF($D$8:$D$55,$O18,$K$8:$K$55)+SUMIF($F$8:$F$55,$O18,$L$8:$L$55)</f>
        <v>3</v>
      </c>
      <c r="T18" s="446" t="s">
        <v>55</v>
      </c>
      <c r="U18" s="392"/>
      <c r="V18" s="392" t="str">
        <f>O18</f>
        <v>Australië</v>
      </c>
      <c r="W18" s="392" t="s">
        <v>55</v>
      </c>
      <c r="Y18" s="109">
        <f t="shared" si="8"/>
        <v>10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10</v>
      </c>
      <c r="AG18" s="108">
        <f t="shared" si="3"/>
        <v>1</v>
      </c>
      <c r="AH18" s="108">
        <f t="shared" si="4"/>
        <v>1</v>
      </c>
      <c r="AI18" s="108">
        <f t="shared" si="10"/>
        <v>10</v>
      </c>
      <c r="AJ18" s="108">
        <f t="shared" si="5"/>
        <v>5</v>
      </c>
      <c r="AK18" s="108">
        <f t="shared" si="6"/>
        <v>0</v>
      </c>
      <c r="AL18" s="108">
        <f t="shared" si="7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2</v>
      </c>
      <c r="H19" s="367" t="s">
        <v>9</v>
      </c>
      <c r="I19" s="440">
        <v>2</v>
      </c>
      <c r="J19" s="369">
        <f t="shared" si="0"/>
        <v>3</v>
      </c>
      <c r="K19" s="363">
        <f t="shared" si="1"/>
        <v>1</v>
      </c>
      <c r="L19" s="363">
        <f t="shared" si="2"/>
        <v>1</v>
      </c>
      <c r="O19" s="392"/>
      <c r="P19" s="393"/>
      <c r="Q19" s="393"/>
      <c r="R19" s="393"/>
      <c r="S19" s="393"/>
      <c r="T19" s="393"/>
      <c r="U19" s="392"/>
      <c r="V19" s="392"/>
      <c r="W19" s="392"/>
      <c r="Y19" s="109">
        <f t="shared" si="8"/>
        <v>0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0</v>
      </c>
      <c r="AG19" s="108">
        <f t="shared" si="3"/>
        <v>0</v>
      </c>
      <c r="AH19" s="108">
        <f t="shared" si="4"/>
        <v>0</v>
      </c>
      <c r="AI19" s="108">
        <f t="shared" si="10"/>
        <v>0</v>
      </c>
      <c r="AJ19" s="108">
        <f t="shared" si="5"/>
        <v>0</v>
      </c>
      <c r="AK19" s="108">
        <f t="shared" si="6"/>
        <v>0</v>
      </c>
      <c r="AL19" s="108">
        <f t="shared" si="7"/>
        <v>0</v>
      </c>
      <c r="AN19" s="392"/>
      <c r="AO19" s="393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0</v>
      </c>
      <c r="H20" s="373" t="s">
        <v>9</v>
      </c>
      <c r="I20" s="441">
        <v>1</v>
      </c>
      <c r="J20" s="375">
        <f t="shared" si="0"/>
        <v>2</v>
      </c>
      <c r="K20" s="363">
        <f t="shared" si="1"/>
        <v>0</v>
      </c>
      <c r="L20" s="363">
        <f t="shared" si="2"/>
        <v>3</v>
      </c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392"/>
      <c r="V20" s="392"/>
      <c r="W20" s="392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3"/>
        <v>1</v>
      </c>
      <c r="AH20" s="108">
        <f t="shared" si="4"/>
        <v>0</v>
      </c>
      <c r="AI20" s="108">
        <f t="shared" si="10"/>
        <v>0</v>
      </c>
      <c r="AJ20" s="108">
        <f t="shared" si="5"/>
        <v>0</v>
      </c>
      <c r="AK20" s="108">
        <f t="shared" si="6"/>
        <v>0</v>
      </c>
      <c r="AL20" s="108">
        <f t="shared" si="7"/>
        <v>0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2</v>
      </c>
      <c r="H21" s="379" t="s">
        <v>9</v>
      </c>
      <c r="I21" s="442">
        <v>2</v>
      </c>
      <c r="J21" s="381">
        <f t="shared" si="0"/>
        <v>3</v>
      </c>
      <c r="K21" s="363">
        <f t="shared" si="1"/>
        <v>1</v>
      </c>
      <c r="L21" s="363">
        <f t="shared" si="2"/>
        <v>1</v>
      </c>
      <c r="O21" s="394" t="s">
        <v>17</v>
      </c>
      <c r="P21" s="395">
        <f>SUMIF($D$8:$D$55,$O21,$G$8:$G$55)+SUMIF($F$8:$F$55,$O21,$I$8:$I$55)</f>
        <v>4</v>
      </c>
      <c r="Q21" s="395">
        <f>SUMIF($D$8:$D$55,$O21,$I$8:$I$55)+SUMIF($F$8:$F$55,$O21,$G$8:$G$55)</f>
        <v>3</v>
      </c>
      <c r="R21" s="396">
        <f>P21-Q21</f>
        <v>1</v>
      </c>
      <c r="S21" s="397">
        <f>SUMIF($D$8:$D$55,$O21,$K$8:$K$55)+SUMIF($F$8:$F$55,$O21,$L$8:$L$55)</f>
        <v>5</v>
      </c>
      <c r="T21" s="444" t="s">
        <v>59</v>
      </c>
      <c r="U21" s="392"/>
      <c r="V21" s="392" t="str">
        <f>O21</f>
        <v>Colombia</v>
      </c>
      <c r="W21" s="392" t="s">
        <v>57</v>
      </c>
      <c r="Y21" s="109">
        <f t="shared" si="8"/>
        <v>1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1</v>
      </c>
      <c r="AG21" s="108">
        <f t="shared" si="3"/>
        <v>0</v>
      </c>
      <c r="AH21" s="108">
        <f t="shared" si="4"/>
        <v>1</v>
      </c>
      <c r="AI21" s="108">
        <f t="shared" si="10"/>
        <v>0</v>
      </c>
      <c r="AJ21" s="108">
        <f t="shared" si="5"/>
        <v>0</v>
      </c>
      <c r="AK21" s="108">
        <f t="shared" si="6"/>
        <v>0</v>
      </c>
      <c r="AL21" s="108">
        <f t="shared" si="7"/>
        <v>0</v>
      </c>
      <c r="AM21" s="120">
        <f>AO21</f>
        <v>0</v>
      </c>
      <c r="AN21" s="116" t="s">
        <v>17</v>
      </c>
      <c r="AO21" s="115">
        <f>IF(Uitslag!T21="",0,IF(T21=Uitslag!T21,10,0))</f>
        <v>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2</v>
      </c>
      <c r="H22" s="367" t="s">
        <v>9</v>
      </c>
      <c r="I22" s="440">
        <v>1</v>
      </c>
      <c r="J22" s="369">
        <f t="shared" si="0"/>
        <v>1</v>
      </c>
      <c r="K22" s="363">
        <f t="shared" si="1"/>
        <v>3</v>
      </c>
      <c r="L22" s="363">
        <f t="shared" si="2"/>
        <v>0</v>
      </c>
      <c r="O22" s="398" t="s">
        <v>18</v>
      </c>
      <c r="P22" s="399">
        <f>SUMIF($D$8:$D$55,$O22,$G$8:$G$55)+SUMIF($F$8:$F$55,$O22,$I$8:$I$55)</f>
        <v>2</v>
      </c>
      <c r="Q22" s="399">
        <f>SUMIF($D$8:$D$55,$O22,$I$8:$I$55)+SUMIF($F$8:$F$55,$O22,$G$8:$G$55)</f>
        <v>4</v>
      </c>
      <c r="R22" s="399">
        <f>P22-Q22</f>
        <v>-2</v>
      </c>
      <c r="S22" s="400">
        <f>SUMIF($D$8:$D$55,$O22,$K$8:$K$55)+SUMIF($F$8:$F$55,$O22,$L$8:$L$55)</f>
        <v>3</v>
      </c>
      <c r="T22" s="445" t="s">
        <v>58</v>
      </c>
      <c r="U22" s="392"/>
      <c r="V22" s="392" t="str">
        <f>O22</f>
        <v>Griekenland</v>
      </c>
      <c r="W22" s="392" t="s">
        <v>58</v>
      </c>
      <c r="Y22" s="109">
        <f t="shared" si="8"/>
        <v>10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10</v>
      </c>
      <c r="AG22" s="108">
        <f t="shared" si="3"/>
        <v>1</v>
      </c>
      <c r="AH22" s="108">
        <f t="shared" si="4"/>
        <v>1</v>
      </c>
      <c r="AI22" s="108">
        <f t="shared" si="10"/>
        <v>10</v>
      </c>
      <c r="AJ22" s="108">
        <f t="shared" si="5"/>
        <v>5</v>
      </c>
      <c r="AK22" s="108">
        <f t="shared" si="6"/>
        <v>0</v>
      </c>
      <c r="AL22" s="108">
        <f t="shared" si="7"/>
        <v>0</v>
      </c>
      <c r="AM22" s="120">
        <f>AO22</f>
        <v>10</v>
      </c>
      <c r="AN22" s="117" t="s">
        <v>18</v>
      </c>
      <c r="AO22" s="115">
        <f>IF(Uitslag!T22="",0,IF(T22=Uitslag!T22,10,0))</f>
        <v>10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2</v>
      </c>
      <c r="H23" s="373" t="s">
        <v>9</v>
      </c>
      <c r="I23" s="441">
        <v>0</v>
      </c>
      <c r="J23" s="375">
        <f t="shared" si="0"/>
        <v>1</v>
      </c>
      <c r="K23" s="363">
        <f t="shared" si="1"/>
        <v>3</v>
      </c>
      <c r="L23" s="363">
        <f t="shared" si="2"/>
        <v>0</v>
      </c>
      <c r="O23" s="398" t="s">
        <v>23</v>
      </c>
      <c r="P23" s="399">
        <f>SUMIF($D$8:$D$55,$O23,$G$8:$G$55)+SUMIF($F$8:$F$55,$O23,$I$8:$I$55)</f>
        <v>2</v>
      </c>
      <c r="Q23" s="399">
        <f>SUMIF($D$8:$D$55,$O23,$I$8:$I$55)+SUMIF($F$8:$F$55,$O23,$G$8:$G$55)</f>
        <v>3</v>
      </c>
      <c r="R23" s="399">
        <f>P23-Q23</f>
        <v>-1</v>
      </c>
      <c r="S23" s="400">
        <f>SUMIF($D$8:$D$55,$O23,$K$8:$K$55)+SUMIF($F$8:$F$55,$O23,$L$8:$L$55)</f>
        <v>2</v>
      </c>
      <c r="T23" s="445" t="s">
        <v>60</v>
      </c>
      <c r="U23" s="392"/>
      <c r="V23" s="392" t="str">
        <f>O23</f>
        <v>Ivoorkust</v>
      </c>
      <c r="W23" s="392" t="s">
        <v>59</v>
      </c>
      <c r="Y23" s="109">
        <f t="shared" si="8"/>
        <v>1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1</v>
      </c>
      <c r="AG23" s="108">
        <f t="shared" si="3"/>
        <v>0</v>
      </c>
      <c r="AH23" s="108">
        <f t="shared" si="4"/>
        <v>1</v>
      </c>
      <c r="AI23" s="108">
        <f t="shared" si="10"/>
        <v>0</v>
      </c>
      <c r="AJ23" s="108">
        <f t="shared" si="5"/>
        <v>0</v>
      </c>
      <c r="AK23" s="108">
        <f t="shared" si="6"/>
        <v>0</v>
      </c>
      <c r="AL23" s="108">
        <f t="shared" si="7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1</v>
      </c>
      <c r="H24" s="379" t="s">
        <v>9</v>
      </c>
      <c r="I24" s="442">
        <v>0</v>
      </c>
      <c r="J24" s="381">
        <f t="shared" si="0"/>
        <v>1</v>
      </c>
      <c r="K24" s="363">
        <f t="shared" si="1"/>
        <v>3</v>
      </c>
      <c r="L24" s="363">
        <f t="shared" si="2"/>
        <v>0</v>
      </c>
      <c r="O24" s="401" t="s">
        <v>24</v>
      </c>
      <c r="P24" s="402">
        <f>SUMIF($D$8:$D$55,$O24,$G$8:$G$55)+SUMIF($F$8:$F$55,$O24,$I$8:$I$55)</f>
        <v>4</v>
      </c>
      <c r="Q24" s="402">
        <f>SUMIF($D$8:$D$55,$O24,$I$8:$I$55)+SUMIF($F$8:$F$55,$O24,$G$8:$G$55)</f>
        <v>2</v>
      </c>
      <c r="R24" s="402">
        <f>P24-Q24</f>
        <v>2</v>
      </c>
      <c r="S24" s="403">
        <f>SUMIF($D$8:$D$55,$O24,$K$8:$K$55)+SUMIF($F$8:$F$55,$O24,$L$8:$L$55)</f>
        <v>5</v>
      </c>
      <c r="T24" s="446" t="s">
        <v>57</v>
      </c>
      <c r="U24" s="392"/>
      <c r="V24" s="392" t="str">
        <f>O24</f>
        <v>Japan</v>
      </c>
      <c r="W24" s="392" t="s">
        <v>60</v>
      </c>
      <c r="Y24" s="109">
        <f t="shared" si="8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</v>
      </c>
      <c r="AG24" s="108">
        <f t="shared" si="3"/>
        <v>1</v>
      </c>
      <c r="AH24" s="108">
        <f t="shared" si="4"/>
        <v>0</v>
      </c>
      <c r="AI24" s="108">
        <f t="shared" si="10"/>
        <v>0</v>
      </c>
      <c r="AJ24" s="108">
        <f t="shared" si="5"/>
        <v>0</v>
      </c>
      <c r="AK24" s="108">
        <f t="shared" si="6"/>
        <v>0</v>
      </c>
      <c r="AL24" s="108">
        <f t="shared" si="7"/>
        <v>0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0</v>
      </c>
      <c r="H25" s="367" t="s">
        <v>9</v>
      </c>
      <c r="I25" s="440">
        <v>2</v>
      </c>
      <c r="J25" s="369">
        <f t="shared" si="0"/>
        <v>2</v>
      </c>
      <c r="K25" s="363">
        <f t="shared" si="1"/>
        <v>0</v>
      </c>
      <c r="L25" s="363">
        <f t="shared" si="2"/>
        <v>3</v>
      </c>
      <c r="O25" s="392"/>
      <c r="P25" s="393"/>
      <c r="Q25" s="393"/>
      <c r="R25" s="393"/>
      <c r="S25" s="393"/>
      <c r="T25" s="393"/>
      <c r="U25" s="392"/>
      <c r="V25" s="392"/>
      <c r="W25" s="392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3"/>
        <v>0</v>
      </c>
      <c r="AH25" s="108">
        <f t="shared" si="4"/>
        <v>0</v>
      </c>
      <c r="AI25" s="108">
        <f t="shared" si="10"/>
        <v>0</v>
      </c>
      <c r="AJ25" s="108">
        <f t="shared" si="5"/>
        <v>0</v>
      </c>
      <c r="AK25" s="108">
        <f t="shared" si="6"/>
        <v>5</v>
      </c>
      <c r="AL25" s="108">
        <f t="shared" si="7"/>
        <v>0</v>
      </c>
      <c r="AN25" s="392"/>
      <c r="AO25" s="393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2</v>
      </c>
      <c r="H26" s="373" t="s">
        <v>9</v>
      </c>
      <c r="I26" s="441">
        <v>1</v>
      </c>
      <c r="J26" s="375">
        <f t="shared" si="0"/>
        <v>1</v>
      </c>
      <c r="K26" s="363">
        <f t="shared" si="1"/>
        <v>3</v>
      </c>
      <c r="L26" s="363">
        <f t="shared" si="2"/>
        <v>0</v>
      </c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392"/>
      <c r="V26" s="392"/>
      <c r="W26" s="392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3"/>
        <v>0</v>
      </c>
      <c r="AH26" s="108">
        <f t="shared" si="4"/>
        <v>0</v>
      </c>
      <c r="AI26" s="108">
        <f t="shared" si="10"/>
        <v>0</v>
      </c>
      <c r="AJ26" s="108">
        <f t="shared" si="5"/>
        <v>0</v>
      </c>
      <c r="AK26" s="108">
        <f t="shared" si="6"/>
        <v>0</v>
      </c>
      <c r="AL26" s="108">
        <f t="shared" si="7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0</v>
      </c>
      <c r="H27" s="379" t="s">
        <v>9</v>
      </c>
      <c r="I27" s="442">
        <v>0</v>
      </c>
      <c r="J27" s="381">
        <f t="shared" si="0"/>
        <v>3</v>
      </c>
      <c r="K27" s="363">
        <f t="shared" si="1"/>
        <v>1</v>
      </c>
      <c r="L27" s="363">
        <f t="shared" si="2"/>
        <v>1</v>
      </c>
      <c r="O27" s="394" t="s">
        <v>19</v>
      </c>
      <c r="P27" s="395">
        <f>SUMIF($D$8:$D$55,$O27,$G$8:$G$55)+SUMIF($F$8:$F$55,$O27,$I$8:$I$55)</f>
        <v>4</v>
      </c>
      <c r="Q27" s="395">
        <f>SUMIF($D$8:$D$55,$O27,$I$8:$I$55)+SUMIF($F$8:$F$55,$O27,$G$8:$G$55)</f>
        <v>2</v>
      </c>
      <c r="R27" s="396">
        <f>P27-Q27</f>
        <v>2</v>
      </c>
      <c r="S27" s="397">
        <f>SUMIF($D$8:$D$55,$O27,$K$8:$K$55)+SUMIF($F$8:$F$55,$O27,$L$8:$L$55)</f>
        <v>7</v>
      </c>
      <c r="T27" s="444" t="s">
        <v>62</v>
      </c>
      <c r="U27" s="392"/>
      <c r="V27" s="392" t="str">
        <f>O27</f>
        <v>Uruguay</v>
      </c>
      <c r="W27" s="392" t="s">
        <v>62</v>
      </c>
      <c r="Y27" s="109">
        <f t="shared" si="8"/>
        <v>1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1</v>
      </c>
      <c r="AG27" s="108">
        <f t="shared" si="3"/>
        <v>1</v>
      </c>
      <c r="AH27" s="108">
        <f t="shared" si="4"/>
        <v>0</v>
      </c>
      <c r="AI27" s="108">
        <f t="shared" si="10"/>
        <v>0</v>
      </c>
      <c r="AJ27" s="108">
        <f t="shared" si="5"/>
        <v>0</v>
      </c>
      <c r="AK27" s="108">
        <f t="shared" si="6"/>
        <v>0</v>
      </c>
      <c r="AL27" s="108">
        <f t="shared" si="7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1</v>
      </c>
      <c r="H28" s="367" t="s">
        <v>9</v>
      </c>
      <c r="I28" s="440">
        <v>1</v>
      </c>
      <c r="J28" s="369">
        <f t="shared" si="0"/>
        <v>3</v>
      </c>
      <c r="K28" s="363">
        <f t="shared" si="1"/>
        <v>1</v>
      </c>
      <c r="L28" s="363">
        <f t="shared" si="2"/>
        <v>1</v>
      </c>
      <c r="O28" s="398" t="s">
        <v>20</v>
      </c>
      <c r="P28" s="399">
        <f>SUMIF($D$8:$D$55,$O28,$G$8:$G$55)+SUMIF($F$8:$F$55,$O28,$I$8:$I$55)</f>
        <v>2</v>
      </c>
      <c r="Q28" s="399">
        <f>SUMIF($D$8:$D$55,$O28,$I$8:$I$55)+SUMIF($F$8:$F$55,$O28,$G$8:$G$55)</f>
        <v>3</v>
      </c>
      <c r="R28" s="399">
        <f>P28-Q28</f>
        <v>-1</v>
      </c>
      <c r="S28" s="400">
        <f>SUMIF($D$8:$D$55,$O28,$K$8:$K$55)+SUMIF($F$8:$F$55,$O28,$L$8:$L$55)</f>
        <v>2</v>
      </c>
      <c r="T28" s="445" t="s">
        <v>64</v>
      </c>
      <c r="U28" s="392"/>
      <c r="V28" s="392" t="str">
        <f>O28</f>
        <v>Costa Rica</v>
      </c>
      <c r="W28" s="392" t="s">
        <v>63</v>
      </c>
      <c r="Y28" s="109">
        <f t="shared" si="8"/>
        <v>1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1</v>
      </c>
      <c r="AG28" s="108">
        <f t="shared" si="3"/>
        <v>0</v>
      </c>
      <c r="AH28" s="108">
        <f t="shared" si="4"/>
        <v>1</v>
      </c>
      <c r="AI28" s="108">
        <f t="shared" si="10"/>
        <v>0</v>
      </c>
      <c r="AJ28" s="108">
        <f t="shared" si="5"/>
        <v>0</v>
      </c>
      <c r="AK28" s="108">
        <f t="shared" si="6"/>
        <v>0</v>
      </c>
      <c r="AL28" s="108">
        <f t="shared" si="7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2</v>
      </c>
      <c r="H29" s="373" t="s">
        <v>9</v>
      </c>
      <c r="I29" s="441">
        <v>1</v>
      </c>
      <c r="J29" s="375">
        <f t="shared" si="0"/>
        <v>1</v>
      </c>
      <c r="K29" s="363">
        <f t="shared" si="1"/>
        <v>3</v>
      </c>
      <c r="L29" s="363">
        <f t="shared" si="2"/>
        <v>0</v>
      </c>
      <c r="O29" s="398" t="s">
        <v>21</v>
      </c>
      <c r="P29" s="399">
        <f>SUMIF($D$8:$D$55,$O29,$G$8:$G$55)+SUMIF($F$8:$F$55,$O29,$I$8:$I$55)</f>
        <v>5</v>
      </c>
      <c r="Q29" s="399">
        <f>SUMIF($D$8:$D$55,$O29,$I$8:$I$55)+SUMIF($F$8:$F$55,$O29,$G$8:$G$55)</f>
        <v>6</v>
      </c>
      <c r="R29" s="399">
        <f>P29-Q29</f>
        <v>-1</v>
      </c>
      <c r="S29" s="400">
        <f>SUMIF($D$8:$D$55,$O29,$K$8:$K$55)+SUMIF($F$8:$F$55,$O29,$L$8:$L$55)</f>
        <v>2</v>
      </c>
      <c r="T29" s="445" t="s">
        <v>63</v>
      </c>
      <c r="U29" s="392"/>
      <c r="V29" s="392" t="str">
        <f>O29</f>
        <v>Engeland</v>
      </c>
      <c r="W29" s="392" t="s">
        <v>64</v>
      </c>
      <c r="Y29" s="109">
        <f t="shared" si="8"/>
        <v>10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10</v>
      </c>
      <c r="AG29" s="108">
        <f t="shared" si="3"/>
        <v>1</v>
      </c>
      <c r="AH29" s="108">
        <f t="shared" si="4"/>
        <v>1</v>
      </c>
      <c r="AI29" s="108">
        <f t="shared" si="10"/>
        <v>10</v>
      </c>
      <c r="AJ29" s="108">
        <f t="shared" si="5"/>
        <v>5</v>
      </c>
      <c r="AK29" s="108">
        <f t="shared" si="6"/>
        <v>0</v>
      </c>
      <c r="AL29" s="108">
        <f t="shared" si="7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2</v>
      </c>
      <c r="H30" s="379" t="s">
        <v>9</v>
      </c>
      <c r="I30" s="442">
        <v>0</v>
      </c>
      <c r="J30" s="381">
        <f t="shared" si="0"/>
        <v>1</v>
      </c>
      <c r="K30" s="363">
        <f t="shared" si="1"/>
        <v>3</v>
      </c>
      <c r="L30" s="363">
        <f t="shared" si="2"/>
        <v>0</v>
      </c>
      <c r="O30" s="401" t="s">
        <v>22</v>
      </c>
      <c r="P30" s="402">
        <f>SUMIF($D$8:$D$55,$O30,$G$8:$G$55)+SUMIF($F$8:$F$55,$O30,$I$8:$I$55)</f>
        <v>3</v>
      </c>
      <c r="Q30" s="402">
        <f>SUMIF($D$8:$D$55,$O30,$I$8:$I$55)+SUMIF($F$8:$F$55,$O30,$G$8:$G$55)</f>
        <v>3</v>
      </c>
      <c r="R30" s="402">
        <f>P30-Q30</f>
        <v>0</v>
      </c>
      <c r="S30" s="403">
        <f>SUMIF($D$8:$D$55,$O30,$K$8:$K$55)+SUMIF($F$8:$F$55,$O30,$L$8:$L$55)</f>
        <v>3</v>
      </c>
      <c r="T30" s="446" t="s">
        <v>65</v>
      </c>
      <c r="U30" s="392"/>
      <c r="V30" s="392" t="str">
        <f>O30</f>
        <v>Italië</v>
      </c>
      <c r="W30" s="392" t="s">
        <v>65</v>
      </c>
      <c r="Y30" s="109">
        <f t="shared" si="8"/>
        <v>1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1</v>
      </c>
      <c r="AG30" s="108">
        <f t="shared" si="3"/>
        <v>0</v>
      </c>
      <c r="AH30" s="108">
        <f t="shared" si="4"/>
        <v>1</v>
      </c>
      <c r="AI30" s="108">
        <f t="shared" si="10"/>
        <v>0</v>
      </c>
      <c r="AJ30" s="108">
        <f t="shared" si="5"/>
        <v>0</v>
      </c>
      <c r="AK30" s="108">
        <f t="shared" si="6"/>
        <v>0</v>
      </c>
      <c r="AL30" s="108">
        <f t="shared" si="7"/>
        <v>0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0</v>
      </c>
      <c r="H31" s="367" t="s">
        <v>9</v>
      </c>
      <c r="I31" s="440">
        <v>0</v>
      </c>
      <c r="J31" s="369">
        <f t="shared" si="0"/>
        <v>3</v>
      </c>
      <c r="K31" s="363">
        <f t="shared" si="1"/>
        <v>1</v>
      </c>
      <c r="L31" s="363">
        <f t="shared" si="2"/>
        <v>1</v>
      </c>
      <c r="O31" s="392"/>
      <c r="P31" s="393"/>
      <c r="Q31" s="393"/>
      <c r="R31" s="393"/>
      <c r="S31" s="393"/>
      <c r="T31" s="393"/>
      <c r="U31" s="392"/>
      <c r="V31" s="392"/>
      <c r="W31" s="392"/>
      <c r="Y31" s="109">
        <f t="shared" si="8"/>
        <v>1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1</v>
      </c>
      <c r="AG31" s="108">
        <f t="shared" si="3"/>
        <v>1</v>
      </c>
      <c r="AH31" s="108">
        <f t="shared" si="4"/>
        <v>0</v>
      </c>
      <c r="AI31" s="108">
        <f t="shared" si="10"/>
        <v>0</v>
      </c>
      <c r="AJ31" s="108">
        <f t="shared" si="5"/>
        <v>0</v>
      </c>
      <c r="AK31" s="108">
        <f t="shared" si="6"/>
        <v>0</v>
      </c>
      <c r="AL31" s="108">
        <f t="shared" si="7"/>
        <v>0</v>
      </c>
      <c r="AN31" s="392"/>
      <c r="AO31" s="393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1</v>
      </c>
      <c r="H32" s="373" t="s">
        <v>9</v>
      </c>
      <c r="I32" s="441">
        <v>2</v>
      </c>
      <c r="J32" s="375">
        <f t="shared" si="0"/>
        <v>2</v>
      </c>
      <c r="K32" s="363">
        <f t="shared" si="1"/>
        <v>0</v>
      </c>
      <c r="L32" s="363">
        <f t="shared" si="2"/>
        <v>3</v>
      </c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392"/>
      <c r="V32" s="392"/>
      <c r="W32" s="392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3"/>
        <v>0</v>
      </c>
      <c r="AH32" s="108">
        <f t="shared" si="4"/>
        <v>0</v>
      </c>
      <c r="AI32" s="108">
        <f t="shared" si="10"/>
        <v>0</v>
      </c>
      <c r="AJ32" s="108">
        <f t="shared" si="5"/>
        <v>0</v>
      </c>
      <c r="AK32" s="108">
        <f t="shared" si="6"/>
        <v>5</v>
      </c>
      <c r="AL32" s="108">
        <f t="shared" si="7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1</v>
      </c>
      <c r="H33" s="379" t="s">
        <v>9</v>
      </c>
      <c r="I33" s="442">
        <v>1</v>
      </c>
      <c r="J33" s="381">
        <f t="shared" si="0"/>
        <v>3</v>
      </c>
      <c r="K33" s="363">
        <f t="shared" si="1"/>
        <v>1</v>
      </c>
      <c r="L33" s="363">
        <f t="shared" si="2"/>
        <v>1</v>
      </c>
      <c r="O33" s="394" t="s">
        <v>25</v>
      </c>
      <c r="P33" s="395">
        <f>SUMIF($D$8:$D$55,$O33,$G$8:$G$55)+SUMIF($F$8:$F$55,$O33,$I$8:$I$55)</f>
        <v>2</v>
      </c>
      <c r="Q33" s="395">
        <f>SUMIF($D$8:$D$55,$O33,$I$8:$I$55)+SUMIF($F$8:$F$55,$O33,$G$8:$G$55)</f>
        <v>4</v>
      </c>
      <c r="R33" s="396">
        <f>P33-Q33</f>
        <v>-2</v>
      </c>
      <c r="S33" s="397">
        <f>SUMIF($D$8:$D$55,$O33,$K$8:$K$55)+SUMIF($F$8:$F$55,$O33,$L$8:$L$55)</f>
        <v>3</v>
      </c>
      <c r="T33" s="444" t="s">
        <v>69</v>
      </c>
      <c r="U33" s="392"/>
      <c r="V33" s="392" t="str">
        <f>O33</f>
        <v>Zwitserland</v>
      </c>
      <c r="W33" s="392" t="s">
        <v>67</v>
      </c>
      <c r="Y33" s="109">
        <f t="shared" si="8"/>
        <v>1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1</v>
      </c>
      <c r="AG33" s="108">
        <f t="shared" si="3"/>
        <v>1</v>
      </c>
      <c r="AH33" s="108">
        <f t="shared" si="4"/>
        <v>0</v>
      </c>
      <c r="AI33" s="108">
        <f t="shared" si="10"/>
        <v>0</v>
      </c>
      <c r="AJ33" s="108">
        <f t="shared" si="5"/>
        <v>0</v>
      </c>
      <c r="AK33" s="108">
        <f t="shared" si="6"/>
        <v>0</v>
      </c>
      <c r="AL33" s="108">
        <f t="shared" si="7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3</v>
      </c>
      <c r="H34" s="367" t="s">
        <v>9</v>
      </c>
      <c r="I34" s="440">
        <v>0</v>
      </c>
      <c r="J34" s="369">
        <f t="shared" si="0"/>
        <v>1</v>
      </c>
      <c r="K34" s="363">
        <f t="shared" si="1"/>
        <v>3</v>
      </c>
      <c r="L34" s="363">
        <f t="shared" si="2"/>
        <v>0</v>
      </c>
      <c r="O34" s="398" t="s">
        <v>26</v>
      </c>
      <c r="P34" s="399">
        <f>SUMIF($D$8:$D$55,$O34,$G$8:$G$55)+SUMIF($F$8:$F$55,$O34,$I$8:$I$55)</f>
        <v>2</v>
      </c>
      <c r="Q34" s="399">
        <f>SUMIF($D$8:$D$55,$O34,$I$8:$I$55)+SUMIF($F$8:$F$55,$O34,$G$8:$G$55)</f>
        <v>5</v>
      </c>
      <c r="R34" s="399">
        <f>P34-Q34</f>
        <v>-3</v>
      </c>
      <c r="S34" s="400">
        <f>SUMIF($D$8:$D$55,$O34,$K$8:$K$55)+SUMIF($F$8:$F$55,$O34,$L$8:$L$55)</f>
        <v>1</v>
      </c>
      <c r="T34" s="445" t="s">
        <v>68</v>
      </c>
      <c r="U34" s="392"/>
      <c r="V34" s="392" t="str">
        <f>O34</f>
        <v>Ecuador</v>
      </c>
      <c r="W34" s="392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3"/>
        <v>0</v>
      </c>
      <c r="AH34" s="108">
        <f t="shared" si="4"/>
        <v>1</v>
      </c>
      <c r="AI34" s="108">
        <f t="shared" si="10"/>
        <v>0</v>
      </c>
      <c r="AJ34" s="108">
        <f t="shared" si="5"/>
        <v>5</v>
      </c>
      <c r="AK34" s="108">
        <f t="shared" si="6"/>
        <v>0</v>
      </c>
      <c r="AL34" s="108">
        <f t="shared" si="7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2</v>
      </c>
      <c r="H35" s="373" t="s">
        <v>9</v>
      </c>
      <c r="I35" s="441">
        <v>0</v>
      </c>
      <c r="J35" s="375">
        <f t="shared" si="0"/>
        <v>1</v>
      </c>
      <c r="K35" s="363">
        <f t="shared" si="1"/>
        <v>3</v>
      </c>
      <c r="L35" s="363">
        <f t="shared" si="2"/>
        <v>0</v>
      </c>
      <c r="O35" s="398" t="s">
        <v>27</v>
      </c>
      <c r="P35" s="399">
        <f>SUMIF($D$8:$D$55,$O35,$G$8:$G$55)+SUMIF($F$8:$F$55,$O35,$I$8:$I$55)</f>
        <v>6</v>
      </c>
      <c r="Q35" s="399">
        <f>SUMIF($D$8:$D$55,$O35,$I$8:$I$55)+SUMIF($F$8:$F$55,$O35,$G$8:$G$55)</f>
        <v>2</v>
      </c>
      <c r="R35" s="399">
        <f>P35-Q35</f>
        <v>4</v>
      </c>
      <c r="S35" s="400">
        <f>SUMIF($D$8:$D$55,$O35,$K$8:$K$55)+SUMIF($F$8:$F$55,$O35,$L$8:$L$55)</f>
        <v>9</v>
      </c>
      <c r="T35" s="445" t="s">
        <v>67</v>
      </c>
      <c r="U35" s="392"/>
      <c r="V35" s="392" t="str">
        <f>O35</f>
        <v>Frankrijk</v>
      </c>
      <c r="W35" s="392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3"/>
        <v>1</v>
      </c>
      <c r="AH35" s="108">
        <f t="shared" si="4"/>
        <v>0</v>
      </c>
      <c r="AI35" s="108">
        <f t="shared" si="10"/>
        <v>0</v>
      </c>
      <c r="AJ35" s="108">
        <f t="shared" si="5"/>
        <v>0</v>
      </c>
      <c r="AK35" s="108">
        <f t="shared" si="6"/>
        <v>0</v>
      </c>
      <c r="AL35" s="108">
        <f t="shared" si="7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1</v>
      </c>
      <c r="H36" s="379" t="s">
        <v>9</v>
      </c>
      <c r="I36" s="442">
        <v>1</v>
      </c>
      <c r="J36" s="381">
        <f t="shared" si="0"/>
        <v>3</v>
      </c>
      <c r="K36" s="363">
        <f t="shared" si="1"/>
        <v>1</v>
      </c>
      <c r="L36" s="363">
        <f t="shared" si="2"/>
        <v>1</v>
      </c>
      <c r="O36" s="401" t="s">
        <v>28</v>
      </c>
      <c r="P36" s="402">
        <f>SUMIF($D$8:$D$55,$O36,$G$8:$G$55)+SUMIF($F$8:$F$55,$O36,$I$8:$I$55)</f>
        <v>3</v>
      </c>
      <c r="Q36" s="402">
        <f>SUMIF($D$8:$D$55,$O36,$I$8:$I$55)+SUMIF($F$8:$F$55,$O36,$G$8:$G$55)</f>
        <v>2</v>
      </c>
      <c r="R36" s="402">
        <f>P36-Q36</f>
        <v>1</v>
      </c>
      <c r="S36" s="403">
        <f>SUMIF($D$8:$D$55,$O36,$K$8:$K$55)+SUMIF($F$8:$F$55,$O36,$L$8:$L$55)</f>
        <v>4</v>
      </c>
      <c r="T36" s="446" t="s">
        <v>70</v>
      </c>
      <c r="U36" s="392"/>
      <c r="V36" s="392" t="str">
        <f>O36</f>
        <v>Honduras</v>
      </c>
      <c r="W36" s="392" t="s">
        <v>70</v>
      </c>
      <c r="Y36" s="109">
        <f t="shared" si="8"/>
        <v>1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1</v>
      </c>
      <c r="AG36" s="108">
        <f t="shared" si="3"/>
        <v>1</v>
      </c>
      <c r="AH36" s="108">
        <f t="shared" si="4"/>
        <v>0</v>
      </c>
      <c r="AI36" s="108">
        <f t="shared" si="10"/>
        <v>0</v>
      </c>
      <c r="AJ36" s="108">
        <f t="shared" si="5"/>
        <v>0</v>
      </c>
      <c r="AK36" s="108">
        <f t="shared" si="6"/>
        <v>0</v>
      </c>
      <c r="AL36" s="108">
        <f t="shared" si="7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2</v>
      </c>
      <c r="H37" s="367" t="s">
        <v>9</v>
      </c>
      <c r="I37" s="440">
        <v>1</v>
      </c>
      <c r="J37" s="369">
        <f t="shared" si="0"/>
        <v>1</v>
      </c>
      <c r="K37" s="363">
        <f t="shared" si="1"/>
        <v>3</v>
      </c>
      <c r="L37" s="363">
        <f t="shared" si="2"/>
        <v>0</v>
      </c>
      <c r="O37" s="392"/>
      <c r="P37" s="393"/>
      <c r="Q37" s="393"/>
      <c r="R37" s="393"/>
      <c r="S37" s="393"/>
      <c r="T37" s="393"/>
      <c r="U37" s="392"/>
      <c r="V37" s="392"/>
      <c r="W37" s="392"/>
      <c r="Y37" s="109">
        <f t="shared" si="8"/>
        <v>5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5</v>
      </c>
      <c r="AG37" s="108">
        <f t="shared" si="3"/>
        <v>0</v>
      </c>
      <c r="AH37" s="108">
        <f t="shared" si="4"/>
        <v>0</v>
      </c>
      <c r="AI37" s="108">
        <f t="shared" si="10"/>
        <v>0</v>
      </c>
      <c r="AJ37" s="108">
        <f t="shared" si="5"/>
        <v>5</v>
      </c>
      <c r="AK37" s="108">
        <f t="shared" si="6"/>
        <v>0</v>
      </c>
      <c r="AL37" s="108">
        <f t="shared" si="7"/>
        <v>0</v>
      </c>
      <c r="AN37" s="392"/>
      <c r="AO37" s="393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1</v>
      </c>
      <c r="H38" s="373" t="s">
        <v>9</v>
      </c>
      <c r="I38" s="441">
        <v>2</v>
      </c>
      <c r="J38" s="375">
        <f t="shared" si="0"/>
        <v>2</v>
      </c>
      <c r="K38" s="363">
        <f t="shared" si="1"/>
        <v>0</v>
      </c>
      <c r="L38" s="363">
        <f t="shared" si="2"/>
        <v>3</v>
      </c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392"/>
      <c r="V38" s="392"/>
      <c r="W38" s="392"/>
      <c r="Y38" s="109">
        <f t="shared" si="8"/>
        <v>5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5</v>
      </c>
      <c r="AG38" s="108">
        <f t="shared" si="3"/>
        <v>0</v>
      </c>
      <c r="AH38" s="108">
        <f t="shared" si="4"/>
        <v>0</v>
      </c>
      <c r="AI38" s="108">
        <f t="shared" si="10"/>
        <v>0</v>
      </c>
      <c r="AJ38" s="108">
        <f t="shared" si="5"/>
        <v>0</v>
      </c>
      <c r="AK38" s="108">
        <f t="shared" si="6"/>
        <v>5</v>
      </c>
      <c r="AL38" s="108">
        <f t="shared" si="7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1</v>
      </c>
      <c r="H39" s="379" t="s">
        <v>9</v>
      </c>
      <c r="I39" s="442">
        <v>1</v>
      </c>
      <c r="J39" s="381">
        <f t="shared" si="0"/>
        <v>3</v>
      </c>
      <c r="K39" s="363">
        <f t="shared" si="1"/>
        <v>1</v>
      </c>
      <c r="L39" s="363">
        <f t="shared" si="2"/>
        <v>1</v>
      </c>
      <c r="O39" s="394" t="s">
        <v>29</v>
      </c>
      <c r="P39" s="395">
        <f>SUMIF($D$8:$D$55,$O39,$G$8:$G$55)+SUMIF($F$8:$F$55,$O39,$I$8:$I$55)</f>
        <v>8</v>
      </c>
      <c r="Q39" s="395">
        <f>SUMIF($D$8:$D$55,$O39,$I$8:$I$55)+SUMIF($F$8:$F$55,$O39,$G$8:$G$55)</f>
        <v>3</v>
      </c>
      <c r="R39" s="396">
        <f>P39-Q39</f>
        <v>5</v>
      </c>
      <c r="S39" s="397">
        <f>SUMIF($D$8:$D$55,$O39,$K$8:$K$55)+SUMIF($F$8:$F$55,$O39,$L$8:$L$55)</f>
        <v>9</v>
      </c>
      <c r="T39" s="444" t="s">
        <v>72</v>
      </c>
      <c r="U39" s="392"/>
      <c r="V39" s="392" t="str">
        <f>O39</f>
        <v>Argentinië</v>
      </c>
      <c r="W39" s="392" t="s">
        <v>72</v>
      </c>
      <c r="Y39" s="109">
        <f t="shared" si="8"/>
        <v>5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5</v>
      </c>
      <c r="AG39" s="108">
        <f t="shared" si="3"/>
        <v>0</v>
      </c>
      <c r="AH39" s="108">
        <f t="shared" si="4"/>
        <v>0</v>
      </c>
      <c r="AI39" s="108">
        <f t="shared" si="10"/>
        <v>0</v>
      </c>
      <c r="AJ39" s="108">
        <f t="shared" si="5"/>
        <v>0</v>
      </c>
      <c r="AK39" s="108">
        <f t="shared" si="6"/>
        <v>0</v>
      </c>
      <c r="AL39" s="108">
        <f t="shared" si="7"/>
        <v>5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1</v>
      </c>
      <c r="H40" s="367" t="s">
        <v>9</v>
      </c>
      <c r="I40" s="440">
        <v>2</v>
      </c>
      <c r="J40" s="369">
        <f t="shared" si="0"/>
        <v>2</v>
      </c>
      <c r="K40" s="363">
        <f t="shared" si="1"/>
        <v>0</v>
      </c>
      <c r="L40" s="363">
        <f t="shared" si="2"/>
        <v>3</v>
      </c>
      <c r="O40" s="398" t="s">
        <v>30</v>
      </c>
      <c r="P40" s="399">
        <f>SUMIF($D$8:$D$55,$O40,$G$8:$G$55)+SUMIF($F$8:$F$55,$O40,$I$8:$I$55)</f>
        <v>3</v>
      </c>
      <c r="Q40" s="399">
        <f>SUMIF($D$8:$D$55,$O40,$I$8:$I$55)+SUMIF($F$8:$F$55,$O40,$G$8:$G$55)</f>
        <v>3</v>
      </c>
      <c r="R40" s="399">
        <f>P40-Q40</f>
        <v>0</v>
      </c>
      <c r="S40" s="400">
        <f>SUMIF($D$8:$D$55,$O40,$K$8:$K$55)+SUMIF($F$8:$F$55,$O40,$L$8:$L$55)</f>
        <v>4</v>
      </c>
      <c r="T40" s="445" t="s">
        <v>74</v>
      </c>
      <c r="U40" s="392"/>
      <c r="V40" s="392" t="str">
        <f>O40</f>
        <v>Bosnië H.</v>
      </c>
      <c r="W40" s="392" t="s">
        <v>73</v>
      </c>
      <c r="Y40" s="109">
        <f t="shared" si="8"/>
        <v>5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5</v>
      </c>
      <c r="AG40" s="108">
        <f t="shared" si="3"/>
        <v>0</v>
      </c>
      <c r="AH40" s="108">
        <f t="shared" si="4"/>
        <v>0</v>
      </c>
      <c r="AI40" s="108">
        <f t="shared" si="10"/>
        <v>0</v>
      </c>
      <c r="AJ40" s="108">
        <f t="shared" si="5"/>
        <v>0</v>
      </c>
      <c r="AK40" s="108">
        <f t="shared" si="6"/>
        <v>5</v>
      </c>
      <c r="AL40" s="108">
        <f t="shared" si="7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2</v>
      </c>
      <c r="H41" s="373" t="s">
        <v>9</v>
      </c>
      <c r="I41" s="441">
        <v>1</v>
      </c>
      <c r="J41" s="375">
        <f t="shared" si="0"/>
        <v>1</v>
      </c>
      <c r="K41" s="363">
        <f t="shared" si="1"/>
        <v>3</v>
      </c>
      <c r="L41" s="363">
        <f t="shared" si="2"/>
        <v>0</v>
      </c>
      <c r="O41" s="398" t="s">
        <v>33</v>
      </c>
      <c r="P41" s="399">
        <f>SUMIF($D$8:$D$55,$O41,$G$8:$G$55)+SUMIF($F$8:$F$55,$O41,$I$8:$I$55)</f>
        <v>0</v>
      </c>
      <c r="Q41" s="399">
        <f>SUMIF($D$8:$D$55,$O41,$I$8:$I$55)+SUMIF($F$8:$F$55,$O41,$G$8:$G$55)</f>
        <v>5</v>
      </c>
      <c r="R41" s="399">
        <f>P41-Q41</f>
        <v>-5</v>
      </c>
      <c r="S41" s="400">
        <f>SUMIF($D$8:$D$55,$O41,$K$8:$K$55)+SUMIF($F$8:$F$55,$O41,$L$8:$L$55)</f>
        <v>0</v>
      </c>
      <c r="T41" s="445" t="s">
        <v>75</v>
      </c>
      <c r="U41" s="392"/>
      <c r="V41" s="392" t="str">
        <f>O41</f>
        <v>Iran</v>
      </c>
      <c r="W41" s="392" t="s">
        <v>74</v>
      </c>
      <c r="Y41" s="109">
        <f t="shared" si="8"/>
        <v>6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6</v>
      </c>
      <c r="AG41" s="108">
        <f t="shared" si="3"/>
        <v>1</v>
      </c>
      <c r="AH41" s="108">
        <f t="shared" si="4"/>
        <v>0</v>
      </c>
      <c r="AI41" s="108">
        <f t="shared" si="10"/>
        <v>0</v>
      </c>
      <c r="AJ41" s="108">
        <f t="shared" si="5"/>
        <v>5</v>
      </c>
      <c r="AK41" s="108">
        <f t="shared" si="6"/>
        <v>0</v>
      </c>
      <c r="AL41" s="108">
        <f t="shared" si="7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1</v>
      </c>
      <c r="H42" s="373" t="s">
        <v>9</v>
      </c>
      <c r="I42" s="441">
        <v>4</v>
      </c>
      <c r="J42" s="375">
        <f t="shared" si="0"/>
        <v>2</v>
      </c>
      <c r="K42" s="363">
        <f t="shared" si="1"/>
        <v>0</v>
      </c>
      <c r="L42" s="363">
        <f t="shared" si="2"/>
        <v>3</v>
      </c>
      <c r="O42" s="401" t="s">
        <v>34</v>
      </c>
      <c r="P42" s="402">
        <f>SUMIF($D$8:$D$55,$O42,$G$8:$G$55)+SUMIF($F$8:$F$55,$O42,$I$8:$I$55)</f>
        <v>4</v>
      </c>
      <c r="Q42" s="402">
        <f>SUMIF($D$8:$D$55,$O42,$I$8:$I$55)+SUMIF($F$8:$F$55,$O42,$G$8:$G$55)</f>
        <v>4</v>
      </c>
      <c r="R42" s="402">
        <f>P42-Q42</f>
        <v>0</v>
      </c>
      <c r="S42" s="403">
        <f>SUMIF($D$8:$D$55,$O42,$K$8:$K$55)+SUMIF($F$8:$F$55,$O42,$L$8:$L$55)</f>
        <v>4</v>
      </c>
      <c r="T42" s="446" t="s">
        <v>73</v>
      </c>
      <c r="U42" s="392"/>
      <c r="V42" s="392" t="str">
        <f>O42</f>
        <v>Nigeria</v>
      </c>
      <c r="W42" s="392" t="s">
        <v>75</v>
      </c>
      <c r="Y42" s="109">
        <f t="shared" si="8"/>
        <v>10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10</v>
      </c>
      <c r="AG42" s="108">
        <f t="shared" si="3"/>
        <v>1</v>
      </c>
      <c r="AH42" s="108">
        <f t="shared" si="4"/>
        <v>1</v>
      </c>
      <c r="AI42" s="108">
        <f t="shared" si="10"/>
        <v>10</v>
      </c>
      <c r="AJ42" s="108">
        <f t="shared" si="5"/>
        <v>0</v>
      </c>
      <c r="AK42" s="108">
        <f t="shared" si="6"/>
        <v>5</v>
      </c>
      <c r="AL42" s="108">
        <f t="shared" si="7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2</v>
      </c>
      <c r="H43" s="379" t="s">
        <v>9</v>
      </c>
      <c r="I43" s="442">
        <v>2</v>
      </c>
      <c r="J43" s="381">
        <f t="shared" si="0"/>
        <v>3</v>
      </c>
      <c r="K43" s="363">
        <f t="shared" si="1"/>
        <v>1</v>
      </c>
      <c r="L43" s="363">
        <f t="shared" si="2"/>
        <v>1</v>
      </c>
      <c r="O43" s="392"/>
      <c r="P43" s="393"/>
      <c r="Q43" s="393"/>
      <c r="R43" s="393"/>
      <c r="S43" s="393"/>
      <c r="T43" s="393"/>
      <c r="U43" s="392"/>
      <c r="V43" s="392"/>
      <c r="W43" s="392"/>
      <c r="Y43" s="109">
        <f t="shared" si="8"/>
        <v>0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0</v>
      </c>
      <c r="AG43" s="108">
        <f t="shared" si="3"/>
        <v>0</v>
      </c>
      <c r="AH43" s="108">
        <f t="shared" si="4"/>
        <v>0</v>
      </c>
      <c r="AI43" s="108">
        <f t="shared" si="10"/>
        <v>0</v>
      </c>
      <c r="AJ43" s="108">
        <f t="shared" si="5"/>
        <v>0</v>
      </c>
      <c r="AK43" s="108">
        <f t="shared" si="6"/>
        <v>0</v>
      </c>
      <c r="AL43" s="108">
        <f t="shared" si="7"/>
        <v>0</v>
      </c>
      <c r="AN43" s="392"/>
      <c r="AO43" s="393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1</v>
      </c>
      <c r="H44" s="367" t="s">
        <v>9</v>
      </c>
      <c r="I44" s="440">
        <v>1</v>
      </c>
      <c r="J44" s="369">
        <f t="shared" si="0"/>
        <v>3</v>
      </c>
      <c r="K44" s="363">
        <f t="shared" si="1"/>
        <v>1</v>
      </c>
      <c r="L44" s="363">
        <f t="shared" si="2"/>
        <v>1</v>
      </c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392"/>
      <c r="V44" s="392"/>
      <c r="W44" s="392"/>
      <c r="Y44" s="109">
        <f t="shared" si="8"/>
        <v>1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1</v>
      </c>
      <c r="AG44" s="108">
        <f t="shared" si="3"/>
        <v>0</v>
      </c>
      <c r="AH44" s="108">
        <f t="shared" si="4"/>
        <v>1</v>
      </c>
      <c r="AI44" s="108">
        <f t="shared" si="10"/>
        <v>0</v>
      </c>
      <c r="AJ44" s="108">
        <f t="shared" si="5"/>
        <v>0</v>
      </c>
      <c r="AK44" s="108">
        <f t="shared" si="6"/>
        <v>0</v>
      </c>
      <c r="AL44" s="108">
        <f t="shared" si="7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2</v>
      </c>
      <c r="H45" s="373" t="s">
        <v>9</v>
      </c>
      <c r="I45" s="441">
        <v>2</v>
      </c>
      <c r="J45" s="375">
        <f t="shared" si="0"/>
        <v>3</v>
      </c>
      <c r="K45" s="363">
        <f t="shared" si="1"/>
        <v>1</v>
      </c>
      <c r="L45" s="363">
        <f t="shared" si="2"/>
        <v>1</v>
      </c>
      <c r="O45" s="394" t="s">
        <v>31</v>
      </c>
      <c r="P45" s="395">
        <f>SUMIF($D$8:$D$55,$O45,$G$8:$G$55)+SUMIF($F$8:$F$55,$O45,$I$8:$I$55)</f>
        <v>7</v>
      </c>
      <c r="Q45" s="395">
        <f>SUMIF($D$8:$D$55,$O45,$I$8:$I$55)+SUMIF($F$8:$F$55,$O45,$G$8:$G$55)</f>
        <v>4</v>
      </c>
      <c r="R45" s="396">
        <f>P45-Q45</f>
        <v>3</v>
      </c>
      <c r="S45" s="397">
        <f>SUMIF($D$8:$D$55,$O45,$K$8:$K$55)+SUMIF($F$8:$F$55,$O45,$L$8:$L$55)</f>
        <v>7</v>
      </c>
      <c r="T45" s="444" t="s">
        <v>77</v>
      </c>
      <c r="U45" s="392"/>
      <c r="V45" s="392" t="str">
        <f>O45</f>
        <v>Duitsland</v>
      </c>
      <c r="W45" s="392" t="s">
        <v>77</v>
      </c>
      <c r="Y45" s="109">
        <f t="shared" si="8"/>
        <v>5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5</v>
      </c>
      <c r="AG45" s="108">
        <f t="shared" si="3"/>
        <v>0</v>
      </c>
      <c r="AH45" s="108">
        <f t="shared" si="4"/>
        <v>0</v>
      </c>
      <c r="AI45" s="108">
        <f t="shared" si="10"/>
        <v>0</v>
      </c>
      <c r="AJ45" s="108">
        <f t="shared" si="5"/>
        <v>0</v>
      </c>
      <c r="AK45" s="108">
        <f t="shared" si="6"/>
        <v>0</v>
      </c>
      <c r="AL45" s="108">
        <f t="shared" si="7"/>
        <v>5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1</v>
      </c>
      <c r="H46" s="373" t="s">
        <v>9</v>
      </c>
      <c r="I46" s="441">
        <v>1</v>
      </c>
      <c r="J46" s="375">
        <f t="shared" si="0"/>
        <v>3</v>
      </c>
      <c r="K46" s="363">
        <f t="shared" si="1"/>
        <v>1</v>
      </c>
      <c r="L46" s="363">
        <f t="shared" si="2"/>
        <v>1</v>
      </c>
      <c r="O46" s="398" t="s">
        <v>32</v>
      </c>
      <c r="P46" s="399">
        <f>SUMIF($D$8:$D$55,$O46,$G$8:$G$55)+SUMIF($F$8:$F$55,$O46,$I$8:$I$55)</f>
        <v>4</v>
      </c>
      <c r="Q46" s="399">
        <f>SUMIF($D$8:$D$55,$O46,$I$8:$I$55)+SUMIF($F$8:$F$55,$O46,$G$8:$G$55)</f>
        <v>3</v>
      </c>
      <c r="R46" s="399">
        <f>P46-Q46</f>
        <v>1</v>
      </c>
      <c r="S46" s="400">
        <f>SUMIF($D$8:$D$55,$O46,$K$8:$K$55)+SUMIF($F$8:$F$55,$O46,$L$8:$L$55)</f>
        <v>5</v>
      </c>
      <c r="T46" s="445" t="s">
        <v>78</v>
      </c>
      <c r="U46" s="392"/>
      <c r="V46" s="392" t="str">
        <f>O46</f>
        <v>Portugal</v>
      </c>
      <c r="W46" s="392" t="s">
        <v>78</v>
      </c>
      <c r="Y46" s="109">
        <f t="shared" si="8"/>
        <v>1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1</v>
      </c>
      <c r="AG46" s="108">
        <f t="shared" si="3"/>
        <v>1</v>
      </c>
      <c r="AH46" s="108">
        <f t="shared" si="4"/>
        <v>0</v>
      </c>
      <c r="AI46" s="108">
        <f t="shared" si="10"/>
        <v>0</v>
      </c>
      <c r="AJ46" s="108">
        <f t="shared" si="5"/>
        <v>0</v>
      </c>
      <c r="AK46" s="108">
        <f t="shared" si="6"/>
        <v>0</v>
      </c>
      <c r="AL46" s="108">
        <f t="shared" si="7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1</v>
      </c>
      <c r="H47" s="379" t="s">
        <v>9</v>
      </c>
      <c r="I47" s="442">
        <v>0</v>
      </c>
      <c r="J47" s="381">
        <f t="shared" si="0"/>
        <v>1</v>
      </c>
      <c r="K47" s="363">
        <f t="shared" si="1"/>
        <v>3</v>
      </c>
      <c r="L47" s="363">
        <f t="shared" si="2"/>
        <v>0</v>
      </c>
      <c r="O47" s="398" t="s">
        <v>35</v>
      </c>
      <c r="P47" s="399">
        <f>SUMIF($D$8:$D$55,$O47,$G$8:$G$55)+SUMIF($F$8:$F$55,$O47,$I$8:$I$55)</f>
        <v>2</v>
      </c>
      <c r="Q47" s="399">
        <f>SUMIF($D$8:$D$55,$O47,$I$8:$I$55)+SUMIF($F$8:$F$55,$O47,$G$8:$G$55)</f>
        <v>5</v>
      </c>
      <c r="R47" s="399">
        <f>P47-Q47</f>
        <v>-3</v>
      </c>
      <c r="S47" s="400">
        <f>SUMIF($D$8:$D$55,$O47,$K$8:$K$55)+SUMIF($F$8:$F$55,$O47,$L$8:$L$55)</f>
        <v>1</v>
      </c>
      <c r="T47" s="445" t="s">
        <v>79</v>
      </c>
      <c r="U47" s="392"/>
      <c r="V47" s="392" t="str">
        <f>O47</f>
        <v>Ghana</v>
      </c>
      <c r="W47" s="392" t="s">
        <v>79</v>
      </c>
      <c r="Y47" s="109">
        <f t="shared" si="8"/>
        <v>5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5</v>
      </c>
      <c r="AG47" s="108">
        <f t="shared" si="3"/>
        <v>0</v>
      </c>
      <c r="AH47" s="108">
        <f t="shared" si="4"/>
        <v>0</v>
      </c>
      <c r="AI47" s="108">
        <f t="shared" si="10"/>
        <v>0</v>
      </c>
      <c r="AJ47" s="108">
        <f t="shared" si="5"/>
        <v>5</v>
      </c>
      <c r="AK47" s="108">
        <f t="shared" si="6"/>
        <v>0</v>
      </c>
      <c r="AL47" s="108">
        <f t="shared" si="7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2</v>
      </c>
      <c r="H48" s="367" t="s">
        <v>9</v>
      </c>
      <c r="I48" s="440">
        <v>3</v>
      </c>
      <c r="J48" s="369">
        <f t="shared" si="0"/>
        <v>2</v>
      </c>
      <c r="K48" s="363">
        <f t="shared" si="1"/>
        <v>0</v>
      </c>
      <c r="L48" s="363">
        <f t="shared" si="2"/>
        <v>3</v>
      </c>
      <c r="O48" s="401" t="s">
        <v>36</v>
      </c>
      <c r="P48" s="402">
        <f>SUMIF($D$8:$D$55,$O48,$G$8:$G$55)+SUMIF($F$8:$F$55,$O48,$I$8:$I$55)</f>
        <v>5</v>
      </c>
      <c r="Q48" s="402">
        <f>SUMIF($D$8:$D$55,$O48,$I$8:$I$55)+SUMIF($F$8:$F$55,$O48,$G$8:$G$55)</f>
        <v>6</v>
      </c>
      <c r="R48" s="402">
        <f>P48-Q48</f>
        <v>-1</v>
      </c>
      <c r="S48" s="403">
        <f>SUMIF($D$8:$D$55,$O48,$K$8:$K$55)+SUMIF($F$8:$F$55,$O48,$L$8:$L$55)</f>
        <v>2</v>
      </c>
      <c r="T48" s="446" t="s">
        <v>80</v>
      </c>
      <c r="U48" s="392"/>
      <c r="V48" s="392" t="str">
        <f>O48</f>
        <v>Verenigde Staten</v>
      </c>
      <c r="W48" s="392" t="s">
        <v>80</v>
      </c>
      <c r="Y48" s="109">
        <f t="shared" si="8"/>
        <v>10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10</v>
      </c>
      <c r="AG48" s="108">
        <f t="shared" si="3"/>
        <v>1</v>
      </c>
      <c r="AH48" s="108">
        <f t="shared" si="4"/>
        <v>1</v>
      </c>
      <c r="AI48" s="108">
        <f t="shared" si="10"/>
        <v>10</v>
      </c>
      <c r="AJ48" s="108">
        <f t="shared" si="5"/>
        <v>0</v>
      </c>
      <c r="AK48" s="108">
        <f t="shared" si="6"/>
        <v>5</v>
      </c>
      <c r="AL48" s="108">
        <f t="shared" si="7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1</v>
      </c>
      <c r="H49" s="373" t="s">
        <v>9</v>
      </c>
      <c r="I49" s="441">
        <v>0</v>
      </c>
      <c r="J49" s="375">
        <f t="shared" si="0"/>
        <v>1</v>
      </c>
      <c r="K49" s="363">
        <f t="shared" si="1"/>
        <v>3</v>
      </c>
      <c r="L49" s="363">
        <f t="shared" si="2"/>
        <v>0</v>
      </c>
      <c r="O49" s="392"/>
      <c r="P49" s="393"/>
      <c r="Q49" s="393"/>
      <c r="R49" s="393"/>
      <c r="S49" s="393"/>
      <c r="T49" s="393"/>
      <c r="U49" s="392"/>
      <c r="V49" s="392"/>
      <c r="W49" s="392"/>
      <c r="Y49" s="109">
        <f t="shared" si="8"/>
        <v>5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5</v>
      </c>
      <c r="AG49" s="108">
        <f t="shared" si="3"/>
        <v>0</v>
      </c>
      <c r="AH49" s="108">
        <f t="shared" si="4"/>
        <v>0</v>
      </c>
      <c r="AI49" s="108">
        <f t="shared" si="10"/>
        <v>0</v>
      </c>
      <c r="AJ49" s="108">
        <f t="shared" si="5"/>
        <v>5</v>
      </c>
      <c r="AK49" s="108">
        <f t="shared" si="6"/>
        <v>0</v>
      </c>
      <c r="AL49" s="108">
        <f t="shared" si="7"/>
        <v>0</v>
      </c>
      <c r="AN49" s="392"/>
      <c r="AO49" s="393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2</v>
      </c>
      <c r="H50" s="373" t="s">
        <v>9</v>
      </c>
      <c r="I50" s="441">
        <v>0</v>
      </c>
      <c r="J50" s="375">
        <f t="shared" si="0"/>
        <v>1</v>
      </c>
      <c r="K50" s="363">
        <f t="shared" si="1"/>
        <v>3</v>
      </c>
      <c r="L50" s="363">
        <f t="shared" si="2"/>
        <v>0</v>
      </c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392"/>
      <c r="V50" s="392"/>
      <c r="W50" s="392"/>
      <c r="Y50" s="109">
        <f t="shared" si="8"/>
        <v>0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0</v>
      </c>
      <c r="AG50" s="108">
        <f t="shared" si="3"/>
        <v>0</v>
      </c>
      <c r="AH50" s="108">
        <f t="shared" si="4"/>
        <v>0</v>
      </c>
      <c r="AI50" s="108">
        <f t="shared" si="10"/>
        <v>0</v>
      </c>
      <c r="AJ50" s="108">
        <f t="shared" si="5"/>
        <v>0</v>
      </c>
      <c r="AK50" s="108">
        <f t="shared" si="6"/>
        <v>0</v>
      </c>
      <c r="AL50" s="108">
        <f t="shared" si="7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1</v>
      </c>
      <c r="H51" s="379" t="s">
        <v>9</v>
      </c>
      <c r="I51" s="442">
        <v>3</v>
      </c>
      <c r="J51" s="381">
        <f t="shared" si="0"/>
        <v>2</v>
      </c>
      <c r="K51" s="363">
        <f t="shared" si="1"/>
        <v>0</v>
      </c>
      <c r="L51" s="363">
        <f t="shared" si="2"/>
        <v>3</v>
      </c>
      <c r="O51" s="394" t="s">
        <v>37</v>
      </c>
      <c r="P51" s="395">
        <f>SUMIF($D$8:$D$55,$O51,$G$8:$G$55)+SUMIF($F$8:$F$55,$O51,$I$8:$I$55)</f>
        <v>6</v>
      </c>
      <c r="Q51" s="395">
        <f>SUMIF($D$8:$D$55,$O51,$I$8:$I$55)+SUMIF($F$8:$F$55,$O51,$G$8:$G$55)</f>
        <v>2</v>
      </c>
      <c r="R51" s="396">
        <f>P51-Q51</f>
        <v>4</v>
      </c>
      <c r="S51" s="397">
        <f>SUMIF($D$8:$D$55,$O51,$K$8:$K$55)+SUMIF($F$8:$F$55,$O51,$L$8:$L$55)</f>
        <v>9</v>
      </c>
      <c r="T51" s="444" t="s">
        <v>82</v>
      </c>
      <c r="U51" s="392"/>
      <c r="V51" s="392" t="str">
        <f>O51</f>
        <v>België</v>
      </c>
      <c r="W51" s="392" t="s">
        <v>82</v>
      </c>
      <c r="Y51" s="109">
        <f t="shared" si="8"/>
        <v>0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0</v>
      </c>
      <c r="AG51" s="108">
        <f t="shared" si="3"/>
        <v>0</v>
      </c>
      <c r="AH51" s="108">
        <f t="shared" si="4"/>
        <v>0</v>
      </c>
      <c r="AI51" s="108">
        <f t="shared" si="10"/>
        <v>0</v>
      </c>
      <c r="AJ51" s="108">
        <f t="shared" si="5"/>
        <v>0</v>
      </c>
      <c r="AK51" s="108">
        <f t="shared" si="6"/>
        <v>0</v>
      </c>
      <c r="AL51" s="108">
        <f t="shared" si="7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2</v>
      </c>
      <c r="H52" s="373" t="s">
        <v>9</v>
      </c>
      <c r="I52" s="441">
        <v>3</v>
      </c>
      <c r="J52" s="369">
        <f t="shared" si="0"/>
        <v>2</v>
      </c>
      <c r="K52" s="363">
        <f t="shared" si="1"/>
        <v>0</v>
      </c>
      <c r="L52" s="363">
        <f t="shared" si="2"/>
        <v>3</v>
      </c>
      <c r="O52" s="398" t="s">
        <v>38</v>
      </c>
      <c r="P52" s="399">
        <f>SUMIF($D$8:$D$55,$O52,$G$8:$G$55)+SUMIF($F$8:$F$55,$O52,$I$8:$I$55)</f>
        <v>5</v>
      </c>
      <c r="Q52" s="399">
        <f>SUMIF($D$8:$D$55,$O52,$I$8:$I$55)+SUMIF($F$8:$F$55,$O52,$G$8:$G$55)</f>
        <v>4</v>
      </c>
      <c r="R52" s="399">
        <f>P52-Q52</f>
        <v>1</v>
      </c>
      <c r="S52" s="400">
        <f>SUMIF($D$8:$D$55,$O52,$K$8:$K$55)+SUMIF($F$8:$F$55,$O52,$L$8:$L$55)</f>
        <v>6</v>
      </c>
      <c r="T52" s="445" t="s">
        <v>84</v>
      </c>
      <c r="U52" s="392"/>
      <c r="V52" s="392" t="str">
        <f>O52</f>
        <v>Algerije</v>
      </c>
      <c r="W52" s="392" t="s">
        <v>83</v>
      </c>
      <c r="Y52" s="109">
        <f t="shared" si="8"/>
        <v>5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5</v>
      </c>
      <c r="AG52" s="108">
        <f t="shared" si="3"/>
        <v>0</v>
      </c>
      <c r="AH52" s="108">
        <f t="shared" si="4"/>
        <v>0</v>
      </c>
      <c r="AI52" s="108">
        <f t="shared" si="10"/>
        <v>0</v>
      </c>
      <c r="AJ52" s="108">
        <f t="shared" si="5"/>
        <v>0</v>
      </c>
      <c r="AK52" s="108">
        <f t="shared" si="6"/>
        <v>5</v>
      </c>
      <c r="AL52" s="108">
        <f t="shared" si="7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1</v>
      </c>
      <c r="H53" s="373" t="s">
        <v>9</v>
      </c>
      <c r="I53" s="441">
        <v>0</v>
      </c>
      <c r="J53" s="375">
        <f t="shared" si="0"/>
        <v>1</v>
      </c>
      <c r="K53" s="363">
        <f t="shared" si="1"/>
        <v>3</v>
      </c>
      <c r="L53" s="363">
        <f t="shared" si="2"/>
        <v>0</v>
      </c>
      <c r="O53" s="398" t="s">
        <v>39</v>
      </c>
      <c r="P53" s="399">
        <f>SUMIF($D$8:$D$55,$O53,$G$8:$G$55)+SUMIF($F$8:$F$55,$O53,$I$8:$I$55)</f>
        <v>3</v>
      </c>
      <c r="Q53" s="399">
        <f>SUMIF($D$8:$D$55,$O53,$I$8:$I$55)+SUMIF($F$8:$F$55,$O53,$G$8:$G$55)</f>
        <v>4</v>
      </c>
      <c r="R53" s="399">
        <f>P53-Q53</f>
        <v>-1</v>
      </c>
      <c r="S53" s="400">
        <f>SUMIF($D$8:$D$55,$O53,$K$8:$K$55)+SUMIF($F$8:$F$55,$O53,$L$8:$L$55)</f>
        <v>3</v>
      </c>
      <c r="T53" s="445" t="s">
        <v>83</v>
      </c>
      <c r="U53" s="392"/>
      <c r="V53" s="392" t="str">
        <f>O53</f>
        <v>Rusland</v>
      </c>
      <c r="W53" s="392" t="s">
        <v>84</v>
      </c>
      <c r="Y53" s="109">
        <f t="shared" si="8"/>
        <v>5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5</v>
      </c>
      <c r="AG53" s="108">
        <f t="shared" si="3"/>
        <v>0</v>
      </c>
      <c r="AH53" s="108">
        <f t="shared" si="4"/>
        <v>0</v>
      </c>
      <c r="AI53" s="108">
        <f t="shared" si="10"/>
        <v>0</v>
      </c>
      <c r="AJ53" s="108">
        <f t="shared" si="5"/>
        <v>5</v>
      </c>
      <c r="AK53" s="108">
        <f t="shared" si="6"/>
        <v>0</v>
      </c>
      <c r="AL53" s="108">
        <f t="shared" si="7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0</v>
      </c>
      <c r="H54" s="373" t="s">
        <v>9</v>
      </c>
      <c r="I54" s="441">
        <v>2</v>
      </c>
      <c r="J54" s="375">
        <f t="shared" si="0"/>
        <v>2</v>
      </c>
      <c r="K54" s="363">
        <f t="shared" si="1"/>
        <v>0</v>
      </c>
      <c r="L54" s="363">
        <f t="shared" si="2"/>
        <v>3</v>
      </c>
      <c r="O54" s="401" t="s">
        <v>40</v>
      </c>
      <c r="P54" s="402">
        <f>SUMIF($D$8:$D$55,$O54,$G$8:$G$55)+SUMIF($F$8:$F$55,$O54,$I$8:$I$55)</f>
        <v>1</v>
      </c>
      <c r="Q54" s="402">
        <f>SUMIF($D$8:$D$55,$O54,$I$8:$I$55)+SUMIF($F$8:$F$55,$O54,$G$8:$G$55)</f>
        <v>5</v>
      </c>
      <c r="R54" s="402">
        <f>P54-Q54</f>
        <v>-4</v>
      </c>
      <c r="S54" s="403">
        <f>SUMIF($D$8:$D$55,$O54,$K$8:$K$55)+SUMIF($F$8:$F$55,$O54,$L$8:$L$55)</f>
        <v>0</v>
      </c>
      <c r="T54" s="446" t="s">
        <v>85</v>
      </c>
      <c r="U54" s="392"/>
      <c r="V54" s="392" t="str">
        <f>O54</f>
        <v>Zuid Korea</v>
      </c>
      <c r="W54" s="392" t="s">
        <v>85</v>
      </c>
      <c r="Y54" s="109">
        <f t="shared" si="8"/>
        <v>6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6</v>
      </c>
      <c r="AG54" s="108">
        <f t="shared" si="3"/>
        <v>1</v>
      </c>
      <c r="AH54" s="108">
        <f t="shared" si="4"/>
        <v>0</v>
      </c>
      <c r="AI54" s="108">
        <f t="shared" si="10"/>
        <v>0</v>
      </c>
      <c r="AJ54" s="108">
        <f t="shared" si="5"/>
        <v>0</v>
      </c>
      <c r="AK54" s="108">
        <f t="shared" si="6"/>
        <v>5</v>
      </c>
      <c r="AL54" s="108">
        <f t="shared" si="7"/>
        <v>0</v>
      </c>
      <c r="AM54" s="120">
        <f>AO54</f>
        <v>10</v>
      </c>
      <c r="AN54" s="118" t="s">
        <v>40</v>
      </c>
      <c r="AO54" s="115">
        <f>IF(Uitslag!T54="",0,IF(T54=Uitslag!T54,10,0))</f>
        <v>10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2</v>
      </c>
      <c r="H55" s="388" t="s">
        <v>9</v>
      </c>
      <c r="I55" s="443">
        <v>1</v>
      </c>
      <c r="J55" s="390">
        <f t="shared" si="0"/>
        <v>1</v>
      </c>
      <c r="K55" s="363">
        <f t="shared" si="1"/>
        <v>3</v>
      </c>
      <c r="L55" s="363">
        <f t="shared" si="2"/>
        <v>0</v>
      </c>
      <c r="O55" s="392"/>
      <c r="P55" s="393"/>
      <c r="Q55" s="393"/>
      <c r="R55" s="393"/>
      <c r="S55" s="393"/>
      <c r="T55" s="393"/>
      <c r="U55" s="392"/>
      <c r="V55" s="392"/>
      <c r="W55" s="392"/>
      <c r="Y55" s="109">
        <f t="shared" si="8"/>
        <v>1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</v>
      </c>
      <c r="AG55" s="108">
        <f t="shared" si="3"/>
        <v>0</v>
      </c>
      <c r="AH55" s="108">
        <f t="shared" si="4"/>
        <v>1</v>
      </c>
      <c r="AI55" s="108">
        <f t="shared" si="10"/>
        <v>0</v>
      </c>
      <c r="AJ55" s="108">
        <f t="shared" si="5"/>
        <v>0</v>
      </c>
      <c r="AK55" s="108">
        <f t="shared" si="6"/>
        <v>0</v>
      </c>
      <c r="AL55" s="108">
        <f t="shared" si="7"/>
        <v>0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79"/>
      <c r="K57" s="353"/>
      <c r="L57" s="353"/>
      <c r="M57" s="353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77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O58" s="458">
        <v>1</v>
      </c>
      <c r="P58" s="877" t="s">
        <v>224</v>
      </c>
      <c r="Q58" s="877"/>
      <c r="R58" s="877"/>
      <c r="S58" s="877"/>
      <c r="T58" s="878"/>
      <c r="V58" s="352" t="s">
        <v>132</v>
      </c>
      <c r="W58" s="352" t="s">
        <v>124</v>
      </c>
      <c r="X58" s="352" t="str">
        <f t="shared" ref="X58:X98" si="11">CONCATENATE(W58," ",V58)</f>
        <v>Jeroen Zoet (k)</v>
      </c>
      <c r="Y58" s="113" t="s">
        <v>91</v>
      </c>
      <c r="Z58" s="352" t="str">
        <f>IF(K58=""," ",VLOOKUP(K58,$T$9:$V$54,3,FALSE))</f>
        <v xml:space="preserve"> </v>
      </c>
      <c r="AA58" s="352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 t="shared" ref="D59:D66" si="13">IF(ISERROR(Z59),K59,Z59)</f>
        <v>Brazilië</v>
      </c>
      <c r="E59" s="367" t="s">
        <v>9</v>
      </c>
      <c r="F59" s="406" t="str">
        <f t="shared" ref="F59:F66" si="14">IF(ISERROR(AA59),L59,AA59)</f>
        <v>Spanje</v>
      </c>
      <c r="G59" s="435">
        <v>2</v>
      </c>
      <c r="H59" s="367" t="s">
        <v>9</v>
      </c>
      <c r="I59" s="447">
        <v>1</v>
      </c>
      <c r="J59" s="448">
        <v>1</v>
      </c>
      <c r="K59" s="407" t="s">
        <v>48</v>
      </c>
      <c r="L59" s="407" t="s">
        <v>53</v>
      </c>
      <c r="M59" s="407">
        <v>1</v>
      </c>
      <c r="O59" s="458">
        <v>2</v>
      </c>
      <c r="P59" s="877" t="s">
        <v>212</v>
      </c>
      <c r="Q59" s="877"/>
      <c r="R59" s="877"/>
      <c r="S59" s="877"/>
      <c r="T59" s="878"/>
      <c r="V59" s="352" t="s">
        <v>132</v>
      </c>
      <c r="W59" s="352" t="s">
        <v>111</v>
      </c>
      <c r="X59" s="352" t="str">
        <f t="shared" si="11"/>
        <v>Jasper Cillessen (k)</v>
      </c>
      <c r="Y59" s="109">
        <f t="shared" ref="Y59:Y66" si="15">AF59</f>
        <v>1</v>
      </c>
      <c r="Z59" s="352" t="str">
        <f t="shared" ref="Z59:AA65" si="16">IF(K59=""," ",VLOOKUP(K59,$T$9:$V$54,3,FALSE))</f>
        <v>Brazilië</v>
      </c>
      <c r="AA59" s="352" t="str">
        <f t="shared" si="16"/>
        <v>Spanje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7">IF(OR(AC59="",AD59=""),0,(IF(SUM(AG59:AL59)&gt;10,10,SUM(AG59:AL59))))</f>
        <v>1</v>
      </c>
      <c r="AG59" s="108">
        <f t="shared" ref="AG59:AG66" si="18">IF(AC59="",0,(IF(G59=AC59,1,0)))</f>
        <v>0</v>
      </c>
      <c r="AH59" s="108">
        <f t="shared" ref="AH59:AH66" si="19">IF(AD59="",0,(IF(I59=AD59,1,0)))</f>
        <v>1</v>
      </c>
      <c r="AI59" s="108">
        <f t="shared" ref="AI59:AI66" si="20">IF(AND(AG59=1,AH59=1),10,0)</f>
        <v>0</v>
      </c>
      <c r="AJ59" s="108">
        <f t="shared" ref="AJ59:AJ66" si="21">IF(AND(G59&gt;I59,AC59&gt;AD59),5,0)</f>
        <v>0</v>
      </c>
      <c r="AK59" s="108">
        <f t="shared" ref="AK59:AK66" si="22">IF(AND(G59&lt;I59,AC59&lt;AD59),5,0)</f>
        <v>0</v>
      </c>
      <c r="AL59" s="108">
        <f t="shared" ref="AL59:AL66" si="23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4">BA59</f>
        <v>3</v>
      </c>
    </row>
    <row r="60" spans="2:54">
      <c r="B60" s="376">
        <v>50</v>
      </c>
      <c r="C60" s="466">
        <v>41818</v>
      </c>
      <c r="D60" s="460" t="str">
        <f t="shared" si="13"/>
        <v>Japan</v>
      </c>
      <c r="E60" s="379" t="s">
        <v>9</v>
      </c>
      <c r="F60" s="409" t="str">
        <f t="shared" si="14"/>
        <v>Engeland</v>
      </c>
      <c r="G60" s="437">
        <v>2</v>
      </c>
      <c r="H60" s="379" t="s">
        <v>9</v>
      </c>
      <c r="I60" s="449">
        <v>2</v>
      </c>
      <c r="J60" s="450">
        <v>1</v>
      </c>
      <c r="K60" s="407" t="s">
        <v>57</v>
      </c>
      <c r="L60" s="407" t="s">
        <v>63</v>
      </c>
      <c r="M60" s="407">
        <v>2</v>
      </c>
      <c r="O60" s="458">
        <v>3</v>
      </c>
      <c r="P60" s="877" t="s">
        <v>219</v>
      </c>
      <c r="Q60" s="877"/>
      <c r="R60" s="877"/>
      <c r="S60" s="877"/>
      <c r="T60" s="878"/>
      <c r="V60" s="352" t="s">
        <v>132</v>
      </c>
      <c r="W60" s="352" t="s">
        <v>110</v>
      </c>
      <c r="X60" s="352" t="str">
        <f t="shared" si="11"/>
        <v>Kenneth Vermeer (k)</v>
      </c>
      <c r="Y60" s="109">
        <f t="shared" si="15"/>
        <v>1</v>
      </c>
      <c r="Z60" s="352" t="str">
        <f t="shared" si="16"/>
        <v>Japan</v>
      </c>
      <c r="AA60" s="352" t="str">
        <f t="shared" si="16"/>
        <v>Engeland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7"/>
        <v>1</v>
      </c>
      <c r="AG60" s="108">
        <f t="shared" si="18"/>
        <v>1</v>
      </c>
      <c r="AH60" s="108">
        <f t="shared" si="19"/>
        <v>0</v>
      </c>
      <c r="AI60" s="108">
        <f t="shared" si="20"/>
        <v>0</v>
      </c>
      <c r="AJ60" s="108">
        <f t="shared" si="21"/>
        <v>0</v>
      </c>
      <c r="AK60" s="108">
        <f t="shared" si="22"/>
        <v>0</v>
      </c>
      <c r="AL60" s="108">
        <f t="shared" si="23"/>
        <v>0</v>
      </c>
      <c r="AZ60" s="138" t="str">
        <f>Uitslag!P60</f>
        <v>Stefan de Vrij (v)</v>
      </c>
      <c r="BA60" s="140">
        <f t="shared" si="12"/>
        <v>0</v>
      </c>
      <c r="BB60" s="139">
        <f t="shared" si="24"/>
        <v>0</v>
      </c>
    </row>
    <row r="61" spans="2:54">
      <c r="B61" s="364">
        <v>51</v>
      </c>
      <c r="C61" s="465">
        <v>41819</v>
      </c>
      <c r="D61" s="464" t="str">
        <f t="shared" si="13"/>
        <v>Nederland</v>
      </c>
      <c r="E61" s="367" t="s">
        <v>9</v>
      </c>
      <c r="F61" s="406" t="str">
        <f t="shared" si="14"/>
        <v>Mexico</v>
      </c>
      <c r="G61" s="435">
        <v>2</v>
      </c>
      <c r="H61" s="367" t="s">
        <v>9</v>
      </c>
      <c r="I61" s="447">
        <v>2</v>
      </c>
      <c r="J61" s="448">
        <v>1</v>
      </c>
      <c r="K61" s="407" t="s">
        <v>52</v>
      </c>
      <c r="L61" s="407" t="s">
        <v>49</v>
      </c>
      <c r="M61" s="407"/>
      <c r="O61" s="458">
        <v>4</v>
      </c>
      <c r="P61" s="877" t="s">
        <v>220</v>
      </c>
      <c r="Q61" s="877"/>
      <c r="R61" s="877"/>
      <c r="S61" s="877"/>
      <c r="T61" s="878"/>
      <c r="V61" s="352" t="s">
        <v>132</v>
      </c>
      <c r="W61" s="352" t="s">
        <v>191</v>
      </c>
      <c r="X61" s="352" t="str">
        <f t="shared" si="11"/>
        <v>Tim Krul (k)</v>
      </c>
      <c r="Y61" s="109">
        <f t="shared" si="15"/>
        <v>1</v>
      </c>
      <c r="Z61" s="352" t="str">
        <f t="shared" si="16"/>
        <v>Nederland</v>
      </c>
      <c r="AA61" s="352" t="str">
        <f t="shared" si="16"/>
        <v>Mexico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7"/>
        <v>1</v>
      </c>
      <c r="AG61" s="108">
        <f t="shared" si="18"/>
        <v>1</v>
      </c>
      <c r="AH61" s="108">
        <f t="shared" si="19"/>
        <v>0</v>
      </c>
      <c r="AI61" s="108">
        <f t="shared" si="20"/>
        <v>0</v>
      </c>
      <c r="AJ61" s="108">
        <f t="shared" si="21"/>
        <v>0</v>
      </c>
      <c r="AK61" s="108">
        <f t="shared" si="22"/>
        <v>0</v>
      </c>
      <c r="AL61" s="108">
        <f t="shared" si="23"/>
        <v>0</v>
      </c>
      <c r="AZ61" s="138" t="str">
        <f>Uitslag!P61</f>
        <v>Ron Vlaar (v)</v>
      </c>
      <c r="BA61" s="140">
        <f t="shared" si="12"/>
        <v>3</v>
      </c>
      <c r="BB61" s="139">
        <f t="shared" si="24"/>
        <v>3</v>
      </c>
    </row>
    <row r="62" spans="2:54">
      <c r="B62" s="376">
        <v>52</v>
      </c>
      <c r="C62" s="466">
        <v>41819</v>
      </c>
      <c r="D62" s="464" t="str">
        <f t="shared" si="13"/>
        <v>Uruguay</v>
      </c>
      <c r="E62" s="379" t="s">
        <v>9</v>
      </c>
      <c r="F62" s="409" t="str">
        <f t="shared" si="14"/>
        <v>Griekenland</v>
      </c>
      <c r="G62" s="437">
        <v>2</v>
      </c>
      <c r="H62" s="379" t="s">
        <v>9</v>
      </c>
      <c r="I62" s="449">
        <v>0</v>
      </c>
      <c r="J62" s="450">
        <v>1</v>
      </c>
      <c r="K62" s="407" t="s">
        <v>62</v>
      </c>
      <c r="L62" s="407" t="s">
        <v>58</v>
      </c>
      <c r="M62" s="407"/>
      <c r="O62" s="458">
        <v>5</v>
      </c>
      <c r="P62" s="877" t="s">
        <v>290</v>
      </c>
      <c r="Q62" s="877"/>
      <c r="R62" s="877"/>
      <c r="S62" s="877"/>
      <c r="T62" s="878"/>
      <c r="V62" s="352" t="s">
        <v>132</v>
      </c>
      <c r="W62" s="352" t="s">
        <v>192</v>
      </c>
      <c r="X62" s="352" t="str">
        <f t="shared" si="11"/>
        <v>Maarten Stekelenburg (k)</v>
      </c>
      <c r="Y62" s="109">
        <f t="shared" si="15"/>
        <v>0</v>
      </c>
      <c r="Z62" s="352" t="str">
        <f t="shared" si="16"/>
        <v>Uruguay</v>
      </c>
      <c r="AA62" s="352" t="str">
        <f t="shared" si="16"/>
        <v>Griekenland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7"/>
        <v>0</v>
      </c>
      <c r="AG62" s="108">
        <f t="shared" si="18"/>
        <v>0</v>
      </c>
      <c r="AH62" s="108">
        <f t="shared" si="19"/>
        <v>0</v>
      </c>
      <c r="AI62" s="108">
        <f t="shared" si="20"/>
        <v>0</v>
      </c>
      <c r="AJ62" s="108">
        <f t="shared" si="21"/>
        <v>0</v>
      </c>
      <c r="AK62" s="108">
        <f t="shared" si="22"/>
        <v>0</v>
      </c>
      <c r="AL62" s="108">
        <f t="shared" si="23"/>
        <v>0</v>
      </c>
      <c r="AZ62" s="138" t="str">
        <f>Uitslag!P62</f>
        <v>Bruno Martins Indi (v)</v>
      </c>
      <c r="BA62" s="140">
        <f t="shared" si="12"/>
        <v>0</v>
      </c>
      <c r="BB62" s="139">
        <f t="shared" si="24"/>
        <v>0</v>
      </c>
    </row>
    <row r="63" spans="2:54">
      <c r="B63" s="364">
        <v>53</v>
      </c>
      <c r="C63" s="465">
        <v>41820</v>
      </c>
      <c r="D63" s="459" t="str">
        <f t="shared" si="13"/>
        <v>Frankrijk</v>
      </c>
      <c r="E63" s="367" t="s">
        <v>9</v>
      </c>
      <c r="F63" s="406" t="str">
        <f t="shared" si="14"/>
        <v>Nigeria</v>
      </c>
      <c r="G63" s="435">
        <v>3</v>
      </c>
      <c r="H63" s="367" t="s">
        <v>9</v>
      </c>
      <c r="I63" s="447">
        <v>0</v>
      </c>
      <c r="J63" s="448">
        <v>2</v>
      </c>
      <c r="K63" s="407" t="s">
        <v>67</v>
      </c>
      <c r="L63" s="407" t="s">
        <v>73</v>
      </c>
      <c r="M63" s="407"/>
      <c r="O63" s="458">
        <v>6</v>
      </c>
      <c r="P63" s="877" t="s">
        <v>225</v>
      </c>
      <c r="Q63" s="877"/>
      <c r="R63" s="877"/>
      <c r="S63" s="877"/>
      <c r="T63" s="878"/>
      <c r="V63" s="352" t="s">
        <v>132</v>
      </c>
      <c r="W63" s="352" t="s">
        <v>193</v>
      </c>
      <c r="X63" s="352" t="str">
        <f t="shared" si="11"/>
        <v>Michel Vorm (k)</v>
      </c>
      <c r="Y63" s="109">
        <f t="shared" si="15"/>
        <v>6</v>
      </c>
      <c r="Z63" s="352" t="str">
        <f t="shared" si="16"/>
        <v>Frankrijk</v>
      </c>
      <c r="AA63" s="352" t="str">
        <f t="shared" si="16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7"/>
        <v>6</v>
      </c>
      <c r="AG63" s="108">
        <f t="shared" si="18"/>
        <v>0</v>
      </c>
      <c r="AH63" s="108">
        <f t="shared" si="19"/>
        <v>1</v>
      </c>
      <c r="AI63" s="108">
        <f t="shared" si="20"/>
        <v>0</v>
      </c>
      <c r="AJ63" s="108">
        <f t="shared" si="21"/>
        <v>5</v>
      </c>
      <c r="AK63" s="108">
        <f t="shared" si="22"/>
        <v>0</v>
      </c>
      <c r="AL63" s="108">
        <f t="shared" si="23"/>
        <v>0</v>
      </c>
      <c r="AZ63" s="138" t="str">
        <f>Uitslag!P63</f>
        <v>Daley Blind (v)</v>
      </c>
      <c r="BA63" s="140">
        <f t="shared" si="12"/>
        <v>3</v>
      </c>
      <c r="BB63" s="139">
        <f t="shared" si="24"/>
        <v>3</v>
      </c>
    </row>
    <row r="64" spans="2:54">
      <c r="B64" s="376">
        <v>54</v>
      </c>
      <c r="C64" s="466">
        <v>41820</v>
      </c>
      <c r="D64" s="460" t="str">
        <f t="shared" si="13"/>
        <v>Duitsland</v>
      </c>
      <c r="E64" s="379" t="s">
        <v>9</v>
      </c>
      <c r="F64" s="409" t="str">
        <f t="shared" si="14"/>
        <v>Rusland</v>
      </c>
      <c r="G64" s="437">
        <v>2</v>
      </c>
      <c r="H64" s="379" t="s">
        <v>9</v>
      </c>
      <c r="I64" s="449">
        <v>0</v>
      </c>
      <c r="J64" s="450">
        <v>1</v>
      </c>
      <c r="K64" s="407" t="s">
        <v>77</v>
      </c>
      <c r="L64" s="407" t="s">
        <v>83</v>
      </c>
      <c r="M64" s="407"/>
      <c r="O64" s="458">
        <v>7</v>
      </c>
      <c r="P64" s="877" t="s">
        <v>226</v>
      </c>
      <c r="Q64" s="877"/>
      <c r="R64" s="877"/>
      <c r="S64" s="877"/>
      <c r="T64" s="878"/>
      <c r="V64" s="352" t="s">
        <v>133</v>
      </c>
      <c r="W64" s="352" t="s">
        <v>112</v>
      </c>
      <c r="X64" s="352" t="str">
        <f t="shared" si="11"/>
        <v>Joël Veltman (v)</v>
      </c>
      <c r="Y64" s="109">
        <f t="shared" si="15"/>
        <v>1</v>
      </c>
      <c r="Z64" s="352" t="str">
        <f t="shared" si="16"/>
        <v>Duitsland</v>
      </c>
      <c r="AA64" s="352" t="str">
        <f t="shared" si="16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7"/>
        <v>1</v>
      </c>
      <c r="AG64" s="108">
        <f t="shared" si="18"/>
        <v>0</v>
      </c>
      <c r="AH64" s="108">
        <f t="shared" si="19"/>
        <v>1</v>
      </c>
      <c r="AI64" s="108">
        <f t="shared" si="20"/>
        <v>0</v>
      </c>
      <c r="AJ64" s="108">
        <f t="shared" si="21"/>
        <v>0</v>
      </c>
      <c r="AK64" s="108">
        <f t="shared" si="22"/>
        <v>0</v>
      </c>
      <c r="AL64" s="108">
        <f t="shared" si="23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4"/>
        <v>3</v>
      </c>
    </row>
    <row r="65" spans="2:54">
      <c r="B65" s="370">
        <v>55</v>
      </c>
      <c r="C65" s="467">
        <v>41821</v>
      </c>
      <c r="D65" s="459" t="str">
        <f t="shared" si="13"/>
        <v>Argentinië</v>
      </c>
      <c r="E65" s="373" t="s">
        <v>9</v>
      </c>
      <c r="F65" s="410" t="str">
        <f t="shared" si="14"/>
        <v>Ecuador</v>
      </c>
      <c r="G65" s="436">
        <v>3</v>
      </c>
      <c r="H65" s="373" t="s">
        <v>9</v>
      </c>
      <c r="I65" s="451">
        <v>1</v>
      </c>
      <c r="J65" s="452">
        <v>1</v>
      </c>
      <c r="K65" s="407" t="s">
        <v>72</v>
      </c>
      <c r="L65" s="407" t="s">
        <v>68</v>
      </c>
      <c r="M65" s="407"/>
      <c r="O65" s="458">
        <v>8</v>
      </c>
      <c r="P65" s="877" t="s">
        <v>229</v>
      </c>
      <c r="Q65" s="877"/>
      <c r="R65" s="877"/>
      <c r="S65" s="877"/>
      <c r="T65" s="878"/>
      <c r="V65" s="352" t="s">
        <v>133</v>
      </c>
      <c r="W65" s="352" t="s">
        <v>109</v>
      </c>
      <c r="X65" s="352" t="str">
        <f t="shared" si="11"/>
        <v>Daley Blind (v)</v>
      </c>
      <c r="Y65" s="109">
        <f t="shared" si="15"/>
        <v>0</v>
      </c>
      <c r="Z65" s="352" t="str">
        <f t="shared" si="16"/>
        <v>Argentinië</v>
      </c>
      <c r="AA65" s="352" t="str">
        <f t="shared" si="16"/>
        <v>Ecuador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7"/>
        <v>0</v>
      </c>
      <c r="AG65" s="108">
        <f t="shared" si="18"/>
        <v>0</v>
      </c>
      <c r="AH65" s="108">
        <f t="shared" si="19"/>
        <v>0</v>
      </c>
      <c r="AI65" s="108">
        <f t="shared" si="20"/>
        <v>0</v>
      </c>
      <c r="AJ65" s="108">
        <f t="shared" si="21"/>
        <v>0</v>
      </c>
      <c r="AK65" s="108">
        <f t="shared" si="22"/>
        <v>0</v>
      </c>
      <c r="AL65" s="108">
        <f t="shared" si="23"/>
        <v>0</v>
      </c>
      <c r="AZ65" s="138" t="str">
        <f>Uitslag!P65</f>
        <v>Nigel de Jong (m)</v>
      </c>
      <c r="BA65" s="140">
        <f t="shared" si="12"/>
        <v>0</v>
      </c>
      <c r="BB65" s="139">
        <f t="shared" si="24"/>
        <v>0</v>
      </c>
    </row>
    <row r="66" spans="2:54" ht="15.75" thickBot="1">
      <c r="B66" s="385">
        <v>56</v>
      </c>
      <c r="C66" s="462">
        <v>41821</v>
      </c>
      <c r="D66" s="461" t="str">
        <f t="shared" si="13"/>
        <v>België</v>
      </c>
      <c r="E66" s="388" t="s">
        <v>9</v>
      </c>
      <c r="F66" s="412" t="str">
        <f t="shared" si="14"/>
        <v>Portugal</v>
      </c>
      <c r="G66" s="438">
        <v>1</v>
      </c>
      <c r="H66" s="388" t="s">
        <v>9</v>
      </c>
      <c r="I66" s="453">
        <v>0</v>
      </c>
      <c r="J66" s="454">
        <v>1</v>
      </c>
      <c r="K66" s="407" t="s">
        <v>82</v>
      </c>
      <c r="L66" s="407" t="s">
        <v>78</v>
      </c>
      <c r="M66" s="407"/>
      <c r="O66" s="458">
        <v>9</v>
      </c>
      <c r="P66" s="877" t="s">
        <v>214</v>
      </c>
      <c r="Q66" s="877"/>
      <c r="R66" s="877"/>
      <c r="S66" s="877"/>
      <c r="T66" s="878"/>
      <c r="V66" s="352" t="s">
        <v>133</v>
      </c>
      <c r="W66" s="352" t="s">
        <v>115</v>
      </c>
      <c r="X66" s="352" t="str">
        <f t="shared" si="11"/>
        <v>Daryl Janmaat (v)</v>
      </c>
      <c r="Y66" s="109">
        <f t="shared" si="15"/>
        <v>1</v>
      </c>
      <c r="Z66" s="352" t="str">
        <f>IF(K66=""," ",VLOOKUP(K66,$T$9:$V$54,3,FALSE))</f>
        <v>België</v>
      </c>
      <c r="AA66" s="352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7"/>
        <v>1</v>
      </c>
      <c r="AG66" s="108">
        <f t="shared" si="18"/>
        <v>0</v>
      </c>
      <c r="AH66" s="108">
        <f t="shared" si="19"/>
        <v>1</v>
      </c>
      <c r="AI66" s="108">
        <f t="shared" si="20"/>
        <v>0</v>
      </c>
      <c r="AJ66" s="108">
        <f t="shared" si="21"/>
        <v>0</v>
      </c>
      <c r="AK66" s="108">
        <f t="shared" si="22"/>
        <v>0</v>
      </c>
      <c r="AL66" s="108">
        <f t="shared" si="23"/>
        <v>0</v>
      </c>
      <c r="AZ66" s="138" t="str">
        <f>Uitslag!P66</f>
        <v>Jonathan de Guzman (m)</v>
      </c>
      <c r="BA66" s="140">
        <f t="shared" si="12"/>
        <v>3</v>
      </c>
      <c r="BB66" s="139">
        <f t="shared" si="24"/>
        <v>3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O67" s="458">
        <v>10</v>
      </c>
      <c r="P67" s="877" t="s">
        <v>216</v>
      </c>
      <c r="Q67" s="877"/>
      <c r="R67" s="877"/>
      <c r="S67" s="877"/>
      <c r="T67" s="878"/>
      <c r="V67" s="352" t="s">
        <v>133</v>
      </c>
      <c r="W67" s="352" t="s">
        <v>118</v>
      </c>
      <c r="X67" s="352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4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79"/>
      <c r="K68" s="353"/>
      <c r="L68" s="353"/>
      <c r="M68" s="353"/>
      <c r="O68" s="458">
        <v>11</v>
      </c>
      <c r="P68" s="877" t="s">
        <v>215</v>
      </c>
      <c r="Q68" s="877"/>
      <c r="R68" s="877"/>
      <c r="S68" s="877"/>
      <c r="T68" s="878"/>
      <c r="V68" s="352" t="s">
        <v>133</v>
      </c>
      <c r="W68" s="352" t="s">
        <v>119</v>
      </c>
      <c r="X68" s="352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4"/>
        <v>3</v>
      </c>
    </row>
    <row r="69" spans="2:54">
      <c r="B69" s="428" t="s">
        <v>1</v>
      </c>
      <c r="C69" s="429" t="s">
        <v>2</v>
      </c>
      <c r="D69" s="476" t="s">
        <v>3</v>
      </c>
      <c r="E69" s="431"/>
      <c r="F69" s="477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V69" s="352" t="s">
        <v>133</v>
      </c>
      <c r="W69" s="352" t="s">
        <v>121</v>
      </c>
      <c r="X69" s="352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24</v>
      </c>
      <c r="BB69" s="139" t="str">
        <f>IF(AND(BA69&lt;&gt;"",BA69=33),15,"nvt")</f>
        <v>nvt</v>
      </c>
    </row>
    <row r="70" spans="2:54">
      <c r="B70" s="364">
        <v>57</v>
      </c>
      <c r="C70" s="365">
        <v>41824</v>
      </c>
      <c r="D70" s="405" t="str">
        <f>IF(J63="","Winnaar 53",IF(J63=1,D63,F63))</f>
        <v>Nigeria</v>
      </c>
      <c r="E70" s="367" t="s">
        <v>9</v>
      </c>
      <c r="F70" s="406" t="str">
        <f>IF(J64="","Winnaar 54",IF(J64=1,D64,F64))</f>
        <v>Duitsland</v>
      </c>
      <c r="G70" s="435">
        <v>0</v>
      </c>
      <c r="H70" s="367" t="s">
        <v>9</v>
      </c>
      <c r="I70" s="447">
        <v>2</v>
      </c>
      <c r="J70" s="448">
        <v>2</v>
      </c>
      <c r="K70" s="353"/>
      <c r="L70" s="353"/>
      <c r="M70" s="353"/>
      <c r="V70" s="352" t="s">
        <v>133</v>
      </c>
      <c r="W70" s="352" t="s">
        <v>126</v>
      </c>
      <c r="X70" s="352" t="str">
        <f t="shared" si="11"/>
        <v>Karim Rekik (v)</v>
      </c>
      <c r="Y70" s="109">
        <f>AF70</f>
        <v>6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6</v>
      </c>
      <c r="AG70" s="108">
        <f>IF(AC70="",0,(IF(G70=AC70,1,0)))</f>
        <v>1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Brazilië</v>
      </c>
      <c r="E71" s="379" t="s">
        <v>9</v>
      </c>
      <c r="F71" s="409" t="str">
        <f>IF(J60="","Winnaar 50",IF(J60=1,D60,F60))</f>
        <v>Japan</v>
      </c>
      <c r="G71" s="437">
        <v>3</v>
      </c>
      <c r="H71" s="379" t="s">
        <v>9</v>
      </c>
      <c r="I71" s="449">
        <v>0</v>
      </c>
      <c r="J71" s="450">
        <v>1</v>
      </c>
      <c r="K71" s="353"/>
      <c r="L71" s="353"/>
      <c r="M71" s="353"/>
      <c r="V71" s="352" t="s">
        <v>133</v>
      </c>
      <c r="W71" s="352" t="s">
        <v>194</v>
      </c>
      <c r="X71" s="352" t="str">
        <f t="shared" si="11"/>
        <v>Ron Vlaar (v)</v>
      </c>
      <c r="Y71" s="109">
        <f>AF71</f>
        <v>5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5</v>
      </c>
      <c r="AG71" s="108">
        <f>IF(AC71="",0,(IF(G71=AC71,1,0)))</f>
        <v>0</v>
      </c>
      <c r="AH71" s="108">
        <f>IF(AD71="",0,(IF(I71=AD71,1,0)))</f>
        <v>0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Argentinië</v>
      </c>
      <c r="E72" s="367" t="s">
        <v>9</v>
      </c>
      <c r="F72" s="406" t="str">
        <f>IF(J66="","Winnaar 56",IF(J66=1,D66,F66))</f>
        <v>België</v>
      </c>
      <c r="G72" s="435">
        <v>1</v>
      </c>
      <c r="H72" s="367" t="s">
        <v>9</v>
      </c>
      <c r="I72" s="447">
        <v>1</v>
      </c>
      <c r="J72" s="448">
        <v>2</v>
      </c>
      <c r="K72" s="353"/>
      <c r="L72" s="353"/>
      <c r="M72" s="353"/>
      <c r="V72" s="352" t="s">
        <v>133</v>
      </c>
      <c r="W72" s="352" t="s">
        <v>195</v>
      </c>
      <c r="X72" s="352" t="str">
        <f t="shared" si="11"/>
        <v>John Heitinga (v)</v>
      </c>
      <c r="Y72" s="109">
        <f>AF72</f>
        <v>1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1</v>
      </c>
      <c r="AG72" s="108">
        <f>IF(AC72="",0,(IF(G72=AC72,1,0)))</f>
        <v>1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0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Nederland</v>
      </c>
      <c r="E73" s="388" t="s">
        <v>9</v>
      </c>
      <c r="F73" s="412" t="str">
        <f>IF(J62="","Winnaar 52",IF(J62=1,D62,F62))</f>
        <v>Uruguay</v>
      </c>
      <c r="G73" s="438">
        <v>3</v>
      </c>
      <c r="H73" s="388" t="s">
        <v>9</v>
      </c>
      <c r="I73" s="453">
        <v>2</v>
      </c>
      <c r="J73" s="454">
        <v>1</v>
      </c>
      <c r="K73" s="353"/>
      <c r="L73" s="353"/>
      <c r="M73" s="353"/>
      <c r="V73" s="352" t="s">
        <v>133</v>
      </c>
      <c r="W73" s="352" t="s">
        <v>196</v>
      </c>
      <c r="X73" s="352" t="str">
        <f t="shared" si="11"/>
        <v>Urby Emanuelson (v)</v>
      </c>
      <c r="Y73" s="109">
        <f>AF73</f>
        <v>0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0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V74" s="352" t="s">
        <v>133</v>
      </c>
      <c r="W74" s="352" t="s">
        <v>197</v>
      </c>
      <c r="X74" s="352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79"/>
      <c r="K75" s="353"/>
      <c r="L75" s="353"/>
      <c r="M75" s="353"/>
      <c r="V75" s="352" t="s">
        <v>133</v>
      </c>
      <c r="W75" s="352" t="s">
        <v>198</v>
      </c>
      <c r="X75" s="352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76" t="s">
        <v>3</v>
      </c>
      <c r="E76" s="431"/>
      <c r="F76" s="477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V76" s="352" t="s">
        <v>133</v>
      </c>
      <c r="W76" s="352" t="s">
        <v>202</v>
      </c>
      <c r="X76" s="352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Duitsland</v>
      </c>
      <c r="E77" s="367" t="s">
        <v>9</v>
      </c>
      <c r="F77" s="406" t="str">
        <f>IF(J71="","Winnaar 58",IF(J71=1,D71,F71))</f>
        <v>Brazilië</v>
      </c>
      <c r="G77" s="435">
        <v>2</v>
      </c>
      <c r="H77" s="367" t="s">
        <v>9</v>
      </c>
      <c r="I77" s="447">
        <v>2</v>
      </c>
      <c r="J77" s="448">
        <v>1</v>
      </c>
      <c r="K77" s="353"/>
      <c r="L77" s="353"/>
      <c r="M77" s="353"/>
      <c r="V77" s="352" t="s">
        <v>134</v>
      </c>
      <c r="W77" s="352" t="s">
        <v>203</v>
      </c>
      <c r="X77" s="352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België</v>
      </c>
      <c r="E78" s="388" t="s">
        <v>9</v>
      </c>
      <c r="F78" s="412" t="str">
        <f>IF(J73="","Winnaar 60",IF(J73=1,D73,F73))</f>
        <v>Nederland</v>
      </c>
      <c r="G78" s="438">
        <v>2</v>
      </c>
      <c r="H78" s="388" t="s">
        <v>9</v>
      </c>
      <c r="I78" s="453">
        <v>2</v>
      </c>
      <c r="J78" s="454">
        <v>1</v>
      </c>
      <c r="K78" s="353"/>
      <c r="L78" s="353"/>
      <c r="M78" s="353"/>
      <c r="V78" s="352" t="s">
        <v>134</v>
      </c>
      <c r="W78" s="352" t="s">
        <v>199</v>
      </c>
      <c r="X78" s="352" t="str">
        <f t="shared" si="11"/>
        <v>Leroy Fer (m)</v>
      </c>
      <c r="Y78" s="109">
        <f>AF78</f>
        <v>5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5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5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V79" s="352" t="s">
        <v>134</v>
      </c>
      <c r="W79" s="352" t="s">
        <v>114</v>
      </c>
      <c r="X79" s="352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79"/>
      <c r="K80" s="353"/>
      <c r="L80" s="353"/>
      <c r="M80" s="353"/>
      <c r="V80" s="352" t="s">
        <v>134</v>
      </c>
      <c r="W80" s="352" t="s">
        <v>117</v>
      </c>
      <c r="X80" s="352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76" t="s">
        <v>3</v>
      </c>
      <c r="E81" s="431"/>
      <c r="F81" s="477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V81" s="352" t="s">
        <v>134</v>
      </c>
      <c r="W81" s="352" t="s">
        <v>120</v>
      </c>
      <c r="X81" s="352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Brazilië</v>
      </c>
      <c r="E82" s="355" t="s">
        <v>9</v>
      </c>
      <c r="F82" s="415" t="str">
        <f>IF(J78="","Verliezer 62",IF(J78=1,F78,D78))</f>
        <v>Nederland</v>
      </c>
      <c r="G82" s="455">
        <v>2</v>
      </c>
      <c r="H82" s="355" t="s">
        <v>9</v>
      </c>
      <c r="I82" s="456">
        <v>1</v>
      </c>
      <c r="J82" s="457">
        <v>1</v>
      </c>
      <c r="K82" s="353"/>
      <c r="L82" s="353"/>
      <c r="M82" s="353"/>
      <c r="V82" s="352" t="s">
        <v>134</v>
      </c>
      <c r="W82" s="352" t="s">
        <v>125</v>
      </c>
      <c r="X82" s="35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V83" s="352" t="s">
        <v>134</v>
      </c>
      <c r="W83" s="352" t="s">
        <v>136</v>
      </c>
      <c r="X83" s="352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79"/>
      <c r="K84" s="353"/>
      <c r="L84" s="353"/>
      <c r="M84" s="353"/>
      <c r="V84" s="352" t="s">
        <v>134</v>
      </c>
      <c r="W84" s="352" t="s">
        <v>137</v>
      </c>
      <c r="X84" s="352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76" t="s">
        <v>3</v>
      </c>
      <c r="E85" s="431"/>
      <c r="F85" s="477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V85" s="352" t="s">
        <v>134</v>
      </c>
      <c r="W85" s="352" t="s">
        <v>138</v>
      </c>
      <c r="X85" s="352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Duitsland</v>
      </c>
      <c r="E86" s="355" t="s">
        <v>9</v>
      </c>
      <c r="F86" s="415" t="str">
        <f>IF(J78="","Winnaar 62",IF(J78=1,D78,F78))</f>
        <v>België</v>
      </c>
      <c r="G86" s="455">
        <v>2</v>
      </c>
      <c r="H86" s="355" t="s">
        <v>9</v>
      </c>
      <c r="I86" s="456">
        <v>1</v>
      </c>
      <c r="J86" s="457">
        <v>1</v>
      </c>
      <c r="K86" s="353"/>
      <c r="L86" s="353"/>
      <c r="M86" s="353"/>
      <c r="V86" s="352" t="s">
        <v>134</v>
      </c>
      <c r="W86" s="352" t="s">
        <v>139</v>
      </c>
      <c r="X86" s="352" t="str">
        <f t="shared" si="11"/>
        <v>Nigel de Jong (m)</v>
      </c>
      <c r="Y86" s="109">
        <f>AF86</f>
        <v>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0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353"/>
      <c r="C87" s="129"/>
      <c r="D87" s="392"/>
      <c r="E87" s="353"/>
      <c r="F87" s="392"/>
      <c r="G87" s="353"/>
      <c r="H87" s="353"/>
      <c r="I87" s="353"/>
      <c r="J87" s="353"/>
      <c r="K87" s="353"/>
      <c r="L87" s="353"/>
      <c r="M87" s="353"/>
      <c r="V87" s="352" t="s">
        <v>135</v>
      </c>
      <c r="W87" s="352" t="s">
        <v>205</v>
      </c>
      <c r="X87" s="352" t="str">
        <f t="shared" si="11"/>
        <v>Ricky van Wolfswinkel (a)</v>
      </c>
      <c r="AP87" s="136" t="s">
        <v>102</v>
      </c>
    </row>
    <row r="88" spans="2:50">
      <c r="B88" s="353"/>
      <c r="C88" s="129"/>
      <c r="D88" s="392"/>
      <c r="E88" s="353"/>
      <c r="F88" s="392"/>
      <c r="G88" s="353"/>
      <c r="H88" s="353"/>
      <c r="I88" s="353"/>
      <c r="J88" s="353"/>
      <c r="K88" s="353"/>
      <c r="L88" s="353"/>
      <c r="M88" s="353"/>
      <c r="V88" s="352" t="s">
        <v>135</v>
      </c>
      <c r="W88" s="352" t="s">
        <v>204</v>
      </c>
      <c r="X88" s="352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458"/>
    </row>
    <row r="89" spans="2:50" ht="20.25">
      <c r="C89" s="874" t="s">
        <v>101</v>
      </c>
      <c r="D89" s="871"/>
      <c r="E89" s="873" t="str">
        <f>IF(J86=1,D86,IF(J86=2,F86,"Wie zal het worden?"))</f>
        <v>Duitsland</v>
      </c>
      <c r="F89" s="873"/>
      <c r="G89" s="873"/>
      <c r="H89" s="873"/>
      <c r="I89" s="873"/>
      <c r="J89" s="873"/>
      <c r="K89" s="353"/>
      <c r="L89" s="353"/>
      <c r="M89" s="353"/>
      <c r="V89" s="352" t="s">
        <v>135</v>
      </c>
      <c r="W89" s="352" t="s">
        <v>201</v>
      </c>
      <c r="X89" s="352" t="str">
        <f t="shared" si="11"/>
        <v>Jermain Lens (a)</v>
      </c>
      <c r="AP89" s="109">
        <f>AU89</f>
        <v>50</v>
      </c>
      <c r="AQ89" s="131">
        <v>1</v>
      </c>
      <c r="AR89" s="904" t="str">
        <f>Uitslag!E89</f>
        <v>Duitsland</v>
      </c>
      <c r="AS89" s="905"/>
      <c r="AT89" s="906"/>
      <c r="AU89" s="352">
        <f>SUM(AV89:AX89)</f>
        <v>50</v>
      </c>
      <c r="AV89" s="352">
        <f>IF(AR89=0,0,IF(E89=AR89,50,0))</f>
        <v>50</v>
      </c>
      <c r="AW89" s="352">
        <f>IF(E89=0,0,IF(OR(E89=AR90),15,0))</f>
        <v>0</v>
      </c>
      <c r="AX89" s="352">
        <f>IF(E89=0,0,IF(OR(E89=AR91,E89=AR92),5,0))</f>
        <v>0</v>
      </c>
    </row>
    <row r="90" spans="2:50">
      <c r="C90" s="870">
        <v>2</v>
      </c>
      <c r="D90" s="871"/>
      <c r="E90" s="872" t="str">
        <f>IF(J86=2,D86,IF(J86=1,F86,"Wie wordt 2de?"))</f>
        <v>België</v>
      </c>
      <c r="F90" s="872"/>
      <c r="G90" s="872"/>
      <c r="H90" s="872"/>
      <c r="I90" s="872"/>
      <c r="J90" s="872"/>
      <c r="V90" s="352" t="s">
        <v>135</v>
      </c>
      <c r="W90" s="352" t="s">
        <v>200</v>
      </c>
      <c r="X90" s="352" t="str">
        <f t="shared" si="11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 s="352">
        <f>SUM(AV90:AX90)</f>
        <v>0</v>
      </c>
      <c r="AV90" s="352">
        <f>IF(AR90=0,0,IF(AR90=E90,25,0))</f>
        <v>0</v>
      </c>
      <c r="AW90" s="352">
        <f>IF(E90=0,0,IF(OR(E90=AR89,),15,0))</f>
        <v>0</v>
      </c>
      <c r="AX90" s="352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Brazilië</v>
      </c>
      <c r="F91" s="872"/>
      <c r="G91" s="872"/>
      <c r="H91" s="872"/>
      <c r="I91" s="872"/>
      <c r="J91" s="872"/>
      <c r="V91" s="352" t="s">
        <v>135</v>
      </c>
      <c r="W91" s="352" t="s">
        <v>128</v>
      </c>
      <c r="X91" s="352" t="str">
        <f t="shared" si="11"/>
        <v>Jürgen Locadia (a)</v>
      </c>
      <c r="AP91" s="109">
        <f>AU91</f>
        <v>10</v>
      </c>
      <c r="AQ91" s="131">
        <v>3</v>
      </c>
      <c r="AR91" s="904" t="str">
        <f>Uitslag!E91</f>
        <v>Nederland</v>
      </c>
      <c r="AS91" s="905"/>
      <c r="AT91" s="906"/>
      <c r="AU91" s="352">
        <f>SUM(AV91:AX91)</f>
        <v>10</v>
      </c>
      <c r="AV91" s="352">
        <f>IF(AR91=0,0,IF(AR91=E91,15,0))</f>
        <v>0</v>
      </c>
      <c r="AW91" s="352">
        <f>IF(E91=0,0,IF(OR(E91=AR92),10,0))</f>
        <v>10</v>
      </c>
      <c r="AX91" s="352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Nederland</v>
      </c>
      <c r="F92" s="872"/>
      <c r="G92" s="872"/>
      <c r="H92" s="872"/>
      <c r="I92" s="872"/>
      <c r="J92" s="872"/>
      <c r="V92" s="352" t="s">
        <v>135</v>
      </c>
      <c r="W92" s="352" t="s">
        <v>127</v>
      </c>
      <c r="X92" s="352" t="str">
        <f t="shared" si="11"/>
        <v>Memphis Depay (a)</v>
      </c>
      <c r="AP92" s="109">
        <f>AU92</f>
        <v>10</v>
      </c>
      <c r="AQ92" s="131">
        <v>4</v>
      </c>
      <c r="AR92" s="904" t="str">
        <f>Uitslag!E92</f>
        <v>Brazilië</v>
      </c>
      <c r="AS92" s="905"/>
      <c r="AT92" s="906"/>
      <c r="AU92" s="352">
        <f>SUM(AV92:AX92)</f>
        <v>10</v>
      </c>
      <c r="AV92" s="352">
        <f>IF(AR92=0,0,IF(AR92=E92,15,0))</f>
        <v>0</v>
      </c>
      <c r="AW92" s="352">
        <f>IF(E92=0,0,IF(OR(E92=AR91,),10,0))</f>
        <v>10</v>
      </c>
      <c r="AX92" s="352">
        <f>IF(E92=0,0,IF(OR(E92=AR89,E92=AR90),5,0))</f>
        <v>0</v>
      </c>
    </row>
    <row r="93" spans="2:50" ht="15.75" thickBot="1">
      <c r="V93" s="352" t="s">
        <v>135</v>
      </c>
      <c r="W93" s="352" t="s">
        <v>123</v>
      </c>
      <c r="X93" s="352" t="str">
        <f t="shared" si="11"/>
        <v>Quincy Promes (a)</v>
      </c>
      <c r="AS93" s="132"/>
      <c r="AU93" s="133">
        <f>SUM(AU89:AU92)</f>
        <v>70</v>
      </c>
    </row>
    <row r="94" spans="2:50" ht="15.75" thickTop="1">
      <c r="V94" s="352" t="s">
        <v>135</v>
      </c>
      <c r="W94" s="352" t="s">
        <v>122</v>
      </c>
      <c r="X94" s="352" t="str">
        <f t="shared" si="11"/>
        <v>Luc Castaignos (a)</v>
      </c>
    </row>
    <row r="95" spans="2:50">
      <c r="V95" s="352" t="s">
        <v>135</v>
      </c>
      <c r="W95" s="352" t="s">
        <v>113</v>
      </c>
      <c r="X95" s="352" t="str">
        <f t="shared" si="11"/>
        <v>Jean-Paul Boëtius (a)</v>
      </c>
    </row>
    <row r="96" spans="2:50">
      <c r="V96" s="352" t="s">
        <v>135</v>
      </c>
      <c r="W96" s="352" t="s">
        <v>129</v>
      </c>
      <c r="X96" s="352" t="str">
        <f t="shared" si="11"/>
        <v>Luciano Narsingh (a)</v>
      </c>
    </row>
    <row r="97" spans="22:24">
      <c r="V97" s="352" t="s">
        <v>135</v>
      </c>
      <c r="W97" s="352" t="s">
        <v>130</v>
      </c>
      <c r="X97" s="352" t="str">
        <f t="shared" si="11"/>
        <v>Robin van Persie (a)</v>
      </c>
    </row>
    <row r="98" spans="22:24">
      <c r="V98" s="352" t="s">
        <v>135</v>
      </c>
      <c r="W98" s="352" t="s">
        <v>131</v>
      </c>
      <c r="X98" s="352" t="str">
        <f t="shared" si="11"/>
        <v>Arjen Robben (a)</v>
      </c>
    </row>
  </sheetData>
  <mergeCells count="36">
    <mergeCell ref="C91:D91"/>
    <mergeCell ref="E91:J91"/>
    <mergeCell ref="AR91:AT91"/>
    <mergeCell ref="C92:D92"/>
    <mergeCell ref="E92:J92"/>
    <mergeCell ref="AR92:AT92"/>
    <mergeCell ref="C89:D89"/>
    <mergeCell ref="E89:J89"/>
    <mergeCell ref="AR89:AT89"/>
    <mergeCell ref="C90:D90"/>
    <mergeCell ref="E90:J90"/>
    <mergeCell ref="AR90:AT90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</mergeCells>
  <conditionalFormatting sqref="AO9:AO12 AO15:AO18 AO21:AO24 AO27:AO30 AO33:AO36 AO39:AO42 AO45:AO48 AO51:AO54">
    <cfRule type="cellIs" dxfId="89" priority="3" operator="equal">
      <formula>10</formula>
    </cfRule>
  </conditionalFormatting>
  <conditionalFormatting sqref="P58:T58">
    <cfRule type="duplicateValues" dxfId="88" priority="2"/>
  </conditionalFormatting>
  <conditionalFormatting sqref="P58:T68">
    <cfRule type="duplicateValues" dxfId="87" priority="1"/>
  </conditionalFormatting>
  <dataValidations count="10">
    <dataValidation type="list" allowBlank="1" showInputMessage="1" showErrorMessage="1" sqref="P58:P68">
      <formula1>$X$58:$X$98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51:T54">
      <formula1>$W$51:$W$54</formula1>
    </dataValidation>
  </dataValidation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>
  <dimension ref="B1:BB98"/>
  <sheetViews>
    <sheetView topLeftCell="A37" zoomScale="70" zoomScaleNormal="70" workbookViewId="0">
      <selection activeCell="P58" sqref="P58:T68"/>
    </sheetView>
  </sheetViews>
  <sheetFormatPr defaultRowHeight="15" outlineLevelCol="2"/>
  <cols>
    <col min="1" max="1" width="3.42578125" style="352" customWidth="1"/>
    <col min="2" max="2" width="3.5703125" style="352" bestFit="1" customWidth="1"/>
    <col min="3" max="3" width="11.5703125" style="123" bestFit="1" customWidth="1"/>
    <col min="4" max="4" width="19.7109375" style="352" bestFit="1" customWidth="1"/>
    <col min="5" max="5" width="3.42578125" style="352" customWidth="1"/>
    <col min="6" max="6" width="19.7109375" style="352" bestFit="1" customWidth="1"/>
    <col min="7" max="7" width="6.7109375" style="352" customWidth="1"/>
    <col min="8" max="8" width="1.5703125" style="352" bestFit="1" customWidth="1"/>
    <col min="9" max="9" width="6.7109375" style="352" customWidth="1"/>
    <col min="10" max="10" width="6.85546875" style="352" bestFit="1" customWidth="1"/>
    <col min="11" max="13" width="9.140625" style="352" hidden="1" customWidth="1" outlineLevel="1"/>
    <col min="14" max="14" width="11.42578125" style="352" bestFit="1" customWidth="1" collapsed="1"/>
    <col min="15" max="15" width="14.7109375" style="352" bestFit="1" customWidth="1"/>
    <col min="16" max="16" width="12.28515625" style="352" bestFit="1" customWidth="1"/>
    <col min="17" max="17" width="8.140625" style="352" bestFit="1" customWidth="1"/>
    <col min="18" max="18" width="7.7109375" style="352" bestFit="1" customWidth="1"/>
    <col min="19" max="19" width="9.140625" style="352"/>
    <col min="20" max="20" width="8.5703125" style="352" bestFit="1" customWidth="1"/>
    <col min="21" max="21" width="9.140625" style="352"/>
    <col min="22" max="23" width="9.140625" style="352" hidden="1" customWidth="1" outlineLevel="1"/>
    <col min="24" max="24" width="2" style="352" hidden="1" customWidth="1" outlineLevel="1"/>
    <col min="25" max="25" width="12.28515625" style="352" bestFit="1" customWidth="1" collapsed="1"/>
    <col min="26" max="27" width="12.28515625" style="352" hidden="1" customWidth="1" outlineLevel="1"/>
    <col min="28" max="28" width="4.7109375" style="352" hidden="1" customWidth="1" outlineLevel="1"/>
    <col min="29" max="38" width="9.140625" style="352" hidden="1" customWidth="1" outlineLevel="1"/>
    <col min="39" max="39" width="7.42578125" style="352" bestFit="1" customWidth="1" collapsed="1"/>
    <col min="40" max="40" width="19.7109375" style="352" hidden="1" customWidth="1" outlineLevel="1"/>
    <col min="41" max="41" width="9.140625" style="352" hidden="1" customWidth="1" outlineLevel="1"/>
    <col min="42" max="42" width="9.140625" style="352" collapsed="1"/>
    <col min="43" max="49" width="9.140625" style="352" hidden="1" customWidth="1" outlineLevel="2"/>
    <col min="50" max="50" width="11.5703125" style="352" hidden="1" customWidth="1" outlineLevel="2"/>
    <col min="51" max="51" width="11.85546875" style="352" hidden="1" customWidth="1" outlineLevel="1" collapsed="1"/>
    <col min="52" max="52" width="9.42578125" style="352" hidden="1" customWidth="1" outlineLevel="1"/>
    <col min="53" max="53" width="10.5703125" style="352" hidden="1" customWidth="1" outlineLevel="1"/>
    <col min="54" max="54" width="9.140625" style="352" collapsed="1"/>
    <col min="55" max="55" width="11.85546875" style="352" bestFit="1" customWidth="1"/>
    <col min="56" max="16384" width="9.140625" style="352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292</v>
      </c>
      <c r="E3" s="335"/>
      <c r="F3" s="335"/>
      <c r="N3" s="352" t="str">
        <f>D3</f>
        <v>Bert vd S</v>
      </c>
      <c r="O3" s="144">
        <f>SUM(P3:S3)</f>
        <v>294</v>
      </c>
      <c r="P3" s="109">
        <f>SUM(Y8:Y86)</f>
        <v>140</v>
      </c>
      <c r="Q3" s="109">
        <f>SUM(AM4:AM55)</f>
        <v>120</v>
      </c>
      <c r="R3" s="109">
        <f>SUM(AP89:AP92)</f>
        <v>10</v>
      </c>
      <c r="S3" s="109">
        <f>SUM(BB58:BB69)</f>
        <v>24</v>
      </c>
      <c r="T3" s="109">
        <f>COUNTIF(AF8:AF86,10)</f>
        <v>1</v>
      </c>
      <c r="U3" s="109" t="str">
        <f>E89</f>
        <v>Spanje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O6" s="392"/>
      <c r="P6" s="393"/>
      <c r="Q6" s="393"/>
      <c r="R6" s="393"/>
      <c r="S6" s="393"/>
      <c r="T6" s="393"/>
      <c r="U6" s="392"/>
      <c r="V6" s="392"/>
      <c r="W6" s="392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80" t="s">
        <v>3</v>
      </c>
      <c r="E7" s="419"/>
      <c r="F7" s="481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O7" s="353"/>
      <c r="P7" s="393"/>
      <c r="Q7" s="393"/>
      <c r="R7" s="393"/>
      <c r="S7" s="393"/>
      <c r="T7" s="393"/>
      <c r="U7" s="353"/>
      <c r="V7" s="353"/>
      <c r="W7" s="353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458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4</v>
      </c>
      <c r="H8" s="360" t="s">
        <v>9</v>
      </c>
      <c r="I8" s="478">
        <v>1</v>
      </c>
      <c r="J8" s="362">
        <f t="shared" ref="J8:J55" si="0">IF(I8="","",IF(G8&gt;I8,1,IF(G8&lt;I8,2,3)))</f>
        <v>1</v>
      </c>
      <c r="K8" s="363">
        <f t="shared" ref="K8:K55" si="1">IF(I8="","",IF($G8&gt;$I8,3,IF($G8=$I8,1,0)))</f>
        <v>3</v>
      </c>
      <c r="L8" s="363">
        <f t="shared" ref="L8:L55" si="2">IF(I8="","",IF($G8&lt;$I8,3,IF($G8=$I8,1,0)))</f>
        <v>0</v>
      </c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392"/>
      <c r="V8" s="392"/>
      <c r="W8" s="392"/>
      <c r="Y8" s="109">
        <f>AF8</f>
        <v>6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6</v>
      </c>
      <c r="AG8" s="108">
        <f t="shared" ref="AG8:AG55" si="3">IF(AC8="",0,(IF(G8=AC8,1,0)))</f>
        <v>0</v>
      </c>
      <c r="AH8" s="108">
        <f t="shared" ref="AH8:AH55" si="4">IF(AD8="",0,(IF(I8=AD8,1,0)))</f>
        <v>1</v>
      </c>
      <c r="AI8" s="108">
        <f>IF(AND(AG8=1,AH8=1),10,0)</f>
        <v>0</v>
      </c>
      <c r="AJ8" s="108">
        <f t="shared" ref="AJ8:AJ55" si="5">IF(AND(G8&gt;I8,AC8&gt;AD8),5,0)</f>
        <v>5</v>
      </c>
      <c r="AK8" s="108">
        <f t="shared" ref="AK8:AK55" si="6">IF(AND(G8&lt;I8,AC8&lt;AD8),5,0)</f>
        <v>0</v>
      </c>
      <c r="AL8" s="108">
        <f t="shared" ref="AL8:AL55" si="7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2</v>
      </c>
      <c r="H9" s="367" t="s">
        <v>9</v>
      </c>
      <c r="I9" s="440">
        <v>1</v>
      </c>
      <c r="J9" s="369">
        <f t="shared" si="0"/>
        <v>1</v>
      </c>
      <c r="K9" s="363">
        <f t="shared" si="1"/>
        <v>3</v>
      </c>
      <c r="L9" s="363">
        <f t="shared" si="2"/>
        <v>0</v>
      </c>
      <c r="O9" s="394" t="s">
        <v>8</v>
      </c>
      <c r="P9" s="395">
        <f>SUMIF($D$8:$D$55,$O9,$G$8:$G$55)+SUMIF($F$8:$F$55,$O9,$I$8:$I$55)</f>
        <v>12</v>
      </c>
      <c r="Q9" s="395">
        <f>SUMIF($D$8:$D$55,$O9,$I$8:$I$55)+SUMIF($F$8:$F$55,$O9,$G$8:$G$55)</f>
        <v>3</v>
      </c>
      <c r="R9" s="396">
        <f>P9-Q9</f>
        <v>9</v>
      </c>
      <c r="S9" s="397">
        <f>SUMIF($D$8:$D$55,$O9,$K$8:$K$55)+SUMIF($F$8:$F$55,$O9,$L$8:$L$55)</f>
        <v>9</v>
      </c>
      <c r="T9" s="444" t="s">
        <v>48</v>
      </c>
      <c r="U9" s="392"/>
      <c r="V9" s="392" t="str">
        <f>O9</f>
        <v>Brazilië</v>
      </c>
      <c r="W9" s="392" t="s">
        <v>48</v>
      </c>
      <c r="Y9" s="109">
        <f t="shared" ref="Y9:Y55" si="8">AF9</f>
        <v>5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5</v>
      </c>
      <c r="AG9" s="108">
        <f t="shared" si="3"/>
        <v>0</v>
      </c>
      <c r="AH9" s="108">
        <f t="shared" si="4"/>
        <v>0</v>
      </c>
      <c r="AI9" s="108">
        <f t="shared" ref="AI9:AI55" si="10">IF(AND(AG9=1,AH9=1),10,0)</f>
        <v>0</v>
      </c>
      <c r="AJ9" s="108">
        <f t="shared" si="5"/>
        <v>5</v>
      </c>
      <c r="AK9" s="108">
        <f t="shared" si="6"/>
        <v>0</v>
      </c>
      <c r="AL9" s="108">
        <f t="shared" si="7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3</v>
      </c>
      <c r="H10" s="373" t="s">
        <v>9</v>
      </c>
      <c r="I10" s="441">
        <v>1</v>
      </c>
      <c r="J10" s="375">
        <f t="shared" si="0"/>
        <v>1</v>
      </c>
      <c r="K10" s="363">
        <f t="shared" si="1"/>
        <v>3</v>
      </c>
      <c r="L10" s="363">
        <f t="shared" si="2"/>
        <v>0</v>
      </c>
      <c r="O10" s="398" t="s">
        <v>10</v>
      </c>
      <c r="P10" s="399">
        <f>SUMIF($D$8:$D$55,$O10,$G$8:$G$55)+SUMIF($F$8:$F$55,$O10,$I$8:$I$55)</f>
        <v>5</v>
      </c>
      <c r="Q10" s="399">
        <f>SUMIF($D$8:$D$55,$O10,$I$8:$I$55)+SUMIF($F$8:$F$55,$O10,$G$8:$G$55)</f>
        <v>7</v>
      </c>
      <c r="R10" s="399">
        <f>P10-Q10</f>
        <v>-2</v>
      </c>
      <c r="S10" s="400">
        <f>SUMIF($D$8:$D$55,$O10,$K$8:$K$55)+SUMIF($F$8:$F$55,$O10,$L$8:$L$55)</f>
        <v>4</v>
      </c>
      <c r="T10" s="445" t="s">
        <v>49</v>
      </c>
      <c r="U10" s="392"/>
      <c r="V10" s="392" t="str">
        <f>O10</f>
        <v>Kroatië</v>
      </c>
      <c r="W10" s="392" t="s">
        <v>49</v>
      </c>
      <c r="Y10" s="109">
        <f t="shared" si="8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0</v>
      </c>
      <c r="AG10" s="108">
        <f t="shared" si="3"/>
        <v>0</v>
      </c>
      <c r="AH10" s="108">
        <f t="shared" si="4"/>
        <v>0</v>
      </c>
      <c r="AI10" s="108">
        <f t="shared" si="10"/>
        <v>0</v>
      </c>
      <c r="AJ10" s="108">
        <f t="shared" si="5"/>
        <v>0</v>
      </c>
      <c r="AK10" s="108">
        <f t="shared" si="6"/>
        <v>0</v>
      </c>
      <c r="AL10" s="108">
        <f t="shared" si="7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2</v>
      </c>
      <c r="H11" s="379" t="s">
        <v>9</v>
      </c>
      <c r="I11" s="442">
        <v>0</v>
      </c>
      <c r="J11" s="381">
        <f t="shared" si="0"/>
        <v>1</v>
      </c>
      <c r="K11" s="363">
        <f t="shared" si="1"/>
        <v>3</v>
      </c>
      <c r="L11" s="363">
        <f t="shared" si="2"/>
        <v>0</v>
      </c>
      <c r="O11" s="398" t="s">
        <v>11</v>
      </c>
      <c r="P11" s="399">
        <f>SUMIF($D$8:$D$55,$O11,$G$8:$G$55)+SUMIF($F$8:$F$55,$O11,$I$8:$I$55)</f>
        <v>5</v>
      </c>
      <c r="Q11" s="399">
        <f>SUMIF($D$8:$D$55,$O11,$I$8:$I$55)+SUMIF($F$8:$F$55,$O11,$G$8:$G$55)</f>
        <v>7</v>
      </c>
      <c r="R11" s="399">
        <f>P11-Q11</f>
        <v>-2</v>
      </c>
      <c r="S11" s="400">
        <f>SUMIF($D$8:$D$55,$O11,$K$8:$K$55)+SUMIF($F$8:$F$55,$O11,$L$8:$L$55)</f>
        <v>3</v>
      </c>
      <c r="T11" s="445" t="s">
        <v>47</v>
      </c>
      <c r="U11" s="392"/>
      <c r="V11" s="392" t="str">
        <f>O11</f>
        <v>Mexico</v>
      </c>
      <c r="W11" s="392" t="s">
        <v>47</v>
      </c>
      <c r="Y11" s="109">
        <f t="shared" si="8"/>
        <v>5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5</v>
      </c>
      <c r="AG11" s="108">
        <f t="shared" si="3"/>
        <v>0</v>
      </c>
      <c r="AH11" s="108">
        <f t="shared" si="4"/>
        <v>0</v>
      </c>
      <c r="AI11" s="108">
        <f t="shared" si="10"/>
        <v>0</v>
      </c>
      <c r="AJ11" s="108">
        <f t="shared" si="5"/>
        <v>5</v>
      </c>
      <c r="AK11" s="108">
        <f t="shared" si="6"/>
        <v>0</v>
      </c>
      <c r="AL11" s="108">
        <f t="shared" si="7"/>
        <v>0</v>
      </c>
      <c r="AM11" s="120">
        <f>AO11</f>
        <v>0</v>
      </c>
      <c r="AN11" s="117" t="s">
        <v>11</v>
      </c>
      <c r="AO11" s="115">
        <f>IF(Uitslag!T11="",0,IF(T11=Uitslag!T11,10,0))</f>
        <v>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2</v>
      </c>
      <c r="H12" s="367" t="s">
        <v>9</v>
      </c>
      <c r="I12" s="440">
        <v>1</v>
      </c>
      <c r="J12" s="369">
        <f t="shared" si="0"/>
        <v>1</v>
      </c>
      <c r="K12" s="363">
        <f t="shared" si="1"/>
        <v>3</v>
      </c>
      <c r="L12" s="363">
        <f t="shared" si="2"/>
        <v>0</v>
      </c>
      <c r="O12" s="401" t="s">
        <v>12</v>
      </c>
      <c r="P12" s="402">
        <f>SUMIF($D$8:$D$55,$O12,$G$8:$G$55)+SUMIF($F$8:$F$55,$O12,$I$8:$I$55)</f>
        <v>3</v>
      </c>
      <c r="Q12" s="402">
        <f>SUMIF($D$8:$D$55,$O12,$I$8:$I$55)+SUMIF($F$8:$F$55,$O12,$G$8:$G$55)</f>
        <v>8</v>
      </c>
      <c r="R12" s="402">
        <f>P12-Q12</f>
        <v>-5</v>
      </c>
      <c r="S12" s="403">
        <f>SUMIF($D$8:$D$55,$O12,$K$8:$K$55)+SUMIF($F$8:$F$55,$O12,$L$8:$L$55)</f>
        <v>1</v>
      </c>
      <c r="T12" s="446" t="s">
        <v>50</v>
      </c>
      <c r="U12" s="392"/>
      <c r="V12" s="392" t="str">
        <f>O12</f>
        <v>Kameroen</v>
      </c>
      <c r="W12" s="392" t="s">
        <v>50</v>
      </c>
      <c r="Y12" s="109">
        <f t="shared" si="8"/>
        <v>5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5</v>
      </c>
      <c r="AG12" s="108">
        <f t="shared" si="3"/>
        <v>0</v>
      </c>
      <c r="AH12" s="108">
        <f t="shared" si="4"/>
        <v>0</v>
      </c>
      <c r="AI12" s="108">
        <f t="shared" si="10"/>
        <v>0</v>
      </c>
      <c r="AJ12" s="108">
        <f t="shared" si="5"/>
        <v>5</v>
      </c>
      <c r="AK12" s="108">
        <f t="shared" si="6"/>
        <v>0</v>
      </c>
      <c r="AL12" s="108">
        <f t="shared" si="7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2</v>
      </c>
      <c r="H13" s="373" t="s">
        <v>9</v>
      </c>
      <c r="I13" s="441">
        <v>1</v>
      </c>
      <c r="J13" s="375">
        <f t="shared" si="0"/>
        <v>1</v>
      </c>
      <c r="K13" s="363">
        <f t="shared" si="1"/>
        <v>3</v>
      </c>
      <c r="L13" s="363">
        <f t="shared" si="2"/>
        <v>0</v>
      </c>
      <c r="O13" s="392"/>
      <c r="P13" s="393"/>
      <c r="Q13" s="393"/>
      <c r="R13" s="393"/>
      <c r="S13" s="393"/>
      <c r="T13" s="393"/>
      <c r="U13" s="392"/>
      <c r="V13" s="392"/>
      <c r="W13" s="392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3"/>
        <v>0</v>
      </c>
      <c r="AH13" s="108">
        <f t="shared" si="4"/>
        <v>0</v>
      </c>
      <c r="AI13" s="108">
        <f t="shared" si="10"/>
        <v>0</v>
      </c>
      <c r="AJ13" s="108">
        <f t="shared" si="5"/>
        <v>0</v>
      </c>
      <c r="AK13" s="108">
        <f t="shared" si="6"/>
        <v>0</v>
      </c>
      <c r="AL13" s="108">
        <f t="shared" si="7"/>
        <v>0</v>
      </c>
      <c r="AN13" s="392"/>
      <c r="AO13" s="393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3</v>
      </c>
      <c r="H14" s="373" t="s">
        <v>9</v>
      </c>
      <c r="I14" s="441">
        <v>3</v>
      </c>
      <c r="J14" s="375">
        <f t="shared" si="0"/>
        <v>3</v>
      </c>
      <c r="K14" s="363">
        <f t="shared" si="1"/>
        <v>1</v>
      </c>
      <c r="L14" s="363">
        <f t="shared" si="2"/>
        <v>1</v>
      </c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392"/>
      <c r="V14" s="392"/>
      <c r="W14" s="392"/>
      <c r="Y14" s="109">
        <f t="shared" si="8"/>
        <v>0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0</v>
      </c>
      <c r="AG14" s="108">
        <f t="shared" si="3"/>
        <v>0</v>
      </c>
      <c r="AH14" s="108">
        <f t="shared" si="4"/>
        <v>0</v>
      </c>
      <c r="AI14" s="108">
        <f t="shared" si="10"/>
        <v>0</v>
      </c>
      <c r="AJ14" s="108">
        <f t="shared" si="5"/>
        <v>0</v>
      </c>
      <c r="AK14" s="108">
        <f t="shared" si="6"/>
        <v>0</v>
      </c>
      <c r="AL14" s="108">
        <f t="shared" si="7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2</v>
      </c>
      <c r="H15" s="379" t="s">
        <v>9</v>
      </c>
      <c r="I15" s="442">
        <v>2</v>
      </c>
      <c r="J15" s="381">
        <f t="shared" si="0"/>
        <v>3</v>
      </c>
      <c r="K15" s="363">
        <f t="shared" si="1"/>
        <v>1</v>
      </c>
      <c r="L15" s="363">
        <f t="shared" si="2"/>
        <v>1</v>
      </c>
      <c r="O15" s="394" t="s">
        <v>13</v>
      </c>
      <c r="P15" s="395">
        <f>SUMIF($D$8:$D$55,$O15,$G$8:$G$55)+SUMIF($F$8:$F$55,$O15,$I$8:$I$55)</f>
        <v>9</v>
      </c>
      <c r="Q15" s="395">
        <f>SUMIF($D$8:$D$55,$O15,$I$8:$I$55)+SUMIF($F$8:$F$55,$O15,$G$8:$G$55)</f>
        <v>4</v>
      </c>
      <c r="R15" s="396">
        <f>P15-Q15</f>
        <v>5</v>
      </c>
      <c r="S15" s="397">
        <f>SUMIF($D$8:$D$55,$O15,$K$8:$K$55)+SUMIF($F$8:$F$55,$O15,$L$8:$L$55)</f>
        <v>7</v>
      </c>
      <c r="T15" s="444" t="s">
        <v>52</v>
      </c>
      <c r="U15" s="392"/>
      <c r="V15" s="392" t="str">
        <f>O15</f>
        <v>Spanje</v>
      </c>
      <c r="W15" s="392" t="s">
        <v>52</v>
      </c>
      <c r="Y15" s="109">
        <f t="shared" si="8"/>
        <v>1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1</v>
      </c>
      <c r="AG15" s="108">
        <f t="shared" si="3"/>
        <v>1</v>
      </c>
      <c r="AH15" s="108">
        <f t="shared" si="4"/>
        <v>0</v>
      </c>
      <c r="AI15" s="108">
        <f t="shared" si="10"/>
        <v>0</v>
      </c>
      <c r="AJ15" s="108">
        <f t="shared" si="5"/>
        <v>0</v>
      </c>
      <c r="AK15" s="108">
        <f t="shared" si="6"/>
        <v>0</v>
      </c>
      <c r="AL15" s="108">
        <f t="shared" si="7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2</v>
      </c>
      <c r="H16" s="367" t="s">
        <v>9</v>
      </c>
      <c r="I16" s="440">
        <v>2</v>
      </c>
      <c r="J16" s="369">
        <f t="shared" si="0"/>
        <v>3</v>
      </c>
      <c r="K16" s="363">
        <f t="shared" si="1"/>
        <v>1</v>
      </c>
      <c r="L16" s="363">
        <f t="shared" si="2"/>
        <v>1</v>
      </c>
      <c r="O16" s="404" t="s">
        <v>14</v>
      </c>
      <c r="P16" s="399">
        <f>SUMIF($D$8:$D$55,$O16,$G$8:$G$55)+SUMIF($F$8:$F$55,$O16,$I$8:$I$55)</f>
        <v>6</v>
      </c>
      <c r="Q16" s="399">
        <f>SUMIF($D$8:$D$55,$O16,$I$8:$I$55)+SUMIF($F$8:$F$55,$O16,$G$8:$G$55)</f>
        <v>6</v>
      </c>
      <c r="R16" s="399">
        <f>P16-Q16</f>
        <v>0</v>
      </c>
      <c r="S16" s="400">
        <f>SUMIF($D$8:$D$55,$O16,$K$8:$K$55)+SUMIF($F$8:$F$55,$O16,$L$8:$L$55)</f>
        <v>4</v>
      </c>
      <c r="T16" s="445" t="s">
        <v>54</v>
      </c>
      <c r="U16" s="392"/>
      <c r="V16" s="392" t="str">
        <f>O16</f>
        <v>Nederland</v>
      </c>
      <c r="W16" s="392" t="s">
        <v>53</v>
      </c>
      <c r="Y16" s="109">
        <f t="shared" si="8"/>
        <v>1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1</v>
      </c>
      <c r="AG16" s="108">
        <f t="shared" si="3"/>
        <v>1</v>
      </c>
      <c r="AH16" s="108">
        <f t="shared" si="4"/>
        <v>0</v>
      </c>
      <c r="AI16" s="108">
        <f t="shared" si="10"/>
        <v>0</v>
      </c>
      <c r="AJ16" s="108">
        <f t="shared" si="5"/>
        <v>0</v>
      </c>
      <c r="AK16" s="108">
        <f t="shared" si="6"/>
        <v>0</v>
      </c>
      <c r="AL16" s="108">
        <f t="shared" si="7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4</v>
      </c>
      <c r="H17" s="373" t="s">
        <v>9</v>
      </c>
      <c r="I17" s="441">
        <v>1</v>
      </c>
      <c r="J17" s="375">
        <f t="shared" si="0"/>
        <v>1</v>
      </c>
      <c r="K17" s="363">
        <f t="shared" si="1"/>
        <v>3</v>
      </c>
      <c r="L17" s="363">
        <f t="shared" si="2"/>
        <v>0</v>
      </c>
      <c r="O17" s="398" t="s">
        <v>15</v>
      </c>
      <c r="P17" s="399">
        <f>SUMIF($D$8:$D$55,$O17,$G$8:$G$55)+SUMIF($F$8:$F$55,$O17,$I$8:$I$55)</f>
        <v>6</v>
      </c>
      <c r="Q17" s="399">
        <f>SUMIF($D$8:$D$55,$O17,$I$8:$I$55)+SUMIF($F$8:$F$55,$O17,$G$8:$G$55)</f>
        <v>4</v>
      </c>
      <c r="R17" s="399">
        <f>P17-Q17</f>
        <v>2</v>
      </c>
      <c r="S17" s="400">
        <f>SUMIF($D$8:$D$55,$O17,$K$8:$K$55)+SUMIF($F$8:$F$55,$O17,$L$8:$L$55)</f>
        <v>5</v>
      </c>
      <c r="T17" s="445" t="s">
        <v>53</v>
      </c>
      <c r="U17" s="392"/>
      <c r="V17" s="392" t="str">
        <f>O17</f>
        <v>Chili</v>
      </c>
      <c r="W17" s="392" t="s">
        <v>54</v>
      </c>
      <c r="Y17" s="109">
        <f t="shared" si="8"/>
        <v>5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5</v>
      </c>
      <c r="AG17" s="108">
        <f t="shared" si="3"/>
        <v>0</v>
      </c>
      <c r="AH17" s="108">
        <f t="shared" si="4"/>
        <v>0</v>
      </c>
      <c r="AI17" s="108">
        <f t="shared" si="10"/>
        <v>0</v>
      </c>
      <c r="AJ17" s="108">
        <f t="shared" si="5"/>
        <v>5</v>
      </c>
      <c r="AK17" s="108">
        <f t="shared" si="6"/>
        <v>0</v>
      </c>
      <c r="AL17" s="108">
        <f t="shared" si="7"/>
        <v>0</v>
      </c>
      <c r="AM17" s="120">
        <f>AO17</f>
        <v>10</v>
      </c>
      <c r="AN17" s="117" t="s">
        <v>15</v>
      </c>
      <c r="AO17" s="115">
        <f>IF(Uitslag!T17="",0,IF(T17=Uitslag!T17,10,0))</f>
        <v>10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4</v>
      </c>
      <c r="H18" s="379" t="s">
        <v>9</v>
      </c>
      <c r="I18" s="442">
        <v>1</v>
      </c>
      <c r="J18" s="381">
        <f t="shared" si="0"/>
        <v>1</v>
      </c>
      <c r="K18" s="363">
        <f t="shared" si="1"/>
        <v>3</v>
      </c>
      <c r="L18" s="363">
        <f t="shared" si="2"/>
        <v>0</v>
      </c>
      <c r="O18" s="401" t="s">
        <v>16</v>
      </c>
      <c r="P18" s="402">
        <f>SUMIF($D$8:$D$55,$O18,$G$8:$G$55)+SUMIF($F$8:$F$55,$O18,$I$8:$I$55)</f>
        <v>2</v>
      </c>
      <c r="Q18" s="402">
        <f>SUMIF($D$8:$D$55,$O18,$I$8:$I$55)+SUMIF($F$8:$F$55,$O18,$G$8:$G$55)</f>
        <v>9</v>
      </c>
      <c r="R18" s="402">
        <f>P18-Q18</f>
        <v>-7</v>
      </c>
      <c r="S18" s="403">
        <f>SUMIF($D$8:$D$55,$O18,$K$8:$K$55)+SUMIF($F$8:$F$55,$O18,$L$8:$L$55)</f>
        <v>0</v>
      </c>
      <c r="T18" s="446" t="s">
        <v>55</v>
      </c>
      <c r="U18" s="392"/>
      <c r="V18" s="392" t="str">
        <f>O18</f>
        <v>Australië</v>
      </c>
      <c r="W18" s="392" t="s">
        <v>55</v>
      </c>
      <c r="Y18" s="109">
        <f t="shared" si="8"/>
        <v>6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6</v>
      </c>
      <c r="AG18" s="108">
        <f t="shared" si="3"/>
        <v>0</v>
      </c>
      <c r="AH18" s="108">
        <f t="shared" si="4"/>
        <v>1</v>
      </c>
      <c r="AI18" s="108">
        <f t="shared" si="10"/>
        <v>0</v>
      </c>
      <c r="AJ18" s="108">
        <f t="shared" si="5"/>
        <v>5</v>
      </c>
      <c r="AK18" s="108">
        <f t="shared" si="6"/>
        <v>0</v>
      </c>
      <c r="AL18" s="108">
        <f t="shared" si="7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3</v>
      </c>
      <c r="H19" s="367" t="s">
        <v>9</v>
      </c>
      <c r="I19" s="440">
        <v>3</v>
      </c>
      <c r="J19" s="369">
        <f t="shared" si="0"/>
        <v>3</v>
      </c>
      <c r="K19" s="363">
        <f t="shared" si="1"/>
        <v>1</v>
      </c>
      <c r="L19" s="363">
        <f t="shared" si="2"/>
        <v>1</v>
      </c>
      <c r="O19" s="392"/>
      <c r="P19" s="393"/>
      <c r="Q19" s="393"/>
      <c r="R19" s="393"/>
      <c r="S19" s="393"/>
      <c r="T19" s="393"/>
      <c r="U19" s="392"/>
      <c r="V19" s="392"/>
      <c r="W19" s="392"/>
      <c r="Y19" s="109">
        <f t="shared" si="8"/>
        <v>0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0</v>
      </c>
      <c r="AG19" s="108">
        <f t="shared" si="3"/>
        <v>0</v>
      </c>
      <c r="AH19" s="108">
        <f t="shared" si="4"/>
        <v>0</v>
      </c>
      <c r="AI19" s="108">
        <f t="shared" si="10"/>
        <v>0</v>
      </c>
      <c r="AJ19" s="108">
        <f t="shared" si="5"/>
        <v>0</v>
      </c>
      <c r="AK19" s="108">
        <f t="shared" si="6"/>
        <v>0</v>
      </c>
      <c r="AL19" s="108">
        <f t="shared" si="7"/>
        <v>0</v>
      </c>
      <c r="AN19" s="392"/>
      <c r="AO19" s="393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0</v>
      </c>
      <c r="H20" s="373" t="s">
        <v>9</v>
      </c>
      <c r="I20" s="441">
        <v>1</v>
      </c>
      <c r="J20" s="375">
        <f t="shared" si="0"/>
        <v>2</v>
      </c>
      <c r="K20" s="363">
        <f t="shared" si="1"/>
        <v>0</v>
      </c>
      <c r="L20" s="363">
        <f t="shared" si="2"/>
        <v>3</v>
      </c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392"/>
      <c r="V20" s="392"/>
      <c r="W20" s="392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3"/>
        <v>1</v>
      </c>
      <c r="AH20" s="108">
        <f t="shared" si="4"/>
        <v>0</v>
      </c>
      <c r="AI20" s="108">
        <f t="shared" si="10"/>
        <v>0</v>
      </c>
      <c r="AJ20" s="108">
        <f t="shared" si="5"/>
        <v>0</v>
      </c>
      <c r="AK20" s="108">
        <f t="shared" si="6"/>
        <v>0</v>
      </c>
      <c r="AL20" s="108">
        <f t="shared" si="7"/>
        <v>0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2</v>
      </c>
      <c r="H21" s="379" t="s">
        <v>9</v>
      </c>
      <c r="I21" s="442">
        <v>1</v>
      </c>
      <c r="J21" s="381">
        <f t="shared" si="0"/>
        <v>1</v>
      </c>
      <c r="K21" s="363">
        <f t="shared" si="1"/>
        <v>3</v>
      </c>
      <c r="L21" s="363">
        <f t="shared" si="2"/>
        <v>0</v>
      </c>
      <c r="O21" s="394" t="s">
        <v>17</v>
      </c>
      <c r="P21" s="395">
        <f>SUMIF($D$8:$D$55,$O21,$G$8:$G$55)+SUMIF($F$8:$F$55,$O21,$I$8:$I$55)</f>
        <v>6</v>
      </c>
      <c r="Q21" s="395">
        <f>SUMIF($D$8:$D$55,$O21,$I$8:$I$55)+SUMIF($F$8:$F$55,$O21,$G$8:$G$55)</f>
        <v>3</v>
      </c>
      <c r="R21" s="396">
        <f>P21-Q21</f>
        <v>3</v>
      </c>
      <c r="S21" s="397">
        <f>SUMIF($D$8:$D$55,$O21,$K$8:$K$55)+SUMIF($F$8:$F$55,$O21,$L$8:$L$55)</f>
        <v>7</v>
      </c>
      <c r="T21" s="444" t="s">
        <v>57</v>
      </c>
      <c r="U21" s="392"/>
      <c r="V21" s="392" t="str">
        <f>O21</f>
        <v>Colombia</v>
      </c>
      <c r="W21" s="392" t="s">
        <v>57</v>
      </c>
      <c r="Y21" s="109">
        <f t="shared" si="8"/>
        <v>0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0</v>
      </c>
      <c r="AG21" s="108">
        <f t="shared" si="3"/>
        <v>0</v>
      </c>
      <c r="AH21" s="108">
        <f t="shared" si="4"/>
        <v>0</v>
      </c>
      <c r="AI21" s="108">
        <f t="shared" si="10"/>
        <v>0</v>
      </c>
      <c r="AJ21" s="108">
        <f t="shared" si="5"/>
        <v>0</v>
      </c>
      <c r="AK21" s="108">
        <f t="shared" si="6"/>
        <v>0</v>
      </c>
      <c r="AL21" s="108">
        <f t="shared" si="7"/>
        <v>0</v>
      </c>
      <c r="AM21" s="120">
        <f>AO21</f>
        <v>10</v>
      </c>
      <c r="AN21" s="116" t="s">
        <v>17</v>
      </c>
      <c r="AO21" s="115">
        <f>IF(Uitslag!T21="",0,IF(T21=Uitslag!T21,10,0))</f>
        <v>10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2</v>
      </c>
      <c r="H22" s="367" t="s">
        <v>9</v>
      </c>
      <c r="I22" s="440">
        <v>1</v>
      </c>
      <c r="J22" s="369">
        <f t="shared" si="0"/>
        <v>1</v>
      </c>
      <c r="K22" s="363">
        <f t="shared" si="1"/>
        <v>3</v>
      </c>
      <c r="L22" s="363">
        <f t="shared" si="2"/>
        <v>0</v>
      </c>
      <c r="O22" s="398" t="s">
        <v>18</v>
      </c>
      <c r="P22" s="399">
        <f>SUMIF($D$8:$D$55,$O22,$G$8:$G$55)+SUMIF($F$8:$F$55,$O22,$I$8:$I$55)</f>
        <v>4</v>
      </c>
      <c r="Q22" s="399">
        <f>SUMIF($D$8:$D$55,$O22,$I$8:$I$55)+SUMIF($F$8:$F$55,$O22,$G$8:$G$55)</f>
        <v>5</v>
      </c>
      <c r="R22" s="399">
        <f>P22-Q22</f>
        <v>-1</v>
      </c>
      <c r="S22" s="400">
        <f>SUMIF($D$8:$D$55,$O22,$K$8:$K$55)+SUMIF($F$8:$F$55,$O22,$L$8:$L$55)</f>
        <v>2</v>
      </c>
      <c r="T22" s="445" t="s">
        <v>60</v>
      </c>
      <c r="U22" s="392"/>
      <c r="V22" s="392" t="str">
        <f>O22</f>
        <v>Griekenland</v>
      </c>
      <c r="W22" s="392" t="s">
        <v>58</v>
      </c>
      <c r="Y22" s="109">
        <f t="shared" si="8"/>
        <v>10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10</v>
      </c>
      <c r="AG22" s="108">
        <f t="shared" si="3"/>
        <v>1</v>
      </c>
      <c r="AH22" s="108">
        <f t="shared" si="4"/>
        <v>1</v>
      </c>
      <c r="AI22" s="108">
        <f t="shared" si="10"/>
        <v>10</v>
      </c>
      <c r="AJ22" s="108">
        <f t="shared" si="5"/>
        <v>5</v>
      </c>
      <c r="AK22" s="108">
        <f t="shared" si="6"/>
        <v>0</v>
      </c>
      <c r="AL22" s="108">
        <f t="shared" si="7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3</v>
      </c>
      <c r="H23" s="373" t="s">
        <v>9</v>
      </c>
      <c r="I23" s="441">
        <v>1</v>
      </c>
      <c r="J23" s="375">
        <f t="shared" si="0"/>
        <v>1</v>
      </c>
      <c r="K23" s="363">
        <f t="shared" si="1"/>
        <v>3</v>
      </c>
      <c r="L23" s="363">
        <f t="shared" si="2"/>
        <v>0</v>
      </c>
      <c r="O23" s="398" t="s">
        <v>23</v>
      </c>
      <c r="P23" s="399">
        <f>SUMIF($D$8:$D$55,$O23,$G$8:$G$55)+SUMIF($F$8:$F$55,$O23,$I$8:$I$55)</f>
        <v>4</v>
      </c>
      <c r="Q23" s="399">
        <f>SUMIF($D$8:$D$55,$O23,$I$8:$I$55)+SUMIF($F$8:$F$55,$O23,$G$8:$G$55)</f>
        <v>6</v>
      </c>
      <c r="R23" s="399">
        <f>P23-Q23</f>
        <v>-2</v>
      </c>
      <c r="S23" s="400">
        <f>SUMIF($D$8:$D$55,$O23,$K$8:$K$55)+SUMIF($F$8:$F$55,$O23,$L$8:$L$55)</f>
        <v>2</v>
      </c>
      <c r="T23" s="445" t="s">
        <v>59</v>
      </c>
      <c r="U23" s="392"/>
      <c r="V23" s="392" t="str">
        <f>O23</f>
        <v>Ivoorkust</v>
      </c>
      <c r="W23" s="392" t="s">
        <v>59</v>
      </c>
      <c r="Y23" s="109">
        <f t="shared" si="8"/>
        <v>0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0</v>
      </c>
      <c r="AG23" s="108">
        <f t="shared" si="3"/>
        <v>0</v>
      </c>
      <c r="AH23" s="108">
        <f t="shared" si="4"/>
        <v>0</v>
      </c>
      <c r="AI23" s="108">
        <f t="shared" si="10"/>
        <v>0</v>
      </c>
      <c r="AJ23" s="108">
        <f t="shared" si="5"/>
        <v>0</v>
      </c>
      <c r="AK23" s="108">
        <f t="shared" si="6"/>
        <v>0</v>
      </c>
      <c r="AL23" s="108">
        <f t="shared" si="7"/>
        <v>0</v>
      </c>
      <c r="AM23" s="120">
        <f>AO23</f>
        <v>10</v>
      </c>
      <c r="AN23" s="117" t="s">
        <v>23</v>
      </c>
      <c r="AO23" s="115">
        <f>IF(Uitslag!T23="",0,IF(T23=Uitslag!T23,10,0))</f>
        <v>10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3</v>
      </c>
      <c r="H24" s="379" t="s">
        <v>9</v>
      </c>
      <c r="I24" s="442">
        <v>1</v>
      </c>
      <c r="J24" s="381">
        <f t="shared" si="0"/>
        <v>1</v>
      </c>
      <c r="K24" s="363">
        <f t="shared" si="1"/>
        <v>3</v>
      </c>
      <c r="L24" s="363">
        <f t="shared" si="2"/>
        <v>0</v>
      </c>
      <c r="O24" s="401" t="s">
        <v>24</v>
      </c>
      <c r="P24" s="402">
        <f>SUMIF($D$8:$D$55,$O24,$G$8:$G$55)+SUMIF($F$8:$F$55,$O24,$I$8:$I$55)</f>
        <v>5</v>
      </c>
      <c r="Q24" s="402">
        <f>SUMIF($D$8:$D$55,$O24,$I$8:$I$55)+SUMIF($F$8:$F$55,$O24,$G$8:$G$55)</f>
        <v>5</v>
      </c>
      <c r="R24" s="402">
        <f>P24-Q24</f>
        <v>0</v>
      </c>
      <c r="S24" s="403">
        <f>SUMIF($D$8:$D$55,$O24,$K$8:$K$55)+SUMIF($F$8:$F$55,$O24,$L$8:$L$55)</f>
        <v>3</v>
      </c>
      <c r="T24" s="446" t="s">
        <v>58</v>
      </c>
      <c r="U24" s="392"/>
      <c r="V24" s="392" t="str">
        <f>O24</f>
        <v>Japan</v>
      </c>
      <c r="W24" s="392" t="s">
        <v>60</v>
      </c>
      <c r="Y24" s="109">
        <f t="shared" si="8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</v>
      </c>
      <c r="AG24" s="108">
        <f t="shared" si="3"/>
        <v>0</v>
      </c>
      <c r="AH24" s="108">
        <f t="shared" si="4"/>
        <v>1</v>
      </c>
      <c r="AI24" s="108">
        <f t="shared" si="10"/>
        <v>0</v>
      </c>
      <c r="AJ24" s="108">
        <f t="shared" si="5"/>
        <v>0</v>
      </c>
      <c r="AK24" s="108">
        <f t="shared" si="6"/>
        <v>0</v>
      </c>
      <c r="AL24" s="108">
        <f t="shared" si="7"/>
        <v>0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1</v>
      </c>
      <c r="H25" s="367" t="s">
        <v>9</v>
      </c>
      <c r="I25" s="440">
        <v>3</v>
      </c>
      <c r="J25" s="369">
        <f t="shared" si="0"/>
        <v>2</v>
      </c>
      <c r="K25" s="363">
        <f t="shared" si="1"/>
        <v>0</v>
      </c>
      <c r="L25" s="363">
        <f t="shared" si="2"/>
        <v>3</v>
      </c>
      <c r="O25" s="392"/>
      <c r="P25" s="393"/>
      <c r="Q25" s="393"/>
      <c r="R25" s="393"/>
      <c r="S25" s="393"/>
      <c r="T25" s="393"/>
      <c r="U25" s="392"/>
      <c r="V25" s="392"/>
      <c r="W25" s="392"/>
      <c r="Y25" s="109">
        <f t="shared" si="8"/>
        <v>6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6</v>
      </c>
      <c r="AG25" s="108">
        <f t="shared" si="3"/>
        <v>0</v>
      </c>
      <c r="AH25" s="108">
        <f t="shared" si="4"/>
        <v>1</v>
      </c>
      <c r="AI25" s="108">
        <f t="shared" si="10"/>
        <v>0</v>
      </c>
      <c r="AJ25" s="108">
        <f t="shared" si="5"/>
        <v>0</v>
      </c>
      <c r="AK25" s="108">
        <f t="shared" si="6"/>
        <v>5</v>
      </c>
      <c r="AL25" s="108">
        <f t="shared" si="7"/>
        <v>0</v>
      </c>
      <c r="AN25" s="392"/>
      <c r="AO25" s="393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2</v>
      </c>
      <c r="H26" s="373" t="s">
        <v>9</v>
      </c>
      <c r="I26" s="441">
        <v>2</v>
      </c>
      <c r="J26" s="375">
        <f t="shared" si="0"/>
        <v>3</v>
      </c>
      <c r="K26" s="363">
        <f t="shared" si="1"/>
        <v>1</v>
      </c>
      <c r="L26" s="363">
        <f t="shared" si="2"/>
        <v>1</v>
      </c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392"/>
      <c r="V26" s="392"/>
      <c r="W26" s="392"/>
      <c r="Y26" s="109">
        <f t="shared" si="8"/>
        <v>1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1</v>
      </c>
      <c r="AG26" s="108">
        <f t="shared" si="3"/>
        <v>0</v>
      </c>
      <c r="AH26" s="108">
        <f t="shared" si="4"/>
        <v>1</v>
      </c>
      <c r="AI26" s="108">
        <f t="shared" si="10"/>
        <v>0</v>
      </c>
      <c r="AJ26" s="108">
        <f t="shared" si="5"/>
        <v>0</v>
      </c>
      <c r="AK26" s="108">
        <f t="shared" si="6"/>
        <v>0</v>
      </c>
      <c r="AL26" s="108">
        <f t="shared" si="7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1</v>
      </c>
      <c r="H27" s="379" t="s">
        <v>9</v>
      </c>
      <c r="I27" s="442">
        <v>1</v>
      </c>
      <c r="J27" s="381">
        <f t="shared" si="0"/>
        <v>3</v>
      </c>
      <c r="K27" s="363">
        <f t="shared" si="1"/>
        <v>1</v>
      </c>
      <c r="L27" s="363">
        <f t="shared" si="2"/>
        <v>1</v>
      </c>
      <c r="O27" s="394" t="s">
        <v>19</v>
      </c>
      <c r="P27" s="395">
        <f>SUMIF($D$8:$D$55,$O27,$G$8:$G$55)+SUMIF($F$8:$F$55,$O27,$I$8:$I$55)</f>
        <v>4</v>
      </c>
      <c r="Q27" s="395">
        <f>SUMIF($D$8:$D$55,$O27,$I$8:$I$55)+SUMIF($F$8:$F$55,$O27,$G$8:$G$55)</f>
        <v>6</v>
      </c>
      <c r="R27" s="396">
        <f>P27-Q27</f>
        <v>-2</v>
      </c>
      <c r="S27" s="397">
        <f>SUMIF($D$8:$D$55,$O27,$K$8:$K$55)+SUMIF($F$8:$F$55,$O27,$L$8:$L$55)</f>
        <v>4</v>
      </c>
      <c r="T27" s="444" t="s">
        <v>64</v>
      </c>
      <c r="U27" s="392"/>
      <c r="V27" s="392" t="str">
        <f>O27</f>
        <v>Uruguay</v>
      </c>
      <c r="W27" s="392" t="s">
        <v>62</v>
      </c>
      <c r="Y27" s="109">
        <f t="shared" si="8"/>
        <v>0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0</v>
      </c>
      <c r="AG27" s="108">
        <f t="shared" si="3"/>
        <v>0</v>
      </c>
      <c r="AH27" s="108">
        <f t="shared" si="4"/>
        <v>0</v>
      </c>
      <c r="AI27" s="108">
        <f t="shared" si="10"/>
        <v>0</v>
      </c>
      <c r="AJ27" s="108">
        <f t="shared" si="5"/>
        <v>0</v>
      </c>
      <c r="AK27" s="108">
        <f t="shared" si="6"/>
        <v>0</v>
      </c>
      <c r="AL27" s="108">
        <f t="shared" si="7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3</v>
      </c>
      <c r="H28" s="367" t="s">
        <v>9</v>
      </c>
      <c r="I28" s="440">
        <v>1</v>
      </c>
      <c r="J28" s="369">
        <f t="shared" si="0"/>
        <v>1</v>
      </c>
      <c r="K28" s="363">
        <f t="shared" si="1"/>
        <v>3</v>
      </c>
      <c r="L28" s="363">
        <f t="shared" si="2"/>
        <v>0</v>
      </c>
      <c r="O28" s="398" t="s">
        <v>20</v>
      </c>
      <c r="P28" s="399">
        <f>SUMIF($D$8:$D$55,$O28,$G$8:$G$55)+SUMIF($F$8:$F$55,$O28,$I$8:$I$55)</f>
        <v>3</v>
      </c>
      <c r="Q28" s="399">
        <f>SUMIF($D$8:$D$55,$O28,$I$8:$I$55)+SUMIF($F$8:$F$55,$O28,$G$8:$G$55)</f>
        <v>8</v>
      </c>
      <c r="R28" s="399">
        <f>P28-Q28</f>
        <v>-5</v>
      </c>
      <c r="S28" s="400">
        <f>SUMIF($D$8:$D$55,$O28,$K$8:$K$55)+SUMIF($F$8:$F$55,$O28,$L$8:$L$55)</f>
        <v>0</v>
      </c>
      <c r="T28" s="445" t="s">
        <v>65</v>
      </c>
      <c r="U28" s="392"/>
      <c r="V28" s="392" t="str">
        <f>O28</f>
        <v>Costa Rica</v>
      </c>
      <c r="W28" s="392" t="s">
        <v>63</v>
      </c>
      <c r="Y28" s="109">
        <f t="shared" si="8"/>
        <v>6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6</v>
      </c>
      <c r="AG28" s="108">
        <f t="shared" si="3"/>
        <v>0</v>
      </c>
      <c r="AH28" s="108">
        <f t="shared" si="4"/>
        <v>1</v>
      </c>
      <c r="AI28" s="108">
        <f t="shared" si="10"/>
        <v>0</v>
      </c>
      <c r="AJ28" s="108">
        <f t="shared" si="5"/>
        <v>5</v>
      </c>
      <c r="AK28" s="108">
        <f t="shared" si="6"/>
        <v>0</v>
      </c>
      <c r="AL28" s="108">
        <f t="shared" si="7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0</v>
      </c>
      <c r="H29" s="373" t="s">
        <v>9</v>
      </c>
      <c r="I29" s="441">
        <v>3</v>
      </c>
      <c r="J29" s="375">
        <f t="shared" si="0"/>
        <v>2</v>
      </c>
      <c r="K29" s="363">
        <f t="shared" si="1"/>
        <v>0</v>
      </c>
      <c r="L29" s="363">
        <f t="shared" si="2"/>
        <v>3</v>
      </c>
      <c r="O29" s="398" t="s">
        <v>21</v>
      </c>
      <c r="P29" s="399">
        <f>SUMIF($D$8:$D$55,$O29,$G$8:$G$55)+SUMIF($F$8:$F$55,$O29,$I$8:$I$55)</f>
        <v>9</v>
      </c>
      <c r="Q29" s="399">
        <f>SUMIF($D$8:$D$55,$O29,$I$8:$I$55)+SUMIF($F$8:$F$55,$O29,$G$8:$G$55)</f>
        <v>4</v>
      </c>
      <c r="R29" s="399">
        <f>P29-Q29</f>
        <v>5</v>
      </c>
      <c r="S29" s="400">
        <f>SUMIF($D$8:$D$55,$O29,$K$8:$K$55)+SUMIF($F$8:$F$55,$O29,$L$8:$L$55)</f>
        <v>7</v>
      </c>
      <c r="T29" s="445" t="s">
        <v>62</v>
      </c>
      <c r="U29" s="392"/>
      <c r="V29" s="392" t="str">
        <f>O29</f>
        <v>Engeland</v>
      </c>
      <c r="W29" s="392" t="s">
        <v>64</v>
      </c>
      <c r="Y29" s="109">
        <f t="shared" si="8"/>
        <v>0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0</v>
      </c>
      <c r="AG29" s="108">
        <f t="shared" si="3"/>
        <v>0</v>
      </c>
      <c r="AH29" s="108">
        <f t="shared" si="4"/>
        <v>0</v>
      </c>
      <c r="AI29" s="108">
        <f t="shared" si="10"/>
        <v>0</v>
      </c>
      <c r="AJ29" s="108">
        <f t="shared" si="5"/>
        <v>0</v>
      </c>
      <c r="AK29" s="108">
        <f t="shared" si="6"/>
        <v>0</v>
      </c>
      <c r="AL29" s="108">
        <f t="shared" si="7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2</v>
      </c>
      <c r="H30" s="379" t="s">
        <v>9</v>
      </c>
      <c r="I30" s="442">
        <v>2</v>
      </c>
      <c r="J30" s="381">
        <f t="shared" si="0"/>
        <v>3</v>
      </c>
      <c r="K30" s="363">
        <f t="shared" si="1"/>
        <v>1</v>
      </c>
      <c r="L30" s="363">
        <f t="shared" si="2"/>
        <v>1</v>
      </c>
      <c r="O30" s="401" t="s">
        <v>22</v>
      </c>
      <c r="P30" s="402">
        <f>SUMIF($D$8:$D$55,$O30,$G$8:$G$55)+SUMIF($F$8:$F$55,$O30,$I$8:$I$55)</f>
        <v>8</v>
      </c>
      <c r="Q30" s="402">
        <f>SUMIF($D$8:$D$55,$O30,$I$8:$I$55)+SUMIF($F$8:$F$55,$O30,$G$8:$G$55)</f>
        <v>6</v>
      </c>
      <c r="R30" s="402">
        <f>P30-Q30</f>
        <v>2</v>
      </c>
      <c r="S30" s="403">
        <f>SUMIF($D$8:$D$55,$O30,$K$8:$K$55)+SUMIF($F$8:$F$55,$O30,$L$8:$L$55)</f>
        <v>5</v>
      </c>
      <c r="T30" s="446" t="s">
        <v>63</v>
      </c>
      <c r="U30" s="392"/>
      <c r="V30" s="392" t="str">
        <f>O30</f>
        <v>Italië</v>
      </c>
      <c r="W30" s="392" t="s">
        <v>65</v>
      </c>
      <c r="Y30" s="109">
        <f t="shared" si="8"/>
        <v>5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5</v>
      </c>
      <c r="AG30" s="108">
        <f t="shared" si="3"/>
        <v>0</v>
      </c>
      <c r="AH30" s="108">
        <f t="shared" si="4"/>
        <v>0</v>
      </c>
      <c r="AI30" s="108">
        <f t="shared" si="10"/>
        <v>0</v>
      </c>
      <c r="AJ30" s="108">
        <f t="shared" si="5"/>
        <v>0</v>
      </c>
      <c r="AK30" s="108">
        <f t="shared" si="6"/>
        <v>0</v>
      </c>
      <c r="AL30" s="108">
        <f t="shared" si="7"/>
        <v>5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3</v>
      </c>
      <c r="H31" s="367" t="s">
        <v>9</v>
      </c>
      <c r="I31" s="440">
        <v>1</v>
      </c>
      <c r="J31" s="369">
        <f t="shared" si="0"/>
        <v>1</v>
      </c>
      <c r="K31" s="363">
        <f t="shared" si="1"/>
        <v>3</v>
      </c>
      <c r="L31" s="363">
        <f t="shared" si="2"/>
        <v>0</v>
      </c>
      <c r="O31" s="392"/>
      <c r="P31" s="393"/>
      <c r="Q31" s="393"/>
      <c r="R31" s="393"/>
      <c r="S31" s="393"/>
      <c r="T31" s="393"/>
      <c r="U31" s="392"/>
      <c r="V31" s="392"/>
      <c r="W31" s="392"/>
      <c r="Y31" s="109">
        <f t="shared" si="8"/>
        <v>1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1</v>
      </c>
      <c r="AG31" s="108">
        <f t="shared" si="3"/>
        <v>0</v>
      </c>
      <c r="AH31" s="108">
        <f t="shared" si="4"/>
        <v>1</v>
      </c>
      <c r="AI31" s="108">
        <f t="shared" si="10"/>
        <v>0</v>
      </c>
      <c r="AJ31" s="108">
        <f t="shared" si="5"/>
        <v>0</v>
      </c>
      <c r="AK31" s="108">
        <f t="shared" si="6"/>
        <v>0</v>
      </c>
      <c r="AL31" s="108">
        <f t="shared" si="7"/>
        <v>0</v>
      </c>
      <c r="AN31" s="392"/>
      <c r="AO31" s="393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0</v>
      </c>
      <c r="H32" s="373" t="s">
        <v>9</v>
      </c>
      <c r="I32" s="441">
        <v>2</v>
      </c>
      <c r="J32" s="375">
        <f t="shared" si="0"/>
        <v>2</v>
      </c>
      <c r="K32" s="363">
        <f t="shared" si="1"/>
        <v>0</v>
      </c>
      <c r="L32" s="363">
        <f t="shared" si="2"/>
        <v>3</v>
      </c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392"/>
      <c r="V32" s="392"/>
      <c r="W32" s="392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3"/>
        <v>0</v>
      </c>
      <c r="AH32" s="108">
        <f t="shared" si="4"/>
        <v>0</v>
      </c>
      <c r="AI32" s="108">
        <f t="shared" si="10"/>
        <v>0</v>
      </c>
      <c r="AJ32" s="108">
        <f t="shared" si="5"/>
        <v>0</v>
      </c>
      <c r="AK32" s="108">
        <f t="shared" si="6"/>
        <v>5</v>
      </c>
      <c r="AL32" s="108">
        <f t="shared" si="7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1</v>
      </c>
      <c r="H33" s="379" t="s">
        <v>9</v>
      </c>
      <c r="I33" s="442">
        <v>1</v>
      </c>
      <c r="J33" s="381">
        <f t="shared" si="0"/>
        <v>3</v>
      </c>
      <c r="K33" s="363">
        <f t="shared" si="1"/>
        <v>1</v>
      </c>
      <c r="L33" s="363">
        <f t="shared" si="2"/>
        <v>1</v>
      </c>
      <c r="O33" s="394" t="s">
        <v>25</v>
      </c>
      <c r="P33" s="395">
        <f>SUMIF($D$8:$D$55,$O33,$G$8:$G$55)+SUMIF($F$8:$F$55,$O33,$I$8:$I$55)</f>
        <v>3</v>
      </c>
      <c r="Q33" s="395">
        <f>SUMIF($D$8:$D$55,$O33,$I$8:$I$55)+SUMIF($F$8:$F$55,$O33,$G$8:$G$55)</f>
        <v>6</v>
      </c>
      <c r="R33" s="396">
        <f>P33-Q33</f>
        <v>-3</v>
      </c>
      <c r="S33" s="397">
        <f>SUMIF($D$8:$D$55,$O33,$K$8:$K$55)+SUMIF($F$8:$F$55,$O33,$L$8:$L$55)</f>
        <v>1</v>
      </c>
      <c r="T33" s="444" t="s">
        <v>70</v>
      </c>
      <c r="U33" s="392"/>
      <c r="V33" s="392" t="str">
        <f>O33</f>
        <v>Zwitserland</v>
      </c>
      <c r="W33" s="392" t="s">
        <v>67</v>
      </c>
      <c r="Y33" s="109">
        <f t="shared" si="8"/>
        <v>1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1</v>
      </c>
      <c r="AG33" s="108">
        <f t="shared" si="3"/>
        <v>1</v>
      </c>
      <c r="AH33" s="108">
        <f t="shared" si="4"/>
        <v>0</v>
      </c>
      <c r="AI33" s="108">
        <f t="shared" si="10"/>
        <v>0</v>
      </c>
      <c r="AJ33" s="108">
        <f t="shared" si="5"/>
        <v>0</v>
      </c>
      <c r="AK33" s="108">
        <f t="shared" si="6"/>
        <v>0</v>
      </c>
      <c r="AL33" s="108">
        <f t="shared" si="7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4</v>
      </c>
      <c r="H34" s="367" t="s">
        <v>9</v>
      </c>
      <c r="I34" s="440">
        <v>1</v>
      </c>
      <c r="J34" s="369">
        <f t="shared" si="0"/>
        <v>1</v>
      </c>
      <c r="K34" s="363">
        <f t="shared" si="1"/>
        <v>3</v>
      </c>
      <c r="L34" s="363">
        <f t="shared" si="2"/>
        <v>0</v>
      </c>
      <c r="O34" s="398" t="s">
        <v>26</v>
      </c>
      <c r="P34" s="399">
        <f>SUMIF($D$8:$D$55,$O34,$G$8:$G$55)+SUMIF($F$8:$F$55,$O34,$I$8:$I$55)</f>
        <v>5</v>
      </c>
      <c r="Q34" s="399">
        <f>SUMIF($D$8:$D$55,$O34,$I$8:$I$55)+SUMIF($F$8:$F$55,$O34,$G$8:$G$55)</f>
        <v>7</v>
      </c>
      <c r="R34" s="399">
        <f>P34-Q34</f>
        <v>-2</v>
      </c>
      <c r="S34" s="400">
        <f>SUMIF($D$8:$D$55,$O34,$K$8:$K$55)+SUMIF($F$8:$F$55,$O34,$L$8:$L$55)</f>
        <v>2</v>
      </c>
      <c r="T34" s="445" t="s">
        <v>69</v>
      </c>
      <c r="U34" s="392"/>
      <c r="V34" s="392" t="str">
        <f>O34</f>
        <v>Ecuador</v>
      </c>
      <c r="W34" s="392" t="s">
        <v>68</v>
      </c>
      <c r="Y34" s="109">
        <f t="shared" si="8"/>
        <v>5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5</v>
      </c>
      <c r="AG34" s="108">
        <f t="shared" si="3"/>
        <v>0</v>
      </c>
      <c r="AH34" s="108">
        <f t="shared" si="4"/>
        <v>0</v>
      </c>
      <c r="AI34" s="108">
        <f t="shared" si="10"/>
        <v>0</v>
      </c>
      <c r="AJ34" s="108">
        <f t="shared" si="5"/>
        <v>5</v>
      </c>
      <c r="AK34" s="108">
        <f t="shared" si="6"/>
        <v>0</v>
      </c>
      <c r="AL34" s="108">
        <f t="shared" si="7"/>
        <v>0</v>
      </c>
      <c r="AM34" s="120">
        <f>AO34</f>
        <v>10</v>
      </c>
      <c r="AN34" s="117" t="s">
        <v>26</v>
      </c>
      <c r="AO34" s="115">
        <f>IF(Uitslag!T34="",0,IF(T34=Uitslag!T34,10,0))</f>
        <v>10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3</v>
      </c>
      <c r="H35" s="373" t="s">
        <v>9</v>
      </c>
      <c r="I35" s="441">
        <v>1</v>
      </c>
      <c r="J35" s="375">
        <f t="shared" si="0"/>
        <v>1</v>
      </c>
      <c r="K35" s="363">
        <f t="shared" si="1"/>
        <v>3</v>
      </c>
      <c r="L35" s="363">
        <f t="shared" si="2"/>
        <v>0</v>
      </c>
      <c r="O35" s="398" t="s">
        <v>27</v>
      </c>
      <c r="P35" s="399">
        <f>SUMIF($D$8:$D$55,$O35,$G$8:$G$55)+SUMIF($F$8:$F$55,$O35,$I$8:$I$55)</f>
        <v>10</v>
      </c>
      <c r="Q35" s="399">
        <f>SUMIF($D$8:$D$55,$O35,$I$8:$I$55)+SUMIF($F$8:$F$55,$O35,$G$8:$G$55)</f>
        <v>3</v>
      </c>
      <c r="R35" s="399">
        <f>P35-Q35</f>
        <v>7</v>
      </c>
      <c r="S35" s="400">
        <f>SUMIF($D$8:$D$55,$O35,$K$8:$K$55)+SUMIF($F$8:$F$55,$O35,$L$8:$L$55)</f>
        <v>9</v>
      </c>
      <c r="T35" s="445" t="s">
        <v>67</v>
      </c>
      <c r="U35" s="392"/>
      <c r="V35" s="392" t="str">
        <f>O35</f>
        <v>Frankrijk</v>
      </c>
      <c r="W35" s="392" t="s">
        <v>69</v>
      </c>
      <c r="Y35" s="109">
        <f t="shared" si="8"/>
        <v>0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0</v>
      </c>
      <c r="AG35" s="108">
        <f t="shared" si="3"/>
        <v>0</v>
      </c>
      <c r="AH35" s="108">
        <f t="shared" si="4"/>
        <v>0</v>
      </c>
      <c r="AI35" s="108">
        <f t="shared" si="10"/>
        <v>0</v>
      </c>
      <c r="AJ35" s="108">
        <f t="shared" si="5"/>
        <v>0</v>
      </c>
      <c r="AK35" s="108">
        <f t="shared" si="6"/>
        <v>0</v>
      </c>
      <c r="AL35" s="108">
        <f t="shared" si="7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2</v>
      </c>
      <c r="H36" s="379" t="s">
        <v>9</v>
      </c>
      <c r="I36" s="442">
        <v>2</v>
      </c>
      <c r="J36" s="381">
        <f t="shared" si="0"/>
        <v>3</v>
      </c>
      <c r="K36" s="363">
        <f t="shared" si="1"/>
        <v>1</v>
      </c>
      <c r="L36" s="363">
        <f t="shared" si="2"/>
        <v>1</v>
      </c>
      <c r="O36" s="401" t="s">
        <v>28</v>
      </c>
      <c r="P36" s="402">
        <f>SUMIF($D$8:$D$55,$O36,$G$8:$G$55)+SUMIF($F$8:$F$55,$O36,$I$8:$I$55)</f>
        <v>4</v>
      </c>
      <c r="Q36" s="402">
        <f>SUMIF($D$8:$D$55,$O36,$I$8:$I$55)+SUMIF($F$8:$F$55,$O36,$G$8:$G$55)</f>
        <v>6</v>
      </c>
      <c r="R36" s="402">
        <f>P36-Q36</f>
        <v>-2</v>
      </c>
      <c r="S36" s="403">
        <f>SUMIF($D$8:$D$55,$O36,$K$8:$K$55)+SUMIF($F$8:$F$55,$O36,$L$8:$L$55)</f>
        <v>4</v>
      </c>
      <c r="T36" s="446" t="s">
        <v>68</v>
      </c>
      <c r="U36" s="392"/>
      <c r="V36" s="392" t="str">
        <f>O36</f>
        <v>Honduras</v>
      </c>
      <c r="W36" s="392" t="s">
        <v>70</v>
      </c>
      <c r="Y36" s="109">
        <f t="shared" si="8"/>
        <v>0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0</v>
      </c>
      <c r="AG36" s="108">
        <f t="shared" si="3"/>
        <v>0</v>
      </c>
      <c r="AH36" s="108">
        <f t="shared" si="4"/>
        <v>0</v>
      </c>
      <c r="AI36" s="108">
        <f t="shared" si="10"/>
        <v>0</v>
      </c>
      <c r="AJ36" s="108">
        <f t="shared" si="5"/>
        <v>0</v>
      </c>
      <c r="AK36" s="108">
        <f t="shared" si="6"/>
        <v>0</v>
      </c>
      <c r="AL36" s="108">
        <f t="shared" si="7"/>
        <v>0</v>
      </c>
      <c r="AM36" s="120">
        <f>AO36</f>
        <v>0</v>
      </c>
      <c r="AN36" s="118" t="s">
        <v>28</v>
      </c>
      <c r="AO36" s="115">
        <f>IF(Uitslag!T36="",0,IF(T36=Uitslag!T36,10,0))</f>
        <v>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1</v>
      </c>
      <c r="H37" s="367" t="s">
        <v>9</v>
      </c>
      <c r="I37" s="440">
        <v>1</v>
      </c>
      <c r="J37" s="369">
        <f t="shared" si="0"/>
        <v>3</v>
      </c>
      <c r="K37" s="363">
        <f t="shared" si="1"/>
        <v>1</v>
      </c>
      <c r="L37" s="363">
        <f t="shared" si="2"/>
        <v>1</v>
      </c>
      <c r="O37" s="392"/>
      <c r="P37" s="393"/>
      <c r="Q37" s="393"/>
      <c r="R37" s="393"/>
      <c r="S37" s="393"/>
      <c r="T37" s="393"/>
      <c r="U37" s="392"/>
      <c r="V37" s="392"/>
      <c r="W37" s="392"/>
      <c r="Y37" s="109">
        <f t="shared" si="8"/>
        <v>1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1</v>
      </c>
      <c r="AG37" s="108">
        <f t="shared" si="3"/>
        <v>1</v>
      </c>
      <c r="AH37" s="108">
        <f t="shared" si="4"/>
        <v>0</v>
      </c>
      <c r="AI37" s="108">
        <f t="shared" si="10"/>
        <v>0</v>
      </c>
      <c r="AJ37" s="108">
        <f t="shared" si="5"/>
        <v>0</v>
      </c>
      <c r="AK37" s="108">
        <f t="shared" si="6"/>
        <v>0</v>
      </c>
      <c r="AL37" s="108">
        <f t="shared" si="7"/>
        <v>0</v>
      </c>
      <c r="AN37" s="392"/>
      <c r="AO37" s="393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2</v>
      </c>
      <c r="H38" s="373" t="s">
        <v>9</v>
      </c>
      <c r="I38" s="441">
        <v>2</v>
      </c>
      <c r="J38" s="375">
        <f t="shared" si="0"/>
        <v>3</v>
      </c>
      <c r="K38" s="363">
        <f t="shared" si="1"/>
        <v>1</v>
      </c>
      <c r="L38" s="363">
        <f t="shared" si="2"/>
        <v>1</v>
      </c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392"/>
      <c r="V38" s="392"/>
      <c r="W38" s="392"/>
      <c r="Y38" s="109">
        <f t="shared" si="8"/>
        <v>1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1</v>
      </c>
      <c r="AG38" s="108">
        <f t="shared" si="3"/>
        <v>1</v>
      </c>
      <c r="AH38" s="108">
        <f t="shared" si="4"/>
        <v>0</v>
      </c>
      <c r="AI38" s="108">
        <f t="shared" si="10"/>
        <v>0</v>
      </c>
      <c r="AJ38" s="108">
        <f t="shared" si="5"/>
        <v>0</v>
      </c>
      <c r="AK38" s="108">
        <f t="shared" si="6"/>
        <v>0</v>
      </c>
      <c r="AL38" s="108">
        <f t="shared" si="7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0</v>
      </c>
      <c r="H39" s="379" t="s">
        <v>9</v>
      </c>
      <c r="I39" s="442">
        <v>3</v>
      </c>
      <c r="J39" s="381">
        <f t="shared" si="0"/>
        <v>2</v>
      </c>
      <c r="K39" s="363">
        <f t="shared" si="1"/>
        <v>0</v>
      </c>
      <c r="L39" s="363">
        <f t="shared" si="2"/>
        <v>3</v>
      </c>
      <c r="O39" s="394" t="s">
        <v>29</v>
      </c>
      <c r="P39" s="395">
        <f>SUMIF($D$8:$D$55,$O39,$G$8:$G$55)+SUMIF($F$8:$F$55,$O39,$I$8:$I$55)</f>
        <v>9</v>
      </c>
      <c r="Q39" s="395">
        <f>SUMIF($D$8:$D$55,$O39,$I$8:$I$55)+SUMIF($F$8:$F$55,$O39,$G$8:$G$55)</f>
        <v>3</v>
      </c>
      <c r="R39" s="396">
        <f>P39-Q39</f>
        <v>6</v>
      </c>
      <c r="S39" s="397">
        <f>SUMIF($D$8:$D$55,$O39,$K$8:$K$55)+SUMIF($F$8:$F$55,$O39,$L$8:$L$55)</f>
        <v>7</v>
      </c>
      <c r="T39" s="444" t="s">
        <v>72</v>
      </c>
      <c r="U39" s="392"/>
      <c r="V39" s="392" t="str">
        <f>O39</f>
        <v>Argentinië</v>
      </c>
      <c r="W39" s="392" t="s">
        <v>72</v>
      </c>
      <c r="Y39" s="109">
        <f t="shared" si="8"/>
        <v>0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0</v>
      </c>
      <c r="AG39" s="108">
        <f t="shared" si="3"/>
        <v>0</v>
      </c>
      <c r="AH39" s="108">
        <f t="shared" si="4"/>
        <v>0</v>
      </c>
      <c r="AI39" s="108">
        <f t="shared" si="10"/>
        <v>0</v>
      </c>
      <c r="AJ39" s="108">
        <f t="shared" si="5"/>
        <v>0</v>
      </c>
      <c r="AK39" s="108">
        <f t="shared" si="6"/>
        <v>0</v>
      </c>
      <c r="AL39" s="108">
        <f t="shared" si="7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1</v>
      </c>
      <c r="H40" s="367" t="s">
        <v>9</v>
      </c>
      <c r="I40" s="440">
        <v>4</v>
      </c>
      <c r="J40" s="369">
        <f t="shared" si="0"/>
        <v>2</v>
      </c>
      <c r="K40" s="363">
        <f t="shared" si="1"/>
        <v>0</v>
      </c>
      <c r="L40" s="363">
        <f t="shared" si="2"/>
        <v>3</v>
      </c>
      <c r="O40" s="398" t="s">
        <v>30</v>
      </c>
      <c r="P40" s="399">
        <f>SUMIF($D$8:$D$55,$O40,$G$8:$G$55)+SUMIF($F$8:$F$55,$O40,$I$8:$I$55)</f>
        <v>5</v>
      </c>
      <c r="Q40" s="399">
        <f>SUMIF($D$8:$D$55,$O40,$I$8:$I$55)+SUMIF($F$8:$F$55,$O40,$G$8:$G$55)</f>
        <v>8</v>
      </c>
      <c r="R40" s="399">
        <f>P40-Q40</f>
        <v>-3</v>
      </c>
      <c r="S40" s="400">
        <f>SUMIF($D$8:$D$55,$O40,$K$8:$K$55)+SUMIF($F$8:$F$55,$O40,$L$8:$L$55)</f>
        <v>2</v>
      </c>
      <c r="T40" s="445" t="s">
        <v>74</v>
      </c>
      <c r="U40" s="392"/>
      <c r="V40" s="392" t="str">
        <f>O40</f>
        <v>Bosnië H.</v>
      </c>
      <c r="W40" s="392" t="s">
        <v>73</v>
      </c>
      <c r="Y40" s="109">
        <f t="shared" si="8"/>
        <v>5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5</v>
      </c>
      <c r="AG40" s="108">
        <f t="shared" si="3"/>
        <v>0</v>
      </c>
      <c r="AH40" s="108">
        <f t="shared" si="4"/>
        <v>0</v>
      </c>
      <c r="AI40" s="108">
        <f t="shared" si="10"/>
        <v>0</v>
      </c>
      <c r="AJ40" s="108">
        <f t="shared" si="5"/>
        <v>0</v>
      </c>
      <c r="AK40" s="108">
        <f t="shared" si="6"/>
        <v>5</v>
      </c>
      <c r="AL40" s="108">
        <f t="shared" si="7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2</v>
      </c>
      <c r="H41" s="373" t="s">
        <v>9</v>
      </c>
      <c r="I41" s="441">
        <v>2</v>
      </c>
      <c r="J41" s="375">
        <f t="shared" si="0"/>
        <v>3</v>
      </c>
      <c r="K41" s="363">
        <f t="shared" si="1"/>
        <v>1</v>
      </c>
      <c r="L41" s="363">
        <f t="shared" si="2"/>
        <v>1</v>
      </c>
      <c r="O41" s="398" t="s">
        <v>33</v>
      </c>
      <c r="P41" s="399">
        <f>SUMIF($D$8:$D$55,$O41,$G$8:$G$55)+SUMIF($F$8:$F$55,$O41,$I$8:$I$55)</f>
        <v>3</v>
      </c>
      <c r="Q41" s="399">
        <f>SUMIF($D$8:$D$55,$O41,$I$8:$I$55)+SUMIF($F$8:$F$55,$O41,$G$8:$G$55)</f>
        <v>7</v>
      </c>
      <c r="R41" s="399">
        <f>P41-Q41</f>
        <v>-4</v>
      </c>
      <c r="S41" s="400">
        <f>SUMIF($D$8:$D$55,$O41,$K$8:$K$55)+SUMIF($F$8:$F$55,$O41,$L$8:$L$55)</f>
        <v>1</v>
      </c>
      <c r="T41" s="445" t="s">
        <v>75</v>
      </c>
      <c r="U41" s="392"/>
      <c r="V41" s="392" t="str">
        <f>O41</f>
        <v>Iran</v>
      </c>
      <c r="W41" s="392" t="s">
        <v>74</v>
      </c>
      <c r="Y41" s="109">
        <f t="shared" si="8"/>
        <v>1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1</v>
      </c>
      <c r="AG41" s="108">
        <f t="shared" si="3"/>
        <v>1</v>
      </c>
      <c r="AH41" s="108">
        <f t="shared" si="4"/>
        <v>0</v>
      </c>
      <c r="AI41" s="108">
        <f t="shared" si="10"/>
        <v>0</v>
      </c>
      <c r="AJ41" s="108">
        <f t="shared" si="5"/>
        <v>0</v>
      </c>
      <c r="AK41" s="108">
        <f t="shared" si="6"/>
        <v>0</v>
      </c>
      <c r="AL41" s="108">
        <f t="shared" si="7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1</v>
      </c>
      <c r="H42" s="373" t="s">
        <v>9</v>
      </c>
      <c r="I42" s="441">
        <v>5</v>
      </c>
      <c r="J42" s="375">
        <f t="shared" si="0"/>
        <v>2</v>
      </c>
      <c r="K42" s="363">
        <f t="shared" si="1"/>
        <v>0</v>
      </c>
      <c r="L42" s="363">
        <f t="shared" si="2"/>
        <v>3</v>
      </c>
      <c r="O42" s="401" t="s">
        <v>34</v>
      </c>
      <c r="P42" s="402">
        <f>SUMIF($D$8:$D$55,$O42,$G$8:$G$55)+SUMIF($F$8:$F$55,$O42,$I$8:$I$55)</f>
        <v>4</v>
      </c>
      <c r="Q42" s="402">
        <f>SUMIF($D$8:$D$55,$O42,$I$8:$I$55)+SUMIF($F$8:$F$55,$O42,$G$8:$G$55)</f>
        <v>3</v>
      </c>
      <c r="R42" s="402">
        <f>P42-Q42</f>
        <v>1</v>
      </c>
      <c r="S42" s="403">
        <f>SUMIF($D$8:$D$55,$O42,$K$8:$K$55)+SUMIF($F$8:$F$55,$O42,$L$8:$L$55)</f>
        <v>5</v>
      </c>
      <c r="T42" s="446" t="s">
        <v>73</v>
      </c>
      <c r="U42" s="392"/>
      <c r="V42" s="392" t="str">
        <f>O42</f>
        <v>Nigeria</v>
      </c>
      <c r="W42" s="392" t="s">
        <v>75</v>
      </c>
      <c r="Y42" s="109">
        <f t="shared" si="8"/>
        <v>6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6</v>
      </c>
      <c r="AG42" s="108">
        <f t="shared" si="3"/>
        <v>1</v>
      </c>
      <c r="AH42" s="108">
        <f t="shared" si="4"/>
        <v>0</v>
      </c>
      <c r="AI42" s="108">
        <f t="shared" si="10"/>
        <v>0</v>
      </c>
      <c r="AJ42" s="108">
        <f t="shared" si="5"/>
        <v>0</v>
      </c>
      <c r="AK42" s="108">
        <f t="shared" si="6"/>
        <v>5</v>
      </c>
      <c r="AL42" s="108">
        <f t="shared" si="7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3</v>
      </c>
      <c r="H43" s="379" t="s">
        <v>9</v>
      </c>
      <c r="I43" s="442">
        <v>2</v>
      </c>
      <c r="J43" s="381">
        <f t="shared" si="0"/>
        <v>1</v>
      </c>
      <c r="K43" s="363">
        <f t="shared" si="1"/>
        <v>3</v>
      </c>
      <c r="L43" s="363">
        <f t="shared" si="2"/>
        <v>0</v>
      </c>
      <c r="O43" s="392"/>
      <c r="P43" s="393"/>
      <c r="Q43" s="393"/>
      <c r="R43" s="393"/>
      <c r="S43" s="393"/>
      <c r="T43" s="393"/>
      <c r="U43" s="392"/>
      <c r="V43" s="392"/>
      <c r="W43" s="392"/>
      <c r="Y43" s="109">
        <f t="shared" si="8"/>
        <v>0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0</v>
      </c>
      <c r="AG43" s="108">
        <f t="shared" si="3"/>
        <v>0</v>
      </c>
      <c r="AH43" s="108">
        <f t="shared" si="4"/>
        <v>0</v>
      </c>
      <c r="AI43" s="108">
        <f t="shared" si="10"/>
        <v>0</v>
      </c>
      <c r="AJ43" s="108">
        <f t="shared" si="5"/>
        <v>0</v>
      </c>
      <c r="AK43" s="108">
        <f t="shared" si="6"/>
        <v>0</v>
      </c>
      <c r="AL43" s="108">
        <f t="shared" si="7"/>
        <v>0</v>
      </c>
      <c r="AN43" s="392"/>
      <c r="AO43" s="393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2</v>
      </c>
      <c r="H44" s="367" t="s">
        <v>9</v>
      </c>
      <c r="I44" s="440">
        <v>2</v>
      </c>
      <c r="J44" s="369">
        <f t="shared" si="0"/>
        <v>3</v>
      </c>
      <c r="K44" s="363">
        <f t="shared" si="1"/>
        <v>1</v>
      </c>
      <c r="L44" s="363">
        <f t="shared" si="2"/>
        <v>1</v>
      </c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392"/>
      <c r="V44" s="392"/>
      <c r="W44" s="392"/>
      <c r="Y44" s="109">
        <f t="shared" si="8"/>
        <v>0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0</v>
      </c>
      <c r="AG44" s="108">
        <f t="shared" si="3"/>
        <v>0</v>
      </c>
      <c r="AH44" s="108">
        <f t="shared" si="4"/>
        <v>0</v>
      </c>
      <c r="AI44" s="108">
        <f t="shared" si="10"/>
        <v>0</v>
      </c>
      <c r="AJ44" s="108">
        <f t="shared" si="5"/>
        <v>0</v>
      </c>
      <c r="AK44" s="108">
        <f t="shared" si="6"/>
        <v>0</v>
      </c>
      <c r="AL44" s="108">
        <f t="shared" si="7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1</v>
      </c>
      <c r="H45" s="373" t="s">
        <v>9</v>
      </c>
      <c r="I45" s="441">
        <v>3</v>
      </c>
      <c r="J45" s="375">
        <f t="shared" si="0"/>
        <v>2</v>
      </c>
      <c r="K45" s="363">
        <f t="shared" si="1"/>
        <v>0</v>
      </c>
      <c r="L45" s="363">
        <f t="shared" si="2"/>
        <v>3</v>
      </c>
      <c r="O45" s="394" t="s">
        <v>31</v>
      </c>
      <c r="P45" s="395">
        <f>SUMIF($D$8:$D$55,$O45,$G$8:$G$55)+SUMIF($F$8:$F$55,$O45,$I$8:$I$55)</f>
        <v>9</v>
      </c>
      <c r="Q45" s="395">
        <f>SUMIF($D$8:$D$55,$O45,$I$8:$I$55)+SUMIF($F$8:$F$55,$O45,$G$8:$G$55)</f>
        <v>5</v>
      </c>
      <c r="R45" s="396">
        <f>P45-Q45</f>
        <v>4</v>
      </c>
      <c r="S45" s="397">
        <f>SUMIF($D$8:$D$55,$O45,$K$8:$K$55)+SUMIF($F$8:$F$55,$O45,$L$8:$L$55)</f>
        <v>7</v>
      </c>
      <c r="T45" s="444" t="s">
        <v>78</v>
      </c>
      <c r="U45" s="392"/>
      <c r="V45" s="392" t="str">
        <f>O45</f>
        <v>Duitsland</v>
      </c>
      <c r="W45" s="392" t="s">
        <v>77</v>
      </c>
      <c r="Y45" s="109">
        <f t="shared" si="8"/>
        <v>0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0</v>
      </c>
      <c r="AG45" s="108">
        <f t="shared" si="3"/>
        <v>0</v>
      </c>
      <c r="AH45" s="108">
        <f t="shared" si="4"/>
        <v>0</v>
      </c>
      <c r="AI45" s="108">
        <f t="shared" si="10"/>
        <v>0</v>
      </c>
      <c r="AJ45" s="108">
        <f t="shared" si="5"/>
        <v>0</v>
      </c>
      <c r="AK45" s="108">
        <f t="shared" si="6"/>
        <v>0</v>
      </c>
      <c r="AL45" s="108">
        <f t="shared" si="7"/>
        <v>0</v>
      </c>
      <c r="AM45" s="120">
        <f>AO45</f>
        <v>0</v>
      </c>
      <c r="AN45" s="116" t="s">
        <v>31</v>
      </c>
      <c r="AO45" s="115">
        <f>IF(Uitslag!T45="",0,IF(T45=Uitslag!T45,10,0))</f>
        <v>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1</v>
      </c>
      <c r="H46" s="373" t="s">
        <v>9</v>
      </c>
      <c r="I46" s="441">
        <v>1</v>
      </c>
      <c r="J46" s="375">
        <f t="shared" si="0"/>
        <v>3</v>
      </c>
      <c r="K46" s="363">
        <f t="shared" si="1"/>
        <v>1</v>
      </c>
      <c r="L46" s="363">
        <f t="shared" si="2"/>
        <v>1</v>
      </c>
      <c r="O46" s="398" t="s">
        <v>32</v>
      </c>
      <c r="P46" s="399">
        <f>SUMIF($D$8:$D$55,$O46,$G$8:$G$55)+SUMIF($F$8:$F$55,$O46,$I$8:$I$55)</f>
        <v>9</v>
      </c>
      <c r="Q46" s="399">
        <f>SUMIF($D$8:$D$55,$O46,$I$8:$I$55)+SUMIF($F$8:$F$55,$O46,$G$8:$G$55)</f>
        <v>3</v>
      </c>
      <c r="R46" s="399">
        <f>P46-Q46</f>
        <v>6</v>
      </c>
      <c r="S46" s="400">
        <f>SUMIF($D$8:$D$55,$O46,$K$8:$K$55)+SUMIF($F$8:$F$55,$O46,$L$8:$L$55)</f>
        <v>7</v>
      </c>
      <c r="T46" s="445" t="s">
        <v>77</v>
      </c>
      <c r="U46" s="392"/>
      <c r="V46" s="392" t="str">
        <f>O46</f>
        <v>Portugal</v>
      </c>
      <c r="W46" s="392" t="s">
        <v>78</v>
      </c>
      <c r="Y46" s="109">
        <f t="shared" si="8"/>
        <v>1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1</v>
      </c>
      <c r="AG46" s="108">
        <f t="shared" si="3"/>
        <v>1</v>
      </c>
      <c r="AH46" s="108">
        <f t="shared" si="4"/>
        <v>0</v>
      </c>
      <c r="AI46" s="108">
        <f t="shared" si="10"/>
        <v>0</v>
      </c>
      <c r="AJ46" s="108">
        <f t="shared" si="5"/>
        <v>0</v>
      </c>
      <c r="AK46" s="108">
        <f t="shared" si="6"/>
        <v>0</v>
      </c>
      <c r="AL46" s="108">
        <f t="shared" si="7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1</v>
      </c>
      <c r="H47" s="379" t="s">
        <v>9</v>
      </c>
      <c r="I47" s="442">
        <v>1</v>
      </c>
      <c r="J47" s="381">
        <f t="shared" si="0"/>
        <v>3</v>
      </c>
      <c r="K47" s="363">
        <f t="shared" si="1"/>
        <v>1</v>
      </c>
      <c r="L47" s="363">
        <f t="shared" si="2"/>
        <v>1</v>
      </c>
      <c r="O47" s="398" t="s">
        <v>35</v>
      </c>
      <c r="P47" s="399">
        <f>SUMIF($D$8:$D$55,$O47,$G$8:$G$55)+SUMIF($F$8:$F$55,$O47,$I$8:$I$55)</f>
        <v>3</v>
      </c>
      <c r="Q47" s="399">
        <f>SUMIF($D$8:$D$55,$O47,$I$8:$I$55)+SUMIF($F$8:$F$55,$O47,$G$8:$G$55)</f>
        <v>7</v>
      </c>
      <c r="R47" s="399">
        <f>P47-Q47</f>
        <v>-4</v>
      </c>
      <c r="S47" s="400">
        <f>SUMIF($D$8:$D$55,$O47,$K$8:$K$55)+SUMIF($F$8:$F$55,$O47,$L$8:$L$55)</f>
        <v>3</v>
      </c>
      <c r="T47" s="445" t="s">
        <v>79</v>
      </c>
      <c r="U47" s="392"/>
      <c r="V47" s="392" t="str">
        <f>O47</f>
        <v>Ghana</v>
      </c>
      <c r="W47" s="392" t="s">
        <v>79</v>
      </c>
      <c r="Y47" s="109">
        <f t="shared" si="8"/>
        <v>1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1</v>
      </c>
      <c r="AG47" s="108">
        <f t="shared" si="3"/>
        <v>0</v>
      </c>
      <c r="AH47" s="108">
        <f t="shared" si="4"/>
        <v>1</v>
      </c>
      <c r="AI47" s="108">
        <f t="shared" si="10"/>
        <v>0</v>
      </c>
      <c r="AJ47" s="108">
        <f t="shared" si="5"/>
        <v>0</v>
      </c>
      <c r="AK47" s="108">
        <f t="shared" si="6"/>
        <v>0</v>
      </c>
      <c r="AL47" s="108">
        <f t="shared" si="7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1</v>
      </c>
      <c r="H48" s="367" t="s">
        <v>9</v>
      </c>
      <c r="I48" s="440">
        <v>1</v>
      </c>
      <c r="J48" s="369">
        <f t="shared" si="0"/>
        <v>3</v>
      </c>
      <c r="K48" s="363">
        <f t="shared" si="1"/>
        <v>1</v>
      </c>
      <c r="L48" s="363">
        <f t="shared" si="2"/>
        <v>1</v>
      </c>
      <c r="O48" s="401" t="s">
        <v>36</v>
      </c>
      <c r="P48" s="402">
        <f>SUMIF($D$8:$D$55,$O48,$G$8:$G$55)+SUMIF($F$8:$F$55,$O48,$I$8:$I$55)</f>
        <v>2</v>
      </c>
      <c r="Q48" s="402">
        <f>SUMIF($D$8:$D$55,$O48,$I$8:$I$55)+SUMIF($F$8:$F$55,$O48,$G$8:$G$55)</f>
        <v>8</v>
      </c>
      <c r="R48" s="402">
        <f>P48-Q48</f>
        <v>-6</v>
      </c>
      <c r="S48" s="403">
        <f>SUMIF($D$8:$D$55,$O48,$K$8:$K$55)+SUMIF($F$8:$F$55,$O48,$L$8:$L$55)</f>
        <v>0</v>
      </c>
      <c r="T48" s="446" t="s">
        <v>80</v>
      </c>
      <c r="U48" s="392"/>
      <c r="V48" s="392" t="str">
        <f>O48</f>
        <v>Verenigde Staten</v>
      </c>
      <c r="W48" s="392" t="s">
        <v>80</v>
      </c>
      <c r="Y48" s="109">
        <f t="shared" si="8"/>
        <v>0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0</v>
      </c>
      <c r="AG48" s="108">
        <f t="shared" si="3"/>
        <v>0</v>
      </c>
      <c r="AH48" s="108">
        <f t="shared" si="4"/>
        <v>0</v>
      </c>
      <c r="AI48" s="108">
        <f t="shared" si="10"/>
        <v>0</v>
      </c>
      <c r="AJ48" s="108">
        <f t="shared" si="5"/>
        <v>0</v>
      </c>
      <c r="AK48" s="108">
        <f t="shared" si="6"/>
        <v>0</v>
      </c>
      <c r="AL48" s="108">
        <f t="shared" si="7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2</v>
      </c>
      <c r="H49" s="373" t="s">
        <v>9</v>
      </c>
      <c r="I49" s="441">
        <v>2</v>
      </c>
      <c r="J49" s="375">
        <f t="shared" si="0"/>
        <v>3</v>
      </c>
      <c r="K49" s="363">
        <f t="shared" si="1"/>
        <v>1</v>
      </c>
      <c r="L49" s="363">
        <f t="shared" si="2"/>
        <v>1</v>
      </c>
      <c r="O49" s="392"/>
      <c r="P49" s="393"/>
      <c r="Q49" s="393"/>
      <c r="R49" s="393"/>
      <c r="S49" s="393"/>
      <c r="T49" s="393"/>
      <c r="U49" s="392"/>
      <c r="V49" s="392"/>
      <c r="W49" s="392"/>
      <c r="Y49" s="109">
        <f t="shared" si="8"/>
        <v>0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0</v>
      </c>
      <c r="AG49" s="108">
        <f t="shared" si="3"/>
        <v>0</v>
      </c>
      <c r="AH49" s="108">
        <f t="shared" si="4"/>
        <v>0</v>
      </c>
      <c r="AI49" s="108">
        <f t="shared" si="10"/>
        <v>0</v>
      </c>
      <c r="AJ49" s="108">
        <f t="shared" si="5"/>
        <v>0</v>
      </c>
      <c r="AK49" s="108">
        <f t="shared" si="6"/>
        <v>0</v>
      </c>
      <c r="AL49" s="108">
        <f t="shared" si="7"/>
        <v>0</v>
      </c>
      <c r="AN49" s="392"/>
      <c r="AO49" s="393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2</v>
      </c>
      <c r="H50" s="373" t="s">
        <v>9</v>
      </c>
      <c r="I50" s="441">
        <v>1</v>
      </c>
      <c r="J50" s="375">
        <f t="shared" si="0"/>
        <v>1</v>
      </c>
      <c r="K50" s="363">
        <f t="shared" si="1"/>
        <v>3</v>
      </c>
      <c r="L50" s="363">
        <f t="shared" si="2"/>
        <v>0</v>
      </c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392"/>
      <c r="V50" s="392"/>
      <c r="W50" s="392"/>
      <c r="Y50" s="109">
        <f t="shared" si="8"/>
        <v>0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0</v>
      </c>
      <c r="AG50" s="108">
        <f t="shared" si="3"/>
        <v>0</v>
      </c>
      <c r="AH50" s="108">
        <f t="shared" si="4"/>
        <v>0</v>
      </c>
      <c r="AI50" s="108">
        <f t="shared" si="10"/>
        <v>0</v>
      </c>
      <c r="AJ50" s="108">
        <f t="shared" si="5"/>
        <v>0</v>
      </c>
      <c r="AK50" s="108">
        <f t="shared" si="6"/>
        <v>0</v>
      </c>
      <c r="AL50" s="108">
        <f t="shared" si="7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2</v>
      </c>
      <c r="H51" s="379" t="s">
        <v>9</v>
      </c>
      <c r="I51" s="442">
        <v>4</v>
      </c>
      <c r="J51" s="381">
        <f t="shared" si="0"/>
        <v>2</v>
      </c>
      <c r="K51" s="363">
        <f t="shared" si="1"/>
        <v>0</v>
      </c>
      <c r="L51" s="363">
        <f t="shared" si="2"/>
        <v>3</v>
      </c>
      <c r="O51" s="394" t="s">
        <v>37</v>
      </c>
      <c r="P51" s="395">
        <f>SUMIF($D$8:$D$55,$O51,$G$8:$G$55)+SUMIF($F$8:$F$55,$O51,$I$8:$I$55)</f>
        <v>5</v>
      </c>
      <c r="Q51" s="395">
        <f>SUMIF($D$8:$D$55,$O51,$I$8:$I$55)+SUMIF($F$8:$F$55,$O51,$G$8:$G$55)</f>
        <v>3</v>
      </c>
      <c r="R51" s="396">
        <f>P51-Q51</f>
        <v>2</v>
      </c>
      <c r="S51" s="397">
        <f>SUMIF($D$8:$D$55,$O51,$K$8:$K$55)+SUMIF($F$8:$F$55,$O51,$L$8:$L$55)</f>
        <v>7</v>
      </c>
      <c r="T51" s="444" t="s">
        <v>83</v>
      </c>
      <c r="U51" s="392"/>
      <c r="V51" s="392" t="str">
        <f>O51</f>
        <v>België</v>
      </c>
      <c r="W51" s="392" t="s">
        <v>82</v>
      </c>
      <c r="Y51" s="109">
        <f t="shared" si="8"/>
        <v>0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0</v>
      </c>
      <c r="AG51" s="108">
        <f t="shared" si="3"/>
        <v>0</v>
      </c>
      <c r="AH51" s="108">
        <f t="shared" si="4"/>
        <v>0</v>
      </c>
      <c r="AI51" s="108">
        <f t="shared" si="10"/>
        <v>0</v>
      </c>
      <c r="AJ51" s="108">
        <f t="shared" si="5"/>
        <v>0</v>
      </c>
      <c r="AK51" s="108">
        <f t="shared" si="6"/>
        <v>0</v>
      </c>
      <c r="AL51" s="108">
        <f t="shared" si="7"/>
        <v>0</v>
      </c>
      <c r="AM51" s="120">
        <f>AO51</f>
        <v>0</v>
      </c>
      <c r="AN51" s="116" t="s">
        <v>37</v>
      </c>
      <c r="AO51" s="115">
        <f>IF(Uitslag!T51="",0,IF(T51=Uitslag!T51,10,0))</f>
        <v>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1</v>
      </c>
      <c r="H52" s="373" t="s">
        <v>9</v>
      </c>
      <c r="I52" s="441">
        <v>3</v>
      </c>
      <c r="J52" s="369">
        <f t="shared" si="0"/>
        <v>2</v>
      </c>
      <c r="K52" s="363">
        <f t="shared" si="1"/>
        <v>0</v>
      </c>
      <c r="L52" s="363">
        <f t="shared" si="2"/>
        <v>3</v>
      </c>
      <c r="O52" s="398" t="s">
        <v>38</v>
      </c>
      <c r="P52" s="399">
        <f>SUMIF($D$8:$D$55,$O52,$G$8:$G$55)+SUMIF($F$8:$F$55,$O52,$I$8:$I$55)</f>
        <v>3</v>
      </c>
      <c r="Q52" s="399">
        <f>SUMIF($D$8:$D$55,$O52,$I$8:$I$55)+SUMIF($F$8:$F$55,$O52,$G$8:$G$55)</f>
        <v>7</v>
      </c>
      <c r="R52" s="399">
        <f>P52-Q52</f>
        <v>-4</v>
      </c>
      <c r="S52" s="400">
        <f>SUMIF($D$8:$D$55,$O52,$K$8:$K$55)+SUMIF($F$8:$F$55,$O52,$L$8:$L$55)</f>
        <v>1</v>
      </c>
      <c r="T52" s="445" t="s">
        <v>85</v>
      </c>
      <c r="U52" s="392"/>
      <c r="V52" s="392" t="str">
        <f>O52</f>
        <v>Algerije</v>
      </c>
      <c r="W52" s="392" t="s">
        <v>83</v>
      </c>
      <c r="Y52" s="109">
        <f t="shared" si="8"/>
        <v>5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5</v>
      </c>
      <c r="AG52" s="108">
        <f t="shared" si="3"/>
        <v>0</v>
      </c>
      <c r="AH52" s="108">
        <f t="shared" si="4"/>
        <v>0</v>
      </c>
      <c r="AI52" s="108">
        <f t="shared" si="10"/>
        <v>0</v>
      </c>
      <c r="AJ52" s="108">
        <f t="shared" si="5"/>
        <v>0</v>
      </c>
      <c r="AK52" s="108">
        <f t="shared" si="6"/>
        <v>5</v>
      </c>
      <c r="AL52" s="108">
        <f t="shared" si="7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3</v>
      </c>
      <c r="H53" s="373" t="s">
        <v>9</v>
      </c>
      <c r="I53" s="441">
        <v>0</v>
      </c>
      <c r="J53" s="375">
        <f t="shared" si="0"/>
        <v>1</v>
      </c>
      <c r="K53" s="363">
        <f t="shared" si="1"/>
        <v>3</v>
      </c>
      <c r="L53" s="363">
        <f t="shared" si="2"/>
        <v>0</v>
      </c>
      <c r="O53" s="398" t="s">
        <v>39</v>
      </c>
      <c r="P53" s="399">
        <f>SUMIF($D$8:$D$55,$O53,$G$8:$G$55)+SUMIF($F$8:$F$55,$O53,$I$8:$I$55)</f>
        <v>7</v>
      </c>
      <c r="Q53" s="399">
        <f>SUMIF($D$8:$D$55,$O53,$I$8:$I$55)+SUMIF($F$8:$F$55,$O53,$G$8:$G$55)</f>
        <v>2</v>
      </c>
      <c r="R53" s="399">
        <f>P53-Q53</f>
        <v>5</v>
      </c>
      <c r="S53" s="400">
        <f>SUMIF($D$8:$D$55,$O53,$K$8:$K$55)+SUMIF($F$8:$F$55,$O53,$L$8:$L$55)</f>
        <v>7</v>
      </c>
      <c r="T53" s="445" t="s">
        <v>82</v>
      </c>
      <c r="U53" s="392"/>
      <c r="V53" s="392" t="str">
        <f>O53</f>
        <v>Rusland</v>
      </c>
      <c r="W53" s="392" t="s">
        <v>84</v>
      </c>
      <c r="Y53" s="109">
        <f t="shared" si="8"/>
        <v>5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5</v>
      </c>
      <c r="AG53" s="108">
        <f t="shared" si="3"/>
        <v>0</v>
      </c>
      <c r="AH53" s="108">
        <f t="shared" si="4"/>
        <v>0</v>
      </c>
      <c r="AI53" s="108">
        <f t="shared" si="10"/>
        <v>0</v>
      </c>
      <c r="AJ53" s="108">
        <f t="shared" si="5"/>
        <v>5</v>
      </c>
      <c r="AK53" s="108">
        <f t="shared" si="6"/>
        <v>0</v>
      </c>
      <c r="AL53" s="108">
        <f t="shared" si="7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1</v>
      </c>
      <c r="H54" s="373" t="s">
        <v>9</v>
      </c>
      <c r="I54" s="441">
        <v>2</v>
      </c>
      <c r="J54" s="375">
        <f t="shared" si="0"/>
        <v>2</v>
      </c>
      <c r="K54" s="363">
        <f t="shared" si="1"/>
        <v>0</v>
      </c>
      <c r="L54" s="363">
        <f t="shared" si="2"/>
        <v>3</v>
      </c>
      <c r="O54" s="401" t="s">
        <v>40</v>
      </c>
      <c r="P54" s="402">
        <f>SUMIF($D$8:$D$55,$O54,$G$8:$G$55)+SUMIF($F$8:$F$55,$O54,$I$8:$I$55)</f>
        <v>4</v>
      </c>
      <c r="Q54" s="402">
        <f>SUMIF($D$8:$D$55,$O54,$I$8:$I$55)+SUMIF($F$8:$F$55,$O54,$G$8:$G$55)</f>
        <v>7</v>
      </c>
      <c r="R54" s="402">
        <f>P54-Q54</f>
        <v>-3</v>
      </c>
      <c r="S54" s="403">
        <f>SUMIF($D$8:$D$55,$O54,$K$8:$K$55)+SUMIF($F$8:$F$55,$O54,$L$8:$L$55)</f>
        <v>1</v>
      </c>
      <c r="T54" s="446" t="s">
        <v>84</v>
      </c>
      <c r="U54" s="392"/>
      <c r="V54" s="392" t="str">
        <f>O54</f>
        <v>Zuid Korea</v>
      </c>
      <c r="W54" s="392" t="s">
        <v>85</v>
      </c>
      <c r="Y54" s="109">
        <f t="shared" si="8"/>
        <v>5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5</v>
      </c>
      <c r="AG54" s="108">
        <f t="shared" si="3"/>
        <v>0</v>
      </c>
      <c r="AH54" s="108">
        <f t="shared" si="4"/>
        <v>0</v>
      </c>
      <c r="AI54" s="108">
        <f t="shared" si="10"/>
        <v>0</v>
      </c>
      <c r="AJ54" s="108">
        <f t="shared" si="5"/>
        <v>0</v>
      </c>
      <c r="AK54" s="108">
        <f t="shared" si="6"/>
        <v>5</v>
      </c>
      <c r="AL54" s="108">
        <f t="shared" si="7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0</v>
      </c>
      <c r="H55" s="388" t="s">
        <v>9</v>
      </c>
      <c r="I55" s="443">
        <v>3</v>
      </c>
      <c r="J55" s="390">
        <f t="shared" si="0"/>
        <v>2</v>
      </c>
      <c r="K55" s="363">
        <f t="shared" si="1"/>
        <v>0</v>
      </c>
      <c r="L55" s="363">
        <f t="shared" si="2"/>
        <v>3</v>
      </c>
      <c r="O55" s="392"/>
      <c r="P55" s="393"/>
      <c r="Q55" s="393"/>
      <c r="R55" s="393"/>
      <c r="S55" s="393"/>
      <c r="T55" s="393"/>
      <c r="U55" s="392"/>
      <c r="V55" s="392"/>
      <c r="W55" s="392"/>
      <c r="Y55" s="109">
        <f t="shared" si="8"/>
        <v>0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0</v>
      </c>
      <c r="AG55" s="108">
        <f t="shared" si="3"/>
        <v>0</v>
      </c>
      <c r="AH55" s="108">
        <f t="shared" si="4"/>
        <v>0</v>
      </c>
      <c r="AI55" s="108">
        <f t="shared" si="10"/>
        <v>0</v>
      </c>
      <c r="AJ55" s="108">
        <f t="shared" si="5"/>
        <v>0</v>
      </c>
      <c r="AK55" s="108">
        <f t="shared" si="6"/>
        <v>0</v>
      </c>
      <c r="AL55" s="108">
        <f t="shared" si="7"/>
        <v>0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79"/>
      <c r="K57" s="353"/>
      <c r="L57" s="353"/>
      <c r="M57" s="353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77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O58" s="458">
        <v>1</v>
      </c>
      <c r="P58" s="877" t="s">
        <v>224</v>
      </c>
      <c r="Q58" s="877"/>
      <c r="R58" s="877"/>
      <c r="S58" s="877"/>
      <c r="T58" s="878"/>
      <c r="V58" s="352" t="s">
        <v>132</v>
      </c>
      <c r="W58" s="352" t="s">
        <v>124</v>
      </c>
      <c r="X58" s="352" t="str">
        <f t="shared" ref="X58:X98" si="11">CONCATENATE(W58," ",V58)</f>
        <v>Jeroen Zoet (k)</v>
      </c>
      <c r="Y58" s="113" t="s">
        <v>91</v>
      </c>
      <c r="Z58" s="352" t="str">
        <f>IF(K58=""," ",VLOOKUP(K58,$T$9:$V$54,3,FALSE))</f>
        <v xml:space="preserve"> </v>
      </c>
      <c r="AA58" s="352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 t="shared" ref="D59:D66" si="13">IF(ISERROR(Z59),K59,Z59)</f>
        <v>Brazilië</v>
      </c>
      <c r="E59" s="367" t="s">
        <v>9</v>
      </c>
      <c r="F59" s="406" t="str">
        <f t="shared" ref="F59:F66" si="14">IF(ISERROR(AA59),L59,AA59)</f>
        <v>Chili</v>
      </c>
      <c r="G59" s="435">
        <v>3</v>
      </c>
      <c r="H59" s="367" t="s">
        <v>9</v>
      </c>
      <c r="I59" s="447">
        <v>0</v>
      </c>
      <c r="J59" s="448">
        <v>1</v>
      </c>
      <c r="K59" s="407" t="s">
        <v>48</v>
      </c>
      <c r="L59" s="407" t="s">
        <v>53</v>
      </c>
      <c r="M59" s="407">
        <v>1</v>
      </c>
      <c r="O59" s="458">
        <v>2</v>
      </c>
      <c r="P59" s="877" t="s">
        <v>212</v>
      </c>
      <c r="Q59" s="877"/>
      <c r="R59" s="877"/>
      <c r="S59" s="877"/>
      <c r="T59" s="878"/>
      <c r="V59" s="352" t="s">
        <v>132</v>
      </c>
      <c r="W59" s="352" t="s">
        <v>111</v>
      </c>
      <c r="X59" s="352" t="str">
        <f t="shared" si="11"/>
        <v>Jasper Cillessen (k)</v>
      </c>
      <c r="Y59" s="109">
        <f t="shared" ref="Y59:Y66" si="15">AF59</f>
        <v>0</v>
      </c>
      <c r="Z59" s="352" t="str">
        <f t="shared" ref="Z59:AA65" si="16">IF(K59=""," ",VLOOKUP(K59,$T$9:$V$54,3,FALSE))</f>
        <v>Brazilië</v>
      </c>
      <c r="AA59" s="352" t="str">
        <f t="shared" si="16"/>
        <v>Chili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7">IF(OR(AC59="",AD59=""),0,(IF(SUM(AG59:AL59)&gt;10,10,SUM(AG59:AL59))))</f>
        <v>0</v>
      </c>
      <c r="AG59" s="108">
        <f t="shared" ref="AG59:AG66" si="18">IF(AC59="",0,(IF(G59=AC59,1,0)))</f>
        <v>0</v>
      </c>
      <c r="AH59" s="108">
        <f t="shared" ref="AH59:AH66" si="19">IF(AD59="",0,(IF(I59=AD59,1,0)))</f>
        <v>0</v>
      </c>
      <c r="AI59" s="108">
        <f t="shared" ref="AI59:AI66" si="20">IF(AND(AG59=1,AH59=1),10,0)</f>
        <v>0</v>
      </c>
      <c r="AJ59" s="108">
        <f t="shared" ref="AJ59:AJ66" si="21">IF(AND(G59&gt;I59,AC59&gt;AD59),5,0)</f>
        <v>0</v>
      </c>
      <c r="AK59" s="108">
        <f t="shared" ref="AK59:AK66" si="22">IF(AND(G59&lt;I59,AC59&lt;AD59),5,0)</f>
        <v>0</v>
      </c>
      <c r="AL59" s="108">
        <f t="shared" ref="AL59:AL66" si="23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4">BA59</f>
        <v>3</v>
      </c>
    </row>
    <row r="60" spans="2:54">
      <c r="B60" s="376">
        <v>50</v>
      </c>
      <c r="C60" s="466">
        <v>41818</v>
      </c>
      <c r="D60" s="460" t="str">
        <f t="shared" si="13"/>
        <v>Colombia</v>
      </c>
      <c r="E60" s="379" t="s">
        <v>9</v>
      </c>
      <c r="F60" s="409" t="str">
        <f t="shared" si="14"/>
        <v>Italië</v>
      </c>
      <c r="G60" s="437">
        <v>1</v>
      </c>
      <c r="H60" s="379" t="s">
        <v>9</v>
      </c>
      <c r="I60" s="449">
        <v>3</v>
      </c>
      <c r="J60" s="450">
        <v>2</v>
      </c>
      <c r="K60" s="407" t="s">
        <v>57</v>
      </c>
      <c r="L60" s="407" t="s">
        <v>63</v>
      </c>
      <c r="M60" s="407">
        <v>2</v>
      </c>
      <c r="O60" s="458">
        <v>3</v>
      </c>
      <c r="P60" s="877" t="s">
        <v>221</v>
      </c>
      <c r="Q60" s="877"/>
      <c r="R60" s="877"/>
      <c r="S60" s="877"/>
      <c r="T60" s="878"/>
      <c r="V60" s="352" t="s">
        <v>132</v>
      </c>
      <c r="W60" s="352" t="s">
        <v>110</v>
      </c>
      <c r="X60" s="352" t="str">
        <f t="shared" si="11"/>
        <v>Kenneth Vermeer (k)</v>
      </c>
      <c r="Y60" s="109">
        <f t="shared" si="15"/>
        <v>0</v>
      </c>
      <c r="Z60" s="352" t="str">
        <f t="shared" si="16"/>
        <v>Colombia</v>
      </c>
      <c r="AA60" s="352" t="str">
        <f t="shared" si="16"/>
        <v>Italië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7"/>
        <v>0</v>
      </c>
      <c r="AG60" s="108">
        <f t="shared" si="18"/>
        <v>0</v>
      </c>
      <c r="AH60" s="108">
        <f t="shared" si="19"/>
        <v>0</v>
      </c>
      <c r="AI60" s="108">
        <f t="shared" si="20"/>
        <v>0</v>
      </c>
      <c r="AJ60" s="108">
        <f t="shared" si="21"/>
        <v>0</v>
      </c>
      <c r="AK60" s="108">
        <f t="shared" si="22"/>
        <v>0</v>
      </c>
      <c r="AL60" s="108">
        <f t="shared" si="23"/>
        <v>0</v>
      </c>
      <c r="AZ60" s="138" t="str">
        <f>Uitslag!P60</f>
        <v>Stefan de Vrij (v)</v>
      </c>
      <c r="BA60" s="140">
        <f t="shared" si="12"/>
        <v>0</v>
      </c>
      <c r="BB60" s="139">
        <f t="shared" si="24"/>
        <v>0</v>
      </c>
    </row>
    <row r="61" spans="2:54">
      <c r="B61" s="364">
        <v>51</v>
      </c>
      <c r="C61" s="465">
        <v>41819</v>
      </c>
      <c r="D61" s="464" t="str">
        <f t="shared" si="13"/>
        <v>Spanje</v>
      </c>
      <c r="E61" s="367" t="s">
        <v>9</v>
      </c>
      <c r="F61" s="406" t="str">
        <f t="shared" si="14"/>
        <v>Kroatië</v>
      </c>
      <c r="G61" s="435">
        <v>4</v>
      </c>
      <c r="H61" s="367" t="s">
        <v>9</v>
      </c>
      <c r="I61" s="447">
        <v>1</v>
      </c>
      <c r="J61" s="448">
        <v>1</v>
      </c>
      <c r="K61" s="407" t="s">
        <v>52</v>
      </c>
      <c r="L61" s="407" t="s">
        <v>49</v>
      </c>
      <c r="M61" s="407"/>
      <c r="O61" s="458">
        <v>4</v>
      </c>
      <c r="P61" s="877" t="s">
        <v>213</v>
      </c>
      <c r="Q61" s="877"/>
      <c r="R61" s="877"/>
      <c r="S61" s="877"/>
      <c r="T61" s="878"/>
      <c r="V61" s="352" t="s">
        <v>132</v>
      </c>
      <c r="W61" s="352" t="s">
        <v>191</v>
      </c>
      <c r="X61" s="352" t="str">
        <f t="shared" si="11"/>
        <v>Tim Krul (k)</v>
      </c>
      <c r="Y61" s="109">
        <f t="shared" si="15"/>
        <v>6</v>
      </c>
      <c r="Z61" s="352" t="str">
        <f t="shared" si="16"/>
        <v>Spanje</v>
      </c>
      <c r="AA61" s="352" t="str">
        <f t="shared" si="16"/>
        <v>Kroatië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7"/>
        <v>6</v>
      </c>
      <c r="AG61" s="108">
        <f t="shared" si="18"/>
        <v>0</v>
      </c>
      <c r="AH61" s="108">
        <f t="shared" si="19"/>
        <v>1</v>
      </c>
      <c r="AI61" s="108">
        <f t="shared" si="20"/>
        <v>0</v>
      </c>
      <c r="AJ61" s="108">
        <f t="shared" si="21"/>
        <v>5</v>
      </c>
      <c r="AK61" s="108">
        <f t="shared" si="22"/>
        <v>0</v>
      </c>
      <c r="AL61" s="108">
        <f t="shared" si="23"/>
        <v>0</v>
      </c>
      <c r="AZ61" s="138" t="str">
        <f>Uitslag!P61</f>
        <v>Ron Vlaar (v)</v>
      </c>
      <c r="BA61" s="140">
        <f t="shared" si="12"/>
        <v>3</v>
      </c>
      <c r="BB61" s="139">
        <f t="shared" si="24"/>
        <v>3</v>
      </c>
    </row>
    <row r="62" spans="2:54">
      <c r="B62" s="376">
        <v>52</v>
      </c>
      <c r="C62" s="466">
        <v>41819</v>
      </c>
      <c r="D62" s="464" t="str">
        <f t="shared" si="13"/>
        <v>Engeland</v>
      </c>
      <c r="E62" s="379" t="s">
        <v>9</v>
      </c>
      <c r="F62" s="409" t="str">
        <f t="shared" si="14"/>
        <v>Japan</v>
      </c>
      <c r="G62" s="437">
        <v>2</v>
      </c>
      <c r="H62" s="379" t="s">
        <v>9</v>
      </c>
      <c r="I62" s="449">
        <v>1</v>
      </c>
      <c r="J62" s="450">
        <v>1</v>
      </c>
      <c r="K62" s="407" t="s">
        <v>62</v>
      </c>
      <c r="L62" s="407" t="s">
        <v>58</v>
      </c>
      <c r="M62" s="407"/>
      <c r="O62" s="458">
        <v>5</v>
      </c>
      <c r="P62" s="877" t="s">
        <v>216</v>
      </c>
      <c r="Q62" s="877"/>
      <c r="R62" s="877"/>
      <c r="S62" s="877"/>
      <c r="T62" s="878"/>
      <c r="V62" s="352" t="s">
        <v>132</v>
      </c>
      <c r="W62" s="352" t="s">
        <v>192</v>
      </c>
      <c r="X62" s="352" t="str">
        <f t="shared" si="11"/>
        <v>Maarten Stekelenburg (k)</v>
      </c>
      <c r="Y62" s="109">
        <f t="shared" si="15"/>
        <v>1</v>
      </c>
      <c r="Z62" s="352" t="str">
        <f t="shared" si="16"/>
        <v>Engeland</v>
      </c>
      <c r="AA62" s="352" t="str">
        <f t="shared" si="16"/>
        <v>Japan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7"/>
        <v>1</v>
      </c>
      <c r="AG62" s="108">
        <f t="shared" si="18"/>
        <v>0</v>
      </c>
      <c r="AH62" s="108">
        <f t="shared" si="19"/>
        <v>1</v>
      </c>
      <c r="AI62" s="108">
        <f t="shared" si="20"/>
        <v>0</v>
      </c>
      <c r="AJ62" s="108">
        <f t="shared" si="21"/>
        <v>0</v>
      </c>
      <c r="AK62" s="108">
        <f t="shared" si="22"/>
        <v>0</v>
      </c>
      <c r="AL62" s="108">
        <f t="shared" si="23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4"/>
        <v>3</v>
      </c>
    </row>
    <row r="63" spans="2:54">
      <c r="B63" s="364">
        <v>53</v>
      </c>
      <c r="C63" s="465">
        <v>41820</v>
      </c>
      <c r="D63" s="459" t="str">
        <f t="shared" si="13"/>
        <v>Frankrijk</v>
      </c>
      <c r="E63" s="367" t="s">
        <v>9</v>
      </c>
      <c r="F63" s="406" t="str">
        <f t="shared" si="14"/>
        <v>Nigeria</v>
      </c>
      <c r="G63" s="435">
        <v>3</v>
      </c>
      <c r="H63" s="367" t="s">
        <v>9</v>
      </c>
      <c r="I63" s="447">
        <v>1</v>
      </c>
      <c r="J63" s="448">
        <v>1</v>
      </c>
      <c r="K63" s="407" t="s">
        <v>67</v>
      </c>
      <c r="L63" s="407" t="s">
        <v>73</v>
      </c>
      <c r="M63" s="407"/>
      <c r="O63" s="458">
        <v>6</v>
      </c>
      <c r="P63" s="877" t="s">
        <v>215</v>
      </c>
      <c r="Q63" s="877"/>
      <c r="R63" s="877"/>
      <c r="S63" s="877"/>
      <c r="T63" s="878"/>
      <c r="V63" s="352" t="s">
        <v>132</v>
      </c>
      <c r="W63" s="352" t="s">
        <v>193</v>
      </c>
      <c r="X63" s="352" t="str">
        <f t="shared" si="11"/>
        <v>Michel Vorm (k)</v>
      </c>
      <c r="Y63" s="109">
        <f t="shared" si="15"/>
        <v>5</v>
      </c>
      <c r="Z63" s="352" t="str">
        <f t="shared" si="16"/>
        <v>Frankrijk</v>
      </c>
      <c r="AA63" s="352" t="str">
        <f t="shared" si="16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7"/>
        <v>5</v>
      </c>
      <c r="AG63" s="108">
        <f t="shared" si="18"/>
        <v>0</v>
      </c>
      <c r="AH63" s="108">
        <f t="shared" si="19"/>
        <v>0</v>
      </c>
      <c r="AI63" s="108">
        <f t="shared" si="20"/>
        <v>0</v>
      </c>
      <c r="AJ63" s="108">
        <f t="shared" si="21"/>
        <v>5</v>
      </c>
      <c r="AK63" s="108">
        <f t="shared" si="22"/>
        <v>0</v>
      </c>
      <c r="AL63" s="108">
        <f t="shared" si="23"/>
        <v>0</v>
      </c>
      <c r="AZ63" s="138" t="str">
        <f>Uitslag!P63</f>
        <v>Daley Blind (v)</v>
      </c>
      <c r="BA63" s="140">
        <f t="shared" si="12"/>
        <v>3</v>
      </c>
      <c r="BB63" s="139">
        <f t="shared" si="24"/>
        <v>3</v>
      </c>
    </row>
    <row r="64" spans="2:54">
      <c r="B64" s="376">
        <v>54</v>
      </c>
      <c r="C64" s="466">
        <v>41820</v>
      </c>
      <c r="D64" s="460" t="str">
        <f t="shared" si="13"/>
        <v>Portugal</v>
      </c>
      <c r="E64" s="379" t="s">
        <v>9</v>
      </c>
      <c r="F64" s="409" t="str">
        <f t="shared" si="14"/>
        <v>België</v>
      </c>
      <c r="G64" s="437">
        <v>3</v>
      </c>
      <c r="H64" s="379" t="s">
        <v>9</v>
      </c>
      <c r="I64" s="449">
        <v>1</v>
      </c>
      <c r="J64" s="450">
        <v>1</v>
      </c>
      <c r="K64" s="407" t="s">
        <v>77</v>
      </c>
      <c r="L64" s="407" t="s">
        <v>83</v>
      </c>
      <c r="M64" s="407"/>
      <c r="O64" s="458">
        <v>7</v>
      </c>
      <c r="P64" s="877" t="s">
        <v>223</v>
      </c>
      <c r="Q64" s="877"/>
      <c r="R64" s="877"/>
      <c r="S64" s="877"/>
      <c r="T64" s="878"/>
      <c r="V64" s="352" t="s">
        <v>133</v>
      </c>
      <c r="W64" s="352" t="s">
        <v>112</v>
      </c>
      <c r="X64" s="352" t="str">
        <f t="shared" si="11"/>
        <v>Joël Veltman (v)</v>
      </c>
      <c r="Y64" s="109">
        <f t="shared" si="15"/>
        <v>0</v>
      </c>
      <c r="Z64" s="352" t="str">
        <f t="shared" si="16"/>
        <v>Portugal</v>
      </c>
      <c r="AA64" s="352" t="str">
        <f t="shared" si="16"/>
        <v>België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7"/>
        <v>0</v>
      </c>
      <c r="AG64" s="108">
        <f t="shared" si="18"/>
        <v>0</v>
      </c>
      <c r="AH64" s="108">
        <f t="shared" si="19"/>
        <v>0</v>
      </c>
      <c r="AI64" s="108">
        <f t="shared" si="20"/>
        <v>0</v>
      </c>
      <c r="AJ64" s="108">
        <f t="shared" si="21"/>
        <v>0</v>
      </c>
      <c r="AK64" s="108">
        <f t="shared" si="22"/>
        <v>0</v>
      </c>
      <c r="AL64" s="108">
        <f t="shared" si="23"/>
        <v>0</v>
      </c>
      <c r="AZ64" s="138" t="str">
        <f>Uitslag!P64</f>
        <v>Wesley Sneijder (m)</v>
      </c>
      <c r="BA64" s="140">
        <f t="shared" si="12"/>
        <v>0</v>
      </c>
      <c r="BB64" s="139">
        <f t="shared" si="24"/>
        <v>0</v>
      </c>
    </row>
    <row r="65" spans="2:54">
      <c r="B65" s="370">
        <v>55</v>
      </c>
      <c r="C65" s="467">
        <v>41821</v>
      </c>
      <c r="D65" s="459" t="str">
        <f t="shared" si="13"/>
        <v>Argentinië</v>
      </c>
      <c r="E65" s="373" t="s">
        <v>9</v>
      </c>
      <c r="F65" s="410" t="str">
        <f t="shared" si="14"/>
        <v>Honduras</v>
      </c>
      <c r="G65" s="436">
        <v>4</v>
      </c>
      <c r="H65" s="373" t="s">
        <v>9</v>
      </c>
      <c r="I65" s="451">
        <v>1</v>
      </c>
      <c r="J65" s="452">
        <v>1</v>
      </c>
      <c r="K65" s="407" t="s">
        <v>72</v>
      </c>
      <c r="L65" s="407" t="s">
        <v>68</v>
      </c>
      <c r="M65" s="407"/>
      <c r="O65" s="458">
        <v>8</v>
      </c>
      <c r="P65" s="877" t="s">
        <v>209</v>
      </c>
      <c r="Q65" s="877"/>
      <c r="R65" s="877"/>
      <c r="S65" s="877"/>
      <c r="T65" s="878"/>
      <c r="V65" s="352" t="s">
        <v>133</v>
      </c>
      <c r="W65" s="352" t="s">
        <v>109</v>
      </c>
      <c r="X65" s="352" t="str">
        <f t="shared" si="11"/>
        <v>Daley Blind (v)</v>
      </c>
      <c r="Y65" s="109">
        <f t="shared" si="15"/>
        <v>0</v>
      </c>
      <c r="Z65" s="352" t="str">
        <f t="shared" si="16"/>
        <v>Argentinië</v>
      </c>
      <c r="AA65" s="352" t="str">
        <f t="shared" si="16"/>
        <v>Honduras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7"/>
        <v>0</v>
      </c>
      <c r="AG65" s="108">
        <f t="shared" si="18"/>
        <v>0</v>
      </c>
      <c r="AH65" s="108">
        <f t="shared" si="19"/>
        <v>0</v>
      </c>
      <c r="AI65" s="108">
        <f t="shared" si="20"/>
        <v>0</v>
      </c>
      <c r="AJ65" s="108">
        <f t="shared" si="21"/>
        <v>0</v>
      </c>
      <c r="AK65" s="108">
        <f t="shared" si="22"/>
        <v>0</v>
      </c>
      <c r="AL65" s="108">
        <f t="shared" si="23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4"/>
        <v>3</v>
      </c>
    </row>
    <row r="66" spans="2:54" ht="15.75" thickBot="1">
      <c r="B66" s="385">
        <v>56</v>
      </c>
      <c r="C66" s="462">
        <v>41821</v>
      </c>
      <c r="D66" s="461" t="str">
        <f t="shared" si="13"/>
        <v>Rusland</v>
      </c>
      <c r="E66" s="388" t="s">
        <v>9</v>
      </c>
      <c r="F66" s="412" t="str">
        <f t="shared" si="14"/>
        <v>Duitsland</v>
      </c>
      <c r="G66" s="438">
        <v>2</v>
      </c>
      <c r="H66" s="388" t="s">
        <v>9</v>
      </c>
      <c r="I66" s="453">
        <v>3</v>
      </c>
      <c r="J66" s="454">
        <v>2</v>
      </c>
      <c r="K66" s="407" t="s">
        <v>82</v>
      </c>
      <c r="L66" s="407" t="s">
        <v>78</v>
      </c>
      <c r="M66" s="407"/>
      <c r="O66" s="458">
        <v>9</v>
      </c>
      <c r="P66" s="877" t="s">
        <v>214</v>
      </c>
      <c r="Q66" s="877"/>
      <c r="R66" s="877"/>
      <c r="S66" s="877"/>
      <c r="T66" s="878"/>
      <c r="V66" s="352" t="s">
        <v>133</v>
      </c>
      <c r="W66" s="352" t="s">
        <v>115</v>
      </c>
      <c r="X66" s="352" t="str">
        <f t="shared" si="11"/>
        <v>Daryl Janmaat (v)</v>
      </c>
      <c r="Y66" s="109">
        <f t="shared" si="15"/>
        <v>0</v>
      </c>
      <c r="Z66" s="352" t="str">
        <f>IF(K66=""," ",VLOOKUP(K66,$T$9:$V$54,3,FALSE))</f>
        <v>Rusland</v>
      </c>
      <c r="AA66" s="352" t="str">
        <f>IF(L66=""," ",VLOOKUP(L66,$T$9:$V$54,3,FALSE))</f>
        <v>Duitsland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7"/>
        <v>0</v>
      </c>
      <c r="AG66" s="108">
        <f t="shared" si="18"/>
        <v>0</v>
      </c>
      <c r="AH66" s="108">
        <f t="shared" si="19"/>
        <v>0</v>
      </c>
      <c r="AI66" s="108">
        <f t="shared" si="20"/>
        <v>0</v>
      </c>
      <c r="AJ66" s="108">
        <f t="shared" si="21"/>
        <v>0</v>
      </c>
      <c r="AK66" s="108">
        <f t="shared" si="22"/>
        <v>0</v>
      </c>
      <c r="AL66" s="108">
        <f t="shared" si="23"/>
        <v>0</v>
      </c>
      <c r="AZ66" s="138" t="str">
        <f>Uitslag!P66</f>
        <v>Jonathan de Guzman (m)</v>
      </c>
      <c r="BA66" s="140">
        <f t="shared" si="12"/>
        <v>3</v>
      </c>
      <c r="BB66" s="139">
        <f t="shared" si="24"/>
        <v>3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O67" s="458">
        <v>10</v>
      </c>
      <c r="P67" s="877" t="s">
        <v>257</v>
      </c>
      <c r="Q67" s="877"/>
      <c r="R67" s="877"/>
      <c r="S67" s="877"/>
      <c r="T67" s="878"/>
      <c r="V67" s="352" t="s">
        <v>133</v>
      </c>
      <c r="W67" s="352" t="s">
        <v>118</v>
      </c>
      <c r="X67" s="352" t="str">
        <f t="shared" si="11"/>
        <v>Terence Kongolo (v)</v>
      </c>
      <c r="AZ67" s="138" t="str">
        <f>Uitslag!P67</f>
        <v>Robin van Persie (a)</v>
      </c>
      <c r="BA67" s="140">
        <f t="shared" si="12"/>
        <v>0</v>
      </c>
      <c r="BB67" s="139">
        <f t="shared" si="24"/>
        <v>0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79"/>
      <c r="K68" s="353"/>
      <c r="L68" s="353"/>
      <c r="M68" s="353"/>
      <c r="O68" s="458">
        <v>11</v>
      </c>
      <c r="P68" s="877" t="s">
        <v>226</v>
      </c>
      <c r="Q68" s="877"/>
      <c r="R68" s="877"/>
      <c r="S68" s="877"/>
      <c r="T68" s="878"/>
      <c r="V68" s="352" t="s">
        <v>133</v>
      </c>
      <c r="W68" s="352" t="s">
        <v>119</v>
      </c>
      <c r="X68" s="352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4"/>
        <v>3</v>
      </c>
    </row>
    <row r="69" spans="2:54">
      <c r="B69" s="428" t="s">
        <v>1</v>
      </c>
      <c r="C69" s="429" t="s">
        <v>2</v>
      </c>
      <c r="D69" s="476" t="s">
        <v>3</v>
      </c>
      <c r="E69" s="431"/>
      <c r="F69" s="477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V69" s="352" t="s">
        <v>133</v>
      </c>
      <c r="W69" s="352" t="s">
        <v>121</v>
      </c>
      <c r="X69" s="352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24</v>
      </c>
      <c r="BB69" s="139" t="str">
        <f>IF(AND(BA69&lt;&gt;"",BA69=33),15,"nvt")</f>
        <v>nvt</v>
      </c>
    </row>
    <row r="70" spans="2:54">
      <c r="B70" s="364">
        <v>57</v>
      </c>
      <c r="C70" s="365">
        <v>41824</v>
      </c>
      <c r="D70" s="405" t="str">
        <f>IF(J63="","Winnaar 53",IF(J63=1,D63,F63))</f>
        <v>Frankrijk</v>
      </c>
      <c r="E70" s="367" t="s">
        <v>9</v>
      </c>
      <c r="F70" s="406" t="str">
        <f>IF(J64="","Winnaar 54",IF(J64=1,D64,F64))</f>
        <v>Portugal</v>
      </c>
      <c r="G70" s="435">
        <v>2</v>
      </c>
      <c r="H70" s="367" t="s">
        <v>9</v>
      </c>
      <c r="I70" s="447">
        <v>3</v>
      </c>
      <c r="J70" s="448">
        <v>2</v>
      </c>
      <c r="K70" s="353"/>
      <c r="L70" s="353"/>
      <c r="M70" s="353"/>
      <c r="V70" s="352" t="s">
        <v>133</v>
      </c>
      <c r="W70" s="352" t="s">
        <v>126</v>
      </c>
      <c r="X70" s="352" t="str">
        <f t="shared" si="11"/>
        <v>Karim Rekik (v)</v>
      </c>
      <c r="Y70" s="109">
        <f>AF70</f>
        <v>5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5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Brazilië</v>
      </c>
      <c r="E71" s="379" t="s">
        <v>9</v>
      </c>
      <c r="F71" s="409" t="str">
        <f>IF(J60="","Winnaar 50",IF(J60=1,D60,F60))</f>
        <v>Italië</v>
      </c>
      <c r="G71" s="437">
        <v>3</v>
      </c>
      <c r="H71" s="379" t="s">
        <v>9</v>
      </c>
      <c r="I71" s="449">
        <v>1</v>
      </c>
      <c r="J71" s="450">
        <v>1</v>
      </c>
      <c r="K71" s="353"/>
      <c r="L71" s="353"/>
      <c r="M71" s="353"/>
      <c r="V71" s="352" t="s">
        <v>133</v>
      </c>
      <c r="W71" s="352" t="s">
        <v>194</v>
      </c>
      <c r="X71" s="352" t="str">
        <f t="shared" si="11"/>
        <v>Ron Vlaar (v)</v>
      </c>
      <c r="Y71" s="109">
        <f>AF71</f>
        <v>6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6</v>
      </c>
      <c r="AG71" s="108">
        <f>IF(AC71="",0,(IF(G71=AC71,1,0)))</f>
        <v>0</v>
      </c>
      <c r="AH71" s="108">
        <f>IF(AD71="",0,(IF(I71=AD71,1,0)))</f>
        <v>1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Argentinië</v>
      </c>
      <c r="E72" s="367" t="s">
        <v>9</v>
      </c>
      <c r="F72" s="406" t="str">
        <f>IF(J66="","Winnaar 56",IF(J66=1,D66,F66))</f>
        <v>Duitsland</v>
      </c>
      <c r="G72" s="435">
        <v>2</v>
      </c>
      <c r="H72" s="367" t="s">
        <v>9</v>
      </c>
      <c r="I72" s="447">
        <v>1</v>
      </c>
      <c r="J72" s="448">
        <v>1</v>
      </c>
      <c r="K72" s="353"/>
      <c r="L72" s="353"/>
      <c r="M72" s="353"/>
      <c r="V72" s="352" t="s">
        <v>133</v>
      </c>
      <c r="W72" s="352" t="s">
        <v>195</v>
      </c>
      <c r="X72" s="352" t="str">
        <f t="shared" si="11"/>
        <v>John Heitinga (v)</v>
      </c>
      <c r="Y72" s="109">
        <f>AF72</f>
        <v>5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5</v>
      </c>
      <c r="AG72" s="108">
        <f>IF(AC72="",0,(IF(G72=AC72,1,0)))</f>
        <v>0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5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Spanje</v>
      </c>
      <c r="E73" s="388" t="s">
        <v>9</v>
      </c>
      <c r="F73" s="412" t="str">
        <f>IF(J62="","Winnaar 52",IF(J62=1,D62,F62))</f>
        <v>Engeland</v>
      </c>
      <c r="G73" s="438">
        <v>2</v>
      </c>
      <c r="H73" s="388" t="s">
        <v>9</v>
      </c>
      <c r="I73" s="453">
        <v>1</v>
      </c>
      <c r="J73" s="454">
        <v>1</v>
      </c>
      <c r="K73" s="353"/>
      <c r="L73" s="353"/>
      <c r="M73" s="353"/>
      <c r="V73" s="352" t="s">
        <v>133</v>
      </c>
      <c r="W73" s="352" t="s">
        <v>196</v>
      </c>
      <c r="X73" s="352" t="str">
        <f t="shared" si="11"/>
        <v>Urby Emanuelson (v)</v>
      </c>
      <c r="Y73" s="109">
        <f>AF73</f>
        <v>0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0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V74" s="352" t="s">
        <v>133</v>
      </c>
      <c r="W74" s="352" t="s">
        <v>197</v>
      </c>
      <c r="X74" s="352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79"/>
      <c r="K75" s="353"/>
      <c r="L75" s="353"/>
      <c r="M75" s="353"/>
      <c r="V75" s="352" t="s">
        <v>133</v>
      </c>
      <c r="W75" s="352" t="s">
        <v>198</v>
      </c>
      <c r="X75" s="352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76" t="s">
        <v>3</v>
      </c>
      <c r="E76" s="431"/>
      <c r="F76" s="477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V76" s="352" t="s">
        <v>133</v>
      </c>
      <c r="W76" s="352" t="s">
        <v>202</v>
      </c>
      <c r="X76" s="352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Portugal</v>
      </c>
      <c r="E77" s="367" t="s">
        <v>9</v>
      </c>
      <c r="F77" s="406" t="str">
        <f>IF(J71="","Winnaar 58",IF(J71=1,D71,F71))</f>
        <v>Brazilië</v>
      </c>
      <c r="G77" s="435">
        <v>1</v>
      </c>
      <c r="H77" s="367" t="s">
        <v>9</v>
      </c>
      <c r="I77" s="447">
        <v>3</v>
      </c>
      <c r="J77" s="448">
        <v>2</v>
      </c>
      <c r="K77" s="353"/>
      <c r="L77" s="353"/>
      <c r="M77" s="353"/>
      <c r="V77" s="352" t="s">
        <v>134</v>
      </c>
      <c r="W77" s="352" t="s">
        <v>203</v>
      </c>
      <c r="X77" s="352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Argentinië</v>
      </c>
      <c r="E78" s="388" t="s">
        <v>9</v>
      </c>
      <c r="F78" s="412" t="str">
        <f>IF(J73="","Winnaar 60",IF(J73=1,D73,F73))</f>
        <v>Spanje</v>
      </c>
      <c r="G78" s="438">
        <v>2</v>
      </c>
      <c r="H78" s="388" t="s">
        <v>9</v>
      </c>
      <c r="I78" s="453">
        <v>3</v>
      </c>
      <c r="J78" s="454">
        <v>2</v>
      </c>
      <c r="K78" s="353"/>
      <c r="L78" s="353"/>
      <c r="M78" s="353"/>
      <c r="V78" s="352" t="s">
        <v>134</v>
      </c>
      <c r="W78" s="352" t="s">
        <v>199</v>
      </c>
      <c r="X78" s="352" t="str">
        <f t="shared" si="11"/>
        <v>Leroy Fer (m)</v>
      </c>
      <c r="Y78" s="109">
        <f>AF78</f>
        <v>0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0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V79" s="352" t="s">
        <v>134</v>
      </c>
      <c r="W79" s="352" t="s">
        <v>114</v>
      </c>
      <c r="X79" s="352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79"/>
      <c r="K80" s="353"/>
      <c r="L80" s="353"/>
      <c r="M80" s="353"/>
      <c r="V80" s="352" t="s">
        <v>134</v>
      </c>
      <c r="W80" s="352" t="s">
        <v>117</v>
      </c>
      <c r="X80" s="352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76" t="s">
        <v>3</v>
      </c>
      <c r="E81" s="431"/>
      <c r="F81" s="477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V81" s="352" t="s">
        <v>134</v>
      </c>
      <c r="W81" s="352" t="s">
        <v>120</v>
      </c>
      <c r="X81" s="352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Portugal</v>
      </c>
      <c r="E82" s="355" t="s">
        <v>9</v>
      </c>
      <c r="F82" s="415" t="str">
        <f>IF(J78="","Verliezer 62",IF(J78=1,F78,D78))</f>
        <v>Argentinië</v>
      </c>
      <c r="G82" s="455">
        <v>1</v>
      </c>
      <c r="H82" s="355" t="s">
        <v>9</v>
      </c>
      <c r="I82" s="456">
        <v>2</v>
      </c>
      <c r="J82" s="457">
        <v>2</v>
      </c>
      <c r="K82" s="353"/>
      <c r="L82" s="353"/>
      <c r="M82" s="353"/>
      <c r="V82" s="352" t="s">
        <v>134</v>
      </c>
      <c r="W82" s="352" t="s">
        <v>125</v>
      </c>
      <c r="X82" s="352" t="str">
        <f t="shared" si="11"/>
        <v>Georginio Wijnaldum (m)</v>
      </c>
      <c r="Y82" s="109">
        <f>AF82</f>
        <v>5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5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5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V83" s="352" t="s">
        <v>134</v>
      </c>
      <c r="W83" s="352" t="s">
        <v>136</v>
      </c>
      <c r="X83" s="352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79"/>
      <c r="K84" s="353"/>
      <c r="L84" s="353"/>
      <c r="M84" s="353"/>
      <c r="V84" s="352" t="s">
        <v>134</v>
      </c>
      <c r="W84" s="352" t="s">
        <v>137</v>
      </c>
      <c r="X84" s="352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76" t="s">
        <v>3</v>
      </c>
      <c r="E85" s="431"/>
      <c r="F85" s="477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V85" s="352" t="s">
        <v>134</v>
      </c>
      <c r="W85" s="352" t="s">
        <v>138</v>
      </c>
      <c r="X85" s="352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Brazilië</v>
      </c>
      <c r="E86" s="355" t="s">
        <v>9</v>
      </c>
      <c r="F86" s="415" t="str">
        <f>IF(J78="","Winnaar 62",IF(J78=1,D78,F78))</f>
        <v>Spanje</v>
      </c>
      <c r="G86" s="455">
        <v>1</v>
      </c>
      <c r="H86" s="355" t="s">
        <v>9</v>
      </c>
      <c r="I86" s="456">
        <v>2</v>
      </c>
      <c r="J86" s="457">
        <v>2</v>
      </c>
      <c r="K86" s="353"/>
      <c r="L86" s="353"/>
      <c r="M86" s="353"/>
      <c r="V86" s="352" t="s">
        <v>134</v>
      </c>
      <c r="W86" s="352" t="s">
        <v>139</v>
      </c>
      <c r="X86" s="352" t="str">
        <f t="shared" si="11"/>
        <v>Nigel de Jong (m)</v>
      </c>
      <c r="Y86" s="109">
        <f>AF86</f>
        <v>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0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353"/>
      <c r="C87" s="129"/>
      <c r="D87" s="392"/>
      <c r="E87" s="353"/>
      <c r="F87" s="392"/>
      <c r="G87" s="353"/>
      <c r="H87" s="353"/>
      <c r="I87" s="353"/>
      <c r="J87" s="353"/>
      <c r="K87" s="353"/>
      <c r="L87" s="353"/>
      <c r="M87" s="353"/>
      <c r="V87" s="352" t="s">
        <v>135</v>
      </c>
      <c r="W87" s="352" t="s">
        <v>205</v>
      </c>
      <c r="X87" s="352" t="str">
        <f t="shared" si="11"/>
        <v>Ricky van Wolfswinkel (a)</v>
      </c>
      <c r="AP87" s="136" t="s">
        <v>102</v>
      </c>
    </row>
    <row r="88" spans="2:50">
      <c r="B88" s="353"/>
      <c r="C88" s="129"/>
      <c r="D88" s="392"/>
      <c r="E88" s="353"/>
      <c r="F88" s="392"/>
      <c r="G88" s="353"/>
      <c r="H88" s="353"/>
      <c r="I88" s="353"/>
      <c r="J88" s="353"/>
      <c r="K88" s="353"/>
      <c r="L88" s="353"/>
      <c r="M88" s="353"/>
      <c r="V88" s="352" t="s">
        <v>135</v>
      </c>
      <c r="W88" s="352" t="s">
        <v>204</v>
      </c>
      <c r="X88" s="352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458"/>
    </row>
    <row r="89" spans="2:50" ht="20.25">
      <c r="C89" s="874" t="s">
        <v>101</v>
      </c>
      <c r="D89" s="871"/>
      <c r="E89" s="873" t="str">
        <f>IF(J86=1,D86,IF(J86=2,F86,"Wie zal het worden?"))</f>
        <v>Spanje</v>
      </c>
      <c r="F89" s="873"/>
      <c r="G89" s="873"/>
      <c r="H89" s="873"/>
      <c r="I89" s="873"/>
      <c r="J89" s="873"/>
      <c r="K89" s="353"/>
      <c r="L89" s="353"/>
      <c r="M89" s="353"/>
      <c r="V89" s="352" t="s">
        <v>135</v>
      </c>
      <c r="W89" s="352" t="s">
        <v>201</v>
      </c>
      <c r="X89" s="352" t="str">
        <f t="shared" si="11"/>
        <v>Jermain Lens (a)</v>
      </c>
      <c r="AP89" s="109">
        <f>AU89</f>
        <v>0</v>
      </c>
      <c r="AQ89" s="131">
        <v>1</v>
      </c>
      <c r="AR89" s="904" t="str">
        <f>Uitslag!E89</f>
        <v>Duitsland</v>
      </c>
      <c r="AS89" s="905"/>
      <c r="AT89" s="906"/>
      <c r="AU89" s="352">
        <f>SUM(AV89:AX89)</f>
        <v>0</v>
      </c>
      <c r="AV89" s="352">
        <f>IF(AR89=0,0,IF(E89=AR89,50,0))</f>
        <v>0</v>
      </c>
      <c r="AW89" s="352">
        <f>IF(E89=0,0,IF(OR(E89=AR90),15,0))</f>
        <v>0</v>
      </c>
      <c r="AX89" s="352">
        <f>IF(E89=0,0,IF(OR(E89=AR91,E89=AR92),5,0))</f>
        <v>0</v>
      </c>
    </row>
    <row r="90" spans="2:50">
      <c r="C90" s="870">
        <v>2</v>
      </c>
      <c r="D90" s="871"/>
      <c r="E90" s="872" t="str">
        <f>IF(J86=2,D86,IF(J86=1,F86,"Wie wordt 2de?"))</f>
        <v>Brazilië</v>
      </c>
      <c r="F90" s="872"/>
      <c r="G90" s="872"/>
      <c r="H90" s="872"/>
      <c r="I90" s="872"/>
      <c r="J90" s="872"/>
      <c r="V90" s="352" t="s">
        <v>135</v>
      </c>
      <c r="W90" s="352" t="s">
        <v>200</v>
      </c>
      <c r="X90" s="352" t="str">
        <f t="shared" si="11"/>
        <v>Dirk Kuyt (a)</v>
      </c>
      <c r="AP90" s="109">
        <f>AU90</f>
        <v>5</v>
      </c>
      <c r="AQ90" s="131">
        <v>2</v>
      </c>
      <c r="AR90" s="904" t="str">
        <f>Uitslag!E90</f>
        <v>Argentinië</v>
      </c>
      <c r="AS90" s="905"/>
      <c r="AT90" s="906"/>
      <c r="AU90" s="352">
        <f>SUM(AV90:AX90)</f>
        <v>5</v>
      </c>
      <c r="AV90" s="352">
        <f>IF(AR90=0,0,IF(AR90=E90,25,0))</f>
        <v>0</v>
      </c>
      <c r="AW90" s="352">
        <f>IF(E90=0,0,IF(OR(E90=AR89,),15,0))</f>
        <v>0</v>
      </c>
      <c r="AX90" s="352">
        <f>IF(E90=0,0,IF(OR(E90=AR91,E90=AR92),5,0))</f>
        <v>5</v>
      </c>
    </row>
    <row r="91" spans="2:50">
      <c r="C91" s="870">
        <v>3</v>
      </c>
      <c r="D91" s="871"/>
      <c r="E91" s="872" t="str">
        <f>IF(J82=1,D82,IF(J82=2,F82,"Wie wordt 3de?"))</f>
        <v>Argentinië</v>
      </c>
      <c r="F91" s="872"/>
      <c r="G91" s="872"/>
      <c r="H91" s="872"/>
      <c r="I91" s="872"/>
      <c r="J91" s="872"/>
      <c r="V91" s="352" t="s">
        <v>135</v>
      </c>
      <c r="W91" s="352" t="s">
        <v>128</v>
      </c>
      <c r="X91" s="352" t="str">
        <f t="shared" si="11"/>
        <v>Jürgen Locadia (a)</v>
      </c>
      <c r="AP91" s="109">
        <f>AU91</f>
        <v>5</v>
      </c>
      <c r="AQ91" s="131">
        <v>3</v>
      </c>
      <c r="AR91" s="904" t="str">
        <f>Uitslag!E91</f>
        <v>Nederland</v>
      </c>
      <c r="AS91" s="905"/>
      <c r="AT91" s="906"/>
      <c r="AU91" s="352">
        <f>SUM(AV91:AX91)</f>
        <v>5</v>
      </c>
      <c r="AV91" s="352">
        <f>IF(AR91=0,0,IF(AR91=E91,15,0))</f>
        <v>0</v>
      </c>
      <c r="AW91" s="352">
        <f>IF(E91=0,0,IF(OR(E91=AR92),10,0))</f>
        <v>0</v>
      </c>
      <c r="AX91" s="352">
        <f>IF(E91=0,0,IF(OR(E91=AR89,E91=AR90),5,0))</f>
        <v>5</v>
      </c>
    </row>
    <row r="92" spans="2:50">
      <c r="C92" s="870">
        <v>4</v>
      </c>
      <c r="D92" s="871"/>
      <c r="E92" s="872" t="str">
        <f>IF(J82=2,D82,IF(J82=1,F82,"Wie wordt 4de?"))</f>
        <v>Portugal</v>
      </c>
      <c r="F92" s="872"/>
      <c r="G92" s="872"/>
      <c r="H92" s="872"/>
      <c r="I92" s="872"/>
      <c r="J92" s="872"/>
      <c r="V92" s="352" t="s">
        <v>135</v>
      </c>
      <c r="W92" s="352" t="s">
        <v>127</v>
      </c>
      <c r="X92" s="35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 s="352">
        <f>SUM(AV92:AX92)</f>
        <v>0</v>
      </c>
      <c r="AV92" s="352">
        <f>IF(AR92=0,0,IF(AR92=E92,15,0))</f>
        <v>0</v>
      </c>
      <c r="AW92" s="352">
        <f>IF(E92=0,0,IF(OR(E92=AR91,),10,0))</f>
        <v>0</v>
      </c>
      <c r="AX92" s="352">
        <f>IF(E92=0,0,IF(OR(E92=AR89,E92=AR90),5,0))</f>
        <v>0</v>
      </c>
    </row>
    <row r="93" spans="2:50" ht="15.75" thickBot="1">
      <c r="V93" s="352" t="s">
        <v>135</v>
      </c>
      <c r="W93" s="352" t="s">
        <v>123</v>
      </c>
      <c r="X93" s="352" t="str">
        <f t="shared" si="11"/>
        <v>Quincy Promes (a)</v>
      </c>
      <c r="AS93" s="132"/>
      <c r="AU93" s="133">
        <f>SUM(AU89:AU92)</f>
        <v>10</v>
      </c>
    </row>
    <row r="94" spans="2:50" ht="15.75" thickTop="1">
      <c r="V94" s="352" t="s">
        <v>135</v>
      </c>
      <c r="W94" s="352" t="s">
        <v>122</v>
      </c>
      <c r="X94" s="352" t="str">
        <f t="shared" si="11"/>
        <v>Luc Castaignos (a)</v>
      </c>
    </row>
    <row r="95" spans="2:50">
      <c r="V95" s="352" t="s">
        <v>135</v>
      </c>
      <c r="W95" s="352" t="s">
        <v>113</v>
      </c>
      <c r="X95" s="352" t="str">
        <f t="shared" si="11"/>
        <v>Jean-Paul Boëtius (a)</v>
      </c>
    </row>
    <row r="96" spans="2:50">
      <c r="V96" s="352" t="s">
        <v>135</v>
      </c>
      <c r="W96" s="352" t="s">
        <v>129</v>
      </c>
      <c r="X96" s="352" t="str">
        <f t="shared" si="11"/>
        <v>Luciano Narsingh (a)</v>
      </c>
    </row>
    <row r="97" spans="22:24">
      <c r="V97" s="352" t="s">
        <v>135</v>
      </c>
      <c r="W97" s="352" t="s">
        <v>130</v>
      </c>
      <c r="X97" s="352" t="str">
        <f t="shared" si="11"/>
        <v>Robin van Persie (a)</v>
      </c>
    </row>
    <row r="98" spans="22:24">
      <c r="V98" s="352" t="s">
        <v>135</v>
      </c>
      <c r="W98" s="352" t="s">
        <v>131</v>
      </c>
      <c r="X98" s="352" t="str">
        <f t="shared" si="11"/>
        <v>Arjen Robben (a)</v>
      </c>
    </row>
  </sheetData>
  <mergeCells count="36">
    <mergeCell ref="C91:D91"/>
    <mergeCell ref="E91:J91"/>
    <mergeCell ref="AR91:AT91"/>
    <mergeCell ref="C92:D92"/>
    <mergeCell ref="E92:J92"/>
    <mergeCell ref="AR92:AT92"/>
    <mergeCell ref="C89:D89"/>
    <mergeCell ref="E89:J89"/>
    <mergeCell ref="AR89:AT89"/>
    <mergeCell ref="C90:D90"/>
    <mergeCell ref="E90:J90"/>
    <mergeCell ref="AR90:AT90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</mergeCells>
  <conditionalFormatting sqref="AO9:AO12 AO15:AO18 AO21:AO24 AO27:AO30 AO33:AO36 AO39:AO42 AO45:AO48 AO51:AO54">
    <cfRule type="cellIs" dxfId="86" priority="3" operator="equal">
      <formula>10</formula>
    </cfRule>
  </conditionalFormatting>
  <conditionalFormatting sqref="P58:T58">
    <cfRule type="duplicateValues" dxfId="85" priority="2"/>
  </conditionalFormatting>
  <conditionalFormatting sqref="P58:T68">
    <cfRule type="duplicateValues" dxfId="84" priority="1"/>
  </conditionalFormatting>
  <dataValidations count="10">
    <dataValidation type="list" allowBlank="1" showInputMessage="1" showErrorMessage="1" sqref="P58:P68">
      <formula1>$X$58:$X$98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51:T54">
      <formula1>$W$51:$W$54</formula1>
    </dataValidation>
  </dataValidation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>
  <dimension ref="B1:BB98"/>
  <sheetViews>
    <sheetView topLeftCell="A40" zoomScale="70" zoomScaleNormal="70" workbookViewId="0">
      <selection activeCell="P58" sqref="P58:T68"/>
    </sheetView>
  </sheetViews>
  <sheetFormatPr defaultRowHeight="15" outlineLevelCol="2"/>
  <cols>
    <col min="1" max="1" width="3.42578125" style="352" customWidth="1"/>
    <col min="2" max="2" width="3.5703125" style="352" bestFit="1" customWidth="1"/>
    <col min="3" max="3" width="11.5703125" style="123" bestFit="1" customWidth="1"/>
    <col min="4" max="4" width="19.7109375" style="352" bestFit="1" customWidth="1"/>
    <col min="5" max="5" width="3.42578125" style="352" customWidth="1"/>
    <col min="6" max="6" width="19.7109375" style="352" bestFit="1" customWidth="1"/>
    <col min="7" max="7" width="6.7109375" style="352" customWidth="1"/>
    <col min="8" max="8" width="1.5703125" style="352" bestFit="1" customWidth="1"/>
    <col min="9" max="9" width="6.7109375" style="352" customWidth="1"/>
    <col min="10" max="10" width="6.85546875" style="352" bestFit="1" customWidth="1"/>
    <col min="11" max="13" width="9.140625" style="352" hidden="1" customWidth="1" outlineLevel="1"/>
    <col min="14" max="14" width="11.42578125" style="352" bestFit="1" customWidth="1" collapsed="1"/>
    <col min="15" max="15" width="14.7109375" style="352" bestFit="1" customWidth="1"/>
    <col min="16" max="16" width="12.28515625" style="352" bestFit="1" customWidth="1"/>
    <col min="17" max="17" width="8.140625" style="352" bestFit="1" customWidth="1"/>
    <col min="18" max="18" width="7.7109375" style="352" bestFit="1" customWidth="1"/>
    <col min="19" max="19" width="9.140625" style="352"/>
    <col min="20" max="20" width="8.5703125" style="352" bestFit="1" customWidth="1"/>
    <col min="21" max="21" width="9.140625" style="352"/>
    <col min="22" max="23" width="9.140625" style="352" hidden="1" customWidth="1" outlineLevel="1"/>
    <col min="24" max="24" width="2" style="352" hidden="1" customWidth="1" outlineLevel="1"/>
    <col min="25" max="25" width="12.28515625" style="352" bestFit="1" customWidth="1" collapsed="1"/>
    <col min="26" max="27" width="12.28515625" style="352" hidden="1" customWidth="1" outlineLevel="1"/>
    <col min="28" max="28" width="4.7109375" style="352" hidden="1" customWidth="1" outlineLevel="1"/>
    <col min="29" max="38" width="9.140625" style="352" hidden="1" customWidth="1" outlineLevel="1"/>
    <col min="39" max="39" width="7.42578125" style="352" bestFit="1" customWidth="1" collapsed="1"/>
    <col min="40" max="40" width="19.7109375" style="352" hidden="1" customWidth="1" outlineLevel="1"/>
    <col min="41" max="41" width="9.140625" style="352" hidden="1" customWidth="1" outlineLevel="1"/>
    <col min="42" max="42" width="9.140625" style="352" collapsed="1"/>
    <col min="43" max="49" width="9.140625" style="352" hidden="1" customWidth="1" outlineLevel="2"/>
    <col min="50" max="50" width="11.5703125" style="352" hidden="1" customWidth="1" outlineLevel="2"/>
    <col min="51" max="51" width="11.85546875" style="352" hidden="1" customWidth="1" outlineLevel="1" collapsed="1"/>
    <col min="52" max="52" width="9.42578125" style="352" hidden="1" customWidth="1" outlineLevel="1"/>
    <col min="53" max="53" width="10.5703125" style="352" hidden="1" customWidth="1" outlineLevel="1"/>
    <col min="54" max="54" width="9.140625" style="352" collapsed="1"/>
    <col min="55" max="55" width="11.85546875" style="352" bestFit="1" customWidth="1"/>
    <col min="56" max="16384" width="9.140625" style="352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293</v>
      </c>
      <c r="E3" s="335"/>
      <c r="F3" s="335"/>
      <c r="N3" s="352" t="str">
        <f>D3</f>
        <v>Hans V.</v>
      </c>
      <c r="O3" s="144">
        <f>SUM(P3:S3)</f>
        <v>434</v>
      </c>
      <c r="P3" s="109">
        <f>SUM(Y8:Y86)</f>
        <v>230</v>
      </c>
      <c r="Q3" s="109">
        <f>SUM(AM4:AM55)</f>
        <v>120</v>
      </c>
      <c r="R3" s="109">
        <f>SUM(AP89:AP92)</f>
        <v>60</v>
      </c>
      <c r="S3" s="109">
        <f>SUM(BB58:BB69)</f>
        <v>24</v>
      </c>
      <c r="T3" s="109">
        <f>COUNTIF(AF8:AF86,10)</f>
        <v>9</v>
      </c>
      <c r="U3" s="109" t="str">
        <f>E89</f>
        <v>Duitsland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O6" s="392"/>
      <c r="P6" s="393"/>
      <c r="Q6" s="393"/>
      <c r="R6" s="393"/>
      <c r="S6" s="393"/>
      <c r="T6" s="393"/>
      <c r="U6" s="392"/>
      <c r="V6" s="392"/>
      <c r="W6" s="392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80" t="s">
        <v>3</v>
      </c>
      <c r="E7" s="419"/>
      <c r="F7" s="481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O7" s="353"/>
      <c r="P7" s="393"/>
      <c r="Q7" s="393"/>
      <c r="R7" s="393"/>
      <c r="S7" s="393"/>
      <c r="T7" s="393"/>
      <c r="U7" s="353"/>
      <c r="V7" s="353"/>
      <c r="W7" s="353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458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3</v>
      </c>
      <c r="H8" s="360" t="s">
        <v>9</v>
      </c>
      <c r="I8" s="478">
        <v>1</v>
      </c>
      <c r="J8" s="362">
        <f t="shared" ref="J8:J55" si="0">IF(I8="","",IF(G8&gt;I8,1,IF(G8&lt;I8,2,3)))</f>
        <v>1</v>
      </c>
      <c r="K8" s="363">
        <f t="shared" ref="K8:K55" si="1">IF(I8="","",IF($G8&gt;$I8,3,IF($G8=$I8,1,0)))</f>
        <v>3</v>
      </c>
      <c r="L8" s="363">
        <f t="shared" ref="L8:L55" si="2">IF(I8="","",IF($G8&lt;$I8,3,IF($G8=$I8,1,0)))</f>
        <v>0</v>
      </c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392"/>
      <c r="V8" s="392"/>
      <c r="W8" s="392"/>
      <c r="Y8" s="109">
        <f>AF8</f>
        <v>10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10</v>
      </c>
      <c r="AG8" s="108">
        <f t="shared" ref="AG8:AG55" si="3">IF(AC8="",0,(IF(G8=AC8,1,0)))</f>
        <v>1</v>
      </c>
      <c r="AH8" s="108">
        <f t="shared" ref="AH8:AH55" si="4">IF(AD8="",0,(IF(I8=AD8,1,0)))</f>
        <v>1</v>
      </c>
      <c r="AI8" s="108">
        <f>IF(AND(AG8=1,AH8=1),10,0)</f>
        <v>10</v>
      </c>
      <c r="AJ8" s="108">
        <f t="shared" ref="AJ8:AJ55" si="5">IF(AND(G8&gt;I8,AC8&gt;AD8),5,0)</f>
        <v>5</v>
      </c>
      <c r="AK8" s="108">
        <f t="shared" ref="AK8:AK55" si="6">IF(AND(G8&lt;I8,AC8&lt;AD8),5,0)</f>
        <v>0</v>
      </c>
      <c r="AL8" s="108">
        <f t="shared" ref="AL8:AL55" si="7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1</v>
      </c>
      <c r="H9" s="367" t="s">
        <v>9</v>
      </c>
      <c r="I9" s="440">
        <v>1</v>
      </c>
      <c r="J9" s="369">
        <f t="shared" si="0"/>
        <v>3</v>
      </c>
      <c r="K9" s="363">
        <f t="shared" si="1"/>
        <v>1</v>
      </c>
      <c r="L9" s="363">
        <f t="shared" si="2"/>
        <v>1</v>
      </c>
      <c r="O9" s="394" t="s">
        <v>8</v>
      </c>
      <c r="P9" s="395">
        <f>SUMIF($D$8:$D$55,$O9,$G$8:$G$55)+SUMIF($F$8:$F$55,$O9,$I$8:$I$55)</f>
        <v>9</v>
      </c>
      <c r="Q9" s="395">
        <f>SUMIF($D$8:$D$55,$O9,$I$8:$I$55)+SUMIF($F$8:$F$55,$O9,$G$8:$G$55)</f>
        <v>4</v>
      </c>
      <c r="R9" s="396">
        <f>P9-Q9</f>
        <v>5</v>
      </c>
      <c r="S9" s="397">
        <f>SUMIF($D$8:$D$55,$O9,$K$8:$K$55)+SUMIF($F$8:$F$55,$O9,$L$8:$L$55)</f>
        <v>7</v>
      </c>
      <c r="T9" s="444" t="s">
        <v>48</v>
      </c>
      <c r="U9" s="392"/>
      <c r="V9" s="392" t="str">
        <f>O9</f>
        <v>Brazilië</v>
      </c>
      <c r="W9" s="392" t="s">
        <v>48</v>
      </c>
      <c r="Y9" s="109">
        <f t="shared" ref="Y9:Y55" si="8">AF9</f>
        <v>1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1</v>
      </c>
      <c r="AG9" s="108">
        <f t="shared" si="3"/>
        <v>1</v>
      </c>
      <c r="AH9" s="108">
        <f t="shared" si="4"/>
        <v>0</v>
      </c>
      <c r="AI9" s="108">
        <f t="shared" ref="AI9:AI55" si="10">IF(AND(AG9=1,AH9=1),10,0)</f>
        <v>0</v>
      </c>
      <c r="AJ9" s="108">
        <f t="shared" si="5"/>
        <v>0</v>
      </c>
      <c r="AK9" s="108">
        <f t="shared" si="6"/>
        <v>0</v>
      </c>
      <c r="AL9" s="108">
        <f t="shared" si="7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4</v>
      </c>
      <c r="H10" s="373" t="s">
        <v>9</v>
      </c>
      <c r="I10" s="441">
        <v>0</v>
      </c>
      <c r="J10" s="375">
        <f t="shared" si="0"/>
        <v>1</v>
      </c>
      <c r="K10" s="363">
        <f t="shared" si="1"/>
        <v>3</v>
      </c>
      <c r="L10" s="363">
        <f t="shared" si="2"/>
        <v>0</v>
      </c>
      <c r="O10" s="398" t="s">
        <v>10</v>
      </c>
      <c r="P10" s="399">
        <f>SUMIF($D$8:$D$55,$O10,$G$8:$G$55)+SUMIF($F$8:$F$55,$O10,$I$8:$I$55)</f>
        <v>3</v>
      </c>
      <c r="Q10" s="399">
        <f>SUMIF($D$8:$D$55,$O10,$I$8:$I$55)+SUMIF($F$8:$F$55,$O10,$G$8:$G$55)</f>
        <v>7</v>
      </c>
      <c r="R10" s="399">
        <f>P10-Q10</f>
        <v>-4</v>
      </c>
      <c r="S10" s="400">
        <f>SUMIF($D$8:$D$55,$O10,$K$8:$K$55)+SUMIF($F$8:$F$55,$O10,$L$8:$L$55)</f>
        <v>0</v>
      </c>
      <c r="T10" s="445" t="s">
        <v>50</v>
      </c>
      <c r="U10" s="392"/>
      <c r="V10" s="392" t="str">
        <f>O10</f>
        <v>Kroatië</v>
      </c>
      <c r="W10" s="392" t="s">
        <v>49</v>
      </c>
      <c r="Y10" s="109">
        <f t="shared" si="8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0</v>
      </c>
      <c r="AG10" s="108">
        <f t="shared" si="3"/>
        <v>0</v>
      </c>
      <c r="AH10" s="108">
        <f t="shared" si="4"/>
        <v>0</v>
      </c>
      <c r="AI10" s="108">
        <f t="shared" si="10"/>
        <v>0</v>
      </c>
      <c r="AJ10" s="108">
        <f t="shared" si="5"/>
        <v>0</v>
      </c>
      <c r="AK10" s="108">
        <f t="shared" si="6"/>
        <v>0</v>
      </c>
      <c r="AL10" s="108">
        <f t="shared" si="7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2</v>
      </c>
      <c r="H11" s="379" t="s">
        <v>9</v>
      </c>
      <c r="I11" s="442">
        <v>0</v>
      </c>
      <c r="J11" s="381">
        <f t="shared" si="0"/>
        <v>1</v>
      </c>
      <c r="K11" s="363">
        <f t="shared" si="1"/>
        <v>3</v>
      </c>
      <c r="L11" s="363">
        <f t="shared" si="2"/>
        <v>0</v>
      </c>
      <c r="O11" s="398" t="s">
        <v>11</v>
      </c>
      <c r="P11" s="399">
        <f>SUMIF($D$8:$D$55,$O11,$G$8:$G$55)+SUMIF($F$8:$F$55,$O11,$I$8:$I$55)</f>
        <v>5</v>
      </c>
      <c r="Q11" s="399">
        <f>SUMIF($D$8:$D$55,$O11,$I$8:$I$55)+SUMIF($F$8:$F$55,$O11,$G$8:$G$55)</f>
        <v>4</v>
      </c>
      <c r="R11" s="399">
        <f>P11-Q11</f>
        <v>1</v>
      </c>
      <c r="S11" s="400">
        <f>SUMIF($D$8:$D$55,$O11,$K$8:$K$55)+SUMIF($F$8:$F$55,$O11,$L$8:$L$55)</f>
        <v>5</v>
      </c>
      <c r="T11" s="445" t="s">
        <v>49</v>
      </c>
      <c r="U11" s="392"/>
      <c r="V11" s="392" t="str">
        <f>O11</f>
        <v>Mexico</v>
      </c>
      <c r="W11" s="392" t="s">
        <v>47</v>
      </c>
      <c r="Y11" s="109">
        <f t="shared" si="8"/>
        <v>5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5</v>
      </c>
      <c r="AG11" s="108">
        <f t="shared" si="3"/>
        <v>0</v>
      </c>
      <c r="AH11" s="108">
        <f t="shared" si="4"/>
        <v>0</v>
      </c>
      <c r="AI11" s="108">
        <f t="shared" si="10"/>
        <v>0</v>
      </c>
      <c r="AJ11" s="108">
        <f t="shared" si="5"/>
        <v>5</v>
      </c>
      <c r="AK11" s="108">
        <f t="shared" si="6"/>
        <v>0</v>
      </c>
      <c r="AL11" s="108">
        <f t="shared" si="7"/>
        <v>0</v>
      </c>
      <c r="AM11" s="120">
        <f>AO11</f>
        <v>10</v>
      </c>
      <c r="AN11" s="117" t="s">
        <v>11</v>
      </c>
      <c r="AO11" s="115">
        <f>IF(Uitslag!T11="",0,IF(T11=Uitslag!T11,10,0))</f>
        <v>10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3</v>
      </c>
      <c r="H12" s="367" t="s">
        <v>9</v>
      </c>
      <c r="I12" s="440">
        <v>0</v>
      </c>
      <c r="J12" s="369">
        <f t="shared" si="0"/>
        <v>1</v>
      </c>
      <c r="K12" s="363">
        <f t="shared" si="1"/>
        <v>3</v>
      </c>
      <c r="L12" s="363">
        <f t="shared" si="2"/>
        <v>0</v>
      </c>
      <c r="O12" s="401" t="s">
        <v>12</v>
      </c>
      <c r="P12" s="402">
        <f>SUMIF($D$8:$D$55,$O12,$G$8:$G$55)+SUMIF($F$8:$F$55,$O12,$I$8:$I$55)</f>
        <v>4</v>
      </c>
      <c r="Q12" s="402">
        <f>SUMIF($D$8:$D$55,$O12,$I$8:$I$55)+SUMIF($F$8:$F$55,$O12,$G$8:$G$55)</f>
        <v>6</v>
      </c>
      <c r="R12" s="402">
        <f>P12-Q12</f>
        <v>-2</v>
      </c>
      <c r="S12" s="403">
        <f>SUMIF($D$8:$D$55,$O12,$K$8:$K$55)+SUMIF($F$8:$F$55,$O12,$L$8:$L$55)</f>
        <v>4</v>
      </c>
      <c r="T12" s="446" t="s">
        <v>47</v>
      </c>
      <c r="U12" s="392"/>
      <c r="V12" s="392" t="str">
        <f>O12</f>
        <v>Kameroen</v>
      </c>
      <c r="W12" s="392" t="s">
        <v>50</v>
      </c>
      <c r="Y12" s="109">
        <f t="shared" si="8"/>
        <v>10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10</v>
      </c>
      <c r="AG12" s="108">
        <f t="shared" si="3"/>
        <v>1</v>
      </c>
      <c r="AH12" s="108">
        <f t="shared" si="4"/>
        <v>1</v>
      </c>
      <c r="AI12" s="108">
        <f t="shared" si="10"/>
        <v>10</v>
      </c>
      <c r="AJ12" s="108">
        <f t="shared" si="5"/>
        <v>5</v>
      </c>
      <c r="AK12" s="108">
        <f t="shared" si="6"/>
        <v>0</v>
      </c>
      <c r="AL12" s="108">
        <f t="shared" si="7"/>
        <v>0</v>
      </c>
      <c r="AM12" s="120">
        <f>AO12</f>
        <v>0</v>
      </c>
      <c r="AN12" s="118" t="s">
        <v>12</v>
      </c>
      <c r="AO12" s="115">
        <f>IF(Uitslag!T12="",0,IF(T12=Uitslag!T12,10,0))</f>
        <v>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2</v>
      </c>
      <c r="H13" s="373" t="s">
        <v>9</v>
      </c>
      <c r="I13" s="441">
        <v>0</v>
      </c>
      <c r="J13" s="375">
        <f t="shared" si="0"/>
        <v>1</v>
      </c>
      <c r="K13" s="363">
        <f t="shared" si="1"/>
        <v>3</v>
      </c>
      <c r="L13" s="363">
        <f t="shared" si="2"/>
        <v>0</v>
      </c>
      <c r="O13" s="392"/>
      <c r="P13" s="393"/>
      <c r="Q13" s="393"/>
      <c r="R13" s="393"/>
      <c r="S13" s="393"/>
      <c r="T13" s="393"/>
      <c r="U13" s="392"/>
      <c r="V13" s="392"/>
      <c r="W13" s="392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3"/>
        <v>0</v>
      </c>
      <c r="AH13" s="108">
        <f t="shared" si="4"/>
        <v>0</v>
      </c>
      <c r="AI13" s="108">
        <f t="shared" si="10"/>
        <v>0</v>
      </c>
      <c r="AJ13" s="108">
        <f t="shared" si="5"/>
        <v>0</v>
      </c>
      <c r="AK13" s="108">
        <f t="shared" si="6"/>
        <v>0</v>
      </c>
      <c r="AL13" s="108">
        <f t="shared" si="7"/>
        <v>0</v>
      </c>
      <c r="AN13" s="392"/>
      <c r="AO13" s="393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1</v>
      </c>
      <c r="H14" s="373" t="s">
        <v>9</v>
      </c>
      <c r="I14" s="441">
        <v>2</v>
      </c>
      <c r="J14" s="375">
        <f t="shared" si="0"/>
        <v>2</v>
      </c>
      <c r="K14" s="363">
        <f t="shared" si="1"/>
        <v>0</v>
      </c>
      <c r="L14" s="363">
        <f t="shared" si="2"/>
        <v>3</v>
      </c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392"/>
      <c r="V14" s="392"/>
      <c r="W14" s="392"/>
      <c r="Y14" s="109">
        <f t="shared" si="8"/>
        <v>10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10</v>
      </c>
      <c r="AG14" s="108">
        <f t="shared" si="3"/>
        <v>1</v>
      </c>
      <c r="AH14" s="108">
        <f t="shared" si="4"/>
        <v>1</v>
      </c>
      <c r="AI14" s="108">
        <f t="shared" si="10"/>
        <v>10</v>
      </c>
      <c r="AJ14" s="108">
        <f t="shared" si="5"/>
        <v>0</v>
      </c>
      <c r="AK14" s="108">
        <f t="shared" si="6"/>
        <v>5</v>
      </c>
      <c r="AL14" s="108">
        <f t="shared" si="7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2</v>
      </c>
      <c r="H15" s="379" t="s">
        <v>9</v>
      </c>
      <c r="I15" s="442">
        <v>1</v>
      </c>
      <c r="J15" s="381">
        <f t="shared" si="0"/>
        <v>1</v>
      </c>
      <c r="K15" s="363">
        <f t="shared" si="1"/>
        <v>3</v>
      </c>
      <c r="L15" s="363">
        <f t="shared" si="2"/>
        <v>0</v>
      </c>
      <c r="O15" s="394" t="s">
        <v>13</v>
      </c>
      <c r="P15" s="395">
        <f>SUMIF($D$8:$D$55,$O15,$G$8:$G$55)+SUMIF($F$8:$F$55,$O15,$I$8:$I$55)</f>
        <v>9</v>
      </c>
      <c r="Q15" s="395">
        <f>SUMIF($D$8:$D$55,$O15,$I$8:$I$55)+SUMIF($F$8:$F$55,$O15,$G$8:$G$55)</f>
        <v>2</v>
      </c>
      <c r="R15" s="396">
        <f>P15-Q15</f>
        <v>7</v>
      </c>
      <c r="S15" s="397">
        <f>SUMIF($D$8:$D$55,$O15,$K$8:$K$55)+SUMIF($F$8:$F$55,$O15,$L$8:$L$55)</f>
        <v>9</v>
      </c>
      <c r="T15" s="444" t="s">
        <v>52</v>
      </c>
      <c r="U15" s="392"/>
      <c r="V15" s="392" t="str">
        <f>O15</f>
        <v>Spanje</v>
      </c>
      <c r="W15" s="392" t="s">
        <v>52</v>
      </c>
      <c r="Y15" s="109">
        <f t="shared" si="8"/>
        <v>10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10</v>
      </c>
      <c r="AG15" s="108">
        <f t="shared" si="3"/>
        <v>1</v>
      </c>
      <c r="AH15" s="108">
        <f t="shared" si="4"/>
        <v>1</v>
      </c>
      <c r="AI15" s="108">
        <f t="shared" si="10"/>
        <v>10</v>
      </c>
      <c r="AJ15" s="108">
        <f t="shared" si="5"/>
        <v>5</v>
      </c>
      <c r="AK15" s="108">
        <f t="shared" si="6"/>
        <v>0</v>
      </c>
      <c r="AL15" s="108">
        <f t="shared" si="7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1</v>
      </c>
      <c r="H16" s="367" t="s">
        <v>9</v>
      </c>
      <c r="I16" s="440">
        <v>2</v>
      </c>
      <c r="J16" s="369">
        <f t="shared" si="0"/>
        <v>2</v>
      </c>
      <c r="K16" s="363">
        <f t="shared" si="1"/>
        <v>0</v>
      </c>
      <c r="L16" s="363">
        <f t="shared" si="2"/>
        <v>3</v>
      </c>
      <c r="O16" s="404" t="s">
        <v>14</v>
      </c>
      <c r="P16" s="399">
        <f>SUMIF($D$8:$D$55,$O16,$G$8:$G$55)+SUMIF($F$8:$F$55,$O16,$I$8:$I$55)</f>
        <v>3</v>
      </c>
      <c r="Q16" s="399">
        <f>SUMIF($D$8:$D$55,$O16,$I$8:$I$55)+SUMIF($F$8:$F$55,$O16,$G$8:$G$55)</f>
        <v>7</v>
      </c>
      <c r="R16" s="399">
        <f>P16-Q16</f>
        <v>-4</v>
      </c>
      <c r="S16" s="400">
        <f>SUMIF($D$8:$D$55,$O16,$K$8:$K$55)+SUMIF($F$8:$F$55,$O16,$L$8:$L$55)</f>
        <v>2</v>
      </c>
      <c r="T16" s="445" t="s">
        <v>54</v>
      </c>
      <c r="U16" s="392"/>
      <c r="V16" s="392" t="str">
        <f>O16</f>
        <v>Nederland</v>
      </c>
      <c r="W16" s="392" t="s">
        <v>53</v>
      </c>
      <c r="Y16" s="109">
        <f t="shared" si="8"/>
        <v>0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0</v>
      </c>
      <c r="AG16" s="108">
        <f t="shared" si="3"/>
        <v>0</v>
      </c>
      <c r="AH16" s="108">
        <f t="shared" si="4"/>
        <v>0</v>
      </c>
      <c r="AI16" s="108">
        <f t="shared" si="10"/>
        <v>0</v>
      </c>
      <c r="AJ16" s="108">
        <f t="shared" si="5"/>
        <v>0</v>
      </c>
      <c r="AK16" s="108">
        <f t="shared" si="6"/>
        <v>0</v>
      </c>
      <c r="AL16" s="108">
        <f t="shared" si="7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1</v>
      </c>
      <c r="H17" s="373" t="s">
        <v>9</v>
      </c>
      <c r="I17" s="441">
        <v>1</v>
      </c>
      <c r="J17" s="375">
        <f t="shared" si="0"/>
        <v>3</v>
      </c>
      <c r="K17" s="363">
        <f t="shared" si="1"/>
        <v>1</v>
      </c>
      <c r="L17" s="363">
        <f t="shared" si="2"/>
        <v>1</v>
      </c>
      <c r="O17" s="398" t="s">
        <v>15</v>
      </c>
      <c r="P17" s="399">
        <f>SUMIF($D$8:$D$55,$O17,$G$8:$G$55)+SUMIF($F$8:$F$55,$O17,$I$8:$I$55)</f>
        <v>4</v>
      </c>
      <c r="Q17" s="399">
        <f>SUMIF($D$8:$D$55,$O17,$I$8:$I$55)+SUMIF($F$8:$F$55,$O17,$G$8:$G$55)</f>
        <v>3</v>
      </c>
      <c r="R17" s="399">
        <f>P17-Q17</f>
        <v>1</v>
      </c>
      <c r="S17" s="400">
        <f>SUMIF($D$8:$D$55,$O17,$K$8:$K$55)+SUMIF($F$8:$F$55,$O17,$L$8:$L$55)</f>
        <v>4</v>
      </c>
      <c r="T17" s="445" t="s">
        <v>53</v>
      </c>
      <c r="U17" s="392"/>
      <c r="V17" s="392" t="str">
        <f>O17</f>
        <v>Chili</v>
      </c>
      <c r="W17" s="392" t="s">
        <v>54</v>
      </c>
      <c r="Y17" s="109">
        <f t="shared" si="8"/>
        <v>0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0</v>
      </c>
      <c r="AG17" s="108">
        <f t="shared" si="3"/>
        <v>0</v>
      </c>
      <c r="AH17" s="108">
        <f t="shared" si="4"/>
        <v>0</v>
      </c>
      <c r="AI17" s="108">
        <f t="shared" si="10"/>
        <v>0</v>
      </c>
      <c r="AJ17" s="108">
        <f t="shared" si="5"/>
        <v>0</v>
      </c>
      <c r="AK17" s="108">
        <f t="shared" si="6"/>
        <v>0</v>
      </c>
      <c r="AL17" s="108">
        <f t="shared" si="7"/>
        <v>0</v>
      </c>
      <c r="AM17" s="120">
        <f>AO17</f>
        <v>10</v>
      </c>
      <c r="AN17" s="117" t="s">
        <v>15</v>
      </c>
      <c r="AO17" s="115">
        <f>IF(Uitslag!T17="",0,IF(T17=Uitslag!T17,10,0))</f>
        <v>10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3</v>
      </c>
      <c r="H18" s="379" t="s">
        <v>9</v>
      </c>
      <c r="I18" s="442">
        <v>0</v>
      </c>
      <c r="J18" s="381">
        <f t="shared" si="0"/>
        <v>1</v>
      </c>
      <c r="K18" s="363">
        <f t="shared" si="1"/>
        <v>3</v>
      </c>
      <c r="L18" s="363">
        <f t="shared" si="2"/>
        <v>0</v>
      </c>
      <c r="O18" s="401" t="s">
        <v>16</v>
      </c>
      <c r="P18" s="402">
        <f>SUMIF($D$8:$D$55,$O18,$G$8:$G$55)+SUMIF($F$8:$F$55,$O18,$I$8:$I$55)</f>
        <v>3</v>
      </c>
      <c r="Q18" s="402">
        <f>SUMIF($D$8:$D$55,$O18,$I$8:$I$55)+SUMIF($F$8:$F$55,$O18,$G$8:$G$55)</f>
        <v>7</v>
      </c>
      <c r="R18" s="402">
        <f>P18-Q18</f>
        <v>-4</v>
      </c>
      <c r="S18" s="403">
        <f>SUMIF($D$8:$D$55,$O18,$K$8:$K$55)+SUMIF($F$8:$F$55,$O18,$L$8:$L$55)</f>
        <v>1</v>
      </c>
      <c r="T18" s="446" t="s">
        <v>55</v>
      </c>
      <c r="U18" s="392"/>
      <c r="V18" s="392" t="str">
        <f>O18</f>
        <v>Australië</v>
      </c>
      <c r="W18" s="392" t="s">
        <v>55</v>
      </c>
      <c r="Y18" s="109">
        <f t="shared" si="8"/>
        <v>5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5</v>
      </c>
      <c r="AG18" s="108">
        <f t="shared" si="3"/>
        <v>0</v>
      </c>
      <c r="AH18" s="108">
        <f t="shared" si="4"/>
        <v>0</v>
      </c>
      <c r="AI18" s="108">
        <f t="shared" si="10"/>
        <v>0</v>
      </c>
      <c r="AJ18" s="108">
        <f t="shared" si="5"/>
        <v>5</v>
      </c>
      <c r="AK18" s="108">
        <f t="shared" si="6"/>
        <v>0</v>
      </c>
      <c r="AL18" s="108">
        <f t="shared" si="7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2</v>
      </c>
      <c r="H19" s="367" t="s">
        <v>9</v>
      </c>
      <c r="I19" s="440">
        <v>1</v>
      </c>
      <c r="J19" s="369">
        <f t="shared" si="0"/>
        <v>1</v>
      </c>
      <c r="K19" s="363">
        <f t="shared" si="1"/>
        <v>3</v>
      </c>
      <c r="L19" s="363">
        <f t="shared" si="2"/>
        <v>0</v>
      </c>
      <c r="O19" s="392"/>
      <c r="P19" s="393"/>
      <c r="Q19" s="393"/>
      <c r="R19" s="393"/>
      <c r="S19" s="393"/>
      <c r="T19" s="393"/>
      <c r="U19" s="392"/>
      <c r="V19" s="392"/>
      <c r="W19" s="392"/>
      <c r="Y19" s="109">
        <f t="shared" si="8"/>
        <v>5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5</v>
      </c>
      <c r="AG19" s="108">
        <f t="shared" si="3"/>
        <v>0</v>
      </c>
      <c r="AH19" s="108">
        <f t="shared" si="4"/>
        <v>0</v>
      </c>
      <c r="AI19" s="108">
        <f t="shared" si="10"/>
        <v>0</v>
      </c>
      <c r="AJ19" s="108">
        <f t="shared" si="5"/>
        <v>5</v>
      </c>
      <c r="AK19" s="108">
        <f t="shared" si="6"/>
        <v>0</v>
      </c>
      <c r="AL19" s="108">
        <f t="shared" si="7"/>
        <v>0</v>
      </c>
      <c r="AN19" s="392"/>
      <c r="AO19" s="393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1</v>
      </c>
      <c r="H20" s="373" t="s">
        <v>9</v>
      </c>
      <c r="I20" s="441">
        <v>1</v>
      </c>
      <c r="J20" s="375">
        <f t="shared" si="0"/>
        <v>3</v>
      </c>
      <c r="K20" s="363">
        <f t="shared" si="1"/>
        <v>1</v>
      </c>
      <c r="L20" s="363">
        <f t="shared" si="2"/>
        <v>1</v>
      </c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392"/>
      <c r="V20" s="392"/>
      <c r="W20" s="392"/>
      <c r="Y20" s="109">
        <f t="shared" si="8"/>
        <v>5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5</v>
      </c>
      <c r="AG20" s="108">
        <f t="shared" si="3"/>
        <v>0</v>
      </c>
      <c r="AH20" s="108">
        <f t="shared" si="4"/>
        <v>0</v>
      </c>
      <c r="AI20" s="108">
        <f t="shared" si="10"/>
        <v>0</v>
      </c>
      <c r="AJ20" s="108">
        <f t="shared" si="5"/>
        <v>0</v>
      </c>
      <c r="AK20" s="108">
        <f t="shared" si="6"/>
        <v>0</v>
      </c>
      <c r="AL20" s="108">
        <f t="shared" si="7"/>
        <v>5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2</v>
      </c>
      <c r="H21" s="379" t="s">
        <v>9</v>
      </c>
      <c r="I21" s="442">
        <v>0</v>
      </c>
      <c r="J21" s="381">
        <f t="shared" si="0"/>
        <v>1</v>
      </c>
      <c r="K21" s="363">
        <f t="shared" si="1"/>
        <v>3</v>
      </c>
      <c r="L21" s="363">
        <f t="shared" si="2"/>
        <v>0</v>
      </c>
      <c r="O21" s="394" t="s">
        <v>17</v>
      </c>
      <c r="P21" s="395">
        <f>SUMIF($D$8:$D$55,$O21,$G$8:$G$55)+SUMIF($F$8:$F$55,$O21,$I$8:$I$55)</f>
        <v>7</v>
      </c>
      <c r="Q21" s="395">
        <f>SUMIF($D$8:$D$55,$O21,$I$8:$I$55)+SUMIF($F$8:$F$55,$O21,$G$8:$G$55)</f>
        <v>3</v>
      </c>
      <c r="R21" s="396">
        <f>P21-Q21</f>
        <v>4</v>
      </c>
      <c r="S21" s="397">
        <f>SUMIF($D$8:$D$55,$O21,$K$8:$K$55)+SUMIF($F$8:$F$55,$O21,$L$8:$L$55)</f>
        <v>7</v>
      </c>
      <c r="T21" s="444" t="s">
        <v>57</v>
      </c>
      <c r="U21" s="392"/>
      <c r="V21" s="392" t="str">
        <f>O21</f>
        <v>Colombia</v>
      </c>
      <c r="W21" s="392" t="s">
        <v>57</v>
      </c>
      <c r="Y21" s="109">
        <f t="shared" si="8"/>
        <v>0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0</v>
      </c>
      <c r="AG21" s="108">
        <f t="shared" si="3"/>
        <v>0</v>
      </c>
      <c r="AH21" s="108">
        <f t="shared" si="4"/>
        <v>0</v>
      </c>
      <c r="AI21" s="108">
        <f t="shared" si="10"/>
        <v>0</v>
      </c>
      <c r="AJ21" s="108">
        <f t="shared" si="5"/>
        <v>0</v>
      </c>
      <c r="AK21" s="108">
        <f t="shared" si="6"/>
        <v>0</v>
      </c>
      <c r="AL21" s="108">
        <f t="shared" si="7"/>
        <v>0</v>
      </c>
      <c r="AM21" s="120">
        <f>AO21</f>
        <v>10</v>
      </c>
      <c r="AN21" s="116" t="s">
        <v>17</v>
      </c>
      <c r="AO21" s="115">
        <f>IF(Uitslag!T21="",0,IF(T21=Uitslag!T21,10,0))</f>
        <v>10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3</v>
      </c>
      <c r="H22" s="367" t="s">
        <v>9</v>
      </c>
      <c r="I22" s="440">
        <v>1</v>
      </c>
      <c r="J22" s="369">
        <f t="shared" si="0"/>
        <v>1</v>
      </c>
      <c r="K22" s="363">
        <f t="shared" si="1"/>
        <v>3</v>
      </c>
      <c r="L22" s="363">
        <f t="shared" si="2"/>
        <v>0</v>
      </c>
      <c r="O22" s="398" t="s">
        <v>18</v>
      </c>
      <c r="P22" s="399">
        <f>SUMIF($D$8:$D$55,$O22,$G$8:$G$55)+SUMIF($F$8:$F$55,$O22,$I$8:$I$55)</f>
        <v>2</v>
      </c>
      <c r="Q22" s="399">
        <f>SUMIF($D$8:$D$55,$O22,$I$8:$I$55)+SUMIF($F$8:$F$55,$O22,$G$8:$G$55)</f>
        <v>7</v>
      </c>
      <c r="R22" s="399">
        <f>P22-Q22</f>
        <v>-5</v>
      </c>
      <c r="S22" s="400">
        <f>SUMIF($D$8:$D$55,$O22,$K$8:$K$55)+SUMIF($F$8:$F$55,$O22,$L$8:$L$55)</f>
        <v>1</v>
      </c>
      <c r="T22" s="445" t="s">
        <v>60</v>
      </c>
      <c r="U22" s="392"/>
      <c r="V22" s="392" t="str">
        <f>O22</f>
        <v>Griekenland</v>
      </c>
      <c r="W22" s="392" t="s">
        <v>58</v>
      </c>
      <c r="Y22" s="109">
        <f t="shared" si="8"/>
        <v>6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6</v>
      </c>
      <c r="AG22" s="108">
        <f t="shared" si="3"/>
        <v>0</v>
      </c>
      <c r="AH22" s="108">
        <f t="shared" si="4"/>
        <v>1</v>
      </c>
      <c r="AI22" s="108">
        <f t="shared" si="10"/>
        <v>0</v>
      </c>
      <c r="AJ22" s="108">
        <f t="shared" si="5"/>
        <v>5</v>
      </c>
      <c r="AK22" s="108">
        <f t="shared" si="6"/>
        <v>0</v>
      </c>
      <c r="AL22" s="108">
        <f t="shared" si="7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2</v>
      </c>
      <c r="H23" s="373" t="s">
        <v>9</v>
      </c>
      <c r="I23" s="441">
        <v>2</v>
      </c>
      <c r="J23" s="375">
        <f t="shared" si="0"/>
        <v>3</v>
      </c>
      <c r="K23" s="363">
        <f t="shared" si="1"/>
        <v>1</v>
      </c>
      <c r="L23" s="363">
        <f t="shared" si="2"/>
        <v>1</v>
      </c>
      <c r="O23" s="398" t="s">
        <v>23</v>
      </c>
      <c r="P23" s="399">
        <f>SUMIF($D$8:$D$55,$O23,$G$8:$G$55)+SUMIF($F$8:$F$55,$O23,$I$8:$I$55)</f>
        <v>7</v>
      </c>
      <c r="Q23" s="399">
        <f>SUMIF($D$8:$D$55,$O23,$I$8:$I$55)+SUMIF($F$8:$F$55,$O23,$G$8:$G$55)</f>
        <v>4</v>
      </c>
      <c r="R23" s="399">
        <f>P23-Q23</f>
        <v>3</v>
      </c>
      <c r="S23" s="400">
        <f>SUMIF($D$8:$D$55,$O23,$K$8:$K$55)+SUMIF($F$8:$F$55,$O23,$L$8:$L$55)</f>
        <v>7</v>
      </c>
      <c r="T23" s="445" t="s">
        <v>58</v>
      </c>
      <c r="U23" s="392"/>
      <c r="V23" s="392" t="str">
        <f>O23</f>
        <v>Ivoorkust</v>
      </c>
      <c r="W23" s="392" t="s">
        <v>59</v>
      </c>
      <c r="Y23" s="109">
        <f t="shared" si="8"/>
        <v>5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5</v>
      </c>
      <c r="AG23" s="108">
        <f t="shared" si="3"/>
        <v>0</v>
      </c>
      <c r="AH23" s="108">
        <f t="shared" si="4"/>
        <v>0</v>
      </c>
      <c r="AI23" s="108">
        <f t="shared" si="10"/>
        <v>0</v>
      </c>
      <c r="AJ23" s="108">
        <f t="shared" si="5"/>
        <v>0</v>
      </c>
      <c r="AK23" s="108">
        <f t="shared" si="6"/>
        <v>0</v>
      </c>
      <c r="AL23" s="108">
        <f t="shared" si="7"/>
        <v>5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1</v>
      </c>
      <c r="H24" s="379" t="s">
        <v>9</v>
      </c>
      <c r="I24" s="442">
        <v>1</v>
      </c>
      <c r="J24" s="381">
        <f t="shared" si="0"/>
        <v>3</v>
      </c>
      <c r="K24" s="363">
        <f t="shared" si="1"/>
        <v>1</v>
      </c>
      <c r="L24" s="363">
        <f t="shared" si="2"/>
        <v>1</v>
      </c>
      <c r="O24" s="401" t="s">
        <v>24</v>
      </c>
      <c r="P24" s="402">
        <f>SUMIF($D$8:$D$55,$O24,$G$8:$G$55)+SUMIF($F$8:$F$55,$O24,$I$8:$I$55)</f>
        <v>3</v>
      </c>
      <c r="Q24" s="402">
        <f>SUMIF($D$8:$D$55,$O24,$I$8:$I$55)+SUMIF($F$8:$F$55,$O24,$G$8:$G$55)</f>
        <v>5</v>
      </c>
      <c r="R24" s="402">
        <f>P24-Q24</f>
        <v>-2</v>
      </c>
      <c r="S24" s="403">
        <f>SUMIF($D$8:$D$55,$O24,$K$8:$K$55)+SUMIF($F$8:$F$55,$O24,$L$8:$L$55)</f>
        <v>1</v>
      </c>
      <c r="T24" s="446" t="s">
        <v>59</v>
      </c>
      <c r="U24" s="392"/>
      <c r="V24" s="392" t="str">
        <f>O24</f>
        <v>Japan</v>
      </c>
      <c r="W24" s="392" t="s">
        <v>60</v>
      </c>
      <c r="Y24" s="109">
        <f t="shared" si="8"/>
        <v>10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10</v>
      </c>
      <c r="AG24" s="108">
        <f t="shared" si="3"/>
        <v>1</v>
      </c>
      <c r="AH24" s="108">
        <f t="shared" si="4"/>
        <v>1</v>
      </c>
      <c r="AI24" s="108">
        <f t="shared" si="10"/>
        <v>10</v>
      </c>
      <c r="AJ24" s="108">
        <f t="shared" si="5"/>
        <v>0</v>
      </c>
      <c r="AK24" s="108">
        <f t="shared" si="6"/>
        <v>0</v>
      </c>
      <c r="AL24" s="108">
        <f t="shared" si="7"/>
        <v>5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2</v>
      </c>
      <c r="H25" s="367" t="s">
        <v>9</v>
      </c>
      <c r="I25" s="440">
        <v>2</v>
      </c>
      <c r="J25" s="369">
        <f t="shared" si="0"/>
        <v>3</v>
      </c>
      <c r="K25" s="363">
        <f t="shared" si="1"/>
        <v>1</v>
      </c>
      <c r="L25" s="363">
        <f t="shared" si="2"/>
        <v>1</v>
      </c>
      <c r="O25" s="392"/>
      <c r="P25" s="393"/>
      <c r="Q25" s="393"/>
      <c r="R25" s="393"/>
      <c r="S25" s="393"/>
      <c r="T25" s="393"/>
      <c r="U25" s="392"/>
      <c r="V25" s="392"/>
      <c r="W25" s="392"/>
      <c r="Y25" s="109">
        <f t="shared" si="8"/>
        <v>1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1</v>
      </c>
      <c r="AG25" s="108">
        <f t="shared" si="3"/>
        <v>1</v>
      </c>
      <c r="AH25" s="108">
        <f t="shared" si="4"/>
        <v>0</v>
      </c>
      <c r="AI25" s="108">
        <f t="shared" si="10"/>
        <v>0</v>
      </c>
      <c r="AJ25" s="108">
        <f t="shared" si="5"/>
        <v>0</v>
      </c>
      <c r="AK25" s="108">
        <f t="shared" si="6"/>
        <v>0</v>
      </c>
      <c r="AL25" s="108">
        <f t="shared" si="7"/>
        <v>0</v>
      </c>
      <c r="AN25" s="392"/>
      <c r="AO25" s="393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2</v>
      </c>
      <c r="H26" s="373" t="s">
        <v>9</v>
      </c>
      <c r="I26" s="441">
        <v>1</v>
      </c>
      <c r="J26" s="375">
        <f t="shared" si="0"/>
        <v>1</v>
      </c>
      <c r="K26" s="363">
        <f t="shared" si="1"/>
        <v>3</v>
      </c>
      <c r="L26" s="363">
        <f t="shared" si="2"/>
        <v>0</v>
      </c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392"/>
      <c r="V26" s="392"/>
      <c r="W26" s="392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3"/>
        <v>0</v>
      </c>
      <c r="AH26" s="108">
        <f t="shared" si="4"/>
        <v>0</v>
      </c>
      <c r="AI26" s="108">
        <f t="shared" si="10"/>
        <v>0</v>
      </c>
      <c r="AJ26" s="108">
        <f t="shared" si="5"/>
        <v>0</v>
      </c>
      <c r="AK26" s="108">
        <f t="shared" si="6"/>
        <v>0</v>
      </c>
      <c r="AL26" s="108">
        <f t="shared" si="7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2</v>
      </c>
      <c r="H27" s="379" t="s">
        <v>9</v>
      </c>
      <c r="I27" s="442">
        <v>1</v>
      </c>
      <c r="J27" s="381">
        <f t="shared" si="0"/>
        <v>1</v>
      </c>
      <c r="K27" s="363">
        <f t="shared" si="1"/>
        <v>3</v>
      </c>
      <c r="L27" s="363">
        <f t="shared" si="2"/>
        <v>0</v>
      </c>
      <c r="O27" s="394" t="s">
        <v>19</v>
      </c>
      <c r="P27" s="395">
        <f>SUMIF($D$8:$D$55,$O27,$G$8:$G$55)+SUMIF($F$8:$F$55,$O27,$I$8:$I$55)</f>
        <v>6</v>
      </c>
      <c r="Q27" s="395">
        <f>SUMIF($D$8:$D$55,$O27,$I$8:$I$55)+SUMIF($F$8:$F$55,$O27,$G$8:$G$55)</f>
        <v>2</v>
      </c>
      <c r="R27" s="396">
        <f>P27-Q27</f>
        <v>4</v>
      </c>
      <c r="S27" s="397">
        <f>SUMIF($D$8:$D$55,$O27,$K$8:$K$55)+SUMIF($F$8:$F$55,$O27,$L$8:$L$55)</f>
        <v>9</v>
      </c>
      <c r="T27" s="444" t="s">
        <v>62</v>
      </c>
      <c r="U27" s="392"/>
      <c r="V27" s="392" t="str">
        <f>O27</f>
        <v>Uruguay</v>
      </c>
      <c r="W27" s="392" t="s">
        <v>62</v>
      </c>
      <c r="Y27" s="109">
        <f t="shared" si="8"/>
        <v>0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0</v>
      </c>
      <c r="AG27" s="108">
        <f t="shared" si="3"/>
        <v>0</v>
      </c>
      <c r="AH27" s="108">
        <f t="shared" si="4"/>
        <v>0</v>
      </c>
      <c r="AI27" s="108">
        <f t="shared" si="10"/>
        <v>0</v>
      </c>
      <c r="AJ27" s="108">
        <f t="shared" si="5"/>
        <v>0</v>
      </c>
      <c r="AK27" s="108">
        <f t="shared" si="6"/>
        <v>0</v>
      </c>
      <c r="AL27" s="108">
        <f t="shared" si="7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2</v>
      </c>
      <c r="H28" s="367" t="s">
        <v>9</v>
      </c>
      <c r="I28" s="440">
        <v>2</v>
      </c>
      <c r="J28" s="369">
        <f t="shared" si="0"/>
        <v>3</v>
      </c>
      <c r="K28" s="363">
        <f t="shared" si="1"/>
        <v>1</v>
      </c>
      <c r="L28" s="363">
        <f t="shared" si="2"/>
        <v>1</v>
      </c>
      <c r="O28" s="398" t="s">
        <v>20</v>
      </c>
      <c r="P28" s="399">
        <f>SUMIF($D$8:$D$55,$O28,$G$8:$G$55)+SUMIF($F$8:$F$55,$O28,$I$8:$I$55)</f>
        <v>2</v>
      </c>
      <c r="Q28" s="399">
        <f>SUMIF($D$8:$D$55,$O28,$I$8:$I$55)+SUMIF($F$8:$F$55,$O28,$G$8:$G$55)</f>
        <v>6</v>
      </c>
      <c r="R28" s="399">
        <f>P28-Q28</f>
        <v>-4</v>
      </c>
      <c r="S28" s="400">
        <f>SUMIF($D$8:$D$55,$O28,$K$8:$K$55)+SUMIF($F$8:$F$55,$O28,$L$8:$L$55)</f>
        <v>0</v>
      </c>
      <c r="T28" s="445" t="s">
        <v>65</v>
      </c>
      <c r="U28" s="392"/>
      <c r="V28" s="392" t="str">
        <f>O28</f>
        <v>Costa Rica</v>
      </c>
      <c r="W28" s="392" t="s">
        <v>63</v>
      </c>
      <c r="Y28" s="109">
        <f t="shared" si="8"/>
        <v>1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1</v>
      </c>
      <c r="AG28" s="108">
        <f t="shared" si="3"/>
        <v>1</v>
      </c>
      <c r="AH28" s="108">
        <f t="shared" si="4"/>
        <v>0</v>
      </c>
      <c r="AI28" s="108">
        <f t="shared" si="10"/>
        <v>0</v>
      </c>
      <c r="AJ28" s="108">
        <f t="shared" si="5"/>
        <v>0</v>
      </c>
      <c r="AK28" s="108">
        <f t="shared" si="6"/>
        <v>0</v>
      </c>
      <c r="AL28" s="108">
        <f t="shared" si="7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2</v>
      </c>
      <c r="H29" s="373" t="s">
        <v>9</v>
      </c>
      <c r="I29" s="441">
        <v>1</v>
      </c>
      <c r="J29" s="375">
        <f t="shared" si="0"/>
        <v>1</v>
      </c>
      <c r="K29" s="363">
        <f t="shared" si="1"/>
        <v>3</v>
      </c>
      <c r="L29" s="363">
        <f t="shared" si="2"/>
        <v>0</v>
      </c>
      <c r="O29" s="398" t="s">
        <v>21</v>
      </c>
      <c r="P29" s="399">
        <f>SUMIF($D$8:$D$55,$O29,$G$8:$G$55)+SUMIF($F$8:$F$55,$O29,$I$8:$I$55)</f>
        <v>4</v>
      </c>
      <c r="Q29" s="399">
        <f>SUMIF($D$8:$D$55,$O29,$I$8:$I$55)+SUMIF($F$8:$F$55,$O29,$G$8:$G$55)</f>
        <v>5</v>
      </c>
      <c r="R29" s="399">
        <f>P29-Q29</f>
        <v>-1</v>
      </c>
      <c r="S29" s="400">
        <f>SUMIF($D$8:$D$55,$O29,$K$8:$K$55)+SUMIF($F$8:$F$55,$O29,$L$8:$L$55)</f>
        <v>3</v>
      </c>
      <c r="T29" s="445" t="s">
        <v>64</v>
      </c>
      <c r="U29" s="392"/>
      <c r="V29" s="392" t="str">
        <f>O29</f>
        <v>Engeland</v>
      </c>
      <c r="W29" s="392" t="s">
        <v>64</v>
      </c>
      <c r="Y29" s="109">
        <f t="shared" si="8"/>
        <v>10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10</v>
      </c>
      <c r="AG29" s="108">
        <f t="shared" si="3"/>
        <v>1</v>
      </c>
      <c r="AH29" s="108">
        <f t="shared" si="4"/>
        <v>1</v>
      </c>
      <c r="AI29" s="108">
        <f t="shared" si="10"/>
        <v>10</v>
      </c>
      <c r="AJ29" s="108">
        <f t="shared" si="5"/>
        <v>5</v>
      </c>
      <c r="AK29" s="108">
        <f t="shared" si="6"/>
        <v>0</v>
      </c>
      <c r="AL29" s="108">
        <f t="shared" si="7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1</v>
      </c>
      <c r="H30" s="379" t="s">
        <v>9</v>
      </c>
      <c r="I30" s="442">
        <v>1</v>
      </c>
      <c r="J30" s="381">
        <f t="shared" si="0"/>
        <v>3</v>
      </c>
      <c r="K30" s="363">
        <f t="shared" si="1"/>
        <v>1</v>
      </c>
      <c r="L30" s="363">
        <f t="shared" si="2"/>
        <v>1</v>
      </c>
      <c r="O30" s="401" t="s">
        <v>22</v>
      </c>
      <c r="P30" s="402">
        <f>SUMIF($D$8:$D$55,$O30,$G$8:$G$55)+SUMIF($F$8:$F$55,$O30,$I$8:$I$55)</f>
        <v>5</v>
      </c>
      <c r="Q30" s="402">
        <f>SUMIF($D$8:$D$55,$O30,$I$8:$I$55)+SUMIF($F$8:$F$55,$O30,$G$8:$G$55)</f>
        <v>4</v>
      </c>
      <c r="R30" s="402">
        <f>P30-Q30</f>
        <v>1</v>
      </c>
      <c r="S30" s="403">
        <f>SUMIF($D$8:$D$55,$O30,$K$8:$K$55)+SUMIF($F$8:$F$55,$O30,$L$8:$L$55)</f>
        <v>6</v>
      </c>
      <c r="T30" s="446" t="s">
        <v>63</v>
      </c>
      <c r="U30" s="392"/>
      <c r="V30" s="392" t="str">
        <f>O30</f>
        <v>Italië</v>
      </c>
      <c r="W30" s="392" t="s">
        <v>65</v>
      </c>
      <c r="Y30" s="109">
        <f t="shared" si="8"/>
        <v>5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5</v>
      </c>
      <c r="AG30" s="108">
        <f t="shared" si="3"/>
        <v>0</v>
      </c>
      <c r="AH30" s="108">
        <f t="shared" si="4"/>
        <v>0</v>
      </c>
      <c r="AI30" s="108">
        <f t="shared" si="10"/>
        <v>0</v>
      </c>
      <c r="AJ30" s="108">
        <f t="shared" si="5"/>
        <v>0</v>
      </c>
      <c r="AK30" s="108">
        <f t="shared" si="6"/>
        <v>0</v>
      </c>
      <c r="AL30" s="108">
        <f t="shared" si="7"/>
        <v>5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2</v>
      </c>
      <c r="H31" s="367" t="s">
        <v>9</v>
      </c>
      <c r="I31" s="440">
        <v>1</v>
      </c>
      <c r="J31" s="369">
        <f t="shared" si="0"/>
        <v>1</v>
      </c>
      <c r="K31" s="363">
        <f t="shared" si="1"/>
        <v>3</v>
      </c>
      <c r="L31" s="363">
        <f t="shared" si="2"/>
        <v>0</v>
      </c>
      <c r="O31" s="392"/>
      <c r="P31" s="393"/>
      <c r="Q31" s="393"/>
      <c r="R31" s="393"/>
      <c r="S31" s="393"/>
      <c r="T31" s="393"/>
      <c r="U31" s="392"/>
      <c r="V31" s="392"/>
      <c r="W31" s="392"/>
      <c r="Y31" s="109">
        <f t="shared" si="8"/>
        <v>1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1</v>
      </c>
      <c r="AG31" s="108">
        <f t="shared" si="3"/>
        <v>0</v>
      </c>
      <c r="AH31" s="108">
        <f t="shared" si="4"/>
        <v>1</v>
      </c>
      <c r="AI31" s="108">
        <f t="shared" si="10"/>
        <v>0</v>
      </c>
      <c r="AJ31" s="108">
        <f t="shared" si="5"/>
        <v>0</v>
      </c>
      <c r="AK31" s="108">
        <f t="shared" si="6"/>
        <v>0</v>
      </c>
      <c r="AL31" s="108">
        <f t="shared" si="7"/>
        <v>0</v>
      </c>
      <c r="AN31" s="392"/>
      <c r="AO31" s="393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1</v>
      </c>
      <c r="H32" s="373" t="s">
        <v>9</v>
      </c>
      <c r="I32" s="441">
        <v>3</v>
      </c>
      <c r="J32" s="375">
        <f t="shared" si="0"/>
        <v>2</v>
      </c>
      <c r="K32" s="363">
        <f t="shared" si="1"/>
        <v>0</v>
      </c>
      <c r="L32" s="363">
        <f t="shared" si="2"/>
        <v>3</v>
      </c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392"/>
      <c r="V32" s="392"/>
      <c r="W32" s="392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3"/>
        <v>0</v>
      </c>
      <c r="AH32" s="108">
        <f t="shared" si="4"/>
        <v>0</v>
      </c>
      <c r="AI32" s="108">
        <f t="shared" si="10"/>
        <v>0</v>
      </c>
      <c r="AJ32" s="108">
        <f t="shared" si="5"/>
        <v>0</v>
      </c>
      <c r="AK32" s="108">
        <f t="shared" si="6"/>
        <v>5</v>
      </c>
      <c r="AL32" s="108">
        <f t="shared" si="7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1</v>
      </c>
      <c r="H33" s="379" t="s">
        <v>9</v>
      </c>
      <c r="I33" s="442">
        <v>2</v>
      </c>
      <c r="J33" s="381">
        <f t="shared" si="0"/>
        <v>2</v>
      </c>
      <c r="K33" s="363">
        <f t="shared" si="1"/>
        <v>0</v>
      </c>
      <c r="L33" s="363">
        <f t="shared" si="2"/>
        <v>3</v>
      </c>
      <c r="O33" s="394" t="s">
        <v>25</v>
      </c>
      <c r="P33" s="395">
        <f>SUMIF($D$8:$D$55,$O33,$G$8:$G$55)+SUMIF($F$8:$F$55,$O33,$I$8:$I$55)</f>
        <v>3</v>
      </c>
      <c r="Q33" s="395">
        <f>SUMIF($D$8:$D$55,$O33,$I$8:$I$55)+SUMIF($F$8:$F$55,$O33,$G$8:$G$55)</f>
        <v>6</v>
      </c>
      <c r="R33" s="396">
        <f>P33-Q33</f>
        <v>-3</v>
      </c>
      <c r="S33" s="397">
        <f>SUMIF($D$8:$D$55,$O33,$K$8:$K$55)+SUMIF($F$8:$F$55,$O33,$L$8:$L$55)</f>
        <v>1</v>
      </c>
      <c r="T33" s="444" t="s">
        <v>70</v>
      </c>
      <c r="U33" s="392"/>
      <c r="V33" s="392" t="str">
        <f>O33</f>
        <v>Zwitserland</v>
      </c>
      <c r="W33" s="392" t="s">
        <v>67</v>
      </c>
      <c r="Y33" s="109">
        <f t="shared" si="8"/>
        <v>10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10</v>
      </c>
      <c r="AG33" s="108">
        <f t="shared" si="3"/>
        <v>1</v>
      </c>
      <c r="AH33" s="108">
        <f t="shared" si="4"/>
        <v>1</v>
      </c>
      <c r="AI33" s="108">
        <f t="shared" si="10"/>
        <v>10</v>
      </c>
      <c r="AJ33" s="108">
        <f t="shared" si="5"/>
        <v>0</v>
      </c>
      <c r="AK33" s="108">
        <f t="shared" si="6"/>
        <v>5</v>
      </c>
      <c r="AL33" s="108">
        <f t="shared" si="7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4</v>
      </c>
      <c r="H34" s="367" t="s">
        <v>9</v>
      </c>
      <c r="I34" s="440">
        <v>0</v>
      </c>
      <c r="J34" s="369">
        <f t="shared" si="0"/>
        <v>1</v>
      </c>
      <c r="K34" s="363">
        <f t="shared" si="1"/>
        <v>3</v>
      </c>
      <c r="L34" s="363">
        <f t="shared" si="2"/>
        <v>0</v>
      </c>
      <c r="O34" s="398" t="s">
        <v>26</v>
      </c>
      <c r="P34" s="399">
        <f>SUMIF($D$8:$D$55,$O34,$G$8:$G$55)+SUMIF($F$8:$F$55,$O34,$I$8:$I$55)</f>
        <v>5</v>
      </c>
      <c r="Q34" s="399">
        <f>SUMIF($D$8:$D$55,$O34,$I$8:$I$55)+SUMIF($F$8:$F$55,$O34,$G$8:$G$55)</f>
        <v>4</v>
      </c>
      <c r="R34" s="399">
        <f>P34-Q34</f>
        <v>1</v>
      </c>
      <c r="S34" s="400">
        <f>SUMIF($D$8:$D$55,$O34,$K$8:$K$55)+SUMIF($F$8:$F$55,$O34,$L$8:$L$55)</f>
        <v>6</v>
      </c>
      <c r="T34" s="445" t="s">
        <v>68</v>
      </c>
      <c r="U34" s="392"/>
      <c r="V34" s="392" t="str">
        <f>O34</f>
        <v>Ecuador</v>
      </c>
      <c r="W34" s="392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3"/>
        <v>0</v>
      </c>
      <c r="AH34" s="108">
        <f t="shared" si="4"/>
        <v>1</v>
      </c>
      <c r="AI34" s="108">
        <f t="shared" si="10"/>
        <v>0</v>
      </c>
      <c r="AJ34" s="108">
        <f t="shared" si="5"/>
        <v>5</v>
      </c>
      <c r="AK34" s="108">
        <f t="shared" si="6"/>
        <v>0</v>
      </c>
      <c r="AL34" s="108">
        <f t="shared" si="7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2</v>
      </c>
      <c r="H35" s="373" t="s">
        <v>9</v>
      </c>
      <c r="I35" s="441">
        <v>0</v>
      </c>
      <c r="J35" s="375">
        <f t="shared" si="0"/>
        <v>1</v>
      </c>
      <c r="K35" s="363">
        <f t="shared" si="1"/>
        <v>3</v>
      </c>
      <c r="L35" s="363">
        <f t="shared" si="2"/>
        <v>0</v>
      </c>
      <c r="O35" s="398" t="s">
        <v>27</v>
      </c>
      <c r="P35" s="399">
        <f>SUMIF($D$8:$D$55,$O35,$G$8:$G$55)+SUMIF($F$8:$F$55,$O35,$I$8:$I$55)</f>
        <v>6</v>
      </c>
      <c r="Q35" s="399">
        <f>SUMIF($D$8:$D$55,$O35,$I$8:$I$55)+SUMIF($F$8:$F$55,$O35,$G$8:$G$55)</f>
        <v>3</v>
      </c>
      <c r="R35" s="399">
        <f>P35-Q35</f>
        <v>3</v>
      </c>
      <c r="S35" s="400">
        <f>SUMIF($D$8:$D$55,$O35,$K$8:$K$55)+SUMIF($F$8:$F$55,$O35,$L$8:$L$55)</f>
        <v>7</v>
      </c>
      <c r="T35" s="445" t="s">
        <v>67</v>
      </c>
      <c r="U35" s="392"/>
      <c r="V35" s="392" t="str">
        <f>O35</f>
        <v>Frankrijk</v>
      </c>
      <c r="W35" s="392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3"/>
        <v>1</v>
      </c>
      <c r="AH35" s="108">
        <f t="shared" si="4"/>
        <v>0</v>
      </c>
      <c r="AI35" s="108">
        <f t="shared" si="10"/>
        <v>0</v>
      </c>
      <c r="AJ35" s="108">
        <f t="shared" si="5"/>
        <v>0</v>
      </c>
      <c r="AK35" s="108">
        <f t="shared" si="6"/>
        <v>0</v>
      </c>
      <c r="AL35" s="108">
        <f t="shared" si="7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3</v>
      </c>
      <c r="H36" s="379" t="s">
        <v>9</v>
      </c>
      <c r="I36" s="442">
        <v>1</v>
      </c>
      <c r="J36" s="381">
        <f t="shared" si="0"/>
        <v>1</v>
      </c>
      <c r="K36" s="363">
        <f t="shared" si="1"/>
        <v>3</v>
      </c>
      <c r="L36" s="363">
        <f t="shared" si="2"/>
        <v>0</v>
      </c>
      <c r="O36" s="401" t="s">
        <v>28</v>
      </c>
      <c r="P36" s="402">
        <f>SUMIF($D$8:$D$55,$O36,$G$8:$G$55)+SUMIF($F$8:$F$55,$O36,$I$8:$I$55)</f>
        <v>3</v>
      </c>
      <c r="Q36" s="402">
        <f>SUMIF($D$8:$D$55,$O36,$I$8:$I$55)+SUMIF($F$8:$F$55,$O36,$G$8:$G$55)</f>
        <v>4</v>
      </c>
      <c r="R36" s="402">
        <f>P36-Q36</f>
        <v>-1</v>
      </c>
      <c r="S36" s="403">
        <f>SUMIF($D$8:$D$55,$O36,$K$8:$K$55)+SUMIF($F$8:$F$55,$O36,$L$8:$L$55)</f>
        <v>2</v>
      </c>
      <c r="T36" s="446" t="s">
        <v>69</v>
      </c>
      <c r="U36" s="392"/>
      <c r="V36" s="392" t="str">
        <f>O36</f>
        <v>Honduras</v>
      </c>
      <c r="W36" s="392" t="s">
        <v>70</v>
      </c>
      <c r="Y36" s="109">
        <f t="shared" si="8"/>
        <v>5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5</v>
      </c>
      <c r="AG36" s="108">
        <f t="shared" si="3"/>
        <v>0</v>
      </c>
      <c r="AH36" s="108">
        <f t="shared" si="4"/>
        <v>0</v>
      </c>
      <c r="AI36" s="108">
        <f t="shared" si="10"/>
        <v>0</v>
      </c>
      <c r="AJ36" s="108">
        <f t="shared" si="5"/>
        <v>5</v>
      </c>
      <c r="AK36" s="108">
        <f t="shared" si="6"/>
        <v>0</v>
      </c>
      <c r="AL36" s="108">
        <f t="shared" si="7"/>
        <v>0</v>
      </c>
      <c r="AM36" s="120">
        <f>AO36</f>
        <v>0</v>
      </c>
      <c r="AN36" s="118" t="s">
        <v>28</v>
      </c>
      <c r="AO36" s="115">
        <f>IF(Uitslag!T36="",0,IF(T36=Uitslag!T36,10,0))</f>
        <v>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2</v>
      </c>
      <c r="H37" s="367" t="s">
        <v>9</v>
      </c>
      <c r="I37" s="440">
        <v>0</v>
      </c>
      <c r="J37" s="369">
        <f t="shared" si="0"/>
        <v>1</v>
      </c>
      <c r="K37" s="363">
        <f t="shared" si="1"/>
        <v>3</v>
      </c>
      <c r="L37" s="363">
        <f t="shared" si="2"/>
        <v>0</v>
      </c>
      <c r="O37" s="392"/>
      <c r="P37" s="393"/>
      <c r="Q37" s="393"/>
      <c r="R37" s="393"/>
      <c r="S37" s="393"/>
      <c r="T37" s="393"/>
      <c r="U37" s="392"/>
      <c r="V37" s="392"/>
      <c r="W37" s="392"/>
      <c r="Y37" s="109">
        <f t="shared" si="8"/>
        <v>6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6</v>
      </c>
      <c r="AG37" s="108">
        <f t="shared" si="3"/>
        <v>0</v>
      </c>
      <c r="AH37" s="108">
        <f t="shared" si="4"/>
        <v>1</v>
      </c>
      <c r="AI37" s="108">
        <f t="shared" si="10"/>
        <v>0</v>
      </c>
      <c r="AJ37" s="108">
        <f t="shared" si="5"/>
        <v>5</v>
      </c>
      <c r="AK37" s="108">
        <f t="shared" si="6"/>
        <v>0</v>
      </c>
      <c r="AL37" s="108">
        <f t="shared" si="7"/>
        <v>0</v>
      </c>
      <c r="AN37" s="392"/>
      <c r="AO37" s="393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1</v>
      </c>
      <c r="H38" s="373" t="s">
        <v>9</v>
      </c>
      <c r="I38" s="441">
        <v>1</v>
      </c>
      <c r="J38" s="375">
        <f t="shared" si="0"/>
        <v>3</v>
      </c>
      <c r="K38" s="363">
        <f t="shared" si="1"/>
        <v>1</v>
      </c>
      <c r="L38" s="363">
        <f t="shared" si="2"/>
        <v>1</v>
      </c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392"/>
      <c r="V38" s="392"/>
      <c r="W38" s="392"/>
      <c r="Y38" s="109">
        <f t="shared" si="8"/>
        <v>0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0</v>
      </c>
      <c r="AG38" s="108">
        <f t="shared" si="3"/>
        <v>0</v>
      </c>
      <c r="AH38" s="108">
        <f t="shared" si="4"/>
        <v>0</v>
      </c>
      <c r="AI38" s="108">
        <f t="shared" si="10"/>
        <v>0</v>
      </c>
      <c r="AJ38" s="108">
        <f t="shared" si="5"/>
        <v>0</v>
      </c>
      <c r="AK38" s="108">
        <f t="shared" si="6"/>
        <v>0</v>
      </c>
      <c r="AL38" s="108">
        <f t="shared" si="7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1</v>
      </c>
      <c r="H39" s="379" t="s">
        <v>9</v>
      </c>
      <c r="I39" s="442">
        <v>3</v>
      </c>
      <c r="J39" s="381">
        <f t="shared" si="0"/>
        <v>2</v>
      </c>
      <c r="K39" s="363">
        <f t="shared" si="1"/>
        <v>0</v>
      </c>
      <c r="L39" s="363">
        <f t="shared" si="2"/>
        <v>3</v>
      </c>
      <c r="O39" s="394" t="s">
        <v>29</v>
      </c>
      <c r="P39" s="395">
        <f>SUMIF($D$8:$D$55,$O39,$G$8:$G$55)+SUMIF($F$8:$F$55,$O39,$I$8:$I$55)</f>
        <v>10</v>
      </c>
      <c r="Q39" s="395">
        <f>SUMIF($D$8:$D$55,$O39,$I$8:$I$55)+SUMIF($F$8:$F$55,$O39,$G$8:$G$55)</f>
        <v>1</v>
      </c>
      <c r="R39" s="396">
        <f>P39-Q39</f>
        <v>9</v>
      </c>
      <c r="S39" s="397">
        <f>SUMIF($D$8:$D$55,$O39,$K$8:$K$55)+SUMIF($F$8:$F$55,$O39,$L$8:$L$55)</f>
        <v>9</v>
      </c>
      <c r="T39" s="444" t="s">
        <v>72</v>
      </c>
      <c r="U39" s="392"/>
      <c r="V39" s="392" t="str">
        <f>O39</f>
        <v>Argentinië</v>
      </c>
      <c r="W39" s="392" t="s">
        <v>72</v>
      </c>
      <c r="Y39" s="109">
        <f t="shared" si="8"/>
        <v>0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0</v>
      </c>
      <c r="AG39" s="108">
        <f t="shared" si="3"/>
        <v>0</v>
      </c>
      <c r="AH39" s="108">
        <f t="shared" si="4"/>
        <v>0</v>
      </c>
      <c r="AI39" s="108">
        <f t="shared" si="10"/>
        <v>0</v>
      </c>
      <c r="AJ39" s="108">
        <f t="shared" si="5"/>
        <v>0</v>
      </c>
      <c r="AK39" s="108">
        <f t="shared" si="6"/>
        <v>0</v>
      </c>
      <c r="AL39" s="108">
        <f t="shared" si="7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1</v>
      </c>
      <c r="H40" s="367" t="s">
        <v>9</v>
      </c>
      <c r="I40" s="440">
        <v>3</v>
      </c>
      <c r="J40" s="369">
        <f t="shared" si="0"/>
        <v>2</v>
      </c>
      <c r="K40" s="363">
        <f t="shared" si="1"/>
        <v>0</v>
      </c>
      <c r="L40" s="363">
        <f t="shared" si="2"/>
        <v>3</v>
      </c>
      <c r="O40" s="398" t="s">
        <v>30</v>
      </c>
      <c r="P40" s="399">
        <f>SUMIF($D$8:$D$55,$O40,$G$8:$G$55)+SUMIF($F$8:$F$55,$O40,$I$8:$I$55)</f>
        <v>2</v>
      </c>
      <c r="Q40" s="399">
        <f>SUMIF($D$8:$D$55,$O40,$I$8:$I$55)+SUMIF($F$8:$F$55,$O40,$G$8:$G$55)</f>
        <v>6</v>
      </c>
      <c r="R40" s="399">
        <f>P40-Q40</f>
        <v>-4</v>
      </c>
      <c r="S40" s="400">
        <f>SUMIF($D$8:$D$55,$O40,$K$8:$K$55)+SUMIF($F$8:$F$55,$O40,$L$8:$L$55)</f>
        <v>3</v>
      </c>
      <c r="T40" s="445" t="s">
        <v>74</v>
      </c>
      <c r="U40" s="392"/>
      <c r="V40" s="392" t="str">
        <f>O40</f>
        <v>Bosnië H.</v>
      </c>
      <c r="W40" s="392" t="s">
        <v>73</v>
      </c>
      <c r="Y40" s="109">
        <f t="shared" si="8"/>
        <v>6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6</v>
      </c>
      <c r="AG40" s="108">
        <f t="shared" si="3"/>
        <v>0</v>
      </c>
      <c r="AH40" s="108">
        <f t="shared" si="4"/>
        <v>1</v>
      </c>
      <c r="AI40" s="108">
        <f t="shared" si="10"/>
        <v>0</v>
      </c>
      <c r="AJ40" s="108">
        <f t="shared" si="5"/>
        <v>0</v>
      </c>
      <c r="AK40" s="108">
        <f t="shared" si="6"/>
        <v>5</v>
      </c>
      <c r="AL40" s="108">
        <f t="shared" si="7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1</v>
      </c>
      <c r="H41" s="373" t="s">
        <v>9</v>
      </c>
      <c r="I41" s="441">
        <v>1</v>
      </c>
      <c r="J41" s="375">
        <f t="shared" si="0"/>
        <v>3</v>
      </c>
      <c r="K41" s="363">
        <f t="shared" si="1"/>
        <v>1</v>
      </c>
      <c r="L41" s="363">
        <f t="shared" si="2"/>
        <v>1</v>
      </c>
      <c r="O41" s="398" t="s">
        <v>33</v>
      </c>
      <c r="P41" s="399">
        <f>SUMIF($D$8:$D$55,$O41,$G$8:$G$55)+SUMIF($F$8:$F$55,$O41,$I$8:$I$55)</f>
        <v>1</v>
      </c>
      <c r="Q41" s="399">
        <f>SUMIF($D$8:$D$55,$O41,$I$8:$I$55)+SUMIF($F$8:$F$55,$O41,$G$8:$G$55)</f>
        <v>6</v>
      </c>
      <c r="R41" s="399">
        <f>P41-Q41</f>
        <v>-5</v>
      </c>
      <c r="S41" s="400">
        <f>SUMIF($D$8:$D$55,$O41,$K$8:$K$55)+SUMIF($F$8:$F$55,$O41,$L$8:$L$55)</f>
        <v>1</v>
      </c>
      <c r="T41" s="445" t="s">
        <v>75</v>
      </c>
      <c r="U41" s="392"/>
      <c r="V41" s="392" t="str">
        <f>O41</f>
        <v>Iran</v>
      </c>
      <c r="W41" s="392" t="s">
        <v>74</v>
      </c>
      <c r="Y41" s="109">
        <f t="shared" si="8"/>
        <v>0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0</v>
      </c>
      <c r="AG41" s="108">
        <f t="shared" si="3"/>
        <v>0</v>
      </c>
      <c r="AH41" s="108">
        <f t="shared" si="4"/>
        <v>0</v>
      </c>
      <c r="AI41" s="108">
        <f t="shared" si="10"/>
        <v>0</v>
      </c>
      <c r="AJ41" s="108">
        <f t="shared" si="5"/>
        <v>0</v>
      </c>
      <c r="AK41" s="108">
        <f t="shared" si="6"/>
        <v>0</v>
      </c>
      <c r="AL41" s="108">
        <f t="shared" si="7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1</v>
      </c>
      <c r="H42" s="373" t="s">
        <v>9</v>
      </c>
      <c r="I42" s="441">
        <v>4</v>
      </c>
      <c r="J42" s="375">
        <f t="shared" si="0"/>
        <v>2</v>
      </c>
      <c r="K42" s="363">
        <f t="shared" si="1"/>
        <v>0</v>
      </c>
      <c r="L42" s="363">
        <f t="shared" si="2"/>
        <v>3</v>
      </c>
      <c r="O42" s="401" t="s">
        <v>34</v>
      </c>
      <c r="P42" s="402">
        <f>SUMIF($D$8:$D$55,$O42,$G$8:$G$55)+SUMIF($F$8:$F$55,$O42,$I$8:$I$55)</f>
        <v>5</v>
      </c>
      <c r="Q42" s="402">
        <f>SUMIF($D$8:$D$55,$O42,$I$8:$I$55)+SUMIF($F$8:$F$55,$O42,$G$8:$G$55)</f>
        <v>5</v>
      </c>
      <c r="R42" s="402">
        <f>P42-Q42</f>
        <v>0</v>
      </c>
      <c r="S42" s="403">
        <f>SUMIF($D$8:$D$55,$O42,$K$8:$K$55)+SUMIF($F$8:$F$55,$O42,$L$8:$L$55)</f>
        <v>4</v>
      </c>
      <c r="T42" s="446" t="s">
        <v>73</v>
      </c>
      <c r="U42" s="392"/>
      <c r="V42" s="392" t="str">
        <f>O42</f>
        <v>Nigeria</v>
      </c>
      <c r="W42" s="392" t="s">
        <v>75</v>
      </c>
      <c r="Y42" s="109">
        <f t="shared" si="8"/>
        <v>10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10</v>
      </c>
      <c r="AG42" s="108">
        <f t="shared" si="3"/>
        <v>1</v>
      </c>
      <c r="AH42" s="108">
        <f t="shared" si="4"/>
        <v>1</v>
      </c>
      <c r="AI42" s="108">
        <f t="shared" si="10"/>
        <v>10</v>
      </c>
      <c r="AJ42" s="108">
        <f t="shared" si="5"/>
        <v>0</v>
      </c>
      <c r="AK42" s="108">
        <f t="shared" si="6"/>
        <v>5</v>
      </c>
      <c r="AL42" s="108">
        <f t="shared" si="7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1</v>
      </c>
      <c r="H43" s="379" t="s">
        <v>9</v>
      </c>
      <c r="I43" s="442">
        <v>2</v>
      </c>
      <c r="J43" s="381">
        <f t="shared" si="0"/>
        <v>2</v>
      </c>
      <c r="K43" s="363">
        <f t="shared" si="1"/>
        <v>0</v>
      </c>
      <c r="L43" s="363">
        <f t="shared" si="2"/>
        <v>3</v>
      </c>
      <c r="O43" s="392"/>
      <c r="P43" s="393"/>
      <c r="Q43" s="393"/>
      <c r="R43" s="393"/>
      <c r="S43" s="393"/>
      <c r="T43" s="393"/>
      <c r="U43" s="392"/>
      <c r="V43" s="392"/>
      <c r="W43" s="392"/>
      <c r="Y43" s="109">
        <f t="shared" si="8"/>
        <v>6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6</v>
      </c>
      <c r="AG43" s="108">
        <f t="shared" si="3"/>
        <v>1</v>
      </c>
      <c r="AH43" s="108">
        <f t="shared" si="4"/>
        <v>0</v>
      </c>
      <c r="AI43" s="108">
        <f t="shared" si="10"/>
        <v>0</v>
      </c>
      <c r="AJ43" s="108">
        <f t="shared" si="5"/>
        <v>0</v>
      </c>
      <c r="AK43" s="108">
        <f t="shared" si="6"/>
        <v>5</v>
      </c>
      <c r="AL43" s="108">
        <f t="shared" si="7"/>
        <v>0</v>
      </c>
      <c r="AN43" s="392"/>
      <c r="AO43" s="393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1</v>
      </c>
      <c r="H44" s="367" t="s">
        <v>9</v>
      </c>
      <c r="I44" s="440">
        <v>2</v>
      </c>
      <c r="J44" s="369">
        <f t="shared" si="0"/>
        <v>2</v>
      </c>
      <c r="K44" s="363">
        <f t="shared" si="1"/>
        <v>0</v>
      </c>
      <c r="L44" s="363">
        <f t="shared" si="2"/>
        <v>3</v>
      </c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392"/>
      <c r="V44" s="392"/>
      <c r="W44" s="392"/>
      <c r="Y44" s="109">
        <f t="shared" si="8"/>
        <v>5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5</v>
      </c>
      <c r="AG44" s="108">
        <f t="shared" si="3"/>
        <v>0</v>
      </c>
      <c r="AH44" s="108">
        <f t="shared" si="4"/>
        <v>0</v>
      </c>
      <c r="AI44" s="108">
        <f t="shared" si="10"/>
        <v>0</v>
      </c>
      <c r="AJ44" s="108">
        <f t="shared" si="5"/>
        <v>0</v>
      </c>
      <c r="AK44" s="108">
        <f t="shared" si="6"/>
        <v>5</v>
      </c>
      <c r="AL44" s="108">
        <f t="shared" si="7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1</v>
      </c>
      <c r="H45" s="373" t="s">
        <v>9</v>
      </c>
      <c r="I45" s="441">
        <v>2</v>
      </c>
      <c r="J45" s="375">
        <f t="shared" si="0"/>
        <v>2</v>
      </c>
      <c r="K45" s="363">
        <f t="shared" si="1"/>
        <v>0</v>
      </c>
      <c r="L45" s="363">
        <f t="shared" si="2"/>
        <v>3</v>
      </c>
      <c r="O45" s="394" t="s">
        <v>31</v>
      </c>
      <c r="P45" s="395">
        <f>SUMIF($D$8:$D$55,$O45,$G$8:$G$55)+SUMIF($F$8:$F$55,$O45,$I$8:$I$55)</f>
        <v>7</v>
      </c>
      <c r="Q45" s="395">
        <f>SUMIF($D$8:$D$55,$O45,$I$8:$I$55)+SUMIF($F$8:$F$55,$O45,$G$8:$G$55)</f>
        <v>2</v>
      </c>
      <c r="R45" s="396">
        <f>P45-Q45</f>
        <v>5</v>
      </c>
      <c r="S45" s="397">
        <f>SUMIF($D$8:$D$55,$O45,$K$8:$K$55)+SUMIF($F$8:$F$55,$O45,$L$8:$L$55)</f>
        <v>9</v>
      </c>
      <c r="T45" s="444" t="s">
        <v>77</v>
      </c>
      <c r="U45" s="392"/>
      <c r="V45" s="392" t="str">
        <f>O45</f>
        <v>Duitsland</v>
      </c>
      <c r="W45" s="392" t="s">
        <v>77</v>
      </c>
      <c r="Y45" s="109">
        <f t="shared" si="8"/>
        <v>0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0</v>
      </c>
      <c r="AG45" s="108">
        <f t="shared" si="3"/>
        <v>0</v>
      </c>
      <c r="AH45" s="108">
        <f t="shared" si="4"/>
        <v>0</v>
      </c>
      <c r="AI45" s="108">
        <f t="shared" si="10"/>
        <v>0</v>
      </c>
      <c r="AJ45" s="108">
        <f t="shared" si="5"/>
        <v>0</v>
      </c>
      <c r="AK45" s="108">
        <f t="shared" si="6"/>
        <v>0</v>
      </c>
      <c r="AL45" s="108">
        <f t="shared" si="7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1</v>
      </c>
      <c r="H46" s="373" t="s">
        <v>9</v>
      </c>
      <c r="I46" s="441">
        <v>2</v>
      </c>
      <c r="J46" s="375">
        <f t="shared" si="0"/>
        <v>2</v>
      </c>
      <c r="K46" s="363">
        <f t="shared" si="1"/>
        <v>0</v>
      </c>
      <c r="L46" s="363">
        <f t="shared" si="2"/>
        <v>3</v>
      </c>
      <c r="O46" s="398" t="s">
        <v>32</v>
      </c>
      <c r="P46" s="399">
        <f>SUMIF($D$8:$D$55,$O46,$G$8:$G$55)+SUMIF($F$8:$F$55,$O46,$I$8:$I$55)</f>
        <v>6</v>
      </c>
      <c r="Q46" s="399">
        <f>SUMIF($D$8:$D$55,$O46,$I$8:$I$55)+SUMIF($F$8:$F$55,$O46,$G$8:$G$55)</f>
        <v>4</v>
      </c>
      <c r="R46" s="399">
        <f>P46-Q46</f>
        <v>2</v>
      </c>
      <c r="S46" s="400">
        <f>SUMIF($D$8:$D$55,$O46,$K$8:$K$55)+SUMIF($F$8:$F$55,$O46,$L$8:$L$55)</f>
        <v>6</v>
      </c>
      <c r="T46" s="445" t="s">
        <v>78</v>
      </c>
      <c r="U46" s="392"/>
      <c r="V46" s="392" t="str">
        <f>O46</f>
        <v>Portugal</v>
      </c>
      <c r="W46" s="392" t="s">
        <v>78</v>
      </c>
      <c r="Y46" s="109">
        <f t="shared" si="8"/>
        <v>6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6</v>
      </c>
      <c r="AG46" s="108">
        <f t="shared" si="3"/>
        <v>1</v>
      </c>
      <c r="AH46" s="108">
        <f t="shared" si="4"/>
        <v>0</v>
      </c>
      <c r="AI46" s="108">
        <f t="shared" si="10"/>
        <v>0</v>
      </c>
      <c r="AJ46" s="108">
        <f t="shared" si="5"/>
        <v>0</v>
      </c>
      <c r="AK46" s="108">
        <f t="shared" si="6"/>
        <v>5</v>
      </c>
      <c r="AL46" s="108">
        <f t="shared" si="7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1</v>
      </c>
      <c r="H47" s="379" t="s">
        <v>9</v>
      </c>
      <c r="I47" s="442">
        <v>3</v>
      </c>
      <c r="J47" s="381">
        <f t="shared" si="0"/>
        <v>2</v>
      </c>
      <c r="K47" s="363">
        <f t="shared" si="1"/>
        <v>0</v>
      </c>
      <c r="L47" s="363">
        <f t="shared" si="2"/>
        <v>3</v>
      </c>
      <c r="O47" s="398" t="s">
        <v>35</v>
      </c>
      <c r="P47" s="399">
        <f>SUMIF($D$8:$D$55,$O47,$G$8:$G$55)+SUMIF($F$8:$F$55,$O47,$I$8:$I$55)</f>
        <v>3</v>
      </c>
      <c r="Q47" s="399">
        <f>SUMIF($D$8:$D$55,$O47,$I$8:$I$55)+SUMIF($F$8:$F$55,$O47,$G$8:$G$55)</f>
        <v>4</v>
      </c>
      <c r="R47" s="399">
        <f>P47-Q47</f>
        <v>-1</v>
      </c>
      <c r="S47" s="400">
        <f>SUMIF($D$8:$D$55,$O47,$K$8:$K$55)+SUMIF($F$8:$F$55,$O47,$L$8:$L$55)</f>
        <v>3</v>
      </c>
      <c r="T47" s="445" t="s">
        <v>79</v>
      </c>
      <c r="U47" s="392"/>
      <c r="V47" s="392" t="str">
        <f>O47</f>
        <v>Ghana</v>
      </c>
      <c r="W47" s="392" t="s">
        <v>79</v>
      </c>
      <c r="Y47" s="109">
        <f t="shared" si="8"/>
        <v>0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0</v>
      </c>
      <c r="AG47" s="108">
        <f t="shared" si="3"/>
        <v>0</v>
      </c>
      <c r="AH47" s="108">
        <f t="shared" si="4"/>
        <v>0</v>
      </c>
      <c r="AI47" s="108">
        <f t="shared" si="10"/>
        <v>0</v>
      </c>
      <c r="AJ47" s="108">
        <f t="shared" si="5"/>
        <v>0</v>
      </c>
      <c r="AK47" s="108">
        <f t="shared" si="6"/>
        <v>0</v>
      </c>
      <c r="AL47" s="108">
        <f t="shared" si="7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1</v>
      </c>
      <c r="H48" s="367" t="s">
        <v>9</v>
      </c>
      <c r="I48" s="440">
        <v>3</v>
      </c>
      <c r="J48" s="369">
        <f t="shared" si="0"/>
        <v>2</v>
      </c>
      <c r="K48" s="363">
        <f t="shared" si="1"/>
        <v>0</v>
      </c>
      <c r="L48" s="363">
        <f t="shared" si="2"/>
        <v>3</v>
      </c>
      <c r="O48" s="401" t="s">
        <v>36</v>
      </c>
      <c r="P48" s="402">
        <f>SUMIF($D$8:$D$55,$O48,$G$8:$G$55)+SUMIF($F$8:$F$55,$O48,$I$8:$I$55)</f>
        <v>2</v>
      </c>
      <c r="Q48" s="402">
        <f>SUMIF($D$8:$D$55,$O48,$I$8:$I$55)+SUMIF($F$8:$F$55,$O48,$G$8:$G$55)</f>
        <v>8</v>
      </c>
      <c r="R48" s="402">
        <f>P48-Q48</f>
        <v>-6</v>
      </c>
      <c r="S48" s="403">
        <f>SUMIF($D$8:$D$55,$O48,$K$8:$K$55)+SUMIF($F$8:$F$55,$O48,$L$8:$L$55)</f>
        <v>0</v>
      </c>
      <c r="T48" s="446" t="s">
        <v>80</v>
      </c>
      <c r="U48" s="392"/>
      <c r="V48" s="392" t="str">
        <f>O48</f>
        <v>Verenigde Staten</v>
      </c>
      <c r="W48" s="392" t="s">
        <v>80</v>
      </c>
      <c r="Y48" s="109">
        <f t="shared" si="8"/>
        <v>6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6</v>
      </c>
      <c r="AG48" s="108">
        <f t="shared" si="3"/>
        <v>0</v>
      </c>
      <c r="AH48" s="108">
        <f t="shared" si="4"/>
        <v>1</v>
      </c>
      <c r="AI48" s="108">
        <f t="shared" si="10"/>
        <v>0</v>
      </c>
      <c r="AJ48" s="108">
        <f t="shared" si="5"/>
        <v>0</v>
      </c>
      <c r="AK48" s="108">
        <f t="shared" si="6"/>
        <v>5</v>
      </c>
      <c r="AL48" s="108">
        <f t="shared" si="7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1</v>
      </c>
      <c r="H49" s="373" t="s">
        <v>9</v>
      </c>
      <c r="I49" s="441">
        <v>0</v>
      </c>
      <c r="J49" s="375">
        <f t="shared" si="0"/>
        <v>1</v>
      </c>
      <c r="K49" s="363">
        <f t="shared" si="1"/>
        <v>3</v>
      </c>
      <c r="L49" s="363">
        <f t="shared" si="2"/>
        <v>0</v>
      </c>
      <c r="O49" s="392"/>
      <c r="P49" s="393"/>
      <c r="Q49" s="393"/>
      <c r="R49" s="393"/>
      <c r="S49" s="393"/>
      <c r="T49" s="393"/>
      <c r="U49" s="392"/>
      <c r="V49" s="392"/>
      <c r="W49" s="392"/>
      <c r="Y49" s="109">
        <f t="shared" si="8"/>
        <v>5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5</v>
      </c>
      <c r="AG49" s="108">
        <f t="shared" si="3"/>
        <v>0</v>
      </c>
      <c r="AH49" s="108">
        <f t="shared" si="4"/>
        <v>0</v>
      </c>
      <c r="AI49" s="108">
        <f t="shared" si="10"/>
        <v>0</v>
      </c>
      <c r="AJ49" s="108">
        <f t="shared" si="5"/>
        <v>5</v>
      </c>
      <c r="AK49" s="108">
        <f t="shared" si="6"/>
        <v>0</v>
      </c>
      <c r="AL49" s="108">
        <f t="shared" si="7"/>
        <v>0</v>
      </c>
      <c r="AN49" s="392"/>
      <c r="AO49" s="393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1</v>
      </c>
      <c r="H50" s="373" t="s">
        <v>9</v>
      </c>
      <c r="I50" s="441">
        <v>1</v>
      </c>
      <c r="J50" s="375">
        <f t="shared" si="0"/>
        <v>3</v>
      </c>
      <c r="K50" s="363">
        <f t="shared" si="1"/>
        <v>1</v>
      </c>
      <c r="L50" s="363">
        <f t="shared" si="2"/>
        <v>1</v>
      </c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392"/>
      <c r="V50" s="392"/>
      <c r="W50" s="392"/>
      <c r="Y50" s="109">
        <f t="shared" si="8"/>
        <v>0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0</v>
      </c>
      <c r="AG50" s="108">
        <f t="shared" si="3"/>
        <v>0</v>
      </c>
      <c r="AH50" s="108">
        <f t="shared" si="4"/>
        <v>0</v>
      </c>
      <c r="AI50" s="108">
        <f t="shared" si="10"/>
        <v>0</v>
      </c>
      <c r="AJ50" s="108">
        <f t="shared" si="5"/>
        <v>0</v>
      </c>
      <c r="AK50" s="108">
        <f t="shared" si="6"/>
        <v>0</v>
      </c>
      <c r="AL50" s="108">
        <f t="shared" si="7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1</v>
      </c>
      <c r="H51" s="379" t="s">
        <v>9</v>
      </c>
      <c r="I51" s="442">
        <v>2</v>
      </c>
      <c r="J51" s="381">
        <f t="shared" si="0"/>
        <v>2</v>
      </c>
      <c r="K51" s="363">
        <f t="shared" si="1"/>
        <v>0</v>
      </c>
      <c r="L51" s="363">
        <f t="shared" si="2"/>
        <v>3</v>
      </c>
      <c r="O51" s="394" t="s">
        <v>37</v>
      </c>
      <c r="P51" s="395">
        <f>SUMIF($D$8:$D$55,$O51,$G$8:$G$55)+SUMIF($F$8:$F$55,$O51,$I$8:$I$55)</f>
        <v>8</v>
      </c>
      <c r="Q51" s="395">
        <f>SUMIF($D$8:$D$55,$O51,$I$8:$I$55)+SUMIF($F$8:$F$55,$O51,$G$8:$G$55)</f>
        <v>2</v>
      </c>
      <c r="R51" s="396">
        <f>P51-Q51</f>
        <v>6</v>
      </c>
      <c r="S51" s="397">
        <f>SUMIF($D$8:$D$55,$O51,$K$8:$K$55)+SUMIF($F$8:$F$55,$O51,$L$8:$L$55)</f>
        <v>9</v>
      </c>
      <c r="T51" s="444" t="s">
        <v>82</v>
      </c>
      <c r="U51" s="392"/>
      <c r="V51" s="392" t="str">
        <f>O51</f>
        <v>België</v>
      </c>
      <c r="W51" s="392" t="s">
        <v>82</v>
      </c>
      <c r="Y51" s="109">
        <f t="shared" si="8"/>
        <v>0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0</v>
      </c>
      <c r="AG51" s="108">
        <f t="shared" si="3"/>
        <v>0</v>
      </c>
      <c r="AH51" s="108">
        <f t="shared" si="4"/>
        <v>0</v>
      </c>
      <c r="AI51" s="108">
        <f t="shared" si="10"/>
        <v>0</v>
      </c>
      <c r="AJ51" s="108">
        <f t="shared" si="5"/>
        <v>0</v>
      </c>
      <c r="AK51" s="108">
        <f t="shared" si="6"/>
        <v>0</v>
      </c>
      <c r="AL51" s="108">
        <f t="shared" si="7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1</v>
      </c>
      <c r="H52" s="373" t="s">
        <v>9</v>
      </c>
      <c r="I52" s="441">
        <v>3</v>
      </c>
      <c r="J52" s="369">
        <f t="shared" si="0"/>
        <v>2</v>
      </c>
      <c r="K52" s="363">
        <f t="shared" si="1"/>
        <v>0</v>
      </c>
      <c r="L52" s="363">
        <f t="shared" si="2"/>
        <v>3</v>
      </c>
      <c r="O52" s="398" t="s">
        <v>38</v>
      </c>
      <c r="P52" s="399">
        <f>SUMIF($D$8:$D$55,$O52,$G$8:$G$55)+SUMIF($F$8:$F$55,$O52,$I$8:$I$55)</f>
        <v>3</v>
      </c>
      <c r="Q52" s="399">
        <f>SUMIF($D$8:$D$55,$O52,$I$8:$I$55)+SUMIF($F$8:$F$55,$O52,$G$8:$G$55)</f>
        <v>6</v>
      </c>
      <c r="R52" s="399">
        <f>P52-Q52</f>
        <v>-3</v>
      </c>
      <c r="S52" s="400">
        <f>SUMIF($D$8:$D$55,$O52,$K$8:$K$55)+SUMIF($F$8:$F$55,$O52,$L$8:$L$55)</f>
        <v>1</v>
      </c>
      <c r="T52" s="445" t="s">
        <v>85</v>
      </c>
      <c r="U52" s="392"/>
      <c r="V52" s="392" t="str">
        <f>O52</f>
        <v>Algerije</v>
      </c>
      <c r="W52" s="392" t="s">
        <v>83</v>
      </c>
      <c r="Y52" s="109">
        <f t="shared" si="8"/>
        <v>5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5</v>
      </c>
      <c r="AG52" s="108">
        <f t="shared" si="3"/>
        <v>0</v>
      </c>
      <c r="AH52" s="108">
        <f t="shared" si="4"/>
        <v>0</v>
      </c>
      <c r="AI52" s="108">
        <f t="shared" si="10"/>
        <v>0</v>
      </c>
      <c r="AJ52" s="108">
        <f t="shared" si="5"/>
        <v>0</v>
      </c>
      <c r="AK52" s="108">
        <f t="shared" si="6"/>
        <v>5</v>
      </c>
      <c r="AL52" s="108">
        <f t="shared" si="7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2</v>
      </c>
      <c r="H53" s="373" t="s">
        <v>9</v>
      </c>
      <c r="I53" s="441">
        <v>1</v>
      </c>
      <c r="J53" s="375">
        <f t="shared" si="0"/>
        <v>1</v>
      </c>
      <c r="K53" s="363">
        <f t="shared" si="1"/>
        <v>3</v>
      </c>
      <c r="L53" s="363">
        <f t="shared" si="2"/>
        <v>0</v>
      </c>
      <c r="O53" s="398" t="s">
        <v>39</v>
      </c>
      <c r="P53" s="399">
        <f>SUMIF($D$8:$D$55,$O53,$G$8:$G$55)+SUMIF($F$8:$F$55,$O53,$I$8:$I$55)</f>
        <v>3</v>
      </c>
      <c r="Q53" s="399">
        <f>SUMIF($D$8:$D$55,$O53,$I$8:$I$55)+SUMIF($F$8:$F$55,$O53,$G$8:$G$55)</f>
        <v>4</v>
      </c>
      <c r="R53" s="399">
        <f>P53-Q53</f>
        <v>-1</v>
      </c>
      <c r="S53" s="400">
        <f>SUMIF($D$8:$D$55,$O53,$K$8:$K$55)+SUMIF($F$8:$F$55,$O53,$L$8:$L$55)</f>
        <v>4</v>
      </c>
      <c r="T53" s="445" t="s">
        <v>83</v>
      </c>
      <c r="U53" s="392"/>
      <c r="V53" s="392" t="str">
        <f>O53</f>
        <v>Rusland</v>
      </c>
      <c r="W53" s="392" t="s">
        <v>84</v>
      </c>
      <c r="Y53" s="109">
        <f t="shared" si="8"/>
        <v>10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10</v>
      </c>
      <c r="AG53" s="108">
        <f t="shared" si="3"/>
        <v>1</v>
      </c>
      <c r="AH53" s="108">
        <f t="shared" si="4"/>
        <v>1</v>
      </c>
      <c r="AI53" s="108">
        <f t="shared" si="10"/>
        <v>10</v>
      </c>
      <c r="AJ53" s="108">
        <f t="shared" si="5"/>
        <v>5</v>
      </c>
      <c r="AK53" s="108">
        <f t="shared" si="6"/>
        <v>0</v>
      </c>
      <c r="AL53" s="108">
        <f t="shared" si="7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1</v>
      </c>
      <c r="H54" s="373" t="s">
        <v>9</v>
      </c>
      <c r="I54" s="441">
        <v>3</v>
      </c>
      <c r="J54" s="375">
        <f t="shared" si="0"/>
        <v>2</v>
      </c>
      <c r="K54" s="363">
        <f t="shared" si="1"/>
        <v>0</v>
      </c>
      <c r="L54" s="363">
        <f t="shared" si="2"/>
        <v>3</v>
      </c>
      <c r="O54" s="401" t="s">
        <v>40</v>
      </c>
      <c r="P54" s="402">
        <f>SUMIF($D$8:$D$55,$O54,$G$8:$G$55)+SUMIF($F$8:$F$55,$O54,$I$8:$I$55)</f>
        <v>3</v>
      </c>
      <c r="Q54" s="402">
        <f>SUMIF($D$8:$D$55,$O54,$I$8:$I$55)+SUMIF($F$8:$F$55,$O54,$G$8:$G$55)</f>
        <v>5</v>
      </c>
      <c r="R54" s="402">
        <f>P54-Q54</f>
        <v>-2</v>
      </c>
      <c r="S54" s="403">
        <f>SUMIF($D$8:$D$55,$O54,$K$8:$K$55)+SUMIF($F$8:$F$55,$O54,$L$8:$L$55)</f>
        <v>2</v>
      </c>
      <c r="T54" s="446" t="s">
        <v>84</v>
      </c>
      <c r="U54" s="392"/>
      <c r="V54" s="392" t="str">
        <f>O54</f>
        <v>Zuid Korea</v>
      </c>
      <c r="W54" s="392" t="s">
        <v>85</v>
      </c>
      <c r="Y54" s="109">
        <f t="shared" si="8"/>
        <v>5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5</v>
      </c>
      <c r="AG54" s="108">
        <f t="shared" si="3"/>
        <v>0</v>
      </c>
      <c r="AH54" s="108">
        <f t="shared" si="4"/>
        <v>0</v>
      </c>
      <c r="AI54" s="108">
        <f t="shared" si="10"/>
        <v>0</v>
      </c>
      <c r="AJ54" s="108">
        <f t="shared" si="5"/>
        <v>0</v>
      </c>
      <c r="AK54" s="108">
        <f t="shared" si="6"/>
        <v>5</v>
      </c>
      <c r="AL54" s="108">
        <f t="shared" si="7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1</v>
      </c>
      <c r="H55" s="388" t="s">
        <v>9</v>
      </c>
      <c r="I55" s="443">
        <v>2</v>
      </c>
      <c r="J55" s="390">
        <f t="shared" si="0"/>
        <v>2</v>
      </c>
      <c r="K55" s="363">
        <f t="shared" si="1"/>
        <v>0</v>
      </c>
      <c r="L55" s="363">
        <f t="shared" si="2"/>
        <v>3</v>
      </c>
      <c r="O55" s="392"/>
      <c r="P55" s="393"/>
      <c r="Q55" s="393"/>
      <c r="R55" s="393"/>
      <c r="S55" s="393"/>
      <c r="T55" s="393"/>
      <c r="U55" s="392"/>
      <c r="V55" s="392"/>
      <c r="W55" s="392"/>
      <c r="Y55" s="109">
        <f t="shared" si="8"/>
        <v>1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</v>
      </c>
      <c r="AG55" s="108">
        <f t="shared" si="3"/>
        <v>1</v>
      </c>
      <c r="AH55" s="108">
        <f t="shared" si="4"/>
        <v>0</v>
      </c>
      <c r="AI55" s="108">
        <f t="shared" si="10"/>
        <v>0</v>
      </c>
      <c r="AJ55" s="108">
        <f t="shared" si="5"/>
        <v>0</v>
      </c>
      <c r="AK55" s="108">
        <f t="shared" si="6"/>
        <v>0</v>
      </c>
      <c r="AL55" s="108">
        <f t="shared" si="7"/>
        <v>0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79"/>
      <c r="K57" s="353"/>
      <c r="L57" s="353"/>
      <c r="M57" s="353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77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O58" s="458">
        <v>1</v>
      </c>
      <c r="P58" s="877" t="s">
        <v>224</v>
      </c>
      <c r="Q58" s="877"/>
      <c r="R58" s="877"/>
      <c r="S58" s="877"/>
      <c r="T58" s="878"/>
      <c r="V58" s="352" t="s">
        <v>132</v>
      </c>
      <c r="W58" s="352" t="s">
        <v>124</v>
      </c>
      <c r="X58" s="352" t="str">
        <f t="shared" ref="X58:X98" si="11">CONCATENATE(W58," ",V58)</f>
        <v>Jeroen Zoet (k)</v>
      </c>
      <c r="Y58" s="113" t="s">
        <v>91</v>
      </c>
      <c r="Z58" s="352" t="str">
        <f>IF(K58=""," ",VLOOKUP(K58,$T$9:$V$54,3,FALSE))</f>
        <v xml:space="preserve"> </v>
      </c>
      <c r="AA58" s="352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 t="shared" ref="D59:D66" si="13">IF(ISERROR(Z59),K59,Z59)</f>
        <v>Brazilië</v>
      </c>
      <c r="E59" s="367" t="s">
        <v>9</v>
      </c>
      <c r="F59" s="406" t="str">
        <f t="shared" ref="F59:F66" si="14">IF(ISERROR(AA59),L59,AA59)</f>
        <v>Chili</v>
      </c>
      <c r="G59" s="435">
        <v>3</v>
      </c>
      <c r="H59" s="367" t="s">
        <v>9</v>
      </c>
      <c r="I59" s="447">
        <v>1</v>
      </c>
      <c r="J59" s="448">
        <v>1</v>
      </c>
      <c r="K59" s="407" t="s">
        <v>48</v>
      </c>
      <c r="L59" s="407" t="s">
        <v>53</v>
      </c>
      <c r="M59" s="407">
        <v>1</v>
      </c>
      <c r="O59" s="458">
        <v>2</v>
      </c>
      <c r="P59" s="877" t="s">
        <v>219</v>
      </c>
      <c r="Q59" s="877"/>
      <c r="R59" s="877"/>
      <c r="S59" s="877"/>
      <c r="T59" s="878"/>
      <c r="V59" s="352" t="s">
        <v>132</v>
      </c>
      <c r="W59" s="352" t="s">
        <v>111</v>
      </c>
      <c r="X59" s="352" t="str">
        <f t="shared" si="11"/>
        <v>Jasper Cillessen (k)</v>
      </c>
      <c r="Y59" s="109">
        <f t="shared" ref="Y59:Y66" si="15">AF59</f>
        <v>1</v>
      </c>
      <c r="Z59" s="352" t="str">
        <f t="shared" ref="Z59:AA65" si="16">IF(K59=""," ",VLOOKUP(K59,$T$9:$V$54,3,FALSE))</f>
        <v>Brazilië</v>
      </c>
      <c r="AA59" s="352" t="str">
        <f t="shared" si="16"/>
        <v>Chili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7">IF(OR(AC59="",AD59=""),0,(IF(SUM(AG59:AL59)&gt;10,10,SUM(AG59:AL59))))</f>
        <v>1</v>
      </c>
      <c r="AG59" s="108">
        <f t="shared" ref="AG59:AG66" si="18">IF(AC59="",0,(IF(G59=AC59,1,0)))</f>
        <v>0</v>
      </c>
      <c r="AH59" s="108">
        <f t="shared" ref="AH59:AH66" si="19">IF(AD59="",0,(IF(I59=AD59,1,0)))</f>
        <v>1</v>
      </c>
      <c r="AI59" s="108">
        <f t="shared" ref="AI59:AI66" si="20">IF(AND(AG59=1,AH59=1),10,0)</f>
        <v>0</v>
      </c>
      <c r="AJ59" s="108">
        <f t="shared" ref="AJ59:AJ66" si="21">IF(AND(G59&gt;I59,AC59&gt;AD59),5,0)</f>
        <v>0</v>
      </c>
      <c r="AK59" s="108">
        <f t="shared" ref="AK59:AK66" si="22">IF(AND(G59&lt;I59,AC59&lt;AD59),5,0)</f>
        <v>0</v>
      </c>
      <c r="AL59" s="108">
        <f t="shared" ref="AL59:AL66" si="23">IF(AND(G59=I59,AC59=AD59),5,0)</f>
        <v>0</v>
      </c>
      <c r="AZ59" s="138" t="str">
        <f>Uitslag!P59</f>
        <v>Daryl Janmaat (v)</v>
      </c>
      <c r="BA59" s="140">
        <f t="shared" si="12"/>
        <v>0</v>
      </c>
      <c r="BB59" s="139">
        <f t="shared" ref="BB59:BB68" si="24">BA59</f>
        <v>0</v>
      </c>
    </row>
    <row r="60" spans="2:54">
      <c r="B60" s="376">
        <v>50</v>
      </c>
      <c r="C60" s="466">
        <v>41818</v>
      </c>
      <c r="D60" s="460" t="str">
        <f t="shared" si="13"/>
        <v>Colombia</v>
      </c>
      <c r="E60" s="379" t="s">
        <v>9</v>
      </c>
      <c r="F60" s="409" t="str">
        <f t="shared" si="14"/>
        <v>Italië</v>
      </c>
      <c r="G60" s="437">
        <v>1</v>
      </c>
      <c r="H60" s="379" t="s">
        <v>9</v>
      </c>
      <c r="I60" s="449">
        <v>1</v>
      </c>
      <c r="J60" s="450">
        <v>1</v>
      </c>
      <c r="K60" s="407" t="s">
        <v>57</v>
      </c>
      <c r="L60" s="407" t="s">
        <v>63</v>
      </c>
      <c r="M60" s="407">
        <v>2</v>
      </c>
      <c r="O60" s="458">
        <v>3</v>
      </c>
      <c r="P60" s="877" t="s">
        <v>212</v>
      </c>
      <c r="Q60" s="877"/>
      <c r="R60" s="877"/>
      <c r="S60" s="877"/>
      <c r="T60" s="878"/>
      <c r="V60" s="352" t="s">
        <v>132</v>
      </c>
      <c r="W60" s="352" t="s">
        <v>110</v>
      </c>
      <c r="X60" s="352" t="str">
        <f t="shared" si="11"/>
        <v>Kenneth Vermeer (k)</v>
      </c>
      <c r="Y60" s="109">
        <f t="shared" si="15"/>
        <v>0</v>
      </c>
      <c r="Z60" s="352" t="str">
        <f t="shared" si="16"/>
        <v>Colombia</v>
      </c>
      <c r="AA60" s="352" t="str">
        <f t="shared" si="16"/>
        <v>Italië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7"/>
        <v>0</v>
      </c>
      <c r="AG60" s="108">
        <f t="shared" si="18"/>
        <v>0</v>
      </c>
      <c r="AH60" s="108">
        <f t="shared" si="19"/>
        <v>0</v>
      </c>
      <c r="AI60" s="108">
        <f t="shared" si="20"/>
        <v>0</v>
      </c>
      <c r="AJ60" s="108">
        <f t="shared" si="21"/>
        <v>0</v>
      </c>
      <c r="AK60" s="108">
        <f t="shared" si="22"/>
        <v>0</v>
      </c>
      <c r="AL60" s="108">
        <f t="shared" si="23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4"/>
        <v>3</v>
      </c>
    </row>
    <row r="61" spans="2:54">
      <c r="B61" s="364">
        <v>51</v>
      </c>
      <c r="C61" s="465">
        <v>41819</v>
      </c>
      <c r="D61" s="464" t="str">
        <f t="shared" si="13"/>
        <v>Spanje</v>
      </c>
      <c r="E61" s="367" t="s">
        <v>9</v>
      </c>
      <c r="F61" s="406" t="str">
        <f t="shared" si="14"/>
        <v>Mexico</v>
      </c>
      <c r="G61" s="435">
        <v>3</v>
      </c>
      <c r="H61" s="367" t="s">
        <v>9</v>
      </c>
      <c r="I61" s="447">
        <v>1</v>
      </c>
      <c r="J61" s="448">
        <v>1</v>
      </c>
      <c r="K61" s="407" t="s">
        <v>52</v>
      </c>
      <c r="L61" s="407" t="s">
        <v>49</v>
      </c>
      <c r="M61" s="407"/>
      <c r="O61" s="458">
        <v>4</v>
      </c>
      <c r="P61" s="877" t="s">
        <v>220</v>
      </c>
      <c r="Q61" s="877"/>
      <c r="R61" s="877"/>
      <c r="S61" s="877"/>
      <c r="T61" s="878"/>
      <c r="V61" s="352" t="s">
        <v>132</v>
      </c>
      <c r="W61" s="352" t="s">
        <v>191</v>
      </c>
      <c r="X61" s="352" t="str">
        <f t="shared" si="11"/>
        <v>Tim Krul (k)</v>
      </c>
      <c r="Y61" s="109">
        <f t="shared" si="15"/>
        <v>6</v>
      </c>
      <c r="Z61" s="352" t="str">
        <f t="shared" si="16"/>
        <v>Spanje</v>
      </c>
      <c r="AA61" s="352" t="str">
        <f t="shared" si="16"/>
        <v>Mexico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7"/>
        <v>6</v>
      </c>
      <c r="AG61" s="108">
        <f t="shared" si="18"/>
        <v>0</v>
      </c>
      <c r="AH61" s="108">
        <f t="shared" si="19"/>
        <v>1</v>
      </c>
      <c r="AI61" s="108">
        <f t="shared" si="20"/>
        <v>0</v>
      </c>
      <c r="AJ61" s="108">
        <f t="shared" si="21"/>
        <v>5</v>
      </c>
      <c r="AK61" s="108">
        <f t="shared" si="22"/>
        <v>0</v>
      </c>
      <c r="AL61" s="108">
        <f t="shared" si="23"/>
        <v>0</v>
      </c>
      <c r="AZ61" s="138" t="str">
        <f>Uitslag!P61</f>
        <v>Ron Vlaar (v)</v>
      </c>
      <c r="BA61" s="140">
        <f t="shared" si="12"/>
        <v>3</v>
      </c>
      <c r="BB61" s="139">
        <f t="shared" si="24"/>
        <v>3</v>
      </c>
    </row>
    <row r="62" spans="2:54">
      <c r="B62" s="376">
        <v>52</v>
      </c>
      <c r="C62" s="466">
        <v>41819</v>
      </c>
      <c r="D62" s="464" t="str">
        <f t="shared" si="13"/>
        <v>Uruguay</v>
      </c>
      <c r="E62" s="379" t="s">
        <v>9</v>
      </c>
      <c r="F62" s="409" t="str">
        <f t="shared" si="14"/>
        <v>Ivoorkust</v>
      </c>
      <c r="G62" s="437">
        <v>2</v>
      </c>
      <c r="H62" s="379" t="s">
        <v>9</v>
      </c>
      <c r="I62" s="449">
        <v>1</v>
      </c>
      <c r="J62" s="450">
        <v>1</v>
      </c>
      <c r="K62" s="407" t="s">
        <v>62</v>
      </c>
      <c r="L62" s="407" t="s">
        <v>58</v>
      </c>
      <c r="M62" s="407"/>
      <c r="O62" s="458">
        <v>5</v>
      </c>
      <c r="P62" s="877" t="s">
        <v>209</v>
      </c>
      <c r="Q62" s="877"/>
      <c r="R62" s="877"/>
      <c r="S62" s="877"/>
      <c r="T62" s="878"/>
      <c r="V62" s="352" t="s">
        <v>132</v>
      </c>
      <c r="W62" s="352" t="s">
        <v>192</v>
      </c>
      <c r="X62" s="352" t="str">
        <f t="shared" si="11"/>
        <v>Maarten Stekelenburg (k)</v>
      </c>
      <c r="Y62" s="109">
        <f t="shared" si="15"/>
        <v>1</v>
      </c>
      <c r="Z62" s="352" t="str">
        <f t="shared" si="16"/>
        <v>Uruguay</v>
      </c>
      <c r="AA62" s="352" t="str">
        <f t="shared" si="16"/>
        <v>Ivoorkust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7"/>
        <v>1</v>
      </c>
      <c r="AG62" s="108">
        <f t="shared" si="18"/>
        <v>0</v>
      </c>
      <c r="AH62" s="108">
        <f t="shared" si="19"/>
        <v>1</v>
      </c>
      <c r="AI62" s="108">
        <f t="shared" si="20"/>
        <v>0</v>
      </c>
      <c r="AJ62" s="108">
        <f t="shared" si="21"/>
        <v>0</v>
      </c>
      <c r="AK62" s="108">
        <f t="shared" si="22"/>
        <v>0</v>
      </c>
      <c r="AL62" s="108">
        <f t="shared" si="23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4"/>
        <v>3</v>
      </c>
    </row>
    <row r="63" spans="2:54">
      <c r="B63" s="364">
        <v>53</v>
      </c>
      <c r="C63" s="465">
        <v>41820</v>
      </c>
      <c r="D63" s="459" t="str">
        <f t="shared" si="13"/>
        <v>Frankrijk</v>
      </c>
      <c r="E63" s="367" t="s">
        <v>9</v>
      </c>
      <c r="F63" s="406" t="str">
        <f t="shared" si="14"/>
        <v>Nigeria</v>
      </c>
      <c r="G63" s="435">
        <v>2</v>
      </c>
      <c r="H63" s="367" t="s">
        <v>9</v>
      </c>
      <c r="I63" s="447">
        <v>1</v>
      </c>
      <c r="J63" s="448">
        <v>1</v>
      </c>
      <c r="K63" s="407" t="s">
        <v>67</v>
      </c>
      <c r="L63" s="407" t="s">
        <v>73</v>
      </c>
      <c r="M63" s="407"/>
      <c r="O63" s="458">
        <v>6</v>
      </c>
      <c r="P63" s="877" t="s">
        <v>235</v>
      </c>
      <c r="Q63" s="877"/>
      <c r="R63" s="877"/>
      <c r="S63" s="877"/>
      <c r="T63" s="878"/>
      <c r="V63" s="352" t="s">
        <v>132</v>
      </c>
      <c r="W63" s="352" t="s">
        <v>193</v>
      </c>
      <c r="X63" s="352" t="str">
        <f t="shared" si="11"/>
        <v>Michel Vorm (k)</v>
      </c>
      <c r="Y63" s="109">
        <f t="shared" si="15"/>
        <v>6</v>
      </c>
      <c r="Z63" s="352" t="str">
        <f t="shared" si="16"/>
        <v>Frankrijk</v>
      </c>
      <c r="AA63" s="352" t="str">
        <f t="shared" si="16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7"/>
        <v>6</v>
      </c>
      <c r="AG63" s="108">
        <f t="shared" si="18"/>
        <v>1</v>
      </c>
      <c r="AH63" s="108">
        <f t="shared" si="19"/>
        <v>0</v>
      </c>
      <c r="AI63" s="108">
        <f t="shared" si="20"/>
        <v>0</v>
      </c>
      <c r="AJ63" s="108">
        <f t="shared" si="21"/>
        <v>5</v>
      </c>
      <c r="AK63" s="108">
        <f t="shared" si="22"/>
        <v>0</v>
      </c>
      <c r="AL63" s="108">
        <f t="shared" si="23"/>
        <v>0</v>
      </c>
      <c r="AZ63" s="138" t="str">
        <f>Uitslag!P63</f>
        <v>Daley Blind (v)</v>
      </c>
      <c r="BA63" s="140">
        <f t="shared" si="12"/>
        <v>0</v>
      </c>
      <c r="BB63" s="139">
        <f t="shared" si="24"/>
        <v>0</v>
      </c>
    </row>
    <row r="64" spans="2:54">
      <c r="B64" s="376">
        <v>54</v>
      </c>
      <c r="C64" s="466">
        <v>41820</v>
      </c>
      <c r="D64" s="460" t="str">
        <f t="shared" si="13"/>
        <v>Duitsland</v>
      </c>
      <c r="E64" s="379" t="s">
        <v>9</v>
      </c>
      <c r="F64" s="409" t="str">
        <f t="shared" si="14"/>
        <v>Rusland</v>
      </c>
      <c r="G64" s="437">
        <v>3</v>
      </c>
      <c r="H64" s="379" t="s">
        <v>9</v>
      </c>
      <c r="I64" s="449">
        <v>1</v>
      </c>
      <c r="J64" s="450">
        <v>1</v>
      </c>
      <c r="K64" s="407" t="s">
        <v>77</v>
      </c>
      <c r="L64" s="407" t="s">
        <v>83</v>
      </c>
      <c r="M64" s="407"/>
      <c r="O64" s="458">
        <v>7</v>
      </c>
      <c r="P64" s="877" t="s">
        <v>213</v>
      </c>
      <c r="Q64" s="877"/>
      <c r="R64" s="877"/>
      <c r="S64" s="877"/>
      <c r="T64" s="878"/>
      <c r="V64" s="352" t="s">
        <v>133</v>
      </c>
      <c r="W64" s="352" t="s">
        <v>112</v>
      </c>
      <c r="X64" s="352" t="str">
        <f t="shared" si="11"/>
        <v>Joël Veltman (v)</v>
      </c>
      <c r="Y64" s="109">
        <f t="shared" si="15"/>
        <v>0</v>
      </c>
      <c r="Z64" s="352" t="str">
        <f t="shared" si="16"/>
        <v>Duitsland</v>
      </c>
      <c r="AA64" s="352" t="str">
        <f t="shared" si="16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7"/>
        <v>0</v>
      </c>
      <c r="AG64" s="108">
        <f t="shared" si="18"/>
        <v>0</v>
      </c>
      <c r="AH64" s="108">
        <f t="shared" si="19"/>
        <v>0</v>
      </c>
      <c r="AI64" s="108">
        <f t="shared" si="20"/>
        <v>0</v>
      </c>
      <c r="AJ64" s="108">
        <f t="shared" si="21"/>
        <v>0</v>
      </c>
      <c r="AK64" s="108">
        <f t="shared" si="22"/>
        <v>0</v>
      </c>
      <c r="AL64" s="108">
        <f t="shared" si="23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4"/>
        <v>3</v>
      </c>
    </row>
    <row r="65" spans="2:54">
      <c r="B65" s="370">
        <v>55</v>
      </c>
      <c r="C65" s="467">
        <v>41821</v>
      </c>
      <c r="D65" s="459" t="str">
        <f t="shared" si="13"/>
        <v>Argentinië</v>
      </c>
      <c r="E65" s="373" t="s">
        <v>9</v>
      </c>
      <c r="F65" s="410" t="str">
        <f t="shared" si="14"/>
        <v>Ecuador</v>
      </c>
      <c r="G65" s="436">
        <v>3</v>
      </c>
      <c r="H65" s="373" t="s">
        <v>9</v>
      </c>
      <c r="I65" s="451">
        <v>1</v>
      </c>
      <c r="J65" s="452">
        <v>1</v>
      </c>
      <c r="K65" s="407" t="s">
        <v>72</v>
      </c>
      <c r="L65" s="407" t="s">
        <v>68</v>
      </c>
      <c r="M65" s="407"/>
      <c r="O65" s="458">
        <v>8</v>
      </c>
      <c r="P65" s="877" t="s">
        <v>226</v>
      </c>
      <c r="Q65" s="877"/>
      <c r="R65" s="877"/>
      <c r="S65" s="877"/>
      <c r="T65" s="878"/>
      <c r="V65" s="352" t="s">
        <v>133</v>
      </c>
      <c r="W65" s="352" t="s">
        <v>109</v>
      </c>
      <c r="X65" s="352" t="str">
        <f t="shared" si="11"/>
        <v>Daley Blind (v)</v>
      </c>
      <c r="Y65" s="109">
        <f t="shared" si="15"/>
        <v>0</v>
      </c>
      <c r="Z65" s="352" t="str">
        <f t="shared" si="16"/>
        <v>Argentinië</v>
      </c>
      <c r="AA65" s="352" t="str">
        <f t="shared" si="16"/>
        <v>Ecuador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7"/>
        <v>0</v>
      </c>
      <c r="AG65" s="108">
        <f t="shared" si="18"/>
        <v>0</v>
      </c>
      <c r="AH65" s="108">
        <f t="shared" si="19"/>
        <v>0</v>
      </c>
      <c r="AI65" s="108">
        <f t="shared" si="20"/>
        <v>0</v>
      </c>
      <c r="AJ65" s="108">
        <f t="shared" si="21"/>
        <v>0</v>
      </c>
      <c r="AK65" s="108">
        <f t="shared" si="22"/>
        <v>0</v>
      </c>
      <c r="AL65" s="108">
        <f t="shared" si="23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4"/>
        <v>3</v>
      </c>
    </row>
    <row r="66" spans="2:54" ht="15.75" thickBot="1">
      <c r="B66" s="385">
        <v>56</v>
      </c>
      <c r="C66" s="462">
        <v>41821</v>
      </c>
      <c r="D66" s="461" t="str">
        <f t="shared" si="13"/>
        <v>België</v>
      </c>
      <c r="E66" s="388" t="s">
        <v>9</v>
      </c>
      <c r="F66" s="412" t="str">
        <f t="shared" si="14"/>
        <v>Portugal</v>
      </c>
      <c r="G66" s="438">
        <v>2</v>
      </c>
      <c r="H66" s="388" t="s">
        <v>9</v>
      </c>
      <c r="I66" s="453">
        <v>1</v>
      </c>
      <c r="J66" s="454">
        <v>1</v>
      </c>
      <c r="K66" s="407" t="s">
        <v>82</v>
      </c>
      <c r="L66" s="407" t="s">
        <v>78</v>
      </c>
      <c r="M66" s="407"/>
      <c r="O66" s="458">
        <v>9</v>
      </c>
      <c r="P66" s="877" t="s">
        <v>214</v>
      </c>
      <c r="Q66" s="877"/>
      <c r="R66" s="877"/>
      <c r="S66" s="877"/>
      <c r="T66" s="878"/>
      <c r="V66" s="352" t="s">
        <v>133</v>
      </c>
      <c r="W66" s="352" t="s">
        <v>115</v>
      </c>
      <c r="X66" s="352" t="str">
        <f t="shared" si="11"/>
        <v>Daryl Janmaat (v)</v>
      </c>
      <c r="Y66" s="109">
        <f t="shared" si="15"/>
        <v>0</v>
      </c>
      <c r="Z66" s="352" t="str">
        <f>IF(K66=""," ",VLOOKUP(K66,$T$9:$V$54,3,FALSE))</f>
        <v>België</v>
      </c>
      <c r="AA66" s="352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7"/>
        <v>0</v>
      </c>
      <c r="AG66" s="108">
        <f t="shared" si="18"/>
        <v>0</v>
      </c>
      <c r="AH66" s="108">
        <f t="shared" si="19"/>
        <v>0</v>
      </c>
      <c r="AI66" s="108">
        <f t="shared" si="20"/>
        <v>0</v>
      </c>
      <c r="AJ66" s="108">
        <f t="shared" si="21"/>
        <v>0</v>
      </c>
      <c r="AK66" s="108">
        <f t="shared" si="22"/>
        <v>0</v>
      </c>
      <c r="AL66" s="108">
        <f t="shared" si="23"/>
        <v>0</v>
      </c>
      <c r="AZ66" s="138" t="str">
        <f>Uitslag!P66</f>
        <v>Jonathan de Guzman (m)</v>
      </c>
      <c r="BA66" s="140">
        <f t="shared" si="12"/>
        <v>3</v>
      </c>
      <c r="BB66" s="139">
        <f t="shared" si="24"/>
        <v>3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O67" s="458">
        <v>10</v>
      </c>
      <c r="P67" s="877" t="s">
        <v>215</v>
      </c>
      <c r="Q67" s="877"/>
      <c r="R67" s="877"/>
      <c r="S67" s="877"/>
      <c r="T67" s="878"/>
      <c r="V67" s="352" t="s">
        <v>133</v>
      </c>
      <c r="W67" s="352" t="s">
        <v>118</v>
      </c>
      <c r="X67" s="352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4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79"/>
      <c r="K68" s="353"/>
      <c r="L68" s="353"/>
      <c r="M68" s="353"/>
      <c r="O68" s="458">
        <v>11</v>
      </c>
      <c r="P68" s="877" t="s">
        <v>240</v>
      </c>
      <c r="Q68" s="877"/>
      <c r="R68" s="877"/>
      <c r="S68" s="877"/>
      <c r="T68" s="878"/>
      <c r="V68" s="352" t="s">
        <v>133</v>
      </c>
      <c r="W68" s="352" t="s">
        <v>119</v>
      </c>
      <c r="X68" s="352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0</v>
      </c>
      <c r="BB68" s="139">
        <f t="shared" si="24"/>
        <v>0</v>
      </c>
    </row>
    <row r="69" spans="2:54">
      <c r="B69" s="428" t="s">
        <v>1</v>
      </c>
      <c r="C69" s="429" t="s">
        <v>2</v>
      </c>
      <c r="D69" s="476" t="s">
        <v>3</v>
      </c>
      <c r="E69" s="431"/>
      <c r="F69" s="477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V69" s="352" t="s">
        <v>133</v>
      </c>
      <c r="W69" s="352" t="s">
        <v>121</v>
      </c>
      <c r="X69" s="352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24</v>
      </c>
      <c r="BB69" s="139" t="str">
        <f>IF(AND(BA69&lt;&gt;"",BA69=33),15,"nvt")</f>
        <v>nvt</v>
      </c>
    </row>
    <row r="70" spans="2:54">
      <c r="B70" s="364">
        <v>57</v>
      </c>
      <c r="C70" s="365">
        <v>41824</v>
      </c>
      <c r="D70" s="405" t="str">
        <f>IF(J63="","Winnaar 53",IF(J63=1,D63,F63))</f>
        <v>Frankrijk</v>
      </c>
      <c r="E70" s="367" t="s">
        <v>9</v>
      </c>
      <c r="F70" s="406" t="str">
        <f>IF(J64="","Winnaar 54",IF(J64=1,D64,F64))</f>
        <v>Duitsland</v>
      </c>
      <c r="G70" s="435">
        <v>1</v>
      </c>
      <c r="H70" s="367" t="s">
        <v>9</v>
      </c>
      <c r="I70" s="447">
        <v>3</v>
      </c>
      <c r="J70" s="448">
        <v>2</v>
      </c>
      <c r="K70" s="353"/>
      <c r="L70" s="353"/>
      <c r="M70" s="353"/>
      <c r="V70" s="352" t="s">
        <v>133</v>
      </c>
      <c r="W70" s="352" t="s">
        <v>126</v>
      </c>
      <c r="X70" s="352" t="str">
        <f t="shared" si="11"/>
        <v>Karim Rekik (v)</v>
      </c>
      <c r="Y70" s="109">
        <f>AF70</f>
        <v>5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5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Brazilië</v>
      </c>
      <c r="E71" s="379" t="s">
        <v>9</v>
      </c>
      <c r="F71" s="409" t="str">
        <f>IF(J60="","Winnaar 50",IF(J60=1,D60,F60))</f>
        <v>Colombia</v>
      </c>
      <c r="G71" s="437">
        <v>2</v>
      </c>
      <c r="H71" s="379" t="s">
        <v>9</v>
      </c>
      <c r="I71" s="449">
        <v>0</v>
      </c>
      <c r="J71" s="450">
        <v>1</v>
      </c>
      <c r="K71" s="353"/>
      <c r="L71" s="353"/>
      <c r="M71" s="353"/>
      <c r="V71" s="352" t="s">
        <v>133</v>
      </c>
      <c r="W71" s="352" t="s">
        <v>194</v>
      </c>
      <c r="X71" s="352" t="str">
        <f t="shared" si="11"/>
        <v>Ron Vlaar (v)</v>
      </c>
      <c r="Y71" s="109">
        <f>AF71</f>
        <v>6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6</v>
      </c>
      <c r="AG71" s="108">
        <f>IF(AC71="",0,(IF(G71=AC71,1,0)))</f>
        <v>1</v>
      </c>
      <c r="AH71" s="108">
        <f>IF(AD71="",0,(IF(I71=AD71,1,0)))</f>
        <v>0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Argentinië</v>
      </c>
      <c r="E72" s="367" t="s">
        <v>9</v>
      </c>
      <c r="F72" s="406" t="str">
        <f>IF(J66="","Winnaar 56",IF(J66=1,D66,F66))</f>
        <v>België</v>
      </c>
      <c r="G72" s="435">
        <v>1</v>
      </c>
      <c r="H72" s="367" t="s">
        <v>9</v>
      </c>
      <c r="I72" s="447">
        <v>2</v>
      </c>
      <c r="J72" s="448">
        <v>2</v>
      </c>
      <c r="K72" s="353"/>
      <c r="L72" s="353"/>
      <c r="M72" s="353"/>
      <c r="V72" s="352" t="s">
        <v>133</v>
      </c>
      <c r="W72" s="352" t="s">
        <v>195</v>
      </c>
      <c r="X72" s="352" t="str">
        <f t="shared" si="11"/>
        <v>John Heitinga (v)</v>
      </c>
      <c r="Y72" s="109">
        <f>AF72</f>
        <v>1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1</v>
      </c>
      <c r="AG72" s="108">
        <f>IF(AC72="",0,(IF(G72=AC72,1,0)))</f>
        <v>1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0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Spanje</v>
      </c>
      <c r="E73" s="388" t="s">
        <v>9</v>
      </c>
      <c r="F73" s="412" t="str">
        <f>IF(J62="","Winnaar 52",IF(J62=1,D62,F62))</f>
        <v>Uruguay</v>
      </c>
      <c r="G73" s="438">
        <v>2</v>
      </c>
      <c r="H73" s="388" t="s">
        <v>9</v>
      </c>
      <c r="I73" s="453">
        <v>1</v>
      </c>
      <c r="J73" s="454">
        <v>1</v>
      </c>
      <c r="K73" s="353"/>
      <c r="L73" s="353"/>
      <c r="M73" s="353"/>
      <c r="V73" s="352" t="s">
        <v>133</v>
      </c>
      <c r="W73" s="352" t="s">
        <v>196</v>
      </c>
      <c r="X73" s="352" t="str">
        <f t="shared" si="11"/>
        <v>Urby Emanuelson (v)</v>
      </c>
      <c r="Y73" s="109">
        <f>AF73</f>
        <v>0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0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V74" s="352" t="s">
        <v>133</v>
      </c>
      <c r="W74" s="352" t="s">
        <v>197</v>
      </c>
      <c r="X74" s="352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79"/>
      <c r="K75" s="353"/>
      <c r="L75" s="353"/>
      <c r="M75" s="353"/>
      <c r="V75" s="352" t="s">
        <v>133</v>
      </c>
      <c r="W75" s="352" t="s">
        <v>198</v>
      </c>
      <c r="X75" s="352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76" t="s">
        <v>3</v>
      </c>
      <c r="E76" s="431"/>
      <c r="F76" s="477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V76" s="352" t="s">
        <v>133</v>
      </c>
      <c r="W76" s="352" t="s">
        <v>202</v>
      </c>
      <c r="X76" s="352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Duitsland</v>
      </c>
      <c r="E77" s="367" t="s">
        <v>9</v>
      </c>
      <c r="F77" s="406" t="str">
        <f>IF(J71="","Winnaar 58",IF(J71=1,D71,F71))</f>
        <v>Brazilië</v>
      </c>
      <c r="G77" s="435">
        <v>2</v>
      </c>
      <c r="H77" s="367" t="s">
        <v>9</v>
      </c>
      <c r="I77" s="447">
        <v>1</v>
      </c>
      <c r="J77" s="448">
        <v>1</v>
      </c>
      <c r="K77" s="353"/>
      <c r="L77" s="353"/>
      <c r="M77" s="353"/>
      <c r="V77" s="352" t="s">
        <v>134</v>
      </c>
      <c r="W77" s="352" t="s">
        <v>203</v>
      </c>
      <c r="X77" s="352" t="str">
        <f t="shared" si="11"/>
        <v>Marco van Ginkel (m)</v>
      </c>
      <c r="Y77" s="109">
        <f>AF77</f>
        <v>6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6</v>
      </c>
      <c r="AG77" s="108">
        <f>IF(AC77="",0,(IF(G77=AC77,1,0)))</f>
        <v>0</v>
      </c>
      <c r="AH77" s="108">
        <f>IF(AD77="",0,(IF(I77=AD77,1,0)))</f>
        <v>1</v>
      </c>
      <c r="AI77" s="108">
        <f>IF(AND(AG77=1,AH77=1),10,0)</f>
        <v>0</v>
      </c>
      <c r="AJ77" s="108">
        <f>IF(AND(G77&gt;I77,AC77&gt;AD77),5,0)</f>
        <v>5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België</v>
      </c>
      <c r="E78" s="388" t="s">
        <v>9</v>
      </c>
      <c r="F78" s="412" t="str">
        <f>IF(J73="","Winnaar 60",IF(J73=1,D73,F73))</f>
        <v>Spanje</v>
      </c>
      <c r="G78" s="438">
        <v>2</v>
      </c>
      <c r="H78" s="388" t="s">
        <v>9</v>
      </c>
      <c r="I78" s="453">
        <v>1</v>
      </c>
      <c r="J78" s="454">
        <v>1</v>
      </c>
      <c r="K78" s="353"/>
      <c r="L78" s="353"/>
      <c r="M78" s="353"/>
      <c r="V78" s="352" t="s">
        <v>134</v>
      </c>
      <c r="W78" s="352" t="s">
        <v>199</v>
      </c>
      <c r="X78" s="352" t="str">
        <f t="shared" si="11"/>
        <v>Leroy Fer (m)</v>
      </c>
      <c r="Y78" s="109">
        <f>AF78</f>
        <v>0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0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V79" s="352" t="s">
        <v>134</v>
      </c>
      <c r="W79" s="352" t="s">
        <v>114</v>
      </c>
      <c r="X79" s="352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79"/>
      <c r="K80" s="353"/>
      <c r="L80" s="353"/>
      <c r="M80" s="353"/>
      <c r="V80" s="352" t="s">
        <v>134</v>
      </c>
      <c r="W80" s="352" t="s">
        <v>117</v>
      </c>
      <c r="X80" s="352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76" t="s">
        <v>3</v>
      </c>
      <c r="E81" s="431"/>
      <c r="F81" s="477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V81" s="352" t="s">
        <v>134</v>
      </c>
      <c r="W81" s="352" t="s">
        <v>120</v>
      </c>
      <c r="X81" s="352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Brazilië</v>
      </c>
      <c r="E82" s="355" t="s">
        <v>9</v>
      </c>
      <c r="F82" s="415" t="str">
        <f>IF(J78="","Verliezer 62",IF(J78=1,F78,D78))</f>
        <v>Spanje</v>
      </c>
      <c r="G82" s="455">
        <v>3</v>
      </c>
      <c r="H82" s="355" t="s">
        <v>9</v>
      </c>
      <c r="I82" s="456">
        <v>1</v>
      </c>
      <c r="J82" s="457">
        <v>1</v>
      </c>
      <c r="K82" s="353"/>
      <c r="L82" s="353"/>
      <c r="M82" s="353"/>
      <c r="V82" s="352" t="s">
        <v>134</v>
      </c>
      <c r="W82" s="352" t="s">
        <v>125</v>
      </c>
      <c r="X82" s="35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V83" s="352" t="s">
        <v>134</v>
      </c>
      <c r="W83" s="352" t="s">
        <v>136</v>
      </c>
      <c r="X83" s="352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79"/>
      <c r="K84" s="353"/>
      <c r="L84" s="353"/>
      <c r="M84" s="353"/>
      <c r="V84" s="352" t="s">
        <v>134</v>
      </c>
      <c r="W84" s="352" t="s">
        <v>137</v>
      </c>
      <c r="X84" s="352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76" t="s">
        <v>3</v>
      </c>
      <c r="E85" s="431"/>
      <c r="F85" s="477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V85" s="352" t="s">
        <v>134</v>
      </c>
      <c r="W85" s="352" t="s">
        <v>138</v>
      </c>
      <c r="X85" s="352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Duitsland</v>
      </c>
      <c r="E86" s="355" t="s">
        <v>9</v>
      </c>
      <c r="F86" s="415" t="str">
        <f>IF(J78="","Winnaar 62",IF(J78=1,D78,F78))</f>
        <v>België</v>
      </c>
      <c r="G86" s="455">
        <v>2</v>
      </c>
      <c r="H86" s="355" t="s">
        <v>9</v>
      </c>
      <c r="I86" s="456">
        <v>1</v>
      </c>
      <c r="J86" s="457">
        <v>1</v>
      </c>
      <c r="K86" s="353"/>
      <c r="L86" s="353"/>
      <c r="M86" s="353"/>
      <c r="V86" s="352" t="s">
        <v>134</v>
      </c>
      <c r="W86" s="352" t="s">
        <v>139</v>
      </c>
      <c r="X86" s="352" t="str">
        <f t="shared" si="11"/>
        <v>Nigel de Jong (m)</v>
      </c>
      <c r="Y86" s="109">
        <f>AF86</f>
        <v>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0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353"/>
      <c r="C87" s="129"/>
      <c r="D87" s="392"/>
      <c r="E87" s="353"/>
      <c r="F87" s="392"/>
      <c r="G87" s="353"/>
      <c r="H87" s="353"/>
      <c r="I87" s="353"/>
      <c r="J87" s="353"/>
      <c r="K87" s="353"/>
      <c r="L87" s="353"/>
      <c r="M87" s="353"/>
      <c r="V87" s="352" t="s">
        <v>135</v>
      </c>
      <c r="W87" s="352" t="s">
        <v>205</v>
      </c>
      <c r="X87" s="352" t="str">
        <f t="shared" si="11"/>
        <v>Ricky van Wolfswinkel (a)</v>
      </c>
      <c r="AP87" s="136" t="s">
        <v>102</v>
      </c>
    </row>
    <row r="88" spans="2:50">
      <c r="B88" s="353"/>
      <c r="C88" s="129"/>
      <c r="D88" s="392"/>
      <c r="E88" s="353"/>
      <c r="F88" s="392"/>
      <c r="G88" s="353"/>
      <c r="H88" s="353"/>
      <c r="I88" s="353"/>
      <c r="J88" s="353"/>
      <c r="K88" s="353"/>
      <c r="L88" s="353"/>
      <c r="M88" s="353"/>
      <c r="V88" s="352" t="s">
        <v>135</v>
      </c>
      <c r="W88" s="352" t="s">
        <v>204</v>
      </c>
      <c r="X88" s="352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458"/>
    </row>
    <row r="89" spans="2:50" ht="20.25">
      <c r="C89" s="874" t="s">
        <v>101</v>
      </c>
      <c r="D89" s="871"/>
      <c r="E89" s="873" t="str">
        <f>IF(J86=1,D86,IF(J86=2,F86,"Wie zal het worden?"))</f>
        <v>Duitsland</v>
      </c>
      <c r="F89" s="873"/>
      <c r="G89" s="873"/>
      <c r="H89" s="873"/>
      <c r="I89" s="873"/>
      <c r="J89" s="873"/>
      <c r="K89" s="353"/>
      <c r="L89" s="353"/>
      <c r="M89" s="353"/>
      <c r="V89" s="352" t="s">
        <v>135</v>
      </c>
      <c r="W89" s="352" t="s">
        <v>201</v>
      </c>
      <c r="X89" s="352" t="str">
        <f t="shared" si="11"/>
        <v>Jermain Lens (a)</v>
      </c>
      <c r="AP89" s="109">
        <f>AU89</f>
        <v>50</v>
      </c>
      <c r="AQ89" s="131">
        <v>1</v>
      </c>
      <c r="AR89" s="904" t="str">
        <f>Uitslag!E89</f>
        <v>Duitsland</v>
      </c>
      <c r="AS89" s="905"/>
      <c r="AT89" s="906"/>
      <c r="AU89" s="352">
        <f>SUM(AV89:AX89)</f>
        <v>50</v>
      </c>
      <c r="AV89" s="352">
        <f>IF(AR89=0,0,IF(E89=AR89,50,0))</f>
        <v>50</v>
      </c>
      <c r="AW89" s="352">
        <f>IF(E89=0,0,IF(OR(E89=AR90),15,0))</f>
        <v>0</v>
      </c>
      <c r="AX89" s="352">
        <f>IF(E89=0,0,IF(OR(E89=AR91,E89=AR92),5,0))</f>
        <v>0</v>
      </c>
    </row>
    <row r="90" spans="2:50">
      <c r="C90" s="870">
        <v>2</v>
      </c>
      <c r="D90" s="871"/>
      <c r="E90" s="872" t="str">
        <f>IF(J86=2,D86,IF(J86=1,F86,"Wie wordt 2de?"))</f>
        <v>België</v>
      </c>
      <c r="F90" s="872"/>
      <c r="G90" s="872"/>
      <c r="H90" s="872"/>
      <c r="I90" s="872"/>
      <c r="J90" s="872"/>
      <c r="V90" s="352" t="s">
        <v>135</v>
      </c>
      <c r="W90" s="352" t="s">
        <v>200</v>
      </c>
      <c r="X90" s="352" t="str">
        <f t="shared" si="11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 s="352">
        <f>SUM(AV90:AX90)</f>
        <v>0</v>
      </c>
      <c r="AV90" s="352">
        <f>IF(AR90=0,0,IF(AR90=E90,25,0))</f>
        <v>0</v>
      </c>
      <c r="AW90" s="352">
        <f>IF(E90=0,0,IF(OR(E90=AR89,),15,0))</f>
        <v>0</v>
      </c>
      <c r="AX90" s="352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Brazilië</v>
      </c>
      <c r="F91" s="872"/>
      <c r="G91" s="872"/>
      <c r="H91" s="872"/>
      <c r="I91" s="872"/>
      <c r="J91" s="872"/>
      <c r="V91" s="352" t="s">
        <v>135</v>
      </c>
      <c r="W91" s="352" t="s">
        <v>128</v>
      </c>
      <c r="X91" s="352" t="str">
        <f t="shared" si="11"/>
        <v>Jürgen Locadia (a)</v>
      </c>
      <c r="AP91" s="109">
        <f>AU91</f>
        <v>10</v>
      </c>
      <c r="AQ91" s="131">
        <v>3</v>
      </c>
      <c r="AR91" s="904" t="str">
        <f>Uitslag!E91</f>
        <v>Nederland</v>
      </c>
      <c r="AS91" s="905"/>
      <c r="AT91" s="906"/>
      <c r="AU91" s="352">
        <f>SUM(AV91:AX91)</f>
        <v>10</v>
      </c>
      <c r="AV91" s="352">
        <f>IF(AR91=0,0,IF(AR91=E91,15,0))</f>
        <v>0</v>
      </c>
      <c r="AW91" s="352">
        <f>IF(E91=0,0,IF(OR(E91=AR92),10,0))</f>
        <v>10</v>
      </c>
      <c r="AX91" s="352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Spanje</v>
      </c>
      <c r="F92" s="872"/>
      <c r="G92" s="872"/>
      <c r="H92" s="872"/>
      <c r="I92" s="872"/>
      <c r="J92" s="872"/>
      <c r="V92" s="352" t="s">
        <v>135</v>
      </c>
      <c r="W92" s="352" t="s">
        <v>127</v>
      </c>
      <c r="X92" s="35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 s="352">
        <f>SUM(AV92:AX92)</f>
        <v>0</v>
      </c>
      <c r="AV92" s="352">
        <f>IF(AR92=0,0,IF(AR92=E92,15,0))</f>
        <v>0</v>
      </c>
      <c r="AW92" s="352">
        <f>IF(E92=0,0,IF(OR(E92=AR91,),10,0))</f>
        <v>0</v>
      </c>
      <c r="AX92" s="352">
        <f>IF(E92=0,0,IF(OR(E92=AR89,E92=AR90),5,0))</f>
        <v>0</v>
      </c>
    </row>
    <row r="93" spans="2:50" ht="15.75" thickBot="1">
      <c r="V93" s="352" t="s">
        <v>135</v>
      </c>
      <c r="W93" s="352" t="s">
        <v>123</v>
      </c>
      <c r="X93" s="352" t="str">
        <f t="shared" si="11"/>
        <v>Quincy Promes (a)</v>
      </c>
      <c r="AS93" s="132"/>
      <c r="AU93" s="133">
        <f>SUM(AU89:AU92)</f>
        <v>60</v>
      </c>
    </row>
    <row r="94" spans="2:50" ht="15.75" thickTop="1">
      <c r="V94" s="352" t="s">
        <v>135</v>
      </c>
      <c r="W94" s="352" t="s">
        <v>122</v>
      </c>
      <c r="X94" s="352" t="str">
        <f t="shared" si="11"/>
        <v>Luc Castaignos (a)</v>
      </c>
    </row>
    <row r="95" spans="2:50">
      <c r="V95" s="352" t="s">
        <v>135</v>
      </c>
      <c r="W95" s="352" t="s">
        <v>113</v>
      </c>
      <c r="X95" s="352" t="str">
        <f t="shared" si="11"/>
        <v>Jean-Paul Boëtius (a)</v>
      </c>
    </row>
    <row r="96" spans="2:50">
      <c r="V96" s="352" t="s">
        <v>135</v>
      </c>
      <c r="W96" s="352" t="s">
        <v>129</v>
      </c>
      <c r="X96" s="352" t="str">
        <f t="shared" si="11"/>
        <v>Luciano Narsingh (a)</v>
      </c>
    </row>
    <row r="97" spans="22:24">
      <c r="V97" s="352" t="s">
        <v>135</v>
      </c>
      <c r="W97" s="352" t="s">
        <v>130</v>
      </c>
      <c r="X97" s="352" t="str">
        <f t="shared" si="11"/>
        <v>Robin van Persie (a)</v>
      </c>
    </row>
    <row r="98" spans="22:24">
      <c r="V98" s="352" t="s">
        <v>135</v>
      </c>
      <c r="W98" s="352" t="s">
        <v>131</v>
      </c>
      <c r="X98" s="352" t="str">
        <f t="shared" si="11"/>
        <v>Arjen Robben (a)</v>
      </c>
    </row>
  </sheetData>
  <mergeCells count="36">
    <mergeCell ref="C91:D91"/>
    <mergeCell ref="E91:J91"/>
    <mergeCell ref="AR91:AT91"/>
    <mergeCell ref="C92:D92"/>
    <mergeCell ref="E92:J92"/>
    <mergeCell ref="AR92:AT92"/>
    <mergeCell ref="C89:D89"/>
    <mergeCell ref="E89:J89"/>
    <mergeCell ref="AR89:AT89"/>
    <mergeCell ref="C90:D90"/>
    <mergeCell ref="E90:J90"/>
    <mergeCell ref="AR90:AT90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</mergeCells>
  <conditionalFormatting sqref="AO9:AO12 AO15:AO18 AO21:AO24 AO27:AO30 AO33:AO36 AO39:AO42 AO45:AO48 AO51:AO54">
    <cfRule type="cellIs" dxfId="83" priority="3" operator="equal">
      <formula>10</formula>
    </cfRule>
  </conditionalFormatting>
  <conditionalFormatting sqref="P58:T58">
    <cfRule type="duplicateValues" dxfId="82" priority="2"/>
  </conditionalFormatting>
  <conditionalFormatting sqref="P58:T68">
    <cfRule type="duplicateValues" dxfId="81" priority="1"/>
  </conditionalFormatting>
  <dataValidations count="10">
    <dataValidation type="list" allowBlank="1" showInputMessage="1" showErrorMessage="1" sqref="T51:T54">
      <formula1>$W$51:$W$54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P58:P68">
      <formula1>$X$58:$X$98</formula1>
    </dataValidation>
  </dataValidation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>
  <dimension ref="B1:BB98"/>
  <sheetViews>
    <sheetView topLeftCell="A40" zoomScale="70" zoomScaleNormal="70" workbookViewId="0">
      <selection activeCell="P58" sqref="P58:T68"/>
    </sheetView>
  </sheetViews>
  <sheetFormatPr defaultRowHeight="15" outlineLevelCol="2"/>
  <cols>
    <col min="1" max="1" width="3.42578125" style="352" customWidth="1"/>
    <col min="2" max="2" width="3.5703125" style="352" bestFit="1" customWidth="1"/>
    <col min="3" max="3" width="11.5703125" style="123" bestFit="1" customWidth="1"/>
    <col min="4" max="4" width="19.7109375" style="352" bestFit="1" customWidth="1"/>
    <col min="5" max="5" width="3.42578125" style="352" customWidth="1"/>
    <col min="6" max="6" width="19.7109375" style="352" bestFit="1" customWidth="1"/>
    <col min="7" max="7" width="6.7109375" style="352" customWidth="1"/>
    <col min="8" max="8" width="1.5703125" style="352" bestFit="1" customWidth="1"/>
    <col min="9" max="9" width="6.7109375" style="352" customWidth="1"/>
    <col min="10" max="10" width="6.85546875" style="352" bestFit="1" customWidth="1"/>
    <col min="11" max="13" width="9.140625" style="352" hidden="1" customWidth="1" outlineLevel="1"/>
    <col min="14" max="14" width="11.42578125" style="352" bestFit="1" customWidth="1" collapsed="1"/>
    <col min="15" max="15" width="14.7109375" style="352" bestFit="1" customWidth="1"/>
    <col min="16" max="16" width="12.28515625" style="352" bestFit="1" customWidth="1"/>
    <col min="17" max="17" width="8.140625" style="352" bestFit="1" customWidth="1"/>
    <col min="18" max="18" width="7.7109375" style="352" bestFit="1" customWidth="1"/>
    <col min="19" max="19" width="9.140625" style="352"/>
    <col min="20" max="20" width="8.5703125" style="352" bestFit="1" customWidth="1"/>
    <col min="21" max="21" width="9.140625" style="352"/>
    <col min="22" max="23" width="9.140625" style="352" hidden="1" customWidth="1" outlineLevel="1"/>
    <col min="24" max="24" width="2" style="352" hidden="1" customWidth="1" outlineLevel="1"/>
    <col min="25" max="25" width="12.28515625" style="352" bestFit="1" customWidth="1" collapsed="1"/>
    <col min="26" max="27" width="12.28515625" style="352" hidden="1" customWidth="1" outlineLevel="1"/>
    <col min="28" max="28" width="4.7109375" style="352" hidden="1" customWidth="1" outlineLevel="1"/>
    <col min="29" max="38" width="9.140625" style="352" hidden="1" customWidth="1" outlineLevel="1"/>
    <col min="39" max="39" width="7.42578125" style="352" bestFit="1" customWidth="1" collapsed="1"/>
    <col min="40" max="40" width="19.7109375" style="352" hidden="1" customWidth="1" outlineLevel="1"/>
    <col min="41" max="41" width="9.140625" style="352" hidden="1" customWidth="1" outlineLevel="1"/>
    <col min="42" max="42" width="9.140625" style="352" collapsed="1"/>
    <col min="43" max="49" width="9.140625" style="352" hidden="1" customWidth="1" outlineLevel="2"/>
    <col min="50" max="50" width="11.5703125" style="352" hidden="1" customWidth="1" outlineLevel="2"/>
    <col min="51" max="51" width="11.85546875" style="352" hidden="1" customWidth="1" outlineLevel="1" collapsed="1"/>
    <col min="52" max="52" width="9.42578125" style="352" hidden="1" customWidth="1" outlineLevel="1"/>
    <col min="53" max="53" width="10.5703125" style="352" hidden="1" customWidth="1" outlineLevel="1"/>
    <col min="54" max="54" width="9.140625" style="352" collapsed="1"/>
    <col min="55" max="55" width="11.85546875" style="352" bestFit="1" customWidth="1"/>
    <col min="56" max="16384" width="9.140625" style="352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295</v>
      </c>
      <c r="E3" s="335"/>
      <c r="F3" s="335"/>
      <c r="N3" s="352" t="str">
        <f>D3</f>
        <v>Vivian v. V.</v>
      </c>
      <c r="O3" s="144">
        <f>SUM(P3:S3)</f>
        <v>404</v>
      </c>
      <c r="P3" s="109">
        <f>SUM(Y8:Y86)</f>
        <v>209</v>
      </c>
      <c r="Q3" s="109">
        <f>SUM(AM4:AM55)</f>
        <v>130</v>
      </c>
      <c r="R3" s="109">
        <f>SUM(AP89:AP92)</f>
        <v>35</v>
      </c>
      <c r="S3" s="109">
        <f>SUM(BB58:BB69)</f>
        <v>30</v>
      </c>
      <c r="T3" s="109">
        <f>COUNTIF(AF8:AF86,10)</f>
        <v>7</v>
      </c>
      <c r="U3" s="109" t="str">
        <f>E89</f>
        <v>Brazilië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O6" s="392"/>
      <c r="P6" s="393"/>
      <c r="Q6" s="393"/>
      <c r="R6" s="393"/>
      <c r="S6" s="393"/>
      <c r="T6" s="393"/>
      <c r="U6" s="392"/>
      <c r="V6" s="392"/>
      <c r="W6" s="392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80" t="s">
        <v>3</v>
      </c>
      <c r="E7" s="419"/>
      <c r="F7" s="481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O7" s="353"/>
      <c r="P7" s="393"/>
      <c r="Q7" s="393"/>
      <c r="R7" s="393"/>
      <c r="S7" s="393"/>
      <c r="T7" s="393"/>
      <c r="U7" s="353"/>
      <c r="V7" s="353"/>
      <c r="W7" s="353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458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2</v>
      </c>
      <c r="H8" s="360" t="s">
        <v>9</v>
      </c>
      <c r="I8" s="478">
        <v>0</v>
      </c>
      <c r="J8" s="362">
        <f>IF(I8="","",IF(G8&gt;I8,1,IF(G8&lt;I8,2,3)))</f>
        <v>1</v>
      </c>
      <c r="K8" s="363">
        <f>IF(I8="","",IF($G8&gt;$I8,3,IF($G8=$I8,1,0)))</f>
        <v>3</v>
      </c>
      <c r="L8" s="363">
        <f>IF(I8="","",IF($G8&lt;$I8,3,IF($G8=$I8,1,0)))</f>
        <v>0</v>
      </c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392"/>
      <c r="V8" s="392"/>
      <c r="W8" s="392"/>
      <c r="Y8" s="109">
        <f>AF8</f>
        <v>5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5</v>
      </c>
      <c r="AG8" s="108">
        <f t="shared" ref="AG8:AG55" si="0">IF(AC8="",0,(IF(G8=AC8,1,0)))</f>
        <v>0</v>
      </c>
      <c r="AH8" s="108">
        <f t="shared" ref="AH8:AH55" si="1">IF(AD8="",0,(IF(I8=AD8,1,0)))</f>
        <v>0</v>
      </c>
      <c r="AI8" s="108">
        <f>IF(AND(AG8=1,AH8=1),10,0)</f>
        <v>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2</v>
      </c>
      <c r="H9" s="367" t="s">
        <v>9</v>
      </c>
      <c r="I9" s="440">
        <v>1</v>
      </c>
      <c r="J9" s="369">
        <f t="shared" ref="J9:J55" si="5">IF(I9="","",IF(G9&gt;I9,1,IF(G9&lt;I9,2,3)))</f>
        <v>1</v>
      </c>
      <c r="K9" s="363">
        <f t="shared" ref="K9:K55" si="6">IF(I9="","",IF($G9&gt;$I9,3,IF($G9=$I9,1,0)))</f>
        <v>3</v>
      </c>
      <c r="L9" s="363">
        <f t="shared" ref="L9:L55" si="7">IF(I9="","",IF($G9&lt;$I9,3,IF($G9=$I9,1,0)))</f>
        <v>0</v>
      </c>
      <c r="O9" s="394" t="s">
        <v>8</v>
      </c>
      <c r="P9" s="395">
        <f>SUMIF($D$8:$D$55,$O9,$G$8:$G$55)+SUMIF($F$8:$F$55,$O9,$I$8:$I$55)</f>
        <v>7</v>
      </c>
      <c r="Q9" s="395">
        <f>SUMIF($D$8:$D$55,$O9,$I$8:$I$55)+SUMIF($F$8:$F$55,$O9,$G$8:$G$55)</f>
        <v>2</v>
      </c>
      <c r="R9" s="396">
        <f>P9-Q9</f>
        <v>5</v>
      </c>
      <c r="S9" s="397">
        <f>SUMIF($D$8:$D$55,$O9,$K$8:$K$55)+SUMIF($F$8:$F$55,$O9,$L$8:$L$55)</f>
        <v>9</v>
      </c>
      <c r="T9" s="444" t="s">
        <v>48</v>
      </c>
      <c r="U9" s="392"/>
      <c r="V9" s="392" t="str">
        <f>O9</f>
        <v>Brazilië</v>
      </c>
      <c r="W9" s="392" t="s">
        <v>48</v>
      </c>
      <c r="Y9" s="109">
        <f t="shared" ref="Y9:Y55" si="8">AF9</f>
        <v>5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5</v>
      </c>
      <c r="AG9" s="108">
        <f t="shared" si="0"/>
        <v>0</v>
      </c>
      <c r="AH9" s="108">
        <f t="shared" si="1"/>
        <v>0</v>
      </c>
      <c r="AI9" s="108">
        <f t="shared" ref="AI9:AI55" si="10">IF(AND(AG9=1,AH9=1),10,0)</f>
        <v>0</v>
      </c>
      <c r="AJ9" s="108">
        <f t="shared" si="2"/>
        <v>5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2</v>
      </c>
      <c r="H10" s="373" t="s">
        <v>9</v>
      </c>
      <c r="I10" s="441">
        <v>1</v>
      </c>
      <c r="J10" s="375">
        <f t="shared" si="5"/>
        <v>1</v>
      </c>
      <c r="K10" s="363">
        <f t="shared" si="6"/>
        <v>3</v>
      </c>
      <c r="L10" s="363">
        <f t="shared" si="7"/>
        <v>0</v>
      </c>
      <c r="O10" s="398" t="s">
        <v>10</v>
      </c>
      <c r="P10" s="399">
        <f>SUMIF($D$8:$D$55,$O10,$G$8:$G$55)+SUMIF($F$8:$F$55,$O10,$I$8:$I$55)</f>
        <v>0</v>
      </c>
      <c r="Q10" s="399">
        <f>SUMIF($D$8:$D$55,$O10,$I$8:$I$55)+SUMIF($F$8:$F$55,$O10,$G$8:$G$55)</f>
        <v>4</v>
      </c>
      <c r="R10" s="399">
        <f>P10-Q10</f>
        <v>-4</v>
      </c>
      <c r="S10" s="400">
        <f>SUMIF($D$8:$D$55,$O10,$K$8:$K$55)+SUMIF($F$8:$F$55,$O10,$L$8:$L$55)</f>
        <v>0</v>
      </c>
      <c r="T10" s="445" t="s">
        <v>50</v>
      </c>
      <c r="U10" s="392"/>
      <c r="V10" s="392" t="str">
        <f>O10</f>
        <v>Kroatië</v>
      </c>
      <c r="W10" s="392" t="s">
        <v>49</v>
      </c>
      <c r="Y10" s="109">
        <f t="shared" si="8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0</v>
      </c>
      <c r="AG10" s="108">
        <f t="shared" si="0"/>
        <v>0</v>
      </c>
      <c r="AH10" s="108">
        <f t="shared" si="1"/>
        <v>0</v>
      </c>
      <c r="AI10" s="108">
        <f t="shared" si="10"/>
        <v>0</v>
      </c>
      <c r="AJ10" s="108">
        <f t="shared" si="2"/>
        <v>0</v>
      </c>
      <c r="AK10" s="108">
        <f t="shared" si="3"/>
        <v>0</v>
      </c>
      <c r="AL10" s="108">
        <f t="shared" si="4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0</v>
      </c>
      <c r="H11" s="379" t="s">
        <v>9</v>
      </c>
      <c r="I11" s="442">
        <v>1</v>
      </c>
      <c r="J11" s="381">
        <f t="shared" si="5"/>
        <v>2</v>
      </c>
      <c r="K11" s="363">
        <f t="shared" si="6"/>
        <v>0</v>
      </c>
      <c r="L11" s="363">
        <f t="shared" si="7"/>
        <v>3</v>
      </c>
      <c r="O11" s="398" t="s">
        <v>11</v>
      </c>
      <c r="P11" s="399">
        <f>SUMIF($D$8:$D$55,$O11,$G$8:$G$55)+SUMIF($F$8:$F$55,$O11,$I$8:$I$55)</f>
        <v>4</v>
      </c>
      <c r="Q11" s="399">
        <f>SUMIF($D$8:$D$55,$O11,$I$8:$I$55)+SUMIF($F$8:$F$55,$O11,$G$8:$G$55)</f>
        <v>4</v>
      </c>
      <c r="R11" s="399">
        <f>P11-Q11</f>
        <v>0</v>
      </c>
      <c r="S11" s="400">
        <f>SUMIF($D$8:$D$55,$O11,$K$8:$K$55)+SUMIF($F$8:$F$55,$O11,$L$8:$L$55)</f>
        <v>6</v>
      </c>
      <c r="T11" s="445" t="s">
        <v>49</v>
      </c>
      <c r="U11" s="392"/>
      <c r="V11" s="392" t="str">
        <f>O11</f>
        <v>Mexico</v>
      </c>
      <c r="W11" s="392" t="s">
        <v>47</v>
      </c>
      <c r="Y11" s="109">
        <f t="shared" si="8"/>
        <v>1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1</v>
      </c>
      <c r="AG11" s="108">
        <f t="shared" si="0"/>
        <v>0</v>
      </c>
      <c r="AH11" s="108">
        <f t="shared" si="1"/>
        <v>1</v>
      </c>
      <c r="AI11" s="108">
        <f t="shared" si="10"/>
        <v>0</v>
      </c>
      <c r="AJ11" s="108">
        <f t="shared" si="2"/>
        <v>0</v>
      </c>
      <c r="AK11" s="108">
        <f t="shared" si="3"/>
        <v>0</v>
      </c>
      <c r="AL11" s="108">
        <f t="shared" si="4"/>
        <v>0</v>
      </c>
      <c r="AM11" s="120">
        <f>AO11</f>
        <v>10</v>
      </c>
      <c r="AN11" s="117" t="s">
        <v>11</v>
      </c>
      <c r="AO11" s="115">
        <f>IF(Uitslag!T11="",0,IF(T11=Uitslag!T11,10,0))</f>
        <v>10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2</v>
      </c>
      <c r="H12" s="367" t="s">
        <v>9</v>
      </c>
      <c r="I12" s="440">
        <v>0</v>
      </c>
      <c r="J12" s="369">
        <f t="shared" si="5"/>
        <v>1</v>
      </c>
      <c r="K12" s="363">
        <f t="shared" si="6"/>
        <v>3</v>
      </c>
      <c r="L12" s="363">
        <f t="shared" si="7"/>
        <v>0</v>
      </c>
      <c r="O12" s="401" t="s">
        <v>12</v>
      </c>
      <c r="P12" s="402">
        <f>SUMIF($D$8:$D$55,$O12,$G$8:$G$55)+SUMIF($F$8:$F$55,$O12,$I$8:$I$55)</f>
        <v>3</v>
      </c>
      <c r="Q12" s="402">
        <f>SUMIF($D$8:$D$55,$O12,$I$8:$I$55)+SUMIF($F$8:$F$55,$O12,$G$8:$G$55)</f>
        <v>4</v>
      </c>
      <c r="R12" s="402">
        <f>P12-Q12</f>
        <v>-1</v>
      </c>
      <c r="S12" s="403">
        <f>SUMIF($D$8:$D$55,$O12,$K$8:$K$55)+SUMIF($F$8:$F$55,$O12,$L$8:$L$55)</f>
        <v>3</v>
      </c>
      <c r="T12" s="446" t="s">
        <v>47</v>
      </c>
      <c r="U12" s="392"/>
      <c r="V12" s="392" t="str">
        <f>O12</f>
        <v>Kameroen</v>
      </c>
      <c r="W12" s="392" t="s">
        <v>50</v>
      </c>
      <c r="Y12" s="109">
        <f t="shared" si="8"/>
        <v>6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6</v>
      </c>
      <c r="AG12" s="108">
        <f t="shared" si="0"/>
        <v>0</v>
      </c>
      <c r="AH12" s="108">
        <f t="shared" si="1"/>
        <v>1</v>
      </c>
      <c r="AI12" s="108">
        <f t="shared" si="10"/>
        <v>0</v>
      </c>
      <c r="AJ12" s="108">
        <f t="shared" si="2"/>
        <v>5</v>
      </c>
      <c r="AK12" s="108">
        <f t="shared" si="3"/>
        <v>0</v>
      </c>
      <c r="AL12" s="108">
        <f t="shared" si="4"/>
        <v>0</v>
      </c>
      <c r="AM12" s="120">
        <f>AO12</f>
        <v>0</v>
      </c>
      <c r="AN12" s="118" t="s">
        <v>12</v>
      </c>
      <c r="AO12" s="115">
        <f>IF(Uitslag!T12="",0,IF(T12=Uitslag!T12,10,0))</f>
        <v>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1</v>
      </c>
      <c r="H13" s="373" t="s">
        <v>9</v>
      </c>
      <c r="I13" s="441">
        <v>1</v>
      </c>
      <c r="J13" s="375">
        <f t="shared" si="5"/>
        <v>3</v>
      </c>
      <c r="K13" s="363">
        <f t="shared" si="6"/>
        <v>1</v>
      </c>
      <c r="L13" s="363">
        <f t="shared" si="7"/>
        <v>1</v>
      </c>
      <c r="O13" s="392"/>
      <c r="P13" s="393"/>
      <c r="Q13" s="393"/>
      <c r="R13" s="393"/>
      <c r="S13" s="393"/>
      <c r="T13" s="393"/>
      <c r="U13" s="392"/>
      <c r="V13" s="392"/>
      <c r="W13" s="392"/>
      <c r="Y13" s="109">
        <f t="shared" si="8"/>
        <v>1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1</v>
      </c>
      <c r="AG13" s="108">
        <f t="shared" si="0"/>
        <v>1</v>
      </c>
      <c r="AH13" s="108">
        <f t="shared" si="1"/>
        <v>0</v>
      </c>
      <c r="AI13" s="108">
        <f t="shared" si="10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392"/>
      <c r="AO13" s="393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2</v>
      </c>
      <c r="H14" s="373" t="s">
        <v>9</v>
      </c>
      <c r="I14" s="441">
        <v>0</v>
      </c>
      <c r="J14" s="375">
        <f t="shared" si="5"/>
        <v>1</v>
      </c>
      <c r="K14" s="363">
        <f t="shared" si="6"/>
        <v>3</v>
      </c>
      <c r="L14" s="363">
        <f t="shared" si="7"/>
        <v>0</v>
      </c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392"/>
      <c r="V14" s="392"/>
      <c r="W14" s="392"/>
      <c r="Y14" s="109">
        <f t="shared" si="8"/>
        <v>0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0</v>
      </c>
      <c r="AG14" s="108">
        <f t="shared" si="0"/>
        <v>0</v>
      </c>
      <c r="AH14" s="108">
        <f t="shared" si="1"/>
        <v>0</v>
      </c>
      <c r="AI14" s="108">
        <f t="shared" si="10"/>
        <v>0</v>
      </c>
      <c r="AJ14" s="108">
        <f t="shared" si="2"/>
        <v>0</v>
      </c>
      <c r="AK14" s="108">
        <f t="shared" si="3"/>
        <v>0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1</v>
      </c>
      <c r="H15" s="379" t="s">
        <v>9</v>
      </c>
      <c r="I15" s="442">
        <v>0</v>
      </c>
      <c r="J15" s="381">
        <f t="shared" si="5"/>
        <v>1</v>
      </c>
      <c r="K15" s="363">
        <f t="shared" si="6"/>
        <v>3</v>
      </c>
      <c r="L15" s="363">
        <f t="shared" si="7"/>
        <v>0</v>
      </c>
      <c r="O15" s="394" t="s">
        <v>13</v>
      </c>
      <c r="P15" s="395">
        <f>SUMIF($D$8:$D$55,$O15,$G$8:$G$55)+SUMIF($F$8:$F$55,$O15,$I$8:$I$55)</f>
        <v>6</v>
      </c>
      <c r="Q15" s="395">
        <f>SUMIF($D$8:$D$55,$O15,$I$8:$I$55)+SUMIF($F$8:$F$55,$O15,$G$8:$G$55)</f>
        <v>2</v>
      </c>
      <c r="R15" s="396">
        <f>P15-Q15</f>
        <v>4</v>
      </c>
      <c r="S15" s="397">
        <f>SUMIF($D$8:$D$55,$O15,$K$8:$K$55)+SUMIF($F$8:$F$55,$O15,$L$8:$L$55)</f>
        <v>9</v>
      </c>
      <c r="T15" s="444" t="s">
        <v>52</v>
      </c>
      <c r="U15" s="392"/>
      <c r="V15" s="392" t="str">
        <f>O15</f>
        <v>Spanje</v>
      </c>
      <c r="W15" s="392" t="s">
        <v>52</v>
      </c>
      <c r="Y15" s="109">
        <f t="shared" si="8"/>
        <v>5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5</v>
      </c>
      <c r="AG15" s="108">
        <f t="shared" si="0"/>
        <v>0</v>
      </c>
      <c r="AH15" s="108">
        <f t="shared" si="1"/>
        <v>0</v>
      </c>
      <c r="AI15" s="108">
        <f t="shared" si="10"/>
        <v>0</v>
      </c>
      <c r="AJ15" s="108">
        <f t="shared" si="2"/>
        <v>5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0</v>
      </c>
      <c r="H16" s="367" t="s">
        <v>9</v>
      </c>
      <c r="I16" s="440">
        <v>1</v>
      </c>
      <c r="J16" s="369">
        <f t="shared" si="5"/>
        <v>2</v>
      </c>
      <c r="K16" s="363">
        <f t="shared" si="6"/>
        <v>0</v>
      </c>
      <c r="L16" s="363">
        <f t="shared" si="7"/>
        <v>3</v>
      </c>
      <c r="O16" s="404" t="s">
        <v>14</v>
      </c>
      <c r="P16" s="399">
        <f>SUMIF($D$8:$D$55,$O16,$G$8:$G$55)+SUMIF($F$8:$F$55,$O16,$I$8:$I$55)</f>
        <v>3</v>
      </c>
      <c r="Q16" s="399">
        <f>SUMIF($D$8:$D$55,$O16,$I$8:$I$55)+SUMIF($F$8:$F$55,$O16,$G$8:$G$55)</f>
        <v>2</v>
      </c>
      <c r="R16" s="399">
        <f>P16-Q16</f>
        <v>1</v>
      </c>
      <c r="S16" s="400">
        <f>SUMIF($D$8:$D$55,$O16,$K$8:$K$55)+SUMIF($F$8:$F$55,$O16,$L$8:$L$55)</f>
        <v>6</v>
      </c>
      <c r="T16" s="445" t="s">
        <v>53</v>
      </c>
      <c r="U16" s="392"/>
      <c r="V16" s="392" t="str">
        <f>O16</f>
        <v>Nederland</v>
      </c>
      <c r="W16" s="392" t="s">
        <v>53</v>
      </c>
      <c r="Y16" s="109">
        <f t="shared" si="8"/>
        <v>1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1</v>
      </c>
      <c r="AG16" s="108">
        <f t="shared" si="0"/>
        <v>0</v>
      </c>
      <c r="AH16" s="108">
        <f t="shared" si="1"/>
        <v>1</v>
      </c>
      <c r="AI16" s="108">
        <f t="shared" si="10"/>
        <v>0</v>
      </c>
      <c r="AJ16" s="108">
        <f t="shared" si="2"/>
        <v>0</v>
      </c>
      <c r="AK16" s="108">
        <f t="shared" si="3"/>
        <v>0</v>
      </c>
      <c r="AL16" s="108">
        <f t="shared" si="4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2</v>
      </c>
      <c r="H17" s="373" t="s">
        <v>9</v>
      </c>
      <c r="I17" s="441">
        <v>1</v>
      </c>
      <c r="J17" s="375">
        <f t="shared" si="5"/>
        <v>1</v>
      </c>
      <c r="K17" s="363">
        <f t="shared" si="6"/>
        <v>3</v>
      </c>
      <c r="L17" s="363">
        <f t="shared" si="7"/>
        <v>0</v>
      </c>
      <c r="O17" s="398" t="s">
        <v>15</v>
      </c>
      <c r="P17" s="399">
        <f>SUMIF($D$8:$D$55,$O17,$G$8:$G$55)+SUMIF($F$8:$F$55,$O17,$I$8:$I$55)</f>
        <v>0</v>
      </c>
      <c r="Q17" s="399">
        <f>SUMIF($D$8:$D$55,$O17,$I$8:$I$55)+SUMIF($F$8:$F$55,$O17,$G$8:$G$55)</f>
        <v>4</v>
      </c>
      <c r="R17" s="399">
        <f>P17-Q17</f>
        <v>-4</v>
      </c>
      <c r="S17" s="400">
        <f>SUMIF($D$8:$D$55,$O17,$K$8:$K$55)+SUMIF($F$8:$F$55,$O17,$L$8:$L$55)</f>
        <v>0</v>
      </c>
      <c r="T17" s="445" t="s">
        <v>55</v>
      </c>
      <c r="U17" s="392"/>
      <c r="V17" s="392" t="str">
        <f>O17</f>
        <v>Chili</v>
      </c>
      <c r="W17" s="392" t="s">
        <v>54</v>
      </c>
      <c r="Y17" s="109">
        <f t="shared" si="8"/>
        <v>5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5</v>
      </c>
      <c r="AG17" s="108">
        <f t="shared" si="0"/>
        <v>0</v>
      </c>
      <c r="AH17" s="108">
        <f t="shared" si="1"/>
        <v>0</v>
      </c>
      <c r="AI17" s="108">
        <f t="shared" si="10"/>
        <v>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3</v>
      </c>
      <c r="H18" s="379" t="s">
        <v>9</v>
      </c>
      <c r="I18" s="442">
        <v>1</v>
      </c>
      <c r="J18" s="381">
        <f t="shared" si="5"/>
        <v>1</v>
      </c>
      <c r="K18" s="363">
        <f t="shared" si="6"/>
        <v>3</v>
      </c>
      <c r="L18" s="363">
        <f t="shared" si="7"/>
        <v>0</v>
      </c>
      <c r="O18" s="401" t="s">
        <v>16</v>
      </c>
      <c r="P18" s="402">
        <f>SUMIF($D$8:$D$55,$O18,$G$8:$G$55)+SUMIF($F$8:$F$55,$O18,$I$8:$I$55)</f>
        <v>2</v>
      </c>
      <c r="Q18" s="402">
        <f>SUMIF($D$8:$D$55,$O18,$I$8:$I$55)+SUMIF($F$8:$F$55,$O18,$G$8:$G$55)</f>
        <v>3</v>
      </c>
      <c r="R18" s="402">
        <f>P18-Q18</f>
        <v>-1</v>
      </c>
      <c r="S18" s="403">
        <f>SUMIF($D$8:$D$55,$O18,$K$8:$K$55)+SUMIF($F$8:$F$55,$O18,$L$8:$L$55)</f>
        <v>3</v>
      </c>
      <c r="T18" s="446" t="s">
        <v>54</v>
      </c>
      <c r="U18" s="392"/>
      <c r="V18" s="392" t="str">
        <f>O18</f>
        <v>Australië</v>
      </c>
      <c r="W18" s="392" t="s">
        <v>55</v>
      </c>
      <c r="Y18" s="109">
        <f t="shared" si="8"/>
        <v>6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6</v>
      </c>
      <c r="AG18" s="108">
        <f t="shared" si="0"/>
        <v>0</v>
      </c>
      <c r="AH18" s="108">
        <f t="shared" si="1"/>
        <v>1</v>
      </c>
      <c r="AI18" s="108">
        <f t="shared" si="10"/>
        <v>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0</v>
      </c>
      <c r="AN18" s="118" t="s">
        <v>16</v>
      </c>
      <c r="AO18" s="115">
        <f>IF(Uitslag!T18="",0,IF(T18=Uitslag!T18,10,0))</f>
        <v>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2</v>
      </c>
      <c r="H19" s="367" t="s">
        <v>9</v>
      </c>
      <c r="I19" s="440">
        <v>1</v>
      </c>
      <c r="J19" s="369">
        <f t="shared" si="5"/>
        <v>1</v>
      </c>
      <c r="K19" s="363">
        <f t="shared" si="6"/>
        <v>3</v>
      </c>
      <c r="L19" s="363">
        <f t="shared" si="7"/>
        <v>0</v>
      </c>
      <c r="O19" s="392"/>
      <c r="P19" s="393"/>
      <c r="Q19" s="393"/>
      <c r="R19" s="393"/>
      <c r="S19" s="393"/>
      <c r="T19" s="393"/>
      <c r="U19" s="392"/>
      <c r="V19" s="392"/>
      <c r="W19" s="392"/>
      <c r="Y19" s="109">
        <f t="shared" si="8"/>
        <v>5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5</v>
      </c>
      <c r="AG19" s="108">
        <f t="shared" si="0"/>
        <v>0</v>
      </c>
      <c r="AH19" s="108">
        <f t="shared" si="1"/>
        <v>0</v>
      </c>
      <c r="AI19" s="108">
        <f t="shared" si="10"/>
        <v>0</v>
      </c>
      <c r="AJ19" s="108">
        <f t="shared" si="2"/>
        <v>5</v>
      </c>
      <c r="AK19" s="108">
        <f t="shared" si="3"/>
        <v>0</v>
      </c>
      <c r="AL19" s="108">
        <f t="shared" si="4"/>
        <v>0</v>
      </c>
      <c r="AN19" s="392"/>
      <c r="AO19" s="393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0</v>
      </c>
      <c r="H20" s="373" t="s">
        <v>9</v>
      </c>
      <c r="I20" s="441">
        <v>1</v>
      </c>
      <c r="J20" s="375">
        <f t="shared" si="5"/>
        <v>2</v>
      </c>
      <c r="K20" s="363">
        <f t="shared" si="6"/>
        <v>0</v>
      </c>
      <c r="L20" s="363">
        <f t="shared" si="7"/>
        <v>3</v>
      </c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392"/>
      <c r="V20" s="392"/>
      <c r="W20" s="392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0"/>
        <v>1</v>
      </c>
      <c r="AH20" s="108">
        <f t="shared" si="1"/>
        <v>0</v>
      </c>
      <c r="AI20" s="108">
        <f t="shared" si="10"/>
        <v>0</v>
      </c>
      <c r="AJ20" s="108">
        <f t="shared" si="2"/>
        <v>0</v>
      </c>
      <c r="AK20" s="108">
        <f t="shared" si="3"/>
        <v>0</v>
      </c>
      <c r="AL20" s="108">
        <f t="shared" si="4"/>
        <v>0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2</v>
      </c>
      <c r="H21" s="379" t="s">
        <v>9</v>
      </c>
      <c r="I21" s="442">
        <v>1</v>
      </c>
      <c r="J21" s="381">
        <f t="shared" si="5"/>
        <v>1</v>
      </c>
      <c r="K21" s="363">
        <f t="shared" si="6"/>
        <v>3</v>
      </c>
      <c r="L21" s="363">
        <f t="shared" si="7"/>
        <v>0</v>
      </c>
      <c r="O21" s="394" t="s">
        <v>17</v>
      </c>
      <c r="P21" s="395">
        <f>SUMIF($D$8:$D$55,$O21,$G$8:$G$55)+SUMIF($F$8:$F$55,$O21,$I$8:$I$55)</f>
        <v>6</v>
      </c>
      <c r="Q21" s="395">
        <f>SUMIF($D$8:$D$55,$O21,$I$8:$I$55)+SUMIF($F$8:$F$55,$O21,$G$8:$G$55)</f>
        <v>1</v>
      </c>
      <c r="R21" s="396">
        <f>P21-Q21</f>
        <v>5</v>
      </c>
      <c r="S21" s="397">
        <f>SUMIF($D$8:$D$55,$O21,$K$8:$K$55)+SUMIF($F$8:$F$55,$O21,$L$8:$L$55)</f>
        <v>9</v>
      </c>
      <c r="T21" s="444" t="s">
        <v>57</v>
      </c>
      <c r="U21" s="392"/>
      <c r="V21" s="392" t="str">
        <f>O21</f>
        <v>Colombia</v>
      </c>
      <c r="W21" s="392" t="s">
        <v>57</v>
      </c>
      <c r="Y21" s="109">
        <f t="shared" si="8"/>
        <v>0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0</v>
      </c>
      <c r="AG21" s="108">
        <f t="shared" si="0"/>
        <v>0</v>
      </c>
      <c r="AH21" s="108">
        <f t="shared" si="1"/>
        <v>0</v>
      </c>
      <c r="AI21" s="108">
        <f t="shared" si="10"/>
        <v>0</v>
      </c>
      <c r="AJ21" s="108">
        <f t="shared" si="2"/>
        <v>0</v>
      </c>
      <c r="AK21" s="108">
        <f t="shared" si="3"/>
        <v>0</v>
      </c>
      <c r="AL21" s="108">
        <f t="shared" si="4"/>
        <v>0</v>
      </c>
      <c r="AM21" s="120">
        <f>AO21</f>
        <v>10</v>
      </c>
      <c r="AN21" s="116" t="s">
        <v>17</v>
      </c>
      <c r="AO21" s="115">
        <f>IF(Uitslag!T21="",0,IF(T21=Uitslag!T21,10,0))</f>
        <v>10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1</v>
      </c>
      <c r="H22" s="367" t="s">
        <v>9</v>
      </c>
      <c r="I22" s="440">
        <v>1</v>
      </c>
      <c r="J22" s="369">
        <f t="shared" si="5"/>
        <v>3</v>
      </c>
      <c r="K22" s="363">
        <f t="shared" si="6"/>
        <v>1</v>
      </c>
      <c r="L22" s="363">
        <f t="shared" si="7"/>
        <v>1</v>
      </c>
      <c r="O22" s="398" t="s">
        <v>18</v>
      </c>
      <c r="P22" s="399">
        <f>SUMIF($D$8:$D$55,$O22,$G$8:$G$55)+SUMIF($F$8:$F$55,$O22,$I$8:$I$55)</f>
        <v>0</v>
      </c>
      <c r="Q22" s="399">
        <f>SUMIF($D$8:$D$55,$O22,$I$8:$I$55)+SUMIF($F$8:$F$55,$O22,$G$8:$G$55)</f>
        <v>4</v>
      </c>
      <c r="R22" s="399">
        <f>P22-Q22</f>
        <v>-4</v>
      </c>
      <c r="S22" s="400">
        <f>SUMIF($D$8:$D$55,$O22,$K$8:$K$55)+SUMIF($F$8:$F$55,$O22,$L$8:$L$55)</f>
        <v>0</v>
      </c>
      <c r="T22" s="445" t="s">
        <v>60</v>
      </c>
      <c r="U22" s="392"/>
      <c r="V22" s="392" t="str">
        <f>O22</f>
        <v>Griekenland</v>
      </c>
      <c r="W22" s="392" t="s">
        <v>58</v>
      </c>
      <c r="Y22" s="109">
        <f t="shared" si="8"/>
        <v>1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1</v>
      </c>
      <c r="AG22" s="108">
        <f t="shared" si="0"/>
        <v>0</v>
      </c>
      <c r="AH22" s="108">
        <f t="shared" si="1"/>
        <v>1</v>
      </c>
      <c r="AI22" s="108">
        <f t="shared" si="10"/>
        <v>0</v>
      </c>
      <c r="AJ22" s="108">
        <f t="shared" si="2"/>
        <v>0</v>
      </c>
      <c r="AK22" s="108">
        <f t="shared" si="3"/>
        <v>0</v>
      </c>
      <c r="AL22" s="108">
        <f t="shared" si="4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3</v>
      </c>
      <c r="H23" s="373" t="s">
        <v>9</v>
      </c>
      <c r="I23" s="441">
        <v>1</v>
      </c>
      <c r="J23" s="375">
        <f t="shared" si="5"/>
        <v>1</v>
      </c>
      <c r="K23" s="363">
        <f t="shared" si="6"/>
        <v>3</v>
      </c>
      <c r="L23" s="363">
        <f t="shared" si="7"/>
        <v>0</v>
      </c>
      <c r="O23" s="398" t="s">
        <v>23</v>
      </c>
      <c r="P23" s="399">
        <f>SUMIF($D$8:$D$55,$O23,$G$8:$G$55)+SUMIF($F$8:$F$55,$O23,$I$8:$I$55)</f>
        <v>3</v>
      </c>
      <c r="Q23" s="399">
        <f>SUMIF($D$8:$D$55,$O23,$I$8:$I$55)+SUMIF($F$8:$F$55,$O23,$G$8:$G$55)</f>
        <v>2</v>
      </c>
      <c r="R23" s="399">
        <f>P23-Q23</f>
        <v>1</v>
      </c>
      <c r="S23" s="400">
        <f>SUMIF($D$8:$D$55,$O23,$K$8:$K$55)+SUMIF($F$8:$F$55,$O23,$L$8:$L$55)</f>
        <v>6</v>
      </c>
      <c r="T23" s="445" t="s">
        <v>58</v>
      </c>
      <c r="U23" s="392"/>
      <c r="V23" s="392" t="str">
        <f>O23</f>
        <v>Ivoorkust</v>
      </c>
      <c r="W23" s="392" t="s">
        <v>59</v>
      </c>
      <c r="Y23" s="109">
        <f t="shared" si="8"/>
        <v>0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0</v>
      </c>
      <c r="AG23" s="108">
        <f t="shared" si="0"/>
        <v>0</v>
      </c>
      <c r="AH23" s="108">
        <f t="shared" si="1"/>
        <v>0</v>
      </c>
      <c r="AI23" s="108">
        <f t="shared" si="10"/>
        <v>0</v>
      </c>
      <c r="AJ23" s="108">
        <f t="shared" si="2"/>
        <v>0</v>
      </c>
      <c r="AK23" s="108">
        <f t="shared" si="3"/>
        <v>0</v>
      </c>
      <c r="AL23" s="108">
        <f t="shared" si="4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1</v>
      </c>
      <c r="H24" s="379" t="s">
        <v>9</v>
      </c>
      <c r="I24" s="442">
        <v>0</v>
      </c>
      <c r="J24" s="381">
        <f t="shared" si="5"/>
        <v>1</v>
      </c>
      <c r="K24" s="363">
        <f t="shared" si="6"/>
        <v>3</v>
      </c>
      <c r="L24" s="363">
        <f t="shared" si="7"/>
        <v>0</v>
      </c>
      <c r="O24" s="401" t="s">
        <v>24</v>
      </c>
      <c r="P24" s="402">
        <f>SUMIF($D$8:$D$55,$O24,$G$8:$G$55)+SUMIF($F$8:$F$55,$O24,$I$8:$I$55)</f>
        <v>1</v>
      </c>
      <c r="Q24" s="402">
        <f>SUMIF($D$8:$D$55,$O24,$I$8:$I$55)+SUMIF($F$8:$F$55,$O24,$G$8:$G$55)</f>
        <v>3</v>
      </c>
      <c r="R24" s="402">
        <f>P24-Q24</f>
        <v>-2</v>
      </c>
      <c r="S24" s="403">
        <f>SUMIF($D$8:$D$55,$O24,$K$8:$K$55)+SUMIF($F$8:$F$55,$O24,$L$8:$L$55)</f>
        <v>3</v>
      </c>
      <c r="T24" s="446" t="s">
        <v>59</v>
      </c>
      <c r="U24" s="392"/>
      <c r="V24" s="392" t="str">
        <f>O24</f>
        <v>Japan</v>
      </c>
      <c r="W24" s="392" t="s">
        <v>60</v>
      </c>
      <c r="Y24" s="109">
        <f t="shared" si="8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</v>
      </c>
      <c r="AG24" s="108">
        <f t="shared" si="0"/>
        <v>1</v>
      </c>
      <c r="AH24" s="108">
        <f t="shared" si="1"/>
        <v>0</v>
      </c>
      <c r="AI24" s="108">
        <f t="shared" si="10"/>
        <v>0</v>
      </c>
      <c r="AJ24" s="108">
        <f t="shared" si="2"/>
        <v>0</v>
      </c>
      <c r="AK24" s="108">
        <f t="shared" si="3"/>
        <v>0</v>
      </c>
      <c r="AL24" s="108">
        <f t="shared" si="4"/>
        <v>0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0</v>
      </c>
      <c r="H25" s="367" t="s">
        <v>9</v>
      </c>
      <c r="I25" s="440">
        <v>1</v>
      </c>
      <c r="J25" s="369">
        <f t="shared" si="5"/>
        <v>2</v>
      </c>
      <c r="K25" s="363">
        <f t="shared" si="6"/>
        <v>0</v>
      </c>
      <c r="L25" s="363">
        <f t="shared" si="7"/>
        <v>3</v>
      </c>
      <c r="O25" s="392"/>
      <c r="P25" s="393"/>
      <c r="Q25" s="393"/>
      <c r="R25" s="393"/>
      <c r="S25" s="393"/>
      <c r="T25" s="393"/>
      <c r="U25" s="392"/>
      <c r="V25" s="392"/>
      <c r="W25" s="392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0"/>
        <v>0</v>
      </c>
      <c r="AH25" s="108">
        <f t="shared" si="1"/>
        <v>0</v>
      </c>
      <c r="AI25" s="108">
        <f t="shared" si="10"/>
        <v>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392"/>
      <c r="AO25" s="393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2</v>
      </c>
      <c r="H26" s="373" t="s">
        <v>9</v>
      </c>
      <c r="I26" s="441">
        <v>0</v>
      </c>
      <c r="J26" s="375">
        <f t="shared" si="5"/>
        <v>1</v>
      </c>
      <c r="K26" s="363">
        <f t="shared" si="6"/>
        <v>3</v>
      </c>
      <c r="L26" s="363">
        <f t="shared" si="7"/>
        <v>0</v>
      </c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392"/>
      <c r="V26" s="392"/>
      <c r="W26" s="392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0"/>
        <v>0</v>
      </c>
      <c r="AH26" s="108">
        <f t="shared" si="1"/>
        <v>0</v>
      </c>
      <c r="AI26" s="108">
        <f t="shared" si="10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1</v>
      </c>
      <c r="H27" s="379" t="s">
        <v>9</v>
      </c>
      <c r="I27" s="442">
        <v>0</v>
      </c>
      <c r="J27" s="381">
        <f t="shared" si="5"/>
        <v>1</v>
      </c>
      <c r="K27" s="363">
        <f t="shared" si="6"/>
        <v>3</v>
      </c>
      <c r="L27" s="363">
        <f t="shared" si="7"/>
        <v>0</v>
      </c>
      <c r="O27" s="394" t="s">
        <v>19</v>
      </c>
      <c r="P27" s="395">
        <f>SUMIF($D$8:$D$55,$O27,$G$8:$G$55)+SUMIF($F$8:$F$55,$O27,$I$8:$I$55)</f>
        <v>1</v>
      </c>
      <c r="Q27" s="395">
        <f>SUMIF($D$8:$D$55,$O27,$I$8:$I$55)+SUMIF($F$8:$F$55,$O27,$G$8:$G$55)</f>
        <v>5</v>
      </c>
      <c r="R27" s="396">
        <f>P27-Q27</f>
        <v>-4</v>
      </c>
      <c r="S27" s="397">
        <f>SUMIF($D$8:$D$55,$O27,$K$8:$K$55)+SUMIF($F$8:$F$55,$O27,$L$8:$L$55)</f>
        <v>1</v>
      </c>
      <c r="T27" s="444" t="s">
        <v>65</v>
      </c>
      <c r="U27" s="392"/>
      <c r="V27" s="392" t="str">
        <f>O27</f>
        <v>Uruguay</v>
      </c>
      <c r="W27" s="392" t="s">
        <v>62</v>
      </c>
      <c r="Y27" s="109">
        <f t="shared" si="8"/>
        <v>0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0</v>
      </c>
      <c r="AG27" s="108">
        <f t="shared" si="0"/>
        <v>0</v>
      </c>
      <c r="AH27" s="108">
        <f t="shared" si="1"/>
        <v>0</v>
      </c>
      <c r="AI27" s="108">
        <f t="shared" si="10"/>
        <v>0</v>
      </c>
      <c r="AJ27" s="108">
        <f t="shared" si="2"/>
        <v>0</v>
      </c>
      <c r="AK27" s="108">
        <f t="shared" si="3"/>
        <v>0</v>
      </c>
      <c r="AL27" s="108">
        <f t="shared" si="4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2</v>
      </c>
      <c r="H28" s="367" t="s">
        <v>9</v>
      </c>
      <c r="I28" s="440">
        <v>1</v>
      </c>
      <c r="J28" s="369">
        <f t="shared" si="5"/>
        <v>1</v>
      </c>
      <c r="K28" s="363">
        <f t="shared" si="6"/>
        <v>3</v>
      </c>
      <c r="L28" s="363">
        <f t="shared" si="7"/>
        <v>0</v>
      </c>
      <c r="O28" s="398" t="s">
        <v>20</v>
      </c>
      <c r="P28" s="399">
        <f>SUMIF($D$8:$D$55,$O28,$G$8:$G$55)+SUMIF($F$8:$F$55,$O28,$I$8:$I$55)</f>
        <v>3</v>
      </c>
      <c r="Q28" s="399">
        <f>SUMIF($D$8:$D$55,$O28,$I$8:$I$55)+SUMIF($F$8:$F$55,$O28,$G$8:$G$55)</f>
        <v>4</v>
      </c>
      <c r="R28" s="399">
        <f>P28-Q28</f>
        <v>-1</v>
      </c>
      <c r="S28" s="400">
        <f>SUMIF($D$8:$D$55,$O28,$K$8:$K$55)+SUMIF($F$8:$F$55,$O28,$L$8:$L$55)</f>
        <v>4</v>
      </c>
      <c r="T28" s="445" t="s">
        <v>63</v>
      </c>
      <c r="U28" s="392"/>
      <c r="V28" s="392" t="str">
        <f>O28</f>
        <v>Costa Rica</v>
      </c>
      <c r="W28" s="392" t="s">
        <v>63</v>
      </c>
      <c r="Y28" s="109">
        <f t="shared" si="8"/>
        <v>10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10</v>
      </c>
      <c r="AG28" s="108">
        <f t="shared" si="0"/>
        <v>1</v>
      </c>
      <c r="AH28" s="108">
        <f t="shared" si="1"/>
        <v>1</v>
      </c>
      <c r="AI28" s="108">
        <f t="shared" si="10"/>
        <v>10</v>
      </c>
      <c r="AJ28" s="108">
        <f t="shared" si="2"/>
        <v>5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0</v>
      </c>
      <c r="H29" s="373" t="s">
        <v>9</v>
      </c>
      <c r="I29" s="441">
        <v>2</v>
      </c>
      <c r="J29" s="375">
        <f t="shared" si="5"/>
        <v>2</v>
      </c>
      <c r="K29" s="363">
        <f t="shared" si="6"/>
        <v>0</v>
      </c>
      <c r="L29" s="363">
        <f t="shared" si="7"/>
        <v>3</v>
      </c>
      <c r="O29" s="398" t="s">
        <v>21</v>
      </c>
      <c r="P29" s="399">
        <f>SUMIF($D$8:$D$55,$O29,$G$8:$G$55)+SUMIF($F$8:$F$55,$O29,$I$8:$I$55)</f>
        <v>7</v>
      </c>
      <c r="Q29" s="399">
        <f>SUMIF($D$8:$D$55,$O29,$I$8:$I$55)+SUMIF($F$8:$F$55,$O29,$G$8:$G$55)</f>
        <v>1</v>
      </c>
      <c r="R29" s="399">
        <f>P29-Q29</f>
        <v>6</v>
      </c>
      <c r="S29" s="400">
        <f>SUMIF($D$8:$D$55,$O29,$K$8:$K$55)+SUMIF($F$8:$F$55,$O29,$L$8:$L$55)</f>
        <v>9</v>
      </c>
      <c r="T29" s="445" t="s">
        <v>62</v>
      </c>
      <c r="U29" s="392"/>
      <c r="V29" s="392" t="str">
        <f>O29</f>
        <v>Engeland</v>
      </c>
      <c r="W29" s="392" t="s">
        <v>64</v>
      </c>
      <c r="Y29" s="109">
        <f t="shared" si="8"/>
        <v>0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0</v>
      </c>
      <c r="AG29" s="108">
        <f t="shared" si="0"/>
        <v>0</v>
      </c>
      <c r="AH29" s="108">
        <f t="shared" si="1"/>
        <v>0</v>
      </c>
      <c r="AI29" s="108">
        <f t="shared" si="10"/>
        <v>0</v>
      </c>
      <c r="AJ29" s="108">
        <f t="shared" si="2"/>
        <v>0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1</v>
      </c>
      <c r="H30" s="379" t="s">
        <v>9</v>
      </c>
      <c r="I30" s="442">
        <v>0</v>
      </c>
      <c r="J30" s="381">
        <f t="shared" si="5"/>
        <v>1</v>
      </c>
      <c r="K30" s="363">
        <f t="shared" si="6"/>
        <v>3</v>
      </c>
      <c r="L30" s="363">
        <f t="shared" si="7"/>
        <v>0</v>
      </c>
      <c r="O30" s="401" t="s">
        <v>22</v>
      </c>
      <c r="P30" s="402">
        <f>SUMIF($D$8:$D$55,$O30,$G$8:$G$55)+SUMIF($F$8:$F$55,$O30,$I$8:$I$55)</f>
        <v>2</v>
      </c>
      <c r="Q30" s="402">
        <f>SUMIF($D$8:$D$55,$O30,$I$8:$I$55)+SUMIF($F$8:$F$55,$O30,$G$8:$G$55)</f>
        <v>3</v>
      </c>
      <c r="R30" s="402">
        <f>P30-Q30</f>
        <v>-1</v>
      </c>
      <c r="S30" s="403">
        <f>SUMIF($D$8:$D$55,$O30,$K$8:$K$55)+SUMIF($F$8:$F$55,$O30,$L$8:$L$55)</f>
        <v>3</v>
      </c>
      <c r="T30" s="446" t="s">
        <v>64</v>
      </c>
      <c r="U30" s="392"/>
      <c r="V30" s="392" t="str">
        <f>O30</f>
        <v>Italië</v>
      </c>
      <c r="W30" s="392" t="s">
        <v>65</v>
      </c>
      <c r="Y30" s="109">
        <f t="shared" si="8"/>
        <v>1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1</v>
      </c>
      <c r="AG30" s="108">
        <f t="shared" si="0"/>
        <v>0</v>
      </c>
      <c r="AH30" s="108">
        <f t="shared" si="1"/>
        <v>1</v>
      </c>
      <c r="AI30" s="108">
        <f t="shared" si="10"/>
        <v>0</v>
      </c>
      <c r="AJ30" s="108">
        <f t="shared" si="2"/>
        <v>0</v>
      </c>
      <c r="AK30" s="108">
        <f t="shared" si="3"/>
        <v>0</v>
      </c>
      <c r="AL30" s="108">
        <f t="shared" si="4"/>
        <v>0</v>
      </c>
      <c r="AM30" s="120">
        <f>AO30</f>
        <v>10</v>
      </c>
      <c r="AN30" s="118" t="s">
        <v>22</v>
      </c>
      <c r="AO30" s="115">
        <f>IF(Uitslag!T30="",0,IF(T30=Uitslag!T30,10,0))</f>
        <v>10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0</v>
      </c>
      <c r="H31" s="367" t="s">
        <v>9</v>
      </c>
      <c r="I31" s="440">
        <v>1</v>
      </c>
      <c r="J31" s="369">
        <f t="shared" si="5"/>
        <v>2</v>
      </c>
      <c r="K31" s="363">
        <f t="shared" si="6"/>
        <v>0</v>
      </c>
      <c r="L31" s="363">
        <f t="shared" si="7"/>
        <v>3</v>
      </c>
      <c r="O31" s="392"/>
      <c r="P31" s="393"/>
      <c r="Q31" s="393"/>
      <c r="R31" s="393"/>
      <c r="S31" s="393"/>
      <c r="T31" s="393"/>
      <c r="U31" s="392"/>
      <c r="V31" s="392"/>
      <c r="W31" s="392"/>
      <c r="Y31" s="109">
        <f t="shared" si="8"/>
        <v>10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10</v>
      </c>
      <c r="AG31" s="108">
        <f t="shared" si="0"/>
        <v>1</v>
      </c>
      <c r="AH31" s="108">
        <f t="shared" si="1"/>
        <v>1</v>
      </c>
      <c r="AI31" s="108">
        <f t="shared" si="10"/>
        <v>10</v>
      </c>
      <c r="AJ31" s="108">
        <f t="shared" si="2"/>
        <v>0</v>
      </c>
      <c r="AK31" s="108">
        <f t="shared" si="3"/>
        <v>5</v>
      </c>
      <c r="AL31" s="108">
        <f t="shared" si="4"/>
        <v>0</v>
      </c>
      <c r="AN31" s="392"/>
      <c r="AO31" s="393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1</v>
      </c>
      <c r="H32" s="373" t="s">
        <v>9</v>
      </c>
      <c r="I32" s="441">
        <v>2</v>
      </c>
      <c r="J32" s="375">
        <f t="shared" si="5"/>
        <v>2</v>
      </c>
      <c r="K32" s="363">
        <f t="shared" si="6"/>
        <v>0</v>
      </c>
      <c r="L32" s="363">
        <f t="shared" si="7"/>
        <v>3</v>
      </c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392"/>
      <c r="V32" s="392"/>
      <c r="W32" s="392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0"/>
        <v>0</v>
      </c>
      <c r="AH32" s="108">
        <f t="shared" si="1"/>
        <v>0</v>
      </c>
      <c r="AI32" s="108">
        <f t="shared" si="10"/>
        <v>0</v>
      </c>
      <c r="AJ32" s="108">
        <f t="shared" si="2"/>
        <v>0</v>
      </c>
      <c r="AK32" s="108">
        <f t="shared" si="3"/>
        <v>5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0</v>
      </c>
      <c r="H33" s="379" t="s">
        <v>9</v>
      </c>
      <c r="I33" s="442">
        <v>1</v>
      </c>
      <c r="J33" s="381">
        <f t="shared" si="5"/>
        <v>2</v>
      </c>
      <c r="K33" s="363">
        <f t="shared" si="6"/>
        <v>0</v>
      </c>
      <c r="L33" s="363">
        <f t="shared" si="7"/>
        <v>3</v>
      </c>
      <c r="O33" s="394" t="s">
        <v>25</v>
      </c>
      <c r="P33" s="395">
        <f>SUMIF($D$8:$D$55,$O33,$G$8:$G$55)+SUMIF($F$8:$F$55,$O33,$I$8:$I$55)</f>
        <v>2</v>
      </c>
      <c r="Q33" s="395">
        <f>SUMIF($D$8:$D$55,$O33,$I$8:$I$55)+SUMIF($F$8:$F$55,$O33,$G$8:$G$55)</f>
        <v>3</v>
      </c>
      <c r="R33" s="396">
        <f>P33-Q33</f>
        <v>-1</v>
      </c>
      <c r="S33" s="397">
        <f>SUMIF($D$8:$D$55,$O33,$K$8:$K$55)+SUMIF($F$8:$F$55,$O33,$L$8:$L$55)</f>
        <v>3</v>
      </c>
      <c r="T33" s="444" t="s">
        <v>69</v>
      </c>
      <c r="U33" s="392"/>
      <c r="V33" s="392" t="str">
        <f>O33</f>
        <v>Zwitserland</v>
      </c>
      <c r="W33" s="392" t="s">
        <v>67</v>
      </c>
      <c r="Y33" s="109">
        <f t="shared" si="8"/>
        <v>5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5</v>
      </c>
      <c r="AG33" s="108">
        <f t="shared" si="0"/>
        <v>0</v>
      </c>
      <c r="AH33" s="108">
        <f t="shared" si="1"/>
        <v>0</v>
      </c>
      <c r="AI33" s="108">
        <f t="shared" si="10"/>
        <v>0</v>
      </c>
      <c r="AJ33" s="108">
        <f t="shared" si="2"/>
        <v>0</v>
      </c>
      <c r="AK33" s="108">
        <f t="shared" si="3"/>
        <v>5</v>
      </c>
      <c r="AL33" s="108">
        <f t="shared" si="4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3</v>
      </c>
      <c r="H34" s="367" t="s">
        <v>9</v>
      </c>
      <c r="I34" s="440">
        <v>0</v>
      </c>
      <c r="J34" s="369">
        <f t="shared" si="5"/>
        <v>1</v>
      </c>
      <c r="K34" s="363">
        <f t="shared" si="6"/>
        <v>3</v>
      </c>
      <c r="L34" s="363">
        <f t="shared" si="7"/>
        <v>0</v>
      </c>
      <c r="O34" s="398" t="s">
        <v>26</v>
      </c>
      <c r="P34" s="399">
        <f>SUMIF($D$8:$D$55,$O34,$G$8:$G$55)+SUMIF($F$8:$F$55,$O34,$I$8:$I$55)</f>
        <v>3</v>
      </c>
      <c r="Q34" s="399">
        <f>SUMIF($D$8:$D$55,$O34,$I$8:$I$55)+SUMIF($F$8:$F$55,$O34,$G$8:$G$55)</f>
        <v>2</v>
      </c>
      <c r="R34" s="399">
        <f>P34-Q34</f>
        <v>1</v>
      </c>
      <c r="S34" s="400">
        <f>SUMIF($D$8:$D$55,$O34,$K$8:$K$55)+SUMIF($F$8:$F$55,$O34,$L$8:$L$55)</f>
        <v>6</v>
      </c>
      <c r="T34" s="445" t="s">
        <v>68</v>
      </c>
      <c r="U34" s="392"/>
      <c r="V34" s="392" t="str">
        <f>O34</f>
        <v>Ecuador</v>
      </c>
      <c r="W34" s="392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0"/>
        <v>0</v>
      </c>
      <c r="AH34" s="108">
        <f t="shared" si="1"/>
        <v>1</v>
      </c>
      <c r="AI34" s="108">
        <f t="shared" si="10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2</v>
      </c>
      <c r="H35" s="373" t="s">
        <v>9</v>
      </c>
      <c r="I35" s="441">
        <v>1</v>
      </c>
      <c r="J35" s="375">
        <f t="shared" si="5"/>
        <v>1</v>
      </c>
      <c r="K35" s="363">
        <f t="shared" si="6"/>
        <v>3</v>
      </c>
      <c r="L35" s="363">
        <f t="shared" si="7"/>
        <v>0</v>
      </c>
      <c r="O35" s="398" t="s">
        <v>27</v>
      </c>
      <c r="P35" s="399">
        <f>SUMIF($D$8:$D$55,$O35,$G$8:$G$55)+SUMIF($F$8:$F$55,$O35,$I$8:$I$55)</f>
        <v>6</v>
      </c>
      <c r="Q35" s="399">
        <f>SUMIF($D$8:$D$55,$O35,$I$8:$I$55)+SUMIF($F$8:$F$55,$O35,$G$8:$G$55)</f>
        <v>3</v>
      </c>
      <c r="R35" s="399">
        <f>P35-Q35</f>
        <v>3</v>
      </c>
      <c r="S35" s="400">
        <f>SUMIF($D$8:$D$55,$O35,$K$8:$K$55)+SUMIF($F$8:$F$55,$O35,$L$8:$L$55)</f>
        <v>9</v>
      </c>
      <c r="T35" s="445" t="s">
        <v>67</v>
      </c>
      <c r="U35" s="392"/>
      <c r="V35" s="392" t="str">
        <f>O35</f>
        <v>Frankrijk</v>
      </c>
      <c r="W35" s="392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0"/>
        <v>1</v>
      </c>
      <c r="AH35" s="108">
        <f t="shared" si="1"/>
        <v>0</v>
      </c>
      <c r="AI35" s="108">
        <f t="shared" si="10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0</v>
      </c>
      <c r="H36" s="379" t="s">
        <v>9</v>
      </c>
      <c r="I36" s="442">
        <v>0</v>
      </c>
      <c r="J36" s="381">
        <f t="shared" si="5"/>
        <v>3</v>
      </c>
      <c r="K36" s="363">
        <f t="shared" si="6"/>
        <v>1</v>
      </c>
      <c r="L36" s="363">
        <f t="shared" si="7"/>
        <v>1</v>
      </c>
      <c r="O36" s="401" t="s">
        <v>28</v>
      </c>
      <c r="P36" s="402">
        <f>SUMIF($D$8:$D$55,$O36,$G$8:$G$55)+SUMIF($F$8:$F$55,$O36,$I$8:$I$55)</f>
        <v>1</v>
      </c>
      <c r="Q36" s="402">
        <f>SUMIF($D$8:$D$55,$O36,$I$8:$I$55)+SUMIF($F$8:$F$55,$O36,$G$8:$G$55)</f>
        <v>4</v>
      </c>
      <c r="R36" s="402">
        <f>P36-Q36</f>
        <v>-3</v>
      </c>
      <c r="S36" s="403">
        <f>SUMIF($D$8:$D$55,$O36,$K$8:$K$55)+SUMIF($F$8:$F$55,$O36,$L$8:$L$55)</f>
        <v>0</v>
      </c>
      <c r="T36" s="446" t="s">
        <v>70</v>
      </c>
      <c r="U36" s="392"/>
      <c r="V36" s="392" t="str">
        <f>O36</f>
        <v>Honduras</v>
      </c>
      <c r="W36" s="392" t="s">
        <v>70</v>
      </c>
      <c r="Y36" s="109">
        <f t="shared" si="8"/>
        <v>1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1</v>
      </c>
      <c r="AG36" s="108">
        <f t="shared" si="0"/>
        <v>0</v>
      </c>
      <c r="AH36" s="108">
        <f t="shared" si="1"/>
        <v>1</v>
      </c>
      <c r="AI36" s="108">
        <f t="shared" si="10"/>
        <v>0</v>
      </c>
      <c r="AJ36" s="108">
        <f t="shared" si="2"/>
        <v>0</v>
      </c>
      <c r="AK36" s="108">
        <f t="shared" si="3"/>
        <v>0</v>
      </c>
      <c r="AL36" s="108">
        <f t="shared" si="4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1</v>
      </c>
      <c r="H37" s="367" t="s">
        <v>9</v>
      </c>
      <c r="I37" s="440">
        <v>0</v>
      </c>
      <c r="J37" s="369">
        <f t="shared" si="5"/>
        <v>1</v>
      </c>
      <c r="K37" s="363">
        <f t="shared" si="6"/>
        <v>3</v>
      </c>
      <c r="L37" s="363">
        <f t="shared" si="7"/>
        <v>0</v>
      </c>
      <c r="O37" s="392"/>
      <c r="P37" s="393"/>
      <c r="Q37" s="393"/>
      <c r="R37" s="393"/>
      <c r="S37" s="393"/>
      <c r="T37" s="393"/>
      <c r="U37" s="392"/>
      <c r="V37" s="392"/>
      <c r="W37" s="392"/>
      <c r="Y37" s="109">
        <f t="shared" si="8"/>
        <v>10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10</v>
      </c>
      <c r="AG37" s="108">
        <f t="shared" si="0"/>
        <v>1</v>
      </c>
      <c r="AH37" s="108">
        <f t="shared" si="1"/>
        <v>1</v>
      </c>
      <c r="AI37" s="108">
        <f t="shared" si="10"/>
        <v>10</v>
      </c>
      <c r="AJ37" s="108">
        <f t="shared" si="2"/>
        <v>5</v>
      </c>
      <c r="AK37" s="108">
        <f t="shared" si="3"/>
        <v>0</v>
      </c>
      <c r="AL37" s="108">
        <f t="shared" si="4"/>
        <v>0</v>
      </c>
      <c r="AN37" s="392"/>
      <c r="AO37" s="393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0</v>
      </c>
      <c r="H38" s="373" t="s">
        <v>9</v>
      </c>
      <c r="I38" s="441">
        <v>0</v>
      </c>
      <c r="J38" s="375">
        <f t="shared" si="5"/>
        <v>3</v>
      </c>
      <c r="K38" s="363">
        <f t="shared" si="6"/>
        <v>1</v>
      </c>
      <c r="L38" s="363">
        <f t="shared" si="7"/>
        <v>1</v>
      </c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392"/>
      <c r="V38" s="392"/>
      <c r="W38" s="392"/>
      <c r="Y38" s="109">
        <f t="shared" si="8"/>
        <v>0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0</v>
      </c>
      <c r="AG38" s="108">
        <f t="shared" si="0"/>
        <v>0</v>
      </c>
      <c r="AH38" s="108">
        <f t="shared" si="1"/>
        <v>0</v>
      </c>
      <c r="AI38" s="108">
        <f t="shared" si="10"/>
        <v>0</v>
      </c>
      <c r="AJ38" s="108">
        <f t="shared" si="2"/>
        <v>0</v>
      </c>
      <c r="AK38" s="108">
        <f t="shared" si="3"/>
        <v>0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0</v>
      </c>
      <c r="H39" s="379" t="s">
        <v>9</v>
      </c>
      <c r="I39" s="442">
        <v>2</v>
      </c>
      <c r="J39" s="381">
        <f t="shared" si="5"/>
        <v>2</v>
      </c>
      <c r="K39" s="363">
        <f t="shared" si="6"/>
        <v>0</v>
      </c>
      <c r="L39" s="363">
        <f t="shared" si="7"/>
        <v>3</v>
      </c>
      <c r="O39" s="394" t="s">
        <v>29</v>
      </c>
      <c r="P39" s="395">
        <f>SUMIF($D$8:$D$55,$O39,$G$8:$G$55)+SUMIF($F$8:$F$55,$O39,$I$8:$I$55)</f>
        <v>8</v>
      </c>
      <c r="Q39" s="395">
        <f>SUMIF($D$8:$D$55,$O39,$I$8:$I$55)+SUMIF($F$8:$F$55,$O39,$G$8:$G$55)</f>
        <v>1</v>
      </c>
      <c r="R39" s="396">
        <f>P39-Q39</f>
        <v>7</v>
      </c>
      <c r="S39" s="397">
        <f>SUMIF($D$8:$D$55,$O39,$K$8:$K$55)+SUMIF($F$8:$F$55,$O39,$L$8:$L$55)</f>
        <v>9</v>
      </c>
      <c r="T39" s="444" t="s">
        <v>72</v>
      </c>
      <c r="U39" s="392"/>
      <c r="V39" s="392" t="str">
        <f>O39</f>
        <v>Argentinië</v>
      </c>
      <c r="W39" s="392" t="s">
        <v>72</v>
      </c>
      <c r="Y39" s="109">
        <f t="shared" si="8"/>
        <v>1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1</v>
      </c>
      <c r="AG39" s="108">
        <f t="shared" si="0"/>
        <v>0</v>
      </c>
      <c r="AH39" s="108">
        <f t="shared" si="1"/>
        <v>1</v>
      </c>
      <c r="AI39" s="108">
        <f t="shared" si="10"/>
        <v>0</v>
      </c>
      <c r="AJ39" s="108">
        <f t="shared" si="2"/>
        <v>0</v>
      </c>
      <c r="AK39" s="108">
        <f t="shared" si="3"/>
        <v>0</v>
      </c>
      <c r="AL39" s="108">
        <f t="shared" si="4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1</v>
      </c>
      <c r="H40" s="367" t="s">
        <v>9</v>
      </c>
      <c r="I40" s="440">
        <v>2</v>
      </c>
      <c r="J40" s="369">
        <f t="shared" si="5"/>
        <v>2</v>
      </c>
      <c r="K40" s="363">
        <f t="shared" si="6"/>
        <v>0</v>
      </c>
      <c r="L40" s="363">
        <f t="shared" si="7"/>
        <v>3</v>
      </c>
      <c r="O40" s="398" t="s">
        <v>30</v>
      </c>
      <c r="P40" s="399">
        <f>SUMIF($D$8:$D$55,$O40,$G$8:$G$55)+SUMIF($F$8:$F$55,$O40,$I$8:$I$55)</f>
        <v>1</v>
      </c>
      <c r="Q40" s="399">
        <f>SUMIF($D$8:$D$55,$O40,$I$8:$I$55)+SUMIF($F$8:$F$55,$O40,$G$8:$G$55)</f>
        <v>3</v>
      </c>
      <c r="R40" s="399">
        <f>P40-Q40</f>
        <v>-2</v>
      </c>
      <c r="S40" s="400">
        <f>SUMIF($D$8:$D$55,$O40,$K$8:$K$55)+SUMIF($F$8:$F$55,$O40,$L$8:$L$55)</f>
        <v>2</v>
      </c>
      <c r="T40" s="445" t="s">
        <v>74</v>
      </c>
      <c r="U40" s="392"/>
      <c r="V40" s="392" t="str">
        <f>O40</f>
        <v>Bosnië H.</v>
      </c>
      <c r="W40" s="392" t="s">
        <v>73</v>
      </c>
      <c r="Y40" s="109">
        <f t="shared" si="8"/>
        <v>5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5</v>
      </c>
      <c r="AG40" s="108">
        <f t="shared" si="0"/>
        <v>0</v>
      </c>
      <c r="AH40" s="108">
        <f t="shared" si="1"/>
        <v>0</v>
      </c>
      <c r="AI40" s="108">
        <f t="shared" si="10"/>
        <v>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1</v>
      </c>
      <c r="H41" s="373" t="s">
        <v>9</v>
      </c>
      <c r="I41" s="441">
        <v>0</v>
      </c>
      <c r="J41" s="375">
        <f t="shared" si="5"/>
        <v>1</v>
      </c>
      <c r="K41" s="363">
        <f t="shared" si="6"/>
        <v>3</v>
      </c>
      <c r="L41" s="363">
        <f t="shared" si="7"/>
        <v>0</v>
      </c>
      <c r="O41" s="398" t="s">
        <v>33</v>
      </c>
      <c r="P41" s="399">
        <f>SUMIF($D$8:$D$55,$O41,$G$8:$G$55)+SUMIF($F$8:$F$55,$O41,$I$8:$I$55)</f>
        <v>0</v>
      </c>
      <c r="Q41" s="399">
        <f>SUMIF($D$8:$D$55,$O41,$I$8:$I$55)+SUMIF($F$8:$F$55,$O41,$G$8:$G$55)</f>
        <v>4</v>
      </c>
      <c r="R41" s="399">
        <f>P41-Q41</f>
        <v>-4</v>
      </c>
      <c r="S41" s="400">
        <f>SUMIF($D$8:$D$55,$O41,$K$8:$K$55)+SUMIF($F$8:$F$55,$O41,$L$8:$L$55)</f>
        <v>1</v>
      </c>
      <c r="T41" s="445" t="s">
        <v>75</v>
      </c>
      <c r="U41" s="392"/>
      <c r="V41" s="392" t="str">
        <f>O41</f>
        <v>Iran</v>
      </c>
      <c r="W41" s="392" t="s">
        <v>74</v>
      </c>
      <c r="Y41" s="109">
        <f t="shared" si="8"/>
        <v>6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6</v>
      </c>
      <c r="AG41" s="108">
        <f t="shared" si="0"/>
        <v>0</v>
      </c>
      <c r="AH41" s="108">
        <f t="shared" si="1"/>
        <v>1</v>
      </c>
      <c r="AI41" s="108">
        <f t="shared" si="10"/>
        <v>0</v>
      </c>
      <c r="AJ41" s="108">
        <f t="shared" si="2"/>
        <v>5</v>
      </c>
      <c r="AK41" s="108">
        <f t="shared" si="3"/>
        <v>0</v>
      </c>
      <c r="AL41" s="108">
        <f t="shared" si="4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1</v>
      </c>
      <c r="H42" s="373" t="s">
        <v>9</v>
      </c>
      <c r="I42" s="441">
        <v>2</v>
      </c>
      <c r="J42" s="375">
        <f t="shared" si="5"/>
        <v>2</v>
      </c>
      <c r="K42" s="363">
        <f t="shared" si="6"/>
        <v>0</v>
      </c>
      <c r="L42" s="363">
        <f t="shared" si="7"/>
        <v>3</v>
      </c>
      <c r="O42" s="401" t="s">
        <v>34</v>
      </c>
      <c r="P42" s="402">
        <f>SUMIF($D$8:$D$55,$O42,$G$8:$G$55)+SUMIF($F$8:$F$55,$O42,$I$8:$I$55)</f>
        <v>1</v>
      </c>
      <c r="Q42" s="402">
        <f>SUMIF($D$8:$D$55,$O42,$I$8:$I$55)+SUMIF($F$8:$F$55,$O42,$G$8:$G$55)</f>
        <v>2</v>
      </c>
      <c r="R42" s="402">
        <f>P42-Q42</f>
        <v>-1</v>
      </c>
      <c r="S42" s="403">
        <f>SUMIF($D$8:$D$55,$O42,$K$8:$K$55)+SUMIF($F$8:$F$55,$O42,$L$8:$L$55)</f>
        <v>4</v>
      </c>
      <c r="T42" s="446" t="s">
        <v>73</v>
      </c>
      <c r="U42" s="392"/>
      <c r="V42" s="392" t="str">
        <f>O42</f>
        <v>Nigeria</v>
      </c>
      <c r="W42" s="392" t="s">
        <v>75</v>
      </c>
      <c r="Y42" s="109">
        <f t="shared" si="8"/>
        <v>6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6</v>
      </c>
      <c r="AG42" s="108">
        <f t="shared" si="0"/>
        <v>1</v>
      </c>
      <c r="AH42" s="108">
        <f t="shared" si="1"/>
        <v>0</v>
      </c>
      <c r="AI42" s="108">
        <f t="shared" si="10"/>
        <v>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0</v>
      </c>
      <c r="H43" s="379" t="s">
        <v>9</v>
      </c>
      <c r="I43" s="442">
        <v>1</v>
      </c>
      <c r="J43" s="381">
        <f t="shared" si="5"/>
        <v>2</v>
      </c>
      <c r="K43" s="363">
        <f t="shared" si="6"/>
        <v>0</v>
      </c>
      <c r="L43" s="363">
        <f t="shared" si="7"/>
        <v>3</v>
      </c>
      <c r="O43" s="392"/>
      <c r="P43" s="393"/>
      <c r="Q43" s="393"/>
      <c r="R43" s="393"/>
      <c r="S43" s="393"/>
      <c r="T43" s="393"/>
      <c r="U43" s="392"/>
      <c r="V43" s="392"/>
      <c r="W43" s="392"/>
      <c r="Y43" s="109">
        <f t="shared" si="8"/>
        <v>5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5</v>
      </c>
      <c r="AG43" s="108">
        <f t="shared" si="0"/>
        <v>0</v>
      </c>
      <c r="AH43" s="108">
        <f t="shared" si="1"/>
        <v>0</v>
      </c>
      <c r="AI43" s="108">
        <f t="shared" si="10"/>
        <v>0</v>
      </c>
      <c r="AJ43" s="108">
        <f t="shared" si="2"/>
        <v>0</v>
      </c>
      <c r="AK43" s="108">
        <f t="shared" si="3"/>
        <v>5</v>
      </c>
      <c r="AL43" s="108">
        <f t="shared" si="4"/>
        <v>0</v>
      </c>
      <c r="AN43" s="392"/>
      <c r="AO43" s="393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2</v>
      </c>
      <c r="H44" s="367" t="s">
        <v>9</v>
      </c>
      <c r="I44" s="440">
        <v>0</v>
      </c>
      <c r="J44" s="369">
        <f t="shared" si="5"/>
        <v>1</v>
      </c>
      <c r="K44" s="363">
        <f t="shared" si="6"/>
        <v>3</v>
      </c>
      <c r="L44" s="363">
        <f t="shared" si="7"/>
        <v>0</v>
      </c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392"/>
      <c r="V44" s="392"/>
      <c r="W44" s="392"/>
      <c r="Y44" s="109">
        <f t="shared" si="8"/>
        <v>0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0</v>
      </c>
      <c r="AG44" s="108">
        <f t="shared" si="0"/>
        <v>0</v>
      </c>
      <c r="AH44" s="108">
        <f t="shared" si="1"/>
        <v>0</v>
      </c>
      <c r="AI44" s="108">
        <f t="shared" si="10"/>
        <v>0</v>
      </c>
      <c r="AJ44" s="108">
        <f t="shared" si="2"/>
        <v>0</v>
      </c>
      <c r="AK44" s="108">
        <f t="shared" si="3"/>
        <v>0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1</v>
      </c>
      <c r="H45" s="373" t="s">
        <v>9</v>
      </c>
      <c r="I45" s="441">
        <v>3</v>
      </c>
      <c r="J45" s="375">
        <f t="shared" si="5"/>
        <v>2</v>
      </c>
      <c r="K45" s="363">
        <f t="shared" si="6"/>
        <v>0</v>
      </c>
      <c r="L45" s="363">
        <f t="shared" si="7"/>
        <v>3</v>
      </c>
      <c r="O45" s="394" t="s">
        <v>31</v>
      </c>
      <c r="P45" s="395">
        <f>SUMIF($D$8:$D$55,$O45,$G$8:$G$55)+SUMIF($F$8:$F$55,$O45,$I$8:$I$55)</f>
        <v>6</v>
      </c>
      <c r="Q45" s="395">
        <f>SUMIF($D$8:$D$55,$O45,$I$8:$I$55)+SUMIF($F$8:$F$55,$O45,$G$8:$G$55)</f>
        <v>3</v>
      </c>
      <c r="R45" s="396">
        <f>P45-Q45</f>
        <v>3</v>
      </c>
      <c r="S45" s="397">
        <f>SUMIF($D$8:$D$55,$O45,$K$8:$K$55)+SUMIF($F$8:$F$55,$O45,$L$8:$L$55)</f>
        <v>9</v>
      </c>
      <c r="T45" s="444" t="s">
        <v>77</v>
      </c>
      <c r="U45" s="392"/>
      <c r="V45" s="392" t="str">
        <f>O45</f>
        <v>Duitsland</v>
      </c>
      <c r="W45" s="392" t="s">
        <v>77</v>
      </c>
      <c r="Y45" s="109">
        <f t="shared" si="8"/>
        <v>0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0</v>
      </c>
      <c r="AG45" s="108">
        <f t="shared" si="0"/>
        <v>0</v>
      </c>
      <c r="AH45" s="108">
        <f t="shared" si="1"/>
        <v>0</v>
      </c>
      <c r="AI45" s="108">
        <f t="shared" si="10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0</v>
      </c>
      <c r="H46" s="373" t="s">
        <v>9</v>
      </c>
      <c r="I46" s="441">
        <v>2</v>
      </c>
      <c r="J46" s="375">
        <f t="shared" si="5"/>
        <v>2</v>
      </c>
      <c r="K46" s="363">
        <f t="shared" si="6"/>
        <v>0</v>
      </c>
      <c r="L46" s="363">
        <f t="shared" si="7"/>
        <v>3</v>
      </c>
      <c r="O46" s="398" t="s">
        <v>32</v>
      </c>
      <c r="P46" s="399">
        <f>SUMIF($D$8:$D$55,$O46,$G$8:$G$55)+SUMIF($F$8:$F$55,$O46,$I$8:$I$55)</f>
        <v>5</v>
      </c>
      <c r="Q46" s="399">
        <f>SUMIF($D$8:$D$55,$O46,$I$8:$I$55)+SUMIF($F$8:$F$55,$O46,$G$8:$G$55)</f>
        <v>3</v>
      </c>
      <c r="R46" s="399">
        <f>P46-Q46</f>
        <v>2</v>
      </c>
      <c r="S46" s="400">
        <f>SUMIF($D$8:$D$55,$O46,$K$8:$K$55)+SUMIF($F$8:$F$55,$O46,$L$8:$L$55)</f>
        <v>6</v>
      </c>
      <c r="T46" s="445" t="s">
        <v>78</v>
      </c>
      <c r="U46" s="392"/>
      <c r="V46" s="392" t="str">
        <f>O46</f>
        <v>Portugal</v>
      </c>
      <c r="W46" s="392" t="s">
        <v>78</v>
      </c>
      <c r="Y46" s="109">
        <f t="shared" si="8"/>
        <v>5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5</v>
      </c>
      <c r="AG46" s="108">
        <f t="shared" si="0"/>
        <v>0</v>
      </c>
      <c r="AH46" s="108">
        <f t="shared" si="1"/>
        <v>0</v>
      </c>
      <c r="AI46" s="108">
        <f t="shared" si="10"/>
        <v>0</v>
      </c>
      <c r="AJ46" s="108">
        <f t="shared" si="2"/>
        <v>0</v>
      </c>
      <c r="AK46" s="108">
        <f t="shared" si="3"/>
        <v>5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0</v>
      </c>
      <c r="H47" s="379" t="s">
        <v>9</v>
      </c>
      <c r="I47" s="442">
        <v>1</v>
      </c>
      <c r="J47" s="381">
        <f t="shared" si="5"/>
        <v>2</v>
      </c>
      <c r="K47" s="363">
        <f t="shared" si="6"/>
        <v>0</v>
      </c>
      <c r="L47" s="363">
        <f t="shared" si="7"/>
        <v>3</v>
      </c>
      <c r="O47" s="398" t="s">
        <v>35</v>
      </c>
      <c r="P47" s="399">
        <f>SUMIF($D$8:$D$55,$O47,$G$8:$G$55)+SUMIF($F$8:$F$55,$O47,$I$8:$I$55)</f>
        <v>4</v>
      </c>
      <c r="Q47" s="399">
        <f>SUMIF($D$8:$D$55,$O47,$I$8:$I$55)+SUMIF($F$8:$F$55,$O47,$G$8:$G$55)</f>
        <v>5</v>
      </c>
      <c r="R47" s="399">
        <f>P47-Q47</f>
        <v>-1</v>
      </c>
      <c r="S47" s="400">
        <f>SUMIF($D$8:$D$55,$O47,$K$8:$K$55)+SUMIF($F$8:$F$55,$O47,$L$8:$L$55)</f>
        <v>3</v>
      </c>
      <c r="T47" s="445" t="s">
        <v>79</v>
      </c>
      <c r="U47" s="392"/>
      <c r="V47" s="392" t="str">
        <f>O47</f>
        <v>Ghana</v>
      </c>
      <c r="W47" s="392" t="s">
        <v>79</v>
      </c>
      <c r="Y47" s="109">
        <f t="shared" si="8"/>
        <v>1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1</v>
      </c>
      <c r="AG47" s="108">
        <f t="shared" si="0"/>
        <v>0</v>
      </c>
      <c r="AH47" s="108">
        <f t="shared" si="1"/>
        <v>1</v>
      </c>
      <c r="AI47" s="108">
        <f t="shared" si="10"/>
        <v>0</v>
      </c>
      <c r="AJ47" s="108">
        <f t="shared" si="2"/>
        <v>0</v>
      </c>
      <c r="AK47" s="108">
        <f t="shared" si="3"/>
        <v>0</v>
      </c>
      <c r="AL47" s="108">
        <f t="shared" si="4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0</v>
      </c>
      <c r="H48" s="367" t="s">
        <v>9</v>
      </c>
      <c r="I48" s="440">
        <v>2</v>
      </c>
      <c r="J48" s="369">
        <f t="shared" si="5"/>
        <v>2</v>
      </c>
      <c r="K48" s="363">
        <f t="shared" si="6"/>
        <v>0</v>
      </c>
      <c r="L48" s="363">
        <f t="shared" si="7"/>
        <v>3</v>
      </c>
      <c r="O48" s="401" t="s">
        <v>36</v>
      </c>
      <c r="P48" s="402">
        <f>SUMIF($D$8:$D$55,$O48,$G$8:$G$55)+SUMIF($F$8:$F$55,$O48,$I$8:$I$55)</f>
        <v>2</v>
      </c>
      <c r="Q48" s="402">
        <f>SUMIF($D$8:$D$55,$O48,$I$8:$I$55)+SUMIF($F$8:$F$55,$O48,$G$8:$G$55)</f>
        <v>6</v>
      </c>
      <c r="R48" s="402">
        <f>P48-Q48</f>
        <v>-4</v>
      </c>
      <c r="S48" s="403">
        <f>SUMIF($D$8:$D$55,$O48,$K$8:$K$55)+SUMIF($F$8:$F$55,$O48,$L$8:$L$55)</f>
        <v>0</v>
      </c>
      <c r="T48" s="446" t="s">
        <v>80</v>
      </c>
      <c r="U48" s="392"/>
      <c r="V48" s="392" t="str">
        <f>O48</f>
        <v>Verenigde Staten</v>
      </c>
      <c r="W48" s="392" t="s">
        <v>80</v>
      </c>
      <c r="Y48" s="109">
        <f t="shared" si="8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5</v>
      </c>
      <c r="AG48" s="108">
        <f t="shared" si="0"/>
        <v>0</v>
      </c>
      <c r="AH48" s="108">
        <f t="shared" si="1"/>
        <v>0</v>
      </c>
      <c r="AI48" s="108">
        <f t="shared" si="10"/>
        <v>0</v>
      </c>
      <c r="AJ48" s="108">
        <f t="shared" si="2"/>
        <v>0</v>
      </c>
      <c r="AK48" s="108">
        <f t="shared" si="3"/>
        <v>5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0</v>
      </c>
      <c r="H49" s="373" t="s">
        <v>9</v>
      </c>
      <c r="I49" s="441">
        <v>0</v>
      </c>
      <c r="J49" s="375">
        <f t="shared" si="5"/>
        <v>3</v>
      </c>
      <c r="K49" s="363">
        <f t="shared" si="6"/>
        <v>1</v>
      </c>
      <c r="L49" s="363">
        <f t="shared" si="7"/>
        <v>1</v>
      </c>
      <c r="O49" s="392"/>
      <c r="P49" s="393"/>
      <c r="Q49" s="393"/>
      <c r="R49" s="393"/>
      <c r="S49" s="393"/>
      <c r="T49" s="393"/>
      <c r="U49" s="392"/>
      <c r="V49" s="392"/>
      <c r="W49" s="392"/>
      <c r="Y49" s="109">
        <f t="shared" si="8"/>
        <v>0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0</v>
      </c>
      <c r="AG49" s="108">
        <f t="shared" si="0"/>
        <v>0</v>
      </c>
      <c r="AH49" s="108">
        <f t="shared" si="1"/>
        <v>0</v>
      </c>
      <c r="AI49" s="108">
        <f t="shared" si="10"/>
        <v>0</v>
      </c>
      <c r="AJ49" s="108">
        <f t="shared" si="2"/>
        <v>0</v>
      </c>
      <c r="AK49" s="108">
        <f t="shared" si="3"/>
        <v>0</v>
      </c>
      <c r="AL49" s="108">
        <f t="shared" si="4"/>
        <v>0</v>
      </c>
      <c r="AN49" s="392"/>
      <c r="AO49" s="393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0</v>
      </c>
      <c r="H50" s="373" t="s">
        <v>9</v>
      </c>
      <c r="I50" s="441">
        <v>1</v>
      </c>
      <c r="J50" s="375">
        <f t="shared" si="5"/>
        <v>2</v>
      </c>
      <c r="K50" s="363">
        <f t="shared" si="6"/>
        <v>0</v>
      </c>
      <c r="L50" s="363">
        <f t="shared" si="7"/>
        <v>3</v>
      </c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392"/>
      <c r="V50" s="392"/>
      <c r="W50" s="392"/>
      <c r="Y50" s="109">
        <f t="shared" si="8"/>
        <v>6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6</v>
      </c>
      <c r="AG50" s="108">
        <f t="shared" si="0"/>
        <v>1</v>
      </c>
      <c r="AH50" s="108">
        <f t="shared" si="1"/>
        <v>0</v>
      </c>
      <c r="AI50" s="108">
        <f t="shared" si="10"/>
        <v>0</v>
      </c>
      <c r="AJ50" s="108">
        <f t="shared" si="2"/>
        <v>0</v>
      </c>
      <c r="AK50" s="108">
        <f t="shared" si="3"/>
        <v>5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1</v>
      </c>
      <c r="H51" s="379" t="s">
        <v>9</v>
      </c>
      <c r="I51" s="442">
        <v>2</v>
      </c>
      <c r="J51" s="381">
        <f t="shared" si="5"/>
        <v>2</v>
      </c>
      <c r="K51" s="363">
        <f t="shared" si="6"/>
        <v>0</v>
      </c>
      <c r="L51" s="363">
        <f>IF(I51="","",IF($G51&lt;$I51,3,IF($G51=$I51,1,0)))</f>
        <v>3</v>
      </c>
      <c r="O51" s="394" t="s">
        <v>37</v>
      </c>
      <c r="P51" s="395">
        <f>SUMIF($D$8:$D$55,$O51,$G$8:$G$55)+SUMIF($F$8:$F$55,$O51,$I$8:$I$55)</f>
        <v>3</v>
      </c>
      <c r="Q51" s="395">
        <f>SUMIF($D$8:$D$55,$O51,$I$8:$I$55)+SUMIF($F$8:$F$55,$O51,$G$8:$G$55)</f>
        <v>1</v>
      </c>
      <c r="R51" s="396">
        <f>P51-Q51</f>
        <v>2</v>
      </c>
      <c r="S51" s="397">
        <f>SUMIF($D$8:$D$55,$O51,$K$8:$K$55)+SUMIF($F$8:$F$55,$O51,$L$8:$L$55)</f>
        <v>7</v>
      </c>
      <c r="T51" s="444" t="s">
        <v>82</v>
      </c>
      <c r="U51" s="392"/>
      <c r="V51" s="392" t="str">
        <f>O51</f>
        <v>België</v>
      </c>
      <c r="W51" s="392" t="s">
        <v>82</v>
      </c>
      <c r="Y51" s="109">
        <f t="shared" si="8"/>
        <v>0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0</v>
      </c>
      <c r="AG51" s="108">
        <f t="shared" si="0"/>
        <v>0</v>
      </c>
      <c r="AH51" s="108">
        <f t="shared" si="1"/>
        <v>0</v>
      </c>
      <c r="AI51" s="108">
        <f t="shared" si="10"/>
        <v>0</v>
      </c>
      <c r="AJ51" s="108">
        <f t="shared" si="2"/>
        <v>0</v>
      </c>
      <c r="AK51" s="108">
        <f t="shared" si="3"/>
        <v>0</v>
      </c>
      <c r="AL51" s="108">
        <f t="shared" si="4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1</v>
      </c>
      <c r="H52" s="373" t="s">
        <v>9</v>
      </c>
      <c r="I52" s="441">
        <v>2</v>
      </c>
      <c r="J52" s="369">
        <f t="shared" si="5"/>
        <v>2</v>
      </c>
      <c r="K52" s="363">
        <f t="shared" si="6"/>
        <v>0</v>
      </c>
      <c r="L52" s="363">
        <f t="shared" si="7"/>
        <v>3</v>
      </c>
      <c r="O52" s="398" t="s">
        <v>38</v>
      </c>
      <c r="P52" s="399">
        <f>SUMIF($D$8:$D$55,$O52,$G$8:$G$55)+SUMIF($F$8:$F$55,$O52,$I$8:$I$55)</f>
        <v>1</v>
      </c>
      <c r="Q52" s="399">
        <f>SUMIF($D$8:$D$55,$O52,$I$8:$I$55)+SUMIF($F$8:$F$55,$O52,$G$8:$G$55)</f>
        <v>2</v>
      </c>
      <c r="R52" s="399">
        <f>P52-Q52</f>
        <v>-1</v>
      </c>
      <c r="S52" s="400">
        <f>SUMIF($D$8:$D$55,$O52,$K$8:$K$55)+SUMIF($F$8:$F$55,$O52,$L$8:$L$55)</f>
        <v>2</v>
      </c>
      <c r="T52" s="445" t="s">
        <v>84</v>
      </c>
      <c r="U52" s="392"/>
      <c r="V52" s="392" t="str">
        <f>O52</f>
        <v>Algerije</v>
      </c>
      <c r="W52" s="392" t="s">
        <v>83</v>
      </c>
      <c r="Y52" s="109">
        <f t="shared" si="8"/>
        <v>5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5</v>
      </c>
      <c r="AG52" s="108">
        <f t="shared" si="0"/>
        <v>0</v>
      </c>
      <c r="AH52" s="108">
        <f t="shared" si="1"/>
        <v>0</v>
      </c>
      <c r="AI52" s="108">
        <f t="shared" si="10"/>
        <v>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2</v>
      </c>
      <c r="H53" s="373" t="s">
        <v>9</v>
      </c>
      <c r="I53" s="441">
        <v>1</v>
      </c>
      <c r="J53" s="375">
        <f t="shared" si="5"/>
        <v>1</v>
      </c>
      <c r="K53" s="363">
        <f t="shared" si="6"/>
        <v>3</v>
      </c>
      <c r="L53" s="363">
        <f t="shared" si="7"/>
        <v>0</v>
      </c>
      <c r="O53" s="398" t="s">
        <v>39</v>
      </c>
      <c r="P53" s="399">
        <f>SUMIF($D$8:$D$55,$O53,$G$8:$G$55)+SUMIF($F$8:$F$55,$O53,$I$8:$I$55)</f>
        <v>2</v>
      </c>
      <c r="Q53" s="399">
        <f>SUMIF($D$8:$D$55,$O53,$I$8:$I$55)+SUMIF($F$8:$F$55,$O53,$G$8:$G$55)</f>
        <v>1</v>
      </c>
      <c r="R53" s="399">
        <f>P53-Q53</f>
        <v>1</v>
      </c>
      <c r="S53" s="400">
        <f>SUMIF($D$8:$D$55,$O53,$K$8:$K$55)+SUMIF($F$8:$F$55,$O53,$L$8:$L$55)</f>
        <v>6</v>
      </c>
      <c r="T53" s="445" t="s">
        <v>83</v>
      </c>
      <c r="U53" s="392"/>
      <c r="V53" s="392" t="str">
        <f>O53</f>
        <v>Rusland</v>
      </c>
      <c r="W53" s="392" t="s">
        <v>84</v>
      </c>
      <c r="Y53" s="109">
        <f t="shared" si="8"/>
        <v>10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10</v>
      </c>
      <c r="AG53" s="108">
        <f t="shared" si="0"/>
        <v>1</v>
      </c>
      <c r="AH53" s="108">
        <f t="shared" si="1"/>
        <v>1</v>
      </c>
      <c r="AI53" s="108">
        <f t="shared" si="10"/>
        <v>10</v>
      </c>
      <c r="AJ53" s="108">
        <f t="shared" si="2"/>
        <v>5</v>
      </c>
      <c r="AK53" s="108">
        <f t="shared" si="3"/>
        <v>0</v>
      </c>
      <c r="AL53" s="108">
        <f t="shared" si="4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0</v>
      </c>
      <c r="H54" s="373" t="s">
        <v>9</v>
      </c>
      <c r="I54" s="441">
        <v>1</v>
      </c>
      <c r="J54" s="375">
        <f t="shared" si="5"/>
        <v>2</v>
      </c>
      <c r="K54" s="363">
        <f t="shared" si="6"/>
        <v>0</v>
      </c>
      <c r="L54" s="363">
        <f t="shared" si="7"/>
        <v>3</v>
      </c>
      <c r="O54" s="401" t="s">
        <v>40</v>
      </c>
      <c r="P54" s="402">
        <f>SUMIF($D$8:$D$55,$O54,$G$8:$G$55)+SUMIF($F$8:$F$55,$O54,$I$8:$I$55)</f>
        <v>0</v>
      </c>
      <c r="Q54" s="402">
        <f>SUMIF($D$8:$D$55,$O54,$I$8:$I$55)+SUMIF($F$8:$F$55,$O54,$G$8:$G$55)</f>
        <v>2</v>
      </c>
      <c r="R54" s="402">
        <f>P54-Q54</f>
        <v>-2</v>
      </c>
      <c r="S54" s="403">
        <f>SUMIF($D$8:$D$55,$O54,$K$8:$K$55)+SUMIF($F$8:$F$55,$O54,$L$8:$L$55)</f>
        <v>1</v>
      </c>
      <c r="T54" s="446" t="s">
        <v>85</v>
      </c>
      <c r="U54" s="392"/>
      <c r="V54" s="392" t="str">
        <f>O54</f>
        <v>Zuid Korea</v>
      </c>
      <c r="W54" s="392" t="s">
        <v>85</v>
      </c>
      <c r="Y54" s="109">
        <f t="shared" si="8"/>
        <v>10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10</v>
      </c>
      <c r="AG54" s="108">
        <f t="shared" si="0"/>
        <v>1</v>
      </c>
      <c r="AH54" s="108">
        <f t="shared" si="1"/>
        <v>1</v>
      </c>
      <c r="AI54" s="108">
        <f t="shared" si="10"/>
        <v>10</v>
      </c>
      <c r="AJ54" s="108">
        <f t="shared" si="2"/>
        <v>0</v>
      </c>
      <c r="AK54" s="108">
        <f t="shared" si="3"/>
        <v>5</v>
      </c>
      <c r="AL54" s="108">
        <f t="shared" si="4"/>
        <v>0</v>
      </c>
      <c r="AM54" s="120">
        <f>AO54</f>
        <v>10</v>
      </c>
      <c r="AN54" s="118" t="s">
        <v>40</v>
      </c>
      <c r="AO54" s="115">
        <f>IF(Uitslag!T54="",0,IF(T54=Uitslag!T54,10,0))</f>
        <v>10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0</v>
      </c>
      <c r="H55" s="388" t="s">
        <v>9</v>
      </c>
      <c r="I55" s="443">
        <v>1</v>
      </c>
      <c r="J55" s="390">
        <f t="shared" si="5"/>
        <v>2</v>
      </c>
      <c r="K55" s="363">
        <f t="shared" si="6"/>
        <v>0</v>
      </c>
      <c r="L55" s="363">
        <f t="shared" si="7"/>
        <v>3</v>
      </c>
      <c r="O55" s="392"/>
      <c r="P55" s="393"/>
      <c r="Q55" s="393"/>
      <c r="R55" s="393"/>
      <c r="S55" s="393"/>
      <c r="T55" s="393"/>
      <c r="U55" s="392"/>
      <c r="V55" s="392"/>
      <c r="W55" s="392"/>
      <c r="Y55" s="109">
        <f t="shared" si="8"/>
        <v>1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</v>
      </c>
      <c r="AG55" s="108">
        <f t="shared" si="0"/>
        <v>0</v>
      </c>
      <c r="AH55" s="108">
        <f t="shared" si="1"/>
        <v>1</v>
      </c>
      <c r="AI55" s="108">
        <f t="shared" si="10"/>
        <v>0</v>
      </c>
      <c r="AJ55" s="108">
        <f t="shared" si="2"/>
        <v>0</v>
      </c>
      <c r="AK55" s="108">
        <f t="shared" si="3"/>
        <v>0</v>
      </c>
      <c r="AL55" s="108">
        <f t="shared" si="4"/>
        <v>0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79"/>
      <c r="K57" s="353"/>
      <c r="L57" s="353"/>
      <c r="M57" s="353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77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O58" s="458">
        <v>1</v>
      </c>
      <c r="P58" s="877" t="s">
        <v>224</v>
      </c>
      <c r="Q58" s="877"/>
      <c r="R58" s="877"/>
      <c r="S58" s="877"/>
      <c r="T58" s="878"/>
      <c r="V58" s="352" t="s">
        <v>132</v>
      </c>
      <c r="W58" s="352" t="s">
        <v>124</v>
      </c>
      <c r="X58" s="352" t="str">
        <f t="shared" ref="X58:X98" si="11">CONCATENATE(W58," ",V58)</f>
        <v>Jeroen Zoet (k)</v>
      </c>
      <c r="Y58" s="113" t="s">
        <v>91</v>
      </c>
      <c r="Z58" s="352" t="str">
        <f>IF(K58=""," ",VLOOKUP(K58,$T$9:$V$54,3,FALSE))</f>
        <v xml:space="preserve"> </v>
      </c>
      <c r="AA58" s="352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>IF(ISERROR(Z59),K59,Z59)</f>
        <v>Brazilië</v>
      </c>
      <c r="E59" s="367" t="s">
        <v>9</v>
      </c>
      <c r="F59" s="406" t="str">
        <f>IF(ISERROR(AA59),L59,AA59)</f>
        <v>Nederland</v>
      </c>
      <c r="G59" s="435">
        <v>2</v>
      </c>
      <c r="H59" s="367" t="s">
        <v>9</v>
      </c>
      <c r="I59" s="447">
        <v>0</v>
      </c>
      <c r="J59" s="448">
        <v>1</v>
      </c>
      <c r="K59" s="407" t="s">
        <v>48</v>
      </c>
      <c r="L59" s="407" t="s">
        <v>53</v>
      </c>
      <c r="M59" s="407">
        <v>1</v>
      </c>
      <c r="O59" s="458">
        <v>2</v>
      </c>
      <c r="P59" s="877" t="s">
        <v>209</v>
      </c>
      <c r="Q59" s="877"/>
      <c r="R59" s="877"/>
      <c r="S59" s="877"/>
      <c r="T59" s="878"/>
      <c r="V59" s="352" t="s">
        <v>132</v>
      </c>
      <c r="W59" s="352" t="s">
        <v>111</v>
      </c>
      <c r="X59" s="352" t="str">
        <f t="shared" si="11"/>
        <v>Jasper Cillessen (k)</v>
      </c>
      <c r="Y59" s="109">
        <f t="shared" ref="Y59:Y66" si="13">AF59</f>
        <v>0</v>
      </c>
      <c r="Z59" s="352" t="str">
        <f t="shared" ref="Z59:AA65" si="14">IF(K59=""," ",VLOOKUP(K59,$T$9:$V$54,3,FALSE))</f>
        <v>Brazilië</v>
      </c>
      <c r="AA59" s="352" t="str">
        <f t="shared" si="14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0</v>
      </c>
      <c r="AG59" s="108">
        <f t="shared" ref="AG59:AG66" si="16">IF(AC59="",0,(IF(G59=AC59,1,0)))</f>
        <v>0</v>
      </c>
      <c r="AH59" s="108">
        <f t="shared" ref="AH59:AH66" si="17">IF(AD59="",0,(IF(I59=AD59,1,0)))</f>
        <v>0</v>
      </c>
      <c r="AI59" s="108">
        <f t="shared" ref="AI59:AI66" si="18">IF(AND(AG59=1,AH59=1),10,0)</f>
        <v>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376">
        <v>50</v>
      </c>
      <c r="C60" s="466">
        <v>41818</v>
      </c>
      <c r="D60" s="460" t="str">
        <f t="shared" ref="D60:D66" si="23">IF(ISERROR(Z60),K60,Z60)</f>
        <v>Colombia</v>
      </c>
      <c r="E60" s="379" t="s">
        <v>9</v>
      </c>
      <c r="F60" s="409" t="str">
        <f t="shared" ref="F60:F66" si="24">IF(ISERROR(AA60),L60,AA60)</f>
        <v>Costa Rica</v>
      </c>
      <c r="G60" s="437">
        <v>2</v>
      </c>
      <c r="H60" s="379" t="s">
        <v>9</v>
      </c>
      <c r="I60" s="449">
        <v>1</v>
      </c>
      <c r="J60" s="450">
        <v>1</v>
      </c>
      <c r="K60" s="407" t="s">
        <v>57</v>
      </c>
      <c r="L60" s="407" t="s">
        <v>63</v>
      </c>
      <c r="M60" s="407">
        <v>2</v>
      </c>
      <c r="O60" s="458">
        <v>3</v>
      </c>
      <c r="P60" s="877" t="s">
        <v>225</v>
      </c>
      <c r="Q60" s="877"/>
      <c r="R60" s="877"/>
      <c r="S60" s="877"/>
      <c r="T60" s="878"/>
      <c r="V60" s="352" t="s">
        <v>132</v>
      </c>
      <c r="W60" s="352" t="s">
        <v>110</v>
      </c>
      <c r="X60" s="352" t="str">
        <f t="shared" si="11"/>
        <v>Kenneth Vermeer (k)</v>
      </c>
      <c r="Y60" s="109">
        <f t="shared" si="13"/>
        <v>6</v>
      </c>
      <c r="Z60" s="352" t="str">
        <f t="shared" si="14"/>
        <v>Colombia</v>
      </c>
      <c r="AA60" s="352" t="str">
        <f t="shared" si="14"/>
        <v>Costa Rica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6</v>
      </c>
      <c r="AG60" s="108">
        <f t="shared" si="16"/>
        <v>1</v>
      </c>
      <c r="AH60" s="108">
        <f t="shared" si="17"/>
        <v>0</v>
      </c>
      <c r="AI60" s="108">
        <f t="shared" si="18"/>
        <v>0</v>
      </c>
      <c r="AJ60" s="108">
        <f t="shared" si="19"/>
        <v>5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2"/>
        <v>3</v>
      </c>
    </row>
    <row r="61" spans="2:54">
      <c r="B61" s="364">
        <v>51</v>
      </c>
      <c r="C61" s="465">
        <v>41819</v>
      </c>
      <c r="D61" s="464" t="str">
        <f t="shared" si="23"/>
        <v>Spanje</v>
      </c>
      <c r="E61" s="367" t="s">
        <v>9</v>
      </c>
      <c r="F61" s="406" t="str">
        <f t="shared" si="24"/>
        <v>Mexico</v>
      </c>
      <c r="G61" s="435">
        <v>1</v>
      </c>
      <c r="H61" s="367" t="s">
        <v>9</v>
      </c>
      <c r="I61" s="447">
        <v>0</v>
      </c>
      <c r="J61" s="448">
        <v>1</v>
      </c>
      <c r="K61" s="407" t="s">
        <v>52</v>
      </c>
      <c r="L61" s="407" t="s">
        <v>49</v>
      </c>
      <c r="M61" s="407"/>
      <c r="O61" s="458">
        <v>4</v>
      </c>
      <c r="P61" s="877" t="s">
        <v>211</v>
      </c>
      <c r="Q61" s="877"/>
      <c r="R61" s="877"/>
      <c r="S61" s="877"/>
      <c r="T61" s="878"/>
      <c r="V61" s="352" t="s">
        <v>132</v>
      </c>
      <c r="W61" s="352" t="s">
        <v>191</v>
      </c>
      <c r="X61" s="352" t="str">
        <f t="shared" si="11"/>
        <v>Tim Krul (k)</v>
      </c>
      <c r="Y61" s="109">
        <f t="shared" si="13"/>
        <v>5</v>
      </c>
      <c r="Z61" s="352" t="str">
        <f t="shared" si="14"/>
        <v>Spanje</v>
      </c>
      <c r="AA61" s="352" t="str">
        <f t="shared" si="14"/>
        <v>Mexico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5</v>
      </c>
      <c r="AG61" s="108">
        <f t="shared" si="16"/>
        <v>0</v>
      </c>
      <c r="AH61" s="108">
        <f t="shared" si="17"/>
        <v>0</v>
      </c>
      <c r="AI61" s="108">
        <f t="shared" si="18"/>
        <v>0</v>
      </c>
      <c r="AJ61" s="108">
        <f t="shared" si="19"/>
        <v>5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3</v>
      </c>
      <c r="BB61" s="139">
        <f t="shared" si="22"/>
        <v>3</v>
      </c>
    </row>
    <row r="62" spans="2:54">
      <c r="B62" s="376">
        <v>52</v>
      </c>
      <c r="C62" s="466">
        <v>41819</v>
      </c>
      <c r="D62" s="464" t="str">
        <f t="shared" si="23"/>
        <v>Engeland</v>
      </c>
      <c r="E62" s="379" t="s">
        <v>9</v>
      </c>
      <c r="F62" s="409" t="str">
        <f t="shared" si="24"/>
        <v>Ivoorkust</v>
      </c>
      <c r="G62" s="437">
        <v>1</v>
      </c>
      <c r="H62" s="379" t="s">
        <v>9</v>
      </c>
      <c r="I62" s="449">
        <v>0</v>
      </c>
      <c r="J62" s="450">
        <v>1</v>
      </c>
      <c r="K62" s="407" t="s">
        <v>62</v>
      </c>
      <c r="L62" s="407" t="s">
        <v>58</v>
      </c>
      <c r="M62" s="407"/>
      <c r="O62" s="458">
        <v>5</v>
      </c>
      <c r="P62" s="877" t="s">
        <v>212</v>
      </c>
      <c r="Q62" s="877"/>
      <c r="R62" s="877"/>
      <c r="S62" s="877"/>
      <c r="T62" s="878"/>
      <c r="V62" s="352" t="s">
        <v>132</v>
      </c>
      <c r="W62" s="352" t="s">
        <v>192</v>
      </c>
      <c r="X62" s="352" t="str">
        <f t="shared" si="11"/>
        <v>Maarten Stekelenburg (k)</v>
      </c>
      <c r="Y62" s="109">
        <f t="shared" si="13"/>
        <v>1</v>
      </c>
      <c r="Z62" s="352" t="str">
        <f t="shared" si="14"/>
        <v>Engeland</v>
      </c>
      <c r="AA62" s="352" t="str">
        <f t="shared" si="14"/>
        <v>Ivoorkust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1</v>
      </c>
      <c r="AG62" s="108">
        <f t="shared" si="16"/>
        <v>1</v>
      </c>
      <c r="AH62" s="108">
        <f t="shared" si="17"/>
        <v>0</v>
      </c>
      <c r="AI62" s="108">
        <f t="shared" si="18"/>
        <v>0</v>
      </c>
      <c r="AJ62" s="108">
        <f t="shared" si="19"/>
        <v>0</v>
      </c>
      <c r="AK62" s="108">
        <f t="shared" si="20"/>
        <v>0</v>
      </c>
      <c r="AL62" s="108">
        <f t="shared" si="21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2"/>
        <v>3</v>
      </c>
    </row>
    <row r="63" spans="2:54">
      <c r="B63" s="364">
        <v>53</v>
      </c>
      <c r="C63" s="465">
        <v>41820</v>
      </c>
      <c r="D63" s="459" t="str">
        <f t="shared" si="23"/>
        <v>Frankrijk</v>
      </c>
      <c r="E63" s="367" t="s">
        <v>9</v>
      </c>
      <c r="F63" s="406" t="str">
        <f t="shared" si="24"/>
        <v>Nigeria</v>
      </c>
      <c r="G63" s="435">
        <v>2</v>
      </c>
      <c r="H63" s="367" t="s">
        <v>9</v>
      </c>
      <c r="I63" s="447">
        <v>0</v>
      </c>
      <c r="J63" s="448">
        <v>1</v>
      </c>
      <c r="K63" s="407" t="s">
        <v>67</v>
      </c>
      <c r="L63" s="407" t="s">
        <v>73</v>
      </c>
      <c r="M63" s="407"/>
      <c r="O63" s="458">
        <v>6</v>
      </c>
      <c r="P63" s="877" t="s">
        <v>221</v>
      </c>
      <c r="Q63" s="877"/>
      <c r="R63" s="877"/>
      <c r="S63" s="877"/>
      <c r="T63" s="878"/>
      <c r="V63" s="352" t="s">
        <v>132</v>
      </c>
      <c r="W63" s="352" t="s">
        <v>193</v>
      </c>
      <c r="X63" s="352" t="str">
        <f t="shared" si="11"/>
        <v>Michel Vorm (k)</v>
      </c>
      <c r="Y63" s="109">
        <f t="shared" si="13"/>
        <v>10</v>
      </c>
      <c r="Z63" s="352" t="str">
        <f t="shared" si="14"/>
        <v>Frankrijk</v>
      </c>
      <c r="AA63" s="352" t="str">
        <f t="shared" si="14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10</v>
      </c>
      <c r="AG63" s="108">
        <f t="shared" si="16"/>
        <v>1</v>
      </c>
      <c r="AH63" s="108">
        <f t="shared" si="17"/>
        <v>1</v>
      </c>
      <c r="AI63" s="108">
        <f t="shared" si="18"/>
        <v>10</v>
      </c>
      <c r="AJ63" s="108">
        <f t="shared" si="19"/>
        <v>5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0</v>
      </c>
      <c r="BB63" s="139">
        <f t="shared" si="22"/>
        <v>0</v>
      </c>
    </row>
    <row r="64" spans="2:54">
      <c r="B64" s="376">
        <v>54</v>
      </c>
      <c r="C64" s="466">
        <v>41820</v>
      </c>
      <c r="D64" s="460" t="str">
        <f t="shared" si="23"/>
        <v>Duitsland</v>
      </c>
      <c r="E64" s="379" t="s">
        <v>9</v>
      </c>
      <c r="F64" s="409" t="str">
        <f t="shared" si="24"/>
        <v>Rusland</v>
      </c>
      <c r="G64" s="437">
        <v>2</v>
      </c>
      <c r="H64" s="379" t="s">
        <v>9</v>
      </c>
      <c r="I64" s="449">
        <v>1</v>
      </c>
      <c r="J64" s="450">
        <v>1</v>
      </c>
      <c r="K64" s="407" t="s">
        <v>77</v>
      </c>
      <c r="L64" s="407" t="s">
        <v>83</v>
      </c>
      <c r="M64" s="407"/>
      <c r="O64" s="458">
        <v>7</v>
      </c>
      <c r="P64" s="877" t="s">
        <v>220</v>
      </c>
      <c r="Q64" s="877"/>
      <c r="R64" s="877"/>
      <c r="S64" s="877"/>
      <c r="T64" s="878"/>
      <c r="V64" s="352" t="s">
        <v>133</v>
      </c>
      <c r="W64" s="352" t="s">
        <v>112</v>
      </c>
      <c r="X64" s="352" t="str">
        <f t="shared" si="11"/>
        <v>Joël Veltman (v)</v>
      </c>
      <c r="Y64" s="109">
        <f t="shared" si="13"/>
        <v>0</v>
      </c>
      <c r="Z64" s="352" t="str">
        <f t="shared" si="14"/>
        <v>Duitsland</v>
      </c>
      <c r="AA64" s="352" t="str">
        <f t="shared" si="14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0</v>
      </c>
      <c r="AG64" s="108">
        <f t="shared" si="16"/>
        <v>0</v>
      </c>
      <c r="AH64" s="108">
        <f t="shared" si="17"/>
        <v>0</v>
      </c>
      <c r="AI64" s="108">
        <f t="shared" si="18"/>
        <v>0</v>
      </c>
      <c r="AJ64" s="108">
        <f t="shared" si="19"/>
        <v>0</v>
      </c>
      <c r="AK64" s="108">
        <f t="shared" si="20"/>
        <v>0</v>
      </c>
      <c r="AL64" s="108">
        <f t="shared" si="21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2"/>
        <v>3</v>
      </c>
    </row>
    <row r="65" spans="2:54">
      <c r="B65" s="370">
        <v>55</v>
      </c>
      <c r="C65" s="467">
        <v>41821</v>
      </c>
      <c r="D65" s="459" t="str">
        <f t="shared" si="23"/>
        <v>Argentinië</v>
      </c>
      <c r="E65" s="373" t="s">
        <v>9</v>
      </c>
      <c r="F65" s="410" t="str">
        <f t="shared" si="24"/>
        <v>Ecuador</v>
      </c>
      <c r="G65" s="436">
        <v>2</v>
      </c>
      <c r="H65" s="373" t="s">
        <v>9</v>
      </c>
      <c r="I65" s="451">
        <v>1</v>
      </c>
      <c r="J65" s="452">
        <v>1</v>
      </c>
      <c r="K65" s="407" t="s">
        <v>72</v>
      </c>
      <c r="L65" s="407" t="s">
        <v>68</v>
      </c>
      <c r="M65" s="407"/>
      <c r="O65" s="458">
        <v>8</v>
      </c>
      <c r="P65" s="877" t="s">
        <v>213</v>
      </c>
      <c r="Q65" s="877"/>
      <c r="R65" s="877"/>
      <c r="S65" s="877"/>
      <c r="T65" s="878"/>
      <c r="V65" s="352" t="s">
        <v>133</v>
      </c>
      <c r="W65" s="352" t="s">
        <v>109</v>
      </c>
      <c r="X65" s="352" t="str">
        <f t="shared" si="11"/>
        <v>Daley Blind (v)</v>
      </c>
      <c r="Y65" s="109">
        <f t="shared" si="13"/>
        <v>0</v>
      </c>
      <c r="Z65" s="352" t="str">
        <f t="shared" si="14"/>
        <v>Argentinië</v>
      </c>
      <c r="AA65" s="352" t="str">
        <f t="shared" si="14"/>
        <v>Ecuador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0</v>
      </c>
      <c r="AG65" s="108">
        <f t="shared" si="16"/>
        <v>0</v>
      </c>
      <c r="AH65" s="108">
        <f t="shared" si="17"/>
        <v>0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2"/>
        <v>3</v>
      </c>
    </row>
    <row r="66" spans="2:54" ht="15.75" thickBot="1">
      <c r="B66" s="385">
        <v>56</v>
      </c>
      <c r="C66" s="462">
        <v>41821</v>
      </c>
      <c r="D66" s="461" t="str">
        <f t="shared" si="23"/>
        <v>België</v>
      </c>
      <c r="E66" s="388" t="s">
        <v>9</v>
      </c>
      <c r="F66" s="412" t="str">
        <f t="shared" si="24"/>
        <v>Portugal</v>
      </c>
      <c r="G66" s="438">
        <v>0</v>
      </c>
      <c r="H66" s="388" t="s">
        <v>9</v>
      </c>
      <c r="I66" s="453">
        <v>2</v>
      </c>
      <c r="J66" s="454">
        <v>2</v>
      </c>
      <c r="K66" s="407" t="s">
        <v>82</v>
      </c>
      <c r="L66" s="407" t="s">
        <v>78</v>
      </c>
      <c r="M66" s="407"/>
      <c r="O66" s="458">
        <v>9</v>
      </c>
      <c r="P66" s="877" t="s">
        <v>216</v>
      </c>
      <c r="Q66" s="877"/>
      <c r="R66" s="877"/>
      <c r="S66" s="877"/>
      <c r="T66" s="878"/>
      <c r="V66" s="352" t="s">
        <v>133</v>
      </c>
      <c r="W66" s="352" t="s">
        <v>115</v>
      </c>
      <c r="X66" s="352" t="str">
        <f t="shared" si="11"/>
        <v>Daryl Janmaat (v)</v>
      </c>
      <c r="Y66" s="109">
        <f t="shared" si="13"/>
        <v>1</v>
      </c>
      <c r="Z66" s="352" t="str">
        <f>IF(K66=""," ",VLOOKUP(K66,$T$9:$V$54,3,FALSE))</f>
        <v>België</v>
      </c>
      <c r="AA66" s="352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1</v>
      </c>
      <c r="AG66" s="108">
        <f t="shared" si="16"/>
        <v>1</v>
      </c>
      <c r="AH66" s="108">
        <f t="shared" si="17"/>
        <v>0</v>
      </c>
      <c r="AI66" s="108">
        <f t="shared" si="18"/>
        <v>0</v>
      </c>
      <c r="AJ66" s="108">
        <f t="shared" si="19"/>
        <v>0</v>
      </c>
      <c r="AK66" s="108">
        <f t="shared" si="20"/>
        <v>0</v>
      </c>
      <c r="AL66" s="108">
        <f t="shared" si="21"/>
        <v>0</v>
      </c>
      <c r="AZ66" s="138" t="str">
        <f>Uitslag!P66</f>
        <v>Jonathan de Guzman (m)</v>
      </c>
      <c r="BA66" s="140">
        <f t="shared" si="12"/>
        <v>3</v>
      </c>
      <c r="BB66" s="139">
        <f t="shared" si="22"/>
        <v>3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O67" s="458">
        <v>10</v>
      </c>
      <c r="P67" s="877" t="s">
        <v>214</v>
      </c>
      <c r="Q67" s="877"/>
      <c r="R67" s="877"/>
      <c r="S67" s="877"/>
      <c r="T67" s="878"/>
      <c r="V67" s="352" t="s">
        <v>133</v>
      </c>
      <c r="W67" s="352" t="s">
        <v>118</v>
      </c>
      <c r="X67" s="352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2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79"/>
      <c r="K68" s="353"/>
      <c r="L68" s="353"/>
      <c r="M68" s="353"/>
      <c r="O68" s="458">
        <v>11</v>
      </c>
      <c r="P68" s="877" t="s">
        <v>215</v>
      </c>
      <c r="Q68" s="877"/>
      <c r="R68" s="877"/>
      <c r="S68" s="877"/>
      <c r="T68" s="878"/>
      <c r="V68" s="352" t="s">
        <v>133</v>
      </c>
      <c r="W68" s="352" t="s">
        <v>119</v>
      </c>
      <c r="X68" s="352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2"/>
        <v>3</v>
      </c>
    </row>
    <row r="69" spans="2:54">
      <c r="B69" s="428" t="s">
        <v>1</v>
      </c>
      <c r="C69" s="429" t="s">
        <v>2</v>
      </c>
      <c r="D69" s="476" t="s">
        <v>3</v>
      </c>
      <c r="E69" s="431"/>
      <c r="F69" s="477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V69" s="352" t="s">
        <v>133</v>
      </c>
      <c r="W69" s="352" t="s">
        <v>121</v>
      </c>
      <c r="X69" s="352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30</v>
      </c>
      <c r="BB69" s="139" t="str">
        <f>IF(AND(BA69&lt;&gt;"",BA69=33),15,"nvt")</f>
        <v>nvt</v>
      </c>
    </row>
    <row r="70" spans="2:54">
      <c r="B70" s="364">
        <v>57</v>
      </c>
      <c r="C70" s="365">
        <v>41824</v>
      </c>
      <c r="D70" s="405" t="str">
        <f>IF(J63="","Winnaar 53",IF(J63=1,D63,F63))</f>
        <v>Frankrijk</v>
      </c>
      <c r="E70" s="367" t="s">
        <v>9</v>
      </c>
      <c r="F70" s="406" t="str">
        <f>IF(J64="","Winnaar 54",IF(J64=1,D64,F64))</f>
        <v>Duitsland</v>
      </c>
      <c r="G70" s="435">
        <v>0</v>
      </c>
      <c r="H70" s="367" t="s">
        <v>9</v>
      </c>
      <c r="I70" s="447">
        <v>1</v>
      </c>
      <c r="J70" s="448">
        <v>2</v>
      </c>
      <c r="K70" s="353"/>
      <c r="L70" s="353"/>
      <c r="M70" s="353"/>
      <c r="V70" s="352" t="s">
        <v>133</v>
      </c>
      <c r="W70" s="352" t="s">
        <v>126</v>
      </c>
      <c r="X70" s="352" t="str">
        <f t="shared" si="11"/>
        <v>Karim Rekik (v)</v>
      </c>
      <c r="Y70" s="109">
        <f>AF70</f>
        <v>10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10</v>
      </c>
      <c r="AG70" s="108">
        <f>IF(AC70="",0,(IF(G70=AC70,1,0)))</f>
        <v>1</v>
      </c>
      <c r="AH70" s="108">
        <f>IF(AD70="",0,(IF(I70=AD70,1,0)))</f>
        <v>1</v>
      </c>
      <c r="AI70" s="108">
        <f>IF(AND(AG70=1,AH70=1),10,0)</f>
        <v>10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Brazilië</v>
      </c>
      <c r="E71" s="379" t="s">
        <v>9</v>
      </c>
      <c r="F71" s="409" t="str">
        <f>IF(J60="","Winnaar 50",IF(J60=1,D60,F60))</f>
        <v>Colombia</v>
      </c>
      <c r="G71" s="437">
        <v>2</v>
      </c>
      <c r="H71" s="379" t="s">
        <v>9</v>
      </c>
      <c r="I71" s="449">
        <v>0</v>
      </c>
      <c r="J71" s="450">
        <v>1</v>
      </c>
      <c r="K71" s="353"/>
      <c r="L71" s="353"/>
      <c r="M71" s="353"/>
      <c r="V71" s="352" t="s">
        <v>133</v>
      </c>
      <c r="W71" s="352" t="s">
        <v>194</v>
      </c>
      <c r="X71" s="352" t="str">
        <f t="shared" si="11"/>
        <v>Ron Vlaar (v)</v>
      </c>
      <c r="Y71" s="109">
        <f>AF71</f>
        <v>6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6</v>
      </c>
      <c r="AG71" s="108">
        <f>IF(AC71="",0,(IF(G71=AC71,1,0)))</f>
        <v>1</v>
      </c>
      <c r="AH71" s="108">
        <f>IF(AD71="",0,(IF(I71=AD71,1,0)))</f>
        <v>0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Argentinië</v>
      </c>
      <c r="E72" s="367" t="s">
        <v>9</v>
      </c>
      <c r="F72" s="406" t="str">
        <f>IF(J66="","Winnaar 56",IF(J66=1,D66,F66))</f>
        <v>Portugal</v>
      </c>
      <c r="G72" s="435">
        <v>3</v>
      </c>
      <c r="H72" s="367" t="s">
        <v>9</v>
      </c>
      <c r="I72" s="447">
        <v>1</v>
      </c>
      <c r="J72" s="448">
        <v>1</v>
      </c>
      <c r="K72" s="353"/>
      <c r="L72" s="353"/>
      <c r="M72" s="353"/>
      <c r="V72" s="352" t="s">
        <v>133</v>
      </c>
      <c r="W72" s="352" t="s">
        <v>195</v>
      </c>
      <c r="X72" s="352" t="str">
        <f t="shared" si="11"/>
        <v>John Heitinga (v)</v>
      </c>
      <c r="Y72" s="109">
        <f>AF72</f>
        <v>5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5</v>
      </c>
      <c r="AG72" s="108">
        <f>IF(AC72="",0,(IF(G72=AC72,1,0)))</f>
        <v>0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5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Spanje</v>
      </c>
      <c r="E73" s="388" t="s">
        <v>9</v>
      </c>
      <c r="F73" s="412" t="str">
        <f>IF(J62="","Winnaar 52",IF(J62=1,D62,F62))</f>
        <v>Engeland</v>
      </c>
      <c r="G73" s="438">
        <v>1</v>
      </c>
      <c r="H73" s="388" t="s">
        <v>9</v>
      </c>
      <c r="I73" s="453">
        <v>0</v>
      </c>
      <c r="J73" s="454">
        <v>1</v>
      </c>
      <c r="K73" s="353"/>
      <c r="L73" s="353"/>
      <c r="M73" s="353"/>
      <c r="V73" s="352" t="s">
        <v>133</v>
      </c>
      <c r="W73" s="352" t="s">
        <v>196</v>
      </c>
      <c r="X73" s="352" t="str">
        <f t="shared" si="11"/>
        <v>Urby Emanuelson (v)</v>
      </c>
      <c r="Y73" s="109">
        <f>AF73</f>
        <v>1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1</v>
      </c>
      <c r="AG73" s="108">
        <f>IF(AC73="",0,(IF(G73=AC73,1,0)))</f>
        <v>0</v>
      </c>
      <c r="AH73" s="108">
        <f>IF(AD73="",0,(IF(I73=AD73,1,0)))</f>
        <v>1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V74" s="352" t="s">
        <v>133</v>
      </c>
      <c r="W74" s="352" t="s">
        <v>197</v>
      </c>
      <c r="X74" s="352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79"/>
      <c r="K75" s="353"/>
      <c r="L75" s="353"/>
      <c r="M75" s="353"/>
      <c r="V75" s="352" t="s">
        <v>133</v>
      </c>
      <c r="W75" s="352" t="s">
        <v>198</v>
      </c>
      <c r="X75" s="352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76" t="s">
        <v>3</v>
      </c>
      <c r="E76" s="431"/>
      <c r="F76" s="477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V76" s="352" t="s">
        <v>133</v>
      </c>
      <c r="W76" s="352" t="s">
        <v>202</v>
      </c>
      <c r="X76" s="352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Duitsland</v>
      </c>
      <c r="E77" s="367" t="s">
        <v>9</v>
      </c>
      <c r="F77" s="406" t="str">
        <f>IF(J71="","Winnaar 58",IF(J71=1,D71,F71))</f>
        <v>Brazilië</v>
      </c>
      <c r="G77" s="435">
        <v>0</v>
      </c>
      <c r="H77" s="367" t="s">
        <v>9</v>
      </c>
      <c r="I77" s="447">
        <v>2</v>
      </c>
      <c r="J77" s="448">
        <v>2</v>
      </c>
      <c r="K77" s="353"/>
      <c r="L77" s="353"/>
      <c r="M77" s="353"/>
      <c r="V77" s="352" t="s">
        <v>134</v>
      </c>
      <c r="W77" s="352" t="s">
        <v>203</v>
      </c>
      <c r="X77" s="352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Argentinië</v>
      </c>
      <c r="E78" s="388" t="s">
        <v>9</v>
      </c>
      <c r="F78" s="412" t="str">
        <f>IF(J73="","Winnaar 60",IF(J73=1,D73,F73))</f>
        <v>Spanje</v>
      </c>
      <c r="G78" s="438">
        <v>1</v>
      </c>
      <c r="H78" s="388" t="s">
        <v>9</v>
      </c>
      <c r="I78" s="453">
        <v>0</v>
      </c>
      <c r="J78" s="454">
        <v>1</v>
      </c>
      <c r="K78" s="353"/>
      <c r="L78" s="353"/>
      <c r="M78" s="353"/>
      <c r="V78" s="352" t="s">
        <v>134</v>
      </c>
      <c r="W78" s="352" t="s">
        <v>199</v>
      </c>
      <c r="X78" s="352" t="str">
        <f t="shared" si="11"/>
        <v>Leroy Fer (m)</v>
      </c>
      <c r="Y78" s="109">
        <f>AF78</f>
        <v>1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1</v>
      </c>
      <c r="AG78" s="108">
        <f>IF(AC78="",0,(IF(G78=AC78,1,0)))</f>
        <v>0</v>
      </c>
      <c r="AH78" s="108">
        <f>IF(AD78="",0,(IF(I78=AD78,1,0)))</f>
        <v>1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V79" s="352" t="s">
        <v>134</v>
      </c>
      <c r="W79" s="352" t="s">
        <v>114</v>
      </c>
      <c r="X79" s="352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79"/>
      <c r="K80" s="353"/>
      <c r="L80" s="353"/>
      <c r="M80" s="353"/>
      <c r="V80" s="352" t="s">
        <v>134</v>
      </c>
      <c r="W80" s="352" t="s">
        <v>117</v>
      </c>
      <c r="X80" s="352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76" t="s">
        <v>3</v>
      </c>
      <c r="E81" s="431"/>
      <c r="F81" s="477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V81" s="352" t="s">
        <v>134</v>
      </c>
      <c r="W81" s="352" t="s">
        <v>120</v>
      </c>
      <c r="X81" s="352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Duitsland</v>
      </c>
      <c r="E82" s="355" t="s">
        <v>9</v>
      </c>
      <c r="F82" s="415" t="str">
        <f>IF(J78="","Verliezer 62",IF(J78=1,F78,D78))</f>
        <v>Spanje</v>
      </c>
      <c r="G82" s="455">
        <v>2</v>
      </c>
      <c r="H82" s="355" t="s">
        <v>9</v>
      </c>
      <c r="I82" s="456">
        <v>1</v>
      </c>
      <c r="J82" s="457">
        <v>1</v>
      </c>
      <c r="K82" s="353"/>
      <c r="L82" s="353"/>
      <c r="M82" s="353"/>
      <c r="V82" s="352" t="s">
        <v>134</v>
      </c>
      <c r="W82" s="352" t="s">
        <v>125</v>
      </c>
      <c r="X82" s="35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V83" s="352" t="s">
        <v>134</v>
      </c>
      <c r="W83" s="352" t="s">
        <v>136</v>
      </c>
      <c r="X83" s="352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79"/>
      <c r="K84" s="353"/>
      <c r="L84" s="353"/>
      <c r="M84" s="353"/>
      <c r="V84" s="352" t="s">
        <v>134</v>
      </c>
      <c r="W84" s="352" t="s">
        <v>137</v>
      </c>
      <c r="X84" s="352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76" t="s">
        <v>3</v>
      </c>
      <c r="E85" s="431"/>
      <c r="F85" s="477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V85" s="352" t="s">
        <v>134</v>
      </c>
      <c r="W85" s="352" t="s">
        <v>138</v>
      </c>
      <c r="X85" s="352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Brazilië</v>
      </c>
      <c r="E86" s="355" t="s">
        <v>9</v>
      </c>
      <c r="F86" s="415" t="str">
        <f>IF(J78="","Winnaar 62",IF(J78=1,D78,F78))</f>
        <v>Argentinië</v>
      </c>
      <c r="G86" s="455">
        <v>2</v>
      </c>
      <c r="H86" s="355" t="s">
        <v>9</v>
      </c>
      <c r="I86" s="456">
        <v>1</v>
      </c>
      <c r="J86" s="457">
        <v>1</v>
      </c>
      <c r="K86" s="353"/>
      <c r="L86" s="353"/>
      <c r="M86" s="353"/>
      <c r="V86" s="352" t="s">
        <v>134</v>
      </c>
      <c r="W86" s="352" t="s">
        <v>139</v>
      </c>
      <c r="X86" s="352" t="str">
        <f t="shared" si="11"/>
        <v>Nigel de Jong (m)</v>
      </c>
      <c r="Y86" s="109">
        <f>AF86</f>
        <v>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0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353"/>
      <c r="C87" s="129"/>
      <c r="D87" s="392"/>
      <c r="E87" s="353"/>
      <c r="F87" s="392"/>
      <c r="G87" s="353"/>
      <c r="H87" s="353"/>
      <c r="I87" s="353"/>
      <c r="J87" s="353"/>
      <c r="K87" s="353"/>
      <c r="L87" s="353"/>
      <c r="M87" s="353"/>
      <c r="V87" s="352" t="s">
        <v>135</v>
      </c>
      <c r="W87" s="352" t="s">
        <v>205</v>
      </c>
      <c r="X87" s="352" t="str">
        <f t="shared" si="11"/>
        <v>Ricky van Wolfswinkel (a)</v>
      </c>
      <c r="AP87" s="136" t="s">
        <v>102</v>
      </c>
    </row>
    <row r="88" spans="2:50">
      <c r="B88" s="353"/>
      <c r="C88" s="129"/>
      <c r="D88" s="392"/>
      <c r="E88" s="353"/>
      <c r="F88" s="392"/>
      <c r="G88" s="353"/>
      <c r="H88" s="353"/>
      <c r="I88" s="353"/>
      <c r="J88" s="353"/>
      <c r="K88" s="353"/>
      <c r="L88" s="353"/>
      <c r="M88" s="353"/>
      <c r="V88" s="352" t="s">
        <v>135</v>
      </c>
      <c r="W88" s="352" t="s">
        <v>204</v>
      </c>
      <c r="X88" s="352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458"/>
    </row>
    <row r="89" spans="2:50" ht="20.25">
      <c r="C89" s="874" t="s">
        <v>101</v>
      </c>
      <c r="D89" s="871"/>
      <c r="E89" s="873" t="str">
        <f>IF(J86=1,D86,IF(J86=2,F86,"Wie zal het worden?"))</f>
        <v>Brazilië</v>
      </c>
      <c r="F89" s="873"/>
      <c r="G89" s="873"/>
      <c r="H89" s="873"/>
      <c r="I89" s="873"/>
      <c r="J89" s="873"/>
      <c r="K89" s="353"/>
      <c r="L89" s="353"/>
      <c r="M89" s="353"/>
      <c r="V89" s="352" t="s">
        <v>135</v>
      </c>
      <c r="W89" s="352" t="s">
        <v>201</v>
      </c>
      <c r="X89" s="352" t="str">
        <f t="shared" si="11"/>
        <v>Jermain Lens (a)</v>
      </c>
      <c r="AP89" s="109">
        <f>AU89</f>
        <v>5</v>
      </c>
      <c r="AQ89" s="131">
        <v>1</v>
      </c>
      <c r="AR89" s="904" t="str">
        <f>Uitslag!E89</f>
        <v>Duitsland</v>
      </c>
      <c r="AS89" s="905"/>
      <c r="AT89" s="906"/>
      <c r="AU89" s="352">
        <f>SUM(AV89:AX89)</f>
        <v>5</v>
      </c>
      <c r="AV89" s="352">
        <f>IF(AR89=0,0,IF(E89=AR89,50,0))</f>
        <v>0</v>
      </c>
      <c r="AW89" s="352">
        <f>IF(E89=0,0,IF(OR(E89=AR90),15,0))</f>
        <v>0</v>
      </c>
      <c r="AX89" s="352">
        <f>IF(E89=0,0,IF(OR(E89=AR91,E89=AR92),5,0))</f>
        <v>5</v>
      </c>
    </row>
    <row r="90" spans="2:50">
      <c r="C90" s="870">
        <v>2</v>
      </c>
      <c r="D90" s="871"/>
      <c r="E90" s="872" t="str">
        <f>IF(J86=2,D86,IF(J86=1,F86,"Wie wordt 2de?"))</f>
        <v>Argentinië</v>
      </c>
      <c r="F90" s="872"/>
      <c r="G90" s="872"/>
      <c r="H90" s="872"/>
      <c r="I90" s="872"/>
      <c r="J90" s="872"/>
      <c r="V90" s="352" t="s">
        <v>135</v>
      </c>
      <c r="W90" s="352" t="s">
        <v>200</v>
      </c>
      <c r="X90" s="352" t="str">
        <f t="shared" si="11"/>
        <v>Dirk Kuyt (a)</v>
      </c>
      <c r="AP90" s="109">
        <f>AU90</f>
        <v>25</v>
      </c>
      <c r="AQ90" s="131">
        <v>2</v>
      </c>
      <c r="AR90" s="904" t="str">
        <f>Uitslag!E90</f>
        <v>Argentinië</v>
      </c>
      <c r="AS90" s="905"/>
      <c r="AT90" s="906"/>
      <c r="AU90" s="352">
        <f>SUM(AV90:AX90)</f>
        <v>25</v>
      </c>
      <c r="AV90" s="352">
        <f>IF(AR90=0,0,IF(AR90=E90,25,0))</f>
        <v>25</v>
      </c>
      <c r="AW90" s="352">
        <f>IF(E90=0,0,IF(OR(E90=AR89,),15,0))</f>
        <v>0</v>
      </c>
      <c r="AX90" s="352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Duitsland</v>
      </c>
      <c r="F91" s="872"/>
      <c r="G91" s="872"/>
      <c r="H91" s="872"/>
      <c r="I91" s="872"/>
      <c r="J91" s="872"/>
      <c r="V91" s="352" t="s">
        <v>135</v>
      </c>
      <c r="W91" s="352" t="s">
        <v>128</v>
      </c>
      <c r="X91" s="352" t="str">
        <f t="shared" si="11"/>
        <v>Jürgen Locadia (a)</v>
      </c>
      <c r="AP91" s="109">
        <f>AU91</f>
        <v>5</v>
      </c>
      <c r="AQ91" s="131">
        <v>3</v>
      </c>
      <c r="AR91" s="904" t="str">
        <f>Uitslag!E91</f>
        <v>Nederland</v>
      </c>
      <c r="AS91" s="905"/>
      <c r="AT91" s="906"/>
      <c r="AU91" s="352">
        <f>SUM(AV91:AX91)</f>
        <v>5</v>
      </c>
      <c r="AV91" s="352">
        <f>IF(AR91=0,0,IF(AR91=E91,15,0))</f>
        <v>0</v>
      </c>
      <c r="AW91" s="352">
        <f>IF(E91=0,0,IF(OR(E91=AR92),10,0))</f>
        <v>0</v>
      </c>
      <c r="AX91" s="352">
        <f>IF(E91=0,0,IF(OR(E91=AR89,E91=AR90),5,0))</f>
        <v>5</v>
      </c>
    </row>
    <row r="92" spans="2:50">
      <c r="C92" s="870">
        <v>4</v>
      </c>
      <c r="D92" s="871"/>
      <c r="E92" s="872" t="str">
        <f>IF(J82=2,D82,IF(J82=1,F82,"Wie wordt 4de?"))</f>
        <v>Spanje</v>
      </c>
      <c r="F92" s="872"/>
      <c r="G92" s="872"/>
      <c r="H92" s="872"/>
      <c r="I92" s="872"/>
      <c r="J92" s="872"/>
      <c r="V92" s="352" t="s">
        <v>135</v>
      </c>
      <c r="W92" s="352" t="s">
        <v>127</v>
      </c>
      <c r="X92" s="35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 s="352">
        <f>SUM(AV92:AX92)</f>
        <v>0</v>
      </c>
      <c r="AV92" s="352">
        <f>IF(AR92=0,0,IF(AR92=E92,15,0))</f>
        <v>0</v>
      </c>
      <c r="AW92" s="352">
        <f>IF(E92=0,0,IF(OR(E92=AR91,),10,0))</f>
        <v>0</v>
      </c>
      <c r="AX92" s="352">
        <f>IF(E92=0,0,IF(OR(E92=AR89,E92=AR90),5,0))</f>
        <v>0</v>
      </c>
    </row>
    <row r="93" spans="2:50" ht="15.75" thickBot="1">
      <c r="V93" s="352" t="s">
        <v>135</v>
      </c>
      <c r="W93" s="352" t="s">
        <v>123</v>
      </c>
      <c r="X93" s="352" t="str">
        <f t="shared" si="11"/>
        <v>Quincy Promes (a)</v>
      </c>
      <c r="AS93" s="132"/>
      <c r="AU93" s="133">
        <f>SUM(AU89:AU92)</f>
        <v>35</v>
      </c>
    </row>
    <row r="94" spans="2:50" ht="15.75" thickTop="1">
      <c r="V94" s="352" t="s">
        <v>135</v>
      </c>
      <c r="W94" s="352" t="s">
        <v>122</v>
      </c>
      <c r="X94" s="352" t="str">
        <f t="shared" si="11"/>
        <v>Luc Castaignos (a)</v>
      </c>
    </row>
    <row r="95" spans="2:50">
      <c r="V95" s="352" t="s">
        <v>135</v>
      </c>
      <c r="W95" s="352" t="s">
        <v>113</v>
      </c>
      <c r="X95" s="352" t="str">
        <f t="shared" si="11"/>
        <v>Jean-Paul Boëtius (a)</v>
      </c>
    </row>
    <row r="96" spans="2:50">
      <c r="V96" s="352" t="s">
        <v>135</v>
      </c>
      <c r="W96" s="352" t="s">
        <v>129</v>
      </c>
      <c r="X96" s="352" t="str">
        <f t="shared" si="11"/>
        <v>Luciano Narsingh (a)</v>
      </c>
    </row>
    <row r="97" spans="22:24">
      <c r="V97" s="352" t="s">
        <v>135</v>
      </c>
      <c r="W97" s="352" t="s">
        <v>130</v>
      </c>
      <c r="X97" s="352" t="str">
        <f t="shared" si="11"/>
        <v>Robin van Persie (a)</v>
      </c>
    </row>
    <row r="98" spans="22:24">
      <c r="V98" s="352" t="s">
        <v>135</v>
      </c>
      <c r="W98" s="352" t="s">
        <v>131</v>
      </c>
      <c r="X98" s="352" t="str">
        <f t="shared" si="11"/>
        <v>Arjen Robben (a)</v>
      </c>
    </row>
  </sheetData>
  <mergeCells count="36">
    <mergeCell ref="C91:D91"/>
    <mergeCell ref="E91:J91"/>
    <mergeCell ref="AR91:AT91"/>
    <mergeCell ref="C92:D92"/>
    <mergeCell ref="E92:J92"/>
    <mergeCell ref="AR92:AT92"/>
    <mergeCell ref="C89:D89"/>
    <mergeCell ref="E89:J89"/>
    <mergeCell ref="AR89:AT89"/>
    <mergeCell ref="C90:D90"/>
    <mergeCell ref="E90:J90"/>
    <mergeCell ref="AR90:AT90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</mergeCells>
  <conditionalFormatting sqref="AO9:AO12 AO15:AO18 AO21:AO24 AO27:AO30 AO33:AO36 AO39:AO42 AO45:AO48 AO51:AO54">
    <cfRule type="cellIs" dxfId="80" priority="3" operator="equal">
      <formula>10</formula>
    </cfRule>
  </conditionalFormatting>
  <conditionalFormatting sqref="P58:T58">
    <cfRule type="duplicateValues" dxfId="79" priority="2"/>
  </conditionalFormatting>
  <conditionalFormatting sqref="P58:T68">
    <cfRule type="duplicateValues" dxfId="78" priority="1"/>
  </conditionalFormatting>
  <dataValidations count="10">
    <dataValidation type="list" allowBlank="1" showInputMessage="1" showErrorMessage="1" sqref="P58:P68">
      <formula1>$X$58:$X$98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51:T54">
      <formula1>$W$51:$W$54</formula1>
    </dataValidation>
  </dataValidation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>
  <dimension ref="B1:BB98"/>
  <sheetViews>
    <sheetView topLeftCell="A43" zoomScale="70" zoomScaleNormal="70" workbookViewId="0">
      <selection activeCell="P58" sqref="P58:T68"/>
    </sheetView>
  </sheetViews>
  <sheetFormatPr defaultRowHeight="15" outlineLevelCol="2"/>
  <cols>
    <col min="1" max="1" width="3.42578125" style="352" customWidth="1"/>
    <col min="2" max="2" width="3.5703125" style="352" bestFit="1" customWidth="1"/>
    <col min="3" max="3" width="11.5703125" style="123" bestFit="1" customWidth="1"/>
    <col min="4" max="4" width="19.7109375" style="352" bestFit="1" customWidth="1"/>
    <col min="5" max="5" width="3.42578125" style="352" customWidth="1"/>
    <col min="6" max="6" width="19.7109375" style="352" bestFit="1" customWidth="1"/>
    <col min="7" max="7" width="6.7109375" style="352" customWidth="1"/>
    <col min="8" max="8" width="1.5703125" style="352" bestFit="1" customWidth="1"/>
    <col min="9" max="9" width="6.7109375" style="352" customWidth="1"/>
    <col min="10" max="10" width="6.85546875" style="352" bestFit="1" customWidth="1"/>
    <col min="11" max="13" width="9.140625" style="352" hidden="1" customWidth="1" outlineLevel="1"/>
    <col min="14" max="14" width="11.42578125" style="352" bestFit="1" customWidth="1" collapsed="1"/>
    <col min="15" max="15" width="14.7109375" style="352" bestFit="1" customWidth="1"/>
    <col min="16" max="16" width="12.28515625" style="352" bestFit="1" customWidth="1"/>
    <col min="17" max="17" width="8.140625" style="352" bestFit="1" customWidth="1"/>
    <col min="18" max="18" width="7.7109375" style="352" bestFit="1" customWidth="1"/>
    <col min="19" max="19" width="9.140625" style="352"/>
    <col min="20" max="20" width="8.5703125" style="352" bestFit="1" customWidth="1"/>
    <col min="21" max="21" width="9.140625" style="352"/>
    <col min="22" max="23" width="9.140625" style="352" hidden="1" customWidth="1" outlineLevel="1"/>
    <col min="24" max="24" width="2" style="352" hidden="1" customWidth="1" outlineLevel="1"/>
    <col min="25" max="25" width="12.28515625" style="352" bestFit="1" customWidth="1" collapsed="1"/>
    <col min="26" max="27" width="12.28515625" style="352" hidden="1" customWidth="1" outlineLevel="1"/>
    <col min="28" max="28" width="4.7109375" style="352" hidden="1" customWidth="1" outlineLevel="1"/>
    <col min="29" max="38" width="9.140625" style="352" hidden="1" customWidth="1" outlineLevel="1"/>
    <col min="39" max="39" width="7.42578125" style="352" bestFit="1" customWidth="1" collapsed="1"/>
    <col min="40" max="40" width="19.7109375" style="352" hidden="1" customWidth="1" outlineLevel="1"/>
    <col min="41" max="41" width="9.140625" style="352" hidden="1" customWidth="1" outlineLevel="1"/>
    <col min="42" max="42" width="9.140625" style="352" collapsed="1"/>
    <col min="43" max="49" width="9.140625" style="352" hidden="1" customWidth="1" outlineLevel="2"/>
    <col min="50" max="50" width="11.5703125" style="352" hidden="1" customWidth="1" outlineLevel="2"/>
    <col min="51" max="51" width="11.85546875" style="352" hidden="1" customWidth="1" outlineLevel="1" collapsed="1"/>
    <col min="52" max="52" width="9.42578125" style="352" hidden="1" customWidth="1" outlineLevel="1"/>
    <col min="53" max="53" width="10.5703125" style="352" hidden="1" customWidth="1" outlineLevel="1"/>
    <col min="54" max="54" width="9.140625" style="352" collapsed="1"/>
    <col min="55" max="55" width="11.85546875" style="352" bestFit="1" customWidth="1"/>
    <col min="56" max="16384" width="9.140625" style="352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182" t="s">
        <v>294</v>
      </c>
      <c r="E3" s="335"/>
      <c r="F3" s="335"/>
      <c r="N3" s="352" t="str">
        <f>D3</f>
        <v>Jordy K. (introducee Vivian v V.)</v>
      </c>
      <c r="O3" s="144">
        <f>SUM(P3:S3)</f>
        <v>431</v>
      </c>
      <c r="P3" s="109">
        <f>SUM(Y8:Y86)</f>
        <v>208</v>
      </c>
      <c r="Q3" s="109">
        <f>SUM(AM4:AM55)</f>
        <v>160</v>
      </c>
      <c r="R3" s="109">
        <f>SUM(AP89:AP92)</f>
        <v>15</v>
      </c>
      <c r="S3" s="109">
        <f>SUM(BB58:BB69)</f>
        <v>48</v>
      </c>
      <c r="T3" s="109">
        <f>COUNTIF(AF8:AF86,10)</f>
        <v>2</v>
      </c>
      <c r="U3" s="109" t="str">
        <f>E89</f>
        <v>Brazilië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O6" s="392"/>
      <c r="P6" s="393"/>
      <c r="Q6" s="393"/>
      <c r="R6" s="393"/>
      <c r="S6" s="393"/>
      <c r="T6" s="393"/>
      <c r="U6" s="392"/>
      <c r="V6" s="392"/>
      <c r="W6" s="392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80" t="s">
        <v>3</v>
      </c>
      <c r="E7" s="419"/>
      <c r="F7" s="481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O7" s="353"/>
      <c r="P7" s="393"/>
      <c r="Q7" s="393"/>
      <c r="R7" s="393"/>
      <c r="S7" s="393"/>
      <c r="T7" s="393"/>
      <c r="U7" s="353"/>
      <c r="V7" s="353"/>
      <c r="W7" s="353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458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2</v>
      </c>
      <c r="H8" s="360" t="s">
        <v>9</v>
      </c>
      <c r="I8" s="478">
        <v>0</v>
      </c>
      <c r="J8" s="362">
        <f>IF(I8="","",IF(G8&gt;I8,1,IF(G8&lt;I8,2,3)))</f>
        <v>1</v>
      </c>
      <c r="K8" s="363">
        <f>IF(I8="","",IF($G8&gt;$I8,3,IF($G8=$I8,1,0)))</f>
        <v>3</v>
      </c>
      <c r="L8" s="363">
        <f>IF(I8="","",IF($G8&lt;$I8,3,IF($G8=$I8,1,0)))</f>
        <v>0</v>
      </c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392"/>
      <c r="V8" s="392"/>
      <c r="W8" s="392"/>
      <c r="Y8" s="109">
        <f>AF8</f>
        <v>5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5</v>
      </c>
      <c r="AG8" s="108">
        <f t="shared" ref="AG8:AG55" si="0">IF(AC8="",0,(IF(G8=AC8,1,0)))</f>
        <v>0</v>
      </c>
      <c r="AH8" s="108">
        <f t="shared" ref="AH8:AH55" si="1">IF(AD8="",0,(IF(I8=AD8,1,0)))</f>
        <v>0</v>
      </c>
      <c r="AI8" s="108">
        <f>IF(AND(AG8=1,AH8=1),10,0)</f>
        <v>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2</v>
      </c>
      <c r="H9" s="367" t="s">
        <v>9</v>
      </c>
      <c r="I9" s="440">
        <v>0</v>
      </c>
      <c r="J9" s="369">
        <f t="shared" ref="J9:J55" si="5">IF(I9="","",IF(G9&gt;I9,1,IF(G9&lt;I9,2,3)))</f>
        <v>1</v>
      </c>
      <c r="K9" s="363">
        <f t="shared" ref="K9:K55" si="6">IF(I9="","",IF($G9&gt;$I9,3,IF($G9=$I9,1,0)))</f>
        <v>3</v>
      </c>
      <c r="L9" s="363">
        <f t="shared" ref="L9:L55" si="7">IF(I9="","",IF($G9&lt;$I9,3,IF($G9=$I9,1,0)))</f>
        <v>0</v>
      </c>
      <c r="O9" s="394" t="s">
        <v>8</v>
      </c>
      <c r="P9" s="395">
        <f>SUMIF($D$8:$D$55,$O9,$G$8:$G$55)+SUMIF($F$8:$F$55,$O9,$I$8:$I$55)</f>
        <v>6</v>
      </c>
      <c r="Q9" s="395">
        <f>SUMIF($D$8:$D$55,$O9,$I$8:$I$55)+SUMIF($F$8:$F$55,$O9,$G$8:$G$55)</f>
        <v>1</v>
      </c>
      <c r="R9" s="396">
        <f>P9-Q9</f>
        <v>5</v>
      </c>
      <c r="S9" s="397">
        <f>SUMIF($D$8:$D$55,$O9,$K$8:$K$55)+SUMIF($F$8:$F$55,$O9,$L$8:$L$55)</f>
        <v>9</v>
      </c>
      <c r="T9" s="444" t="s">
        <v>48</v>
      </c>
      <c r="U9" s="392"/>
      <c r="V9" s="392" t="str">
        <f>O9</f>
        <v>Brazilië</v>
      </c>
      <c r="W9" s="392" t="s">
        <v>48</v>
      </c>
      <c r="Y9" s="109">
        <f t="shared" ref="Y9:Y55" si="8">AF9</f>
        <v>6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6</v>
      </c>
      <c r="AG9" s="108">
        <f t="shared" si="0"/>
        <v>0</v>
      </c>
      <c r="AH9" s="108">
        <f t="shared" si="1"/>
        <v>1</v>
      </c>
      <c r="AI9" s="108">
        <f t="shared" ref="AI9:AI55" si="10">IF(AND(AG9=1,AH9=1),10,0)</f>
        <v>0</v>
      </c>
      <c r="AJ9" s="108">
        <f t="shared" si="2"/>
        <v>5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1</v>
      </c>
      <c r="H10" s="373" t="s">
        <v>9</v>
      </c>
      <c r="I10" s="441">
        <v>0</v>
      </c>
      <c r="J10" s="375">
        <f t="shared" si="5"/>
        <v>1</v>
      </c>
      <c r="K10" s="363">
        <f t="shared" si="6"/>
        <v>3</v>
      </c>
      <c r="L10" s="363">
        <f t="shared" si="7"/>
        <v>0</v>
      </c>
      <c r="O10" s="398" t="s">
        <v>10</v>
      </c>
      <c r="P10" s="399">
        <f>SUMIF($D$8:$D$55,$O10,$G$8:$G$55)+SUMIF($F$8:$F$55,$O10,$I$8:$I$55)</f>
        <v>1</v>
      </c>
      <c r="Q10" s="399">
        <f>SUMIF($D$8:$D$55,$O10,$I$8:$I$55)+SUMIF($F$8:$F$55,$O10,$G$8:$G$55)</f>
        <v>3</v>
      </c>
      <c r="R10" s="399">
        <f>P10-Q10</f>
        <v>-2</v>
      </c>
      <c r="S10" s="400">
        <f>SUMIF($D$8:$D$55,$O10,$K$8:$K$55)+SUMIF($F$8:$F$55,$O10,$L$8:$L$55)</f>
        <v>3</v>
      </c>
      <c r="T10" s="445" t="s">
        <v>49</v>
      </c>
      <c r="U10" s="392"/>
      <c r="V10" s="392" t="str">
        <f>O10</f>
        <v>Kroatië</v>
      </c>
      <c r="W10" s="392" t="s">
        <v>49</v>
      </c>
      <c r="Y10" s="109">
        <f t="shared" si="8"/>
        <v>1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1</v>
      </c>
      <c r="AG10" s="108">
        <f t="shared" si="0"/>
        <v>1</v>
      </c>
      <c r="AH10" s="108">
        <f t="shared" si="1"/>
        <v>0</v>
      </c>
      <c r="AI10" s="108">
        <f t="shared" si="10"/>
        <v>0</v>
      </c>
      <c r="AJ10" s="108">
        <f t="shared" si="2"/>
        <v>0</v>
      </c>
      <c r="AK10" s="108">
        <f t="shared" si="3"/>
        <v>0</v>
      </c>
      <c r="AL10" s="108">
        <f t="shared" si="4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2</v>
      </c>
      <c r="H11" s="379" t="s">
        <v>9</v>
      </c>
      <c r="I11" s="442">
        <v>0</v>
      </c>
      <c r="J11" s="381">
        <f t="shared" si="5"/>
        <v>1</v>
      </c>
      <c r="K11" s="363">
        <f t="shared" si="6"/>
        <v>3</v>
      </c>
      <c r="L11" s="363">
        <f t="shared" si="7"/>
        <v>0</v>
      </c>
      <c r="O11" s="398" t="s">
        <v>11</v>
      </c>
      <c r="P11" s="399">
        <f>SUMIF($D$8:$D$55,$O11,$G$8:$G$55)+SUMIF($F$8:$F$55,$O11,$I$8:$I$55)</f>
        <v>2</v>
      </c>
      <c r="Q11" s="399">
        <f>SUMIF($D$8:$D$55,$O11,$I$8:$I$55)+SUMIF($F$8:$F$55,$O11,$G$8:$G$55)</f>
        <v>3</v>
      </c>
      <c r="R11" s="399">
        <f>P11-Q11</f>
        <v>-1</v>
      </c>
      <c r="S11" s="400">
        <f>SUMIF($D$8:$D$55,$O11,$K$8:$K$55)+SUMIF($F$8:$F$55,$O11,$L$8:$L$55)</f>
        <v>3</v>
      </c>
      <c r="T11" s="445" t="s">
        <v>47</v>
      </c>
      <c r="U11" s="392"/>
      <c r="V11" s="392" t="str">
        <f>O11</f>
        <v>Mexico</v>
      </c>
      <c r="W11" s="392" t="s">
        <v>47</v>
      </c>
      <c r="Y11" s="109">
        <f t="shared" si="8"/>
        <v>5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5</v>
      </c>
      <c r="AG11" s="108">
        <f t="shared" si="0"/>
        <v>0</v>
      </c>
      <c r="AH11" s="108">
        <f t="shared" si="1"/>
        <v>0</v>
      </c>
      <c r="AI11" s="108">
        <f t="shared" si="10"/>
        <v>0</v>
      </c>
      <c r="AJ11" s="108">
        <f t="shared" si="2"/>
        <v>5</v>
      </c>
      <c r="AK11" s="108">
        <f t="shared" si="3"/>
        <v>0</v>
      </c>
      <c r="AL11" s="108">
        <f t="shared" si="4"/>
        <v>0</v>
      </c>
      <c r="AM11" s="120">
        <f>AO11</f>
        <v>0</v>
      </c>
      <c r="AN11" s="117" t="s">
        <v>11</v>
      </c>
      <c r="AO11" s="115">
        <f>IF(Uitslag!T11="",0,IF(T11=Uitslag!T11,10,0))</f>
        <v>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1</v>
      </c>
      <c r="H12" s="367" t="s">
        <v>9</v>
      </c>
      <c r="I12" s="440">
        <v>0</v>
      </c>
      <c r="J12" s="369">
        <f t="shared" si="5"/>
        <v>1</v>
      </c>
      <c r="K12" s="363">
        <f t="shared" si="6"/>
        <v>3</v>
      </c>
      <c r="L12" s="363">
        <f t="shared" si="7"/>
        <v>0</v>
      </c>
      <c r="O12" s="401" t="s">
        <v>12</v>
      </c>
      <c r="P12" s="402">
        <f>SUMIF($D$8:$D$55,$O12,$G$8:$G$55)+SUMIF($F$8:$F$55,$O12,$I$8:$I$55)</f>
        <v>2</v>
      </c>
      <c r="Q12" s="402">
        <f>SUMIF($D$8:$D$55,$O12,$I$8:$I$55)+SUMIF($F$8:$F$55,$O12,$G$8:$G$55)</f>
        <v>4</v>
      </c>
      <c r="R12" s="402">
        <f>P12-Q12</f>
        <v>-2</v>
      </c>
      <c r="S12" s="403">
        <f>SUMIF($D$8:$D$55,$O12,$K$8:$K$55)+SUMIF($F$8:$F$55,$O12,$L$8:$L$55)</f>
        <v>3</v>
      </c>
      <c r="T12" s="446" t="s">
        <v>50</v>
      </c>
      <c r="U12" s="392"/>
      <c r="V12" s="392" t="str">
        <f>O12</f>
        <v>Kameroen</v>
      </c>
      <c r="W12" s="392" t="s">
        <v>50</v>
      </c>
      <c r="Y12" s="109">
        <f t="shared" si="8"/>
        <v>6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6</v>
      </c>
      <c r="AG12" s="108">
        <f t="shared" si="0"/>
        <v>0</v>
      </c>
      <c r="AH12" s="108">
        <f t="shared" si="1"/>
        <v>1</v>
      </c>
      <c r="AI12" s="108">
        <f t="shared" si="10"/>
        <v>0</v>
      </c>
      <c r="AJ12" s="108">
        <f t="shared" si="2"/>
        <v>5</v>
      </c>
      <c r="AK12" s="108">
        <f t="shared" si="3"/>
        <v>0</v>
      </c>
      <c r="AL12" s="108">
        <f t="shared" si="4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1</v>
      </c>
      <c r="H13" s="373" t="s">
        <v>9</v>
      </c>
      <c r="I13" s="441">
        <v>0</v>
      </c>
      <c r="J13" s="375">
        <f t="shared" si="5"/>
        <v>1</v>
      </c>
      <c r="K13" s="363">
        <f t="shared" si="6"/>
        <v>3</v>
      </c>
      <c r="L13" s="363">
        <f t="shared" si="7"/>
        <v>0</v>
      </c>
      <c r="O13" s="392"/>
      <c r="P13" s="393"/>
      <c r="Q13" s="393"/>
      <c r="R13" s="393"/>
      <c r="S13" s="393"/>
      <c r="T13" s="393"/>
      <c r="U13" s="392"/>
      <c r="V13" s="392"/>
      <c r="W13" s="392"/>
      <c r="Y13" s="109">
        <f t="shared" si="8"/>
        <v>1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1</v>
      </c>
      <c r="AG13" s="108">
        <f t="shared" si="0"/>
        <v>1</v>
      </c>
      <c r="AH13" s="108">
        <f t="shared" si="1"/>
        <v>0</v>
      </c>
      <c r="AI13" s="108">
        <f t="shared" si="10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392"/>
      <c r="AO13" s="393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0</v>
      </c>
      <c r="H14" s="373" t="s">
        <v>9</v>
      </c>
      <c r="I14" s="441">
        <v>1</v>
      </c>
      <c r="J14" s="375">
        <f t="shared" si="5"/>
        <v>2</v>
      </c>
      <c r="K14" s="363">
        <f t="shared" si="6"/>
        <v>0</v>
      </c>
      <c r="L14" s="363">
        <f t="shared" si="7"/>
        <v>3</v>
      </c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392"/>
      <c r="V14" s="392"/>
      <c r="W14" s="392"/>
      <c r="Y14" s="109">
        <f t="shared" si="8"/>
        <v>5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5</v>
      </c>
      <c r="AG14" s="108">
        <f t="shared" si="0"/>
        <v>0</v>
      </c>
      <c r="AH14" s="108">
        <f t="shared" si="1"/>
        <v>0</v>
      </c>
      <c r="AI14" s="108">
        <f t="shared" si="10"/>
        <v>0</v>
      </c>
      <c r="AJ14" s="108">
        <f t="shared" si="2"/>
        <v>0</v>
      </c>
      <c r="AK14" s="108">
        <f t="shared" si="3"/>
        <v>5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1</v>
      </c>
      <c r="H15" s="379" t="s">
        <v>9</v>
      </c>
      <c r="I15" s="442">
        <v>1</v>
      </c>
      <c r="J15" s="381">
        <f t="shared" si="5"/>
        <v>3</v>
      </c>
      <c r="K15" s="363">
        <f t="shared" si="6"/>
        <v>1</v>
      </c>
      <c r="L15" s="363">
        <f t="shared" si="7"/>
        <v>1</v>
      </c>
      <c r="O15" s="394" t="s">
        <v>13</v>
      </c>
      <c r="P15" s="395">
        <f>SUMIF($D$8:$D$55,$O15,$G$8:$G$55)+SUMIF($F$8:$F$55,$O15,$I$8:$I$55)</f>
        <v>5</v>
      </c>
      <c r="Q15" s="395">
        <f>SUMIF($D$8:$D$55,$O15,$I$8:$I$55)+SUMIF($F$8:$F$55,$O15,$G$8:$G$55)</f>
        <v>1</v>
      </c>
      <c r="R15" s="396">
        <f>P15-Q15</f>
        <v>4</v>
      </c>
      <c r="S15" s="397">
        <f>SUMIF($D$8:$D$55,$O15,$K$8:$K$55)+SUMIF($F$8:$F$55,$O15,$L$8:$L$55)</f>
        <v>9</v>
      </c>
      <c r="T15" s="444" t="s">
        <v>52</v>
      </c>
      <c r="U15" s="392"/>
      <c r="V15" s="392" t="str">
        <f>O15</f>
        <v>Spanje</v>
      </c>
      <c r="W15" s="392" t="s">
        <v>52</v>
      </c>
      <c r="Y15" s="109">
        <f t="shared" si="8"/>
        <v>1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1</v>
      </c>
      <c r="AG15" s="108">
        <f t="shared" si="0"/>
        <v>0</v>
      </c>
      <c r="AH15" s="108">
        <f t="shared" si="1"/>
        <v>1</v>
      </c>
      <c r="AI15" s="108">
        <f t="shared" si="10"/>
        <v>0</v>
      </c>
      <c r="AJ15" s="108">
        <f t="shared" si="2"/>
        <v>0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1</v>
      </c>
      <c r="H16" s="367" t="s">
        <v>9</v>
      </c>
      <c r="I16" s="440">
        <v>0</v>
      </c>
      <c r="J16" s="369">
        <f t="shared" si="5"/>
        <v>1</v>
      </c>
      <c r="K16" s="363">
        <f t="shared" si="6"/>
        <v>3</v>
      </c>
      <c r="L16" s="363">
        <f t="shared" si="7"/>
        <v>0</v>
      </c>
      <c r="O16" s="404" t="s">
        <v>14</v>
      </c>
      <c r="P16" s="399">
        <f>SUMIF($D$8:$D$55,$O16,$G$8:$G$55)+SUMIF($F$8:$F$55,$O16,$I$8:$I$55)</f>
        <v>2</v>
      </c>
      <c r="Q16" s="399">
        <f>SUMIF($D$8:$D$55,$O16,$I$8:$I$55)+SUMIF($F$8:$F$55,$O16,$G$8:$G$55)</f>
        <v>1</v>
      </c>
      <c r="R16" s="399">
        <f>P16-Q16</f>
        <v>1</v>
      </c>
      <c r="S16" s="400">
        <f>SUMIF($D$8:$D$55,$O16,$K$8:$K$55)+SUMIF($F$8:$F$55,$O16,$L$8:$L$55)</f>
        <v>6</v>
      </c>
      <c r="T16" s="445" t="s">
        <v>53</v>
      </c>
      <c r="U16" s="392"/>
      <c r="V16" s="392" t="str">
        <f>O16</f>
        <v>Nederland</v>
      </c>
      <c r="W16" s="392" t="s">
        <v>53</v>
      </c>
      <c r="Y16" s="109">
        <f t="shared" si="8"/>
        <v>5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5</v>
      </c>
      <c r="AG16" s="108">
        <f t="shared" si="0"/>
        <v>0</v>
      </c>
      <c r="AH16" s="108">
        <f t="shared" si="1"/>
        <v>0</v>
      </c>
      <c r="AI16" s="108">
        <f t="shared" si="10"/>
        <v>0</v>
      </c>
      <c r="AJ16" s="108">
        <f t="shared" si="2"/>
        <v>5</v>
      </c>
      <c r="AK16" s="108">
        <f t="shared" si="3"/>
        <v>0</v>
      </c>
      <c r="AL16" s="108">
        <f t="shared" si="4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2</v>
      </c>
      <c r="H17" s="373" t="s">
        <v>9</v>
      </c>
      <c r="I17" s="441">
        <v>0</v>
      </c>
      <c r="J17" s="375">
        <f t="shared" si="5"/>
        <v>1</v>
      </c>
      <c r="K17" s="363">
        <f t="shared" si="6"/>
        <v>3</v>
      </c>
      <c r="L17" s="363">
        <f t="shared" si="7"/>
        <v>0</v>
      </c>
      <c r="O17" s="398" t="s">
        <v>15</v>
      </c>
      <c r="P17" s="399">
        <f>SUMIF($D$8:$D$55,$O17,$G$8:$G$55)+SUMIF($F$8:$F$55,$O17,$I$8:$I$55)</f>
        <v>2</v>
      </c>
      <c r="Q17" s="399">
        <f>SUMIF($D$8:$D$55,$O17,$I$8:$I$55)+SUMIF($F$8:$F$55,$O17,$G$8:$G$55)</f>
        <v>3</v>
      </c>
      <c r="R17" s="399">
        <f>P17-Q17</f>
        <v>-1</v>
      </c>
      <c r="S17" s="400">
        <f>SUMIF($D$8:$D$55,$O17,$K$8:$K$55)+SUMIF($F$8:$F$55,$O17,$L$8:$L$55)</f>
        <v>3</v>
      </c>
      <c r="T17" s="445" t="s">
        <v>54</v>
      </c>
      <c r="U17" s="392"/>
      <c r="V17" s="392" t="str">
        <f>O17</f>
        <v>Chili</v>
      </c>
      <c r="W17" s="392" t="s">
        <v>54</v>
      </c>
      <c r="Y17" s="109">
        <f t="shared" si="8"/>
        <v>6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6</v>
      </c>
      <c r="AG17" s="108">
        <f t="shared" si="0"/>
        <v>0</v>
      </c>
      <c r="AH17" s="108">
        <f t="shared" si="1"/>
        <v>1</v>
      </c>
      <c r="AI17" s="108">
        <f t="shared" si="10"/>
        <v>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2</v>
      </c>
      <c r="H18" s="379" t="s">
        <v>9</v>
      </c>
      <c r="I18" s="442">
        <v>0</v>
      </c>
      <c r="J18" s="381">
        <f t="shared" si="5"/>
        <v>1</v>
      </c>
      <c r="K18" s="363">
        <f t="shared" si="6"/>
        <v>3</v>
      </c>
      <c r="L18" s="363">
        <f t="shared" si="7"/>
        <v>0</v>
      </c>
      <c r="O18" s="401" t="s">
        <v>16</v>
      </c>
      <c r="P18" s="402">
        <f>SUMIF($D$8:$D$55,$O18,$G$8:$G$55)+SUMIF($F$8:$F$55,$O18,$I$8:$I$55)</f>
        <v>1</v>
      </c>
      <c r="Q18" s="402">
        <f>SUMIF($D$8:$D$55,$O18,$I$8:$I$55)+SUMIF($F$8:$F$55,$O18,$G$8:$G$55)</f>
        <v>5</v>
      </c>
      <c r="R18" s="402">
        <f>P18-Q18</f>
        <v>-4</v>
      </c>
      <c r="S18" s="403">
        <f>SUMIF($D$8:$D$55,$O18,$K$8:$K$55)+SUMIF($F$8:$F$55,$O18,$L$8:$L$55)</f>
        <v>0</v>
      </c>
      <c r="T18" s="446" t="s">
        <v>55</v>
      </c>
      <c r="U18" s="392"/>
      <c r="V18" s="392" t="str">
        <f>O18</f>
        <v>Australië</v>
      </c>
      <c r="W18" s="392" t="s">
        <v>55</v>
      </c>
      <c r="Y18" s="109">
        <f t="shared" si="8"/>
        <v>6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6</v>
      </c>
      <c r="AG18" s="108">
        <f t="shared" si="0"/>
        <v>1</v>
      </c>
      <c r="AH18" s="108">
        <f t="shared" si="1"/>
        <v>0</v>
      </c>
      <c r="AI18" s="108">
        <f t="shared" si="10"/>
        <v>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1</v>
      </c>
      <c r="H19" s="367" t="s">
        <v>9</v>
      </c>
      <c r="I19" s="440">
        <v>0</v>
      </c>
      <c r="J19" s="369">
        <f t="shared" si="5"/>
        <v>1</v>
      </c>
      <c r="K19" s="363">
        <f t="shared" si="6"/>
        <v>3</v>
      </c>
      <c r="L19" s="363">
        <f t="shared" si="7"/>
        <v>0</v>
      </c>
      <c r="O19" s="392"/>
      <c r="P19" s="393"/>
      <c r="Q19" s="393"/>
      <c r="R19" s="393"/>
      <c r="S19" s="393"/>
      <c r="T19" s="393"/>
      <c r="U19" s="392"/>
      <c r="V19" s="392"/>
      <c r="W19" s="392"/>
      <c r="Y19" s="109">
        <f t="shared" si="8"/>
        <v>6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6</v>
      </c>
      <c r="AG19" s="108">
        <f t="shared" si="0"/>
        <v>0</v>
      </c>
      <c r="AH19" s="108">
        <f t="shared" si="1"/>
        <v>1</v>
      </c>
      <c r="AI19" s="108">
        <f t="shared" si="10"/>
        <v>0</v>
      </c>
      <c r="AJ19" s="108">
        <f t="shared" si="2"/>
        <v>5</v>
      </c>
      <c r="AK19" s="108">
        <f t="shared" si="3"/>
        <v>0</v>
      </c>
      <c r="AL19" s="108">
        <f t="shared" si="4"/>
        <v>0</v>
      </c>
      <c r="AN19" s="392"/>
      <c r="AO19" s="393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0</v>
      </c>
      <c r="H20" s="373" t="s">
        <v>9</v>
      </c>
      <c r="I20" s="441">
        <v>1</v>
      </c>
      <c r="J20" s="375">
        <f t="shared" si="5"/>
        <v>2</v>
      </c>
      <c r="K20" s="363">
        <f t="shared" si="6"/>
        <v>0</v>
      </c>
      <c r="L20" s="363">
        <f t="shared" si="7"/>
        <v>3</v>
      </c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392"/>
      <c r="V20" s="392"/>
      <c r="W20" s="392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0"/>
        <v>1</v>
      </c>
      <c r="AH20" s="108">
        <f t="shared" si="1"/>
        <v>0</v>
      </c>
      <c r="AI20" s="108">
        <f t="shared" si="10"/>
        <v>0</v>
      </c>
      <c r="AJ20" s="108">
        <f t="shared" si="2"/>
        <v>0</v>
      </c>
      <c r="AK20" s="108">
        <f t="shared" si="3"/>
        <v>0</v>
      </c>
      <c r="AL20" s="108">
        <f t="shared" si="4"/>
        <v>0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0</v>
      </c>
      <c r="H21" s="379" t="s">
        <v>9</v>
      </c>
      <c r="I21" s="442">
        <v>1</v>
      </c>
      <c r="J21" s="381">
        <f t="shared" si="5"/>
        <v>2</v>
      </c>
      <c r="K21" s="363">
        <f t="shared" si="6"/>
        <v>0</v>
      </c>
      <c r="L21" s="363">
        <f t="shared" si="7"/>
        <v>3</v>
      </c>
      <c r="O21" s="394" t="s">
        <v>17</v>
      </c>
      <c r="P21" s="395">
        <f>SUMIF($D$8:$D$55,$O21,$G$8:$G$55)+SUMIF($F$8:$F$55,$O21,$I$8:$I$55)</f>
        <v>3</v>
      </c>
      <c r="Q21" s="395">
        <f>SUMIF($D$8:$D$55,$O21,$I$8:$I$55)+SUMIF($F$8:$F$55,$O21,$G$8:$G$55)</f>
        <v>0</v>
      </c>
      <c r="R21" s="396">
        <f>P21-Q21</f>
        <v>3</v>
      </c>
      <c r="S21" s="397">
        <f>SUMIF($D$8:$D$55,$O21,$K$8:$K$55)+SUMIF($F$8:$F$55,$O21,$L$8:$L$55)</f>
        <v>9</v>
      </c>
      <c r="T21" s="444" t="s">
        <v>57</v>
      </c>
      <c r="U21" s="392"/>
      <c r="V21" s="392" t="str">
        <f>O21</f>
        <v>Colombia</v>
      </c>
      <c r="W21" s="392" t="s">
        <v>57</v>
      </c>
      <c r="Y21" s="109">
        <f t="shared" si="8"/>
        <v>5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5</v>
      </c>
      <c r="AG21" s="108">
        <f t="shared" si="0"/>
        <v>0</v>
      </c>
      <c r="AH21" s="108">
        <f t="shared" si="1"/>
        <v>0</v>
      </c>
      <c r="AI21" s="108">
        <f t="shared" si="10"/>
        <v>0</v>
      </c>
      <c r="AJ21" s="108">
        <f t="shared" si="2"/>
        <v>0</v>
      </c>
      <c r="AK21" s="108">
        <f t="shared" si="3"/>
        <v>5</v>
      </c>
      <c r="AL21" s="108">
        <f t="shared" si="4"/>
        <v>0</v>
      </c>
      <c r="AM21" s="120">
        <f>AO21</f>
        <v>10</v>
      </c>
      <c r="AN21" s="116" t="s">
        <v>17</v>
      </c>
      <c r="AO21" s="115">
        <f>IF(Uitslag!T21="",0,IF(T21=Uitslag!T21,10,0))</f>
        <v>10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2</v>
      </c>
      <c r="H22" s="367" t="s">
        <v>9</v>
      </c>
      <c r="I22" s="440">
        <v>0</v>
      </c>
      <c r="J22" s="369">
        <f t="shared" si="5"/>
        <v>1</v>
      </c>
      <c r="K22" s="363">
        <f t="shared" si="6"/>
        <v>3</v>
      </c>
      <c r="L22" s="363">
        <f t="shared" si="7"/>
        <v>0</v>
      </c>
      <c r="O22" s="398" t="s">
        <v>18</v>
      </c>
      <c r="P22" s="399">
        <f>SUMIF($D$8:$D$55,$O22,$G$8:$G$55)+SUMIF($F$8:$F$55,$O22,$I$8:$I$55)</f>
        <v>1</v>
      </c>
      <c r="Q22" s="399">
        <f>SUMIF($D$8:$D$55,$O22,$I$8:$I$55)+SUMIF($F$8:$F$55,$O22,$G$8:$G$55)</f>
        <v>2</v>
      </c>
      <c r="R22" s="399">
        <f>P22-Q22</f>
        <v>-1</v>
      </c>
      <c r="S22" s="400">
        <f>SUMIF($D$8:$D$55,$O22,$K$8:$K$55)+SUMIF($F$8:$F$55,$O22,$L$8:$L$55)</f>
        <v>3</v>
      </c>
      <c r="T22" s="445" t="s">
        <v>59</v>
      </c>
      <c r="U22" s="392"/>
      <c r="V22" s="392" t="str">
        <f>O22</f>
        <v>Griekenland</v>
      </c>
      <c r="W22" s="392" t="s">
        <v>58</v>
      </c>
      <c r="Y22" s="109">
        <f t="shared" si="8"/>
        <v>6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6</v>
      </c>
      <c r="AG22" s="108">
        <f t="shared" si="0"/>
        <v>1</v>
      </c>
      <c r="AH22" s="108">
        <f t="shared" si="1"/>
        <v>0</v>
      </c>
      <c r="AI22" s="108">
        <f t="shared" si="10"/>
        <v>0</v>
      </c>
      <c r="AJ22" s="108">
        <f t="shared" si="2"/>
        <v>5</v>
      </c>
      <c r="AK22" s="108">
        <f t="shared" si="3"/>
        <v>0</v>
      </c>
      <c r="AL22" s="108">
        <f t="shared" si="4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2</v>
      </c>
      <c r="H23" s="373" t="s">
        <v>9</v>
      </c>
      <c r="I23" s="441">
        <v>0</v>
      </c>
      <c r="J23" s="375">
        <f t="shared" si="5"/>
        <v>1</v>
      </c>
      <c r="K23" s="363">
        <f t="shared" si="6"/>
        <v>3</v>
      </c>
      <c r="L23" s="363">
        <f t="shared" si="7"/>
        <v>0</v>
      </c>
      <c r="O23" s="398" t="s">
        <v>23</v>
      </c>
      <c r="P23" s="399">
        <f>SUMIF($D$8:$D$55,$O23,$G$8:$G$55)+SUMIF($F$8:$F$55,$O23,$I$8:$I$55)</f>
        <v>2</v>
      </c>
      <c r="Q23" s="399">
        <f>SUMIF($D$8:$D$55,$O23,$I$8:$I$55)+SUMIF($F$8:$F$55,$O23,$G$8:$G$55)</f>
        <v>2</v>
      </c>
      <c r="R23" s="399">
        <f>P23-Q23</f>
        <v>0</v>
      </c>
      <c r="S23" s="400">
        <f>SUMIF($D$8:$D$55,$O23,$K$8:$K$55)+SUMIF($F$8:$F$55,$O23,$L$8:$L$55)</f>
        <v>4</v>
      </c>
      <c r="T23" s="445" t="s">
        <v>58</v>
      </c>
      <c r="U23" s="392"/>
      <c r="V23" s="392" t="str">
        <f>O23</f>
        <v>Ivoorkust</v>
      </c>
      <c r="W23" s="392" t="s">
        <v>59</v>
      </c>
      <c r="Y23" s="109">
        <f t="shared" si="8"/>
        <v>1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1</v>
      </c>
      <c r="AG23" s="108">
        <f t="shared" si="0"/>
        <v>0</v>
      </c>
      <c r="AH23" s="108">
        <f t="shared" si="1"/>
        <v>1</v>
      </c>
      <c r="AI23" s="108">
        <f t="shared" si="10"/>
        <v>0</v>
      </c>
      <c r="AJ23" s="108">
        <f t="shared" si="2"/>
        <v>0</v>
      </c>
      <c r="AK23" s="108">
        <f t="shared" si="3"/>
        <v>0</v>
      </c>
      <c r="AL23" s="108">
        <f t="shared" si="4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1</v>
      </c>
      <c r="H24" s="379" t="s">
        <v>9</v>
      </c>
      <c r="I24" s="442">
        <v>0</v>
      </c>
      <c r="J24" s="381">
        <f t="shared" si="5"/>
        <v>1</v>
      </c>
      <c r="K24" s="363">
        <f t="shared" si="6"/>
        <v>3</v>
      </c>
      <c r="L24" s="363">
        <f t="shared" si="7"/>
        <v>0</v>
      </c>
      <c r="O24" s="401" t="s">
        <v>24</v>
      </c>
      <c r="P24" s="402">
        <f>SUMIF($D$8:$D$55,$O24,$G$8:$G$55)+SUMIF($F$8:$F$55,$O24,$I$8:$I$55)</f>
        <v>1</v>
      </c>
      <c r="Q24" s="402">
        <f>SUMIF($D$8:$D$55,$O24,$I$8:$I$55)+SUMIF($F$8:$F$55,$O24,$G$8:$G$55)</f>
        <v>3</v>
      </c>
      <c r="R24" s="402">
        <f>P24-Q24</f>
        <v>-2</v>
      </c>
      <c r="S24" s="403">
        <f>SUMIF($D$8:$D$55,$O24,$K$8:$K$55)+SUMIF($F$8:$F$55,$O24,$L$8:$L$55)</f>
        <v>1</v>
      </c>
      <c r="T24" s="446" t="s">
        <v>60</v>
      </c>
      <c r="U24" s="392"/>
      <c r="V24" s="392" t="str">
        <f>O24</f>
        <v>Japan</v>
      </c>
      <c r="W24" s="392" t="s">
        <v>60</v>
      </c>
      <c r="Y24" s="109">
        <f t="shared" si="8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</v>
      </c>
      <c r="AG24" s="108">
        <f t="shared" si="0"/>
        <v>1</v>
      </c>
      <c r="AH24" s="108">
        <f t="shared" si="1"/>
        <v>0</v>
      </c>
      <c r="AI24" s="108">
        <f t="shared" si="10"/>
        <v>0</v>
      </c>
      <c r="AJ24" s="108">
        <f t="shared" si="2"/>
        <v>0</v>
      </c>
      <c r="AK24" s="108">
        <f t="shared" si="3"/>
        <v>0</v>
      </c>
      <c r="AL24" s="108">
        <f t="shared" si="4"/>
        <v>0</v>
      </c>
      <c r="AM24" s="120">
        <f>AO24</f>
        <v>10</v>
      </c>
      <c r="AN24" s="118" t="s">
        <v>24</v>
      </c>
      <c r="AO24" s="115">
        <f>IF(Uitslag!T24="",0,IF(T24=Uitslag!T24,10,0))</f>
        <v>10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0</v>
      </c>
      <c r="H25" s="367" t="s">
        <v>9</v>
      </c>
      <c r="I25" s="440">
        <v>1</v>
      </c>
      <c r="J25" s="369">
        <f t="shared" si="5"/>
        <v>2</v>
      </c>
      <c r="K25" s="363">
        <f t="shared" si="6"/>
        <v>0</v>
      </c>
      <c r="L25" s="363">
        <f t="shared" si="7"/>
        <v>3</v>
      </c>
      <c r="O25" s="392"/>
      <c r="P25" s="393"/>
      <c r="Q25" s="393"/>
      <c r="R25" s="393"/>
      <c r="S25" s="393"/>
      <c r="T25" s="393"/>
      <c r="U25" s="392"/>
      <c r="V25" s="392"/>
      <c r="W25" s="392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0"/>
        <v>0</v>
      </c>
      <c r="AH25" s="108">
        <f t="shared" si="1"/>
        <v>0</v>
      </c>
      <c r="AI25" s="108">
        <f t="shared" si="10"/>
        <v>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392"/>
      <c r="AO25" s="393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2</v>
      </c>
      <c r="H26" s="373" t="s">
        <v>9</v>
      </c>
      <c r="I26" s="441">
        <v>0</v>
      </c>
      <c r="J26" s="375">
        <f t="shared" si="5"/>
        <v>1</v>
      </c>
      <c r="K26" s="363">
        <f t="shared" si="6"/>
        <v>3</v>
      </c>
      <c r="L26" s="363">
        <f t="shared" si="7"/>
        <v>0</v>
      </c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392"/>
      <c r="V26" s="392"/>
      <c r="W26" s="392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0"/>
        <v>0</v>
      </c>
      <c r="AH26" s="108">
        <f t="shared" si="1"/>
        <v>0</v>
      </c>
      <c r="AI26" s="108">
        <f t="shared" si="10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1</v>
      </c>
      <c r="H27" s="379" t="s">
        <v>9</v>
      </c>
      <c r="I27" s="442">
        <v>0</v>
      </c>
      <c r="J27" s="381">
        <f t="shared" si="5"/>
        <v>1</v>
      </c>
      <c r="K27" s="363">
        <f t="shared" si="6"/>
        <v>3</v>
      </c>
      <c r="L27" s="363">
        <f t="shared" si="7"/>
        <v>0</v>
      </c>
      <c r="O27" s="394" t="s">
        <v>19</v>
      </c>
      <c r="P27" s="395">
        <f>SUMIF($D$8:$D$55,$O27,$G$8:$G$55)+SUMIF($F$8:$F$55,$O27,$I$8:$I$55)</f>
        <v>1</v>
      </c>
      <c r="Q27" s="395">
        <f>SUMIF($D$8:$D$55,$O27,$I$8:$I$55)+SUMIF($F$8:$F$55,$O27,$G$8:$G$55)</f>
        <v>2</v>
      </c>
      <c r="R27" s="396">
        <f>P27-Q27</f>
        <v>-1</v>
      </c>
      <c r="S27" s="397">
        <f>SUMIF($D$8:$D$55,$O27,$K$8:$K$55)+SUMIF($F$8:$F$55,$O27,$L$8:$L$55)</f>
        <v>3</v>
      </c>
      <c r="T27" s="444" t="s">
        <v>64</v>
      </c>
      <c r="U27" s="392"/>
      <c r="V27" s="392" t="str">
        <f>O27</f>
        <v>Uruguay</v>
      </c>
      <c r="W27" s="392" t="s">
        <v>62</v>
      </c>
      <c r="Y27" s="109">
        <f t="shared" si="8"/>
        <v>0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0</v>
      </c>
      <c r="AG27" s="108">
        <f t="shared" si="0"/>
        <v>0</v>
      </c>
      <c r="AH27" s="108">
        <f t="shared" si="1"/>
        <v>0</v>
      </c>
      <c r="AI27" s="108">
        <f t="shared" si="10"/>
        <v>0</v>
      </c>
      <c r="AJ27" s="108">
        <f t="shared" si="2"/>
        <v>0</v>
      </c>
      <c r="AK27" s="108">
        <f t="shared" si="3"/>
        <v>0</v>
      </c>
      <c r="AL27" s="108">
        <f t="shared" si="4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1</v>
      </c>
      <c r="H28" s="367" t="s">
        <v>9</v>
      </c>
      <c r="I28" s="440">
        <v>0</v>
      </c>
      <c r="J28" s="369">
        <f t="shared" si="5"/>
        <v>1</v>
      </c>
      <c r="K28" s="363">
        <f t="shared" si="6"/>
        <v>3</v>
      </c>
      <c r="L28" s="363">
        <f t="shared" si="7"/>
        <v>0</v>
      </c>
      <c r="O28" s="398" t="s">
        <v>20</v>
      </c>
      <c r="P28" s="399">
        <f>SUMIF($D$8:$D$55,$O28,$G$8:$G$55)+SUMIF($F$8:$F$55,$O28,$I$8:$I$55)</f>
        <v>0</v>
      </c>
      <c r="Q28" s="399">
        <f>SUMIF($D$8:$D$55,$O28,$I$8:$I$55)+SUMIF($F$8:$F$55,$O28,$G$8:$G$55)</f>
        <v>4</v>
      </c>
      <c r="R28" s="399">
        <f>P28-Q28</f>
        <v>-4</v>
      </c>
      <c r="S28" s="400">
        <f>SUMIF($D$8:$D$55,$O28,$K$8:$K$55)+SUMIF($F$8:$F$55,$O28,$L$8:$L$55)</f>
        <v>0</v>
      </c>
      <c r="T28" s="445" t="s">
        <v>65</v>
      </c>
      <c r="U28" s="392"/>
      <c r="V28" s="392" t="str">
        <f>O28</f>
        <v>Costa Rica</v>
      </c>
      <c r="W28" s="392" t="s">
        <v>63</v>
      </c>
      <c r="Y28" s="109">
        <f t="shared" si="8"/>
        <v>5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5</v>
      </c>
      <c r="AG28" s="108">
        <f t="shared" si="0"/>
        <v>0</v>
      </c>
      <c r="AH28" s="108">
        <f t="shared" si="1"/>
        <v>0</v>
      </c>
      <c r="AI28" s="108">
        <f t="shared" si="10"/>
        <v>0</v>
      </c>
      <c r="AJ28" s="108">
        <f t="shared" si="2"/>
        <v>5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0</v>
      </c>
      <c r="H29" s="373" t="s">
        <v>9</v>
      </c>
      <c r="I29" s="441">
        <v>1</v>
      </c>
      <c r="J29" s="375">
        <f t="shared" si="5"/>
        <v>2</v>
      </c>
      <c r="K29" s="363">
        <f t="shared" si="6"/>
        <v>0</v>
      </c>
      <c r="L29" s="363">
        <f t="shared" si="7"/>
        <v>3</v>
      </c>
      <c r="O29" s="398" t="s">
        <v>21</v>
      </c>
      <c r="P29" s="399">
        <f>SUMIF($D$8:$D$55,$O29,$G$8:$G$55)+SUMIF($F$8:$F$55,$O29,$I$8:$I$55)</f>
        <v>3</v>
      </c>
      <c r="Q29" s="399">
        <f>SUMIF($D$8:$D$55,$O29,$I$8:$I$55)+SUMIF($F$8:$F$55,$O29,$G$8:$G$55)</f>
        <v>1</v>
      </c>
      <c r="R29" s="399">
        <f>P29-Q29</f>
        <v>2</v>
      </c>
      <c r="S29" s="400">
        <f>SUMIF($D$8:$D$55,$O29,$K$8:$K$55)+SUMIF($F$8:$F$55,$O29,$L$8:$L$55)</f>
        <v>6</v>
      </c>
      <c r="T29" s="445" t="s">
        <v>63</v>
      </c>
      <c r="U29" s="392"/>
      <c r="V29" s="392" t="str">
        <f>O29</f>
        <v>Engeland</v>
      </c>
      <c r="W29" s="392" t="s">
        <v>64</v>
      </c>
      <c r="Y29" s="109">
        <f t="shared" si="8"/>
        <v>1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1</v>
      </c>
      <c r="AG29" s="108">
        <f t="shared" si="0"/>
        <v>0</v>
      </c>
      <c r="AH29" s="108">
        <f t="shared" si="1"/>
        <v>1</v>
      </c>
      <c r="AI29" s="108">
        <f t="shared" si="10"/>
        <v>0</v>
      </c>
      <c r="AJ29" s="108">
        <f t="shared" si="2"/>
        <v>0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0</v>
      </c>
      <c r="H30" s="379" t="s">
        <v>9</v>
      </c>
      <c r="I30" s="442">
        <v>1</v>
      </c>
      <c r="J30" s="381">
        <f t="shared" si="5"/>
        <v>2</v>
      </c>
      <c r="K30" s="363">
        <f t="shared" si="6"/>
        <v>0</v>
      </c>
      <c r="L30" s="363">
        <f t="shared" si="7"/>
        <v>3</v>
      </c>
      <c r="O30" s="401" t="s">
        <v>22</v>
      </c>
      <c r="P30" s="402">
        <f>SUMIF($D$8:$D$55,$O30,$G$8:$G$55)+SUMIF($F$8:$F$55,$O30,$I$8:$I$55)</f>
        <v>3</v>
      </c>
      <c r="Q30" s="402">
        <f>SUMIF($D$8:$D$55,$O30,$I$8:$I$55)+SUMIF($F$8:$F$55,$O30,$G$8:$G$55)</f>
        <v>0</v>
      </c>
      <c r="R30" s="402">
        <f>P30-Q30</f>
        <v>3</v>
      </c>
      <c r="S30" s="403">
        <f>SUMIF($D$8:$D$55,$O30,$K$8:$K$55)+SUMIF($F$8:$F$55,$O30,$L$8:$L$55)</f>
        <v>9</v>
      </c>
      <c r="T30" s="446" t="s">
        <v>62</v>
      </c>
      <c r="U30" s="392"/>
      <c r="V30" s="392" t="str">
        <f>O30</f>
        <v>Italië</v>
      </c>
      <c r="W30" s="392" t="s">
        <v>65</v>
      </c>
      <c r="Y30" s="109">
        <f t="shared" si="8"/>
        <v>1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1</v>
      </c>
      <c r="AG30" s="108">
        <f t="shared" si="0"/>
        <v>1</v>
      </c>
      <c r="AH30" s="108">
        <f t="shared" si="1"/>
        <v>0</v>
      </c>
      <c r="AI30" s="108">
        <f t="shared" si="10"/>
        <v>0</v>
      </c>
      <c r="AJ30" s="108">
        <f t="shared" si="2"/>
        <v>0</v>
      </c>
      <c r="AK30" s="108">
        <f t="shared" si="3"/>
        <v>0</v>
      </c>
      <c r="AL30" s="108">
        <f t="shared" si="4"/>
        <v>0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1</v>
      </c>
      <c r="H31" s="367" t="s">
        <v>9</v>
      </c>
      <c r="I31" s="440">
        <v>0</v>
      </c>
      <c r="J31" s="369">
        <f t="shared" si="5"/>
        <v>1</v>
      </c>
      <c r="K31" s="363">
        <f t="shared" si="6"/>
        <v>3</v>
      </c>
      <c r="L31" s="363">
        <f t="shared" si="7"/>
        <v>0</v>
      </c>
      <c r="O31" s="392"/>
      <c r="P31" s="393"/>
      <c r="Q31" s="393"/>
      <c r="R31" s="393"/>
      <c r="S31" s="393"/>
      <c r="T31" s="393"/>
      <c r="U31" s="392"/>
      <c r="V31" s="392"/>
      <c r="W31" s="392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0"/>
        <v>0</v>
      </c>
      <c r="AH31" s="108">
        <f t="shared" si="1"/>
        <v>0</v>
      </c>
      <c r="AI31" s="108">
        <f t="shared" si="10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392"/>
      <c r="AO31" s="393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0</v>
      </c>
      <c r="H32" s="373" t="s">
        <v>9</v>
      </c>
      <c r="I32" s="441">
        <v>1</v>
      </c>
      <c r="J32" s="375">
        <f t="shared" si="5"/>
        <v>2</v>
      </c>
      <c r="K32" s="363">
        <f t="shared" si="6"/>
        <v>0</v>
      </c>
      <c r="L32" s="363">
        <f t="shared" si="7"/>
        <v>3</v>
      </c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392"/>
      <c r="V32" s="392"/>
      <c r="W32" s="392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0"/>
        <v>0</v>
      </c>
      <c r="AH32" s="108">
        <f t="shared" si="1"/>
        <v>0</v>
      </c>
      <c r="AI32" s="108">
        <f t="shared" si="10"/>
        <v>0</v>
      </c>
      <c r="AJ32" s="108">
        <f t="shared" si="2"/>
        <v>0</v>
      </c>
      <c r="AK32" s="108">
        <f t="shared" si="3"/>
        <v>5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0</v>
      </c>
      <c r="H33" s="379" t="s">
        <v>9</v>
      </c>
      <c r="I33" s="442">
        <v>2</v>
      </c>
      <c r="J33" s="381">
        <f t="shared" si="5"/>
        <v>2</v>
      </c>
      <c r="K33" s="363">
        <f t="shared" si="6"/>
        <v>0</v>
      </c>
      <c r="L33" s="363">
        <f t="shared" si="7"/>
        <v>3</v>
      </c>
      <c r="O33" s="394" t="s">
        <v>25</v>
      </c>
      <c r="P33" s="395">
        <f>SUMIF($D$8:$D$55,$O33,$G$8:$G$55)+SUMIF($F$8:$F$55,$O33,$I$8:$I$55)</f>
        <v>3</v>
      </c>
      <c r="Q33" s="395">
        <f>SUMIF($D$8:$D$55,$O33,$I$8:$I$55)+SUMIF($F$8:$F$55,$O33,$G$8:$G$55)</f>
        <v>1</v>
      </c>
      <c r="R33" s="396">
        <f>P33-Q33</f>
        <v>2</v>
      </c>
      <c r="S33" s="397">
        <f>SUMIF($D$8:$D$55,$O33,$K$8:$K$55)+SUMIF($F$8:$F$55,$O33,$L$8:$L$55)</f>
        <v>6</v>
      </c>
      <c r="T33" s="444" t="s">
        <v>68</v>
      </c>
      <c r="U33" s="392"/>
      <c r="V33" s="392" t="str">
        <f>O33</f>
        <v>Zwitserland</v>
      </c>
      <c r="W33" s="392" t="s">
        <v>67</v>
      </c>
      <c r="Y33" s="109">
        <f t="shared" si="8"/>
        <v>6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6</v>
      </c>
      <c r="AG33" s="108">
        <f t="shared" si="0"/>
        <v>0</v>
      </c>
      <c r="AH33" s="108">
        <f t="shared" si="1"/>
        <v>1</v>
      </c>
      <c r="AI33" s="108">
        <f t="shared" si="10"/>
        <v>0</v>
      </c>
      <c r="AJ33" s="108">
        <f t="shared" si="2"/>
        <v>0</v>
      </c>
      <c r="AK33" s="108">
        <f t="shared" si="3"/>
        <v>5</v>
      </c>
      <c r="AL33" s="108">
        <f t="shared" si="4"/>
        <v>0</v>
      </c>
      <c r="AM33" s="120">
        <f>AO33</f>
        <v>10</v>
      </c>
      <c r="AN33" s="116" t="s">
        <v>25</v>
      </c>
      <c r="AO33" s="115">
        <f>IF(Uitslag!T33="",0,IF(T33=Uitslag!T33,10,0))</f>
        <v>10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2</v>
      </c>
      <c r="H34" s="367" t="s">
        <v>9</v>
      </c>
      <c r="I34" s="440">
        <v>0</v>
      </c>
      <c r="J34" s="369">
        <f t="shared" si="5"/>
        <v>1</v>
      </c>
      <c r="K34" s="363">
        <f t="shared" si="6"/>
        <v>3</v>
      </c>
      <c r="L34" s="363">
        <f t="shared" si="7"/>
        <v>0</v>
      </c>
      <c r="O34" s="398" t="s">
        <v>26</v>
      </c>
      <c r="P34" s="399">
        <f>SUMIF($D$8:$D$55,$O34,$G$8:$G$55)+SUMIF($F$8:$F$55,$O34,$I$8:$I$55)</f>
        <v>2</v>
      </c>
      <c r="Q34" s="399">
        <f>SUMIF($D$8:$D$55,$O34,$I$8:$I$55)+SUMIF($F$8:$F$55,$O34,$G$8:$G$55)</f>
        <v>2</v>
      </c>
      <c r="R34" s="399">
        <f>P34-Q34</f>
        <v>0</v>
      </c>
      <c r="S34" s="400">
        <f>SUMIF($D$8:$D$55,$O34,$K$8:$K$55)+SUMIF($F$8:$F$55,$O34,$L$8:$L$55)</f>
        <v>3</v>
      </c>
      <c r="T34" s="445" t="s">
        <v>69</v>
      </c>
      <c r="U34" s="392"/>
      <c r="V34" s="392" t="str">
        <f>O34</f>
        <v>Ecuador</v>
      </c>
      <c r="W34" s="392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0"/>
        <v>0</v>
      </c>
      <c r="AH34" s="108">
        <f t="shared" si="1"/>
        <v>1</v>
      </c>
      <c r="AI34" s="108">
        <f t="shared" si="10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10</v>
      </c>
      <c r="AN34" s="117" t="s">
        <v>26</v>
      </c>
      <c r="AO34" s="115">
        <f>IF(Uitslag!T34="",0,IF(T34=Uitslag!T34,10,0))</f>
        <v>10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2</v>
      </c>
      <c r="H35" s="373" t="s">
        <v>9</v>
      </c>
      <c r="I35" s="441">
        <v>1</v>
      </c>
      <c r="J35" s="375">
        <f t="shared" si="5"/>
        <v>1</v>
      </c>
      <c r="K35" s="363">
        <f t="shared" si="6"/>
        <v>3</v>
      </c>
      <c r="L35" s="363">
        <f t="shared" si="7"/>
        <v>0</v>
      </c>
      <c r="O35" s="398" t="s">
        <v>27</v>
      </c>
      <c r="P35" s="399">
        <f>SUMIF($D$8:$D$55,$O35,$G$8:$G$55)+SUMIF($F$8:$F$55,$O35,$I$8:$I$55)</f>
        <v>4</v>
      </c>
      <c r="Q35" s="399">
        <f>SUMIF($D$8:$D$55,$O35,$I$8:$I$55)+SUMIF($F$8:$F$55,$O35,$G$8:$G$55)</f>
        <v>0</v>
      </c>
      <c r="R35" s="399">
        <f>P35-Q35</f>
        <v>4</v>
      </c>
      <c r="S35" s="400">
        <f>SUMIF($D$8:$D$55,$O35,$K$8:$K$55)+SUMIF($F$8:$F$55,$O35,$L$8:$L$55)</f>
        <v>9</v>
      </c>
      <c r="T35" s="445" t="s">
        <v>67</v>
      </c>
      <c r="U35" s="392"/>
      <c r="V35" s="392" t="str">
        <f>O35</f>
        <v>Frankrijk</v>
      </c>
      <c r="W35" s="392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0"/>
        <v>1</v>
      </c>
      <c r="AH35" s="108">
        <f t="shared" si="1"/>
        <v>0</v>
      </c>
      <c r="AI35" s="108">
        <f t="shared" si="10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1</v>
      </c>
      <c r="H36" s="379" t="s">
        <v>9</v>
      </c>
      <c r="I36" s="442">
        <v>0</v>
      </c>
      <c r="J36" s="381">
        <f t="shared" si="5"/>
        <v>1</v>
      </c>
      <c r="K36" s="363">
        <f t="shared" si="6"/>
        <v>3</v>
      </c>
      <c r="L36" s="363">
        <f t="shared" si="7"/>
        <v>0</v>
      </c>
      <c r="O36" s="401" t="s">
        <v>28</v>
      </c>
      <c r="P36" s="402">
        <f>SUMIF($D$8:$D$55,$O36,$G$8:$G$55)+SUMIF($F$8:$F$55,$O36,$I$8:$I$55)</f>
        <v>0</v>
      </c>
      <c r="Q36" s="402">
        <f>SUMIF($D$8:$D$55,$O36,$I$8:$I$55)+SUMIF($F$8:$F$55,$O36,$G$8:$G$55)</f>
        <v>6</v>
      </c>
      <c r="R36" s="402">
        <f>P36-Q36</f>
        <v>-6</v>
      </c>
      <c r="S36" s="403">
        <f>SUMIF($D$8:$D$55,$O36,$K$8:$K$55)+SUMIF($F$8:$F$55,$O36,$L$8:$L$55)</f>
        <v>0</v>
      </c>
      <c r="T36" s="446" t="s">
        <v>70</v>
      </c>
      <c r="U36" s="392"/>
      <c r="V36" s="392" t="str">
        <f>O36</f>
        <v>Honduras</v>
      </c>
      <c r="W36" s="392" t="s">
        <v>70</v>
      </c>
      <c r="Y36" s="109">
        <f t="shared" si="8"/>
        <v>10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10</v>
      </c>
      <c r="AG36" s="108">
        <f t="shared" si="0"/>
        <v>1</v>
      </c>
      <c r="AH36" s="108">
        <f t="shared" si="1"/>
        <v>1</v>
      </c>
      <c r="AI36" s="108">
        <f t="shared" si="10"/>
        <v>10</v>
      </c>
      <c r="AJ36" s="108">
        <f t="shared" si="2"/>
        <v>5</v>
      </c>
      <c r="AK36" s="108">
        <f t="shared" si="3"/>
        <v>0</v>
      </c>
      <c r="AL36" s="108">
        <f t="shared" si="4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1</v>
      </c>
      <c r="H37" s="367" t="s">
        <v>9</v>
      </c>
      <c r="I37" s="440">
        <v>0</v>
      </c>
      <c r="J37" s="369">
        <f t="shared" si="5"/>
        <v>1</v>
      </c>
      <c r="K37" s="363">
        <f t="shared" si="6"/>
        <v>3</v>
      </c>
      <c r="L37" s="363">
        <f t="shared" si="7"/>
        <v>0</v>
      </c>
      <c r="O37" s="392"/>
      <c r="P37" s="393"/>
      <c r="Q37" s="393"/>
      <c r="R37" s="393"/>
      <c r="S37" s="393"/>
      <c r="T37" s="393"/>
      <c r="U37" s="392"/>
      <c r="V37" s="392"/>
      <c r="W37" s="392"/>
      <c r="Y37" s="109">
        <f t="shared" si="8"/>
        <v>10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10</v>
      </c>
      <c r="AG37" s="108">
        <f t="shared" si="0"/>
        <v>1</v>
      </c>
      <c r="AH37" s="108">
        <f t="shared" si="1"/>
        <v>1</v>
      </c>
      <c r="AI37" s="108">
        <f t="shared" si="10"/>
        <v>10</v>
      </c>
      <c r="AJ37" s="108">
        <f t="shared" si="2"/>
        <v>5</v>
      </c>
      <c r="AK37" s="108">
        <f t="shared" si="3"/>
        <v>0</v>
      </c>
      <c r="AL37" s="108">
        <f t="shared" si="4"/>
        <v>0</v>
      </c>
      <c r="AN37" s="392"/>
      <c r="AO37" s="393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1</v>
      </c>
      <c r="H38" s="373" t="s">
        <v>9</v>
      </c>
      <c r="I38" s="441">
        <v>0</v>
      </c>
      <c r="J38" s="375">
        <f t="shared" si="5"/>
        <v>1</v>
      </c>
      <c r="K38" s="363">
        <f t="shared" si="6"/>
        <v>3</v>
      </c>
      <c r="L38" s="363">
        <f t="shared" si="7"/>
        <v>0</v>
      </c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392"/>
      <c r="V38" s="392"/>
      <c r="W38" s="392"/>
      <c r="Y38" s="109">
        <f t="shared" si="8"/>
        <v>0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0</v>
      </c>
      <c r="AG38" s="108">
        <f t="shared" si="0"/>
        <v>0</v>
      </c>
      <c r="AH38" s="108">
        <f t="shared" si="1"/>
        <v>0</v>
      </c>
      <c r="AI38" s="108">
        <f t="shared" si="10"/>
        <v>0</v>
      </c>
      <c r="AJ38" s="108">
        <f t="shared" si="2"/>
        <v>0</v>
      </c>
      <c r="AK38" s="108">
        <f t="shared" si="3"/>
        <v>0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0</v>
      </c>
      <c r="H39" s="379" t="s">
        <v>9</v>
      </c>
      <c r="I39" s="442">
        <v>2</v>
      </c>
      <c r="J39" s="381">
        <f t="shared" si="5"/>
        <v>2</v>
      </c>
      <c r="K39" s="363">
        <f t="shared" si="6"/>
        <v>0</v>
      </c>
      <c r="L39" s="363">
        <f t="shared" si="7"/>
        <v>3</v>
      </c>
      <c r="O39" s="394" t="s">
        <v>29</v>
      </c>
      <c r="P39" s="395">
        <f>SUMIF($D$8:$D$55,$O39,$G$8:$G$55)+SUMIF($F$8:$F$55,$O39,$I$8:$I$55)</f>
        <v>6</v>
      </c>
      <c r="Q39" s="395">
        <f>SUMIF($D$8:$D$55,$O39,$I$8:$I$55)+SUMIF($F$8:$F$55,$O39,$G$8:$G$55)</f>
        <v>0</v>
      </c>
      <c r="R39" s="396">
        <f>P39-Q39</f>
        <v>6</v>
      </c>
      <c r="S39" s="397">
        <f>SUMIF($D$8:$D$55,$O39,$K$8:$K$55)+SUMIF($F$8:$F$55,$O39,$L$8:$L$55)</f>
        <v>9</v>
      </c>
      <c r="T39" s="444" t="s">
        <v>72</v>
      </c>
      <c r="U39" s="392"/>
      <c r="V39" s="392" t="str">
        <f>O39</f>
        <v>Argentinië</v>
      </c>
      <c r="W39" s="392" t="s">
        <v>72</v>
      </c>
      <c r="Y39" s="109">
        <f t="shared" si="8"/>
        <v>1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1</v>
      </c>
      <c r="AG39" s="108">
        <f t="shared" si="0"/>
        <v>0</v>
      </c>
      <c r="AH39" s="108">
        <f t="shared" si="1"/>
        <v>1</v>
      </c>
      <c r="AI39" s="108">
        <f t="shared" si="10"/>
        <v>0</v>
      </c>
      <c r="AJ39" s="108">
        <f t="shared" si="2"/>
        <v>0</v>
      </c>
      <c r="AK39" s="108">
        <f t="shared" si="3"/>
        <v>0</v>
      </c>
      <c r="AL39" s="108">
        <f t="shared" si="4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1</v>
      </c>
      <c r="H40" s="367" t="s">
        <v>9</v>
      </c>
      <c r="I40" s="440">
        <v>2</v>
      </c>
      <c r="J40" s="369">
        <f t="shared" si="5"/>
        <v>2</v>
      </c>
      <c r="K40" s="363">
        <f t="shared" si="6"/>
        <v>0</v>
      </c>
      <c r="L40" s="363">
        <f t="shared" si="7"/>
        <v>3</v>
      </c>
      <c r="O40" s="398" t="s">
        <v>30</v>
      </c>
      <c r="P40" s="399">
        <f>SUMIF($D$8:$D$55,$O40,$G$8:$G$55)+SUMIF($F$8:$F$55,$O40,$I$8:$I$55)</f>
        <v>1</v>
      </c>
      <c r="Q40" s="399">
        <f>SUMIF($D$8:$D$55,$O40,$I$8:$I$55)+SUMIF($F$8:$F$55,$O40,$G$8:$G$55)</f>
        <v>3</v>
      </c>
      <c r="R40" s="399">
        <f>P40-Q40</f>
        <v>-2</v>
      </c>
      <c r="S40" s="400">
        <f>SUMIF($D$8:$D$55,$O40,$K$8:$K$55)+SUMIF($F$8:$F$55,$O40,$L$8:$L$55)</f>
        <v>3</v>
      </c>
      <c r="T40" s="445" t="s">
        <v>74</v>
      </c>
      <c r="U40" s="392"/>
      <c r="V40" s="392" t="str">
        <f>O40</f>
        <v>Bosnië H.</v>
      </c>
      <c r="W40" s="392" t="s">
        <v>73</v>
      </c>
      <c r="Y40" s="109">
        <f t="shared" si="8"/>
        <v>5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5</v>
      </c>
      <c r="AG40" s="108">
        <f t="shared" si="0"/>
        <v>0</v>
      </c>
      <c r="AH40" s="108">
        <f t="shared" si="1"/>
        <v>0</v>
      </c>
      <c r="AI40" s="108">
        <f t="shared" si="10"/>
        <v>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1</v>
      </c>
      <c r="H41" s="373" t="s">
        <v>9</v>
      </c>
      <c r="I41" s="441">
        <v>0</v>
      </c>
      <c r="J41" s="375">
        <f t="shared" si="5"/>
        <v>1</v>
      </c>
      <c r="K41" s="363">
        <f t="shared" si="6"/>
        <v>3</v>
      </c>
      <c r="L41" s="363">
        <f t="shared" si="7"/>
        <v>0</v>
      </c>
      <c r="O41" s="398" t="s">
        <v>33</v>
      </c>
      <c r="P41" s="399">
        <f>SUMIF($D$8:$D$55,$O41,$G$8:$G$55)+SUMIF($F$8:$F$55,$O41,$I$8:$I$55)</f>
        <v>0</v>
      </c>
      <c r="Q41" s="399">
        <f>SUMIF($D$8:$D$55,$O41,$I$8:$I$55)+SUMIF($F$8:$F$55,$O41,$G$8:$G$55)</f>
        <v>4</v>
      </c>
      <c r="R41" s="399">
        <f>P41-Q41</f>
        <v>-4</v>
      </c>
      <c r="S41" s="400">
        <f>SUMIF($D$8:$D$55,$O41,$K$8:$K$55)+SUMIF($F$8:$F$55,$O41,$L$8:$L$55)</f>
        <v>0</v>
      </c>
      <c r="T41" s="445" t="s">
        <v>75</v>
      </c>
      <c r="U41" s="392"/>
      <c r="V41" s="392" t="str">
        <f>O41</f>
        <v>Iran</v>
      </c>
      <c r="W41" s="392" t="s">
        <v>74</v>
      </c>
      <c r="Y41" s="109">
        <f t="shared" si="8"/>
        <v>6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6</v>
      </c>
      <c r="AG41" s="108">
        <f t="shared" si="0"/>
        <v>0</v>
      </c>
      <c r="AH41" s="108">
        <f t="shared" si="1"/>
        <v>1</v>
      </c>
      <c r="AI41" s="108">
        <f t="shared" si="10"/>
        <v>0</v>
      </c>
      <c r="AJ41" s="108">
        <f t="shared" si="2"/>
        <v>5</v>
      </c>
      <c r="AK41" s="108">
        <f t="shared" si="3"/>
        <v>0</v>
      </c>
      <c r="AL41" s="108">
        <f t="shared" si="4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1</v>
      </c>
      <c r="H42" s="373" t="s">
        <v>9</v>
      </c>
      <c r="I42" s="441">
        <v>2</v>
      </c>
      <c r="J42" s="375">
        <f t="shared" si="5"/>
        <v>2</v>
      </c>
      <c r="K42" s="363">
        <f t="shared" si="6"/>
        <v>0</v>
      </c>
      <c r="L42" s="363">
        <f t="shared" si="7"/>
        <v>3</v>
      </c>
      <c r="O42" s="401" t="s">
        <v>34</v>
      </c>
      <c r="P42" s="402">
        <f>SUMIF($D$8:$D$55,$O42,$G$8:$G$55)+SUMIF($F$8:$F$55,$O42,$I$8:$I$55)</f>
        <v>2</v>
      </c>
      <c r="Q42" s="402">
        <f>SUMIF($D$8:$D$55,$O42,$I$8:$I$55)+SUMIF($F$8:$F$55,$O42,$G$8:$G$55)</f>
        <v>2</v>
      </c>
      <c r="R42" s="402">
        <f>P42-Q42</f>
        <v>0</v>
      </c>
      <c r="S42" s="403">
        <f>SUMIF($D$8:$D$55,$O42,$K$8:$K$55)+SUMIF($F$8:$F$55,$O42,$L$8:$L$55)</f>
        <v>6</v>
      </c>
      <c r="T42" s="446" t="s">
        <v>73</v>
      </c>
      <c r="U42" s="392"/>
      <c r="V42" s="392" t="str">
        <f>O42</f>
        <v>Nigeria</v>
      </c>
      <c r="W42" s="392" t="s">
        <v>75</v>
      </c>
      <c r="Y42" s="109">
        <f t="shared" si="8"/>
        <v>6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6</v>
      </c>
      <c r="AG42" s="108">
        <f t="shared" si="0"/>
        <v>1</v>
      </c>
      <c r="AH42" s="108">
        <f t="shared" si="1"/>
        <v>0</v>
      </c>
      <c r="AI42" s="108">
        <f t="shared" si="10"/>
        <v>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1</v>
      </c>
      <c r="H43" s="379" t="s">
        <v>9</v>
      </c>
      <c r="I43" s="442">
        <v>0</v>
      </c>
      <c r="J43" s="381">
        <f t="shared" si="5"/>
        <v>1</v>
      </c>
      <c r="K43" s="363">
        <f t="shared" si="6"/>
        <v>3</v>
      </c>
      <c r="L43" s="363">
        <f t="shared" si="7"/>
        <v>0</v>
      </c>
      <c r="O43" s="392"/>
      <c r="P43" s="393"/>
      <c r="Q43" s="393"/>
      <c r="R43" s="393"/>
      <c r="S43" s="393"/>
      <c r="T43" s="393"/>
      <c r="U43" s="392"/>
      <c r="V43" s="392"/>
      <c r="W43" s="392"/>
      <c r="Y43" s="109">
        <f t="shared" si="8"/>
        <v>1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1</v>
      </c>
      <c r="AG43" s="108">
        <f t="shared" si="0"/>
        <v>1</v>
      </c>
      <c r="AH43" s="108">
        <f t="shared" si="1"/>
        <v>0</v>
      </c>
      <c r="AI43" s="108">
        <f t="shared" si="10"/>
        <v>0</v>
      </c>
      <c r="AJ43" s="108">
        <f t="shared" si="2"/>
        <v>0</v>
      </c>
      <c r="AK43" s="108">
        <f t="shared" si="3"/>
        <v>0</v>
      </c>
      <c r="AL43" s="108">
        <f t="shared" si="4"/>
        <v>0</v>
      </c>
      <c r="AN43" s="392"/>
      <c r="AO43" s="393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1</v>
      </c>
      <c r="H44" s="367" t="s">
        <v>9</v>
      </c>
      <c r="I44" s="440">
        <v>0</v>
      </c>
      <c r="J44" s="369">
        <f t="shared" si="5"/>
        <v>1</v>
      </c>
      <c r="K44" s="363">
        <f t="shared" si="6"/>
        <v>3</v>
      </c>
      <c r="L44" s="363">
        <f t="shared" si="7"/>
        <v>0</v>
      </c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392"/>
      <c r="V44" s="392"/>
      <c r="W44" s="392"/>
      <c r="Y44" s="109">
        <f t="shared" si="8"/>
        <v>0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0</v>
      </c>
      <c r="AG44" s="108">
        <f t="shared" si="0"/>
        <v>0</v>
      </c>
      <c r="AH44" s="108">
        <f t="shared" si="1"/>
        <v>0</v>
      </c>
      <c r="AI44" s="108">
        <f t="shared" si="10"/>
        <v>0</v>
      </c>
      <c r="AJ44" s="108">
        <f t="shared" si="2"/>
        <v>0</v>
      </c>
      <c r="AK44" s="108">
        <f t="shared" si="3"/>
        <v>0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0</v>
      </c>
      <c r="H45" s="373" t="s">
        <v>9</v>
      </c>
      <c r="I45" s="441">
        <v>2</v>
      </c>
      <c r="J45" s="375">
        <f t="shared" si="5"/>
        <v>2</v>
      </c>
      <c r="K45" s="363">
        <f t="shared" si="6"/>
        <v>0</v>
      </c>
      <c r="L45" s="363">
        <f t="shared" si="7"/>
        <v>3</v>
      </c>
      <c r="O45" s="394" t="s">
        <v>31</v>
      </c>
      <c r="P45" s="395">
        <f>SUMIF($D$8:$D$55,$O45,$G$8:$G$55)+SUMIF($F$8:$F$55,$O45,$I$8:$I$55)</f>
        <v>5</v>
      </c>
      <c r="Q45" s="395">
        <f>SUMIF($D$8:$D$55,$O45,$I$8:$I$55)+SUMIF($F$8:$F$55,$O45,$G$8:$G$55)</f>
        <v>1</v>
      </c>
      <c r="R45" s="396">
        <f>P45-Q45</f>
        <v>4</v>
      </c>
      <c r="S45" s="397">
        <f>SUMIF($D$8:$D$55,$O45,$K$8:$K$55)+SUMIF($F$8:$F$55,$O45,$L$8:$L$55)</f>
        <v>9</v>
      </c>
      <c r="T45" s="444" t="s">
        <v>77</v>
      </c>
      <c r="U45" s="392"/>
      <c r="V45" s="392" t="str">
        <f>O45</f>
        <v>Duitsland</v>
      </c>
      <c r="W45" s="392" t="s">
        <v>77</v>
      </c>
      <c r="Y45" s="109">
        <f t="shared" si="8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1</v>
      </c>
      <c r="AG45" s="108">
        <f t="shared" si="0"/>
        <v>1</v>
      </c>
      <c r="AH45" s="108">
        <f t="shared" si="1"/>
        <v>0</v>
      </c>
      <c r="AI45" s="108">
        <f t="shared" si="10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0</v>
      </c>
      <c r="H46" s="373" t="s">
        <v>9</v>
      </c>
      <c r="I46" s="441">
        <v>1</v>
      </c>
      <c r="J46" s="375">
        <f t="shared" si="5"/>
        <v>2</v>
      </c>
      <c r="K46" s="363">
        <f t="shared" si="6"/>
        <v>0</v>
      </c>
      <c r="L46" s="363">
        <f t="shared" si="7"/>
        <v>3</v>
      </c>
      <c r="O46" s="398" t="s">
        <v>32</v>
      </c>
      <c r="P46" s="399">
        <f>SUMIF($D$8:$D$55,$O46,$G$8:$G$55)+SUMIF($F$8:$F$55,$O46,$I$8:$I$55)</f>
        <v>4</v>
      </c>
      <c r="Q46" s="399">
        <f>SUMIF($D$8:$D$55,$O46,$I$8:$I$55)+SUMIF($F$8:$F$55,$O46,$G$8:$G$55)</f>
        <v>1</v>
      </c>
      <c r="R46" s="399">
        <f>P46-Q46</f>
        <v>3</v>
      </c>
      <c r="S46" s="400">
        <f>SUMIF($D$8:$D$55,$O46,$K$8:$K$55)+SUMIF($F$8:$F$55,$O46,$L$8:$L$55)</f>
        <v>6</v>
      </c>
      <c r="T46" s="445" t="s">
        <v>78</v>
      </c>
      <c r="U46" s="392"/>
      <c r="V46" s="392" t="str">
        <f>O46</f>
        <v>Portugal</v>
      </c>
      <c r="W46" s="392" t="s">
        <v>78</v>
      </c>
      <c r="Y46" s="109">
        <f t="shared" si="8"/>
        <v>5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5</v>
      </c>
      <c r="AG46" s="108">
        <f t="shared" si="0"/>
        <v>0</v>
      </c>
      <c r="AH46" s="108">
        <f t="shared" si="1"/>
        <v>0</v>
      </c>
      <c r="AI46" s="108">
        <f t="shared" si="10"/>
        <v>0</v>
      </c>
      <c r="AJ46" s="108">
        <f t="shared" si="2"/>
        <v>0</v>
      </c>
      <c r="AK46" s="108">
        <f t="shared" si="3"/>
        <v>5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0</v>
      </c>
      <c r="H47" s="379" t="s">
        <v>9</v>
      </c>
      <c r="I47" s="442">
        <v>1</v>
      </c>
      <c r="J47" s="381">
        <f t="shared" si="5"/>
        <v>2</v>
      </c>
      <c r="K47" s="363">
        <f t="shared" si="6"/>
        <v>0</v>
      </c>
      <c r="L47" s="363">
        <f t="shared" si="7"/>
        <v>3</v>
      </c>
      <c r="O47" s="398" t="s">
        <v>35</v>
      </c>
      <c r="P47" s="399">
        <f>SUMIF($D$8:$D$55,$O47,$G$8:$G$55)+SUMIF($F$8:$F$55,$O47,$I$8:$I$55)</f>
        <v>1</v>
      </c>
      <c r="Q47" s="399">
        <f>SUMIF($D$8:$D$55,$O47,$I$8:$I$55)+SUMIF($F$8:$F$55,$O47,$G$8:$G$55)</f>
        <v>5</v>
      </c>
      <c r="R47" s="399">
        <f>P47-Q47</f>
        <v>-4</v>
      </c>
      <c r="S47" s="400">
        <f>SUMIF($D$8:$D$55,$O47,$K$8:$K$55)+SUMIF($F$8:$F$55,$O47,$L$8:$L$55)</f>
        <v>0</v>
      </c>
      <c r="T47" s="445" t="s">
        <v>80</v>
      </c>
      <c r="U47" s="392"/>
      <c r="V47" s="392" t="str">
        <f>O47</f>
        <v>Ghana</v>
      </c>
      <c r="W47" s="392" t="s">
        <v>79</v>
      </c>
      <c r="Y47" s="109">
        <f t="shared" si="8"/>
        <v>1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1</v>
      </c>
      <c r="AG47" s="108">
        <f t="shared" si="0"/>
        <v>0</v>
      </c>
      <c r="AH47" s="108">
        <f t="shared" si="1"/>
        <v>1</v>
      </c>
      <c r="AI47" s="108">
        <f t="shared" si="10"/>
        <v>0</v>
      </c>
      <c r="AJ47" s="108">
        <f t="shared" si="2"/>
        <v>0</v>
      </c>
      <c r="AK47" s="108">
        <f t="shared" si="3"/>
        <v>0</v>
      </c>
      <c r="AL47" s="108">
        <f t="shared" si="4"/>
        <v>0</v>
      </c>
      <c r="AM47" s="120">
        <f>AO47</f>
        <v>10</v>
      </c>
      <c r="AN47" s="117" t="s">
        <v>35</v>
      </c>
      <c r="AO47" s="115">
        <f>IF(Uitslag!T47="",0,IF(T47=Uitslag!T47,10,0))</f>
        <v>10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0</v>
      </c>
      <c r="H48" s="367" t="s">
        <v>9</v>
      </c>
      <c r="I48" s="440">
        <v>2</v>
      </c>
      <c r="J48" s="369">
        <f t="shared" si="5"/>
        <v>2</v>
      </c>
      <c r="K48" s="363">
        <f t="shared" si="6"/>
        <v>0</v>
      </c>
      <c r="L48" s="363">
        <f t="shared" si="7"/>
        <v>3</v>
      </c>
      <c r="O48" s="401" t="s">
        <v>36</v>
      </c>
      <c r="P48" s="402">
        <f>SUMIF($D$8:$D$55,$O48,$G$8:$G$55)+SUMIF($F$8:$F$55,$O48,$I$8:$I$55)</f>
        <v>1</v>
      </c>
      <c r="Q48" s="402">
        <f>SUMIF($D$8:$D$55,$O48,$I$8:$I$55)+SUMIF($F$8:$F$55,$O48,$G$8:$G$55)</f>
        <v>4</v>
      </c>
      <c r="R48" s="402">
        <f>P48-Q48</f>
        <v>-3</v>
      </c>
      <c r="S48" s="403">
        <f>SUMIF($D$8:$D$55,$O48,$K$8:$K$55)+SUMIF($F$8:$F$55,$O48,$L$8:$L$55)</f>
        <v>3</v>
      </c>
      <c r="T48" s="446" t="s">
        <v>79</v>
      </c>
      <c r="U48" s="392"/>
      <c r="V48" s="392" t="str">
        <f>O48</f>
        <v>Verenigde Staten</v>
      </c>
      <c r="W48" s="392" t="s">
        <v>80</v>
      </c>
      <c r="Y48" s="109">
        <f t="shared" si="8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5</v>
      </c>
      <c r="AG48" s="108">
        <f t="shared" si="0"/>
        <v>0</v>
      </c>
      <c r="AH48" s="108">
        <f t="shared" si="1"/>
        <v>0</v>
      </c>
      <c r="AI48" s="108">
        <f t="shared" si="10"/>
        <v>0</v>
      </c>
      <c r="AJ48" s="108">
        <f t="shared" si="2"/>
        <v>0</v>
      </c>
      <c r="AK48" s="108">
        <f t="shared" si="3"/>
        <v>5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1</v>
      </c>
      <c r="H49" s="373" t="s">
        <v>9</v>
      </c>
      <c r="I49" s="441">
        <v>0</v>
      </c>
      <c r="J49" s="375">
        <f t="shared" si="5"/>
        <v>1</v>
      </c>
      <c r="K49" s="363">
        <f t="shared" si="6"/>
        <v>3</v>
      </c>
      <c r="L49" s="363">
        <f t="shared" si="7"/>
        <v>0</v>
      </c>
      <c r="O49" s="392"/>
      <c r="P49" s="393"/>
      <c r="Q49" s="393"/>
      <c r="R49" s="393"/>
      <c r="S49" s="393"/>
      <c r="T49" s="393"/>
      <c r="U49" s="392"/>
      <c r="V49" s="392"/>
      <c r="W49" s="392"/>
      <c r="Y49" s="109">
        <f t="shared" si="8"/>
        <v>5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5</v>
      </c>
      <c r="AG49" s="108">
        <f t="shared" si="0"/>
        <v>0</v>
      </c>
      <c r="AH49" s="108">
        <f t="shared" si="1"/>
        <v>0</v>
      </c>
      <c r="AI49" s="108">
        <f t="shared" si="10"/>
        <v>0</v>
      </c>
      <c r="AJ49" s="108">
        <f t="shared" si="2"/>
        <v>5</v>
      </c>
      <c r="AK49" s="108">
        <f t="shared" si="3"/>
        <v>0</v>
      </c>
      <c r="AL49" s="108">
        <f t="shared" si="4"/>
        <v>0</v>
      </c>
      <c r="AN49" s="392"/>
      <c r="AO49" s="393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0</v>
      </c>
      <c r="H50" s="373" t="s">
        <v>9</v>
      </c>
      <c r="I50" s="441">
        <v>2</v>
      </c>
      <c r="J50" s="375">
        <f t="shared" si="5"/>
        <v>2</v>
      </c>
      <c r="K50" s="363">
        <f t="shared" si="6"/>
        <v>0</v>
      </c>
      <c r="L50" s="363">
        <f t="shared" si="7"/>
        <v>3</v>
      </c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392"/>
      <c r="V50" s="392"/>
      <c r="W50" s="392"/>
      <c r="Y50" s="109">
        <f t="shared" si="8"/>
        <v>6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6</v>
      </c>
      <c r="AG50" s="108">
        <f t="shared" si="0"/>
        <v>1</v>
      </c>
      <c r="AH50" s="108">
        <f t="shared" si="1"/>
        <v>0</v>
      </c>
      <c r="AI50" s="108">
        <f t="shared" si="10"/>
        <v>0</v>
      </c>
      <c r="AJ50" s="108">
        <f t="shared" si="2"/>
        <v>0</v>
      </c>
      <c r="AK50" s="108">
        <f t="shared" si="3"/>
        <v>5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0</v>
      </c>
      <c r="H51" s="379" t="s">
        <v>9</v>
      </c>
      <c r="I51" s="442">
        <v>1</v>
      </c>
      <c r="J51" s="381">
        <f t="shared" si="5"/>
        <v>2</v>
      </c>
      <c r="K51" s="363">
        <f t="shared" si="6"/>
        <v>0</v>
      </c>
      <c r="L51" s="363">
        <f>IF(I51="","",IF($G51&lt;$I51,3,IF($G51=$I51,1,0)))</f>
        <v>3</v>
      </c>
      <c r="O51" s="394" t="s">
        <v>37</v>
      </c>
      <c r="P51" s="395">
        <f>SUMIF($D$8:$D$55,$O51,$G$8:$G$55)+SUMIF($F$8:$F$55,$O51,$I$8:$I$55)</f>
        <v>4</v>
      </c>
      <c r="Q51" s="395">
        <f>SUMIF($D$8:$D$55,$O51,$I$8:$I$55)+SUMIF($F$8:$F$55,$O51,$G$8:$G$55)</f>
        <v>1</v>
      </c>
      <c r="R51" s="396">
        <f>P51-Q51</f>
        <v>3</v>
      </c>
      <c r="S51" s="397">
        <f>SUMIF($D$8:$D$55,$O51,$K$8:$K$55)+SUMIF($F$8:$F$55,$O51,$L$8:$L$55)</f>
        <v>7</v>
      </c>
      <c r="T51" s="444" t="s">
        <v>82</v>
      </c>
      <c r="U51" s="392"/>
      <c r="V51" s="392" t="str">
        <f>O51</f>
        <v>België</v>
      </c>
      <c r="W51" s="392" t="s">
        <v>82</v>
      </c>
      <c r="Y51" s="109">
        <f t="shared" si="8"/>
        <v>1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1</v>
      </c>
      <c r="AG51" s="108">
        <f t="shared" si="0"/>
        <v>1</v>
      </c>
      <c r="AH51" s="108">
        <f t="shared" si="1"/>
        <v>0</v>
      </c>
      <c r="AI51" s="108">
        <f t="shared" si="10"/>
        <v>0</v>
      </c>
      <c r="AJ51" s="108">
        <f t="shared" si="2"/>
        <v>0</v>
      </c>
      <c r="AK51" s="108">
        <f t="shared" si="3"/>
        <v>0</v>
      </c>
      <c r="AL51" s="108">
        <f t="shared" si="4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0</v>
      </c>
      <c r="H52" s="373" t="s">
        <v>9</v>
      </c>
      <c r="I52" s="441">
        <v>2</v>
      </c>
      <c r="J52" s="369">
        <f t="shared" si="5"/>
        <v>2</v>
      </c>
      <c r="K52" s="363">
        <f t="shared" si="6"/>
        <v>0</v>
      </c>
      <c r="L52" s="363">
        <f t="shared" si="7"/>
        <v>3</v>
      </c>
      <c r="O52" s="398" t="s">
        <v>38</v>
      </c>
      <c r="P52" s="399">
        <f>SUMIF($D$8:$D$55,$O52,$G$8:$G$55)+SUMIF($F$8:$F$55,$O52,$I$8:$I$55)</f>
        <v>0</v>
      </c>
      <c r="Q52" s="399">
        <f>SUMIF($D$8:$D$55,$O52,$I$8:$I$55)+SUMIF($F$8:$F$55,$O52,$G$8:$G$55)</f>
        <v>5</v>
      </c>
      <c r="R52" s="399">
        <f>P52-Q52</f>
        <v>-5</v>
      </c>
      <c r="S52" s="400">
        <f>SUMIF($D$8:$D$55,$O52,$K$8:$K$55)+SUMIF($F$8:$F$55,$O52,$L$8:$L$55)</f>
        <v>0</v>
      </c>
      <c r="T52" s="445" t="s">
        <v>85</v>
      </c>
      <c r="U52" s="392"/>
      <c r="V52" s="392" t="str">
        <f>O52</f>
        <v>Algerije</v>
      </c>
      <c r="W52" s="392" t="s">
        <v>83</v>
      </c>
      <c r="Y52" s="109">
        <f t="shared" si="8"/>
        <v>6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6</v>
      </c>
      <c r="AG52" s="108">
        <f t="shared" si="0"/>
        <v>1</v>
      </c>
      <c r="AH52" s="108">
        <f t="shared" si="1"/>
        <v>0</v>
      </c>
      <c r="AI52" s="108">
        <f t="shared" si="10"/>
        <v>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2</v>
      </c>
      <c r="H53" s="373" t="s">
        <v>9</v>
      </c>
      <c r="I53" s="441">
        <v>0</v>
      </c>
      <c r="J53" s="375">
        <f t="shared" si="5"/>
        <v>1</v>
      </c>
      <c r="K53" s="363">
        <f t="shared" si="6"/>
        <v>3</v>
      </c>
      <c r="L53" s="363">
        <f t="shared" si="7"/>
        <v>0</v>
      </c>
      <c r="O53" s="398" t="s">
        <v>39</v>
      </c>
      <c r="P53" s="399">
        <f>SUMIF($D$8:$D$55,$O53,$G$8:$G$55)+SUMIF($F$8:$F$55,$O53,$I$8:$I$55)</f>
        <v>3</v>
      </c>
      <c r="Q53" s="399">
        <f>SUMIF($D$8:$D$55,$O53,$I$8:$I$55)+SUMIF($F$8:$F$55,$O53,$G$8:$G$55)</f>
        <v>1</v>
      </c>
      <c r="R53" s="399">
        <f>P53-Q53</f>
        <v>2</v>
      </c>
      <c r="S53" s="400">
        <f>SUMIF($D$8:$D$55,$O53,$K$8:$K$55)+SUMIF($F$8:$F$55,$O53,$L$8:$L$55)</f>
        <v>6</v>
      </c>
      <c r="T53" s="445" t="s">
        <v>83</v>
      </c>
      <c r="U53" s="392"/>
      <c r="V53" s="392" t="str">
        <f>O53</f>
        <v>Rusland</v>
      </c>
      <c r="W53" s="392" t="s">
        <v>84</v>
      </c>
      <c r="Y53" s="109">
        <f t="shared" si="8"/>
        <v>6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6</v>
      </c>
      <c r="AG53" s="108">
        <f t="shared" si="0"/>
        <v>1</v>
      </c>
      <c r="AH53" s="108">
        <f t="shared" si="1"/>
        <v>0</v>
      </c>
      <c r="AI53" s="108">
        <f t="shared" si="10"/>
        <v>0</v>
      </c>
      <c r="AJ53" s="108">
        <f t="shared" si="2"/>
        <v>5</v>
      </c>
      <c r="AK53" s="108">
        <f t="shared" si="3"/>
        <v>0</v>
      </c>
      <c r="AL53" s="108">
        <f t="shared" si="4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1</v>
      </c>
      <c r="H54" s="373" t="s">
        <v>9</v>
      </c>
      <c r="I54" s="441">
        <v>1</v>
      </c>
      <c r="J54" s="375">
        <f t="shared" si="5"/>
        <v>3</v>
      </c>
      <c r="K54" s="363">
        <f t="shared" si="6"/>
        <v>1</v>
      </c>
      <c r="L54" s="363">
        <f t="shared" si="7"/>
        <v>1</v>
      </c>
      <c r="O54" s="401" t="s">
        <v>40</v>
      </c>
      <c r="P54" s="402">
        <f>SUMIF($D$8:$D$55,$O54,$G$8:$G$55)+SUMIF($F$8:$F$55,$O54,$I$8:$I$55)</f>
        <v>2</v>
      </c>
      <c r="Q54" s="402">
        <f>SUMIF($D$8:$D$55,$O54,$I$8:$I$55)+SUMIF($F$8:$F$55,$O54,$G$8:$G$55)</f>
        <v>2</v>
      </c>
      <c r="R54" s="402">
        <f>P54-Q54</f>
        <v>0</v>
      </c>
      <c r="S54" s="403">
        <f>SUMIF($D$8:$D$55,$O54,$K$8:$K$55)+SUMIF($F$8:$F$55,$O54,$L$8:$L$55)</f>
        <v>4</v>
      </c>
      <c r="T54" s="446" t="s">
        <v>84</v>
      </c>
      <c r="U54" s="392"/>
      <c r="V54" s="392" t="str">
        <f>O54</f>
        <v>Zuid Korea</v>
      </c>
      <c r="W54" s="392" t="s">
        <v>85</v>
      </c>
      <c r="Y54" s="109">
        <f t="shared" si="8"/>
        <v>1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1</v>
      </c>
      <c r="AG54" s="108">
        <f t="shared" si="0"/>
        <v>0</v>
      </c>
      <c r="AH54" s="108">
        <f t="shared" si="1"/>
        <v>1</v>
      </c>
      <c r="AI54" s="108">
        <f t="shared" si="10"/>
        <v>0</v>
      </c>
      <c r="AJ54" s="108">
        <f t="shared" si="2"/>
        <v>0</v>
      </c>
      <c r="AK54" s="108">
        <f t="shared" si="3"/>
        <v>0</v>
      </c>
      <c r="AL54" s="108">
        <f t="shared" si="4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0</v>
      </c>
      <c r="H55" s="388" t="s">
        <v>9</v>
      </c>
      <c r="I55" s="443">
        <v>2</v>
      </c>
      <c r="J55" s="390">
        <f t="shared" si="5"/>
        <v>2</v>
      </c>
      <c r="K55" s="363">
        <f t="shared" si="6"/>
        <v>0</v>
      </c>
      <c r="L55" s="363">
        <f t="shared" si="7"/>
        <v>3</v>
      </c>
      <c r="O55" s="392"/>
      <c r="P55" s="393"/>
      <c r="Q55" s="393"/>
      <c r="R55" s="393"/>
      <c r="S55" s="393"/>
      <c r="T55" s="393"/>
      <c r="U55" s="392"/>
      <c r="V55" s="392"/>
      <c r="W55" s="392"/>
      <c r="Y55" s="109">
        <f t="shared" si="8"/>
        <v>0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0</v>
      </c>
      <c r="AG55" s="108">
        <f t="shared" si="0"/>
        <v>0</v>
      </c>
      <c r="AH55" s="108">
        <f t="shared" si="1"/>
        <v>0</v>
      </c>
      <c r="AI55" s="108">
        <f t="shared" si="10"/>
        <v>0</v>
      </c>
      <c r="AJ55" s="108">
        <f t="shared" si="2"/>
        <v>0</v>
      </c>
      <c r="AK55" s="108">
        <f t="shared" si="3"/>
        <v>0</v>
      </c>
      <c r="AL55" s="108">
        <f t="shared" si="4"/>
        <v>0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79"/>
      <c r="K57" s="353"/>
      <c r="L57" s="353"/>
      <c r="M57" s="353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77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O58" s="458">
        <v>1</v>
      </c>
      <c r="P58" s="877" t="s">
        <v>224</v>
      </c>
      <c r="Q58" s="877"/>
      <c r="R58" s="877"/>
      <c r="S58" s="877"/>
      <c r="T58" s="878"/>
      <c r="V58" s="352" t="s">
        <v>132</v>
      </c>
      <c r="W58" s="352" t="s">
        <v>124</v>
      </c>
      <c r="X58" s="352" t="str">
        <f t="shared" ref="X58:X98" si="11">CONCATENATE(W58," ",V58)</f>
        <v>Jeroen Zoet (k)</v>
      </c>
      <c r="Y58" s="113" t="s">
        <v>91</v>
      </c>
      <c r="Z58" s="352" t="str">
        <f>IF(K58=""," ",VLOOKUP(K58,$T$9:$V$54,3,FALSE))</f>
        <v xml:space="preserve"> </v>
      </c>
      <c r="AA58" s="352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>IF(ISERROR(Z59),K59,Z59)</f>
        <v>Brazilië</v>
      </c>
      <c r="E59" s="367" t="s">
        <v>9</v>
      </c>
      <c r="F59" s="406" t="str">
        <f>IF(ISERROR(AA59),L59,AA59)</f>
        <v>Nederland</v>
      </c>
      <c r="G59" s="435">
        <v>2</v>
      </c>
      <c r="H59" s="367" t="s">
        <v>9</v>
      </c>
      <c r="I59" s="447">
        <v>0</v>
      </c>
      <c r="J59" s="448">
        <v>1</v>
      </c>
      <c r="K59" s="407" t="s">
        <v>48</v>
      </c>
      <c r="L59" s="407" t="s">
        <v>53</v>
      </c>
      <c r="M59" s="407">
        <v>1</v>
      </c>
      <c r="O59" s="458">
        <v>2</v>
      </c>
      <c r="P59" s="877" t="s">
        <v>209</v>
      </c>
      <c r="Q59" s="877"/>
      <c r="R59" s="877"/>
      <c r="S59" s="877"/>
      <c r="T59" s="878"/>
      <c r="V59" s="352" t="s">
        <v>132</v>
      </c>
      <c r="W59" s="352" t="s">
        <v>111</v>
      </c>
      <c r="X59" s="352" t="str">
        <f t="shared" si="11"/>
        <v>Jasper Cillessen (k)</v>
      </c>
      <c r="Y59" s="109">
        <f t="shared" ref="Y59:Y66" si="13">AF59</f>
        <v>0</v>
      </c>
      <c r="Z59" s="352" t="str">
        <f t="shared" ref="Z59:AA65" si="14">IF(K59=""," ",VLOOKUP(K59,$T$9:$V$54,3,FALSE))</f>
        <v>Brazilië</v>
      </c>
      <c r="AA59" s="352" t="str">
        <f t="shared" si="14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0</v>
      </c>
      <c r="AG59" s="108">
        <f t="shared" ref="AG59:AG66" si="16">IF(AC59="",0,(IF(G59=AC59,1,0)))</f>
        <v>0</v>
      </c>
      <c r="AH59" s="108">
        <f t="shared" ref="AH59:AH66" si="17">IF(AD59="",0,(IF(I59=AD59,1,0)))</f>
        <v>0</v>
      </c>
      <c r="AI59" s="108">
        <f t="shared" ref="AI59:AI66" si="18">IF(AND(AG59=1,AH59=1),10,0)</f>
        <v>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376">
        <v>50</v>
      </c>
      <c r="C60" s="466">
        <v>41818</v>
      </c>
      <c r="D60" s="460" t="str">
        <f t="shared" ref="D60:D66" si="23">IF(ISERROR(Z60),K60,Z60)</f>
        <v>Colombia</v>
      </c>
      <c r="E60" s="379" t="s">
        <v>9</v>
      </c>
      <c r="F60" s="409" t="str">
        <f t="shared" ref="F60:F66" si="24">IF(ISERROR(AA60),L60,AA60)</f>
        <v>Engeland</v>
      </c>
      <c r="G60" s="437">
        <v>0</v>
      </c>
      <c r="H60" s="379" t="s">
        <v>9</v>
      </c>
      <c r="I60" s="449">
        <v>1</v>
      </c>
      <c r="J60" s="450">
        <v>2</v>
      </c>
      <c r="K60" s="407" t="s">
        <v>57</v>
      </c>
      <c r="L60" s="407" t="s">
        <v>63</v>
      </c>
      <c r="M60" s="407">
        <v>2</v>
      </c>
      <c r="O60" s="458">
        <v>3</v>
      </c>
      <c r="P60" s="877" t="s">
        <v>225</v>
      </c>
      <c r="Q60" s="877"/>
      <c r="R60" s="877"/>
      <c r="S60" s="877"/>
      <c r="T60" s="878"/>
      <c r="V60" s="352" t="s">
        <v>132</v>
      </c>
      <c r="W60" s="352" t="s">
        <v>110</v>
      </c>
      <c r="X60" s="352" t="str">
        <f t="shared" si="11"/>
        <v>Kenneth Vermeer (k)</v>
      </c>
      <c r="Y60" s="109">
        <f t="shared" si="13"/>
        <v>0</v>
      </c>
      <c r="Z60" s="352" t="str">
        <f t="shared" si="14"/>
        <v>Colombia</v>
      </c>
      <c r="AA60" s="352" t="str">
        <f t="shared" si="14"/>
        <v>Engeland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0</v>
      </c>
      <c r="AG60" s="108">
        <f t="shared" si="16"/>
        <v>0</v>
      </c>
      <c r="AH60" s="108">
        <f t="shared" si="17"/>
        <v>0</v>
      </c>
      <c r="AI60" s="108">
        <f t="shared" si="18"/>
        <v>0</v>
      </c>
      <c r="AJ60" s="108">
        <f t="shared" si="19"/>
        <v>0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2"/>
        <v>3</v>
      </c>
    </row>
    <row r="61" spans="2:54">
      <c r="B61" s="364">
        <v>51</v>
      </c>
      <c r="C61" s="465">
        <v>41819</v>
      </c>
      <c r="D61" s="464" t="str">
        <f t="shared" si="23"/>
        <v>Spanje</v>
      </c>
      <c r="E61" s="367" t="s">
        <v>9</v>
      </c>
      <c r="F61" s="406" t="str">
        <f t="shared" si="24"/>
        <v>Kroatië</v>
      </c>
      <c r="G61" s="435">
        <v>1</v>
      </c>
      <c r="H61" s="367" t="s">
        <v>9</v>
      </c>
      <c r="I61" s="447">
        <v>0</v>
      </c>
      <c r="J61" s="448">
        <v>1</v>
      </c>
      <c r="K61" s="407" t="s">
        <v>52</v>
      </c>
      <c r="L61" s="407" t="s">
        <v>49</v>
      </c>
      <c r="M61" s="407"/>
      <c r="O61" s="458">
        <v>4</v>
      </c>
      <c r="P61" s="877" t="s">
        <v>211</v>
      </c>
      <c r="Q61" s="877"/>
      <c r="R61" s="877"/>
      <c r="S61" s="877"/>
      <c r="T61" s="878"/>
      <c r="V61" s="352" t="s">
        <v>132</v>
      </c>
      <c r="W61" s="352" t="s">
        <v>191</v>
      </c>
      <c r="X61" s="352" t="str">
        <f t="shared" si="11"/>
        <v>Tim Krul (k)</v>
      </c>
      <c r="Y61" s="109">
        <f t="shared" si="13"/>
        <v>5</v>
      </c>
      <c r="Z61" s="352" t="str">
        <f t="shared" si="14"/>
        <v>Spanje</v>
      </c>
      <c r="AA61" s="352" t="str">
        <f t="shared" si="14"/>
        <v>Kroatië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5</v>
      </c>
      <c r="AG61" s="108">
        <f t="shared" si="16"/>
        <v>0</v>
      </c>
      <c r="AH61" s="108">
        <f t="shared" si="17"/>
        <v>0</v>
      </c>
      <c r="AI61" s="108">
        <f t="shared" si="18"/>
        <v>0</v>
      </c>
      <c r="AJ61" s="108">
        <f t="shared" si="19"/>
        <v>5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3</v>
      </c>
      <c r="BB61" s="139">
        <f t="shared" si="22"/>
        <v>3</v>
      </c>
    </row>
    <row r="62" spans="2:54">
      <c r="B62" s="376">
        <v>52</v>
      </c>
      <c r="C62" s="466">
        <v>41819</v>
      </c>
      <c r="D62" s="464" t="str">
        <f t="shared" si="23"/>
        <v>Italië</v>
      </c>
      <c r="E62" s="379" t="s">
        <v>9</v>
      </c>
      <c r="F62" s="409" t="str">
        <f t="shared" si="24"/>
        <v>Ivoorkust</v>
      </c>
      <c r="G62" s="437">
        <v>2</v>
      </c>
      <c r="H62" s="379" t="s">
        <v>9</v>
      </c>
      <c r="I62" s="449">
        <v>0</v>
      </c>
      <c r="J62" s="450">
        <v>1</v>
      </c>
      <c r="K62" s="407" t="s">
        <v>62</v>
      </c>
      <c r="L62" s="407" t="s">
        <v>58</v>
      </c>
      <c r="M62" s="407"/>
      <c r="O62" s="458">
        <v>5</v>
      </c>
      <c r="P62" s="877" t="s">
        <v>212</v>
      </c>
      <c r="Q62" s="877"/>
      <c r="R62" s="877"/>
      <c r="S62" s="877"/>
      <c r="T62" s="878"/>
      <c r="V62" s="352" t="s">
        <v>132</v>
      </c>
      <c r="W62" s="352" t="s">
        <v>192</v>
      </c>
      <c r="X62" s="352" t="str">
        <f t="shared" si="11"/>
        <v>Maarten Stekelenburg (k)</v>
      </c>
      <c r="Y62" s="109">
        <f t="shared" si="13"/>
        <v>0</v>
      </c>
      <c r="Z62" s="352" t="str">
        <f t="shared" si="14"/>
        <v>Italië</v>
      </c>
      <c r="AA62" s="352" t="str">
        <f t="shared" si="14"/>
        <v>Ivoorkust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0</v>
      </c>
      <c r="AG62" s="108">
        <f t="shared" si="16"/>
        <v>0</v>
      </c>
      <c r="AH62" s="108">
        <f t="shared" si="17"/>
        <v>0</v>
      </c>
      <c r="AI62" s="108">
        <f t="shared" si="18"/>
        <v>0</v>
      </c>
      <c r="AJ62" s="108">
        <f t="shared" si="19"/>
        <v>0</v>
      </c>
      <c r="AK62" s="108">
        <f t="shared" si="20"/>
        <v>0</v>
      </c>
      <c r="AL62" s="108">
        <f t="shared" si="21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2"/>
        <v>3</v>
      </c>
    </row>
    <row r="63" spans="2:54">
      <c r="B63" s="364">
        <v>53</v>
      </c>
      <c r="C63" s="465">
        <v>41820</v>
      </c>
      <c r="D63" s="459" t="str">
        <f t="shared" si="23"/>
        <v>Frankrijk</v>
      </c>
      <c r="E63" s="367" t="s">
        <v>9</v>
      </c>
      <c r="F63" s="406" t="str">
        <f t="shared" si="24"/>
        <v>Nigeria</v>
      </c>
      <c r="G63" s="435">
        <v>1</v>
      </c>
      <c r="H63" s="367" t="s">
        <v>9</v>
      </c>
      <c r="I63" s="447">
        <v>0</v>
      </c>
      <c r="J63" s="448">
        <v>1</v>
      </c>
      <c r="K63" s="407" t="s">
        <v>67</v>
      </c>
      <c r="L63" s="407" t="s">
        <v>73</v>
      </c>
      <c r="M63" s="407"/>
      <c r="O63" s="458">
        <v>6</v>
      </c>
      <c r="P63" s="877" t="s">
        <v>226</v>
      </c>
      <c r="Q63" s="877"/>
      <c r="R63" s="877"/>
      <c r="S63" s="877"/>
      <c r="T63" s="878"/>
      <c r="V63" s="352" t="s">
        <v>132</v>
      </c>
      <c r="W63" s="352" t="s">
        <v>193</v>
      </c>
      <c r="X63" s="352" t="str">
        <f t="shared" si="11"/>
        <v>Michel Vorm (k)</v>
      </c>
      <c r="Y63" s="109">
        <f t="shared" si="13"/>
        <v>6</v>
      </c>
      <c r="Z63" s="352" t="str">
        <f t="shared" si="14"/>
        <v>Frankrijk</v>
      </c>
      <c r="AA63" s="352" t="str">
        <f t="shared" si="14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6</v>
      </c>
      <c r="AG63" s="108">
        <f t="shared" si="16"/>
        <v>0</v>
      </c>
      <c r="AH63" s="108">
        <f t="shared" si="17"/>
        <v>1</v>
      </c>
      <c r="AI63" s="108">
        <f t="shared" si="18"/>
        <v>0</v>
      </c>
      <c r="AJ63" s="108">
        <f t="shared" si="19"/>
        <v>5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3</v>
      </c>
      <c r="BB63" s="139">
        <f t="shared" si="22"/>
        <v>3</v>
      </c>
    </row>
    <row r="64" spans="2:54">
      <c r="B64" s="376">
        <v>54</v>
      </c>
      <c r="C64" s="466">
        <v>41820</v>
      </c>
      <c r="D64" s="460" t="str">
        <f t="shared" si="23"/>
        <v>Duitsland</v>
      </c>
      <c r="E64" s="379" t="s">
        <v>9</v>
      </c>
      <c r="F64" s="409" t="str">
        <f t="shared" si="24"/>
        <v>Rusland</v>
      </c>
      <c r="G64" s="437">
        <v>2</v>
      </c>
      <c r="H64" s="379" t="s">
        <v>9</v>
      </c>
      <c r="I64" s="449">
        <v>1</v>
      </c>
      <c r="J64" s="450">
        <v>1</v>
      </c>
      <c r="K64" s="407" t="s">
        <v>77</v>
      </c>
      <c r="L64" s="407" t="s">
        <v>83</v>
      </c>
      <c r="M64" s="407"/>
      <c r="O64" s="458">
        <v>7</v>
      </c>
      <c r="P64" s="877" t="s">
        <v>220</v>
      </c>
      <c r="Q64" s="877"/>
      <c r="R64" s="877"/>
      <c r="S64" s="877"/>
      <c r="T64" s="878"/>
      <c r="V64" s="352" t="s">
        <v>133</v>
      </c>
      <c r="W64" s="352" t="s">
        <v>112</v>
      </c>
      <c r="X64" s="352" t="str">
        <f t="shared" si="11"/>
        <v>Joël Veltman (v)</v>
      </c>
      <c r="Y64" s="109">
        <f t="shared" si="13"/>
        <v>0</v>
      </c>
      <c r="Z64" s="352" t="str">
        <f t="shared" si="14"/>
        <v>Duitsland</v>
      </c>
      <c r="AA64" s="352" t="str">
        <f t="shared" si="14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0</v>
      </c>
      <c r="AG64" s="108">
        <f t="shared" si="16"/>
        <v>0</v>
      </c>
      <c r="AH64" s="108">
        <f t="shared" si="17"/>
        <v>0</v>
      </c>
      <c r="AI64" s="108">
        <f t="shared" si="18"/>
        <v>0</v>
      </c>
      <c r="AJ64" s="108">
        <f t="shared" si="19"/>
        <v>0</v>
      </c>
      <c r="AK64" s="108">
        <f t="shared" si="20"/>
        <v>0</v>
      </c>
      <c r="AL64" s="108">
        <f t="shared" si="21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2"/>
        <v>3</v>
      </c>
    </row>
    <row r="65" spans="2:54">
      <c r="B65" s="370">
        <v>55</v>
      </c>
      <c r="C65" s="467">
        <v>41821</v>
      </c>
      <c r="D65" s="459" t="str">
        <f t="shared" si="23"/>
        <v>Argentinië</v>
      </c>
      <c r="E65" s="373" t="s">
        <v>9</v>
      </c>
      <c r="F65" s="410" t="str">
        <f t="shared" si="24"/>
        <v>Zwitserland</v>
      </c>
      <c r="G65" s="436">
        <v>2</v>
      </c>
      <c r="H65" s="373" t="s">
        <v>9</v>
      </c>
      <c r="I65" s="451">
        <v>0</v>
      </c>
      <c r="J65" s="452">
        <v>1</v>
      </c>
      <c r="K65" s="407" t="s">
        <v>72</v>
      </c>
      <c r="L65" s="407" t="s">
        <v>68</v>
      </c>
      <c r="M65" s="407"/>
      <c r="O65" s="458">
        <v>8</v>
      </c>
      <c r="P65" s="877" t="s">
        <v>213</v>
      </c>
      <c r="Q65" s="877"/>
      <c r="R65" s="877"/>
      <c r="S65" s="877"/>
      <c r="T65" s="878"/>
      <c r="V65" s="352" t="s">
        <v>133</v>
      </c>
      <c r="W65" s="352" t="s">
        <v>109</v>
      </c>
      <c r="X65" s="352" t="str">
        <f t="shared" si="11"/>
        <v>Daley Blind (v)</v>
      </c>
      <c r="Y65" s="109">
        <f t="shared" si="13"/>
        <v>1</v>
      </c>
      <c r="Z65" s="352" t="str">
        <f t="shared" si="14"/>
        <v>Argentinië</v>
      </c>
      <c r="AA65" s="352" t="str">
        <f t="shared" si="14"/>
        <v>Zwitserland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1</v>
      </c>
      <c r="AG65" s="108">
        <f t="shared" si="16"/>
        <v>0</v>
      </c>
      <c r="AH65" s="108">
        <f t="shared" si="17"/>
        <v>1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2"/>
        <v>3</v>
      </c>
    </row>
    <row r="66" spans="2:54" ht="15.75" thickBot="1">
      <c r="B66" s="385">
        <v>56</v>
      </c>
      <c r="C66" s="462">
        <v>41821</v>
      </c>
      <c r="D66" s="461" t="str">
        <f t="shared" si="23"/>
        <v>België</v>
      </c>
      <c r="E66" s="388" t="s">
        <v>9</v>
      </c>
      <c r="F66" s="412" t="str">
        <f t="shared" si="24"/>
        <v>Portugal</v>
      </c>
      <c r="G66" s="438">
        <v>0</v>
      </c>
      <c r="H66" s="388" t="s">
        <v>9</v>
      </c>
      <c r="I66" s="453">
        <v>1</v>
      </c>
      <c r="J66" s="454">
        <v>2</v>
      </c>
      <c r="K66" s="407" t="s">
        <v>82</v>
      </c>
      <c r="L66" s="407" t="s">
        <v>78</v>
      </c>
      <c r="M66" s="407"/>
      <c r="O66" s="458">
        <v>9</v>
      </c>
      <c r="P66" s="877" t="s">
        <v>216</v>
      </c>
      <c r="Q66" s="877"/>
      <c r="R66" s="877"/>
      <c r="S66" s="877"/>
      <c r="T66" s="878"/>
      <c r="V66" s="352" t="s">
        <v>133</v>
      </c>
      <c r="W66" s="352" t="s">
        <v>115</v>
      </c>
      <c r="X66" s="352" t="str">
        <f t="shared" si="11"/>
        <v>Daryl Janmaat (v)</v>
      </c>
      <c r="Y66" s="109">
        <f t="shared" si="13"/>
        <v>1</v>
      </c>
      <c r="Z66" s="352" t="str">
        <f>IF(K66=""," ",VLOOKUP(K66,$T$9:$V$54,3,FALSE))</f>
        <v>België</v>
      </c>
      <c r="AA66" s="352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1</v>
      </c>
      <c r="AG66" s="108">
        <f t="shared" si="16"/>
        <v>1</v>
      </c>
      <c r="AH66" s="108">
        <f t="shared" si="17"/>
        <v>0</v>
      </c>
      <c r="AI66" s="108">
        <f t="shared" si="18"/>
        <v>0</v>
      </c>
      <c r="AJ66" s="108">
        <f t="shared" si="19"/>
        <v>0</v>
      </c>
      <c r="AK66" s="108">
        <f t="shared" si="20"/>
        <v>0</v>
      </c>
      <c r="AL66" s="108">
        <f t="shared" si="21"/>
        <v>0</v>
      </c>
      <c r="AZ66" s="138" t="str">
        <f>Uitslag!P66</f>
        <v>Jonathan de Guzman (m)</v>
      </c>
      <c r="BA66" s="140">
        <f t="shared" si="12"/>
        <v>3</v>
      </c>
      <c r="BB66" s="139">
        <f t="shared" si="22"/>
        <v>3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O67" s="458">
        <v>10</v>
      </c>
      <c r="P67" s="877" t="s">
        <v>214</v>
      </c>
      <c r="Q67" s="877"/>
      <c r="R67" s="877"/>
      <c r="S67" s="877"/>
      <c r="T67" s="878"/>
      <c r="V67" s="352" t="s">
        <v>133</v>
      </c>
      <c r="W67" s="352" t="s">
        <v>118</v>
      </c>
      <c r="X67" s="352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2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79"/>
      <c r="K68" s="353"/>
      <c r="L68" s="353"/>
      <c r="M68" s="353"/>
      <c r="O68" s="458">
        <v>11</v>
      </c>
      <c r="P68" s="877" t="s">
        <v>215</v>
      </c>
      <c r="Q68" s="877"/>
      <c r="R68" s="877"/>
      <c r="S68" s="877"/>
      <c r="T68" s="878"/>
      <c r="V68" s="352" t="s">
        <v>133</v>
      </c>
      <c r="W68" s="352" t="s">
        <v>119</v>
      </c>
      <c r="X68" s="352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2"/>
        <v>3</v>
      </c>
    </row>
    <row r="69" spans="2:54">
      <c r="B69" s="428" t="s">
        <v>1</v>
      </c>
      <c r="C69" s="429" t="s">
        <v>2</v>
      </c>
      <c r="D69" s="476" t="s">
        <v>3</v>
      </c>
      <c r="E69" s="431"/>
      <c r="F69" s="477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V69" s="352" t="s">
        <v>133</v>
      </c>
      <c r="W69" s="352" t="s">
        <v>121</v>
      </c>
      <c r="X69" s="352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33</v>
      </c>
      <c r="BB69" s="139">
        <f>IF(AND(BA69&lt;&gt;"",BA69=33),15,"nvt")</f>
        <v>15</v>
      </c>
    </row>
    <row r="70" spans="2:54">
      <c r="B70" s="364">
        <v>57</v>
      </c>
      <c r="C70" s="365">
        <v>41824</v>
      </c>
      <c r="D70" s="405" t="str">
        <f>IF(J63="","Winnaar 53",IF(J63=1,D63,F63))</f>
        <v>Frankrijk</v>
      </c>
      <c r="E70" s="367" t="s">
        <v>9</v>
      </c>
      <c r="F70" s="406" t="str">
        <f>IF(J64="","Winnaar 54",IF(J64=1,D64,F64))</f>
        <v>Duitsland</v>
      </c>
      <c r="G70" s="435">
        <v>1</v>
      </c>
      <c r="H70" s="367" t="s">
        <v>9</v>
      </c>
      <c r="I70" s="447">
        <v>2</v>
      </c>
      <c r="J70" s="448">
        <v>2</v>
      </c>
      <c r="K70" s="353"/>
      <c r="L70" s="353"/>
      <c r="M70" s="353"/>
      <c r="V70" s="352" t="s">
        <v>133</v>
      </c>
      <c r="W70" s="352" t="s">
        <v>126</v>
      </c>
      <c r="X70" s="352" t="str">
        <f t="shared" si="11"/>
        <v>Karim Rekik (v)</v>
      </c>
      <c r="Y70" s="109">
        <f>AF70</f>
        <v>5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5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Brazilië</v>
      </c>
      <c r="E71" s="379" t="s">
        <v>9</v>
      </c>
      <c r="F71" s="409" t="str">
        <f>IF(J60="","Winnaar 50",IF(J60=1,D60,F60))</f>
        <v>Engeland</v>
      </c>
      <c r="G71" s="437">
        <v>1</v>
      </c>
      <c r="H71" s="379" t="s">
        <v>9</v>
      </c>
      <c r="I71" s="449">
        <v>0</v>
      </c>
      <c r="J71" s="450">
        <v>1</v>
      </c>
      <c r="K71" s="353"/>
      <c r="L71" s="353"/>
      <c r="M71" s="353"/>
      <c r="V71" s="352" t="s">
        <v>133</v>
      </c>
      <c r="W71" s="352" t="s">
        <v>194</v>
      </c>
      <c r="X71" s="352" t="str">
        <f t="shared" si="11"/>
        <v>Ron Vlaar (v)</v>
      </c>
      <c r="Y71" s="109">
        <f>AF71</f>
        <v>5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5</v>
      </c>
      <c r="AG71" s="108">
        <f>IF(AC71="",0,(IF(G71=AC71,1,0)))</f>
        <v>0</v>
      </c>
      <c r="AH71" s="108">
        <f>IF(AD71="",0,(IF(I71=AD71,1,0)))</f>
        <v>0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Argentinië</v>
      </c>
      <c r="E72" s="367" t="s">
        <v>9</v>
      </c>
      <c r="F72" s="406" t="str">
        <f>IF(J66="","Winnaar 56",IF(J66=1,D66,F66))</f>
        <v>Portugal</v>
      </c>
      <c r="G72" s="435">
        <v>2</v>
      </c>
      <c r="H72" s="367" t="s">
        <v>9</v>
      </c>
      <c r="I72" s="447">
        <v>1</v>
      </c>
      <c r="J72" s="448">
        <v>1</v>
      </c>
      <c r="K72" s="353"/>
      <c r="L72" s="353"/>
      <c r="M72" s="353"/>
      <c r="V72" s="352" t="s">
        <v>133</v>
      </c>
      <c r="W72" s="352" t="s">
        <v>195</v>
      </c>
      <c r="X72" s="352" t="str">
        <f t="shared" si="11"/>
        <v>John Heitinga (v)</v>
      </c>
      <c r="Y72" s="109">
        <f>AF72</f>
        <v>5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5</v>
      </c>
      <c r="AG72" s="108">
        <f>IF(AC72="",0,(IF(G72=AC72,1,0)))</f>
        <v>0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5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Spanje</v>
      </c>
      <c r="E73" s="388" t="s">
        <v>9</v>
      </c>
      <c r="F73" s="412" t="str">
        <f>IF(J62="","Winnaar 52",IF(J62=1,D62,F62))</f>
        <v>Italië</v>
      </c>
      <c r="G73" s="438">
        <v>1</v>
      </c>
      <c r="H73" s="388" t="s">
        <v>9</v>
      </c>
      <c r="I73" s="453">
        <v>0</v>
      </c>
      <c r="J73" s="454">
        <v>1</v>
      </c>
      <c r="K73" s="353"/>
      <c r="L73" s="353"/>
      <c r="M73" s="353"/>
      <c r="V73" s="352" t="s">
        <v>133</v>
      </c>
      <c r="W73" s="352" t="s">
        <v>196</v>
      </c>
      <c r="X73" s="352" t="str">
        <f t="shared" si="11"/>
        <v>Urby Emanuelson (v)</v>
      </c>
      <c r="Y73" s="109">
        <f>AF73</f>
        <v>1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1</v>
      </c>
      <c r="AG73" s="108">
        <f>IF(AC73="",0,(IF(G73=AC73,1,0)))</f>
        <v>0</v>
      </c>
      <c r="AH73" s="108">
        <f>IF(AD73="",0,(IF(I73=AD73,1,0)))</f>
        <v>1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V74" s="352" t="s">
        <v>133</v>
      </c>
      <c r="W74" s="352" t="s">
        <v>197</v>
      </c>
      <c r="X74" s="352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79"/>
      <c r="K75" s="353"/>
      <c r="L75" s="353"/>
      <c r="M75" s="353"/>
      <c r="V75" s="352" t="s">
        <v>133</v>
      </c>
      <c r="W75" s="352" t="s">
        <v>198</v>
      </c>
      <c r="X75" s="352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76" t="s">
        <v>3</v>
      </c>
      <c r="E76" s="431"/>
      <c r="F76" s="477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V76" s="352" t="s">
        <v>133</v>
      </c>
      <c r="W76" s="352" t="s">
        <v>202</v>
      </c>
      <c r="X76" s="352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Duitsland</v>
      </c>
      <c r="E77" s="367" t="s">
        <v>9</v>
      </c>
      <c r="F77" s="406" t="str">
        <f>IF(J71="","Winnaar 58",IF(J71=1,D71,F71))</f>
        <v>Brazilië</v>
      </c>
      <c r="G77" s="435">
        <v>0</v>
      </c>
      <c r="H77" s="367" t="s">
        <v>9</v>
      </c>
      <c r="I77" s="447">
        <v>1</v>
      </c>
      <c r="J77" s="448">
        <v>2</v>
      </c>
      <c r="K77" s="353"/>
      <c r="L77" s="353"/>
      <c r="M77" s="353"/>
      <c r="V77" s="352" t="s">
        <v>134</v>
      </c>
      <c r="W77" s="352" t="s">
        <v>203</v>
      </c>
      <c r="X77" s="352" t="str">
        <f t="shared" si="11"/>
        <v>Marco van Ginkel (m)</v>
      </c>
      <c r="Y77" s="109">
        <f>AF77</f>
        <v>1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1</v>
      </c>
      <c r="AG77" s="108">
        <f>IF(AC77="",0,(IF(G77=AC77,1,0)))</f>
        <v>0</v>
      </c>
      <c r="AH77" s="108">
        <f>IF(AD77="",0,(IF(I77=AD77,1,0)))</f>
        <v>1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Argentinië</v>
      </c>
      <c r="E78" s="388" t="s">
        <v>9</v>
      </c>
      <c r="F78" s="412" t="str">
        <f>IF(J73="","Winnaar 60",IF(J73=1,D73,F73))</f>
        <v>Spanje</v>
      </c>
      <c r="G78" s="438">
        <v>1</v>
      </c>
      <c r="H78" s="388" t="s">
        <v>9</v>
      </c>
      <c r="I78" s="453">
        <v>1</v>
      </c>
      <c r="J78" s="454">
        <v>2</v>
      </c>
      <c r="K78" s="353"/>
      <c r="L78" s="353"/>
      <c r="M78" s="353"/>
      <c r="V78" s="352" t="s">
        <v>134</v>
      </c>
      <c r="W78" s="352" t="s">
        <v>199</v>
      </c>
      <c r="X78" s="352" t="str">
        <f t="shared" si="11"/>
        <v>Leroy Fer (m)</v>
      </c>
      <c r="Y78" s="109">
        <f>AF78</f>
        <v>5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5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5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V79" s="352" t="s">
        <v>134</v>
      </c>
      <c r="W79" s="352" t="s">
        <v>114</v>
      </c>
      <c r="X79" s="352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79"/>
      <c r="K80" s="353"/>
      <c r="L80" s="353"/>
      <c r="M80" s="353"/>
      <c r="V80" s="352" t="s">
        <v>134</v>
      </c>
      <c r="W80" s="352" t="s">
        <v>117</v>
      </c>
      <c r="X80" s="352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76" t="s">
        <v>3</v>
      </c>
      <c r="E81" s="431"/>
      <c r="F81" s="477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V81" s="352" t="s">
        <v>134</v>
      </c>
      <c r="W81" s="352" t="s">
        <v>120</v>
      </c>
      <c r="X81" s="352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Duitsland</v>
      </c>
      <c r="E82" s="355" t="s">
        <v>9</v>
      </c>
      <c r="F82" s="415" t="str">
        <f>IF(J78="","Verliezer 62",IF(J78=1,F78,D78))</f>
        <v>Argentinië</v>
      </c>
      <c r="G82" s="455">
        <v>1</v>
      </c>
      <c r="H82" s="355" t="s">
        <v>9</v>
      </c>
      <c r="I82" s="456">
        <v>0</v>
      </c>
      <c r="J82" s="457">
        <v>1</v>
      </c>
      <c r="K82" s="353"/>
      <c r="L82" s="353"/>
      <c r="M82" s="353"/>
      <c r="V82" s="352" t="s">
        <v>134</v>
      </c>
      <c r="W82" s="352" t="s">
        <v>125</v>
      </c>
      <c r="X82" s="35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V83" s="352" t="s">
        <v>134</v>
      </c>
      <c r="W83" s="352" t="s">
        <v>136</v>
      </c>
      <c r="X83" s="352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79"/>
      <c r="K84" s="353"/>
      <c r="L84" s="353"/>
      <c r="M84" s="353"/>
      <c r="V84" s="352" t="s">
        <v>134</v>
      </c>
      <c r="W84" s="352" t="s">
        <v>137</v>
      </c>
      <c r="X84" s="352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76" t="s">
        <v>3</v>
      </c>
      <c r="E85" s="431"/>
      <c r="F85" s="477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V85" s="352" t="s">
        <v>134</v>
      </c>
      <c r="W85" s="352" t="s">
        <v>138</v>
      </c>
      <c r="X85" s="352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Brazilië</v>
      </c>
      <c r="E86" s="355" t="s">
        <v>9</v>
      </c>
      <c r="F86" s="415" t="str">
        <f>IF(J78="","Winnaar 62",IF(J78=1,D78,F78))</f>
        <v>Spanje</v>
      </c>
      <c r="G86" s="455">
        <v>2</v>
      </c>
      <c r="H86" s="355" t="s">
        <v>9</v>
      </c>
      <c r="I86" s="456">
        <v>1</v>
      </c>
      <c r="J86" s="457">
        <v>1</v>
      </c>
      <c r="K86" s="353"/>
      <c r="L86" s="353"/>
      <c r="M86" s="353"/>
      <c r="V86" s="352" t="s">
        <v>134</v>
      </c>
      <c r="W86" s="352" t="s">
        <v>139</v>
      </c>
      <c r="X86" s="352" t="str">
        <f t="shared" si="11"/>
        <v>Nigel de Jong (m)</v>
      </c>
      <c r="Y86" s="109">
        <f>AF86</f>
        <v>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0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353"/>
      <c r="C87" s="129"/>
      <c r="D87" s="392"/>
      <c r="E87" s="353"/>
      <c r="F87" s="392"/>
      <c r="G87" s="353"/>
      <c r="H87" s="353"/>
      <c r="I87" s="353"/>
      <c r="J87" s="353"/>
      <c r="K87" s="353"/>
      <c r="L87" s="353"/>
      <c r="M87" s="353"/>
      <c r="V87" s="352" t="s">
        <v>135</v>
      </c>
      <c r="W87" s="352" t="s">
        <v>205</v>
      </c>
      <c r="X87" s="352" t="str">
        <f t="shared" si="11"/>
        <v>Ricky van Wolfswinkel (a)</v>
      </c>
      <c r="AP87" s="136" t="s">
        <v>102</v>
      </c>
    </row>
    <row r="88" spans="2:50">
      <c r="B88" s="353"/>
      <c r="C88" s="129"/>
      <c r="D88" s="392"/>
      <c r="E88" s="353"/>
      <c r="F88" s="392"/>
      <c r="G88" s="353"/>
      <c r="H88" s="353"/>
      <c r="I88" s="353"/>
      <c r="J88" s="353"/>
      <c r="K88" s="353"/>
      <c r="L88" s="353"/>
      <c r="M88" s="353"/>
      <c r="V88" s="352" t="s">
        <v>135</v>
      </c>
      <c r="W88" s="352" t="s">
        <v>204</v>
      </c>
      <c r="X88" s="352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458"/>
    </row>
    <row r="89" spans="2:50" ht="20.25">
      <c r="C89" s="874" t="s">
        <v>101</v>
      </c>
      <c r="D89" s="871"/>
      <c r="E89" s="873" t="str">
        <f>IF(J86=1,D86,IF(J86=2,F86,"Wie zal het worden?"))</f>
        <v>Brazilië</v>
      </c>
      <c r="F89" s="873"/>
      <c r="G89" s="873"/>
      <c r="H89" s="873"/>
      <c r="I89" s="873"/>
      <c r="J89" s="873"/>
      <c r="K89" s="353"/>
      <c r="L89" s="353"/>
      <c r="M89" s="353"/>
      <c r="V89" s="352" t="s">
        <v>135</v>
      </c>
      <c r="W89" s="352" t="s">
        <v>201</v>
      </c>
      <c r="X89" s="352" t="str">
        <f t="shared" si="11"/>
        <v>Jermain Lens (a)</v>
      </c>
      <c r="AP89" s="109">
        <f>AU89</f>
        <v>5</v>
      </c>
      <c r="AQ89" s="131">
        <v>1</v>
      </c>
      <c r="AR89" s="904" t="str">
        <f>Uitslag!E89</f>
        <v>Duitsland</v>
      </c>
      <c r="AS89" s="905"/>
      <c r="AT89" s="906"/>
      <c r="AU89" s="352">
        <f>SUM(AV89:AX89)</f>
        <v>5</v>
      </c>
      <c r="AV89" s="352">
        <f>IF(AR89=0,0,IF(E89=AR89,50,0))</f>
        <v>0</v>
      </c>
      <c r="AW89" s="352">
        <f>IF(E89=0,0,IF(OR(E89=AR90),15,0))</f>
        <v>0</v>
      </c>
      <c r="AX89" s="352">
        <f>IF(E89=0,0,IF(OR(E89=AR91,E89=AR92),5,0))</f>
        <v>5</v>
      </c>
    </row>
    <row r="90" spans="2:50">
      <c r="C90" s="870">
        <v>2</v>
      </c>
      <c r="D90" s="871"/>
      <c r="E90" s="872" t="str">
        <f>IF(J86=2,D86,IF(J86=1,F86,"Wie wordt 2de?"))</f>
        <v>Spanje</v>
      </c>
      <c r="F90" s="872"/>
      <c r="G90" s="872"/>
      <c r="H90" s="872"/>
      <c r="I90" s="872"/>
      <c r="J90" s="872"/>
      <c r="V90" s="352" t="s">
        <v>135</v>
      </c>
      <c r="W90" s="352" t="s">
        <v>200</v>
      </c>
      <c r="X90" s="352" t="str">
        <f t="shared" si="11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 s="352">
        <f>SUM(AV90:AX90)</f>
        <v>0</v>
      </c>
      <c r="AV90" s="352">
        <f>IF(AR90=0,0,IF(AR90=E90,25,0))</f>
        <v>0</v>
      </c>
      <c r="AW90" s="352">
        <f>IF(E90=0,0,IF(OR(E90=AR89,),15,0))</f>
        <v>0</v>
      </c>
      <c r="AX90" s="352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Duitsland</v>
      </c>
      <c r="F91" s="872"/>
      <c r="G91" s="872"/>
      <c r="H91" s="872"/>
      <c r="I91" s="872"/>
      <c r="J91" s="872"/>
      <c r="V91" s="352" t="s">
        <v>135</v>
      </c>
      <c r="W91" s="352" t="s">
        <v>128</v>
      </c>
      <c r="X91" s="352" t="str">
        <f t="shared" si="11"/>
        <v>Jürgen Locadia (a)</v>
      </c>
      <c r="AP91" s="109">
        <f>AU91</f>
        <v>5</v>
      </c>
      <c r="AQ91" s="131">
        <v>3</v>
      </c>
      <c r="AR91" s="904" t="str">
        <f>Uitslag!E91</f>
        <v>Nederland</v>
      </c>
      <c r="AS91" s="905"/>
      <c r="AT91" s="906"/>
      <c r="AU91" s="352">
        <f>SUM(AV91:AX91)</f>
        <v>5</v>
      </c>
      <c r="AV91" s="352">
        <f>IF(AR91=0,0,IF(AR91=E91,15,0))</f>
        <v>0</v>
      </c>
      <c r="AW91" s="352">
        <f>IF(E91=0,0,IF(OR(E91=AR92),10,0))</f>
        <v>0</v>
      </c>
      <c r="AX91" s="352">
        <f>IF(E91=0,0,IF(OR(E91=AR89,E91=AR90),5,0))</f>
        <v>5</v>
      </c>
    </row>
    <row r="92" spans="2:50">
      <c r="C92" s="870">
        <v>4</v>
      </c>
      <c r="D92" s="871"/>
      <c r="E92" s="872" t="str">
        <f>IF(J82=2,D82,IF(J82=1,F82,"Wie wordt 4de?"))</f>
        <v>Argentinië</v>
      </c>
      <c r="F92" s="872"/>
      <c r="G92" s="872"/>
      <c r="H92" s="872"/>
      <c r="I92" s="872"/>
      <c r="J92" s="872"/>
      <c r="V92" s="352" t="s">
        <v>135</v>
      </c>
      <c r="W92" s="352" t="s">
        <v>127</v>
      </c>
      <c r="X92" s="352" t="str">
        <f t="shared" si="11"/>
        <v>Memphis Depay (a)</v>
      </c>
      <c r="AP92" s="109">
        <f>AU92</f>
        <v>5</v>
      </c>
      <c r="AQ92" s="131">
        <v>4</v>
      </c>
      <c r="AR92" s="904" t="str">
        <f>Uitslag!E92</f>
        <v>Brazilië</v>
      </c>
      <c r="AS92" s="905"/>
      <c r="AT92" s="906"/>
      <c r="AU92" s="352">
        <f>SUM(AV92:AX92)</f>
        <v>5</v>
      </c>
      <c r="AV92" s="352">
        <f>IF(AR92=0,0,IF(AR92=E92,15,0))</f>
        <v>0</v>
      </c>
      <c r="AW92" s="352">
        <f>IF(E92=0,0,IF(OR(E92=AR91,),10,0))</f>
        <v>0</v>
      </c>
      <c r="AX92" s="352">
        <f>IF(E92=0,0,IF(OR(E92=AR89,E92=AR90),5,0))</f>
        <v>5</v>
      </c>
    </row>
    <row r="93" spans="2:50" ht="15.75" thickBot="1">
      <c r="V93" s="352" t="s">
        <v>135</v>
      </c>
      <c r="W93" s="352" t="s">
        <v>123</v>
      </c>
      <c r="X93" s="352" t="str">
        <f t="shared" si="11"/>
        <v>Quincy Promes (a)</v>
      </c>
      <c r="AS93" s="132"/>
      <c r="AU93" s="133">
        <f>SUM(AU89:AU92)</f>
        <v>15</v>
      </c>
    </row>
    <row r="94" spans="2:50" ht="15.75" thickTop="1">
      <c r="V94" s="352" t="s">
        <v>135</v>
      </c>
      <c r="W94" s="352" t="s">
        <v>122</v>
      </c>
      <c r="X94" s="352" t="str">
        <f t="shared" si="11"/>
        <v>Luc Castaignos (a)</v>
      </c>
    </row>
    <row r="95" spans="2:50">
      <c r="V95" s="352" t="s">
        <v>135</v>
      </c>
      <c r="W95" s="352" t="s">
        <v>113</v>
      </c>
      <c r="X95" s="352" t="str">
        <f t="shared" si="11"/>
        <v>Jean-Paul Boëtius (a)</v>
      </c>
    </row>
    <row r="96" spans="2:50">
      <c r="V96" s="352" t="s">
        <v>135</v>
      </c>
      <c r="W96" s="352" t="s">
        <v>129</v>
      </c>
      <c r="X96" s="352" t="str">
        <f t="shared" si="11"/>
        <v>Luciano Narsingh (a)</v>
      </c>
    </row>
    <row r="97" spans="22:24">
      <c r="V97" s="352" t="s">
        <v>135</v>
      </c>
      <c r="W97" s="352" t="s">
        <v>130</v>
      </c>
      <c r="X97" s="352" t="str">
        <f t="shared" si="11"/>
        <v>Robin van Persie (a)</v>
      </c>
    </row>
    <row r="98" spans="22:24">
      <c r="V98" s="352" t="s">
        <v>135</v>
      </c>
      <c r="W98" s="352" t="s">
        <v>131</v>
      </c>
      <c r="X98" s="352" t="str">
        <f t="shared" si="11"/>
        <v>Arjen Robben (a)</v>
      </c>
    </row>
  </sheetData>
  <mergeCells count="36">
    <mergeCell ref="C91:D91"/>
    <mergeCell ref="E91:J91"/>
    <mergeCell ref="AR91:AT91"/>
    <mergeCell ref="C92:D92"/>
    <mergeCell ref="E92:J92"/>
    <mergeCell ref="AR92:AT92"/>
    <mergeCell ref="C89:D89"/>
    <mergeCell ref="E89:J89"/>
    <mergeCell ref="AR89:AT89"/>
    <mergeCell ref="C90:D90"/>
    <mergeCell ref="E90:J90"/>
    <mergeCell ref="AR90:AT90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</mergeCells>
  <conditionalFormatting sqref="AO9:AO12 AO15:AO18 AO21:AO24 AO27:AO30 AO33:AO36 AO39:AO42 AO45:AO48 AO51:AO54">
    <cfRule type="cellIs" dxfId="77" priority="3" operator="equal">
      <formula>10</formula>
    </cfRule>
  </conditionalFormatting>
  <conditionalFormatting sqref="P58:T58">
    <cfRule type="duplicateValues" dxfId="76" priority="2"/>
  </conditionalFormatting>
  <conditionalFormatting sqref="P58:T68">
    <cfRule type="duplicateValues" dxfId="75" priority="1"/>
  </conditionalFormatting>
  <dataValidations count="10">
    <dataValidation type="list" allowBlank="1" showInputMessage="1" showErrorMessage="1" sqref="P58:P68">
      <formula1>$X$58:$X$98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51:T54">
      <formula1>$W$51:$W$54</formula1>
    </dataValidation>
  </dataValidation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>
  <dimension ref="B1:BB98"/>
  <sheetViews>
    <sheetView topLeftCell="A46" zoomScale="70" zoomScaleNormal="70" workbookViewId="0">
      <selection activeCell="P58" sqref="P58:T68"/>
    </sheetView>
  </sheetViews>
  <sheetFormatPr defaultRowHeight="15" outlineLevelCol="2"/>
  <cols>
    <col min="1" max="1" width="3.42578125" style="352" customWidth="1"/>
    <col min="2" max="2" width="3.5703125" style="352" bestFit="1" customWidth="1"/>
    <col min="3" max="3" width="11.5703125" style="123" bestFit="1" customWidth="1"/>
    <col min="4" max="4" width="19.7109375" style="352" bestFit="1" customWidth="1"/>
    <col min="5" max="5" width="3.42578125" style="352" customWidth="1"/>
    <col min="6" max="6" width="19.7109375" style="352" bestFit="1" customWidth="1"/>
    <col min="7" max="7" width="6.7109375" style="352" customWidth="1"/>
    <col min="8" max="8" width="1.5703125" style="352" bestFit="1" customWidth="1"/>
    <col min="9" max="9" width="6.7109375" style="352" customWidth="1"/>
    <col min="10" max="10" width="6.85546875" style="352" bestFit="1" customWidth="1"/>
    <col min="11" max="13" width="9.140625" style="352" hidden="1" customWidth="1" outlineLevel="1"/>
    <col min="14" max="14" width="11.42578125" style="352" bestFit="1" customWidth="1" collapsed="1"/>
    <col min="15" max="15" width="14.7109375" style="352" bestFit="1" customWidth="1"/>
    <col min="16" max="16" width="12.28515625" style="352" bestFit="1" customWidth="1"/>
    <col min="17" max="17" width="8.140625" style="352" bestFit="1" customWidth="1"/>
    <col min="18" max="18" width="7.7109375" style="352" bestFit="1" customWidth="1"/>
    <col min="19" max="19" width="9.140625" style="352"/>
    <col min="20" max="20" width="8.5703125" style="352" bestFit="1" customWidth="1"/>
    <col min="21" max="21" width="9.140625" style="352"/>
    <col min="22" max="23" width="9.140625" style="352" hidden="1" customWidth="1" outlineLevel="1"/>
    <col min="24" max="24" width="2" style="352" hidden="1" customWidth="1" outlineLevel="1"/>
    <col min="25" max="25" width="12.28515625" style="352" bestFit="1" customWidth="1" collapsed="1"/>
    <col min="26" max="27" width="12.28515625" style="352" hidden="1" customWidth="1" outlineLevel="1"/>
    <col min="28" max="28" width="4.7109375" style="352" hidden="1" customWidth="1" outlineLevel="1"/>
    <col min="29" max="38" width="9.140625" style="352" hidden="1" customWidth="1" outlineLevel="1"/>
    <col min="39" max="39" width="7.42578125" style="352" bestFit="1" customWidth="1" collapsed="1"/>
    <col min="40" max="40" width="19.7109375" style="352" hidden="1" customWidth="1" outlineLevel="1"/>
    <col min="41" max="41" width="9.140625" style="352" hidden="1" customWidth="1" outlineLevel="1"/>
    <col min="42" max="42" width="9.140625" style="352" collapsed="1"/>
    <col min="43" max="49" width="9.140625" style="352" hidden="1" customWidth="1" outlineLevel="2"/>
    <col min="50" max="50" width="11.5703125" style="352" hidden="1" customWidth="1" outlineLevel="2"/>
    <col min="51" max="51" width="11.85546875" style="352" hidden="1" customWidth="1" outlineLevel="1" collapsed="1"/>
    <col min="52" max="52" width="9.42578125" style="352" hidden="1" customWidth="1" outlineLevel="1"/>
    <col min="53" max="53" width="10.5703125" style="352" hidden="1" customWidth="1" outlineLevel="1"/>
    <col min="54" max="54" width="9.140625" style="352" collapsed="1"/>
    <col min="55" max="55" width="11.85546875" style="352" bestFit="1" customWidth="1"/>
    <col min="56" max="16384" width="9.140625" style="352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296</v>
      </c>
      <c r="E3" s="335"/>
      <c r="F3" s="335"/>
      <c r="N3" s="352" t="str">
        <f>D3</f>
        <v>Sylvia W.</v>
      </c>
      <c r="O3" s="144">
        <f>SUM(P3:S3)</f>
        <v>282</v>
      </c>
      <c r="P3" s="109">
        <f>SUM(Y8:Y86)</f>
        <v>172</v>
      </c>
      <c r="Q3" s="109">
        <f>SUM(AM4:AM55)</f>
        <v>70</v>
      </c>
      <c r="R3" s="109">
        <f>SUM(AP89:AP92)</f>
        <v>10</v>
      </c>
      <c r="S3" s="109">
        <f>SUM(BB58:BB69)</f>
        <v>30</v>
      </c>
      <c r="T3" s="109">
        <f>COUNTIF(AF8:AF86,10)</f>
        <v>7</v>
      </c>
      <c r="U3" s="109" t="str">
        <f>E89</f>
        <v>Nederland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O6" s="392"/>
      <c r="P6" s="393"/>
      <c r="Q6" s="393"/>
      <c r="R6" s="393"/>
      <c r="S6" s="393"/>
      <c r="T6" s="393"/>
      <c r="U6" s="392"/>
      <c r="V6" s="392"/>
      <c r="W6" s="392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80" t="s">
        <v>3</v>
      </c>
      <c r="E7" s="419"/>
      <c r="F7" s="481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O7" s="353"/>
      <c r="P7" s="393"/>
      <c r="Q7" s="393"/>
      <c r="R7" s="393"/>
      <c r="S7" s="393"/>
      <c r="T7" s="393"/>
      <c r="U7" s="353"/>
      <c r="V7" s="353"/>
      <c r="W7" s="353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458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3</v>
      </c>
      <c r="H8" s="360" t="s">
        <v>9</v>
      </c>
      <c r="I8" s="478">
        <v>1</v>
      </c>
      <c r="J8" s="362">
        <f>IF(I8="","",IF(G8&gt;I8,1,IF(G8&lt;I8,2,3)))</f>
        <v>1</v>
      </c>
      <c r="K8" s="363">
        <f>IF(I8="","",IF($G8&gt;$I8,3,IF($G8=$I8,1,0)))</f>
        <v>3</v>
      </c>
      <c r="L8" s="363">
        <f>IF(I8="","",IF($G8&lt;$I8,3,IF($G8=$I8,1,0)))</f>
        <v>0</v>
      </c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392"/>
      <c r="V8" s="392"/>
      <c r="W8" s="392"/>
      <c r="Y8" s="109">
        <f>AF8</f>
        <v>10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10</v>
      </c>
      <c r="AG8" s="108">
        <f t="shared" ref="AG8:AG55" si="0">IF(AC8="",0,(IF(G8=AC8,1,0)))</f>
        <v>1</v>
      </c>
      <c r="AH8" s="108">
        <f t="shared" ref="AH8:AH55" si="1">IF(AD8="",0,(IF(I8=AD8,1,0)))</f>
        <v>1</v>
      </c>
      <c r="AI8" s="108">
        <f>IF(AND(AG8=1,AH8=1),10,0)</f>
        <v>10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1</v>
      </c>
      <c r="H9" s="367" t="s">
        <v>9</v>
      </c>
      <c r="I9" s="440">
        <v>1</v>
      </c>
      <c r="J9" s="369">
        <f t="shared" ref="J9:J55" si="5">IF(I9="","",IF(G9&gt;I9,1,IF(G9&lt;I9,2,3)))</f>
        <v>3</v>
      </c>
      <c r="K9" s="363">
        <f t="shared" ref="K9:K55" si="6">IF(I9="","",IF($G9&gt;$I9,3,IF($G9=$I9,1,0)))</f>
        <v>1</v>
      </c>
      <c r="L9" s="363">
        <f t="shared" ref="L9:L55" si="7">IF(I9="","",IF($G9&lt;$I9,3,IF($G9=$I9,1,0)))</f>
        <v>1</v>
      </c>
      <c r="O9" s="394" t="s">
        <v>8</v>
      </c>
      <c r="P9" s="395">
        <f>SUMIF($D$8:$D$55,$O9,$G$8:$G$55)+SUMIF($F$8:$F$55,$O9,$I$8:$I$55)</f>
        <v>9</v>
      </c>
      <c r="Q9" s="395">
        <f>SUMIF($D$8:$D$55,$O9,$I$8:$I$55)+SUMIF($F$8:$F$55,$O9,$G$8:$G$55)</f>
        <v>1</v>
      </c>
      <c r="R9" s="396">
        <f>P9-Q9</f>
        <v>8</v>
      </c>
      <c r="S9" s="397">
        <f>SUMIF($D$8:$D$55,$O9,$K$8:$K$55)+SUMIF($F$8:$F$55,$O9,$L$8:$L$55)</f>
        <v>9</v>
      </c>
      <c r="T9" s="444" t="s">
        <v>48</v>
      </c>
      <c r="U9" s="392"/>
      <c r="V9" s="392" t="str">
        <f>O9</f>
        <v>Brazilië</v>
      </c>
      <c r="W9" s="392" t="s">
        <v>48</v>
      </c>
      <c r="Y9" s="109">
        <f t="shared" ref="Y9:Y55" si="8">AF9</f>
        <v>1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1</v>
      </c>
      <c r="AG9" s="108">
        <f t="shared" si="0"/>
        <v>1</v>
      </c>
      <c r="AH9" s="108">
        <f t="shared" si="1"/>
        <v>0</v>
      </c>
      <c r="AI9" s="108">
        <f t="shared" ref="AI9:AI55" si="10">IF(AND(AG9=1,AH9=1),10,0)</f>
        <v>0</v>
      </c>
      <c r="AJ9" s="108">
        <f t="shared" si="2"/>
        <v>0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2</v>
      </c>
      <c r="H10" s="373" t="s">
        <v>9</v>
      </c>
      <c r="I10" s="441">
        <v>1</v>
      </c>
      <c r="J10" s="375">
        <f t="shared" si="5"/>
        <v>1</v>
      </c>
      <c r="K10" s="363">
        <f t="shared" si="6"/>
        <v>3</v>
      </c>
      <c r="L10" s="363">
        <f t="shared" si="7"/>
        <v>0</v>
      </c>
      <c r="O10" s="398" t="s">
        <v>10</v>
      </c>
      <c r="P10" s="399">
        <f>SUMIF($D$8:$D$55,$O10,$G$8:$G$55)+SUMIF($F$8:$F$55,$O10,$I$8:$I$55)</f>
        <v>2</v>
      </c>
      <c r="Q10" s="399">
        <f>SUMIF($D$8:$D$55,$O10,$I$8:$I$55)+SUMIF($F$8:$F$55,$O10,$G$8:$G$55)</f>
        <v>6</v>
      </c>
      <c r="R10" s="399">
        <f>P10-Q10</f>
        <v>-4</v>
      </c>
      <c r="S10" s="400">
        <f>SUMIF($D$8:$D$55,$O10,$K$8:$K$55)+SUMIF($F$8:$F$55,$O10,$L$8:$L$55)</f>
        <v>0</v>
      </c>
      <c r="T10" s="445" t="s">
        <v>50</v>
      </c>
      <c r="U10" s="392"/>
      <c r="V10" s="392" t="str">
        <f>O10</f>
        <v>Kroatië</v>
      </c>
      <c r="W10" s="392" t="s">
        <v>49</v>
      </c>
      <c r="Y10" s="109">
        <f t="shared" si="8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0</v>
      </c>
      <c r="AG10" s="108">
        <f t="shared" si="0"/>
        <v>0</v>
      </c>
      <c r="AH10" s="108">
        <f t="shared" si="1"/>
        <v>0</v>
      </c>
      <c r="AI10" s="108">
        <f t="shared" si="10"/>
        <v>0</v>
      </c>
      <c r="AJ10" s="108">
        <f t="shared" si="2"/>
        <v>0</v>
      </c>
      <c r="AK10" s="108">
        <f t="shared" si="3"/>
        <v>0</v>
      </c>
      <c r="AL10" s="108">
        <f t="shared" si="4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1</v>
      </c>
      <c r="H11" s="379" t="s">
        <v>9</v>
      </c>
      <c r="I11" s="442">
        <v>2</v>
      </c>
      <c r="J11" s="381">
        <f t="shared" si="5"/>
        <v>2</v>
      </c>
      <c r="K11" s="363">
        <f t="shared" si="6"/>
        <v>0</v>
      </c>
      <c r="L11" s="363">
        <f t="shared" si="7"/>
        <v>3</v>
      </c>
      <c r="O11" s="398" t="s">
        <v>11</v>
      </c>
      <c r="P11" s="399">
        <f>SUMIF($D$8:$D$55,$O11,$G$8:$G$55)+SUMIF($F$8:$F$55,$O11,$I$8:$I$55)</f>
        <v>3</v>
      </c>
      <c r="Q11" s="399">
        <f>SUMIF($D$8:$D$55,$O11,$I$8:$I$55)+SUMIF($F$8:$F$55,$O11,$G$8:$G$55)</f>
        <v>4</v>
      </c>
      <c r="R11" s="399">
        <f>P11-Q11</f>
        <v>-1</v>
      </c>
      <c r="S11" s="400">
        <f>SUMIF($D$8:$D$55,$O11,$K$8:$K$55)+SUMIF($F$8:$F$55,$O11,$L$8:$L$55)</f>
        <v>4</v>
      </c>
      <c r="T11" s="445" t="s">
        <v>49</v>
      </c>
      <c r="U11" s="392"/>
      <c r="V11" s="392" t="str">
        <f>O11</f>
        <v>Mexico</v>
      </c>
      <c r="W11" s="392" t="s">
        <v>47</v>
      </c>
      <c r="Y11" s="109">
        <f t="shared" si="8"/>
        <v>0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0</v>
      </c>
      <c r="AG11" s="108">
        <f t="shared" si="0"/>
        <v>0</v>
      </c>
      <c r="AH11" s="108">
        <f t="shared" si="1"/>
        <v>0</v>
      </c>
      <c r="AI11" s="108">
        <f t="shared" si="10"/>
        <v>0</v>
      </c>
      <c r="AJ11" s="108">
        <f t="shared" si="2"/>
        <v>0</v>
      </c>
      <c r="AK11" s="108">
        <f t="shared" si="3"/>
        <v>0</v>
      </c>
      <c r="AL11" s="108">
        <f t="shared" si="4"/>
        <v>0</v>
      </c>
      <c r="AM11" s="120">
        <f>AO11</f>
        <v>10</v>
      </c>
      <c r="AN11" s="117" t="s">
        <v>11</v>
      </c>
      <c r="AO11" s="115">
        <f>IF(Uitslag!T11="",0,IF(T11=Uitslag!T11,10,0))</f>
        <v>10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1</v>
      </c>
      <c r="H12" s="367" t="s">
        <v>9</v>
      </c>
      <c r="I12" s="440">
        <v>2</v>
      </c>
      <c r="J12" s="369">
        <f t="shared" si="5"/>
        <v>2</v>
      </c>
      <c r="K12" s="363">
        <f t="shared" si="6"/>
        <v>0</v>
      </c>
      <c r="L12" s="363">
        <f t="shared" si="7"/>
        <v>3</v>
      </c>
      <c r="O12" s="401" t="s">
        <v>12</v>
      </c>
      <c r="P12" s="402">
        <f>SUMIF($D$8:$D$55,$O12,$G$8:$G$55)+SUMIF($F$8:$F$55,$O12,$I$8:$I$55)</f>
        <v>2</v>
      </c>
      <c r="Q12" s="402">
        <f>SUMIF($D$8:$D$55,$O12,$I$8:$I$55)+SUMIF($F$8:$F$55,$O12,$G$8:$G$55)</f>
        <v>5</v>
      </c>
      <c r="R12" s="402">
        <f>P12-Q12</f>
        <v>-3</v>
      </c>
      <c r="S12" s="403">
        <f>SUMIF($D$8:$D$55,$O12,$K$8:$K$55)+SUMIF($F$8:$F$55,$O12,$L$8:$L$55)</f>
        <v>4</v>
      </c>
      <c r="T12" s="446" t="s">
        <v>47</v>
      </c>
      <c r="U12" s="392"/>
      <c r="V12" s="392" t="str">
        <f>O12</f>
        <v>Kameroen</v>
      </c>
      <c r="W12" s="392" t="s">
        <v>50</v>
      </c>
      <c r="Y12" s="109">
        <f t="shared" si="8"/>
        <v>0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0</v>
      </c>
      <c r="AG12" s="108">
        <f t="shared" si="0"/>
        <v>0</v>
      </c>
      <c r="AH12" s="108">
        <f t="shared" si="1"/>
        <v>0</v>
      </c>
      <c r="AI12" s="108">
        <f t="shared" si="10"/>
        <v>0</v>
      </c>
      <c r="AJ12" s="108">
        <f t="shared" si="2"/>
        <v>0</v>
      </c>
      <c r="AK12" s="108">
        <f t="shared" si="3"/>
        <v>0</v>
      </c>
      <c r="AL12" s="108">
        <f t="shared" si="4"/>
        <v>0</v>
      </c>
      <c r="AM12" s="120">
        <f>AO12</f>
        <v>0</v>
      </c>
      <c r="AN12" s="118" t="s">
        <v>12</v>
      </c>
      <c r="AO12" s="115">
        <f>IF(Uitslag!T12="",0,IF(T12=Uitslag!T12,10,0))</f>
        <v>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1</v>
      </c>
      <c r="H13" s="373" t="s">
        <v>9</v>
      </c>
      <c r="I13" s="441">
        <v>1</v>
      </c>
      <c r="J13" s="375">
        <f t="shared" si="5"/>
        <v>3</v>
      </c>
      <c r="K13" s="363">
        <f t="shared" si="6"/>
        <v>1</v>
      </c>
      <c r="L13" s="363">
        <f t="shared" si="7"/>
        <v>1</v>
      </c>
      <c r="O13" s="392"/>
      <c r="P13" s="393"/>
      <c r="Q13" s="393"/>
      <c r="R13" s="393"/>
      <c r="S13" s="393"/>
      <c r="T13" s="393"/>
      <c r="U13" s="392"/>
      <c r="V13" s="392"/>
      <c r="W13" s="392"/>
      <c r="Y13" s="109">
        <f t="shared" si="8"/>
        <v>1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1</v>
      </c>
      <c r="AG13" s="108">
        <f t="shared" si="0"/>
        <v>1</v>
      </c>
      <c r="AH13" s="108">
        <f t="shared" si="1"/>
        <v>0</v>
      </c>
      <c r="AI13" s="108">
        <f t="shared" si="10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392"/>
      <c r="AO13" s="393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2</v>
      </c>
      <c r="H14" s="373" t="s">
        <v>9</v>
      </c>
      <c r="I14" s="441">
        <v>1</v>
      </c>
      <c r="J14" s="375">
        <f t="shared" si="5"/>
        <v>1</v>
      </c>
      <c r="K14" s="363">
        <f t="shared" si="6"/>
        <v>3</v>
      </c>
      <c r="L14" s="363">
        <f t="shared" si="7"/>
        <v>0</v>
      </c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392"/>
      <c r="V14" s="392"/>
      <c r="W14" s="392"/>
      <c r="Y14" s="109">
        <f t="shared" si="8"/>
        <v>0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0</v>
      </c>
      <c r="AG14" s="108">
        <f t="shared" si="0"/>
        <v>0</v>
      </c>
      <c r="AH14" s="108">
        <f t="shared" si="1"/>
        <v>0</v>
      </c>
      <c r="AI14" s="108">
        <f t="shared" si="10"/>
        <v>0</v>
      </c>
      <c r="AJ14" s="108">
        <f t="shared" si="2"/>
        <v>0</v>
      </c>
      <c r="AK14" s="108">
        <f t="shared" si="3"/>
        <v>0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0</v>
      </c>
      <c r="H15" s="379" t="s">
        <v>9</v>
      </c>
      <c r="I15" s="442">
        <v>1</v>
      </c>
      <c r="J15" s="381">
        <f t="shared" si="5"/>
        <v>2</v>
      </c>
      <c r="K15" s="363">
        <f t="shared" si="6"/>
        <v>0</v>
      </c>
      <c r="L15" s="363">
        <f t="shared" si="7"/>
        <v>3</v>
      </c>
      <c r="O15" s="394" t="s">
        <v>13</v>
      </c>
      <c r="P15" s="395">
        <f>SUMIF($D$8:$D$55,$O15,$G$8:$G$55)+SUMIF($F$8:$F$55,$O15,$I$8:$I$55)</f>
        <v>6</v>
      </c>
      <c r="Q15" s="395">
        <f>SUMIF($D$8:$D$55,$O15,$I$8:$I$55)+SUMIF($F$8:$F$55,$O15,$G$8:$G$55)</f>
        <v>1</v>
      </c>
      <c r="R15" s="396">
        <f>P15-Q15</f>
        <v>5</v>
      </c>
      <c r="S15" s="397">
        <f>SUMIF($D$8:$D$55,$O15,$K$8:$K$55)+SUMIF($F$8:$F$55,$O15,$L$8:$L$55)</f>
        <v>9</v>
      </c>
      <c r="T15" s="444" t="s">
        <v>52</v>
      </c>
      <c r="U15" s="392"/>
      <c r="V15" s="392" t="str">
        <f>O15</f>
        <v>Spanje</v>
      </c>
      <c r="W15" s="392" t="s">
        <v>52</v>
      </c>
      <c r="Y15" s="109">
        <f t="shared" si="8"/>
        <v>1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1</v>
      </c>
      <c r="AG15" s="108">
        <f t="shared" si="0"/>
        <v>0</v>
      </c>
      <c r="AH15" s="108">
        <f t="shared" si="1"/>
        <v>1</v>
      </c>
      <c r="AI15" s="108">
        <f t="shared" si="10"/>
        <v>0</v>
      </c>
      <c r="AJ15" s="108">
        <f t="shared" si="2"/>
        <v>0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1</v>
      </c>
      <c r="H16" s="367" t="s">
        <v>9</v>
      </c>
      <c r="I16" s="440">
        <v>1</v>
      </c>
      <c r="J16" s="369">
        <f t="shared" si="5"/>
        <v>3</v>
      </c>
      <c r="K16" s="363">
        <f t="shared" si="6"/>
        <v>1</v>
      </c>
      <c r="L16" s="363">
        <f t="shared" si="7"/>
        <v>1</v>
      </c>
      <c r="O16" s="404" t="s">
        <v>14</v>
      </c>
      <c r="P16" s="399">
        <f>SUMIF($D$8:$D$55,$O16,$G$8:$G$55)+SUMIF($F$8:$F$55,$O16,$I$8:$I$55)</f>
        <v>6</v>
      </c>
      <c r="Q16" s="399">
        <f>SUMIF($D$8:$D$55,$O16,$I$8:$I$55)+SUMIF($F$8:$F$55,$O16,$G$8:$G$55)</f>
        <v>3</v>
      </c>
      <c r="R16" s="399">
        <f>P16-Q16</f>
        <v>3</v>
      </c>
      <c r="S16" s="400">
        <f>SUMIF($D$8:$D$55,$O16,$K$8:$K$55)+SUMIF($F$8:$F$55,$O16,$L$8:$L$55)</f>
        <v>6</v>
      </c>
      <c r="T16" s="445" t="s">
        <v>53</v>
      </c>
      <c r="U16" s="392"/>
      <c r="V16" s="392" t="str">
        <f>O16</f>
        <v>Nederland</v>
      </c>
      <c r="W16" s="392" t="s">
        <v>53</v>
      </c>
      <c r="Y16" s="109">
        <f t="shared" si="8"/>
        <v>1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1</v>
      </c>
      <c r="AG16" s="108">
        <f t="shared" si="0"/>
        <v>0</v>
      </c>
      <c r="AH16" s="108">
        <f t="shared" si="1"/>
        <v>1</v>
      </c>
      <c r="AI16" s="108">
        <f t="shared" si="10"/>
        <v>0</v>
      </c>
      <c r="AJ16" s="108">
        <f t="shared" si="2"/>
        <v>0</v>
      </c>
      <c r="AK16" s="108">
        <f t="shared" si="3"/>
        <v>0</v>
      </c>
      <c r="AL16" s="108">
        <f t="shared" si="4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2</v>
      </c>
      <c r="H17" s="373" t="s">
        <v>9</v>
      </c>
      <c r="I17" s="441">
        <v>0</v>
      </c>
      <c r="J17" s="375">
        <f t="shared" si="5"/>
        <v>1</v>
      </c>
      <c r="K17" s="363">
        <f t="shared" si="6"/>
        <v>3</v>
      </c>
      <c r="L17" s="363">
        <f t="shared" si="7"/>
        <v>0</v>
      </c>
      <c r="O17" s="398" t="s">
        <v>15</v>
      </c>
      <c r="P17" s="399">
        <f>SUMIF($D$8:$D$55,$O17,$G$8:$G$55)+SUMIF($F$8:$F$55,$O17,$I$8:$I$55)</f>
        <v>1</v>
      </c>
      <c r="Q17" s="399">
        <f>SUMIF($D$8:$D$55,$O17,$I$8:$I$55)+SUMIF($F$8:$F$55,$O17,$G$8:$G$55)</f>
        <v>6</v>
      </c>
      <c r="R17" s="399">
        <f>P17-Q17</f>
        <v>-5</v>
      </c>
      <c r="S17" s="400">
        <f>SUMIF($D$8:$D$55,$O17,$K$8:$K$55)+SUMIF($F$8:$F$55,$O17,$L$8:$L$55)</f>
        <v>0</v>
      </c>
      <c r="T17" s="445" t="s">
        <v>55</v>
      </c>
      <c r="U17" s="392"/>
      <c r="V17" s="392" t="str">
        <f>O17</f>
        <v>Chili</v>
      </c>
      <c r="W17" s="392" t="s">
        <v>54</v>
      </c>
      <c r="Y17" s="109">
        <f t="shared" si="8"/>
        <v>6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6</v>
      </c>
      <c r="AG17" s="108">
        <f t="shared" si="0"/>
        <v>0</v>
      </c>
      <c r="AH17" s="108">
        <f t="shared" si="1"/>
        <v>1</v>
      </c>
      <c r="AI17" s="108">
        <f t="shared" si="10"/>
        <v>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3</v>
      </c>
      <c r="H18" s="379" t="s">
        <v>9</v>
      </c>
      <c r="I18" s="442">
        <v>0</v>
      </c>
      <c r="J18" s="381">
        <f t="shared" si="5"/>
        <v>1</v>
      </c>
      <c r="K18" s="363">
        <f t="shared" si="6"/>
        <v>3</v>
      </c>
      <c r="L18" s="363">
        <f t="shared" si="7"/>
        <v>0</v>
      </c>
      <c r="O18" s="401" t="s">
        <v>16</v>
      </c>
      <c r="P18" s="402">
        <f>SUMIF($D$8:$D$55,$O18,$G$8:$G$55)+SUMIF($F$8:$F$55,$O18,$I$8:$I$55)</f>
        <v>3</v>
      </c>
      <c r="Q18" s="402">
        <f>SUMIF($D$8:$D$55,$O18,$I$8:$I$55)+SUMIF($F$8:$F$55,$O18,$G$8:$G$55)</f>
        <v>6</v>
      </c>
      <c r="R18" s="402">
        <f>P18-Q18</f>
        <v>-3</v>
      </c>
      <c r="S18" s="403">
        <f>SUMIF($D$8:$D$55,$O18,$K$8:$K$55)+SUMIF($F$8:$F$55,$O18,$L$8:$L$55)</f>
        <v>3</v>
      </c>
      <c r="T18" s="446" t="s">
        <v>54</v>
      </c>
      <c r="U18" s="392"/>
      <c r="V18" s="392" t="str">
        <f>O18</f>
        <v>Australië</v>
      </c>
      <c r="W18" s="392" t="s">
        <v>55</v>
      </c>
      <c r="Y18" s="109">
        <f t="shared" si="8"/>
        <v>5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5</v>
      </c>
      <c r="AG18" s="108">
        <f t="shared" si="0"/>
        <v>0</v>
      </c>
      <c r="AH18" s="108">
        <f t="shared" si="1"/>
        <v>0</v>
      </c>
      <c r="AI18" s="108">
        <f t="shared" si="10"/>
        <v>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0</v>
      </c>
      <c r="AN18" s="118" t="s">
        <v>16</v>
      </c>
      <c r="AO18" s="115">
        <f>IF(Uitslag!T18="",0,IF(T18=Uitslag!T18,10,0))</f>
        <v>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2</v>
      </c>
      <c r="H19" s="367" t="s">
        <v>9</v>
      </c>
      <c r="I19" s="440">
        <v>2</v>
      </c>
      <c r="J19" s="369">
        <f t="shared" si="5"/>
        <v>3</v>
      </c>
      <c r="K19" s="363">
        <f t="shared" si="6"/>
        <v>1</v>
      </c>
      <c r="L19" s="363">
        <f t="shared" si="7"/>
        <v>1</v>
      </c>
      <c r="O19" s="392"/>
      <c r="P19" s="393"/>
      <c r="Q19" s="393"/>
      <c r="R19" s="393"/>
      <c r="S19" s="393"/>
      <c r="T19" s="393"/>
      <c r="U19" s="392"/>
      <c r="V19" s="392"/>
      <c r="W19" s="392"/>
      <c r="Y19" s="109">
        <f t="shared" si="8"/>
        <v>0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0</v>
      </c>
      <c r="AG19" s="108">
        <f t="shared" si="0"/>
        <v>0</v>
      </c>
      <c r="AH19" s="108">
        <f t="shared" si="1"/>
        <v>0</v>
      </c>
      <c r="AI19" s="108">
        <f t="shared" si="10"/>
        <v>0</v>
      </c>
      <c r="AJ19" s="108">
        <f t="shared" si="2"/>
        <v>0</v>
      </c>
      <c r="AK19" s="108">
        <f t="shared" si="3"/>
        <v>0</v>
      </c>
      <c r="AL19" s="108">
        <f t="shared" si="4"/>
        <v>0</v>
      </c>
      <c r="AN19" s="392"/>
      <c r="AO19" s="393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0</v>
      </c>
      <c r="H20" s="373" t="s">
        <v>9</v>
      </c>
      <c r="I20" s="441">
        <v>0</v>
      </c>
      <c r="J20" s="375">
        <f t="shared" si="5"/>
        <v>3</v>
      </c>
      <c r="K20" s="363">
        <f t="shared" si="6"/>
        <v>1</v>
      </c>
      <c r="L20" s="363">
        <f t="shared" si="7"/>
        <v>1</v>
      </c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392"/>
      <c r="V20" s="392"/>
      <c r="W20" s="392"/>
      <c r="Y20" s="109">
        <f t="shared" si="8"/>
        <v>10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10</v>
      </c>
      <c r="AG20" s="108">
        <f t="shared" si="0"/>
        <v>1</v>
      </c>
      <c r="AH20" s="108">
        <f t="shared" si="1"/>
        <v>1</v>
      </c>
      <c r="AI20" s="108">
        <f t="shared" si="10"/>
        <v>10</v>
      </c>
      <c r="AJ20" s="108">
        <f t="shared" si="2"/>
        <v>0</v>
      </c>
      <c r="AK20" s="108">
        <f t="shared" si="3"/>
        <v>0</v>
      </c>
      <c r="AL20" s="108">
        <f t="shared" si="4"/>
        <v>5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1</v>
      </c>
      <c r="H21" s="379" t="s">
        <v>9</v>
      </c>
      <c r="I21" s="442">
        <v>0</v>
      </c>
      <c r="J21" s="381">
        <f t="shared" si="5"/>
        <v>1</v>
      </c>
      <c r="K21" s="363">
        <f t="shared" si="6"/>
        <v>3</v>
      </c>
      <c r="L21" s="363">
        <f t="shared" si="7"/>
        <v>0</v>
      </c>
      <c r="O21" s="394" t="s">
        <v>17</v>
      </c>
      <c r="P21" s="395">
        <f>SUMIF($D$8:$D$55,$O21,$G$8:$G$55)+SUMIF($F$8:$F$55,$O21,$I$8:$I$55)</f>
        <v>3</v>
      </c>
      <c r="Q21" s="395">
        <f>SUMIF($D$8:$D$55,$O21,$I$8:$I$55)+SUMIF($F$8:$F$55,$O21,$G$8:$G$55)</f>
        <v>5</v>
      </c>
      <c r="R21" s="396">
        <f>P21-Q21</f>
        <v>-2</v>
      </c>
      <c r="S21" s="397">
        <f>SUMIF($D$8:$D$55,$O21,$K$8:$K$55)+SUMIF($F$8:$F$55,$O21,$L$8:$L$55)</f>
        <v>1</v>
      </c>
      <c r="T21" s="444" t="s">
        <v>59</v>
      </c>
      <c r="U21" s="392"/>
      <c r="V21" s="392" t="str">
        <f>O21</f>
        <v>Colombia</v>
      </c>
      <c r="W21" s="392" t="s">
        <v>57</v>
      </c>
      <c r="Y21" s="109">
        <f t="shared" si="8"/>
        <v>1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1</v>
      </c>
      <c r="AG21" s="108">
        <f t="shared" si="0"/>
        <v>1</v>
      </c>
      <c r="AH21" s="108">
        <f t="shared" si="1"/>
        <v>0</v>
      </c>
      <c r="AI21" s="108">
        <f t="shared" si="10"/>
        <v>0</v>
      </c>
      <c r="AJ21" s="108">
        <f t="shared" si="2"/>
        <v>0</v>
      </c>
      <c r="AK21" s="108">
        <f t="shared" si="3"/>
        <v>0</v>
      </c>
      <c r="AL21" s="108">
        <f t="shared" si="4"/>
        <v>0</v>
      </c>
      <c r="AM21" s="120">
        <f>AO21</f>
        <v>0</v>
      </c>
      <c r="AN21" s="116" t="s">
        <v>17</v>
      </c>
      <c r="AO21" s="115">
        <f>IF(Uitslag!T21="",0,IF(T21=Uitslag!T21,10,0))</f>
        <v>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2</v>
      </c>
      <c r="H22" s="367" t="s">
        <v>9</v>
      </c>
      <c r="I22" s="440">
        <v>0</v>
      </c>
      <c r="J22" s="369">
        <f t="shared" si="5"/>
        <v>1</v>
      </c>
      <c r="K22" s="363">
        <f t="shared" si="6"/>
        <v>3</v>
      </c>
      <c r="L22" s="363">
        <f t="shared" si="7"/>
        <v>0</v>
      </c>
      <c r="O22" s="398" t="s">
        <v>18</v>
      </c>
      <c r="P22" s="399">
        <f>SUMIF($D$8:$D$55,$O22,$G$8:$G$55)+SUMIF($F$8:$F$55,$O22,$I$8:$I$55)</f>
        <v>6</v>
      </c>
      <c r="Q22" s="399">
        <f>SUMIF($D$8:$D$55,$O22,$I$8:$I$55)+SUMIF($F$8:$F$55,$O22,$G$8:$G$55)</f>
        <v>4</v>
      </c>
      <c r="R22" s="399">
        <f>P22-Q22</f>
        <v>2</v>
      </c>
      <c r="S22" s="400">
        <f>SUMIF($D$8:$D$55,$O22,$K$8:$K$55)+SUMIF($F$8:$F$55,$O22,$L$8:$L$55)</f>
        <v>7</v>
      </c>
      <c r="T22" s="445" t="s">
        <v>57</v>
      </c>
      <c r="U22" s="392"/>
      <c r="V22" s="392" t="str">
        <f>O22</f>
        <v>Griekenland</v>
      </c>
      <c r="W22" s="392" t="s">
        <v>58</v>
      </c>
      <c r="Y22" s="109">
        <f t="shared" si="8"/>
        <v>6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6</v>
      </c>
      <c r="AG22" s="108">
        <f t="shared" si="0"/>
        <v>1</v>
      </c>
      <c r="AH22" s="108">
        <f t="shared" si="1"/>
        <v>0</v>
      </c>
      <c r="AI22" s="108">
        <f t="shared" si="10"/>
        <v>0</v>
      </c>
      <c r="AJ22" s="108">
        <f t="shared" si="2"/>
        <v>5</v>
      </c>
      <c r="AK22" s="108">
        <f t="shared" si="3"/>
        <v>0</v>
      </c>
      <c r="AL22" s="108">
        <f t="shared" si="4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2</v>
      </c>
      <c r="H23" s="373" t="s">
        <v>9</v>
      </c>
      <c r="I23" s="441">
        <v>0</v>
      </c>
      <c r="J23" s="375">
        <f t="shared" si="5"/>
        <v>1</v>
      </c>
      <c r="K23" s="363">
        <f t="shared" si="6"/>
        <v>3</v>
      </c>
      <c r="L23" s="363">
        <f t="shared" si="7"/>
        <v>0</v>
      </c>
      <c r="O23" s="398" t="s">
        <v>23</v>
      </c>
      <c r="P23" s="399">
        <f>SUMIF($D$8:$D$55,$O23,$G$8:$G$55)+SUMIF($F$8:$F$55,$O23,$I$8:$I$55)</f>
        <v>3</v>
      </c>
      <c r="Q23" s="399">
        <f>SUMIF($D$8:$D$55,$O23,$I$8:$I$55)+SUMIF($F$8:$F$55,$O23,$G$8:$G$55)</f>
        <v>5</v>
      </c>
      <c r="R23" s="399">
        <f>P23-Q23</f>
        <v>-2</v>
      </c>
      <c r="S23" s="400">
        <f>SUMIF($D$8:$D$55,$O23,$K$8:$K$55)+SUMIF($F$8:$F$55,$O23,$L$8:$L$55)</f>
        <v>1</v>
      </c>
      <c r="T23" s="445" t="s">
        <v>60</v>
      </c>
      <c r="U23" s="392"/>
      <c r="V23" s="392" t="str">
        <f>O23</f>
        <v>Ivoorkust</v>
      </c>
      <c r="W23" s="392" t="s">
        <v>59</v>
      </c>
      <c r="Y23" s="109">
        <f t="shared" si="8"/>
        <v>1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1</v>
      </c>
      <c r="AG23" s="108">
        <f t="shared" si="0"/>
        <v>0</v>
      </c>
      <c r="AH23" s="108">
        <f t="shared" si="1"/>
        <v>1</v>
      </c>
      <c r="AI23" s="108">
        <f t="shared" si="10"/>
        <v>0</v>
      </c>
      <c r="AJ23" s="108">
        <f t="shared" si="2"/>
        <v>0</v>
      </c>
      <c r="AK23" s="108">
        <f t="shared" si="3"/>
        <v>0</v>
      </c>
      <c r="AL23" s="108">
        <f t="shared" si="4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1</v>
      </c>
      <c r="H24" s="379" t="s">
        <v>9</v>
      </c>
      <c r="I24" s="442">
        <v>1</v>
      </c>
      <c r="J24" s="381">
        <f t="shared" si="5"/>
        <v>3</v>
      </c>
      <c r="K24" s="363">
        <f t="shared" si="6"/>
        <v>1</v>
      </c>
      <c r="L24" s="363">
        <f t="shared" si="7"/>
        <v>1</v>
      </c>
      <c r="O24" s="401" t="s">
        <v>24</v>
      </c>
      <c r="P24" s="402">
        <f>SUMIF($D$8:$D$55,$O24,$G$8:$G$55)+SUMIF($F$8:$F$55,$O24,$I$8:$I$55)</f>
        <v>4</v>
      </c>
      <c r="Q24" s="402">
        <f>SUMIF($D$8:$D$55,$O24,$I$8:$I$55)+SUMIF($F$8:$F$55,$O24,$G$8:$G$55)</f>
        <v>2</v>
      </c>
      <c r="R24" s="402">
        <f>P24-Q24</f>
        <v>2</v>
      </c>
      <c r="S24" s="403">
        <f>SUMIF($D$8:$D$55,$O24,$K$8:$K$55)+SUMIF($F$8:$F$55,$O24,$L$8:$L$55)</f>
        <v>7</v>
      </c>
      <c r="T24" s="446" t="s">
        <v>58</v>
      </c>
      <c r="U24" s="392"/>
      <c r="V24" s="392" t="str">
        <f>O24</f>
        <v>Japan</v>
      </c>
      <c r="W24" s="392" t="s">
        <v>60</v>
      </c>
      <c r="Y24" s="109">
        <f t="shared" si="8"/>
        <v>10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10</v>
      </c>
      <c r="AG24" s="108">
        <f t="shared" si="0"/>
        <v>1</v>
      </c>
      <c r="AH24" s="108">
        <f t="shared" si="1"/>
        <v>1</v>
      </c>
      <c r="AI24" s="108">
        <f t="shared" si="10"/>
        <v>10</v>
      </c>
      <c r="AJ24" s="108">
        <f t="shared" si="2"/>
        <v>0</v>
      </c>
      <c r="AK24" s="108">
        <f t="shared" si="3"/>
        <v>0</v>
      </c>
      <c r="AL24" s="108">
        <f t="shared" si="4"/>
        <v>5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1</v>
      </c>
      <c r="H25" s="367" t="s">
        <v>9</v>
      </c>
      <c r="I25" s="440">
        <v>3</v>
      </c>
      <c r="J25" s="369">
        <f t="shared" si="5"/>
        <v>2</v>
      </c>
      <c r="K25" s="363">
        <f t="shared" si="6"/>
        <v>0</v>
      </c>
      <c r="L25" s="363">
        <f t="shared" si="7"/>
        <v>3</v>
      </c>
      <c r="O25" s="392"/>
      <c r="P25" s="393"/>
      <c r="Q25" s="393"/>
      <c r="R25" s="393"/>
      <c r="S25" s="393"/>
      <c r="T25" s="393"/>
      <c r="U25" s="392"/>
      <c r="V25" s="392"/>
      <c r="W25" s="392"/>
      <c r="Y25" s="109">
        <f t="shared" si="8"/>
        <v>6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6</v>
      </c>
      <c r="AG25" s="108">
        <f t="shared" si="0"/>
        <v>0</v>
      </c>
      <c r="AH25" s="108">
        <f t="shared" si="1"/>
        <v>1</v>
      </c>
      <c r="AI25" s="108">
        <f t="shared" si="10"/>
        <v>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392"/>
      <c r="AO25" s="393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2</v>
      </c>
      <c r="H26" s="373" t="s">
        <v>9</v>
      </c>
      <c r="I26" s="441">
        <v>0</v>
      </c>
      <c r="J26" s="375">
        <f t="shared" si="5"/>
        <v>1</v>
      </c>
      <c r="K26" s="363">
        <f t="shared" si="6"/>
        <v>3</v>
      </c>
      <c r="L26" s="363">
        <f t="shared" si="7"/>
        <v>0</v>
      </c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392"/>
      <c r="V26" s="392"/>
      <c r="W26" s="392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0"/>
        <v>0</v>
      </c>
      <c r="AH26" s="108">
        <f t="shared" si="1"/>
        <v>0</v>
      </c>
      <c r="AI26" s="108">
        <f t="shared" si="10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1</v>
      </c>
      <c r="H27" s="379" t="s">
        <v>9</v>
      </c>
      <c r="I27" s="442">
        <v>0</v>
      </c>
      <c r="J27" s="381">
        <f t="shared" si="5"/>
        <v>1</v>
      </c>
      <c r="K27" s="363">
        <f t="shared" si="6"/>
        <v>3</v>
      </c>
      <c r="L27" s="363">
        <f t="shared" si="7"/>
        <v>0</v>
      </c>
      <c r="O27" s="394" t="s">
        <v>19</v>
      </c>
      <c r="P27" s="395">
        <f>SUMIF($D$8:$D$55,$O27,$G$8:$G$55)+SUMIF($F$8:$F$55,$O27,$I$8:$I$55)</f>
        <v>2</v>
      </c>
      <c r="Q27" s="395">
        <f>SUMIF($D$8:$D$55,$O27,$I$8:$I$55)+SUMIF($F$8:$F$55,$O27,$G$8:$G$55)</f>
        <v>4</v>
      </c>
      <c r="R27" s="396">
        <f>P27-Q27</f>
        <v>-2</v>
      </c>
      <c r="S27" s="397">
        <f>SUMIF($D$8:$D$55,$O27,$K$8:$K$55)+SUMIF($F$8:$F$55,$O27,$L$8:$L$55)</f>
        <v>1</v>
      </c>
      <c r="T27" s="444" t="s">
        <v>64</v>
      </c>
      <c r="U27" s="392"/>
      <c r="V27" s="392" t="str">
        <f>O27</f>
        <v>Uruguay</v>
      </c>
      <c r="W27" s="392" t="s">
        <v>62</v>
      </c>
      <c r="Y27" s="109">
        <f t="shared" si="8"/>
        <v>0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0</v>
      </c>
      <c r="AG27" s="108">
        <f t="shared" si="0"/>
        <v>0</v>
      </c>
      <c r="AH27" s="108">
        <f t="shared" si="1"/>
        <v>0</v>
      </c>
      <c r="AI27" s="108">
        <f t="shared" si="10"/>
        <v>0</v>
      </c>
      <c r="AJ27" s="108">
        <f t="shared" si="2"/>
        <v>0</v>
      </c>
      <c r="AK27" s="108">
        <f t="shared" si="3"/>
        <v>0</v>
      </c>
      <c r="AL27" s="108">
        <f t="shared" si="4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2</v>
      </c>
      <c r="H28" s="367" t="s">
        <v>9</v>
      </c>
      <c r="I28" s="440">
        <v>2</v>
      </c>
      <c r="J28" s="369">
        <f t="shared" si="5"/>
        <v>3</v>
      </c>
      <c r="K28" s="363">
        <f t="shared" si="6"/>
        <v>1</v>
      </c>
      <c r="L28" s="363">
        <f t="shared" si="7"/>
        <v>1</v>
      </c>
      <c r="O28" s="398" t="s">
        <v>20</v>
      </c>
      <c r="P28" s="399">
        <f>SUMIF($D$8:$D$55,$O28,$G$8:$G$55)+SUMIF($F$8:$F$55,$O28,$I$8:$I$55)</f>
        <v>1</v>
      </c>
      <c r="Q28" s="399">
        <f>SUMIF($D$8:$D$55,$O28,$I$8:$I$55)+SUMIF($F$8:$F$55,$O28,$G$8:$G$55)</f>
        <v>6</v>
      </c>
      <c r="R28" s="399">
        <f>P28-Q28</f>
        <v>-5</v>
      </c>
      <c r="S28" s="400">
        <f>SUMIF($D$8:$D$55,$O28,$K$8:$K$55)+SUMIF($F$8:$F$55,$O28,$L$8:$L$55)</f>
        <v>1</v>
      </c>
      <c r="T28" s="445" t="s">
        <v>65</v>
      </c>
      <c r="U28" s="392"/>
      <c r="V28" s="392" t="str">
        <f>O28</f>
        <v>Costa Rica</v>
      </c>
      <c r="W28" s="392" t="s">
        <v>63</v>
      </c>
      <c r="Y28" s="109">
        <f t="shared" si="8"/>
        <v>1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1</v>
      </c>
      <c r="AG28" s="108">
        <f t="shared" si="0"/>
        <v>1</v>
      </c>
      <c r="AH28" s="108">
        <f t="shared" si="1"/>
        <v>0</v>
      </c>
      <c r="AI28" s="108">
        <f t="shared" si="10"/>
        <v>0</v>
      </c>
      <c r="AJ28" s="108">
        <f t="shared" si="2"/>
        <v>0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1</v>
      </c>
      <c r="H29" s="373" t="s">
        <v>9</v>
      </c>
      <c r="I29" s="441">
        <v>2</v>
      </c>
      <c r="J29" s="375">
        <f t="shared" si="5"/>
        <v>2</v>
      </c>
      <c r="K29" s="363">
        <f t="shared" si="6"/>
        <v>0</v>
      </c>
      <c r="L29" s="363">
        <f t="shared" si="7"/>
        <v>3</v>
      </c>
      <c r="O29" s="398" t="s">
        <v>21</v>
      </c>
      <c r="P29" s="399">
        <f>SUMIF($D$8:$D$55,$O29,$G$8:$G$55)+SUMIF($F$8:$F$55,$O29,$I$8:$I$55)</f>
        <v>6</v>
      </c>
      <c r="Q29" s="399">
        <f>SUMIF($D$8:$D$55,$O29,$I$8:$I$55)+SUMIF($F$8:$F$55,$O29,$G$8:$G$55)</f>
        <v>2</v>
      </c>
      <c r="R29" s="399">
        <f>P29-Q29</f>
        <v>4</v>
      </c>
      <c r="S29" s="400">
        <f>SUMIF($D$8:$D$55,$O29,$K$8:$K$55)+SUMIF($F$8:$F$55,$O29,$L$8:$L$55)</f>
        <v>9</v>
      </c>
      <c r="T29" s="445" t="s">
        <v>62</v>
      </c>
      <c r="U29" s="392"/>
      <c r="V29" s="392" t="str">
        <f>O29</f>
        <v>Engeland</v>
      </c>
      <c r="W29" s="392" t="s">
        <v>64</v>
      </c>
      <c r="Y29" s="109">
        <f t="shared" si="8"/>
        <v>0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0</v>
      </c>
      <c r="AG29" s="108">
        <f t="shared" si="0"/>
        <v>0</v>
      </c>
      <c r="AH29" s="108">
        <f t="shared" si="1"/>
        <v>0</v>
      </c>
      <c r="AI29" s="108">
        <f t="shared" si="10"/>
        <v>0</v>
      </c>
      <c r="AJ29" s="108">
        <f t="shared" si="2"/>
        <v>0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2</v>
      </c>
      <c r="H30" s="379" t="s">
        <v>9</v>
      </c>
      <c r="I30" s="442">
        <v>2</v>
      </c>
      <c r="J30" s="381">
        <f t="shared" si="5"/>
        <v>3</v>
      </c>
      <c r="K30" s="363">
        <f t="shared" si="6"/>
        <v>1</v>
      </c>
      <c r="L30" s="363">
        <f t="shared" si="7"/>
        <v>1</v>
      </c>
      <c r="O30" s="401" t="s">
        <v>22</v>
      </c>
      <c r="P30" s="402">
        <f>SUMIF($D$8:$D$55,$O30,$G$8:$G$55)+SUMIF($F$8:$F$55,$O30,$I$8:$I$55)</f>
        <v>5</v>
      </c>
      <c r="Q30" s="402">
        <f>SUMIF($D$8:$D$55,$O30,$I$8:$I$55)+SUMIF($F$8:$F$55,$O30,$G$8:$G$55)</f>
        <v>2</v>
      </c>
      <c r="R30" s="402">
        <f>P30-Q30</f>
        <v>3</v>
      </c>
      <c r="S30" s="403">
        <f>SUMIF($D$8:$D$55,$O30,$K$8:$K$55)+SUMIF($F$8:$F$55,$O30,$L$8:$L$55)</f>
        <v>6</v>
      </c>
      <c r="T30" s="446" t="s">
        <v>63</v>
      </c>
      <c r="U30" s="392"/>
      <c r="V30" s="392" t="str">
        <f>O30</f>
        <v>Italië</v>
      </c>
      <c r="W30" s="392" t="s">
        <v>65</v>
      </c>
      <c r="Y30" s="109">
        <f t="shared" si="8"/>
        <v>5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5</v>
      </c>
      <c r="AG30" s="108">
        <f t="shared" si="0"/>
        <v>0</v>
      </c>
      <c r="AH30" s="108">
        <f t="shared" si="1"/>
        <v>0</v>
      </c>
      <c r="AI30" s="108">
        <f t="shared" si="10"/>
        <v>0</v>
      </c>
      <c r="AJ30" s="108">
        <f t="shared" si="2"/>
        <v>0</v>
      </c>
      <c r="AK30" s="108">
        <f t="shared" si="3"/>
        <v>0</v>
      </c>
      <c r="AL30" s="108">
        <f t="shared" si="4"/>
        <v>5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3</v>
      </c>
      <c r="H31" s="367" t="s">
        <v>9</v>
      </c>
      <c r="I31" s="440">
        <v>0</v>
      </c>
      <c r="J31" s="369">
        <f t="shared" si="5"/>
        <v>1</v>
      </c>
      <c r="K31" s="363">
        <f t="shared" si="6"/>
        <v>3</v>
      </c>
      <c r="L31" s="363">
        <f t="shared" si="7"/>
        <v>0</v>
      </c>
      <c r="O31" s="392"/>
      <c r="P31" s="393"/>
      <c r="Q31" s="393"/>
      <c r="R31" s="393"/>
      <c r="S31" s="393"/>
      <c r="T31" s="393"/>
      <c r="U31" s="392"/>
      <c r="V31" s="392"/>
      <c r="W31" s="392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0"/>
        <v>0</v>
      </c>
      <c r="AH31" s="108">
        <f t="shared" si="1"/>
        <v>0</v>
      </c>
      <c r="AI31" s="108">
        <f t="shared" si="10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392"/>
      <c r="AO31" s="393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1</v>
      </c>
      <c r="H32" s="373" t="s">
        <v>9</v>
      </c>
      <c r="I32" s="441">
        <v>1</v>
      </c>
      <c r="J32" s="375">
        <f t="shared" si="5"/>
        <v>3</v>
      </c>
      <c r="K32" s="363">
        <f t="shared" si="6"/>
        <v>1</v>
      </c>
      <c r="L32" s="363">
        <f t="shared" si="7"/>
        <v>1</v>
      </c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392"/>
      <c r="V32" s="392"/>
      <c r="W32" s="392"/>
      <c r="Y32" s="109">
        <f t="shared" si="8"/>
        <v>0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0</v>
      </c>
      <c r="AG32" s="108">
        <f t="shared" si="0"/>
        <v>0</v>
      </c>
      <c r="AH32" s="108">
        <f t="shared" si="1"/>
        <v>0</v>
      </c>
      <c r="AI32" s="108">
        <f t="shared" si="10"/>
        <v>0</v>
      </c>
      <c r="AJ32" s="108">
        <f t="shared" si="2"/>
        <v>0</v>
      </c>
      <c r="AK32" s="108">
        <f t="shared" si="3"/>
        <v>0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0</v>
      </c>
      <c r="H33" s="379" t="s">
        <v>9</v>
      </c>
      <c r="I33" s="442">
        <v>0</v>
      </c>
      <c r="J33" s="381">
        <f t="shared" si="5"/>
        <v>3</v>
      </c>
      <c r="K33" s="363">
        <f t="shared" si="6"/>
        <v>1</v>
      </c>
      <c r="L33" s="363">
        <f t="shared" si="7"/>
        <v>1</v>
      </c>
      <c r="O33" s="394" t="s">
        <v>25</v>
      </c>
      <c r="P33" s="395">
        <f>SUMIF($D$8:$D$55,$O33,$G$8:$G$55)+SUMIF($F$8:$F$55,$O33,$I$8:$I$55)</f>
        <v>4</v>
      </c>
      <c r="Q33" s="395">
        <f>SUMIF($D$8:$D$55,$O33,$I$8:$I$55)+SUMIF($F$8:$F$55,$O33,$G$8:$G$55)</f>
        <v>2</v>
      </c>
      <c r="R33" s="396">
        <f>P33-Q33</f>
        <v>2</v>
      </c>
      <c r="S33" s="397">
        <f>SUMIF($D$8:$D$55,$O33,$K$8:$K$55)+SUMIF($F$8:$F$55,$O33,$L$8:$L$55)</f>
        <v>5</v>
      </c>
      <c r="T33" s="444" t="s">
        <v>68</v>
      </c>
      <c r="U33" s="392"/>
      <c r="V33" s="392" t="str">
        <f>O33</f>
        <v>Zwitserland</v>
      </c>
      <c r="W33" s="392" t="s">
        <v>67</v>
      </c>
      <c r="Y33" s="109">
        <f t="shared" si="8"/>
        <v>0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0</v>
      </c>
      <c r="AG33" s="108">
        <f t="shared" si="0"/>
        <v>0</v>
      </c>
      <c r="AH33" s="108">
        <f t="shared" si="1"/>
        <v>0</v>
      </c>
      <c r="AI33" s="108">
        <f t="shared" si="10"/>
        <v>0</v>
      </c>
      <c r="AJ33" s="108">
        <f t="shared" si="2"/>
        <v>0</v>
      </c>
      <c r="AK33" s="108">
        <f t="shared" si="3"/>
        <v>0</v>
      </c>
      <c r="AL33" s="108">
        <f t="shared" si="4"/>
        <v>0</v>
      </c>
      <c r="AM33" s="120">
        <f>AO33</f>
        <v>10</v>
      </c>
      <c r="AN33" s="116" t="s">
        <v>25</v>
      </c>
      <c r="AO33" s="115">
        <f>IF(Uitslag!T33="",0,IF(T33=Uitslag!T33,10,0))</f>
        <v>10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4</v>
      </c>
      <c r="H34" s="367" t="s">
        <v>9</v>
      </c>
      <c r="I34" s="440">
        <v>0</v>
      </c>
      <c r="J34" s="369">
        <f t="shared" si="5"/>
        <v>1</v>
      </c>
      <c r="K34" s="363">
        <f t="shared" si="6"/>
        <v>3</v>
      </c>
      <c r="L34" s="363">
        <f t="shared" si="7"/>
        <v>0</v>
      </c>
      <c r="O34" s="398" t="s">
        <v>26</v>
      </c>
      <c r="P34" s="399">
        <f>SUMIF($D$8:$D$55,$O34,$G$8:$G$55)+SUMIF($F$8:$F$55,$O34,$I$8:$I$55)</f>
        <v>1</v>
      </c>
      <c r="Q34" s="399">
        <f>SUMIF($D$8:$D$55,$O34,$I$8:$I$55)+SUMIF($F$8:$F$55,$O34,$G$8:$G$55)</f>
        <v>3</v>
      </c>
      <c r="R34" s="399">
        <f>P34-Q34</f>
        <v>-2</v>
      </c>
      <c r="S34" s="400">
        <f>SUMIF($D$8:$D$55,$O34,$K$8:$K$55)+SUMIF($F$8:$F$55,$O34,$L$8:$L$55)</f>
        <v>2</v>
      </c>
      <c r="T34" s="445" t="s">
        <v>69</v>
      </c>
      <c r="U34" s="392"/>
      <c r="V34" s="392" t="str">
        <f>O34</f>
        <v>Ecuador</v>
      </c>
      <c r="W34" s="392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0"/>
        <v>0</v>
      </c>
      <c r="AH34" s="108">
        <f t="shared" si="1"/>
        <v>1</v>
      </c>
      <c r="AI34" s="108">
        <f t="shared" si="10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10</v>
      </c>
      <c r="AN34" s="117" t="s">
        <v>26</v>
      </c>
      <c r="AO34" s="115">
        <f>IF(Uitslag!T34="",0,IF(T34=Uitslag!T34,10,0))</f>
        <v>10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4</v>
      </c>
      <c r="H35" s="373" t="s">
        <v>9</v>
      </c>
      <c r="I35" s="441">
        <v>0</v>
      </c>
      <c r="J35" s="375">
        <f t="shared" si="5"/>
        <v>1</v>
      </c>
      <c r="K35" s="363">
        <f t="shared" si="6"/>
        <v>3</v>
      </c>
      <c r="L35" s="363">
        <f t="shared" si="7"/>
        <v>0</v>
      </c>
      <c r="O35" s="398" t="s">
        <v>27</v>
      </c>
      <c r="P35" s="399">
        <f>SUMIF($D$8:$D$55,$O35,$G$8:$G$55)+SUMIF($F$8:$F$55,$O35,$I$8:$I$55)</f>
        <v>5</v>
      </c>
      <c r="Q35" s="399">
        <f>SUMIF($D$8:$D$55,$O35,$I$8:$I$55)+SUMIF($F$8:$F$55,$O35,$G$8:$G$55)</f>
        <v>1</v>
      </c>
      <c r="R35" s="399">
        <f>P35-Q35</f>
        <v>4</v>
      </c>
      <c r="S35" s="400">
        <f>SUMIF($D$8:$D$55,$O35,$K$8:$K$55)+SUMIF($F$8:$F$55,$O35,$L$8:$L$55)</f>
        <v>7</v>
      </c>
      <c r="T35" s="445" t="s">
        <v>67</v>
      </c>
      <c r="U35" s="392"/>
      <c r="V35" s="392" t="str">
        <f>O35</f>
        <v>Frankrijk</v>
      </c>
      <c r="W35" s="392" t="s">
        <v>69</v>
      </c>
      <c r="Y35" s="109">
        <f t="shared" si="8"/>
        <v>0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0</v>
      </c>
      <c r="AG35" s="108">
        <f t="shared" si="0"/>
        <v>0</v>
      </c>
      <c r="AH35" s="108">
        <f t="shared" si="1"/>
        <v>0</v>
      </c>
      <c r="AI35" s="108">
        <f t="shared" si="10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1</v>
      </c>
      <c r="H36" s="379" t="s">
        <v>9</v>
      </c>
      <c r="I36" s="442">
        <v>2</v>
      </c>
      <c r="J36" s="381">
        <f t="shared" si="5"/>
        <v>2</v>
      </c>
      <c r="K36" s="363">
        <f t="shared" si="6"/>
        <v>0</v>
      </c>
      <c r="L36" s="363">
        <f t="shared" si="7"/>
        <v>3</v>
      </c>
      <c r="O36" s="401" t="s">
        <v>28</v>
      </c>
      <c r="P36" s="402">
        <f>SUMIF($D$8:$D$55,$O36,$G$8:$G$55)+SUMIF($F$8:$F$55,$O36,$I$8:$I$55)</f>
        <v>0</v>
      </c>
      <c r="Q36" s="402">
        <f>SUMIF($D$8:$D$55,$O36,$I$8:$I$55)+SUMIF($F$8:$F$55,$O36,$G$8:$G$55)</f>
        <v>4</v>
      </c>
      <c r="R36" s="402">
        <f>P36-Q36</f>
        <v>-4</v>
      </c>
      <c r="S36" s="403">
        <f>SUMIF($D$8:$D$55,$O36,$K$8:$K$55)+SUMIF($F$8:$F$55,$O36,$L$8:$L$55)</f>
        <v>1</v>
      </c>
      <c r="T36" s="446" t="s">
        <v>70</v>
      </c>
      <c r="U36" s="392"/>
      <c r="V36" s="392" t="str">
        <f>O36</f>
        <v>Honduras</v>
      </c>
      <c r="W36" s="392" t="s">
        <v>70</v>
      </c>
      <c r="Y36" s="109">
        <f t="shared" si="8"/>
        <v>1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1</v>
      </c>
      <c r="AG36" s="108">
        <f t="shared" si="0"/>
        <v>1</v>
      </c>
      <c r="AH36" s="108">
        <f t="shared" si="1"/>
        <v>0</v>
      </c>
      <c r="AI36" s="108">
        <f t="shared" si="10"/>
        <v>0</v>
      </c>
      <c r="AJ36" s="108">
        <f t="shared" si="2"/>
        <v>0</v>
      </c>
      <c r="AK36" s="108">
        <f t="shared" si="3"/>
        <v>0</v>
      </c>
      <c r="AL36" s="108">
        <f t="shared" si="4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1</v>
      </c>
      <c r="H37" s="367" t="s">
        <v>9</v>
      </c>
      <c r="I37" s="440">
        <v>1</v>
      </c>
      <c r="J37" s="369">
        <f t="shared" si="5"/>
        <v>3</v>
      </c>
      <c r="K37" s="363">
        <f t="shared" si="6"/>
        <v>1</v>
      </c>
      <c r="L37" s="363">
        <f t="shared" si="7"/>
        <v>1</v>
      </c>
      <c r="O37" s="392"/>
      <c r="P37" s="393"/>
      <c r="Q37" s="393"/>
      <c r="R37" s="393"/>
      <c r="S37" s="393"/>
      <c r="T37" s="393"/>
      <c r="U37" s="392"/>
      <c r="V37" s="392"/>
      <c r="W37" s="392"/>
      <c r="Y37" s="109">
        <f t="shared" si="8"/>
        <v>1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1</v>
      </c>
      <c r="AG37" s="108">
        <f t="shared" si="0"/>
        <v>1</v>
      </c>
      <c r="AH37" s="108">
        <f t="shared" si="1"/>
        <v>0</v>
      </c>
      <c r="AI37" s="108">
        <f t="shared" si="10"/>
        <v>0</v>
      </c>
      <c r="AJ37" s="108">
        <f t="shared" si="2"/>
        <v>0</v>
      </c>
      <c r="AK37" s="108">
        <f t="shared" si="3"/>
        <v>0</v>
      </c>
      <c r="AL37" s="108">
        <f t="shared" si="4"/>
        <v>0</v>
      </c>
      <c r="AN37" s="392"/>
      <c r="AO37" s="393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2</v>
      </c>
      <c r="H38" s="373" t="s">
        <v>9</v>
      </c>
      <c r="I38" s="441">
        <v>1</v>
      </c>
      <c r="J38" s="375">
        <f t="shared" si="5"/>
        <v>1</v>
      </c>
      <c r="K38" s="363">
        <f t="shared" si="6"/>
        <v>3</v>
      </c>
      <c r="L38" s="363">
        <f t="shared" si="7"/>
        <v>0</v>
      </c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392"/>
      <c r="V38" s="392"/>
      <c r="W38" s="392"/>
      <c r="Y38" s="109">
        <f t="shared" si="8"/>
        <v>1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1</v>
      </c>
      <c r="AG38" s="108">
        <f t="shared" si="0"/>
        <v>1</v>
      </c>
      <c r="AH38" s="108">
        <f t="shared" si="1"/>
        <v>0</v>
      </c>
      <c r="AI38" s="108">
        <f t="shared" si="10"/>
        <v>0</v>
      </c>
      <c r="AJ38" s="108">
        <f t="shared" si="2"/>
        <v>0</v>
      </c>
      <c r="AK38" s="108">
        <f t="shared" si="3"/>
        <v>0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0</v>
      </c>
      <c r="H39" s="379" t="s">
        <v>9</v>
      </c>
      <c r="I39" s="442">
        <v>3</v>
      </c>
      <c r="J39" s="381">
        <f t="shared" si="5"/>
        <v>2</v>
      </c>
      <c r="K39" s="363">
        <f t="shared" si="6"/>
        <v>0</v>
      </c>
      <c r="L39" s="363">
        <f t="shared" si="7"/>
        <v>3</v>
      </c>
      <c r="O39" s="394" t="s">
        <v>29</v>
      </c>
      <c r="P39" s="395">
        <f>SUMIF($D$8:$D$55,$O39,$G$8:$G$55)+SUMIF($F$8:$F$55,$O39,$I$8:$I$55)</f>
        <v>10</v>
      </c>
      <c r="Q39" s="395">
        <f>SUMIF($D$8:$D$55,$O39,$I$8:$I$55)+SUMIF($F$8:$F$55,$O39,$G$8:$G$55)</f>
        <v>0</v>
      </c>
      <c r="R39" s="396">
        <f>P39-Q39</f>
        <v>10</v>
      </c>
      <c r="S39" s="397">
        <f>SUMIF($D$8:$D$55,$O39,$K$8:$K$55)+SUMIF($F$8:$F$55,$O39,$L$8:$L$55)</f>
        <v>9</v>
      </c>
      <c r="T39" s="444" t="s">
        <v>72</v>
      </c>
      <c r="U39" s="392"/>
      <c r="V39" s="392" t="str">
        <f>O39</f>
        <v>Argentinië</v>
      </c>
      <c r="W39" s="392" t="s">
        <v>72</v>
      </c>
      <c r="Y39" s="109">
        <f t="shared" si="8"/>
        <v>0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0</v>
      </c>
      <c r="AG39" s="108">
        <f t="shared" si="0"/>
        <v>0</v>
      </c>
      <c r="AH39" s="108">
        <f t="shared" si="1"/>
        <v>0</v>
      </c>
      <c r="AI39" s="108">
        <f t="shared" si="10"/>
        <v>0</v>
      </c>
      <c r="AJ39" s="108">
        <f t="shared" si="2"/>
        <v>0</v>
      </c>
      <c r="AK39" s="108">
        <f t="shared" si="3"/>
        <v>0</v>
      </c>
      <c r="AL39" s="108">
        <f t="shared" si="4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0</v>
      </c>
      <c r="H40" s="367" t="s">
        <v>9</v>
      </c>
      <c r="I40" s="440">
        <v>2</v>
      </c>
      <c r="J40" s="369">
        <f t="shared" si="5"/>
        <v>2</v>
      </c>
      <c r="K40" s="363">
        <f t="shared" si="6"/>
        <v>0</v>
      </c>
      <c r="L40" s="363">
        <f t="shared" si="7"/>
        <v>3</v>
      </c>
      <c r="O40" s="398" t="s">
        <v>30</v>
      </c>
      <c r="P40" s="399">
        <f>SUMIF($D$8:$D$55,$O40,$G$8:$G$55)+SUMIF($F$8:$F$55,$O40,$I$8:$I$55)</f>
        <v>3</v>
      </c>
      <c r="Q40" s="399">
        <f>SUMIF($D$8:$D$55,$O40,$I$8:$I$55)+SUMIF($F$8:$F$55,$O40,$G$8:$G$55)</f>
        <v>5</v>
      </c>
      <c r="R40" s="399">
        <f>P40-Q40</f>
        <v>-2</v>
      </c>
      <c r="S40" s="400">
        <f>SUMIF($D$8:$D$55,$O40,$K$8:$K$55)+SUMIF($F$8:$F$55,$O40,$L$8:$L$55)</f>
        <v>4</v>
      </c>
      <c r="T40" s="445" t="s">
        <v>73</v>
      </c>
      <c r="U40" s="392"/>
      <c r="V40" s="392" t="str">
        <f>O40</f>
        <v>Bosnië H.</v>
      </c>
      <c r="W40" s="392" t="s">
        <v>73</v>
      </c>
      <c r="Y40" s="109">
        <f t="shared" si="8"/>
        <v>6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6</v>
      </c>
      <c r="AG40" s="108">
        <f t="shared" si="0"/>
        <v>1</v>
      </c>
      <c r="AH40" s="108">
        <f t="shared" si="1"/>
        <v>0</v>
      </c>
      <c r="AI40" s="108">
        <f t="shared" si="10"/>
        <v>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0</v>
      </c>
      <c r="AN40" s="117" t="s">
        <v>30</v>
      </c>
      <c r="AO40" s="115">
        <f>IF(Uitslag!T40="",0,IF(T40=Uitslag!T40,10,0))</f>
        <v>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2</v>
      </c>
      <c r="H41" s="373" t="s">
        <v>9</v>
      </c>
      <c r="I41" s="441">
        <v>0</v>
      </c>
      <c r="J41" s="375">
        <f t="shared" si="5"/>
        <v>1</v>
      </c>
      <c r="K41" s="363">
        <f t="shared" si="6"/>
        <v>3</v>
      </c>
      <c r="L41" s="363">
        <f t="shared" si="7"/>
        <v>0</v>
      </c>
      <c r="O41" s="398" t="s">
        <v>33</v>
      </c>
      <c r="P41" s="399">
        <f>SUMIF($D$8:$D$55,$O41,$G$8:$G$55)+SUMIF($F$8:$F$55,$O41,$I$8:$I$55)</f>
        <v>1</v>
      </c>
      <c r="Q41" s="399">
        <f>SUMIF($D$8:$D$55,$O41,$I$8:$I$55)+SUMIF($F$8:$F$55,$O41,$G$8:$G$55)</f>
        <v>5</v>
      </c>
      <c r="R41" s="399">
        <f>P41-Q41</f>
        <v>-4</v>
      </c>
      <c r="S41" s="400">
        <f>SUMIF($D$8:$D$55,$O41,$K$8:$K$55)+SUMIF($F$8:$F$55,$O41,$L$8:$L$55)</f>
        <v>2</v>
      </c>
      <c r="T41" s="445" t="s">
        <v>74</v>
      </c>
      <c r="U41" s="392"/>
      <c r="V41" s="392" t="str">
        <f>O41</f>
        <v>Iran</v>
      </c>
      <c r="W41" s="392" t="s">
        <v>74</v>
      </c>
      <c r="Y41" s="109">
        <f t="shared" si="8"/>
        <v>10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10</v>
      </c>
      <c r="AG41" s="108">
        <f t="shared" si="0"/>
        <v>1</v>
      </c>
      <c r="AH41" s="108">
        <f t="shared" si="1"/>
        <v>1</v>
      </c>
      <c r="AI41" s="108">
        <f t="shared" si="10"/>
        <v>10</v>
      </c>
      <c r="AJ41" s="108">
        <f t="shared" si="2"/>
        <v>5</v>
      </c>
      <c r="AK41" s="108">
        <f t="shared" si="3"/>
        <v>0</v>
      </c>
      <c r="AL41" s="108">
        <f t="shared" si="4"/>
        <v>0</v>
      </c>
      <c r="AM41" s="120">
        <f>AO41</f>
        <v>0</v>
      </c>
      <c r="AN41" s="117" t="s">
        <v>33</v>
      </c>
      <c r="AO41" s="115">
        <f>IF(Uitslag!T41="",0,IF(T41=Uitslag!T41,10,0))</f>
        <v>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0</v>
      </c>
      <c r="H42" s="373" t="s">
        <v>9</v>
      </c>
      <c r="I42" s="441">
        <v>4</v>
      </c>
      <c r="J42" s="375">
        <f t="shared" si="5"/>
        <v>2</v>
      </c>
      <c r="K42" s="363">
        <f t="shared" si="6"/>
        <v>0</v>
      </c>
      <c r="L42" s="363">
        <f t="shared" si="7"/>
        <v>3</v>
      </c>
      <c r="O42" s="401" t="s">
        <v>34</v>
      </c>
      <c r="P42" s="402">
        <f>SUMIF($D$8:$D$55,$O42,$G$8:$G$55)+SUMIF($F$8:$F$55,$O42,$I$8:$I$55)</f>
        <v>1</v>
      </c>
      <c r="Q42" s="402">
        <f>SUMIF($D$8:$D$55,$O42,$I$8:$I$55)+SUMIF($F$8:$F$55,$O42,$G$8:$G$55)</f>
        <v>5</v>
      </c>
      <c r="R42" s="402">
        <f>P42-Q42</f>
        <v>-4</v>
      </c>
      <c r="S42" s="403">
        <f>SUMIF($D$8:$D$55,$O42,$K$8:$K$55)+SUMIF($F$8:$F$55,$O42,$L$8:$L$55)</f>
        <v>1</v>
      </c>
      <c r="T42" s="446" t="s">
        <v>75</v>
      </c>
      <c r="U42" s="392"/>
      <c r="V42" s="392" t="str">
        <f>O42</f>
        <v>Nigeria</v>
      </c>
      <c r="W42" s="392" t="s">
        <v>75</v>
      </c>
      <c r="Y42" s="109">
        <f t="shared" si="8"/>
        <v>6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6</v>
      </c>
      <c r="AG42" s="108">
        <f t="shared" si="0"/>
        <v>0</v>
      </c>
      <c r="AH42" s="108">
        <f t="shared" si="1"/>
        <v>1</v>
      </c>
      <c r="AI42" s="108">
        <f t="shared" si="10"/>
        <v>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0</v>
      </c>
      <c r="AN42" s="118" t="s">
        <v>34</v>
      </c>
      <c r="AO42" s="115">
        <f>IF(Uitslag!T42="",0,IF(T42=Uitslag!T42,10,0))</f>
        <v>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1</v>
      </c>
      <c r="H43" s="379" t="s">
        <v>9</v>
      </c>
      <c r="I43" s="442">
        <v>2</v>
      </c>
      <c r="J43" s="381">
        <f t="shared" si="5"/>
        <v>2</v>
      </c>
      <c r="K43" s="363">
        <f t="shared" si="6"/>
        <v>0</v>
      </c>
      <c r="L43" s="363">
        <f t="shared" si="7"/>
        <v>3</v>
      </c>
      <c r="O43" s="392"/>
      <c r="P43" s="393"/>
      <c r="Q43" s="393"/>
      <c r="R43" s="393"/>
      <c r="S43" s="393"/>
      <c r="T43" s="393"/>
      <c r="U43" s="392"/>
      <c r="V43" s="392"/>
      <c r="W43" s="392"/>
      <c r="Y43" s="109">
        <f t="shared" si="8"/>
        <v>6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6</v>
      </c>
      <c r="AG43" s="108">
        <f t="shared" si="0"/>
        <v>1</v>
      </c>
      <c r="AH43" s="108">
        <f t="shared" si="1"/>
        <v>0</v>
      </c>
      <c r="AI43" s="108">
        <f t="shared" si="10"/>
        <v>0</v>
      </c>
      <c r="AJ43" s="108">
        <f t="shared" si="2"/>
        <v>0</v>
      </c>
      <c r="AK43" s="108">
        <f t="shared" si="3"/>
        <v>5</v>
      </c>
      <c r="AL43" s="108">
        <f t="shared" si="4"/>
        <v>0</v>
      </c>
      <c r="AN43" s="392"/>
      <c r="AO43" s="393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1</v>
      </c>
      <c r="H44" s="367" t="s">
        <v>9</v>
      </c>
      <c r="I44" s="440">
        <v>0</v>
      </c>
      <c r="J44" s="369">
        <f t="shared" si="5"/>
        <v>1</v>
      </c>
      <c r="K44" s="363">
        <f t="shared" si="6"/>
        <v>3</v>
      </c>
      <c r="L44" s="363">
        <f t="shared" si="7"/>
        <v>0</v>
      </c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392"/>
      <c r="V44" s="392"/>
      <c r="W44" s="392"/>
      <c r="Y44" s="109">
        <f t="shared" si="8"/>
        <v>0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0</v>
      </c>
      <c r="AG44" s="108">
        <f t="shared" si="0"/>
        <v>0</v>
      </c>
      <c r="AH44" s="108">
        <f t="shared" si="1"/>
        <v>0</v>
      </c>
      <c r="AI44" s="108">
        <f t="shared" si="10"/>
        <v>0</v>
      </c>
      <c r="AJ44" s="108">
        <f t="shared" si="2"/>
        <v>0</v>
      </c>
      <c r="AK44" s="108">
        <f t="shared" si="3"/>
        <v>0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0</v>
      </c>
      <c r="H45" s="373" t="s">
        <v>9</v>
      </c>
      <c r="I45" s="441">
        <v>2</v>
      </c>
      <c r="J45" s="375">
        <f t="shared" si="5"/>
        <v>2</v>
      </c>
      <c r="K45" s="363">
        <f t="shared" si="6"/>
        <v>0</v>
      </c>
      <c r="L45" s="363">
        <f t="shared" si="7"/>
        <v>3</v>
      </c>
      <c r="O45" s="394" t="s">
        <v>31</v>
      </c>
      <c r="P45" s="395">
        <f>SUMIF($D$8:$D$55,$O45,$G$8:$G$55)+SUMIF($F$8:$F$55,$O45,$I$8:$I$55)</f>
        <v>8</v>
      </c>
      <c r="Q45" s="395">
        <f>SUMIF($D$8:$D$55,$O45,$I$8:$I$55)+SUMIF($F$8:$F$55,$O45,$G$8:$G$55)</f>
        <v>4</v>
      </c>
      <c r="R45" s="396">
        <f>P45-Q45</f>
        <v>4</v>
      </c>
      <c r="S45" s="397">
        <f>SUMIF($D$8:$D$55,$O45,$K$8:$K$55)+SUMIF($F$8:$F$55,$O45,$L$8:$L$55)</f>
        <v>5</v>
      </c>
      <c r="T45" s="444" t="s">
        <v>78</v>
      </c>
      <c r="U45" s="392"/>
      <c r="V45" s="392" t="str">
        <f>O45</f>
        <v>Duitsland</v>
      </c>
      <c r="W45" s="392" t="s">
        <v>77</v>
      </c>
      <c r="Y45" s="109">
        <f t="shared" si="8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1</v>
      </c>
      <c r="AG45" s="108">
        <f t="shared" si="0"/>
        <v>1</v>
      </c>
      <c r="AH45" s="108">
        <f t="shared" si="1"/>
        <v>0</v>
      </c>
      <c r="AI45" s="108">
        <f t="shared" si="10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0</v>
      </c>
      <c r="AN45" s="116" t="s">
        <v>31</v>
      </c>
      <c r="AO45" s="115">
        <f>IF(Uitslag!T45="",0,IF(T45=Uitslag!T45,10,0))</f>
        <v>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1</v>
      </c>
      <c r="H46" s="373" t="s">
        <v>9</v>
      </c>
      <c r="I46" s="441">
        <v>0</v>
      </c>
      <c r="J46" s="375">
        <f t="shared" si="5"/>
        <v>1</v>
      </c>
      <c r="K46" s="363">
        <f t="shared" si="6"/>
        <v>3</v>
      </c>
      <c r="L46" s="363">
        <f t="shared" si="7"/>
        <v>0</v>
      </c>
      <c r="O46" s="398" t="s">
        <v>32</v>
      </c>
      <c r="P46" s="399">
        <f>SUMIF($D$8:$D$55,$O46,$G$8:$G$55)+SUMIF($F$8:$F$55,$O46,$I$8:$I$55)</f>
        <v>7</v>
      </c>
      <c r="Q46" s="399">
        <f>SUMIF($D$8:$D$55,$O46,$I$8:$I$55)+SUMIF($F$8:$F$55,$O46,$G$8:$G$55)</f>
        <v>2</v>
      </c>
      <c r="R46" s="399">
        <f>P46-Q46</f>
        <v>5</v>
      </c>
      <c r="S46" s="400">
        <f>SUMIF($D$8:$D$55,$O46,$K$8:$K$55)+SUMIF($F$8:$F$55,$O46,$L$8:$L$55)</f>
        <v>7</v>
      </c>
      <c r="T46" s="445" t="s">
        <v>77</v>
      </c>
      <c r="U46" s="392"/>
      <c r="V46" s="392" t="str">
        <f>O46</f>
        <v>Portugal</v>
      </c>
      <c r="W46" s="392" t="s">
        <v>78</v>
      </c>
      <c r="Y46" s="109">
        <f t="shared" si="8"/>
        <v>1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1</v>
      </c>
      <c r="AG46" s="108">
        <f t="shared" si="0"/>
        <v>1</v>
      </c>
      <c r="AH46" s="108">
        <f t="shared" si="1"/>
        <v>0</v>
      </c>
      <c r="AI46" s="108">
        <f t="shared" si="10"/>
        <v>0</v>
      </c>
      <c r="AJ46" s="108">
        <f t="shared" si="2"/>
        <v>0</v>
      </c>
      <c r="AK46" s="108">
        <f t="shared" si="3"/>
        <v>0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2</v>
      </c>
      <c r="H47" s="379" t="s">
        <v>9</v>
      </c>
      <c r="I47" s="442">
        <v>1</v>
      </c>
      <c r="J47" s="381">
        <f t="shared" si="5"/>
        <v>1</v>
      </c>
      <c r="K47" s="363">
        <f t="shared" si="6"/>
        <v>3</v>
      </c>
      <c r="L47" s="363">
        <f t="shared" si="7"/>
        <v>0</v>
      </c>
      <c r="O47" s="398" t="s">
        <v>35</v>
      </c>
      <c r="P47" s="399">
        <f>SUMIF($D$8:$D$55,$O47,$G$8:$G$55)+SUMIF($F$8:$F$55,$O47,$I$8:$I$55)</f>
        <v>1</v>
      </c>
      <c r="Q47" s="399">
        <f>SUMIF($D$8:$D$55,$O47,$I$8:$I$55)+SUMIF($F$8:$F$55,$O47,$G$8:$G$55)</f>
        <v>6</v>
      </c>
      <c r="R47" s="399">
        <f>P47-Q47</f>
        <v>-5</v>
      </c>
      <c r="S47" s="400">
        <f>SUMIF($D$8:$D$55,$O47,$K$8:$K$55)+SUMIF($F$8:$F$55,$O47,$L$8:$L$55)</f>
        <v>3</v>
      </c>
      <c r="T47" s="445" t="s">
        <v>79</v>
      </c>
      <c r="U47" s="392"/>
      <c r="V47" s="392" t="str">
        <f>O47</f>
        <v>Ghana</v>
      </c>
      <c r="W47" s="392" t="s">
        <v>79</v>
      </c>
      <c r="Y47" s="109">
        <f t="shared" si="8"/>
        <v>10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10</v>
      </c>
      <c r="AG47" s="108">
        <f t="shared" si="0"/>
        <v>1</v>
      </c>
      <c r="AH47" s="108">
        <f t="shared" si="1"/>
        <v>1</v>
      </c>
      <c r="AI47" s="108">
        <f t="shared" si="10"/>
        <v>10</v>
      </c>
      <c r="AJ47" s="108">
        <f t="shared" si="2"/>
        <v>5</v>
      </c>
      <c r="AK47" s="108">
        <f t="shared" si="3"/>
        <v>0</v>
      </c>
      <c r="AL47" s="108">
        <f t="shared" si="4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0</v>
      </c>
      <c r="H48" s="367" t="s">
        <v>9</v>
      </c>
      <c r="I48" s="440">
        <v>3</v>
      </c>
      <c r="J48" s="369">
        <f t="shared" si="5"/>
        <v>2</v>
      </c>
      <c r="K48" s="363">
        <f t="shared" si="6"/>
        <v>0</v>
      </c>
      <c r="L48" s="363">
        <f t="shared" si="7"/>
        <v>3</v>
      </c>
      <c r="O48" s="401" t="s">
        <v>36</v>
      </c>
      <c r="P48" s="402">
        <f>SUMIF($D$8:$D$55,$O48,$G$8:$G$55)+SUMIF($F$8:$F$55,$O48,$I$8:$I$55)</f>
        <v>2</v>
      </c>
      <c r="Q48" s="402">
        <f>SUMIF($D$8:$D$55,$O48,$I$8:$I$55)+SUMIF($F$8:$F$55,$O48,$G$8:$G$55)</f>
        <v>6</v>
      </c>
      <c r="R48" s="402">
        <f>P48-Q48</f>
        <v>-4</v>
      </c>
      <c r="S48" s="403">
        <f>SUMIF($D$8:$D$55,$O48,$K$8:$K$55)+SUMIF($F$8:$F$55,$O48,$L$8:$L$55)</f>
        <v>1</v>
      </c>
      <c r="T48" s="446" t="s">
        <v>80</v>
      </c>
      <c r="U48" s="392"/>
      <c r="V48" s="392" t="str">
        <f>O48</f>
        <v>Verenigde Staten</v>
      </c>
      <c r="W48" s="392" t="s">
        <v>80</v>
      </c>
      <c r="Y48" s="109">
        <f t="shared" si="8"/>
        <v>6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6</v>
      </c>
      <c r="AG48" s="108">
        <f t="shared" si="0"/>
        <v>0</v>
      </c>
      <c r="AH48" s="108">
        <f t="shared" si="1"/>
        <v>1</v>
      </c>
      <c r="AI48" s="108">
        <f t="shared" si="10"/>
        <v>0</v>
      </c>
      <c r="AJ48" s="108">
        <f t="shared" si="2"/>
        <v>0</v>
      </c>
      <c r="AK48" s="108">
        <f t="shared" si="3"/>
        <v>5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1</v>
      </c>
      <c r="H49" s="373" t="s">
        <v>9</v>
      </c>
      <c r="I49" s="441">
        <v>1</v>
      </c>
      <c r="J49" s="375">
        <f t="shared" si="5"/>
        <v>3</v>
      </c>
      <c r="K49" s="363">
        <f t="shared" si="6"/>
        <v>1</v>
      </c>
      <c r="L49" s="363">
        <f t="shared" si="7"/>
        <v>1</v>
      </c>
      <c r="O49" s="392"/>
      <c r="P49" s="393"/>
      <c r="Q49" s="393"/>
      <c r="R49" s="393"/>
      <c r="S49" s="393"/>
      <c r="T49" s="393"/>
      <c r="U49" s="392"/>
      <c r="V49" s="392"/>
      <c r="W49" s="392"/>
      <c r="Y49" s="109">
        <f t="shared" si="8"/>
        <v>1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1</v>
      </c>
      <c r="AG49" s="108">
        <f t="shared" si="0"/>
        <v>0</v>
      </c>
      <c r="AH49" s="108">
        <f t="shared" si="1"/>
        <v>1</v>
      </c>
      <c r="AI49" s="108">
        <f t="shared" si="10"/>
        <v>0</v>
      </c>
      <c r="AJ49" s="108">
        <f t="shared" si="2"/>
        <v>0</v>
      </c>
      <c r="AK49" s="108">
        <f t="shared" si="3"/>
        <v>0</v>
      </c>
      <c r="AL49" s="108">
        <f t="shared" si="4"/>
        <v>0</v>
      </c>
      <c r="AN49" s="392"/>
      <c r="AO49" s="393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0</v>
      </c>
      <c r="H50" s="373" t="s">
        <v>9</v>
      </c>
      <c r="I50" s="441">
        <v>2</v>
      </c>
      <c r="J50" s="375">
        <f t="shared" si="5"/>
        <v>2</v>
      </c>
      <c r="K50" s="363">
        <f t="shared" si="6"/>
        <v>0</v>
      </c>
      <c r="L50" s="363">
        <f t="shared" si="7"/>
        <v>3</v>
      </c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392"/>
      <c r="V50" s="392"/>
      <c r="W50" s="392"/>
      <c r="Y50" s="109">
        <f t="shared" si="8"/>
        <v>6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6</v>
      </c>
      <c r="AG50" s="108">
        <f t="shared" si="0"/>
        <v>1</v>
      </c>
      <c r="AH50" s="108">
        <f t="shared" si="1"/>
        <v>0</v>
      </c>
      <c r="AI50" s="108">
        <f t="shared" si="10"/>
        <v>0</v>
      </c>
      <c r="AJ50" s="108">
        <f t="shared" si="2"/>
        <v>0</v>
      </c>
      <c r="AK50" s="108">
        <f t="shared" si="3"/>
        <v>5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0</v>
      </c>
      <c r="H51" s="379" t="s">
        <v>9</v>
      </c>
      <c r="I51" s="442">
        <v>2</v>
      </c>
      <c r="J51" s="381">
        <f t="shared" si="5"/>
        <v>2</v>
      </c>
      <c r="K51" s="363">
        <f t="shared" si="6"/>
        <v>0</v>
      </c>
      <c r="L51" s="363">
        <f>IF(I51="","",IF($G51&lt;$I51,3,IF($G51=$I51,1,0)))</f>
        <v>3</v>
      </c>
      <c r="O51" s="394" t="s">
        <v>37</v>
      </c>
      <c r="P51" s="395">
        <f>SUMIF($D$8:$D$55,$O51,$G$8:$G$55)+SUMIF($F$8:$F$55,$O51,$I$8:$I$55)</f>
        <v>4</v>
      </c>
      <c r="Q51" s="395">
        <f>SUMIF($D$8:$D$55,$O51,$I$8:$I$55)+SUMIF($F$8:$F$55,$O51,$G$8:$G$55)</f>
        <v>2</v>
      </c>
      <c r="R51" s="396">
        <f>P51-Q51</f>
        <v>2</v>
      </c>
      <c r="S51" s="397">
        <f>SUMIF($D$8:$D$55,$O51,$K$8:$K$55)+SUMIF($F$8:$F$55,$O51,$L$8:$L$55)</f>
        <v>5</v>
      </c>
      <c r="T51" s="444" t="s">
        <v>83</v>
      </c>
      <c r="U51" s="392"/>
      <c r="V51" s="392" t="str">
        <f>O51</f>
        <v>België</v>
      </c>
      <c r="W51" s="392" t="s">
        <v>82</v>
      </c>
      <c r="Y51" s="109">
        <f t="shared" si="8"/>
        <v>1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1</v>
      </c>
      <c r="AG51" s="108">
        <f t="shared" si="0"/>
        <v>1</v>
      </c>
      <c r="AH51" s="108">
        <f t="shared" si="1"/>
        <v>0</v>
      </c>
      <c r="AI51" s="108">
        <f t="shared" si="10"/>
        <v>0</v>
      </c>
      <c r="AJ51" s="108">
        <f t="shared" si="2"/>
        <v>0</v>
      </c>
      <c r="AK51" s="108">
        <f t="shared" si="3"/>
        <v>0</v>
      </c>
      <c r="AL51" s="108">
        <f t="shared" si="4"/>
        <v>0</v>
      </c>
      <c r="AM51" s="120">
        <f>AO51</f>
        <v>0</v>
      </c>
      <c r="AN51" s="116" t="s">
        <v>37</v>
      </c>
      <c r="AO51" s="115">
        <f>IF(Uitslag!T51="",0,IF(T51=Uitslag!T51,10,0))</f>
        <v>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2</v>
      </c>
      <c r="H52" s="373" t="s">
        <v>9</v>
      </c>
      <c r="I52" s="441">
        <v>2</v>
      </c>
      <c r="J52" s="369">
        <f t="shared" si="5"/>
        <v>3</v>
      </c>
      <c r="K52" s="363">
        <f t="shared" si="6"/>
        <v>1</v>
      </c>
      <c r="L52" s="363">
        <f t="shared" si="7"/>
        <v>1</v>
      </c>
      <c r="O52" s="398" t="s">
        <v>38</v>
      </c>
      <c r="P52" s="399">
        <f>SUMIF($D$8:$D$55,$O52,$G$8:$G$55)+SUMIF($F$8:$F$55,$O52,$I$8:$I$55)</f>
        <v>1</v>
      </c>
      <c r="Q52" s="399">
        <f>SUMIF($D$8:$D$55,$O52,$I$8:$I$55)+SUMIF($F$8:$F$55,$O52,$G$8:$G$55)</f>
        <v>7</v>
      </c>
      <c r="R52" s="399">
        <f>P52-Q52</f>
        <v>-6</v>
      </c>
      <c r="S52" s="400">
        <f>SUMIF($D$8:$D$55,$O52,$K$8:$K$55)+SUMIF($F$8:$F$55,$O52,$L$8:$L$55)</f>
        <v>0</v>
      </c>
      <c r="T52" s="445" t="s">
        <v>85</v>
      </c>
      <c r="U52" s="392"/>
      <c r="V52" s="392" t="str">
        <f>O52</f>
        <v>Algerije</v>
      </c>
      <c r="W52" s="392" t="s">
        <v>83</v>
      </c>
      <c r="Y52" s="109">
        <f t="shared" si="8"/>
        <v>0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0</v>
      </c>
      <c r="AG52" s="108">
        <f t="shared" si="0"/>
        <v>0</v>
      </c>
      <c r="AH52" s="108">
        <f t="shared" si="1"/>
        <v>0</v>
      </c>
      <c r="AI52" s="108">
        <f t="shared" si="10"/>
        <v>0</v>
      </c>
      <c r="AJ52" s="108">
        <f t="shared" si="2"/>
        <v>0</v>
      </c>
      <c r="AK52" s="108">
        <f t="shared" si="3"/>
        <v>0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2</v>
      </c>
      <c r="H53" s="373" t="s">
        <v>9</v>
      </c>
      <c r="I53" s="441">
        <v>0</v>
      </c>
      <c r="J53" s="375">
        <f t="shared" si="5"/>
        <v>1</v>
      </c>
      <c r="K53" s="363">
        <f t="shared" si="6"/>
        <v>3</v>
      </c>
      <c r="L53" s="363">
        <f t="shared" si="7"/>
        <v>0</v>
      </c>
      <c r="O53" s="398" t="s">
        <v>39</v>
      </c>
      <c r="P53" s="399">
        <f>SUMIF($D$8:$D$55,$O53,$G$8:$G$55)+SUMIF($F$8:$F$55,$O53,$I$8:$I$55)</f>
        <v>5</v>
      </c>
      <c r="Q53" s="399">
        <f>SUMIF($D$8:$D$55,$O53,$I$8:$I$55)+SUMIF($F$8:$F$55,$O53,$G$8:$G$55)</f>
        <v>2</v>
      </c>
      <c r="R53" s="399">
        <f>P53-Q53</f>
        <v>3</v>
      </c>
      <c r="S53" s="400">
        <f>SUMIF($D$8:$D$55,$O53,$K$8:$K$55)+SUMIF($F$8:$F$55,$O53,$L$8:$L$55)</f>
        <v>5</v>
      </c>
      <c r="T53" s="445" t="s">
        <v>82</v>
      </c>
      <c r="U53" s="392"/>
      <c r="V53" s="392" t="str">
        <f>O53</f>
        <v>Rusland</v>
      </c>
      <c r="W53" s="392" t="s">
        <v>84</v>
      </c>
      <c r="Y53" s="109">
        <f t="shared" si="8"/>
        <v>6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6</v>
      </c>
      <c r="AG53" s="108">
        <f t="shared" si="0"/>
        <v>1</v>
      </c>
      <c r="AH53" s="108">
        <f t="shared" si="1"/>
        <v>0</v>
      </c>
      <c r="AI53" s="108">
        <f t="shared" si="10"/>
        <v>0</v>
      </c>
      <c r="AJ53" s="108">
        <f t="shared" si="2"/>
        <v>5</v>
      </c>
      <c r="AK53" s="108">
        <f t="shared" si="3"/>
        <v>0</v>
      </c>
      <c r="AL53" s="108">
        <f t="shared" si="4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1</v>
      </c>
      <c r="H54" s="373" t="s">
        <v>9</v>
      </c>
      <c r="I54" s="441">
        <v>1</v>
      </c>
      <c r="J54" s="375">
        <f t="shared" si="5"/>
        <v>3</v>
      </c>
      <c r="K54" s="363">
        <f t="shared" si="6"/>
        <v>1</v>
      </c>
      <c r="L54" s="363">
        <f t="shared" si="7"/>
        <v>1</v>
      </c>
      <c r="O54" s="401" t="s">
        <v>40</v>
      </c>
      <c r="P54" s="402">
        <f>SUMIF($D$8:$D$55,$O54,$G$8:$G$55)+SUMIF($F$8:$F$55,$O54,$I$8:$I$55)</f>
        <v>4</v>
      </c>
      <c r="Q54" s="402">
        <f>SUMIF($D$8:$D$55,$O54,$I$8:$I$55)+SUMIF($F$8:$F$55,$O54,$G$8:$G$55)</f>
        <v>3</v>
      </c>
      <c r="R54" s="402">
        <f>P54-Q54</f>
        <v>1</v>
      </c>
      <c r="S54" s="403">
        <f>SUMIF($D$8:$D$55,$O54,$K$8:$K$55)+SUMIF($F$8:$F$55,$O54,$L$8:$L$55)</f>
        <v>5</v>
      </c>
      <c r="T54" s="446" t="s">
        <v>84</v>
      </c>
      <c r="U54" s="392"/>
      <c r="V54" s="392" t="str">
        <f>O54</f>
        <v>Zuid Korea</v>
      </c>
      <c r="W54" s="392" t="s">
        <v>85</v>
      </c>
      <c r="Y54" s="109">
        <f t="shared" si="8"/>
        <v>1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1</v>
      </c>
      <c r="AG54" s="108">
        <f t="shared" si="0"/>
        <v>0</v>
      </c>
      <c r="AH54" s="108">
        <f t="shared" si="1"/>
        <v>1</v>
      </c>
      <c r="AI54" s="108">
        <f t="shared" si="10"/>
        <v>0</v>
      </c>
      <c r="AJ54" s="108">
        <f t="shared" si="2"/>
        <v>0</v>
      </c>
      <c r="AK54" s="108">
        <f t="shared" si="3"/>
        <v>0</v>
      </c>
      <c r="AL54" s="108">
        <f t="shared" si="4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0</v>
      </c>
      <c r="H55" s="388" t="s">
        <v>9</v>
      </c>
      <c r="I55" s="443">
        <v>3</v>
      </c>
      <c r="J55" s="390">
        <f t="shared" si="5"/>
        <v>2</v>
      </c>
      <c r="K55" s="363">
        <f t="shared" si="6"/>
        <v>0</v>
      </c>
      <c r="L55" s="363">
        <f t="shared" si="7"/>
        <v>3</v>
      </c>
      <c r="O55" s="392"/>
      <c r="P55" s="393"/>
      <c r="Q55" s="393"/>
      <c r="R55" s="393"/>
      <c r="S55" s="393"/>
      <c r="T55" s="393"/>
      <c r="U55" s="392"/>
      <c r="V55" s="392"/>
      <c r="W55" s="392"/>
      <c r="Y55" s="109">
        <f t="shared" si="8"/>
        <v>0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0</v>
      </c>
      <c r="AG55" s="108">
        <f t="shared" si="0"/>
        <v>0</v>
      </c>
      <c r="AH55" s="108">
        <f t="shared" si="1"/>
        <v>0</v>
      </c>
      <c r="AI55" s="108">
        <f t="shared" si="10"/>
        <v>0</v>
      </c>
      <c r="AJ55" s="108">
        <f t="shared" si="2"/>
        <v>0</v>
      </c>
      <c r="AK55" s="108">
        <f t="shared" si="3"/>
        <v>0</v>
      </c>
      <c r="AL55" s="108">
        <f t="shared" si="4"/>
        <v>0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79"/>
      <c r="K57" s="353"/>
      <c r="L57" s="353"/>
      <c r="M57" s="353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77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O58" s="458">
        <v>1</v>
      </c>
      <c r="P58" s="877" t="s">
        <v>224</v>
      </c>
      <c r="Q58" s="877"/>
      <c r="R58" s="877"/>
      <c r="S58" s="877"/>
      <c r="T58" s="878"/>
      <c r="V58" s="352" t="s">
        <v>132</v>
      </c>
      <c r="W58" s="352" t="s">
        <v>124</v>
      </c>
      <c r="X58" s="352" t="str">
        <f t="shared" ref="X58:X98" si="11">CONCATENATE(W58," ",V58)</f>
        <v>Jeroen Zoet (k)</v>
      </c>
      <c r="Y58" s="113" t="s">
        <v>91</v>
      </c>
      <c r="Z58" s="352" t="str">
        <f>IF(K58=""," ",VLOOKUP(K58,$T$9:$V$54,3,FALSE))</f>
        <v xml:space="preserve"> </v>
      </c>
      <c r="AA58" s="352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>IF(ISERROR(Z59),K59,Z59)</f>
        <v>Brazilië</v>
      </c>
      <c r="E59" s="367" t="s">
        <v>9</v>
      </c>
      <c r="F59" s="406" t="str">
        <f>IF(ISERROR(AA59),L59,AA59)</f>
        <v>Nederland</v>
      </c>
      <c r="G59" s="435">
        <v>2</v>
      </c>
      <c r="H59" s="367" t="s">
        <v>9</v>
      </c>
      <c r="I59" s="447">
        <v>3</v>
      </c>
      <c r="J59" s="448">
        <v>2</v>
      </c>
      <c r="K59" s="407" t="s">
        <v>48</v>
      </c>
      <c r="L59" s="407" t="s">
        <v>53</v>
      </c>
      <c r="M59" s="407">
        <v>1</v>
      </c>
      <c r="O59" s="458">
        <v>2</v>
      </c>
      <c r="P59" s="877" t="s">
        <v>209</v>
      </c>
      <c r="Q59" s="877"/>
      <c r="R59" s="877"/>
      <c r="S59" s="877"/>
      <c r="T59" s="878"/>
      <c r="V59" s="352" t="s">
        <v>132</v>
      </c>
      <c r="W59" s="352" t="s">
        <v>111</v>
      </c>
      <c r="X59" s="352" t="str">
        <f t="shared" si="11"/>
        <v>Jasper Cillessen (k)</v>
      </c>
      <c r="Y59" s="109">
        <f t="shared" ref="Y59:Y66" si="13">AF59</f>
        <v>0</v>
      </c>
      <c r="Z59" s="352" t="str">
        <f t="shared" ref="Z59:AA65" si="14">IF(K59=""," ",VLOOKUP(K59,$T$9:$V$54,3,FALSE))</f>
        <v>Brazilië</v>
      </c>
      <c r="AA59" s="352" t="str">
        <f t="shared" si="14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0</v>
      </c>
      <c r="AG59" s="108">
        <f t="shared" ref="AG59:AG66" si="16">IF(AC59="",0,(IF(G59=AC59,1,0)))</f>
        <v>0</v>
      </c>
      <c r="AH59" s="108">
        <f t="shared" ref="AH59:AH66" si="17">IF(AD59="",0,(IF(I59=AD59,1,0)))</f>
        <v>0</v>
      </c>
      <c r="AI59" s="108">
        <f t="shared" ref="AI59:AI66" si="18">IF(AND(AG59=1,AH59=1),10,0)</f>
        <v>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376">
        <v>50</v>
      </c>
      <c r="C60" s="466">
        <v>41818</v>
      </c>
      <c r="D60" s="460" t="str">
        <f t="shared" ref="D60:D66" si="23">IF(ISERROR(Z60),K60,Z60)</f>
        <v>Griekenland</v>
      </c>
      <c r="E60" s="379" t="s">
        <v>9</v>
      </c>
      <c r="F60" s="409" t="str">
        <f t="shared" ref="F60:F66" si="24">IF(ISERROR(AA60),L60,AA60)</f>
        <v>Italië</v>
      </c>
      <c r="G60" s="437">
        <v>1</v>
      </c>
      <c r="H60" s="379" t="s">
        <v>9</v>
      </c>
      <c r="I60" s="449">
        <v>3</v>
      </c>
      <c r="J60" s="450">
        <v>2</v>
      </c>
      <c r="K60" s="407" t="s">
        <v>57</v>
      </c>
      <c r="L60" s="407" t="s">
        <v>63</v>
      </c>
      <c r="M60" s="407">
        <v>2</v>
      </c>
      <c r="O60" s="458">
        <v>3</v>
      </c>
      <c r="P60" s="877" t="s">
        <v>220</v>
      </c>
      <c r="Q60" s="877"/>
      <c r="R60" s="877"/>
      <c r="S60" s="877"/>
      <c r="T60" s="878"/>
      <c r="V60" s="352" t="s">
        <v>132</v>
      </c>
      <c r="W60" s="352" t="s">
        <v>110</v>
      </c>
      <c r="X60" s="352" t="str">
        <f t="shared" si="11"/>
        <v>Kenneth Vermeer (k)</v>
      </c>
      <c r="Y60" s="109">
        <f t="shared" si="13"/>
        <v>0</v>
      </c>
      <c r="Z60" s="352" t="str">
        <f t="shared" si="14"/>
        <v>Griekenland</v>
      </c>
      <c r="AA60" s="352" t="str">
        <f t="shared" si="14"/>
        <v>Italië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0</v>
      </c>
      <c r="AG60" s="108">
        <f t="shared" si="16"/>
        <v>0</v>
      </c>
      <c r="AH60" s="108">
        <f t="shared" si="17"/>
        <v>0</v>
      </c>
      <c r="AI60" s="108">
        <f t="shared" si="18"/>
        <v>0</v>
      </c>
      <c r="AJ60" s="108">
        <f t="shared" si="19"/>
        <v>0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2"/>
        <v>3</v>
      </c>
    </row>
    <row r="61" spans="2:54">
      <c r="B61" s="364">
        <v>51</v>
      </c>
      <c r="C61" s="465">
        <v>41819</v>
      </c>
      <c r="D61" s="464" t="str">
        <f t="shared" si="23"/>
        <v>Spanje</v>
      </c>
      <c r="E61" s="367" t="s">
        <v>9</v>
      </c>
      <c r="F61" s="406" t="str">
        <f t="shared" si="24"/>
        <v>Mexico</v>
      </c>
      <c r="G61" s="435">
        <v>2</v>
      </c>
      <c r="H61" s="367" t="s">
        <v>9</v>
      </c>
      <c r="I61" s="447">
        <v>0</v>
      </c>
      <c r="J61" s="448">
        <v>1</v>
      </c>
      <c r="K61" s="407" t="s">
        <v>52</v>
      </c>
      <c r="L61" s="407" t="s">
        <v>49</v>
      </c>
      <c r="M61" s="407"/>
      <c r="O61" s="458">
        <v>4</v>
      </c>
      <c r="P61" s="877" t="s">
        <v>225</v>
      </c>
      <c r="Q61" s="877"/>
      <c r="R61" s="877"/>
      <c r="S61" s="877"/>
      <c r="T61" s="878"/>
      <c r="V61" s="352" t="s">
        <v>132</v>
      </c>
      <c r="W61" s="352" t="s">
        <v>191</v>
      </c>
      <c r="X61" s="352" t="str">
        <f t="shared" si="11"/>
        <v>Tim Krul (k)</v>
      </c>
      <c r="Y61" s="109">
        <f t="shared" si="13"/>
        <v>6</v>
      </c>
      <c r="Z61" s="352" t="str">
        <f t="shared" si="14"/>
        <v>Spanje</v>
      </c>
      <c r="AA61" s="352" t="str">
        <f t="shared" si="14"/>
        <v>Mexico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6</v>
      </c>
      <c r="AG61" s="108">
        <f t="shared" si="16"/>
        <v>1</v>
      </c>
      <c r="AH61" s="108">
        <f t="shared" si="17"/>
        <v>0</v>
      </c>
      <c r="AI61" s="108">
        <f t="shared" si="18"/>
        <v>0</v>
      </c>
      <c r="AJ61" s="108">
        <f t="shared" si="19"/>
        <v>5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3</v>
      </c>
      <c r="BB61" s="139">
        <f t="shared" si="22"/>
        <v>3</v>
      </c>
    </row>
    <row r="62" spans="2:54">
      <c r="B62" s="376">
        <v>52</v>
      </c>
      <c r="C62" s="466">
        <v>41819</v>
      </c>
      <c r="D62" s="464" t="str">
        <f t="shared" si="23"/>
        <v>Engeland</v>
      </c>
      <c r="E62" s="379" t="s">
        <v>9</v>
      </c>
      <c r="F62" s="409" t="str">
        <f t="shared" si="24"/>
        <v>Japan</v>
      </c>
      <c r="G62" s="437">
        <v>2</v>
      </c>
      <c r="H62" s="379" t="s">
        <v>9</v>
      </c>
      <c r="I62" s="449">
        <v>1</v>
      </c>
      <c r="J62" s="450">
        <v>1</v>
      </c>
      <c r="K62" s="407" t="s">
        <v>62</v>
      </c>
      <c r="L62" s="407" t="s">
        <v>58</v>
      </c>
      <c r="M62" s="407"/>
      <c r="O62" s="458">
        <v>5</v>
      </c>
      <c r="P62" s="877" t="s">
        <v>214</v>
      </c>
      <c r="Q62" s="877"/>
      <c r="R62" s="877"/>
      <c r="S62" s="877"/>
      <c r="T62" s="878"/>
      <c r="V62" s="352" t="s">
        <v>132</v>
      </c>
      <c r="W62" s="352" t="s">
        <v>192</v>
      </c>
      <c r="X62" s="352" t="str">
        <f t="shared" si="11"/>
        <v>Maarten Stekelenburg (k)</v>
      </c>
      <c r="Y62" s="109">
        <f t="shared" si="13"/>
        <v>1</v>
      </c>
      <c r="Z62" s="352" t="str">
        <f t="shared" si="14"/>
        <v>Engeland</v>
      </c>
      <c r="AA62" s="352" t="str">
        <f t="shared" si="14"/>
        <v>Japan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1</v>
      </c>
      <c r="AG62" s="108">
        <f t="shared" si="16"/>
        <v>0</v>
      </c>
      <c r="AH62" s="108">
        <f t="shared" si="17"/>
        <v>1</v>
      </c>
      <c r="AI62" s="108">
        <f t="shared" si="18"/>
        <v>0</v>
      </c>
      <c r="AJ62" s="108">
        <f t="shared" si="19"/>
        <v>0</v>
      </c>
      <c r="AK62" s="108">
        <f t="shared" si="20"/>
        <v>0</v>
      </c>
      <c r="AL62" s="108">
        <f t="shared" si="21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2"/>
        <v>3</v>
      </c>
    </row>
    <row r="63" spans="2:54">
      <c r="B63" s="364">
        <v>53</v>
      </c>
      <c r="C63" s="465">
        <v>41820</v>
      </c>
      <c r="D63" s="459" t="str">
        <f t="shared" si="23"/>
        <v>Frankrijk</v>
      </c>
      <c r="E63" s="367" t="s">
        <v>9</v>
      </c>
      <c r="F63" s="406" t="str">
        <f t="shared" si="24"/>
        <v>Bosnië H.</v>
      </c>
      <c r="G63" s="435">
        <v>2</v>
      </c>
      <c r="H63" s="367" t="s">
        <v>9</v>
      </c>
      <c r="I63" s="447">
        <v>0</v>
      </c>
      <c r="J63" s="448">
        <v>1</v>
      </c>
      <c r="K63" s="407" t="s">
        <v>67</v>
      </c>
      <c r="L63" s="407" t="s">
        <v>73</v>
      </c>
      <c r="M63" s="407"/>
      <c r="O63" s="458">
        <v>6</v>
      </c>
      <c r="P63" s="877" t="s">
        <v>216</v>
      </c>
      <c r="Q63" s="877"/>
      <c r="R63" s="877"/>
      <c r="S63" s="877"/>
      <c r="T63" s="878"/>
      <c r="V63" s="352" t="s">
        <v>132</v>
      </c>
      <c r="W63" s="352" t="s">
        <v>193</v>
      </c>
      <c r="X63" s="352" t="str">
        <f t="shared" si="11"/>
        <v>Michel Vorm (k)</v>
      </c>
      <c r="Y63" s="109">
        <f t="shared" si="13"/>
        <v>10</v>
      </c>
      <c r="Z63" s="352" t="str">
        <f t="shared" si="14"/>
        <v>Frankrijk</v>
      </c>
      <c r="AA63" s="352" t="str">
        <f t="shared" si="14"/>
        <v>Bosnië H.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10</v>
      </c>
      <c r="AG63" s="108">
        <f t="shared" si="16"/>
        <v>1</v>
      </c>
      <c r="AH63" s="108">
        <f t="shared" si="17"/>
        <v>1</v>
      </c>
      <c r="AI63" s="108">
        <f t="shared" si="18"/>
        <v>10</v>
      </c>
      <c r="AJ63" s="108">
        <f t="shared" si="19"/>
        <v>5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3</v>
      </c>
      <c r="BB63" s="139">
        <f t="shared" si="22"/>
        <v>3</v>
      </c>
    </row>
    <row r="64" spans="2:54">
      <c r="B64" s="376">
        <v>54</v>
      </c>
      <c r="C64" s="466">
        <v>41820</v>
      </c>
      <c r="D64" s="460" t="str">
        <f t="shared" si="23"/>
        <v>Portugal</v>
      </c>
      <c r="E64" s="379" t="s">
        <v>9</v>
      </c>
      <c r="F64" s="409" t="str">
        <f t="shared" si="24"/>
        <v>België</v>
      </c>
      <c r="G64" s="437">
        <v>1</v>
      </c>
      <c r="H64" s="379" t="s">
        <v>9</v>
      </c>
      <c r="I64" s="449">
        <v>2</v>
      </c>
      <c r="J64" s="450">
        <v>2</v>
      </c>
      <c r="K64" s="407" t="s">
        <v>77</v>
      </c>
      <c r="L64" s="407" t="s">
        <v>83</v>
      </c>
      <c r="M64" s="407"/>
      <c r="O64" s="458">
        <v>7</v>
      </c>
      <c r="P64" s="877" t="s">
        <v>215</v>
      </c>
      <c r="Q64" s="877"/>
      <c r="R64" s="877"/>
      <c r="S64" s="877"/>
      <c r="T64" s="878"/>
      <c r="V64" s="352" t="s">
        <v>133</v>
      </c>
      <c r="W64" s="352" t="s">
        <v>112</v>
      </c>
      <c r="X64" s="352" t="str">
        <f t="shared" si="11"/>
        <v>Joël Veltman (v)</v>
      </c>
      <c r="Y64" s="109">
        <f t="shared" si="13"/>
        <v>0</v>
      </c>
      <c r="Z64" s="352" t="str">
        <f t="shared" si="14"/>
        <v>Portugal</v>
      </c>
      <c r="AA64" s="352" t="str">
        <f t="shared" si="14"/>
        <v>België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0</v>
      </c>
      <c r="AG64" s="108">
        <f t="shared" si="16"/>
        <v>0</v>
      </c>
      <c r="AH64" s="108">
        <f t="shared" si="17"/>
        <v>0</v>
      </c>
      <c r="AI64" s="108">
        <f t="shared" si="18"/>
        <v>0</v>
      </c>
      <c r="AJ64" s="108">
        <f t="shared" si="19"/>
        <v>0</v>
      </c>
      <c r="AK64" s="108">
        <f t="shared" si="20"/>
        <v>0</v>
      </c>
      <c r="AL64" s="108">
        <f t="shared" si="21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2"/>
        <v>3</v>
      </c>
    </row>
    <row r="65" spans="2:54">
      <c r="B65" s="370">
        <v>55</v>
      </c>
      <c r="C65" s="467">
        <v>41821</v>
      </c>
      <c r="D65" s="459" t="str">
        <f t="shared" si="23"/>
        <v>Argentinië</v>
      </c>
      <c r="E65" s="373" t="s">
        <v>9</v>
      </c>
      <c r="F65" s="410" t="str">
        <f t="shared" si="24"/>
        <v>Zwitserland</v>
      </c>
      <c r="G65" s="436">
        <v>3</v>
      </c>
      <c r="H65" s="373" t="s">
        <v>9</v>
      </c>
      <c r="I65" s="451">
        <v>1</v>
      </c>
      <c r="J65" s="452">
        <v>1</v>
      </c>
      <c r="K65" s="407" t="s">
        <v>72</v>
      </c>
      <c r="L65" s="407" t="s">
        <v>68</v>
      </c>
      <c r="M65" s="407"/>
      <c r="O65" s="458">
        <v>8</v>
      </c>
      <c r="P65" s="877" t="s">
        <v>221</v>
      </c>
      <c r="Q65" s="877"/>
      <c r="R65" s="877"/>
      <c r="S65" s="877"/>
      <c r="T65" s="878"/>
      <c r="V65" s="352" t="s">
        <v>133</v>
      </c>
      <c r="W65" s="352" t="s">
        <v>109</v>
      </c>
      <c r="X65" s="352" t="str">
        <f t="shared" si="11"/>
        <v>Daley Blind (v)</v>
      </c>
      <c r="Y65" s="109">
        <f t="shared" si="13"/>
        <v>0</v>
      </c>
      <c r="Z65" s="352" t="str">
        <f t="shared" si="14"/>
        <v>Argentinië</v>
      </c>
      <c r="AA65" s="352" t="str">
        <f t="shared" si="14"/>
        <v>Zwitserland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0</v>
      </c>
      <c r="AG65" s="108">
        <f t="shared" si="16"/>
        <v>0</v>
      </c>
      <c r="AH65" s="108">
        <f t="shared" si="17"/>
        <v>0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0</v>
      </c>
      <c r="AZ65" s="138" t="str">
        <f>Uitslag!P65</f>
        <v>Nigel de Jong (m)</v>
      </c>
      <c r="BA65" s="140">
        <f t="shared" si="12"/>
        <v>0</v>
      </c>
      <c r="BB65" s="139">
        <f t="shared" si="22"/>
        <v>0</v>
      </c>
    </row>
    <row r="66" spans="2:54" ht="15.75" thickBot="1">
      <c r="B66" s="385">
        <v>56</v>
      </c>
      <c r="C66" s="462">
        <v>41821</v>
      </c>
      <c r="D66" s="461" t="str">
        <f t="shared" si="23"/>
        <v>Rusland</v>
      </c>
      <c r="E66" s="388" t="s">
        <v>9</v>
      </c>
      <c r="F66" s="412" t="str">
        <f t="shared" si="24"/>
        <v>Duitsland</v>
      </c>
      <c r="G66" s="438">
        <v>1</v>
      </c>
      <c r="H66" s="388" t="s">
        <v>9</v>
      </c>
      <c r="I66" s="453">
        <v>2</v>
      </c>
      <c r="J66" s="454">
        <v>2</v>
      </c>
      <c r="K66" s="407" t="s">
        <v>82</v>
      </c>
      <c r="L66" s="407" t="s">
        <v>78</v>
      </c>
      <c r="M66" s="407"/>
      <c r="O66" s="458">
        <v>9</v>
      </c>
      <c r="P66" s="877" t="s">
        <v>213</v>
      </c>
      <c r="Q66" s="877"/>
      <c r="R66" s="877"/>
      <c r="S66" s="877"/>
      <c r="T66" s="878"/>
      <c r="V66" s="352" t="s">
        <v>133</v>
      </c>
      <c r="W66" s="352" t="s">
        <v>115</v>
      </c>
      <c r="X66" s="352" t="str">
        <f t="shared" si="11"/>
        <v>Daryl Janmaat (v)</v>
      </c>
      <c r="Y66" s="109">
        <f t="shared" si="13"/>
        <v>0</v>
      </c>
      <c r="Z66" s="352" t="str">
        <f>IF(K66=""," ",VLOOKUP(K66,$T$9:$V$54,3,FALSE))</f>
        <v>Rusland</v>
      </c>
      <c r="AA66" s="352" t="str">
        <f>IF(L66=""," ",VLOOKUP(L66,$T$9:$V$54,3,FALSE))</f>
        <v>Duitsland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0</v>
      </c>
      <c r="AG66" s="108">
        <f t="shared" si="16"/>
        <v>0</v>
      </c>
      <c r="AH66" s="108">
        <f t="shared" si="17"/>
        <v>0</v>
      </c>
      <c r="AI66" s="108">
        <f t="shared" si="18"/>
        <v>0</v>
      </c>
      <c r="AJ66" s="108">
        <f t="shared" si="19"/>
        <v>0</v>
      </c>
      <c r="AK66" s="108">
        <f t="shared" si="20"/>
        <v>0</v>
      </c>
      <c r="AL66" s="108">
        <f t="shared" si="21"/>
        <v>0</v>
      </c>
      <c r="AZ66" s="138" t="str">
        <f>Uitslag!P66</f>
        <v>Jonathan de Guzman (m)</v>
      </c>
      <c r="BA66" s="140">
        <f t="shared" si="12"/>
        <v>3</v>
      </c>
      <c r="BB66" s="139">
        <f t="shared" si="22"/>
        <v>3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O67" s="458">
        <v>10</v>
      </c>
      <c r="P67" s="877" t="s">
        <v>212</v>
      </c>
      <c r="Q67" s="877"/>
      <c r="R67" s="877"/>
      <c r="S67" s="877"/>
      <c r="T67" s="878"/>
      <c r="V67" s="352" t="s">
        <v>133</v>
      </c>
      <c r="W67" s="352" t="s">
        <v>118</v>
      </c>
      <c r="X67" s="352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2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79"/>
      <c r="K68" s="353"/>
      <c r="L68" s="353"/>
      <c r="M68" s="353"/>
      <c r="O68" s="458">
        <v>11</v>
      </c>
      <c r="P68" s="877" t="s">
        <v>211</v>
      </c>
      <c r="Q68" s="877"/>
      <c r="R68" s="877"/>
      <c r="S68" s="877"/>
      <c r="T68" s="878"/>
      <c r="V68" s="352" t="s">
        <v>133</v>
      </c>
      <c r="W68" s="352" t="s">
        <v>119</v>
      </c>
      <c r="X68" s="352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2"/>
        <v>3</v>
      </c>
    </row>
    <row r="69" spans="2:54">
      <c r="B69" s="428" t="s">
        <v>1</v>
      </c>
      <c r="C69" s="429" t="s">
        <v>2</v>
      </c>
      <c r="D69" s="476" t="s">
        <v>3</v>
      </c>
      <c r="E69" s="431"/>
      <c r="F69" s="477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V69" s="352" t="s">
        <v>133</v>
      </c>
      <c r="W69" s="352" t="s">
        <v>121</v>
      </c>
      <c r="X69" s="352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30</v>
      </c>
      <c r="BB69" s="139" t="str">
        <f>IF(AND(BA69&lt;&gt;"",BA69=33),15,"nvt")</f>
        <v>nvt</v>
      </c>
    </row>
    <row r="70" spans="2:54">
      <c r="B70" s="364">
        <v>57</v>
      </c>
      <c r="C70" s="365">
        <v>41824</v>
      </c>
      <c r="D70" s="405" t="str">
        <f>IF(J63="","Winnaar 53",IF(J63=1,D63,F63))</f>
        <v>Frankrijk</v>
      </c>
      <c r="E70" s="367" t="s">
        <v>9</v>
      </c>
      <c r="F70" s="406" t="str">
        <f>IF(J64="","Winnaar 54",IF(J64=1,D64,F64))</f>
        <v>België</v>
      </c>
      <c r="G70" s="435">
        <v>3</v>
      </c>
      <c r="H70" s="367" t="s">
        <v>9</v>
      </c>
      <c r="I70" s="447">
        <v>1</v>
      </c>
      <c r="J70" s="448">
        <v>1</v>
      </c>
      <c r="K70" s="353"/>
      <c r="L70" s="353"/>
      <c r="M70" s="353"/>
      <c r="V70" s="352" t="s">
        <v>133</v>
      </c>
      <c r="W70" s="352" t="s">
        <v>126</v>
      </c>
      <c r="X70" s="352" t="str">
        <f t="shared" si="11"/>
        <v>Karim Rekik (v)</v>
      </c>
      <c r="Y70" s="109">
        <f>AF70</f>
        <v>1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1</v>
      </c>
      <c r="AG70" s="108">
        <f>IF(AC70="",0,(IF(G70=AC70,1,0)))</f>
        <v>0</v>
      </c>
      <c r="AH70" s="108">
        <f>IF(AD70="",0,(IF(I70=AD70,1,0)))</f>
        <v>1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0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Nederland</v>
      </c>
      <c r="E71" s="379" t="s">
        <v>9</v>
      </c>
      <c r="F71" s="409" t="str">
        <f>IF(J60="","Winnaar 50",IF(J60=1,D60,F60))</f>
        <v>Italië</v>
      </c>
      <c r="G71" s="437">
        <v>2</v>
      </c>
      <c r="H71" s="379" t="s">
        <v>9</v>
      </c>
      <c r="I71" s="449">
        <v>1</v>
      </c>
      <c r="J71" s="450">
        <v>1</v>
      </c>
      <c r="K71" s="353"/>
      <c r="L71" s="353"/>
      <c r="M71" s="353"/>
      <c r="V71" s="352" t="s">
        <v>133</v>
      </c>
      <c r="W71" s="352" t="s">
        <v>194</v>
      </c>
      <c r="X71" s="352" t="str">
        <f t="shared" si="11"/>
        <v>Ron Vlaar (v)</v>
      </c>
      <c r="Y71" s="109">
        <f>AF71</f>
        <v>10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10</v>
      </c>
      <c r="AG71" s="108">
        <f>IF(AC71="",0,(IF(G71=AC71,1,0)))</f>
        <v>1</v>
      </c>
      <c r="AH71" s="108">
        <f>IF(AD71="",0,(IF(I71=AD71,1,0)))</f>
        <v>1</v>
      </c>
      <c r="AI71" s="108">
        <f>IF(AND(AG71=1,AH71=1),10,0)</f>
        <v>10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Argentinië</v>
      </c>
      <c r="E72" s="367" t="s">
        <v>9</v>
      </c>
      <c r="F72" s="406" t="str">
        <f>IF(J66="","Winnaar 56",IF(J66=1,D66,F66))</f>
        <v>Duitsland</v>
      </c>
      <c r="G72" s="435">
        <v>1</v>
      </c>
      <c r="H72" s="367" t="s">
        <v>9</v>
      </c>
      <c r="I72" s="447">
        <v>2</v>
      </c>
      <c r="J72" s="448">
        <v>2</v>
      </c>
      <c r="K72" s="353"/>
      <c r="L72" s="353"/>
      <c r="M72" s="353"/>
      <c r="V72" s="352" t="s">
        <v>133</v>
      </c>
      <c r="W72" s="352" t="s">
        <v>195</v>
      </c>
      <c r="X72" s="352" t="str">
        <f t="shared" si="11"/>
        <v>John Heitinga (v)</v>
      </c>
      <c r="Y72" s="109">
        <f>AF72</f>
        <v>1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1</v>
      </c>
      <c r="AG72" s="108">
        <f>IF(AC72="",0,(IF(G72=AC72,1,0)))</f>
        <v>1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0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Spanje</v>
      </c>
      <c r="E73" s="388" t="s">
        <v>9</v>
      </c>
      <c r="F73" s="412" t="str">
        <f>IF(J62="","Winnaar 52",IF(J62=1,D62,F62))</f>
        <v>Engeland</v>
      </c>
      <c r="G73" s="438">
        <v>3</v>
      </c>
      <c r="H73" s="388" t="s">
        <v>9</v>
      </c>
      <c r="I73" s="453">
        <v>1</v>
      </c>
      <c r="J73" s="454">
        <v>1</v>
      </c>
      <c r="K73" s="353"/>
      <c r="L73" s="353"/>
      <c r="M73" s="353"/>
      <c r="V73" s="352" t="s">
        <v>133</v>
      </c>
      <c r="W73" s="352" t="s">
        <v>196</v>
      </c>
      <c r="X73" s="352" t="str">
        <f t="shared" si="11"/>
        <v>Urby Emanuelson (v)</v>
      </c>
      <c r="Y73" s="109">
        <f>AF73</f>
        <v>0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0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V74" s="352" t="s">
        <v>133</v>
      </c>
      <c r="W74" s="352" t="s">
        <v>197</v>
      </c>
      <c r="X74" s="352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79"/>
      <c r="K75" s="353"/>
      <c r="L75" s="353"/>
      <c r="M75" s="353"/>
      <c r="V75" s="352" t="s">
        <v>133</v>
      </c>
      <c r="W75" s="352" t="s">
        <v>198</v>
      </c>
      <c r="X75" s="352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76" t="s">
        <v>3</v>
      </c>
      <c r="E76" s="431"/>
      <c r="F76" s="477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V76" s="352" t="s">
        <v>133</v>
      </c>
      <c r="W76" s="352" t="s">
        <v>202</v>
      </c>
      <c r="X76" s="352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Frankrijk</v>
      </c>
      <c r="E77" s="367" t="s">
        <v>9</v>
      </c>
      <c r="F77" s="406" t="str">
        <f>IF(J71="","Winnaar 58",IF(J71=1,D71,F71))</f>
        <v>Nederland</v>
      </c>
      <c r="G77" s="435">
        <v>1</v>
      </c>
      <c r="H77" s="367" t="s">
        <v>9</v>
      </c>
      <c r="I77" s="447">
        <v>2</v>
      </c>
      <c r="J77" s="448">
        <v>2</v>
      </c>
      <c r="K77" s="353"/>
      <c r="L77" s="353"/>
      <c r="M77" s="353"/>
      <c r="V77" s="352" t="s">
        <v>134</v>
      </c>
      <c r="W77" s="352" t="s">
        <v>203</v>
      </c>
      <c r="X77" s="352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Duitsland</v>
      </c>
      <c r="E78" s="388" t="s">
        <v>9</v>
      </c>
      <c r="F78" s="412" t="str">
        <f>IF(J73="","Winnaar 60",IF(J73=1,D73,F73))</f>
        <v>Spanje</v>
      </c>
      <c r="G78" s="438">
        <v>0</v>
      </c>
      <c r="H78" s="388" t="s">
        <v>9</v>
      </c>
      <c r="I78" s="453">
        <v>2</v>
      </c>
      <c r="J78" s="454">
        <v>2</v>
      </c>
      <c r="K78" s="353"/>
      <c r="L78" s="353"/>
      <c r="M78" s="353"/>
      <c r="V78" s="352" t="s">
        <v>134</v>
      </c>
      <c r="W78" s="352" t="s">
        <v>199</v>
      </c>
      <c r="X78" s="352" t="str">
        <f t="shared" si="11"/>
        <v>Leroy Fer (m)</v>
      </c>
      <c r="Y78" s="109">
        <f>AF78</f>
        <v>1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1</v>
      </c>
      <c r="AG78" s="108">
        <f>IF(AC78="",0,(IF(G78=AC78,1,0)))</f>
        <v>1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V79" s="352" t="s">
        <v>134</v>
      </c>
      <c r="W79" s="352" t="s">
        <v>114</v>
      </c>
      <c r="X79" s="352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79"/>
      <c r="K80" s="353"/>
      <c r="L80" s="353"/>
      <c r="M80" s="353"/>
      <c r="V80" s="352" t="s">
        <v>134</v>
      </c>
      <c r="W80" s="352" t="s">
        <v>117</v>
      </c>
      <c r="X80" s="352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76" t="s">
        <v>3</v>
      </c>
      <c r="E81" s="431"/>
      <c r="F81" s="477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V81" s="352" t="s">
        <v>134</v>
      </c>
      <c r="W81" s="352" t="s">
        <v>120</v>
      </c>
      <c r="X81" s="352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Frankrijk</v>
      </c>
      <c r="E82" s="355" t="s">
        <v>9</v>
      </c>
      <c r="F82" s="415" t="str">
        <f>IF(J78="","Verliezer 62",IF(J78=1,F78,D78))</f>
        <v>Duitsland</v>
      </c>
      <c r="G82" s="455">
        <v>0</v>
      </c>
      <c r="H82" s="355" t="s">
        <v>9</v>
      </c>
      <c r="I82" s="456">
        <v>2</v>
      </c>
      <c r="J82" s="457">
        <v>2</v>
      </c>
      <c r="K82" s="353"/>
      <c r="L82" s="353"/>
      <c r="M82" s="353"/>
      <c r="V82" s="352" t="s">
        <v>134</v>
      </c>
      <c r="W82" s="352" t="s">
        <v>125</v>
      </c>
      <c r="X82" s="352" t="str">
        <f t="shared" si="11"/>
        <v>Georginio Wijnaldum (m)</v>
      </c>
      <c r="Y82" s="109">
        <f>AF82</f>
        <v>6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6</v>
      </c>
      <c r="AG82" s="108">
        <f>IF(AC82="",0,(IF(G82=AC82,1,0)))</f>
        <v>1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5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V83" s="352" t="s">
        <v>134</v>
      </c>
      <c r="W83" s="352" t="s">
        <v>136</v>
      </c>
      <c r="X83" s="352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79"/>
      <c r="K84" s="353"/>
      <c r="L84" s="353"/>
      <c r="M84" s="353"/>
      <c r="V84" s="352" t="s">
        <v>134</v>
      </c>
      <c r="W84" s="352" t="s">
        <v>137</v>
      </c>
      <c r="X84" s="352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76" t="s">
        <v>3</v>
      </c>
      <c r="E85" s="431"/>
      <c r="F85" s="477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V85" s="352" t="s">
        <v>134</v>
      </c>
      <c r="W85" s="352" t="s">
        <v>138</v>
      </c>
      <c r="X85" s="352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Nederland</v>
      </c>
      <c r="E86" s="355" t="s">
        <v>9</v>
      </c>
      <c r="F86" s="415" t="str">
        <f>IF(J78="","Winnaar 62",IF(J78=1,D78,F78))</f>
        <v>Spanje</v>
      </c>
      <c r="G86" s="455">
        <v>2</v>
      </c>
      <c r="H86" s="355" t="s">
        <v>9</v>
      </c>
      <c r="I86" s="456">
        <v>0</v>
      </c>
      <c r="J86" s="457">
        <v>1</v>
      </c>
      <c r="K86" s="353"/>
      <c r="L86" s="353"/>
      <c r="M86" s="353"/>
      <c r="V86" s="352" t="s">
        <v>134</v>
      </c>
      <c r="W86" s="352" t="s">
        <v>139</v>
      </c>
      <c r="X86" s="352" t="str">
        <f t="shared" si="11"/>
        <v>Nigel de Jong (m)</v>
      </c>
      <c r="Y86" s="109">
        <f>AF86</f>
        <v>1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1</v>
      </c>
      <c r="AG86" s="108">
        <f>IF(AC86="",0,(IF(G86=AC86,1,0)))</f>
        <v>0</v>
      </c>
      <c r="AH86" s="108">
        <f>IF(AD86="",0,(IF(I86=AD86,1,0)))</f>
        <v>1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353"/>
      <c r="C87" s="129"/>
      <c r="D87" s="392"/>
      <c r="E87" s="353"/>
      <c r="F87" s="392"/>
      <c r="G87" s="353"/>
      <c r="H87" s="353"/>
      <c r="I87" s="353"/>
      <c r="J87" s="353"/>
      <c r="K87" s="353"/>
      <c r="L87" s="353"/>
      <c r="M87" s="353"/>
      <c r="V87" s="352" t="s">
        <v>135</v>
      </c>
      <c r="W87" s="352" t="s">
        <v>205</v>
      </c>
      <c r="X87" s="352" t="str">
        <f t="shared" si="11"/>
        <v>Ricky van Wolfswinkel (a)</v>
      </c>
      <c r="AP87" s="136" t="s">
        <v>102</v>
      </c>
    </row>
    <row r="88" spans="2:50">
      <c r="B88" s="353"/>
      <c r="C88" s="129"/>
      <c r="D88" s="392"/>
      <c r="E88" s="353"/>
      <c r="F88" s="392"/>
      <c r="G88" s="353"/>
      <c r="H88" s="353"/>
      <c r="I88" s="353"/>
      <c r="J88" s="353"/>
      <c r="K88" s="353"/>
      <c r="L88" s="353"/>
      <c r="M88" s="353"/>
      <c r="V88" s="352" t="s">
        <v>135</v>
      </c>
      <c r="W88" s="352" t="s">
        <v>204</v>
      </c>
      <c r="X88" s="352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458"/>
    </row>
    <row r="89" spans="2:50" ht="20.25">
      <c r="C89" s="874" t="s">
        <v>101</v>
      </c>
      <c r="D89" s="871"/>
      <c r="E89" s="873" t="str">
        <f>IF(J86=1,D86,IF(J86=2,F86,"Wie zal het worden?"))</f>
        <v>Nederland</v>
      </c>
      <c r="F89" s="873"/>
      <c r="G89" s="873"/>
      <c r="H89" s="873"/>
      <c r="I89" s="873"/>
      <c r="J89" s="873"/>
      <c r="K89" s="353"/>
      <c r="L89" s="353"/>
      <c r="M89" s="353"/>
      <c r="V89" s="352" t="s">
        <v>135</v>
      </c>
      <c r="W89" s="352" t="s">
        <v>201</v>
      </c>
      <c r="X89" s="352" t="str">
        <f t="shared" si="11"/>
        <v>Jermain Lens (a)</v>
      </c>
      <c r="AP89" s="109">
        <f>AU89</f>
        <v>5</v>
      </c>
      <c r="AQ89" s="131">
        <v>1</v>
      </c>
      <c r="AR89" s="904" t="str">
        <f>Uitslag!E89</f>
        <v>Duitsland</v>
      </c>
      <c r="AS89" s="905"/>
      <c r="AT89" s="906"/>
      <c r="AU89" s="352">
        <f>SUM(AV89:AX89)</f>
        <v>5</v>
      </c>
      <c r="AV89" s="352">
        <f>IF(AR89=0,0,IF(E89=AR89,50,0))</f>
        <v>0</v>
      </c>
      <c r="AW89" s="352">
        <f>IF(E89=0,0,IF(OR(E89=AR90),15,0))</f>
        <v>0</v>
      </c>
      <c r="AX89" s="352">
        <f>IF(E89=0,0,IF(OR(E89=AR91,E89=AR92),5,0))</f>
        <v>5</v>
      </c>
    </row>
    <row r="90" spans="2:50">
      <c r="C90" s="870">
        <v>2</v>
      </c>
      <c r="D90" s="871"/>
      <c r="E90" s="872" t="str">
        <f>IF(J86=2,D86,IF(J86=1,F86,"Wie wordt 2de?"))</f>
        <v>Spanje</v>
      </c>
      <c r="F90" s="872"/>
      <c r="G90" s="872"/>
      <c r="H90" s="872"/>
      <c r="I90" s="872"/>
      <c r="J90" s="872"/>
      <c r="V90" s="352" t="s">
        <v>135</v>
      </c>
      <c r="W90" s="352" t="s">
        <v>200</v>
      </c>
      <c r="X90" s="352" t="str">
        <f t="shared" si="11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 s="352">
        <f>SUM(AV90:AX90)</f>
        <v>0</v>
      </c>
      <c r="AV90" s="352">
        <f>IF(AR90=0,0,IF(AR90=E90,25,0))</f>
        <v>0</v>
      </c>
      <c r="AW90" s="352">
        <f>IF(E90=0,0,IF(OR(E90=AR89,),15,0))</f>
        <v>0</v>
      </c>
      <c r="AX90" s="352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Duitsland</v>
      </c>
      <c r="F91" s="872"/>
      <c r="G91" s="872"/>
      <c r="H91" s="872"/>
      <c r="I91" s="872"/>
      <c r="J91" s="872"/>
      <c r="V91" s="352" t="s">
        <v>135</v>
      </c>
      <c r="W91" s="352" t="s">
        <v>128</v>
      </c>
      <c r="X91" s="352" t="str">
        <f t="shared" si="11"/>
        <v>Jürgen Locadia (a)</v>
      </c>
      <c r="AP91" s="109">
        <f>AU91</f>
        <v>5</v>
      </c>
      <c r="AQ91" s="131">
        <v>3</v>
      </c>
      <c r="AR91" s="904" t="str">
        <f>Uitslag!E91</f>
        <v>Nederland</v>
      </c>
      <c r="AS91" s="905"/>
      <c r="AT91" s="906"/>
      <c r="AU91" s="352">
        <f>SUM(AV91:AX91)</f>
        <v>5</v>
      </c>
      <c r="AV91" s="352">
        <f>IF(AR91=0,0,IF(AR91=E91,15,0))</f>
        <v>0</v>
      </c>
      <c r="AW91" s="352">
        <f>IF(E91=0,0,IF(OR(E91=AR92),10,0))</f>
        <v>0</v>
      </c>
      <c r="AX91" s="352">
        <f>IF(E91=0,0,IF(OR(E91=AR89,E91=AR90),5,0))</f>
        <v>5</v>
      </c>
    </row>
    <row r="92" spans="2:50">
      <c r="C92" s="870">
        <v>4</v>
      </c>
      <c r="D92" s="871"/>
      <c r="E92" s="872" t="str">
        <f>IF(J82=2,D82,IF(J82=1,F82,"Wie wordt 4de?"))</f>
        <v>Frankrijk</v>
      </c>
      <c r="F92" s="872"/>
      <c r="G92" s="872"/>
      <c r="H92" s="872"/>
      <c r="I92" s="872"/>
      <c r="J92" s="872"/>
      <c r="V92" s="352" t="s">
        <v>135</v>
      </c>
      <c r="W92" s="352" t="s">
        <v>127</v>
      </c>
      <c r="X92" s="35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 s="352">
        <f>SUM(AV92:AX92)</f>
        <v>0</v>
      </c>
      <c r="AV92" s="352">
        <f>IF(AR92=0,0,IF(AR92=E92,15,0))</f>
        <v>0</v>
      </c>
      <c r="AW92" s="352">
        <f>IF(E92=0,0,IF(OR(E92=AR91,),10,0))</f>
        <v>0</v>
      </c>
      <c r="AX92" s="352">
        <f>IF(E92=0,0,IF(OR(E92=AR89,E92=AR90),5,0))</f>
        <v>0</v>
      </c>
    </row>
    <row r="93" spans="2:50" ht="15.75" thickBot="1">
      <c r="V93" s="352" t="s">
        <v>135</v>
      </c>
      <c r="W93" s="352" t="s">
        <v>123</v>
      </c>
      <c r="X93" s="352" t="str">
        <f t="shared" si="11"/>
        <v>Quincy Promes (a)</v>
      </c>
      <c r="AS93" s="132"/>
      <c r="AU93" s="133">
        <f>SUM(AU89:AU92)</f>
        <v>10</v>
      </c>
    </row>
    <row r="94" spans="2:50" ht="15.75" thickTop="1">
      <c r="V94" s="352" t="s">
        <v>135</v>
      </c>
      <c r="W94" s="352" t="s">
        <v>122</v>
      </c>
      <c r="X94" s="352" t="str">
        <f t="shared" si="11"/>
        <v>Luc Castaignos (a)</v>
      </c>
    </row>
    <row r="95" spans="2:50">
      <c r="V95" s="352" t="s">
        <v>135</v>
      </c>
      <c r="W95" s="352" t="s">
        <v>113</v>
      </c>
      <c r="X95" s="352" t="str">
        <f t="shared" si="11"/>
        <v>Jean-Paul Boëtius (a)</v>
      </c>
    </row>
    <row r="96" spans="2:50">
      <c r="V96" s="352" t="s">
        <v>135</v>
      </c>
      <c r="W96" s="352" t="s">
        <v>129</v>
      </c>
      <c r="X96" s="352" t="str">
        <f t="shared" si="11"/>
        <v>Luciano Narsingh (a)</v>
      </c>
    </row>
    <row r="97" spans="22:24">
      <c r="V97" s="352" t="s">
        <v>135</v>
      </c>
      <c r="W97" s="352" t="s">
        <v>130</v>
      </c>
      <c r="X97" s="352" t="str">
        <f t="shared" si="11"/>
        <v>Robin van Persie (a)</v>
      </c>
    </row>
    <row r="98" spans="22:24">
      <c r="V98" s="352" t="s">
        <v>135</v>
      </c>
      <c r="W98" s="352" t="s">
        <v>131</v>
      </c>
      <c r="X98" s="352" t="str">
        <f t="shared" si="11"/>
        <v>Arjen Robben (a)</v>
      </c>
    </row>
  </sheetData>
  <mergeCells count="36">
    <mergeCell ref="C91:D91"/>
    <mergeCell ref="E91:J91"/>
    <mergeCell ref="AR91:AT91"/>
    <mergeCell ref="C92:D92"/>
    <mergeCell ref="E92:J92"/>
    <mergeCell ref="AR92:AT92"/>
    <mergeCell ref="C89:D89"/>
    <mergeCell ref="E89:J89"/>
    <mergeCell ref="AR89:AT89"/>
    <mergeCell ref="C90:D90"/>
    <mergeCell ref="E90:J90"/>
    <mergeCell ref="AR90:AT90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</mergeCells>
  <conditionalFormatting sqref="AO9:AO12 AO15:AO18 AO21:AO24 AO27:AO30 AO33:AO36 AO39:AO42 AO45:AO48 AO51:AO54">
    <cfRule type="cellIs" dxfId="74" priority="3" operator="equal">
      <formula>10</formula>
    </cfRule>
  </conditionalFormatting>
  <conditionalFormatting sqref="P58:T58">
    <cfRule type="duplicateValues" dxfId="73" priority="2"/>
  </conditionalFormatting>
  <conditionalFormatting sqref="P58:T68">
    <cfRule type="duplicateValues" dxfId="72" priority="1"/>
  </conditionalFormatting>
  <dataValidations count="10">
    <dataValidation type="list" allowBlank="1" showInputMessage="1" showErrorMessage="1" sqref="T51:T54">
      <formula1>$W$51:$W$54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P58:P68">
      <formula1>$X$58:$X$98</formula1>
    </dataValidation>
  </dataValidation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>
  <dimension ref="B1:BB98"/>
  <sheetViews>
    <sheetView topLeftCell="A55" zoomScale="70" zoomScaleNormal="70" workbookViewId="0">
      <selection activeCell="G60" sqref="G60"/>
    </sheetView>
  </sheetViews>
  <sheetFormatPr defaultRowHeight="15" outlineLevelCol="2"/>
  <cols>
    <col min="1" max="1" width="3.42578125" style="352" customWidth="1"/>
    <col min="2" max="2" width="3.5703125" style="352" bestFit="1" customWidth="1"/>
    <col min="3" max="3" width="11.5703125" style="123" bestFit="1" customWidth="1"/>
    <col min="4" max="4" width="19.7109375" style="352" bestFit="1" customWidth="1"/>
    <col min="5" max="5" width="3.42578125" style="352" customWidth="1"/>
    <col min="6" max="6" width="19.7109375" style="352" bestFit="1" customWidth="1"/>
    <col min="7" max="7" width="6.7109375" style="352" customWidth="1"/>
    <col min="8" max="8" width="1.5703125" style="352" bestFit="1" customWidth="1"/>
    <col min="9" max="9" width="6.7109375" style="352" customWidth="1"/>
    <col min="10" max="10" width="6.85546875" style="352" bestFit="1" customWidth="1"/>
    <col min="11" max="13" width="9.140625" style="352" hidden="1" customWidth="1" outlineLevel="1"/>
    <col min="14" max="14" width="11.42578125" style="352" bestFit="1" customWidth="1" collapsed="1"/>
    <col min="15" max="15" width="14.7109375" style="352" bestFit="1" customWidth="1"/>
    <col min="16" max="16" width="12.28515625" style="352" bestFit="1" customWidth="1"/>
    <col min="17" max="17" width="8.140625" style="352" bestFit="1" customWidth="1"/>
    <col min="18" max="18" width="7.7109375" style="352" bestFit="1" customWidth="1"/>
    <col min="19" max="19" width="9.140625" style="352"/>
    <col min="20" max="20" width="8.5703125" style="352" bestFit="1" customWidth="1"/>
    <col min="21" max="21" width="9.140625" style="352"/>
    <col min="22" max="23" width="9.140625" style="352" hidden="1" customWidth="1" outlineLevel="1"/>
    <col min="24" max="24" width="2" style="352" hidden="1" customWidth="1" outlineLevel="1"/>
    <col min="25" max="25" width="12.28515625" style="352" bestFit="1" customWidth="1" collapsed="1"/>
    <col min="26" max="27" width="12.28515625" style="352" hidden="1" customWidth="1" outlineLevel="1"/>
    <col min="28" max="28" width="4.7109375" style="352" hidden="1" customWidth="1" outlineLevel="1"/>
    <col min="29" max="38" width="9.140625" style="352" hidden="1" customWidth="1" outlineLevel="1"/>
    <col min="39" max="39" width="7.42578125" style="352" bestFit="1" customWidth="1" collapsed="1"/>
    <col min="40" max="40" width="19.7109375" style="352" hidden="1" customWidth="1" outlineLevel="1"/>
    <col min="41" max="41" width="9.140625" style="352" hidden="1" customWidth="1" outlineLevel="1"/>
    <col min="42" max="42" width="9.140625" style="352" collapsed="1"/>
    <col min="43" max="49" width="9.140625" style="352" hidden="1" customWidth="1" outlineLevel="2"/>
    <col min="50" max="50" width="11.5703125" style="352" hidden="1" customWidth="1" outlineLevel="2"/>
    <col min="51" max="51" width="11.85546875" style="352" hidden="1" customWidth="1" outlineLevel="1" collapsed="1"/>
    <col min="52" max="52" width="9.42578125" style="352" hidden="1" customWidth="1" outlineLevel="1"/>
    <col min="53" max="53" width="10.5703125" style="352" hidden="1" customWidth="1" outlineLevel="1"/>
    <col min="54" max="54" width="9.140625" style="352" collapsed="1"/>
    <col min="55" max="55" width="11.85546875" style="352" bestFit="1" customWidth="1"/>
    <col min="56" max="16384" width="9.140625" style="352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297</v>
      </c>
      <c r="E3" s="335"/>
      <c r="F3" s="335"/>
      <c r="N3" s="352" t="str">
        <f>D3</f>
        <v>Jan vd H.</v>
      </c>
      <c r="O3" s="144">
        <f>SUM(P3:S3)</f>
        <v>489</v>
      </c>
      <c r="P3" s="109">
        <f>SUM(Y8:Y86)</f>
        <v>192</v>
      </c>
      <c r="Q3" s="109">
        <f>SUM(AM4:AM55)</f>
        <v>210</v>
      </c>
      <c r="R3" s="109">
        <f>SUM(AP89:AP92)</f>
        <v>60</v>
      </c>
      <c r="S3" s="109">
        <f>SUM(BB58:BB69)</f>
        <v>27</v>
      </c>
      <c r="T3" s="109">
        <f>COUNTIF(AF8:AF86,10)</f>
        <v>5</v>
      </c>
      <c r="U3" s="109" t="str">
        <f>E89</f>
        <v>Duitsland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O6" s="392"/>
      <c r="P6" s="393"/>
      <c r="Q6" s="393"/>
      <c r="R6" s="393"/>
      <c r="S6" s="393"/>
      <c r="T6" s="393"/>
      <c r="U6" s="392"/>
      <c r="V6" s="392"/>
      <c r="W6" s="392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80" t="s">
        <v>3</v>
      </c>
      <c r="E7" s="419"/>
      <c r="F7" s="481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O7" s="353"/>
      <c r="P7" s="393"/>
      <c r="Q7" s="393"/>
      <c r="R7" s="393"/>
      <c r="S7" s="393"/>
      <c r="T7" s="393"/>
      <c r="U7" s="353"/>
      <c r="V7" s="353"/>
      <c r="W7" s="353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458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4</v>
      </c>
      <c r="H8" s="360" t="s">
        <v>9</v>
      </c>
      <c r="I8" s="478">
        <v>0</v>
      </c>
      <c r="J8" s="362">
        <f t="shared" ref="J8:J55" si="0">IF(I8="","",IF(G8&gt;I8,1,IF(G8&lt;I8,2,3)))</f>
        <v>1</v>
      </c>
      <c r="K8" s="363">
        <f t="shared" ref="K8:K55" si="1">IF(I8="","",IF($G8&gt;$I8,3,IF($G8=$I8,1,0)))</f>
        <v>3</v>
      </c>
      <c r="L8" s="363">
        <f t="shared" ref="L8:L55" si="2">IF(I8="","",IF($G8&lt;$I8,3,IF($G8=$I8,1,0)))</f>
        <v>0</v>
      </c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392"/>
      <c r="V8" s="392"/>
      <c r="W8" s="392"/>
      <c r="Y8" s="109">
        <f>AF8</f>
        <v>5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5</v>
      </c>
      <c r="AG8" s="108">
        <f t="shared" ref="AG8:AG55" si="3">IF(AC8="",0,(IF(G8=AC8,1,0)))</f>
        <v>0</v>
      </c>
      <c r="AH8" s="108">
        <f t="shared" ref="AH8:AH55" si="4">IF(AD8="",0,(IF(I8=AD8,1,0)))</f>
        <v>0</v>
      </c>
      <c r="AI8" s="108">
        <f>IF(AND(AG8=1,AH8=1),10,0)</f>
        <v>0</v>
      </c>
      <c r="AJ8" s="108">
        <f t="shared" ref="AJ8:AJ55" si="5">IF(AND(G8&gt;I8,AC8&gt;AD8),5,0)</f>
        <v>5</v>
      </c>
      <c r="AK8" s="108">
        <f t="shared" ref="AK8:AK55" si="6">IF(AND(G8&lt;I8,AC8&lt;AD8),5,0)</f>
        <v>0</v>
      </c>
      <c r="AL8" s="108">
        <f t="shared" ref="AL8:AL55" si="7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2</v>
      </c>
      <c r="H9" s="367" t="s">
        <v>9</v>
      </c>
      <c r="I9" s="440">
        <v>0</v>
      </c>
      <c r="J9" s="369">
        <f t="shared" si="0"/>
        <v>1</v>
      </c>
      <c r="K9" s="363">
        <f t="shared" si="1"/>
        <v>3</v>
      </c>
      <c r="L9" s="363">
        <f t="shared" si="2"/>
        <v>0</v>
      </c>
      <c r="O9" s="394" t="s">
        <v>8</v>
      </c>
      <c r="P9" s="395">
        <f>SUMIF($D$8:$D$55,$O9,$G$8:$G$55)+SUMIF($F$8:$F$55,$O9,$I$8:$I$55)</f>
        <v>11</v>
      </c>
      <c r="Q9" s="395">
        <f>SUMIF($D$8:$D$55,$O9,$I$8:$I$55)+SUMIF($F$8:$F$55,$O9,$G$8:$G$55)</f>
        <v>1</v>
      </c>
      <c r="R9" s="396">
        <f>P9-Q9</f>
        <v>10</v>
      </c>
      <c r="S9" s="397">
        <f>SUMIF($D$8:$D$55,$O9,$K$8:$K$55)+SUMIF($F$8:$F$55,$O9,$L$8:$L$55)</f>
        <v>9</v>
      </c>
      <c r="T9" s="444" t="s">
        <v>48</v>
      </c>
      <c r="U9" s="392"/>
      <c r="V9" s="392" t="str">
        <f>O9</f>
        <v>Brazilië</v>
      </c>
      <c r="W9" s="392" t="s">
        <v>48</v>
      </c>
      <c r="Y9" s="109">
        <f t="shared" ref="Y9:Y55" si="8">AF9</f>
        <v>6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6</v>
      </c>
      <c r="AG9" s="108">
        <f t="shared" si="3"/>
        <v>0</v>
      </c>
      <c r="AH9" s="108">
        <f t="shared" si="4"/>
        <v>1</v>
      </c>
      <c r="AI9" s="108">
        <f t="shared" ref="AI9:AI55" si="10">IF(AND(AG9=1,AH9=1),10,0)</f>
        <v>0</v>
      </c>
      <c r="AJ9" s="108">
        <f t="shared" si="5"/>
        <v>5</v>
      </c>
      <c r="AK9" s="108">
        <f t="shared" si="6"/>
        <v>0</v>
      </c>
      <c r="AL9" s="108">
        <f t="shared" si="7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4</v>
      </c>
      <c r="H10" s="373" t="s">
        <v>9</v>
      </c>
      <c r="I10" s="441">
        <v>1</v>
      </c>
      <c r="J10" s="375">
        <f t="shared" si="0"/>
        <v>1</v>
      </c>
      <c r="K10" s="363">
        <f t="shared" si="1"/>
        <v>3</v>
      </c>
      <c r="L10" s="363">
        <f t="shared" si="2"/>
        <v>0</v>
      </c>
      <c r="O10" s="398" t="s">
        <v>10</v>
      </c>
      <c r="P10" s="399">
        <f>SUMIF($D$8:$D$55,$O10,$G$8:$G$55)+SUMIF($F$8:$F$55,$O10,$I$8:$I$55)</f>
        <v>4</v>
      </c>
      <c r="Q10" s="399">
        <f>SUMIF($D$8:$D$55,$O10,$I$8:$I$55)+SUMIF($F$8:$F$55,$O10,$G$8:$G$55)</f>
        <v>6</v>
      </c>
      <c r="R10" s="399">
        <f>P10-Q10</f>
        <v>-2</v>
      </c>
      <c r="S10" s="400">
        <f>SUMIF($D$8:$D$55,$O10,$K$8:$K$55)+SUMIF($F$8:$F$55,$O10,$L$8:$L$55)</f>
        <v>4</v>
      </c>
      <c r="T10" s="445" t="s">
        <v>47</v>
      </c>
      <c r="U10" s="392"/>
      <c r="V10" s="392" t="str">
        <f>O10</f>
        <v>Kroatië</v>
      </c>
      <c r="W10" s="392" t="s">
        <v>49</v>
      </c>
      <c r="Y10" s="109">
        <f t="shared" si="8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0</v>
      </c>
      <c r="AG10" s="108">
        <f t="shared" si="3"/>
        <v>0</v>
      </c>
      <c r="AH10" s="108">
        <f t="shared" si="4"/>
        <v>0</v>
      </c>
      <c r="AI10" s="108">
        <f t="shared" si="10"/>
        <v>0</v>
      </c>
      <c r="AJ10" s="108">
        <f t="shared" si="5"/>
        <v>0</v>
      </c>
      <c r="AK10" s="108">
        <f t="shared" si="6"/>
        <v>0</v>
      </c>
      <c r="AL10" s="108">
        <f t="shared" si="7"/>
        <v>0</v>
      </c>
      <c r="AM10" s="120">
        <f>AO10</f>
        <v>10</v>
      </c>
      <c r="AN10" s="117" t="s">
        <v>10</v>
      </c>
      <c r="AO10" s="115">
        <f>IF(Uitslag!T10="",0,IF(T10=Uitslag!T10,10,0))</f>
        <v>10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3</v>
      </c>
      <c r="H11" s="379" t="s">
        <v>9</v>
      </c>
      <c r="I11" s="442">
        <v>1</v>
      </c>
      <c r="J11" s="381">
        <f t="shared" si="0"/>
        <v>1</v>
      </c>
      <c r="K11" s="363">
        <f t="shared" si="1"/>
        <v>3</v>
      </c>
      <c r="L11" s="363">
        <f t="shared" si="2"/>
        <v>0</v>
      </c>
      <c r="O11" s="398" t="s">
        <v>11</v>
      </c>
      <c r="P11" s="399">
        <f>SUMIF($D$8:$D$55,$O11,$G$8:$G$55)+SUMIF($F$8:$F$55,$O11,$I$8:$I$55)</f>
        <v>5</v>
      </c>
      <c r="Q11" s="399">
        <f>SUMIF($D$8:$D$55,$O11,$I$8:$I$55)+SUMIF($F$8:$F$55,$O11,$G$8:$G$55)</f>
        <v>4</v>
      </c>
      <c r="R11" s="399">
        <f>P11-Q11</f>
        <v>1</v>
      </c>
      <c r="S11" s="400">
        <f>SUMIF($D$8:$D$55,$O11,$K$8:$K$55)+SUMIF($F$8:$F$55,$O11,$L$8:$L$55)</f>
        <v>4</v>
      </c>
      <c r="T11" s="445" t="s">
        <v>49</v>
      </c>
      <c r="U11" s="392"/>
      <c r="V11" s="392" t="str">
        <f>O11</f>
        <v>Mexico</v>
      </c>
      <c r="W11" s="392" t="s">
        <v>47</v>
      </c>
      <c r="Y11" s="109">
        <f t="shared" si="8"/>
        <v>10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10</v>
      </c>
      <c r="AG11" s="108">
        <f t="shared" si="3"/>
        <v>1</v>
      </c>
      <c r="AH11" s="108">
        <f t="shared" si="4"/>
        <v>1</v>
      </c>
      <c r="AI11" s="108">
        <f t="shared" si="10"/>
        <v>10</v>
      </c>
      <c r="AJ11" s="108">
        <f t="shared" si="5"/>
        <v>5</v>
      </c>
      <c r="AK11" s="108">
        <f t="shared" si="6"/>
        <v>0</v>
      </c>
      <c r="AL11" s="108">
        <f t="shared" si="7"/>
        <v>0</v>
      </c>
      <c r="AM11" s="120">
        <f>AO11</f>
        <v>10</v>
      </c>
      <c r="AN11" s="117" t="s">
        <v>11</v>
      </c>
      <c r="AO11" s="115">
        <f>IF(Uitslag!T11="",0,IF(T11=Uitslag!T11,10,0))</f>
        <v>10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2</v>
      </c>
      <c r="H12" s="367" t="s">
        <v>9</v>
      </c>
      <c r="I12" s="440">
        <v>0</v>
      </c>
      <c r="J12" s="369">
        <f t="shared" si="0"/>
        <v>1</v>
      </c>
      <c r="K12" s="363">
        <f t="shared" si="1"/>
        <v>3</v>
      </c>
      <c r="L12" s="363">
        <f t="shared" si="2"/>
        <v>0</v>
      </c>
      <c r="O12" s="401" t="s">
        <v>12</v>
      </c>
      <c r="P12" s="402">
        <f>SUMIF($D$8:$D$55,$O12,$G$8:$G$55)+SUMIF($F$8:$F$55,$O12,$I$8:$I$55)</f>
        <v>0</v>
      </c>
      <c r="Q12" s="402">
        <f>SUMIF($D$8:$D$55,$O12,$I$8:$I$55)+SUMIF($F$8:$F$55,$O12,$G$8:$G$55)</f>
        <v>9</v>
      </c>
      <c r="R12" s="402">
        <f>P12-Q12</f>
        <v>-9</v>
      </c>
      <c r="S12" s="403">
        <f>SUMIF($D$8:$D$55,$O12,$K$8:$K$55)+SUMIF($F$8:$F$55,$O12,$L$8:$L$55)</f>
        <v>0</v>
      </c>
      <c r="T12" s="446" t="s">
        <v>50</v>
      </c>
      <c r="U12" s="392"/>
      <c r="V12" s="392" t="str">
        <f>O12</f>
        <v>Kameroen</v>
      </c>
      <c r="W12" s="392" t="s">
        <v>50</v>
      </c>
      <c r="Y12" s="109">
        <f t="shared" si="8"/>
        <v>6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6</v>
      </c>
      <c r="AG12" s="108">
        <f t="shared" si="3"/>
        <v>0</v>
      </c>
      <c r="AH12" s="108">
        <f t="shared" si="4"/>
        <v>1</v>
      </c>
      <c r="AI12" s="108">
        <f t="shared" si="10"/>
        <v>0</v>
      </c>
      <c r="AJ12" s="108">
        <f t="shared" si="5"/>
        <v>5</v>
      </c>
      <c r="AK12" s="108">
        <f t="shared" si="6"/>
        <v>0</v>
      </c>
      <c r="AL12" s="108">
        <f t="shared" si="7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3</v>
      </c>
      <c r="H13" s="373" t="s">
        <v>9</v>
      </c>
      <c r="I13" s="441">
        <v>1</v>
      </c>
      <c r="J13" s="375">
        <f t="shared" si="0"/>
        <v>1</v>
      </c>
      <c r="K13" s="363">
        <f t="shared" si="1"/>
        <v>3</v>
      </c>
      <c r="L13" s="363">
        <f t="shared" si="2"/>
        <v>0</v>
      </c>
      <c r="O13" s="392"/>
      <c r="P13" s="393"/>
      <c r="Q13" s="393"/>
      <c r="R13" s="393"/>
      <c r="S13" s="393"/>
      <c r="T13" s="393"/>
      <c r="U13" s="392"/>
      <c r="V13" s="392"/>
      <c r="W13" s="392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3"/>
        <v>0</v>
      </c>
      <c r="AH13" s="108">
        <f t="shared" si="4"/>
        <v>0</v>
      </c>
      <c r="AI13" s="108">
        <f t="shared" si="10"/>
        <v>0</v>
      </c>
      <c r="AJ13" s="108">
        <f t="shared" si="5"/>
        <v>0</v>
      </c>
      <c r="AK13" s="108">
        <f t="shared" si="6"/>
        <v>0</v>
      </c>
      <c r="AL13" s="108">
        <f t="shared" si="7"/>
        <v>0</v>
      </c>
      <c r="AN13" s="392"/>
      <c r="AO13" s="393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2</v>
      </c>
      <c r="H14" s="373" t="s">
        <v>9</v>
      </c>
      <c r="I14" s="441">
        <v>0</v>
      </c>
      <c r="J14" s="375">
        <f t="shared" si="0"/>
        <v>1</v>
      </c>
      <c r="K14" s="363">
        <f t="shared" si="1"/>
        <v>3</v>
      </c>
      <c r="L14" s="363">
        <f t="shared" si="2"/>
        <v>0</v>
      </c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392"/>
      <c r="V14" s="392"/>
      <c r="W14" s="392"/>
      <c r="Y14" s="109">
        <f t="shared" si="8"/>
        <v>0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0</v>
      </c>
      <c r="AG14" s="108">
        <f t="shared" si="3"/>
        <v>0</v>
      </c>
      <c r="AH14" s="108">
        <f t="shared" si="4"/>
        <v>0</v>
      </c>
      <c r="AI14" s="108">
        <f t="shared" si="10"/>
        <v>0</v>
      </c>
      <c r="AJ14" s="108">
        <f t="shared" si="5"/>
        <v>0</v>
      </c>
      <c r="AK14" s="108">
        <f t="shared" si="6"/>
        <v>0</v>
      </c>
      <c r="AL14" s="108">
        <f t="shared" si="7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1</v>
      </c>
      <c r="H15" s="379" t="s">
        <v>9</v>
      </c>
      <c r="I15" s="442">
        <v>2</v>
      </c>
      <c r="J15" s="381">
        <f t="shared" si="0"/>
        <v>2</v>
      </c>
      <c r="K15" s="363">
        <f t="shared" si="1"/>
        <v>0</v>
      </c>
      <c r="L15" s="363">
        <f t="shared" si="2"/>
        <v>3</v>
      </c>
      <c r="O15" s="394" t="s">
        <v>13</v>
      </c>
      <c r="P15" s="395">
        <f>SUMIF($D$8:$D$55,$O15,$G$8:$G$55)+SUMIF($F$8:$F$55,$O15,$I$8:$I$55)</f>
        <v>8</v>
      </c>
      <c r="Q15" s="395">
        <f>SUMIF($D$8:$D$55,$O15,$I$8:$I$55)+SUMIF($F$8:$F$55,$O15,$G$8:$G$55)</f>
        <v>2</v>
      </c>
      <c r="R15" s="396">
        <f>P15-Q15</f>
        <v>6</v>
      </c>
      <c r="S15" s="397">
        <f>SUMIF($D$8:$D$55,$O15,$K$8:$K$55)+SUMIF($F$8:$F$55,$O15,$L$8:$L$55)</f>
        <v>7</v>
      </c>
      <c r="T15" s="444" t="s">
        <v>52</v>
      </c>
      <c r="U15" s="392"/>
      <c r="V15" s="392" t="str">
        <f>O15</f>
        <v>Spanje</v>
      </c>
      <c r="W15" s="392" t="s">
        <v>52</v>
      </c>
      <c r="Y15" s="109">
        <f t="shared" si="8"/>
        <v>0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0</v>
      </c>
      <c r="AG15" s="108">
        <f t="shared" si="3"/>
        <v>0</v>
      </c>
      <c r="AH15" s="108">
        <f t="shared" si="4"/>
        <v>0</v>
      </c>
      <c r="AI15" s="108">
        <f t="shared" si="10"/>
        <v>0</v>
      </c>
      <c r="AJ15" s="108">
        <f t="shared" si="5"/>
        <v>0</v>
      </c>
      <c r="AK15" s="108">
        <f t="shared" si="6"/>
        <v>0</v>
      </c>
      <c r="AL15" s="108">
        <f t="shared" si="7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2</v>
      </c>
      <c r="H16" s="367" t="s">
        <v>9</v>
      </c>
      <c r="I16" s="440">
        <v>1</v>
      </c>
      <c r="J16" s="369">
        <f t="shared" si="0"/>
        <v>1</v>
      </c>
      <c r="K16" s="363">
        <f t="shared" si="1"/>
        <v>3</v>
      </c>
      <c r="L16" s="363">
        <f t="shared" si="2"/>
        <v>0</v>
      </c>
      <c r="O16" s="404" t="s">
        <v>14</v>
      </c>
      <c r="P16" s="399">
        <f>SUMIF($D$8:$D$55,$O16,$G$8:$G$55)+SUMIF($F$8:$F$55,$O16,$I$8:$I$55)</f>
        <v>4</v>
      </c>
      <c r="Q16" s="399">
        <f>SUMIF($D$8:$D$55,$O16,$I$8:$I$55)+SUMIF($F$8:$F$55,$O16,$G$8:$G$55)</f>
        <v>7</v>
      </c>
      <c r="R16" s="399">
        <f>P16-Q16</f>
        <v>-3</v>
      </c>
      <c r="S16" s="400">
        <f>SUMIF($D$8:$D$55,$O16,$K$8:$K$55)+SUMIF($F$8:$F$55,$O16,$L$8:$L$55)</f>
        <v>2</v>
      </c>
      <c r="T16" s="445" t="s">
        <v>54</v>
      </c>
      <c r="U16" s="392"/>
      <c r="V16" s="392" t="str">
        <f>O16</f>
        <v>Nederland</v>
      </c>
      <c r="W16" s="392" t="s">
        <v>53</v>
      </c>
      <c r="Y16" s="109">
        <f t="shared" si="8"/>
        <v>10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10</v>
      </c>
      <c r="AG16" s="108">
        <f t="shared" si="3"/>
        <v>1</v>
      </c>
      <c r="AH16" s="108">
        <f t="shared" si="4"/>
        <v>1</v>
      </c>
      <c r="AI16" s="108">
        <f t="shared" si="10"/>
        <v>10</v>
      </c>
      <c r="AJ16" s="108">
        <f t="shared" si="5"/>
        <v>5</v>
      </c>
      <c r="AK16" s="108">
        <f t="shared" si="6"/>
        <v>0</v>
      </c>
      <c r="AL16" s="108">
        <f t="shared" si="7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0</v>
      </c>
      <c r="H17" s="373" t="s">
        <v>9</v>
      </c>
      <c r="I17" s="441">
        <v>0</v>
      </c>
      <c r="J17" s="375">
        <f t="shared" si="0"/>
        <v>3</v>
      </c>
      <c r="K17" s="363">
        <f t="shared" si="1"/>
        <v>1</v>
      </c>
      <c r="L17" s="363">
        <f t="shared" si="2"/>
        <v>1</v>
      </c>
      <c r="O17" s="398" t="s">
        <v>15</v>
      </c>
      <c r="P17" s="399">
        <f>SUMIF($D$8:$D$55,$O17,$G$8:$G$55)+SUMIF($F$8:$F$55,$O17,$I$8:$I$55)</f>
        <v>6</v>
      </c>
      <c r="Q17" s="399">
        <f>SUMIF($D$8:$D$55,$O17,$I$8:$I$55)+SUMIF($F$8:$F$55,$O17,$G$8:$G$55)</f>
        <v>4</v>
      </c>
      <c r="R17" s="399">
        <f>P17-Q17</f>
        <v>2</v>
      </c>
      <c r="S17" s="400">
        <f>SUMIF($D$8:$D$55,$O17,$K$8:$K$55)+SUMIF($F$8:$F$55,$O17,$L$8:$L$55)</f>
        <v>5</v>
      </c>
      <c r="T17" s="445" t="s">
        <v>53</v>
      </c>
      <c r="U17" s="392"/>
      <c r="V17" s="392" t="str">
        <f>O17</f>
        <v>Chili</v>
      </c>
      <c r="W17" s="392" t="s">
        <v>54</v>
      </c>
      <c r="Y17" s="109">
        <f t="shared" si="8"/>
        <v>1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1</v>
      </c>
      <c r="AG17" s="108">
        <f t="shared" si="3"/>
        <v>0</v>
      </c>
      <c r="AH17" s="108">
        <f t="shared" si="4"/>
        <v>1</v>
      </c>
      <c r="AI17" s="108">
        <f t="shared" si="10"/>
        <v>0</v>
      </c>
      <c r="AJ17" s="108">
        <f t="shared" si="5"/>
        <v>0</v>
      </c>
      <c r="AK17" s="108">
        <f t="shared" si="6"/>
        <v>0</v>
      </c>
      <c r="AL17" s="108">
        <f t="shared" si="7"/>
        <v>0</v>
      </c>
      <c r="AM17" s="120">
        <f>AO17</f>
        <v>10</v>
      </c>
      <c r="AN17" s="117" t="s">
        <v>15</v>
      </c>
      <c r="AO17" s="115">
        <f>IF(Uitslag!T17="",0,IF(T17=Uitslag!T17,10,0))</f>
        <v>10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3</v>
      </c>
      <c r="H18" s="379" t="s">
        <v>9</v>
      </c>
      <c r="I18" s="442">
        <v>0</v>
      </c>
      <c r="J18" s="381">
        <f t="shared" si="0"/>
        <v>1</v>
      </c>
      <c r="K18" s="363">
        <f t="shared" si="1"/>
        <v>3</v>
      </c>
      <c r="L18" s="363">
        <f t="shared" si="2"/>
        <v>0</v>
      </c>
      <c r="O18" s="401" t="s">
        <v>16</v>
      </c>
      <c r="P18" s="402">
        <f>SUMIF($D$8:$D$55,$O18,$G$8:$G$55)+SUMIF($F$8:$F$55,$O18,$I$8:$I$55)</f>
        <v>2</v>
      </c>
      <c r="Q18" s="402">
        <f>SUMIF($D$8:$D$55,$O18,$I$8:$I$55)+SUMIF($F$8:$F$55,$O18,$G$8:$G$55)</f>
        <v>7</v>
      </c>
      <c r="R18" s="402">
        <f>P18-Q18</f>
        <v>-5</v>
      </c>
      <c r="S18" s="403">
        <f>SUMIF($D$8:$D$55,$O18,$K$8:$K$55)+SUMIF($F$8:$F$55,$O18,$L$8:$L$55)</f>
        <v>1</v>
      </c>
      <c r="T18" s="446" t="s">
        <v>55</v>
      </c>
      <c r="U18" s="392"/>
      <c r="V18" s="392" t="str">
        <f>O18</f>
        <v>Australië</v>
      </c>
      <c r="W18" s="392" t="s">
        <v>55</v>
      </c>
      <c r="Y18" s="109">
        <f t="shared" si="8"/>
        <v>5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5</v>
      </c>
      <c r="AG18" s="108">
        <f t="shared" si="3"/>
        <v>0</v>
      </c>
      <c r="AH18" s="108">
        <f t="shared" si="4"/>
        <v>0</v>
      </c>
      <c r="AI18" s="108">
        <f t="shared" si="10"/>
        <v>0</v>
      </c>
      <c r="AJ18" s="108">
        <f t="shared" si="5"/>
        <v>5</v>
      </c>
      <c r="AK18" s="108">
        <f t="shared" si="6"/>
        <v>0</v>
      </c>
      <c r="AL18" s="108">
        <f t="shared" si="7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1</v>
      </c>
      <c r="H19" s="367" t="s">
        <v>9</v>
      </c>
      <c r="I19" s="440">
        <v>1</v>
      </c>
      <c r="J19" s="369">
        <f t="shared" si="0"/>
        <v>3</v>
      </c>
      <c r="K19" s="363">
        <f t="shared" si="1"/>
        <v>1</v>
      </c>
      <c r="L19" s="363">
        <f t="shared" si="2"/>
        <v>1</v>
      </c>
      <c r="O19" s="392"/>
      <c r="P19" s="393"/>
      <c r="Q19" s="393"/>
      <c r="R19" s="393"/>
      <c r="S19" s="393"/>
      <c r="T19" s="393"/>
      <c r="U19" s="392"/>
      <c r="V19" s="392"/>
      <c r="W19" s="392"/>
      <c r="Y19" s="109">
        <f t="shared" si="8"/>
        <v>0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0</v>
      </c>
      <c r="AG19" s="108">
        <f t="shared" si="3"/>
        <v>0</v>
      </c>
      <c r="AH19" s="108">
        <f t="shared" si="4"/>
        <v>0</v>
      </c>
      <c r="AI19" s="108">
        <f t="shared" si="10"/>
        <v>0</v>
      </c>
      <c r="AJ19" s="108">
        <f t="shared" si="5"/>
        <v>0</v>
      </c>
      <c r="AK19" s="108">
        <f t="shared" si="6"/>
        <v>0</v>
      </c>
      <c r="AL19" s="108">
        <f t="shared" si="7"/>
        <v>0</v>
      </c>
      <c r="AN19" s="392"/>
      <c r="AO19" s="393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0</v>
      </c>
      <c r="H20" s="373" t="s">
        <v>9</v>
      </c>
      <c r="I20" s="441">
        <v>3</v>
      </c>
      <c r="J20" s="375">
        <f t="shared" si="0"/>
        <v>2</v>
      </c>
      <c r="K20" s="363">
        <f t="shared" si="1"/>
        <v>0</v>
      </c>
      <c r="L20" s="363">
        <f t="shared" si="2"/>
        <v>3</v>
      </c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392"/>
      <c r="V20" s="392"/>
      <c r="W20" s="392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3"/>
        <v>1</v>
      </c>
      <c r="AH20" s="108">
        <f t="shared" si="4"/>
        <v>0</v>
      </c>
      <c r="AI20" s="108">
        <f t="shared" si="10"/>
        <v>0</v>
      </c>
      <c r="AJ20" s="108">
        <f t="shared" si="5"/>
        <v>0</v>
      </c>
      <c r="AK20" s="108">
        <f t="shared" si="6"/>
        <v>0</v>
      </c>
      <c r="AL20" s="108">
        <f t="shared" si="7"/>
        <v>0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1</v>
      </c>
      <c r="H21" s="379" t="s">
        <v>9</v>
      </c>
      <c r="I21" s="442">
        <v>1</v>
      </c>
      <c r="J21" s="381">
        <f t="shared" si="0"/>
        <v>3</v>
      </c>
      <c r="K21" s="363">
        <f t="shared" si="1"/>
        <v>1</v>
      </c>
      <c r="L21" s="363">
        <f t="shared" si="2"/>
        <v>1</v>
      </c>
      <c r="O21" s="394" t="s">
        <v>17</v>
      </c>
      <c r="P21" s="395">
        <f>SUMIF($D$8:$D$55,$O21,$G$8:$G$55)+SUMIF($F$8:$F$55,$O21,$I$8:$I$55)</f>
        <v>6</v>
      </c>
      <c r="Q21" s="395">
        <f>SUMIF($D$8:$D$55,$O21,$I$8:$I$55)+SUMIF($F$8:$F$55,$O21,$G$8:$G$55)</f>
        <v>2</v>
      </c>
      <c r="R21" s="396">
        <f>P21-Q21</f>
        <v>4</v>
      </c>
      <c r="S21" s="397">
        <f>SUMIF($D$8:$D$55,$O21,$K$8:$K$55)+SUMIF($F$8:$F$55,$O21,$L$8:$L$55)</f>
        <v>7</v>
      </c>
      <c r="T21" s="444" t="s">
        <v>57</v>
      </c>
      <c r="U21" s="392"/>
      <c r="V21" s="392" t="str">
        <f>O21</f>
        <v>Colombia</v>
      </c>
      <c r="W21" s="392" t="s">
        <v>57</v>
      </c>
      <c r="Y21" s="109">
        <f t="shared" si="8"/>
        <v>1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1</v>
      </c>
      <c r="AG21" s="108">
        <f t="shared" si="3"/>
        <v>1</v>
      </c>
      <c r="AH21" s="108">
        <f t="shared" si="4"/>
        <v>0</v>
      </c>
      <c r="AI21" s="108">
        <f t="shared" si="10"/>
        <v>0</v>
      </c>
      <c r="AJ21" s="108">
        <f t="shared" si="5"/>
        <v>0</v>
      </c>
      <c r="AK21" s="108">
        <f t="shared" si="6"/>
        <v>0</v>
      </c>
      <c r="AL21" s="108">
        <f t="shared" si="7"/>
        <v>0</v>
      </c>
      <c r="AM21" s="120">
        <f>AO21</f>
        <v>10</v>
      </c>
      <c r="AN21" s="116" t="s">
        <v>17</v>
      </c>
      <c r="AO21" s="115">
        <f>IF(Uitslag!T21="",0,IF(T21=Uitslag!T21,10,0))</f>
        <v>10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2</v>
      </c>
      <c r="H22" s="367" t="s">
        <v>9</v>
      </c>
      <c r="I22" s="440">
        <v>0</v>
      </c>
      <c r="J22" s="369">
        <f t="shared" si="0"/>
        <v>1</v>
      </c>
      <c r="K22" s="363">
        <f t="shared" si="1"/>
        <v>3</v>
      </c>
      <c r="L22" s="363">
        <f t="shared" si="2"/>
        <v>0</v>
      </c>
      <c r="O22" s="398" t="s">
        <v>18</v>
      </c>
      <c r="P22" s="399">
        <f>SUMIF($D$8:$D$55,$O22,$G$8:$G$55)+SUMIF($F$8:$F$55,$O22,$I$8:$I$55)</f>
        <v>1</v>
      </c>
      <c r="Q22" s="399">
        <f>SUMIF($D$8:$D$55,$O22,$I$8:$I$55)+SUMIF($F$8:$F$55,$O22,$G$8:$G$55)</f>
        <v>4</v>
      </c>
      <c r="R22" s="399">
        <f>P22-Q22</f>
        <v>-3</v>
      </c>
      <c r="S22" s="400">
        <f>SUMIF($D$8:$D$55,$O22,$K$8:$K$55)+SUMIF($F$8:$F$55,$O22,$L$8:$L$55)</f>
        <v>1</v>
      </c>
      <c r="T22" s="445" t="s">
        <v>60</v>
      </c>
      <c r="U22" s="392"/>
      <c r="V22" s="392" t="str">
        <f>O22</f>
        <v>Griekenland</v>
      </c>
      <c r="W22" s="392" t="s">
        <v>58</v>
      </c>
      <c r="Y22" s="109">
        <f t="shared" si="8"/>
        <v>6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6</v>
      </c>
      <c r="AG22" s="108">
        <f t="shared" si="3"/>
        <v>1</v>
      </c>
      <c r="AH22" s="108">
        <f t="shared" si="4"/>
        <v>0</v>
      </c>
      <c r="AI22" s="108">
        <f t="shared" si="10"/>
        <v>0</v>
      </c>
      <c r="AJ22" s="108">
        <f t="shared" si="5"/>
        <v>5</v>
      </c>
      <c r="AK22" s="108">
        <f t="shared" si="6"/>
        <v>0</v>
      </c>
      <c r="AL22" s="108">
        <f t="shared" si="7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2</v>
      </c>
      <c r="H23" s="373" t="s">
        <v>9</v>
      </c>
      <c r="I23" s="441">
        <v>1</v>
      </c>
      <c r="J23" s="375">
        <f t="shared" si="0"/>
        <v>1</v>
      </c>
      <c r="K23" s="363">
        <f t="shared" si="1"/>
        <v>3</v>
      </c>
      <c r="L23" s="363">
        <f t="shared" si="2"/>
        <v>0</v>
      </c>
      <c r="O23" s="398" t="s">
        <v>23</v>
      </c>
      <c r="P23" s="399">
        <f>SUMIF($D$8:$D$55,$O23,$G$8:$G$55)+SUMIF($F$8:$F$55,$O23,$I$8:$I$55)</f>
        <v>3</v>
      </c>
      <c r="Q23" s="399">
        <f>SUMIF($D$8:$D$55,$O23,$I$8:$I$55)+SUMIF($F$8:$F$55,$O23,$G$8:$G$55)</f>
        <v>6</v>
      </c>
      <c r="R23" s="399">
        <f>P23-Q23</f>
        <v>-3</v>
      </c>
      <c r="S23" s="400">
        <f>SUMIF($D$8:$D$55,$O23,$K$8:$K$55)+SUMIF($F$8:$F$55,$O23,$L$8:$L$55)</f>
        <v>1</v>
      </c>
      <c r="T23" s="445" t="s">
        <v>59</v>
      </c>
      <c r="U23" s="392"/>
      <c r="V23" s="392" t="str">
        <f>O23</f>
        <v>Ivoorkust</v>
      </c>
      <c r="W23" s="392" t="s">
        <v>59</v>
      </c>
      <c r="Y23" s="109">
        <f t="shared" si="8"/>
        <v>0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0</v>
      </c>
      <c r="AG23" s="108">
        <f t="shared" si="3"/>
        <v>0</v>
      </c>
      <c r="AH23" s="108">
        <f t="shared" si="4"/>
        <v>0</v>
      </c>
      <c r="AI23" s="108">
        <f t="shared" si="10"/>
        <v>0</v>
      </c>
      <c r="AJ23" s="108">
        <f t="shared" si="5"/>
        <v>0</v>
      </c>
      <c r="AK23" s="108">
        <f t="shared" si="6"/>
        <v>0</v>
      </c>
      <c r="AL23" s="108">
        <f t="shared" si="7"/>
        <v>0</v>
      </c>
      <c r="AM23" s="120">
        <f>AO23</f>
        <v>10</v>
      </c>
      <c r="AN23" s="117" t="s">
        <v>23</v>
      </c>
      <c r="AO23" s="115">
        <f>IF(Uitslag!T23="",0,IF(T23=Uitslag!T23,10,0))</f>
        <v>10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0</v>
      </c>
      <c r="H24" s="379" t="s">
        <v>9</v>
      </c>
      <c r="I24" s="442">
        <v>0</v>
      </c>
      <c r="J24" s="381">
        <f t="shared" si="0"/>
        <v>3</v>
      </c>
      <c r="K24" s="363">
        <f t="shared" si="1"/>
        <v>1</v>
      </c>
      <c r="L24" s="363">
        <f t="shared" si="2"/>
        <v>1</v>
      </c>
      <c r="O24" s="401" t="s">
        <v>24</v>
      </c>
      <c r="P24" s="402">
        <f>SUMIF($D$8:$D$55,$O24,$G$8:$G$55)+SUMIF($F$8:$F$55,$O24,$I$8:$I$55)</f>
        <v>4</v>
      </c>
      <c r="Q24" s="402">
        <f>SUMIF($D$8:$D$55,$O24,$I$8:$I$55)+SUMIF($F$8:$F$55,$O24,$G$8:$G$55)</f>
        <v>2</v>
      </c>
      <c r="R24" s="402">
        <f>P24-Q24</f>
        <v>2</v>
      </c>
      <c r="S24" s="403">
        <f>SUMIF($D$8:$D$55,$O24,$K$8:$K$55)+SUMIF($F$8:$F$55,$O24,$L$8:$L$55)</f>
        <v>7</v>
      </c>
      <c r="T24" s="446" t="s">
        <v>58</v>
      </c>
      <c r="U24" s="392"/>
      <c r="V24" s="392" t="str">
        <f>O24</f>
        <v>Japan</v>
      </c>
      <c r="W24" s="392" t="s">
        <v>60</v>
      </c>
      <c r="Y24" s="109">
        <f t="shared" si="8"/>
        <v>5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5</v>
      </c>
      <c r="AG24" s="108">
        <f t="shared" si="3"/>
        <v>0</v>
      </c>
      <c r="AH24" s="108">
        <f t="shared" si="4"/>
        <v>0</v>
      </c>
      <c r="AI24" s="108">
        <f t="shared" si="10"/>
        <v>0</v>
      </c>
      <c r="AJ24" s="108">
        <f t="shared" si="5"/>
        <v>0</v>
      </c>
      <c r="AK24" s="108">
        <f t="shared" si="6"/>
        <v>0</v>
      </c>
      <c r="AL24" s="108">
        <f t="shared" si="7"/>
        <v>5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1</v>
      </c>
      <c r="H25" s="367" t="s">
        <v>9</v>
      </c>
      <c r="I25" s="440">
        <v>1</v>
      </c>
      <c r="J25" s="369">
        <f t="shared" si="0"/>
        <v>3</v>
      </c>
      <c r="K25" s="363">
        <f t="shared" si="1"/>
        <v>1</v>
      </c>
      <c r="L25" s="363">
        <f t="shared" si="2"/>
        <v>1</v>
      </c>
      <c r="O25" s="392"/>
      <c r="P25" s="393"/>
      <c r="Q25" s="393"/>
      <c r="R25" s="393"/>
      <c r="S25" s="393"/>
      <c r="T25" s="393"/>
      <c r="U25" s="392"/>
      <c r="V25" s="392"/>
      <c r="W25" s="392"/>
      <c r="Y25" s="109">
        <f t="shared" si="8"/>
        <v>0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0</v>
      </c>
      <c r="AG25" s="108">
        <f t="shared" si="3"/>
        <v>0</v>
      </c>
      <c r="AH25" s="108">
        <f t="shared" si="4"/>
        <v>0</v>
      </c>
      <c r="AI25" s="108">
        <f t="shared" si="10"/>
        <v>0</v>
      </c>
      <c r="AJ25" s="108">
        <f t="shared" si="5"/>
        <v>0</v>
      </c>
      <c r="AK25" s="108">
        <f t="shared" si="6"/>
        <v>0</v>
      </c>
      <c r="AL25" s="108">
        <f t="shared" si="7"/>
        <v>0</v>
      </c>
      <c r="AN25" s="392"/>
      <c r="AO25" s="393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1</v>
      </c>
      <c r="H26" s="373" t="s">
        <v>9</v>
      </c>
      <c r="I26" s="441">
        <v>1</v>
      </c>
      <c r="J26" s="375">
        <f t="shared" si="0"/>
        <v>3</v>
      </c>
      <c r="K26" s="363">
        <f t="shared" si="1"/>
        <v>1</v>
      </c>
      <c r="L26" s="363">
        <f t="shared" si="2"/>
        <v>1</v>
      </c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392"/>
      <c r="V26" s="392"/>
      <c r="W26" s="392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3"/>
        <v>0</v>
      </c>
      <c r="AH26" s="108">
        <f t="shared" si="4"/>
        <v>0</v>
      </c>
      <c r="AI26" s="108">
        <f t="shared" si="10"/>
        <v>0</v>
      </c>
      <c r="AJ26" s="108">
        <f t="shared" si="5"/>
        <v>0</v>
      </c>
      <c r="AK26" s="108">
        <f t="shared" si="6"/>
        <v>0</v>
      </c>
      <c r="AL26" s="108">
        <f t="shared" si="7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0</v>
      </c>
      <c r="H27" s="379" t="s">
        <v>9</v>
      </c>
      <c r="I27" s="442">
        <v>2</v>
      </c>
      <c r="J27" s="381">
        <f t="shared" si="0"/>
        <v>2</v>
      </c>
      <c r="K27" s="363">
        <f t="shared" si="1"/>
        <v>0</v>
      </c>
      <c r="L27" s="363">
        <f t="shared" si="2"/>
        <v>3</v>
      </c>
      <c r="O27" s="394" t="s">
        <v>19</v>
      </c>
      <c r="P27" s="395">
        <f>SUMIF($D$8:$D$55,$O27,$G$8:$G$55)+SUMIF($F$8:$F$55,$O27,$I$8:$I$55)</f>
        <v>6</v>
      </c>
      <c r="Q27" s="395">
        <f>SUMIF($D$8:$D$55,$O27,$I$8:$I$55)+SUMIF($F$8:$F$55,$O27,$G$8:$G$55)</f>
        <v>4</v>
      </c>
      <c r="R27" s="396">
        <f>P27-Q27</f>
        <v>2</v>
      </c>
      <c r="S27" s="397">
        <f>SUMIF($D$8:$D$55,$O27,$K$8:$K$55)+SUMIF($F$8:$F$55,$O27,$L$8:$L$55)</f>
        <v>6</v>
      </c>
      <c r="T27" s="444" t="s">
        <v>63</v>
      </c>
      <c r="U27" s="392"/>
      <c r="V27" s="392" t="str">
        <f>O27</f>
        <v>Uruguay</v>
      </c>
      <c r="W27" s="392" t="s">
        <v>62</v>
      </c>
      <c r="Y27" s="109">
        <f t="shared" si="8"/>
        <v>6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6</v>
      </c>
      <c r="AG27" s="108">
        <f t="shared" si="3"/>
        <v>1</v>
      </c>
      <c r="AH27" s="108">
        <f t="shared" si="4"/>
        <v>0</v>
      </c>
      <c r="AI27" s="108">
        <f t="shared" si="10"/>
        <v>0</v>
      </c>
      <c r="AJ27" s="108">
        <f t="shared" si="5"/>
        <v>0</v>
      </c>
      <c r="AK27" s="108">
        <f t="shared" si="6"/>
        <v>5</v>
      </c>
      <c r="AL27" s="108">
        <f t="shared" si="7"/>
        <v>0</v>
      </c>
      <c r="AM27" s="120">
        <f>AO27</f>
        <v>10</v>
      </c>
      <c r="AN27" s="116" t="s">
        <v>19</v>
      </c>
      <c r="AO27" s="115">
        <f>IF(Uitslag!T27="",0,IF(T27=Uitslag!T27,10,0))</f>
        <v>10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3</v>
      </c>
      <c r="H28" s="367" t="s">
        <v>9</v>
      </c>
      <c r="I28" s="440">
        <v>1</v>
      </c>
      <c r="J28" s="369">
        <f t="shared" si="0"/>
        <v>1</v>
      </c>
      <c r="K28" s="363">
        <f t="shared" si="1"/>
        <v>3</v>
      </c>
      <c r="L28" s="363">
        <f t="shared" si="2"/>
        <v>0</v>
      </c>
      <c r="O28" s="398" t="s">
        <v>20</v>
      </c>
      <c r="P28" s="399">
        <f>SUMIF($D$8:$D$55,$O28,$G$8:$G$55)+SUMIF($F$8:$F$55,$O28,$I$8:$I$55)</f>
        <v>2</v>
      </c>
      <c r="Q28" s="399">
        <f>SUMIF($D$8:$D$55,$O28,$I$8:$I$55)+SUMIF($F$8:$F$55,$O28,$G$8:$G$55)</f>
        <v>7</v>
      </c>
      <c r="R28" s="399">
        <f>P28-Q28</f>
        <v>-5</v>
      </c>
      <c r="S28" s="400">
        <f>SUMIF($D$8:$D$55,$O28,$K$8:$K$55)+SUMIF($F$8:$F$55,$O28,$L$8:$L$55)</f>
        <v>0</v>
      </c>
      <c r="T28" s="445" t="s">
        <v>65</v>
      </c>
      <c r="U28" s="392"/>
      <c r="V28" s="392" t="str">
        <f>O28</f>
        <v>Costa Rica</v>
      </c>
      <c r="W28" s="392" t="s">
        <v>63</v>
      </c>
      <c r="Y28" s="109">
        <f t="shared" si="8"/>
        <v>6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6</v>
      </c>
      <c r="AG28" s="108">
        <f t="shared" si="3"/>
        <v>0</v>
      </c>
      <c r="AH28" s="108">
        <f t="shared" si="4"/>
        <v>1</v>
      </c>
      <c r="AI28" s="108">
        <f t="shared" si="10"/>
        <v>0</v>
      </c>
      <c r="AJ28" s="108">
        <f t="shared" si="5"/>
        <v>5</v>
      </c>
      <c r="AK28" s="108">
        <f t="shared" si="6"/>
        <v>0</v>
      </c>
      <c r="AL28" s="108">
        <f t="shared" si="7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1</v>
      </c>
      <c r="H29" s="373" t="s">
        <v>9</v>
      </c>
      <c r="I29" s="441">
        <v>2</v>
      </c>
      <c r="J29" s="375">
        <f t="shared" si="0"/>
        <v>2</v>
      </c>
      <c r="K29" s="363">
        <f t="shared" si="1"/>
        <v>0</v>
      </c>
      <c r="L29" s="363">
        <f t="shared" si="2"/>
        <v>3</v>
      </c>
      <c r="O29" s="398" t="s">
        <v>21</v>
      </c>
      <c r="P29" s="399">
        <f>SUMIF($D$8:$D$55,$O29,$G$8:$G$55)+SUMIF($F$8:$F$55,$O29,$I$8:$I$55)</f>
        <v>6</v>
      </c>
      <c r="Q29" s="399">
        <f>SUMIF($D$8:$D$55,$O29,$I$8:$I$55)+SUMIF($F$8:$F$55,$O29,$G$8:$G$55)</f>
        <v>1</v>
      </c>
      <c r="R29" s="399">
        <f>P29-Q29</f>
        <v>5</v>
      </c>
      <c r="S29" s="400">
        <f>SUMIF($D$8:$D$55,$O29,$K$8:$K$55)+SUMIF($F$8:$F$55,$O29,$L$8:$L$55)</f>
        <v>9</v>
      </c>
      <c r="T29" s="445" t="s">
        <v>62</v>
      </c>
      <c r="U29" s="392"/>
      <c r="V29" s="392" t="str">
        <f>O29</f>
        <v>Engeland</v>
      </c>
      <c r="W29" s="392" t="s">
        <v>64</v>
      </c>
      <c r="Y29" s="109">
        <f t="shared" si="8"/>
        <v>0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0</v>
      </c>
      <c r="AG29" s="108">
        <f t="shared" si="3"/>
        <v>0</v>
      </c>
      <c r="AH29" s="108">
        <f t="shared" si="4"/>
        <v>0</v>
      </c>
      <c r="AI29" s="108">
        <f t="shared" si="10"/>
        <v>0</v>
      </c>
      <c r="AJ29" s="108">
        <f t="shared" si="5"/>
        <v>0</v>
      </c>
      <c r="AK29" s="108">
        <f t="shared" si="6"/>
        <v>0</v>
      </c>
      <c r="AL29" s="108">
        <f t="shared" si="7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1</v>
      </c>
      <c r="H30" s="379" t="s">
        <v>9</v>
      </c>
      <c r="I30" s="442">
        <v>0</v>
      </c>
      <c r="J30" s="381">
        <f t="shared" si="0"/>
        <v>1</v>
      </c>
      <c r="K30" s="363">
        <f t="shared" si="1"/>
        <v>3</v>
      </c>
      <c r="L30" s="363">
        <f t="shared" si="2"/>
        <v>0</v>
      </c>
      <c r="O30" s="401" t="s">
        <v>22</v>
      </c>
      <c r="P30" s="402">
        <f>SUMIF($D$8:$D$55,$O30,$G$8:$G$55)+SUMIF($F$8:$F$55,$O30,$I$8:$I$55)</f>
        <v>3</v>
      </c>
      <c r="Q30" s="402">
        <f>SUMIF($D$8:$D$55,$O30,$I$8:$I$55)+SUMIF($F$8:$F$55,$O30,$G$8:$G$55)</f>
        <v>5</v>
      </c>
      <c r="R30" s="402">
        <f>P30-Q30</f>
        <v>-2</v>
      </c>
      <c r="S30" s="403">
        <f>SUMIF($D$8:$D$55,$O30,$K$8:$K$55)+SUMIF($F$8:$F$55,$O30,$L$8:$L$55)</f>
        <v>3</v>
      </c>
      <c r="T30" s="446" t="s">
        <v>64</v>
      </c>
      <c r="U30" s="392"/>
      <c r="V30" s="392" t="str">
        <f>O30</f>
        <v>Italië</v>
      </c>
      <c r="W30" s="392" t="s">
        <v>65</v>
      </c>
      <c r="Y30" s="109">
        <f t="shared" si="8"/>
        <v>1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1</v>
      </c>
      <c r="AG30" s="108">
        <f t="shared" si="3"/>
        <v>0</v>
      </c>
      <c r="AH30" s="108">
        <f t="shared" si="4"/>
        <v>1</v>
      </c>
      <c r="AI30" s="108">
        <f t="shared" si="10"/>
        <v>0</v>
      </c>
      <c r="AJ30" s="108">
        <f t="shared" si="5"/>
        <v>0</v>
      </c>
      <c r="AK30" s="108">
        <f t="shared" si="6"/>
        <v>0</v>
      </c>
      <c r="AL30" s="108">
        <f t="shared" si="7"/>
        <v>0</v>
      </c>
      <c r="AM30" s="120">
        <f>AO30</f>
        <v>10</v>
      </c>
      <c r="AN30" s="118" t="s">
        <v>22</v>
      </c>
      <c r="AO30" s="115">
        <f>IF(Uitslag!T30="",0,IF(T30=Uitslag!T30,10,0))</f>
        <v>10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2</v>
      </c>
      <c r="H31" s="367" t="s">
        <v>9</v>
      </c>
      <c r="I31" s="440">
        <v>1</v>
      </c>
      <c r="J31" s="369">
        <f t="shared" si="0"/>
        <v>1</v>
      </c>
      <c r="K31" s="363">
        <f t="shared" si="1"/>
        <v>3</v>
      </c>
      <c r="L31" s="363">
        <f t="shared" si="2"/>
        <v>0</v>
      </c>
      <c r="O31" s="392"/>
      <c r="P31" s="393"/>
      <c r="Q31" s="393"/>
      <c r="R31" s="393"/>
      <c r="S31" s="393"/>
      <c r="T31" s="393"/>
      <c r="U31" s="392"/>
      <c r="V31" s="392"/>
      <c r="W31" s="392"/>
      <c r="Y31" s="109">
        <f t="shared" si="8"/>
        <v>1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1</v>
      </c>
      <c r="AG31" s="108">
        <f t="shared" si="3"/>
        <v>0</v>
      </c>
      <c r="AH31" s="108">
        <f t="shared" si="4"/>
        <v>1</v>
      </c>
      <c r="AI31" s="108">
        <f t="shared" si="10"/>
        <v>0</v>
      </c>
      <c r="AJ31" s="108">
        <f t="shared" si="5"/>
        <v>0</v>
      </c>
      <c r="AK31" s="108">
        <f t="shared" si="6"/>
        <v>0</v>
      </c>
      <c r="AL31" s="108">
        <f t="shared" si="7"/>
        <v>0</v>
      </c>
      <c r="AN31" s="392"/>
      <c r="AO31" s="393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2</v>
      </c>
      <c r="H32" s="373" t="s">
        <v>9</v>
      </c>
      <c r="I32" s="441">
        <v>2</v>
      </c>
      <c r="J32" s="375">
        <f t="shared" si="0"/>
        <v>3</v>
      </c>
      <c r="K32" s="363">
        <f t="shared" si="1"/>
        <v>1</v>
      </c>
      <c r="L32" s="363">
        <f t="shared" si="2"/>
        <v>1</v>
      </c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392"/>
      <c r="V32" s="392"/>
      <c r="W32" s="392"/>
      <c r="Y32" s="109">
        <f t="shared" si="8"/>
        <v>1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1</v>
      </c>
      <c r="AG32" s="108">
        <f t="shared" si="3"/>
        <v>1</v>
      </c>
      <c r="AH32" s="108">
        <f t="shared" si="4"/>
        <v>0</v>
      </c>
      <c r="AI32" s="108">
        <f t="shared" si="10"/>
        <v>0</v>
      </c>
      <c r="AJ32" s="108">
        <f t="shared" si="5"/>
        <v>0</v>
      </c>
      <c r="AK32" s="108">
        <f t="shared" si="6"/>
        <v>0</v>
      </c>
      <c r="AL32" s="108">
        <f t="shared" si="7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1</v>
      </c>
      <c r="H33" s="379" t="s">
        <v>9</v>
      </c>
      <c r="I33" s="442">
        <v>3</v>
      </c>
      <c r="J33" s="381">
        <f t="shared" si="0"/>
        <v>2</v>
      </c>
      <c r="K33" s="363">
        <f t="shared" si="1"/>
        <v>0</v>
      </c>
      <c r="L33" s="363">
        <f t="shared" si="2"/>
        <v>3</v>
      </c>
      <c r="O33" s="394" t="s">
        <v>25</v>
      </c>
      <c r="P33" s="395">
        <f>SUMIF($D$8:$D$55,$O33,$G$8:$G$55)+SUMIF($F$8:$F$55,$O33,$I$8:$I$55)</f>
        <v>5</v>
      </c>
      <c r="Q33" s="395">
        <f>SUMIF($D$8:$D$55,$O33,$I$8:$I$55)+SUMIF($F$8:$F$55,$O33,$G$8:$G$55)</f>
        <v>4</v>
      </c>
      <c r="R33" s="396">
        <f>P33-Q33</f>
        <v>1</v>
      </c>
      <c r="S33" s="397">
        <f>SUMIF($D$8:$D$55,$O33,$K$8:$K$55)+SUMIF($F$8:$F$55,$O33,$L$8:$L$55)</f>
        <v>5</v>
      </c>
      <c r="T33" s="444" t="s">
        <v>68</v>
      </c>
      <c r="U33" s="392"/>
      <c r="V33" s="392" t="str">
        <f>O33</f>
        <v>Zwitserland</v>
      </c>
      <c r="W33" s="392" t="s">
        <v>67</v>
      </c>
      <c r="Y33" s="109">
        <f t="shared" si="8"/>
        <v>6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6</v>
      </c>
      <c r="AG33" s="108">
        <f t="shared" si="3"/>
        <v>1</v>
      </c>
      <c r="AH33" s="108">
        <f t="shared" si="4"/>
        <v>0</v>
      </c>
      <c r="AI33" s="108">
        <f t="shared" si="10"/>
        <v>0</v>
      </c>
      <c r="AJ33" s="108">
        <f t="shared" si="5"/>
        <v>0</v>
      </c>
      <c r="AK33" s="108">
        <f t="shared" si="6"/>
        <v>5</v>
      </c>
      <c r="AL33" s="108">
        <f t="shared" si="7"/>
        <v>0</v>
      </c>
      <c r="AM33" s="120">
        <f>AO33</f>
        <v>10</v>
      </c>
      <c r="AN33" s="116" t="s">
        <v>25</v>
      </c>
      <c r="AO33" s="115">
        <f>IF(Uitslag!T33="",0,IF(T33=Uitslag!T33,10,0))</f>
        <v>10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6</v>
      </c>
      <c r="H34" s="367" t="s">
        <v>9</v>
      </c>
      <c r="I34" s="440">
        <v>0</v>
      </c>
      <c r="J34" s="369">
        <f t="shared" si="0"/>
        <v>1</v>
      </c>
      <c r="K34" s="363">
        <f t="shared" si="1"/>
        <v>3</v>
      </c>
      <c r="L34" s="363">
        <f t="shared" si="2"/>
        <v>0</v>
      </c>
      <c r="O34" s="398" t="s">
        <v>26</v>
      </c>
      <c r="P34" s="399">
        <f>SUMIF($D$8:$D$55,$O34,$G$8:$G$55)+SUMIF($F$8:$F$55,$O34,$I$8:$I$55)</f>
        <v>4</v>
      </c>
      <c r="Q34" s="399">
        <f>SUMIF($D$8:$D$55,$O34,$I$8:$I$55)+SUMIF($F$8:$F$55,$O34,$G$8:$G$55)</f>
        <v>6</v>
      </c>
      <c r="R34" s="399">
        <f>P34-Q34</f>
        <v>-2</v>
      </c>
      <c r="S34" s="400">
        <f>SUMIF($D$8:$D$55,$O34,$K$8:$K$55)+SUMIF($F$8:$F$55,$O34,$L$8:$L$55)</f>
        <v>3</v>
      </c>
      <c r="T34" s="445" t="s">
        <v>69</v>
      </c>
      <c r="U34" s="392"/>
      <c r="V34" s="392" t="str">
        <f>O34</f>
        <v>Ecuador</v>
      </c>
      <c r="W34" s="392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3"/>
        <v>0</v>
      </c>
      <c r="AH34" s="108">
        <f t="shared" si="4"/>
        <v>1</v>
      </c>
      <c r="AI34" s="108">
        <f t="shared" si="10"/>
        <v>0</v>
      </c>
      <c r="AJ34" s="108">
        <f t="shared" si="5"/>
        <v>5</v>
      </c>
      <c r="AK34" s="108">
        <f t="shared" si="6"/>
        <v>0</v>
      </c>
      <c r="AL34" s="108">
        <f t="shared" si="7"/>
        <v>0</v>
      </c>
      <c r="AM34" s="120">
        <f>AO34</f>
        <v>10</v>
      </c>
      <c r="AN34" s="117" t="s">
        <v>26</v>
      </c>
      <c r="AO34" s="115">
        <f>IF(Uitslag!T34="",0,IF(T34=Uitslag!T34,10,0))</f>
        <v>10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4</v>
      </c>
      <c r="H35" s="373" t="s">
        <v>9</v>
      </c>
      <c r="I35" s="441">
        <v>0</v>
      </c>
      <c r="J35" s="375">
        <f t="shared" si="0"/>
        <v>1</v>
      </c>
      <c r="K35" s="363">
        <f t="shared" si="1"/>
        <v>3</v>
      </c>
      <c r="L35" s="363">
        <f t="shared" si="2"/>
        <v>0</v>
      </c>
      <c r="O35" s="398" t="s">
        <v>27</v>
      </c>
      <c r="P35" s="399">
        <f>SUMIF($D$8:$D$55,$O35,$G$8:$G$55)+SUMIF($F$8:$F$55,$O35,$I$8:$I$55)</f>
        <v>5</v>
      </c>
      <c r="Q35" s="399">
        <f>SUMIF($D$8:$D$55,$O35,$I$8:$I$55)+SUMIF($F$8:$F$55,$O35,$G$8:$G$55)</f>
        <v>2</v>
      </c>
      <c r="R35" s="399">
        <f>P35-Q35</f>
        <v>3</v>
      </c>
      <c r="S35" s="400">
        <f>SUMIF($D$8:$D$55,$O35,$K$8:$K$55)+SUMIF($F$8:$F$55,$O35,$L$8:$L$55)</f>
        <v>5</v>
      </c>
      <c r="T35" s="445" t="s">
        <v>67</v>
      </c>
      <c r="U35" s="392"/>
      <c r="V35" s="392" t="str">
        <f>O35</f>
        <v>Frankrijk</v>
      </c>
      <c r="W35" s="392" t="s">
        <v>69</v>
      </c>
      <c r="Y35" s="109">
        <f t="shared" si="8"/>
        <v>0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0</v>
      </c>
      <c r="AG35" s="108">
        <f t="shared" si="3"/>
        <v>0</v>
      </c>
      <c r="AH35" s="108">
        <f t="shared" si="4"/>
        <v>0</v>
      </c>
      <c r="AI35" s="108">
        <f t="shared" si="10"/>
        <v>0</v>
      </c>
      <c r="AJ35" s="108">
        <f t="shared" si="5"/>
        <v>0</v>
      </c>
      <c r="AK35" s="108">
        <f t="shared" si="6"/>
        <v>0</v>
      </c>
      <c r="AL35" s="108">
        <f t="shared" si="7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2</v>
      </c>
      <c r="H36" s="379" t="s">
        <v>9</v>
      </c>
      <c r="I36" s="442">
        <v>2</v>
      </c>
      <c r="J36" s="381">
        <f t="shared" si="0"/>
        <v>3</v>
      </c>
      <c r="K36" s="363">
        <f t="shared" si="1"/>
        <v>1</v>
      </c>
      <c r="L36" s="363">
        <f t="shared" si="2"/>
        <v>1</v>
      </c>
      <c r="O36" s="401" t="s">
        <v>28</v>
      </c>
      <c r="P36" s="402">
        <f>SUMIF($D$8:$D$55,$O36,$G$8:$G$55)+SUMIF($F$8:$F$55,$O36,$I$8:$I$55)</f>
        <v>2</v>
      </c>
      <c r="Q36" s="402">
        <f>SUMIF($D$8:$D$55,$O36,$I$8:$I$55)+SUMIF($F$8:$F$55,$O36,$G$8:$G$55)</f>
        <v>4</v>
      </c>
      <c r="R36" s="402">
        <f>P36-Q36</f>
        <v>-2</v>
      </c>
      <c r="S36" s="403">
        <f>SUMIF($D$8:$D$55,$O36,$K$8:$K$55)+SUMIF($F$8:$F$55,$O36,$L$8:$L$55)</f>
        <v>2</v>
      </c>
      <c r="T36" s="446" t="s">
        <v>70</v>
      </c>
      <c r="U36" s="392"/>
      <c r="V36" s="392" t="str">
        <f>O36</f>
        <v>Honduras</v>
      </c>
      <c r="W36" s="392" t="s">
        <v>70</v>
      </c>
      <c r="Y36" s="109">
        <f t="shared" si="8"/>
        <v>0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0</v>
      </c>
      <c r="AG36" s="108">
        <f t="shared" si="3"/>
        <v>0</v>
      </c>
      <c r="AH36" s="108">
        <f t="shared" si="4"/>
        <v>0</v>
      </c>
      <c r="AI36" s="108">
        <f t="shared" si="10"/>
        <v>0</v>
      </c>
      <c r="AJ36" s="108">
        <f t="shared" si="5"/>
        <v>0</v>
      </c>
      <c r="AK36" s="108">
        <f t="shared" si="6"/>
        <v>0</v>
      </c>
      <c r="AL36" s="108">
        <f t="shared" si="7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1</v>
      </c>
      <c r="H37" s="367" t="s">
        <v>9</v>
      </c>
      <c r="I37" s="440">
        <v>0</v>
      </c>
      <c r="J37" s="369">
        <f t="shared" si="0"/>
        <v>1</v>
      </c>
      <c r="K37" s="363">
        <f t="shared" si="1"/>
        <v>3</v>
      </c>
      <c r="L37" s="363">
        <f t="shared" si="2"/>
        <v>0</v>
      </c>
      <c r="O37" s="392"/>
      <c r="P37" s="393"/>
      <c r="Q37" s="393"/>
      <c r="R37" s="393"/>
      <c r="S37" s="393"/>
      <c r="T37" s="393"/>
      <c r="U37" s="392"/>
      <c r="V37" s="392"/>
      <c r="W37" s="392"/>
      <c r="Y37" s="109">
        <f t="shared" si="8"/>
        <v>10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10</v>
      </c>
      <c r="AG37" s="108">
        <f t="shared" si="3"/>
        <v>1</v>
      </c>
      <c r="AH37" s="108">
        <f t="shared" si="4"/>
        <v>1</v>
      </c>
      <c r="AI37" s="108">
        <f t="shared" si="10"/>
        <v>10</v>
      </c>
      <c r="AJ37" s="108">
        <f t="shared" si="5"/>
        <v>5</v>
      </c>
      <c r="AK37" s="108">
        <f t="shared" si="6"/>
        <v>0</v>
      </c>
      <c r="AL37" s="108">
        <f t="shared" si="7"/>
        <v>0</v>
      </c>
      <c r="AN37" s="392"/>
      <c r="AO37" s="393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2</v>
      </c>
      <c r="H38" s="373" t="s">
        <v>9</v>
      </c>
      <c r="I38" s="441">
        <v>0</v>
      </c>
      <c r="J38" s="375">
        <f t="shared" si="0"/>
        <v>1</v>
      </c>
      <c r="K38" s="363">
        <f t="shared" si="1"/>
        <v>3</v>
      </c>
      <c r="L38" s="363">
        <f t="shared" si="2"/>
        <v>0</v>
      </c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392"/>
      <c r="V38" s="392"/>
      <c r="W38" s="392"/>
      <c r="Y38" s="109">
        <f t="shared" si="8"/>
        <v>1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1</v>
      </c>
      <c r="AG38" s="108">
        <f t="shared" si="3"/>
        <v>1</v>
      </c>
      <c r="AH38" s="108">
        <f t="shared" si="4"/>
        <v>0</v>
      </c>
      <c r="AI38" s="108">
        <f t="shared" si="10"/>
        <v>0</v>
      </c>
      <c r="AJ38" s="108">
        <f t="shared" si="5"/>
        <v>0</v>
      </c>
      <c r="AK38" s="108">
        <f t="shared" si="6"/>
        <v>0</v>
      </c>
      <c r="AL38" s="108">
        <f t="shared" si="7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1</v>
      </c>
      <c r="H39" s="379" t="s">
        <v>9</v>
      </c>
      <c r="I39" s="442">
        <v>1</v>
      </c>
      <c r="J39" s="381">
        <f t="shared" si="0"/>
        <v>3</v>
      </c>
      <c r="K39" s="363">
        <f t="shared" si="1"/>
        <v>1</v>
      </c>
      <c r="L39" s="363">
        <f t="shared" si="2"/>
        <v>1</v>
      </c>
      <c r="O39" s="394" t="s">
        <v>29</v>
      </c>
      <c r="P39" s="395">
        <f>SUMIF($D$8:$D$55,$O39,$G$8:$G$55)+SUMIF($F$8:$F$55,$O39,$I$8:$I$55)</f>
        <v>11</v>
      </c>
      <c r="Q39" s="395">
        <f>SUMIF($D$8:$D$55,$O39,$I$8:$I$55)+SUMIF($F$8:$F$55,$O39,$G$8:$G$55)</f>
        <v>0</v>
      </c>
      <c r="R39" s="396">
        <f>P39-Q39</f>
        <v>11</v>
      </c>
      <c r="S39" s="397">
        <f>SUMIF($D$8:$D$55,$O39,$K$8:$K$55)+SUMIF($F$8:$F$55,$O39,$L$8:$L$55)</f>
        <v>9</v>
      </c>
      <c r="T39" s="444" t="s">
        <v>72</v>
      </c>
      <c r="U39" s="392"/>
      <c r="V39" s="392" t="str">
        <f>O39</f>
        <v>Argentinië</v>
      </c>
      <c r="W39" s="392" t="s">
        <v>72</v>
      </c>
      <c r="Y39" s="109">
        <f t="shared" si="8"/>
        <v>5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5</v>
      </c>
      <c r="AG39" s="108">
        <f t="shared" si="3"/>
        <v>0</v>
      </c>
      <c r="AH39" s="108">
        <f t="shared" si="4"/>
        <v>0</v>
      </c>
      <c r="AI39" s="108">
        <f t="shared" si="10"/>
        <v>0</v>
      </c>
      <c r="AJ39" s="108">
        <f t="shared" si="5"/>
        <v>0</v>
      </c>
      <c r="AK39" s="108">
        <f t="shared" si="6"/>
        <v>0</v>
      </c>
      <c r="AL39" s="108">
        <f t="shared" si="7"/>
        <v>5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0</v>
      </c>
      <c r="H40" s="367" t="s">
        <v>9</v>
      </c>
      <c r="I40" s="440">
        <v>3</v>
      </c>
      <c r="J40" s="369">
        <f t="shared" si="0"/>
        <v>2</v>
      </c>
      <c r="K40" s="363">
        <f t="shared" si="1"/>
        <v>0</v>
      </c>
      <c r="L40" s="363">
        <f t="shared" si="2"/>
        <v>3</v>
      </c>
      <c r="O40" s="398" t="s">
        <v>30</v>
      </c>
      <c r="P40" s="399">
        <f>SUMIF($D$8:$D$55,$O40,$G$8:$G$55)+SUMIF($F$8:$F$55,$O40,$I$8:$I$55)</f>
        <v>3</v>
      </c>
      <c r="Q40" s="399">
        <f>SUMIF($D$8:$D$55,$O40,$I$8:$I$55)+SUMIF($F$8:$F$55,$O40,$G$8:$G$55)</f>
        <v>5</v>
      </c>
      <c r="R40" s="399">
        <f>P40-Q40</f>
        <v>-2</v>
      </c>
      <c r="S40" s="400">
        <f>SUMIF($D$8:$D$55,$O40,$K$8:$K$55)+SUMIF($F$8:$F$55,$O40,$L$8:$L$55)</f>
        <v>4</v>
      </c>
      <c r="T40" s="445" t="s">
        <v>74</v>
      </c>
      <c r="U40" s="392"/>
      <c r="V40" s="392" t="str">
        <f>O40</f>
        <v>Bosnië H.</v>
      </c>
      <c r="W40" s="392" t="s">
        <v>73</v>
      </c>
      <c r="Y40" s="109">
        <f t="shared" si="8"/>
        <v>10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10</v>
      </c>
      <c r="AG40" s="108">
        <f t="shared" si="3"/>
        <v>1</v>
      </c>
      <c r="AH40" s="108">
        <f t="shared" si="4"/>
        <v>1</v>
      </c>
      <c r="AI40" s="108">
        <f t="shared" si="10"/>
        <v>10</v>
      </c>
      <c r="AJ40" s="108">
        <f t="shared" si="5"/>
        <v>0</v>
      </c>
      <c r="AK40" s="108">
        <f t="shared" si="6"/>
        <v>5</v>
      </c>
      <c r="AL40" s="108">
        <f t="shared" si="7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2</v>
      </c>
      <c r="H41" s="373" t="s">
        <v>9</v>
      </c>
      <c r="I41" s="441">
        <v>2</v>
      </c>
      <c r="J41" s="375">
        <f t="shared" si="0"/>
        <v>3</v>
      </c>
      <c r="K41" s="363">
        <f t="shared" si="1"/>
        <v>1</v>
      </c>
      <c r="L41" s="363">
        <f t="shared" si="2"/>
        <v>1</v>
      </c>
      <c r="O41" s="398" t="s">
        <v>33</v>
      </c>
      <c r="P41" s="399">
        <f>SUMIF($D$8:$D$55,$O41,$G$8:$G$55)+SUMIF($F$8:$F$55,$O41,$I$8:$I$55)</f>
        <v>0</v>
      </c>
      <c r="Q41" s="399">
        <f>SUMIF($D$8:$D$55,$O41,$I$8:$I$55)+SUMIF($F$8:$F$55,$O41,$G$8:$G$55)</f>
        <v>10</v>
      </c>
      <c r="R41" s="399">
        <f>P41-Q41</f>
        <v>-10</v>
      </c>
      <c r="S41" s="400">
        <f>SUMIF($D$8:$D$55,$O41,$K$8:$K$55)+SUMIF($F$8:$F$55,$O41,$L$8:$L$55)</f>
        <v>0</v>
      </c>
      <c r="T41" s="445" t="s">
        <v>75</v>
      </c>
      <c r="U41" s="392"/>
      <c r="V41" s="392" t="str">
        <f>O41</f>
        <v>Iran</v>
      </c>
      <c r="W41" s="392" t="s">
        <v>74</v>
      </c>
      <c r="Y41" s="109">
        <f t="shared" si="8"/>
        <v>1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1</v>
      </c>
      <c r="AG41" s="108">
        <f t="shared" si="3"/>
        <v>1</v>
      </c>
      <c r="AH41" s="108">
        <f t="shared" si="4"/>
        <v>0</v>
      </c>
      <c r="AI41" s="108">
        <f t="shared" si="10"/>
        <v>0</v>
      </c>
      <c r="AJ41" s="108">
        <f t="shared" si="5"/>
        <v>0</v>
      </c>
      <c r="AK41" s="108">
        <f t="shared" si="6"/>
        <v>0</v>
      </c>
      <c r="AL41" s="108">
        <f t="shared" si="7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0</v>
      </c>
      <c r="H42" s="373" t="s">
        <v>9</v>
      </c>
      <c r="I42" s="441">
        <v>5</v>
      </c>
      <c r="J42" s="375">
        <f t="shared" si="0"/>
        <v>2</v>
      </c>
      <c r="K42" s="363">
        <f t="shared" si="1"/>
        <v>0</v>
      </c>
      <c r="L42" s="363">
        <f t="shared" si="2"/>
        <v>3</v>
      </c>
      <c r="O42" s="401" t="s">
        <v>34</v>
      </c>
      <c r="P42" s="402">
        <f>SUMIF($D$8:$D$55,$O42,$G$8:$G$55)+SUMIF($F$8:$F$55,$O42,$I$8:$I$55)</f>
        <v>5</v>
      </c>
      <c r="Q42" s="402">
        <f>SUMIF($D$8:$D$55,$O42,$I$8:$I$55)+SUMIF($F$8:$F$55,$O42,$G$8:$G$55)</f>
        <v>4</v>
      </c>
      <c r="R42" s="402">
        <f>P42-Q42</f>
        <v>1</v>
      </c>
      <c r="S42" s="403">
        <f>SUMIF($D$8:$D$55,$O42,$K$8:$K$55)+SUMIF($F$8:$F$55,$O42,$L$8:$L$55)</f>
        <v>4</v>
      </c>
      <c r="T42" s="446" t="s">
        <v>73</v>
      </c>
      <c r="U42" s="392"/>
      <c r="V42" s="392" t="str">
        <f>O42</f>
        <v>Nigeria</v>
      </c>
      <c r="W42" s="392" t="s">
        <v>75</v>
      </c>
      <c r="Y42" s="109">
        <f t="shared" si="8"/>
        <v>5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5</v>
      </c>
      <c r="AG42" s="108">
        <f t="shared" si="3"/>
        <v>0</v>
      </c>
      <c r="AH42" s="108">
        <f t="shared" si="4"/>
        <v>0</v>
      </c>
      <c r="AI42" s="108">
        <f t="shared" si="10"/>
        <v>0</v>
      </c>
      <c r="AJ42" s="108">
        <f t="shared" si="5"/>
        <v>0</v>
      </c>
      <c r="AK42" s="108">
        <f t="shared" si="6"/>
        <v>5</v>
      </c>
      <c r="AL42" s="108">
        <f t="shared" si="7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2</v>
      </c>
      <c r="H43" s="379" t="s">
        <v>9</v>
      </c>
      <c r="I43" s="442">
        <v>2</v>
      </c>
      <c r="J43" s="381">
        <f t="shared" si="0"/>
        <v>3</v>
      </c>
      <c r="K43" s="363">
        <f t="shared" si="1"/>
        <v>1</v>
      </c>
      <c r="L43" s="363">
        <f t="shared" si="2"/>
        <v>1</v>
      </c>
      <c r="O43" s="392"/>
      <c r="P43" s="393"/>
      <c r="Q43" s="393"/>
      <c r="R43" s="393"/>
      <c r="S43" s="393"/>
      <c r="T43" s="393"/>
      <c r="U43" s="392"/>
      <c r="V43" s="392"/>
      <c r="W43" s="392"/>
      <c r="Y43" s="109">
        <f t="shared" si="8"/>
        <v>0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0</v>
      </c>
      <c r="AG43" s="108">
        <f t="shared" si="3"/>
        <v>0</v>
      </c>
      <c r="AH43" s="108">
        <f t="shared" si="4"/>
        <v>0</v>
      </c>
      <c r="AI43" s="108">
        <f t="shared" si="10"/>
        <v>0</v>
      </c>
      <c r="AJ43" s="108">
        <f t="shared" si="5"/>
        <v>0</v>
      </c>
      <c r="AK43" s="108">
        <f t="shared" si="6"/>
        <v>0</v>
      </c>
      <c r="AL43" s="108">
        <f t="shared" si="7"/>
        <v>0</v>
      </c>
      <c r="AN43" s="392"/>
      <c r="AO43" s="393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1</v>
      </c>
      <c r="H44" s="367" t="s">
        <v>9</v>
      </c>
      <c r="I44" s="440">
        <v>2</v>
      </c>
      <c r="J44" s="369">
        <f t="shared" si="0"/>
        <v>2</v>
      </c>
      <c r="K44" s="363">
        <f t="shared" si="1"/>
        <v>0</v>
      </c>
      <c r="L44" s="363">
        <f t="shared" si="2"/>
        <v>3</v>
      </c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392"/>
      <c r="V44" s="392"/>
      <c r="W44" s="392"/>
      <c r="Y44" s="109">
        <f t="shared" si="8"/>
        <v>5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5</v>
      </c>
      <c r="AG44" s="108">
        <f t="shared" si="3"/>
        <v>0</v>
      </c>
      <c r="AH44" s="108">
        <f t="shared" si="4"/>
        <v>0</v>
      </c>
      <c r="AI44" s="108">
        <f t="shared" si="10"/>
        <v>0</v>
      </c>
      <c r="AJ44" s="108">
        <f t="shared" si="5"/>
        <v>0</v>
      </c>
      <c r="AK44" s="108">
        <f t="shared" si="6"/>
        <v>5</v>
      </c>
      <c r="AL44" s="108">
        <f t="shared" si="7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0</v>
      </c>
      <c r="H45" s="373" t="s">
        <v>9</v>
      </c>
      <c r="I45" s="441">
        <v>2</v>
      </c>
      <c r="J45" s="375">
        <f t="shared" si="0"/>
        <v>2</v>
      </c>
      <c r="K45" s="363">
        <f t="shared" si="1"/>
        <v>0</v>
      </c>
      <c r="L45" s="363">
        <f t="shared" si="2"/>
        <v>3</v>
      </c>
      <c r="O45" s="394" t="s">
        <v>31</v>
      </c>
      <c r="P45" s="395">
        <f>SUMIF($D$8:$D$55,$O45,$G$8:$G$55)+SUMIF($F$8:$F$55,$O45,$I$8:$I$55)</f>
        <v>8</v>
      </c>
      <c r="Q45" s="395">
        <f>SUMIF($D$8:$D$55,$O45,$I$8:$I$55)+SUMIF($F$8:$F$55,$O45,$G$8:$G$55)</f>
        <v>1</v>
      </c>
      <c r="R45" s="396">
        <f>P45-Q45</f>
        <v>7</v>
      </c>
      <c r="S45" s="397">
        <f>SUMIF($D$8:$D$55,$O45,$K$8:$K$55)+SUMIF($F$8:$F$55,$O45,$L$8:$L$55)</f>
        <v>7</v>
      </c>
      <c r="T45" s="444" t="s">
        <v>77</v>
      </c>
      <c r="U45" s="392"/>
      <c r="V45" s="392" t="str">
        <f>O45</f>
        <v>Duitsland</v>
      </c>
      <c r="W45" s="392" t="s">
        <v>77</v>
      </c>
      <c r="Y45" s="109">
        <f t="shared" si="8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1</v>
      </c>
      <c r="AG45" s="108">
        <f t="shared" si="3"/>
        <v>1</v>
      </c>
      <c r="AH45" s="108">
        <f t="shared" si="4"/>
        <v>0</v>
      </c>
      <c r="AI45" s="108">
        <f t="shared" si="10"/>
        <v>0</v>
      </c>
      <c r="AJ45" s="108">
        <f t="shared" si="5"/>
        <v>0</v>
      </c>
      <c r="AK45" s="108">
        <f t="shared" si="6"/>
        <v>0</v>
      </c>
      <c r="AL45" s="108">
        <f t="shared" si="7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1</v>
      </c>
      <c r="H46" s="373" t="s">
        <v>9</v>
      </c>
      <c r="I46" s="441">
        <v>1</v>
      </c>
      <c r="J46" s="375">
        <f t="shared" si="0"/>
        <v>3</v>
      </c>
      <c r="K46" s="363">
        <f t="shared" si="1"/>
        <v>1</v>
      </c>
      <c r="L46" s="363">
        <f t="shared" si="2"/>
        <v>1</v>
      </c>
      <c r="O46" s="398" t="s">
        <v>32</v>
      </c>
      <c r="P46" s="399">
        <f>SUMIF($D$8:$D$55,$O46,$G$8:$G$55)+SUMIF($F$8:$F$55,$O46,$I$8:$I$55)</f>
        <v>4</v>
      </c>
      <c r="Q46" s="399">
        <f>SUMIF($D$8:$D$55,$O46,$I$8:$I$55)+SUMIF($F$8:$F$55,$O46,$G$8:$G$55)</f>
        <v>3</v>
      </c>
      <c r="R46" s="399">
        <f>P46-Q46</f>
        <v>1</v>
      </c>
      <c r="S46" s="400">
        <f>SUMIF($D$8:$D$55,$O46,$K$8:$K$55)+SUMIF($F$8:$F$55,$O46,$L$8:$L$55)</f>
        <v>5</v>
      </c>
      <c r="T46" s="445" t="s">
        <v>78</v>
      </c>
      <c r="U46" s="392"/>
      <c r="V46" s="392" t="str">
        <f>O46</f>
        <v>Portugal</v>
      </c>
      <c r="W46" s="392" t="s">
        <v>78</v>
      </c>
      <c r="Y46" s="109">
        <f t="shared" si="8"/>
        <v>1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1</v>
      </c>
      <c r="AG46" s="108">
        <f t="shared" si="3"/>
        <v>1</v>
      </c>
      <c r="AH46" s="108">
        <f t="shared" si="4"/>
        <v>0</v>
      </c>
      <c r="AI46" s="108">
        <f t="shared" si="10"/>
        <v>0</v>
      </c>
      <c r="AJ46" s="108">
        <f t="shared" si="5"/>
        <v>0</v>
      </c>
      <c r="AK46" s="108">
        <f t="shared" si="6"/>
        <v>0</v>
      </c>
      <c r="AL46" s="108">
        <f t="shared" si="7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1</v>
      </c>
      <c r="H47" s="379" t="s">
        <v>9</v>
      </c>
      <c r="I47" s="442">
        <v>1</v>
      </c>
      <c r="J47" s="381">
        <f t="shared" si="0"/>
        <v>3</v>
      </c>
      <c r="K47" s="363">
        <f t="shared" si="1"/>
        <v>1</v>
      </c>
      <c r="L47" s="363">
        <f t="shared" si="2"/>
        <v>1</v>
      </c>
      <c r="O47" s="398" t="s">
        <v>35</v>
      </c>
      <c r="P47" s="399">
        <f>SUMIF($D$8:$D$55,$O47,$G$8:$G$55)+SUMIF($F$8:$F$55,$O47,$I$8:$I$55)</f>
        <v>2</v>
      </c>
      <c r="Q47" s="399">
        <f>SUMIF($D$8:$D$55,$O47,$I$8:$I$55)+SUMIF($F$8:$F$55,$O47,$G$8:$G$55)</f>
        <v>7</v>
      </c>
      <c r="R47" s="399">
        <f>P47-Q47</f>
        <v>-5</v>
      </c>
      <c r="S47" s="400">
        <f>SUMIF($D$8:$D$55,$O47,$K$8:$K$55)+SUMIF($F$8:$F$55,$O47,$L$8:$L$55)</f>
        <v>1</v>
      </c>
      <c r="T47" s="445" t="s">
        <v>80</v>
      </c>
      <c r="U47" s="392"/>
      <c r="V47" s="392" t="str">
        <f>O47</f>
        <v>Ghana</v>
      </c>
      <c r="W47" s="392" t="s">
        <v>79</v>
      </c>
      <c r="Y47" s="109">
        <f t="shared" si="8"/>
        <v>1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1</v>
      </c>
      <c r="AG47" s="108">
        <f t="shared" si="3"/>
        <v>0</v>
      </c>
      <c r="AH47" s="108">
        <f t="shared" si="4"/>
        <v>1</v>
      </c>
      <c r="AI47" s="108">
        <f t="shared" si="10"/>
        <v>0</v>
      </c>
      <c r="AJ47" s="108">
        <f t="shared" si="5"/>
        <v>0</v>
      </c>
      <c r="AK47" s="108">
        <f t="shared" si="6"/>
        <v>0</v>
      </c>
      <c r="AL47" s="108">
        <f t="shared" si="7"/>
        <v>0</v>
      </c>
      <c r="AM47" s="120">
        <f>AO47</f>
        <v>10</v>
      </c>
      <c r="AN47" s="117" t="s">
        <v>35</v>
      </c>
      <c r="AO47" s="115">
        <f>IF(Uitslag!T47="",0,IF(T47=Uitslag!T47,10,0))</f>
        <v>10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0</v>
      </c>
      <c r="H48" s="367" t="s">
        <v>9</v>
      </c>
      <c r="I48" s="440">
        <v>2</v>
      </c>
      <c r="J48" s="369">
        <f t="shared" si="0"/>
        <v>2</v>
      </c>
      <c r="K48" s="363">
        <f t="shared" si="1"/>
        <v>0</v>
      </c>
      <c r="L48" s="363">
        <f t="shared" si="2"/>
        <v>3</v>
      </c>
      <c r="O48" s="401" t="s">
        <v>36</v>
      </c>
      <c r="P48" s="402">
        <f>SUMIF($D$8:$D$55,$O48,$G$8:$G$55)+SUMIF($F$8:$F$55,$O48,$I$8:$I$55)</f>
        <v>2</v>
      </c>
      <c r="Q48" s="402">
        <f>SUMIF($D$8:$D$55,$O48,$I$8:$I$55)+SUMIF($F$8:$F$55,$O48,$G$8:$G$55)</f>
        <v>5</v>
      </c>
      <c r="R48" s="402">
        <f>P48-Q48</f>
        <v>-3</v>
      </c>
      <c r="S48" s="403">
        <f>SUMIF($D$8:$D$55,$O48,$K$8:$K$55)+SUMIF($F$8:$F$55,$O48,$L$8:$L$55)</f>
        <v>2</v>
      </c>
      <c r="T48" s="446" t="s">
        <v>79</v>
      </c>
      <c r="U48" s="392"/>
      <c r="V48" s="392" t="str">
        <f>O48</f>
        <v>Verenigde Staten</v>
      </c>
      <c r="W48" s="392" t="s">
        <v>80</v>
      </c>
      <c r="Y48" s="109">
        <f t="shared" si="8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5</v>
      </c>
      <c r="AG48" s="108">
        <f t="shared" si="3"/>
        <v>0</v>
      </c>
      <c r="AH48" s="108">
        <f t="shared" si="4"/>
        <v>0</v>
      </c>
      <c r="AI48" s="108">
        <f t="shared" si="10"/>
        <v>0</v>
      </c>
      <c r="AJ48" s="108">
        <f t="shared" si="5"/>
        <v>0</v>
      </c>
      <c r="AK48" s="108">
        <f t="shared" si="6"/>
        <v>5</v>
      </c>
      <c r="AL48" s="108">
        <f t="shared" si="7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1</v>
      </c>
      <c r="H49" s="373" t="s">
        <v>9</v>
      </c>
      <c r="I49" s="441">
        <v>0</v>
      </c>
      <c r="J49" s="375">
        <f t="shared" si="0"/>
        <v>1</v>
      </c>
      <c r="K49" s="363">
        <f t="shared" si="1"/>
        <v>3</v>
      </c>
      <c r="L49" s="363">
        <f t="shared" si="2"/>
        <v>0</v>
      </c>
      <c r="O49" s="392"/>
      <c r="P49" s="393"/>
      <c r="Q49" s="393"/>
      <c r="R49" s="393"/>
      <c r="S49" s="393"/>
      <c r="T49" s="393"/>
      <c r="U49" s="392"/>
      <c r="V49" s="392"/>
      <c r="W49" s="392"/>
      <c r="Y49" s="109">
        <f t="shared" si="8"/>
        <v>5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5</v>
      </c>
      <c r="AG49" s="108">
        <f t="shared" si="3"/>
        <v>0</v>
      </c>
      <c r="AH49" s="108">
        <f t="shared" si="4"/>
        <v>0</v>
      </c>
      <c r="AI49" s="108">
        <f t="shared" si="10"/>
        <v>0</v>
      </c>
      <c r="AJ49" s="108">
        <f t="shared" si="5"/>
        <v>5</v>
      </c>
      <c r="AK49" s="108">
        <f t="shared" si="6"/>
        <v>0</v>
      </c>
      <c r="AL49" s="108">
        <f t="shared" si="7"/>
        <v>0</v>
      </c>
      <c r="AN49" s="392"/>
      <c r="AO49" s="393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1</v>
      </c>
      <c r="H50" s="373" t="s">
        <v>9</v>
      </c>
      <c r="I50" s="441">
        <v>1</v>
      </c>
      <c r="J50" s="375">
        <f t="shared" si="0"/>
        <v>3</v>
      </c>
      <c r="K50" s="363">
        <f t="shared" si="1"/>
        <v>1</v>
      </c>
      <c r="L50" s="363">
        <f t="shared" si="2"/>
        <v>1</v>
      </c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392"/>
      <c r="V50" s="392"/>
      <c r="W50" s="392"/>
      <c r="Y50" s="109">
        <f t="shared" si="8"/>
        <v>0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0</v>
      </c>
      <c r="AG50" s="108">
        <f t="shared" si="3"/>
        <v>0</v>
      </c>
      <c r="AH50" s="108">
        <f t="shared" si="4"/>
        <v>0</v>
      </c>
      <c r="AI50" s="108">
        <f t="shared" si="10"/>
        <v>0</v>
      </c>
      <c r="AJ50" s="108">
        <f t="shared" si="5"/>
        <v>0</v>
      </c>
      <c r="AK50" s="108">
        <f t="shared" si="6"/>
        <v>0</v>
      </c>
      <c r="AL50" s="108">
        <f t="shared" si="7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0</v>
      </c>
      <c r="H51" s="379" t="s">
        <v>9</v>
      </c>
      <c r="I51" s="442">
        <v>3</v>
      </c>
      <c r="J51" s="381">
        <f t="shared" si="0"/>
        <v>2</v>
      </c>
      <c r="K51" s="363">
        <f t="shared" si="1"/>
        <v>0</v>
      </c>
      <c r="L51" s="363">
        <f t="shared" si="2"/>
        <v>3</v>
      </c>
      <c r="O51" s="394" t="s">
        <v>37</v>
      </c>
      <c r="P51" s="395">
        <f>SUMIF($D$8:$D$55,$O51,$G$8:$G$55)+SUMIF($F$8:$F$55,$O51,$I$8:$I$55)</f>
        <v>6</v>
      </c>
      <c r="Q51" s="395">
        <f>SUMIF($D$8:$D$55,$O51,$I$8:$I$55)+SUMIF($F$8:$F$55,$O51,$G$8:$G$55)</f>
        <v>0</v>
      </c>
      <c r="R51" s="396">
        <f>P51-Q51</f>
        <v>6</v>
      </c>
      <c r="S51" s="397">
        <f>SUMIF($D$8:$D$55,$O51,$K$8:$K$55)+SUMIF($F$8:$F$55,$O51,$L$8:$L$55)</f>
        <v>9</v>
      </c>
      <c r="T51" s="444" t="s">
        <v>82</v>
      </c>
      <c r="U51" s="392"/>
      <c r="V51" s="392" t="str">
        <f>O51</f>
        <v>België</v>
      </c>
      <c r="W51" s="392" t="s">
        <v>82</v>
      </c>
      <c r="Y51" s="109">
        <f t="shared" si="8"/>
        <v>1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1</v>
      </c>
      <c r="AG51" s="108">
        <f t="shared" si="3"/>
        <v>1</v>
      </c>
      <c r="AH51" s="108">
        <f t="shared" si="4"/>
        <v>0</v>
      </c>
      <c r="AI51" s="108">
        <f t="shared" si="10"/>
        <v>0</v>
      </c>
      <c r="AJ51" s="108">
        <f t="shared" si="5"/>
        <v>0</v>
      </c>
      <c r="AK51" s="108">
        <f t="shared" si="6"/>
        <v>0</v>
      </c>
      <c r="AL51" s="108">
        <f t="shared" si="7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0</v>
      </c>
      <c r="H52" s="373" t="s">
        <v>9</v>
      </c>
      <c r="I52" s="441">
        <v>3</v>
      </c>
      <c r="J52" s="369">
        <f t="shared" si="0"/>
        <v>2</v>
      </c>
      <c r="K52" s="363">
        <f t="shared" si="1"/>
        <v>0</v>
      </c>
      <c r="L52" s="363">
        <f t="shared" si="2"/>
        <v>3</v>
      </c>
      <c r="O52" s="398" t="s">
        <v>38</v>
      </c>
      <c r="P52" s="399">
        <f>SUMIF($D$8:$D$55,$O52,$G$8:$G$55)+SUMIF($F$8:$F$55,$O52,$I$8:$I$55)</f>
        <v>0</v>
      </c>
      <c r="Q52" s="399">
        <f>SUMIF($D$8:$D$55,$O52,$I$8:$I$55)+SUMIF($F$8:$F$55,$O52,$G$8:$G$55)</f>
        <v>9</v>
      </c>
      <c r="R52" s="399">
        <f>P52-Q52</f>
        <v>-9</v>
      </c>
      <c r="S52" s="400">
        <f>SUMIF($D$8:$D$55,$O52,$K$8:$K$55)+SUMIF($F$8:$F$55,$O52,$L$8:$L$55)</f>
        <v>0</v>
      </c>
      <c r="T52" s="445" t="s">
        <v>85</v>
      </c>
      <c r="U52" s="392"/>
      <c r="V52" s="392" t="str">
        <f>O52</f>
        <v>Algerije</v>
      </c>
      <c r="W52" s="392" t="s">
        <v>83</v>
      </c>
      <c r="Y52" s="109">
        <f t="shared" si="8"/>
        <v>6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6</v>
      </c>
      <c r="AG52" s="108">
        <f t="shared" si="3"/>
        <v>1</v>
      </c>
      <c r="AH52" s="108">
        <f t="shared" si="4"/>
        <v>0</v>
      </c>
      <c r="AI52" s="108">
        <f t="shared" si="10"/>
        <v>0</v>
      </c>
      <c r="AJ52" s="108">
        <f t="shared" si="5"/>
        <v>0</v>
      </c>
      <c r="AK52" s="108">
        <f t="shared" si="6"/>
        <v>5</v>
      </c>
      <c r="AL52" s="108">
        <f t="shared" si="7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2</v>
      </c>
      <c r="H53" s="373" t="s">
        <v>9</v>
      </c>
      <c r="I53" s="441">
        <v>1</v>
      </c>
      <c r="J53" s="375">
        <f t="shared" si="0"/>
        <v>1</v>
      </c>
      <c r="K53" s="363">
        <f t="shared" si="1"/>
        <v>3</v>
      </c>
      <c r="L53" s="363">
        <f t="shared" si="2"/>
        <v>0</v>
      </c>
      <c r="O53" s="398" t="s">
        <v>39</v>
      </c>
      <c r="P53" s="399">
        <f>SUMIF($D$8:$D$55,$O53,$G$8:$G$55)+SUMIF($F$8:$F$55,$O53,$I$8:$I$55)</f>
        <v>5</v>
      </c>
      <c r="Q53" s="399">
        <f>SUMIF($D$8:$D$55,$O53,$I$8:$I$55)+SUMIF($F$8:$F$55,$O53,$G$8:$G$55)</f>
        <v>1</v>
      </c>
      <c r="R53" s="399">
        <f>P53-Q53</f>
        <v>4</v>
      </c>
      <c r="S53" s="400">
        <f>SUMIF($D$8:$D$55,$O53,$K$8:$K$55)+SUMIF($F$8:$F$55,$O53,$L$8:$L$55)</f>
        <v>4</v>
      </c>
      <c r="T53" s="445" t="s">
        <v>83</v>
      </c>
      <c r="U53" s="392"/>
      <c r="V53" s="392" t="str">
        <f>O53</f>
        <v>Rusland</v>
      </c>
      <c r="W53" s="392" t="s">
        <v>84</v>
      </c>
      <c r="Y53" s="109">
        <f t="shared" si="8"/>
        <v>10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10</v>
      </c>
      <c r="AG53" s="108">
        <f t="shared" si="3"/>
        <v>1</v>
      </c>
      <c r="AH53" s="108">
        <f t="shared" si="4"/>
        <v>1</v>
      </c>
      <c r="AI53" s="108">
        <f t="shared" si="10"/>
        <v>10</v>
      </c>
      <c r="AJ53" s="108">
        <f t="shared" si="5"/>
        <v>5</v>
      </c>
      <c r="AK53" s="108">
        <f t="shared" si="6"/>
        <v>0</v>
      </c>
      <c r="AL53" s="108">
        <f t="shared" si="7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0</v>
      </c>
      <c r="H54" s="373" t="s">
        <v>9</v>
      </c>
      <c r="I54" s="441">
        <v>3</v>
      </c>
      <c r="J54" s="375">
        <f t="shared" si="0"/>
        <v>2</v>
      </c>
      <c r="K54" s="363">
        <f t="shared" si="1"/>
        <v>0</v>
      </c>
      <c r="L54" s="363">
        <f t="shared" si="2"/>
        <v>3</v>
      </c>
      <c r="O54" s="401" t="s">
        <v>40</v>
      </c>
      <c r="P54" s="402">
        <f>SUMIF($D$8:$D$55,$O54,$G$8:$G$55)+SUMIF($F$8:$F$55,$O54,$I$8:$I$55)</f>
        <v>2</v>
      </c>
      <c r="Q54" s="402">
        <f>SUMIF($D$8:$D$55,$O54,$I$8:$I$55)+SUMIF($F$8:$F$55,$O54,$G$8:$G$55)</f>
        <v>3</v>
      </c>
      <c r="R54" s="402">
        <f>P54-Q54</f>
        <v>-1</v>
      </c>
      <c r="S54" s="403">
        <f>SUMIF($D$8:$D$55,$O54,$K$8:$K$55)+SUMIF($F$8:$F$55,$O54,$L$8:$L$55)</f>
        <v>4</v>
      </c>
      <c r="T54" s="446" t="s">
        <v>84</v>
      </c>
      <c r="U54" s="392"/>
      <c r="V54" s="392" t="str">
        <f>O54</f>
        <v>Zuid Korea</v>
      </c>
      <c r="W54" s="392" t="s">
        <v>85</v>
      </c>
      <c r="Y54" s="109">
        <f t="shared" si="8"/>
        <v>6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6</v>
      </c>
      <c r="AG54" s="108">
        <f t="shared" si="3"/>
        <v>1</v>
      </c>
      <c r="AH54" s="108">
        <f t="shared" si="4"/>
        <v>0</v>
      </c>
      <c r="AI54" s="108">
        <f t="shared" si="10"/>
        <v>0</v>
      </c>
      <c r="AJ54" s="108">
        <f t="shared" si="5"/>
        <v>0</v>
      </c>
      <c r="AK54" s="108">
        <f t="shared" si="6"/>
        <v>5</v>
      </c>
      <c r="AL54" s="108">
        <f t="shared" si="7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0</v>
      </c>
      <c r="H55" s="388" t="s">
        <v>9</v>
      </c>
      <c r="I55" s="443">
        <v>5</v>
      </c>
      <c r="J55" s="390">
        <f t="shared" si="0"/>
        <v>2</v>
      </c>
      <c r="K55" s="363">
        <f t="shared" si="1"/>
        <v>0</v>
      </c>
      <c r="L55" s="363">
        <f t="shared" si="2"/>
        <v>3</v>
      </c>
      <c r="O55" s="392"/>
      <c r="P55" s="393"/>
      <c r="Q55" s="393"/>
      <c r="R55" s="393"/>
      <c r="S55" s="393"/>
      <c r="T55" s="393"/>
      <c r="U55" s="392"/>
      <c r="V55" s="392"/>
      <c r="W55" s="392"/>
      <c r="Y55" s="109">
        <f t="shared" si="8"/>
        <v>0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0</v>
      </c>
      <c r="AG55" s="108">
        <f t="shared" si="3"/>
        <v>0</v>
      </c>
      <c r="AH55" s="108">
        <f t="shared" si="4"/>
        <v>0</v>
      </c>
      <c r="AI55" s="108">
        <f t="shared" si="10"/>
        <v>0</v>
      </c>
      <c r="AJ55" s="108">
        <f t="shared" si="5"/>
        <v>0</v>
      </c>
      <c r="AK55" s="108">
        <f t="shared" si="6"/>
        <v>0</v>
      </c>
      <c r="AL55" s="108">
        <f t="shared" si="7"/>
        <v>0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79"/>
      <c r="K57" s="353"/>
      <c r="L57" s="353"/>
      <c r="M57" s="353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77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O58" s="458">
        <v>1</v>
      </c>
      <c r="P58" s="877" t="s">
        <v>224</v>
      </c>
      <c r="Q58" s="877"/>
      <c r="R58" s="877"/>
      <c r="S58" s="877"/>
      <c r="T58" s="878"/>
      <c r="V58" s="352" t="s">
        <v>132</v>
      </c>
      <c r="W58" s="352" t="s">
        <v>124</v>
      </c>
      <c r="X58" s="352" t="str">
        <f t="shared" ref="X58:X98" si="11">CONCATENATE(W58," ",V58)</f>
        <v>Jeroen Zoet (k)</v>
      </c>
      <c r="Y58" s="113" t="s">
        <v>91</v>
      </c>
      <c r="Z58" s="352" t="str">
        <f>IF(K58=""," ",VLOOKUP(K58,$T$9:$V$54,3,FALSE))</f>
        <v xml:space="preserve"> </v>
      </c>
      <c r="AA58" s="352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 t="shared" ref="D59:D66" si="13">IF(ISERROR(Z59),K59,Z59)</f>
        <v>Brazilië</v>
      </c>
      <c r="E59" s="367" t="s">
        <v>9</v>
      </c>
      <c r="F59" s="406" t="str">
        <f t="shared" ref="F59:F66" si="14">IF(ISERROR(AA59),L59,AA59)</f>
        <v>Chili</v>
      </c>
      <c r="G59" s="435">
        <v>2</v>
      </c>
      <c r="H59" s="367" t="s">
        <v>9</v>
      </c>
      <c r="I59" s="447">
        <v>1</v>
      </c>
      <c r="J59" s="448">
        <v>1</v>
      </c>
      <c r="K59" s="407" t="s">
        <v>48</v>
      </c>
      <c r="L59" s="407" t="s">
        <v>53</v>
      </c>
      <c r="M59" s="407">
        <v>1</v>
      </c>
      <c r="O59" s="458">
        <v>2</v>
      </c>
      <c r="P59" s="877" t="s">
        <v>220</v>
      </c>
      <c r="Q59" s="877"/>
      <c r="R59" s="877"/>
      <c r="S59" s="877"/>
      <c r="T59" s="878"/>
      <c r="V59" s="352" t="s">
        <v>132</v>
      </c>
      <c r="W59" s="352" t="s">
        <v>111</v>
      </c>
      <c r="X59" s="352" t="str">
        <f t="shared" si="11"/>
        <v>Jasper Cillessen (k)</v>
      </c>
      <c r="Y59" s="109">
        <f>AF59</f>
        <v>1</v>
      </c>
      <c r="Z59" s="352" t="str">
        <f t="shared" ref="Z59:AA65" si="15">IF(K59=""," ",VLOOKUP(K59,$T$9:$V$54,3,FALSE))</f>
        <v>Brazilië</v>
      </c>
      <c r="AA59" s="352" t="str">
        <f t="shared" si="15"/>
        <v>Chili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6">IF(OR(AC59="",AD59=""),0,(IF(SUM(AG59:AL59)&gt;10,10,SUM(AG59:AL59))))</f>
        <v>1</v>
      </c>
      <c r="AG59" s="108">
        <f t="shared" ref="AG59:AG66" si="17">IF(AC59="",0,(IF(G59=AC59,1,0)))</f>
        <v>0</v>
      </c>
      <c r="AH59" s="108">
        <f t="shared" ref="AH59:AH66" si="18">IF(AD59="",0,(IF(I59=AD59,1,0)))</f>
        <v>1</v>
      </c>
      <c r="AI59" s="108">
        <f t="shared" ref="AI59:AI66" si="19">IF(AND(AG59=1,AH59=1),10,0)</f>
        <v>0</v>
      </c>
      <c r="AJ59" s="108">
        <f t="shared" ref="AJ59:AJ66" si="20">IF(AND(G59&gt;I59,AC59&gt;AD59),5,0)</f>
        <v>0</v>
      </c>
      <c r="AK59" s="108">
        <f t="shared" ref="AK59:AK66" si="21">IF(AND(G59&lt;I59,AC59&lt;AD59),5,0)</f>
        <v>0</v>
      </c>
      <c r="AL59" s="108">
        <f t="shared" ref="AL59:AL66" si="22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3">BA59</f>
        <v>3</v>
      </c>
    </row>
    <row r="60" spans="2:54">
      <c r="B60" s="376">
        <v>50</v>
      </c>
      <c r="C60" s="466">
        <v>41818</v>
      </c>
      <c r="D60" s="460" t="str">
        <f t="shared" si="13"/>
        <v>Colombia</v>
      </c>
      <c r="E60" s="379" t="s">
        <v>9</v>
      </c>
      <c r="F60" s="409" t="str">
        <f t="shared" si="14"/>
        <v>Uruguay</v>
      </c>
      <c r="G60" s="437">
        <v>0</v>
      </c>
      <c r="H60" s="379" t="s">
        <v>9</v>
      </c>
      <c r="I60" s="449">
        <v>2</v>
      </c>
      <c r="J60" s="450">
        <v>2</v>
      </c>
      <c r="K60" s="407" t="s">
        <v>57</v>
      </c>
      <c r="L60" s="407" t="s">
        <v>63</v>
      </c>
      <c r="M60" s="407">
        <v>2</v>
      </c>
      <c r="O60" s="458">
        <v>3</v>
      </c>
      <c r="P60" s="877" t="s">
        <v>211</v>
      </c>
      <c r="Q60" s="877"/>
      <c r="R60" s="877"/>
      <c r="S60" s="877"/>
      <c r="T60" s="878"/>
      <c r="V60" s="352" t="s">
        <v>132</v>
      </c>
      <c r="W60" s="352" t="s">
        <v>110</v>
      </c>
      <c r="X60" s="352" t="str">
        <f t="shared" si="11"/>
        <v>Kenneth Vermeer (k)</v>
      </c>
      <c r="Y60" s="109">
        <f t="shared" ref="Y60:Y66" si="24">AF60</f>
        <v>0</v>
      </c>
      <c r="Z60" s="352" t="str">
        <f t="shared" si="15"/>
        <v>Colombia</v>
      </c>
      <c r="AA60" s="352" t="str">
        <f t="shared" si="15"/>
        <v>Uruguay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6"/>
        <v>0</v>
      </c>
      <c r="AG60" s="108">
        <f t="shared" si="17"/>
        <v>0</v>
      </c>
      <c r="AH60" s="108">
        <f t="shared" si="18"/>
        <v>0</v>
      </c>
      <c r="AI60" s="108">
        <f t="shared" si="19"/>
        <v>0</v>
      </c>
      <c r="AJ60" s="108">
        <f t="shared" si="20"/>
        <v>0</v>
      </c>
      <c r="AK60" s="108">
        <f t="shared" si="21"/>
        <v>0</v>
      </c>
      <c r="AL60" s="108">
        <f t="shared" si="22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3"/>
        <v>3</v>
      </c>
    </row>
    <row r="61" spans="2:54">
      <c r="B61" s="364">
        <v>51</v>
      </c>
      <c r="C61" s="465">
        <v>41819</v>
      </c>
      <c r="D61" s="464" t="str">
        <f t="shared" si="13"/>
        <v>Spanje</v>
      </c>
      <c r="E61" s="367" t="s">
        <v>9</v>
      </c>
      <c r="F61" s="406" t="str">
        <f t="shared" si="14"/>
        <v>Mexico</v>
      </c>
      <c r="G61" s="435">
        <v>2</v>
      </c>
      <c r="H61" s="367" t="s">
        <v>9</v>
      </c>
      <c r="I61" s="447">
        <v>0</v>
      </c>
      <c r="J61" s="448">
        <v>1</v>
      </c>
      <c r="K61" s="407" t="s">
        <v>52</v>
      </c>
      <c r="L61" s="407" t="s">
        <v>49</v>
      </c>
      <c r="M61" s="407"/>
      <c r="O61" s="458">
        <v>4</v>
      </c>
      <c r="P61" s="877" t="s">
        <v>209</v>
      </c>
      <c r="Q61" s="877"/>
      <c r="R61" s="877"/>
      <c r="S61" s="877"/>
      <c r="T61" s="878"/>
      <c r="V61" s="352" t="s">
        <v>132</v>
      </c>
      <c r="W61" s="352" t="s">
        <v>191</v>
      </c>
      <c r="X61" s="352" t="str">
        <f t="shared" si="11"/>
        <v>Tim Krul (k)</v>
      </c>
      <c r="Y61" s="109">
        <f t="shared" si="24"/>
        <v>6</v>
      </c>
      <c r="Z61" s="352" t="str">
        <f t="shared" si="15"/>
        <v>Spanje</v>
      </c>
      <c r="AA61" s="352" t="str">
        <f t="shared" si="15"/>
        <v>Mexico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6"/>
        <v>6</v>
      </c>
      <c r="AG61" s="108">
        <f t="shared" si="17"/>
        <v>1</v>
      </c>
      <c r="AH61" s="108">
        <f t="shared" si="18"/>
        <v>0</v>
      </c>
      <c r="AI61" s="108">
        <f t="shared" si="19"/>
        <v>0</v>
      </c>
      <c r="AJ61" s="108">
        <f t="shared" si="20"/>
        <v>5</v>
      </c>
      <c r="AK61" s="108">
        <f t="shared" si="21"/>
        <v>0</v>
      </c>
      <c r="AL61" s="108">
        <f t="shared" si="22"/>
        <v>0</v>
      </c>
      <c r="AZ61" s="138" t="str">
        <f>Uitslag!P61</f>
        <v>Ron Vlaar (v)</v>
      </c>
      <c r="BA61" s="140">
        <f t="shared" si="12"/>
        <v>3</v>
      </c>
      <c r="BB61" s="139">
        <f t="shared" si="23"/>
        <v>3</v>
      </c>
    </row>
    <row r="62" spans="2:54">
      <c r="B62" s="376">
        <v>52</v>
      </c>
      <c r="C62" s="466">
        <v>41819</v>
      </c>
      <c r="D62" s="464" t="str">
        <f t="shared" si="13"/>
        <v>Engeland</v>
      </c>
      <c r="E62" s="379" t="s">
        <v>9</v>
      </c>
      <c r="F62" s="409" t="str">
        <f t="shared" si="14"/>
        <v>Japan</v>
      </c>
      <c r="G62" s="437">
        <v>3</v>
      </c>
      <c r="H62" s="379" t="s">
        <v>9</v>
      </c>
      <c r="I62" s="449">
        <v>1</v>
      </c>
      <c r="J62" s="450">
        <v>1</v>
      </c>
      <c r="K62" s="407" t="s">
        <v>62</v>
      </c>
      <c r="L62" s="407" t="s">
        <v>58</v>
      </c>
      <c r="M62" s="407"/>
      <c r="O62" s="458">
        <v>5</v>
      </c>
      <c r="P62" s="877" t="s">
        <v>212</v>
      </c>
      <c r="Q62" s="877"/>
      <c r="R62" s="877"/>
      <c r="S62" s="877"/>
      <c r="T62" s="878"/>
      <c r="V62" s="352" t="s">
        <v>132</v>
      </c>
      <c r="W62" s="352" t="s">
        <v>192</v>
      </c>
      <c r="X62" s="352" t="str">
        <f t="shared" si="11"/>
        <v>Maarten Stekelenburg (k)</v>
      </c>
      <c r="Y62" s="109">
        <f t="shared" si="24"/>
        <v>1</v>
      </c>
      <c r="Z62" s="352" t="str">
        <f t="shared" si="15"/>
        <v>Engeland</v>
      </c>
      <c r="AA62" s="352" t="str">
        <f t="shared" si="15"/>
        <v>Japan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6"/>
        <v>1</v>
      </c>
      <c r="AG62" s="108">
        <f t="shared" si="17"/>
        <v>0</v>
      </c>
      <c r="AH62" s="108">
        <f t="shared" si="18"/>
        <v>1</v>
      </c>
      <c r="AI62" s="108">
        <f t="shared" si="19"/>
        <v>0</v>
      </c>
      <c r="AJ62" s="108">
        <f t="shared" si="20"/>
        <v>0</v>
      </c>
      <c r="AK62" s="108">
        <f t="shared" si="21"/>
        <v>0</v>
      </c>
      <c r="AL62" s="108">
        <f t="shared" si="22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3"/>
        <v>3</v>
      </c>
    </row>
    <row r="63" spans="2:54">
      <c r="B63" s="364">
        <v>53</v>
      </c>
      <c r="C63" s="465">
        <v>41820</v>
      </c>
      <c r="D63" s="459" t="str">
        <f t="shared" si="13"/>
        <v>Frankrijk</v>
      </c>
      <c r="E63" s="367" t="s">
        <v>9</v>
      </c>
      <c r="F63" s="406" t="str">
        <f t="shared" si="14"/>
        <v>Nigeria</v>
      </c>
      <c r="G63" s="435">
        <v>1</v>
      </c>
      <c r="H63" s="367" t="s">
        <v>9</v>
      </c>
      <c r="I63" s="447">
        <v>0</v>
      </c>
      <c r="J63" s="448">
        <v>1</v>
      </c>
      <c r="K63" s="407" t="s">
        <v>67</v>
      </c>
      <c r="L63" s="407" t="s">
        <v>73</v>
      </c>
      <c r="M63" s="407"/>
      <c r="O63" s="458">
        <v>6</v>
      </c>
      <c r="P63" s="877" t="s">
        <v>234</v>
      </c>
      <c r="Q63" s="877"/>
      <c r="R63" s="877"/>
      <c r="S63" s="877"/>
      <c r="T63" s="878"/>
      <c r="V63" s="352" t="s">
        <v>132</v>
      </c>
      <c r="W63" s="352" t="s">
        <v>193</v>
      </c>
      <c r="X63" s="352" t="str">
        <f t="shared" si="11"/>
        <v>Michel Vorm (k)</v>
      </c>
      <c r="Y63" s="109">
        <f t="shared" si="24"/>
        <v>6</v>
      </c>
      <c r="Z63" s="352" t="str">
        <f t="shared" si="15"/>
        <v>Frankrijk</v>
      </c>
      <c r="AA63" s="352" t="str">
        <f t="shared" si="15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6"/>
        <v>6</v>
      </c>
      <c r="AG63" s="108">
        <f t="shared" si="17"/>
        <v>0</v>
      </c>
      <c r="AH63" s="108">
        <f t="shared" si="18"/>
        <v>1</v>
      </c>
      <c r="AI63" s="108">
        <f t="shared" si="19"/>
        <v>0</v>
      </c>
      <c r="AJ63" s="108">
        <f t="shared" si="20"/>
        <v>5</v>
      </c>
      <c r="AK63" s="108">
        <f t="shared" si="21"/>
        <v>0</v>
      </c>
      <c r="AL63" s="108">
        <f t="shared" si="22"/>
        <v>0</v>
      </c>
      <c r="AZ63" s="138" t="str">
        <f>Uitslag!P63</f>
        <v>Daley Blind (v)</v>
      </c>
      <c r="BA63" s="140">
        <f t="shared" si="12"/>
        <v>0</v>
      </c>
      <c r="BB63" s="139">
        <f t="shared" si="23"/>
        <v>0</v>
      </c>
    </row>
    <row r="64" spans="2:54">
      <c r="B64" s="376">
        <v>54</v>
      </c>
      <c r="C64" s="466">
        <v>41820</v>
      </c>
      <c r="D64" s="460" t="str">
        <f t="shared" si="13"/>
        <v>Duitsland</v>
      </c>
      <c r="E64" s="379" t="s">
        <v>9</v>
      </c>
      <c r="F64" s="409" t="str">
        <f t="shared" si="14"/>
        <v>Rusland</v>
      </c>
      <c r="G64" s="437">
        <v>3</v>
      </c>
      <c r="H64" s="379" t="s">
        <v>9</v>
      </c>
      <c r="I64" s="449">
        <v>1</v>
      </c>
      <c r="J64" s="450">
        <v>1</v>
      </c>
      <c r="K64" s="407" t="s">
        <v>77</v>
      </c>
      <c r="L64" s="407" t="s">
        <v>83</v>
      </c>
      <c r="M64" s="407"/>
      <c r="O64" s="458">
        <v>7</v>
      </c>
      <c r="P64" s="877" t="s">
        <v>213</v>
      </c>
      <c r="Q64" s="877"/>
      <c r="R64" s="877"/>
      <c r="S64" s="877"/>
      <c r="T64" s="878"/>
      <c r="V64" s="352" t="s">
        <v>133</v>
      </c>
      <c r="W64" s="352" t="s">
        <v>112</v>
      </c>
      <c r="X64" s="352" t="str">
        <f t="shared" si="11"/>
        <v>Joël Veltman (v)</v>
      </c>
      <c r="Y64" s="109">
        <f t="shared" si="24"/>
        <v>0</v>
      </c>
      <c r="Z64" s="352" t="str">
        <f t="shared" si="15"/>
        <v>Duitsland</v>
      </c>
      <c r="AA64" s="352" t="str">
        <f t="shared" si="15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6"/>
        <v>0</v>
      </c>
      <c r="AG64" s="108">
        <f t="shared" si="17"/>
        <v>0</v>
      </c>
      <c r="AH64" s="108">
        <f t="shared" si="18"/>
        <v>0</v>
      </c>
      <c r="AI64" s="108">
        <f t="shared" si="19"/>
        <v>0</v>
      </c>
      <c r="AJ64" s="108">
        <f t="shared" si="20"/>
        <v>0</v>
      </c>
      <c r="AK64" s="108">
        <f t="shared" si="21"/>
        <v>0</v>
      </c>
      <c r="AL64" s="108">
        <f t="shared" si="22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3"/>
        <v>3</v>
      </c>
    </row>
    <row r="65" spans="2:54">
      <c r="B65" s="370">
        <v>55</v>
      </c>
      <c r="C65" s="467">
        <v>41821</v>
      </c>
      <c r="D65" s="459" t="str">
        <f t="shared" si="13"/>
        <v>Argentinië</v>
      </c>
      <c r="E65" s="373" t="s">
        <v>9</v>
      </c>
      <c r="F65" s="410" t="str">
        <f t="shared" si="14"/>
        <v>Zwitserland</v>
      </c>
      <c r="G65" s="436">
        <v>2</v>
      </c>
      <c r="H65" s="373" t="s">
        <v>9</v>
      </c>
      <c r="I65" s="451">
        <v>0</v>
      </c>
      <c r="J65" s="452">
        <v>1</v>
      </c>
      <c r="K65" s="407" t="s">
        <v>72</v>
      </c>
      <c r="L65" s="407" t="s">
        <v>68</v>
      </c>
      <c r="M65" s="407"/>
      <c r="O65" s="458">
        <v>8</v>
      </c>
      <c r="P65" s="877" t="s">
        <v>214</v>
      </c>
      <c r="Q65" s="877"/>
      <c r="R65" s="877"/>
      <c r="S65" s="877"/>
      <c r="T65" s="878"/>
      <c r="V65" s="352" t="s">
        <v>133</v>
      </c>
      <c r="W65" s="352" t="s">
        <v>109</v>
      </c>
      <c r="X65" s="352" t="str">
        <f t="shared" si="11"/>
        <v>Daley Blind (v)</v>
      </c>
      <c r="Y65" s="109">
        <f t="shared" si="24"/>
        <v>1</v>
      </c>
      <c r="Z65" s="352" t="str">
        <f t="shared" si="15"/>
        <v>Argentinië</v>
      </c>
      <c r="AA65" s="352" t="str">
        <f t="shared" si="15"/>
        <v>Zwitserland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6"/>
        <v>1</v>
      </c>
      <c r="AG65" s="108">
        <f t="shared" si="17"/>
        <v>0</v>
      </c>
      <c r="AH65" s="108">
        <f t="shared" si="18"/>
        <v>1</v>
      </c>
      <c r="AI65" s="108">
        <f t="shared" si="19"/>
        <v>0</v>
      </c>
      <c r="AJ65" s="108">
        <f t="shared" si="20"/>
        <v>0</v>
      </c>
      <c r="AK65" s="108">
        <f t="shared" si="21"/>
        <v>0</v>
      </c>
      <c r="AL65" s="108">
        <f t="shared" si="22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3"/>
        <v>3</v>
      </c>
    </row>
    <row r="66" spans="2:54" ht="15.75" thickBot="1">
      <c r="B66" s="385">
        <v>56</v>
      </c>
      <c r="C66" s="462">
        <v>41821</v>
      </c>
      <c r="D66" s="461" t="str">
        <f t="shared" si="13"/>
        <v>België</v>
      </c>
      <c r="E66" s="388" t="s">
        <v>9</v>
      </c>
      <c r="F66" s="412" t="str">
        <f t="shared" si="14"/>
        <v>Portugal</v>
      </c>
      <c r="G66" s="438">
        <v>1</v>
      </c>
      <c r="H66" s="388" t="s">
        <v>9</v>
      </c>
      <c r="I66" s="453">
        <v>0</v>
      </c>
      <c r="J66" s="454">
        <v>1</v>
      </c>
      <c r="K66" s="407" t="s">
        <v>82</v>
      </c>
      <c r="L66" s="407" t="s">
        <v>78</v>
      </c>
      <c r="M66" s="407"/>
      <c r="O66" s="458">
        <v>9</v>
      </c>
      <c r="P66" s="877" t="s">
        <v>221</v>
      </c>
      <c r="Q66" s="877"/>
      <c r="R66" s="877"/>
      <c r="S66" s="877"/>
      <c r="T66" s="878"/>
      <c r="V66" s="352" t="s">
        <v>133</v>
      </c>
      <c r="W66" s="352" t="s">
        <v>115</v>
      </c>
      <c r="X66" s="352" t="str">
        <f t="shared" si="11"/>
        <v>Daryl Janmaat (v)</v>
      </c>
      <c r="Y66" s="109">
        <f t="shared" si="24"/>
        <v>1</v>
      </c>
      <c r="Z66" s="352" t="str">
        <f>IF(K66=""," ",VLOOKUP(K66,$T$9:$V$54,3,FALSE))</f>
        <v>België</v>
      </c>
      <c r="AA66" s="352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6"/>
        <v>1</v>
      </c>
      <c r="AG66" s="108">
        <f t="shared" si="17"/>
        <v>0</v>
      </c>
      <c r="AH66" s="108">
        <f t="shared" si="18"/>
        <v>1</v>
      </c>
      <c r="AI66" s="108">
        <f t="shared" si="19"/>
        <v>0</v>
      </c>
      <c r="AJ66" s="108">
        <f t="shared" si="20"/>
        <v>0</v>
      </c>
      <c r="AK66" s="108">
        <f t="shared" si="21"/>
        <v>0</v>
      </c>
      <c r="AL66" s="108">
        <f t="shared" si="22"/>
        <v>0</v>
      </c>
      <c r="AZ66" s="138" t="str">
        <f>Uitslag!P66</f>
        <v>Jonathan de Guzman (m)</v>
      </c>
      <c r="BA66" s="140">
        <f t="shared" si="12"/>
        <v>0</v>
      </c>
      <c r="BB66" s="139">
        <f t="shared" si="23"/>
        <v>0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O67" s="458">
        <v>10</v>
      </c>
      <c r="P67" s="877" t="s">
        <v>216</v>
      </c>
      <c r="Q67" s="877"/>
      <c r="R67" s="877"/>
      <c r="S67" s="877"/>
      <c r="T67" s="878"/>
      <c r="V67" s="352" t="s">
        <v>133</v>
      </c>
      <c r="W67" s="352" t="s">
        <v>118</v>
      </c>
      <c r="X67" s="352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3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79"/>
      <c r="K68" s="353"/>
      <c r="L68" s="353"/>
      <c r="M68" s="353"/>
      <c r="O68" s="458">
        <v>11</v>
      </c>
      <c r="P68" s="877" t="s">
        <v>215</v>
      </c>
      <c r="Q68" s="877"/>
      <c r="R68" s="877"/>
      <c r="S68" s="877"/>
      <c r="T68" s="878"/>
      <c r="V68" s="352" t="s">
        <v>133</v>
      </c>
      <c r="W68" s="352" t="s">
        <v>119</v>
      </c>
      <c r="X68" s="352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3"/>
        <v>3</v>
      </c>
    </row>
    <row r="69" spans="2:54">
      <c r="B69" s="428" t="s">
        <v>1</v>
      </c>
      <c r="C69" s="429" t="s">
        <v>2</v>
      </c>
      <c r="D69" s="476" t="s">
        <v>3</v>
      </c>
      <c r="E69" s="431"/>
      <c r="F69" s="477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V69" s="352" t="s">
        <v>133</v>
      </c>
      <c r="W69" s="352" t="s">
        <v>121</v>
      </c>
      <c r="X69" s="352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27</v>
      </c>
      <c r="BB69" s="139" t="str">
        <f>IF(AND(BA69&lt;&gt;"",BA69=33),15,"nvt")</f>
        <v>nvt</v>
      </c>
    </row>
    <row r="70" spans="2:54">
      <c r="B70" s="364">
        <v>57</v>
      </c>
      <c r="C70" s="365">
        <v>41824</v>
      </c>
      <c r="D70" s="405" t="str">
        <f>IF(J63="","Winnaar 53",IF(J63=1,D63,F63))</f>
        <v>Frankrijk</v>
      </c>
      <c r="E70" s="367" t="s">
        <v>9</v>
      </c>
      <c r="F70" s="406" t="str">
        <f>IF(J64="","Winnaar 54",IF(J64=1,D64,F64))</f>
        <v>Duitsland</v>
      </c>
      <c r="G70" s="435">
        <v>1</v>
      </c>
      <c r="H70" s="367" t="s">
        <v>9</v>
      </c>
      <c r="I70" s="447">
        <v>2</v>
      </c>
      <c r="J70" s="448">
        <v>2</v>
      </c>
      <c r="K70" s="353"/>
      <c r="L70" s="353"/>
      <c r="M70" s="353"/>
      <c r="V70" s="352" t="s">
        <v>133</v>
      </c>
      <c r="W70" s="352" t="s">
        <v>126</v>
      </c>
      <c r="X70" s="352" t="str">
        <f t="shared" si="11"/>
        <v>Karim Rekik (v)</v>
      </c>
      <c r="Y70" s="109">
        <f>AF70</f>
        <v>5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5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Brazilië</v>
      </c>
      <c r="E71" s="379" t="s">
        <v>9</v>
      </c>
      <c r="F71" s="409" t="str">
        <f>IF(J60="","Winnaar 50",IF(J60=1,D60,F60))</f>
        <v>Uruguay</v>
      </c>
      <c r="G71" s="437">
        <v>2</v>
      </c>
      <c r="H71" s="379" t="s">
        <v>9</v>
      </c>
      <c r="I71" s="449">
        <v>0</v>
      </c>
      <c r="J71" s="450">
        <v>1</v>
      </c>
      <c r="K71" s="353"/>
      <c r="L71" s="353"/>
      <c r="M71" s="353"/>
      <c r="V71" s="352" t="s">
        <v>133</v>
      </c>
      <c r="W71" s="352" t="s">
        <v>194</v>
      </c>
      <c r="X71" s="352" t="str">
        <f t="shared" si="11"/>
        <v>Ron Vlaar (v)</v>
      </c>
      <c r="Y71" s="109">
        <f>AF71</f>
        <v>6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6</v>
      </c>
      <c r="AG71" s="108">
        <f>IF(AC71="",0,(IF(G71=AC71,1,0)))</f>
        <v>1</v>
      </c>
      <c r="AH71" s="108">
        <f>IF(AD71="",0,(IF(I71=AD71,1,0)))</f>
        <v>0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Argentinië</v>
      </c>
      <c r="E72" s="367" t="s">
        <v>9</v>
      </c>
      <c r="F72" s="406" t="str">
        <f>IF(J66="","Winnaar 56",IF(J66=1,D66,F66))</f>
        <v>België</v>
      </c>
      <c r="G72" s="435">
        <v>0</v>
      </c>
      <c r="H72" s="367" t="s">
        <v>9</v>
      </c>
      <c r="I72" s="447">
        <v>0</v>
      </c>
      <c r="J72" s="448">
        <v>2</v>
      </c>
      <c r="K72" s="353"/>
      <c r="L72" s="353"/>
      <c r="M72" s="353"/>
      <c r="V72" s="352" t="s">
        <v>133</v>
      </c>
      <c r="W72" s="352" t="s">
        <v>195</v>
      </c>
      <c r="X72" s="352" t="str">
        <f t="shared" si="11"/>
        <v>John Heitinga (v)</v>
      </c>
      <c r="Y72" s="109">
        <f>AF72</f>
        <v>1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1</v>
      </c>
      <c r="AG72" s="108">
        <f>IF(AC72="",0,(IF(G72=AC72,1,0)))</f>
        <v>0</v>
      </c>
      <c r="AH72" s="108">
        <f>IF(AD72="",0,(IF(I72=AD72,1,0)))</f>
        <v>1</v>
      </c>
      <c r="AI72" s="108">
        <f>IF(AND(AG72=1,AH72=1),10,0)</f>
        <v>0</v>
      </c>
      <c r="AJ72" s="108">
        <f>IF(AND(G72&gt;I72,AC72&gt;AD72),5,0)</f>
        <v>0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Spanje</v>
      </c>
      <c r="E73" s="388" t="s">
        <v>9</v>
      </c>
      <c r="F73" s="412" t="str">
        <f>IF(J62="","Winnaar 52",IF(J62=1,D62,F62))</f>
        <v>Engeland</v>
      </c>
      <c r="G73" s="438">
        <v>2</v>
      </c>
      <c r="H73" s="388" t="s">
        <v>9</v>
      </c>
      <c r="I73" s="453">
        <v>0</v>
      </c>
      <c r="J73" s="454">
        <v>1</v>
      </c>
      <c r="K73" s="353"/>
      <c r="L73" s="353"/>
      <c r="M73" s="353"/>
      <c r="V73" s="352" t="s">
        <v>133</v>
      </c>
      <c r="W73" s="352" t="s">
        <v>196</v>
      </c>
      <c r="X73" s="352" t="str">
        <f t="shared" si="11"/>
        <v>Urby Emanuelson (v)</v>
      </c>
      <c r="Y73" s="109">
        <f>AF73</f>
        <v>1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1</v>
      </c>
      <c r="AG73" s="108">
        <f>IF(AC73="",0,(IF(G73=AC73,1,0)))</f>
        <v>0</v>
      </c>
      <c r="AH73" s="108">
        <f>IF(AD73="",0,(IF(I73=AD73,1,0)))</f>
        <v>1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V74" s="352" t="s">
        <v>133</v>
      </c>
      <c r="W74" s="352" t="s">
        <v>197</v>
      </c>
      <c r="X74" s="352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79"/>
      <c r="K75" s="353"/>
      <c r="L75" s="353"/>
      <c r="M75" s="353"/>
      <c r="V75" s="352" t="s">
        <v>133</v>
      </c>
      <c r="W75" s="352" t="s">
        <v>198</v>
      </c>
      <c r="X75" s="352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76" t="s">
        <v>3</v>
      </c>
      <c r="E76" s="431"/>
      <c r="F76" s="477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V76" s="352" t="s">
        <v>133</v>
      </c>
      <c r="W76" s="352" t="s">
        <v>202</v>
      </c>
      <c r="X76" s="352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Duitsland</v>
      </c>
      <c r="E77" s="367" t="s">
        <v>9</v>
      </c>
      <c r="F77" s="406" t="str">
        <f>IF(J71="","Winnaar 58",IF(J71=1,D71,F71))</f>
        <v>Brazilië</v>
      </c>
      <c r="G77" s="435">
        <v>2</v>
      </c>
      <c r="H77" s="367" t="s">
        <v>9</v>
      </c>
      <c r="I77" s="447">
        <v>1</v>
      </c>
      <c r="J77" s="448">
        <v>1</v>
      </c>
      <c r="K77" s="353"/>
      <c r="L77" s="353"/>
      <c r="M77" s="353"/>
      <c r="V77" s="352" t="s">
        <v>134</v>
      </c>
      <c r="W77" s="352" t="s">
        <v>203</v>
      </c>
      <c r="X77" s="352" t="str">
        <f t="shared" si="11"/>
        <v>Marco van Ginkel (m)</v>
      </c>
      <c r="Y77" s="109">
        <f>AF77</f>
        <v>6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6</v>
      </c>
      <c r="AG77" s="108">
        <f>IF(AC77="",0,(IF(G77=AC77,1,0)))</f>
        <v>0</v>
      </c>
      <c r="AH77" s="108">
        <f>IF(AD77="",0,(IF(I77=AD77,1,0)))</f>
        <v>1</v>
      </c>
      <c r="AI77" s="108">
        <f>IF(AND(AG77=1,AH77=1),10,0)</f>
        <v>0</v>
      </c>
      <c r="AJ77" s="108">
        <f>IF(AND(G77&gt;I77,AC77&gt;AD77),5,0)</f>
        <v>5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België</v>
      </c>
      <c r="E78" s="388" t="s">
        <v>9</v>
      </c>
      <c r="F78" s="412" t="str">
        <f>IF(J73="","Winnaar 60",IF(J73=1,D73,F73))</f>
        <v>Spanje</v>
      </c>
      <c r="G78" s="438">
        <v>1</v>
      </c>
      <c r="H78" s="388" t="s">
        <v>9</v>
      </c>
      <c r="I78" s="453">
        <v>3</v>
      </c>
      <c r="J78" s="454">
        <v>2</v>
      </c>
      <c r="K78" s="353"/>
      <c r="L78" s="353"/>
      <c r="M78" s="353"/>
      <c r="V78" s="352" t="s">
        <v>134</v>
      </c>
      <c r="W78" s="352" t="s">
        <v>199</v>
      </c>
      <c r="X78" s="352" t="str">
        <f t="shared" si="11"/>
        <v>Leroy Fer (m)</v>
      </c>
      <c r="Y78" s="109">
        <f>AF78</f>
        <v>0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0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V79" s="352" t="s">
        <v>134</v>
      </c>
      <c r="W79" s="352" t="s">
        <v>114</v>
      </c>
      <c r="X79" s="352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79"/>
      <c r="K80" s="353"/>
      <c r="L80" s="353"/>
      <c r="M80" s="353"/>
      <c r="V80" s="352" t="s">
        <v>134</v>
      </c>
      <c r="W80" s="352" t="s">
        <v>117</v>
      </c>
      <c r="X80" s="352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76" t="s">
        <v>3</v>
      </c>
      <c r="E81" s="431"/>
      <c r="F81" s="477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V81" s="352" t="s">
        <v>134</v>
      </c>
      <c r="W81" s="352" t="s">
        <v>120</v>
      </c>
      <c r="X81" s="352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Brazilië</v>
      </c>
      <c r="E82" s="355" t="s">
        <v>9</v>
      </c>
      <c r="F82" s="415" t="str">
        <f>IF(J78="","Verliezer 62",IF(J78=1,F78,D78))</f>
        <v>België</v>
      </c>
      <c r="G82" s="455">
        <v>2</v>
      </c>
      <c r="H82" s="355" t="s">
        <v>9</v>
      </c>
      <c r="I82" s="456">
        <v>0</v>
      </c>
      <c r="J82" s="457">
        <v>1</v>
      </c>
      <c r="K82" s="353"/>
      <c r="L82" s="353"/>
      <c r="M82" s="353"/>
      <c r="V82" s="352" t="s">
        <v>134</v>
      </c>
      <c r="W82" s="352" t="s">
        <v>125</v>
      </c>
      <c r="X82" s="35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V83" s="352" t="s">
        <v>134</v>
      </c>
      <c r="W83" s="352" t="s">
        <v>136</v>
      </c>
      <c r="X83" s="352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79"/>
      <c r="K84" s="353"/>
      <c r="L84" s="353"/>
      <c r="M84" s="353"/>
      <c r="V84" s="352" t="s">
        <v>134</v>
      </c>
      <c r="W84" s="352" t="s">
        <v>137</v>
      </c>
      <c r="X84" s="352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76" t="s">
        <v>3</v>
      </c>
      <c r="E85" s="431"/>
      <c r="F85" s="477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V85" s="352" t="s">
        <v>134</v>
      </c>
      <c r="W85" s="352" t="s">
        <v>138</v>
      </c>
      <c r="X85" s="352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Duitsland</v>
      </c>
      <c r="E86" s="355" t="s">
        <v>9</v>
      </c>
      <c r="F86" s="415" t="str">
        <f>IF(J78="","Winnaar 62",IF(J78=1,D78,F78))</f>
        <v>Spanje</v>
      </c>
      <c r="G86" s="455">
        <v>1</v>
      </c>
      <c r="H86" s="355" t="s">
        <v>9</v>
      </c>
      <c r="I86" s="456">
        <v>0</v>
      </c>
      <c r="J86" s="457">
        <v>1</v>
      </c>
      <c r="K86" s="353"/>
      <c r="L86" s="353"/>
      <c r="M86" s="353"/>
      <c r="V86" s="352" t="s">
        <v>134</v>
      </c>
      <c r="W86" s="352" t="s">
        <v>139</v>
      </c>
      <c r="X86" s="352" t="str">
        <f t="shared" si="11"/>
        <v>Nigel de Jong (m)</v>
      </c>
      <c r="Y86" s="109">
        <f>AF86</f>
        <v>1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1</v>
      </c>
      <c r="AG86" s="108">
        <f>IF(AC86="",0,(IF(G86=AC86,1,0)))</f>
        <v>0</v>
      </c>
      <c r="AH86" s="108">
        <f>IF(AD86="",0,(IF(I86=AD86,1,0)))</f>
        <v>1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353"/>
      <c r="C87" s="129"/>
      <c r="D87" s="392"/>
      <c r="E87" s="353"/>
      <c r="F87" s="392"/>
      <c r="G87" s="353"/>
      <c r="H87" s="353"/>
      <c r="I87" s="353"/>
      <c r="J87" s="353"/>
      <c r="K87" s="353"/>
      <c r="L87" s="353"/>
      <c r="M87" s="353"/>
      <c r="V87" s="352" t="s">
        <v>135</v>
      </c>
      <c r="W87" s="352" t="s">
        <v>205</v>
      </c>
      <c r="X87" s="352" t="str">
        <f t="shared" si="11"/>
        <v>Ricky van Wolfswinkel (a)</v>
      </c>
      <c r="AP87" s="136" t="s">
        <v>102</v>
      </c>
    </row>
    <row r="88" spans="2:50">
      <c r="B88" s="353"/>
      <c r="C88" s="129"/>
      <c r="D88" s="392"/>
      <c r="E88" s="353"/>
      <c r="F88" s="392"/>
      <c r="G88" s="353"/>
      <c r="H88" s="353"/>
      <c r="I88" s="353"/>
      <c r="J88" s="353"/>
      <c r="K88" s="353"/>
      <c r="L88" s="353"/>
      <c r="M88" s="353"/>
      <c r="V88" s="352" t="s">
        <v>135</v>
      </c>
      <c r="W88" s="352" t="s">
        <v>204</v>
      </c>
      <c r="X88" s="352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458"/>
    </row>
    <row r="89" spans="2:50" ht="20.25">
      <c r="C89" s="874" t="s">
        <v>101</v>
      </c>
      <c r="D89" s="871"/>
      <c r="E89" s="873" t="str">
        <f>IF(J86=1,D86,IF(J86=2,F86,"Wie zal het worden?"))</f>
        <v>Duitsland</v>
      </c>
      <c r="F89" s="873"/>
      <c r="G89" s="873"/>
      <c r="H89" s="873"/>
      <c r="I89" s="873"/>
      <c r="J89" s="873"/>
      <c r="K89" s="353"/>
      <c r="L89" s="353"/>
      <c r="M89" s="353"/>
      <c r="V89" s="352" t="s">
        <v>135</v>
      </c>
      <c r="W89" s="352" t="s">
        <v>201</v>
      </c>
      <c r="X89" s="352" t="str">
        <f t="shared" si="11"/>
        <v>Jermain Lens (a)</v>
      </c>
      <c r="AP89" s="109">
        <f>AU89</f>
        <v>50</v>
      </c>
      <c r="AQ89" s="131">
        <v>1</v>
      </c>
      <c r="AR89" s="904" t="str">
        <f>Uitslag!E89</f>
        <v>Duitsland</v>
      </c>
      <c r="AS89" s="905"/>
      <c r="AT89" s="906"/>
      <c r="AU89" s="352">
        <f>SUM(AV89:AX89)</f>
        <v>50</v>
      </c>
      <c r="AV89" s="352">
        <f>IF(AR89=0,0,IF(E89=AR89,50,0))</f>
        <v>50</v>
      </c>
      <c r="AW89" s="352">
        <f>IF(E89=0,0,IF(OR(E89=AR90),15,0))</f>
        <v>0</v>
      </c>
      <c r="AX89" s="352">
        <f>IF(E89=0,0,IF(OR(E89=AR91,E89=AR92),5,0))</f>
        <v>0</v>
      </c>
    </row>
    <row r="90" spans="2:50">
      <c r="C90" s="870">
        <v>2</v>
      </c>
      <c r="D90" s="871"/>
      <c r="E90" s="872" t="str">
        <f>IF(J86=2,D86,IF(J86=1,F86,"Wie wordt 2de?"))</f>
        <v>Spanje</v>
      </c>
      <c r="F90" s="872"/>
      <c r="G90" s="872"/>
      <c r="H90" s="872"/>
      <c r="I90" s="872"/>
      <c r="J90" s="872"/>
      <c r="V90" s="352" t="s">
        <v>135</v>
      </c>
      <c r="W90" s="352" t="s">
        <v>200</v>
      </c>
      <c r="X90" s="352" t="str">
        <f t="shared" si="11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 s="352">
        <f>SUM(AV90:AX90)</f>
        <v>0</v>
      </c>
      <c r="AV90" s="352">
        <f>IF(AR90=0,0,IF(AR90=E90,25,0))</f>
        <v>0</v>
      </c>
      <c r="AW90" s="352">
        <f>IF(E90=0,0,IF(OR(E90=AR89,),15,0))</f>
        <v>0</v>
      </c>
      <c r="AX90" s="352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Brazilië</v>
      </c>
      <c r="F91" s="872"/>
      <c r="G91" s="872"/>
      <c r="H91" s="872"/>
      <c r="I91" s="872"/>
      <c r="J91" s="872"/>
      <c r="V91" s="352" t="s">
        <v>135</v>
      </c>
      <c r="W91" s="352" t="s">
        <v>128</v>
      </c>
      <c r="X91" s="352" t="str">
        <f t="shared" si="11"/>
        <v>Jürgen Locadia (a)</v>
      </c>
      <c r="AP91" s="109">
        <f>AU91</f>
        <v>10</v>
      </c>
      <c r="AQ91" s="131">
        <v>3</v>
      </c>
      <c r="AR91" s="904" t="str">
        <f>Uitslag!E91</f>
        <v>Nederland</v>
      </c>
      <c r="AS91" s="905"/>
      <c r="AT91" s="906"/>
      <c r="AU91" s="352">
        <f>SUM(AV91:AX91)</f>
        <v>10</v>
      </c>
      <c r="AV91" s="352">
        <f>IF(AR91=0,0,IF(AR91=E91,15,0))</f>
        <v>0</v>
      </c>
      <c r="AW91" s="352">
        <f>IF(E91=0,0,IF(OR(E91=AR92),10,0))</f>
        <v>10</v>
      </c>
      <c r="AX91" s="352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België</v>
      </c>
      <c r="F92" s="872"/>
      <c r="G92" s="872"/>
      <c r="H92" s="872"/>
      <c r="I92" s="872"/>
      <c r="J92" s="872"/>
      <c r="V92" s="352" t="s">
        <v>135</v>
      </c>
      <c r="W92" s="352" t="s">
        <v>127</v>
      </c>
      <c r="X92" s="35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 s="352">
        <f>SUM(AV92:AX92)</f>
        <v>0</v>
      </c>
      <c r="AV92" s="352">
        <f>IF(AR92=0,0,IF(AR92=E92,15,0))</f>
        <v>0</v>
      </c>
      <c r="AW92" s="352">
        <f>IF(E92=0,0,IF(OR(E92=AR91,),10,0))</f>
        <v>0</v>
      </c>
      <c r="AX92" s="352">
        <f>IF(E92=0,0,IF(OR(E92=AR89,E92=AR90),5,0))</f>
        <v>0</v>
      </c>
    </row>
    <row r="93" spans="2:50" ht="15.75" thickBot="1">
      <c r="V93" s="352" t="s">
        <v>135</v>
      </c>
      <c r="W93" s="352" t="s">
        <v>123</v>
      </c>
      <c r="X93" s="352" t="str">
        <f t="shared" si="11"/>
        <v>Quincy Promes (a)</v>
      </c>
      <c r="AS93" s="132"/>
      <c r="AU93" s="133">
        <f>SUM(AU89:AU92)</f>
        <v>60</v>
      </c>
    </row>
    <row r="94" spans="2:50" ht="15.75" thickTop="1">
      <c r="V94" s="352" t="s">
        <v>135</v>
      </c>
      <c r="W94" s="352" t="s">
        <v>122</v>
      </c>
      <c r="X94" s="352" t="str">
        <f t="shared" si="11"/>
        <v>Luc Castaignos (a)</v>
      </c>
    </row>
    <row r="95" spans="2:50">
      <c r="V95" s="352" t="s">
        <v>135</v>
      </c>
      <c r="W95" s="352" t="s">
        <v>113</v>
      </c>
      <c r="X95" s="352" t="str">
        <f t="shared" si="11"/>
        <v>Jean-Paul Boëtius (a)</v>
      </c>
    </row>
    <row r="96" spans="2:50">
      <c r="V96" s="352" t="s">
        <v>135</v>
      </c>
      <c r="W96" s="352" t="s">
        <v>129</v>
      </c>
      <c r="X96" s="352" t="str">
        <f t="shared" si="11"/>
        <v>Luciano Narsingh (a)</v>
      </c>
    </row>
    <row r="97" spans="22:24">
      <c r="V97" s="352" t="s">
        <v>135</v>
      </c>
      <c r="W97" s="352" t="s">
        <v>130</v>
      </c>
      <c r="X97" s="352" t="str">
        <f t="shared" si="11"/>
        <v>Robin van Persie (a)</v>
      </c>
    </row>
    <row r="98" spans="22:24">
      <c r="V98" s="352" t="s">
        <v>135</v>
      </c>
      <c r="W98" s="352" t="s">
        <v>131</v>
      </c>
      <c r="X98" s="352" t="str">
        <f t="shared" si="11"/>
        <v>Arjen Robben (a)</v>
      </c>
    </row>
  </sheetData>
  <mergeCells count="36">
    <mergeCell ref="C91:D91"/>
    <mergeCell ref="E91:J91"/>
    <mergeCell ref="AR91:AT91"/>
    <mergeCell ref="C92:D92"/>
    <mergeCell ref="E92:J92"/>
    <mergeCell ref="AR92:AT92"/>
    <mergeCell ref="C89:D89"/>
    <mergeCell ref="E89:J89"/>
    <mergeCell ref="AR89:AT89"/>
    <mergeCell ref="C90:D90"/>
    <mergeCell ref="E90:J90"/>
    <mergeCell ref="AR90:AT90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</mergeCells>
  <conditionalFormatting sqref="AO9:AO12 AO15:AO18 AO21:AO24 AO27:AO30 AO33:AO36 AO39:AO42 AO45:AO48 AO51:AO54">
    <cfRule type="cellIs" dxfId="71" priority="3" operator="equal">
      <formula>10</formula>
    </cfRule>
  </conditionalFormatting>
  <conditionalFormatting sqref="P58:T58">
    <cfRule type="duplicateValues" dxfId="70" priority="2"/>
  </conditionalFormatting>
  <conditionalFormatting sqref="P58:T68">
    <cfRule type="duplicateValues" dxfId="69" priority="1"/>
  </conditionalFormatting>
  <dataValidations count="10">
    <dataValidation type="list" allowBlank="1" showInputMessage="1" showErrorMessage="1" sqref="P58:P68">
      <formula1>$X$58:$X$98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51:T54">
      <formula1>$W$51:$W$54</formula1>
    </dataValidation>
  </dataValidation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>
  <dimension ref="B1:BB98"/>
  <sheetViews>
    <sheetView topLeftCell="A64" zoomScale="70" zoomScaleNormal="70" workbookViewId="0">
      <selection activeCell="D86" sqref="D86"/>
    </sheetView>
  </sheetViews>
  <sheetFormatPr defaultRowHeight="15" outlineLevelCol="2"/>
  <cols>
    <col min="1" max="1" width="3.42578125" style="352" customWidth="1"/>
    <col min="2" max="2" width="3.5703125" style="352" bestFit="1" customWidth="1"/>
    <col min="3" max="3" width="11.5703125" style="123" bestFit="1" customWidth="1"/>
    <col min="4" max="4" width="19.7109375" style="352" bestFit="1" customWidth="1"/>
    <col min="5" max="5" width="3.42578125" style="352" customWidth="1"/>
    <col min="6" max="6" width="19.7109375" style="352" bestFit="1" customWidth="1"/>
    <col min="7" max="7" width="6.7109375" style="352" customWidth="1"/>
    <col min="8" max="8" width="1.5703125" style="352" bestFit="1" customWidth="1"/>
    <col min="9" max="9" width="6.7109375" style="352" customWidth="1"/>
    <col min="10" max="10" width="6.85546875" style="352" bestFit="1" customWidth="1"/>
    <col min="11" max="13" width="9.140625" style="352" hidden="1" customWidth="1" outlineLevel="1"/>
    <col min="14" max="14" width="11.42578125" style="352" bestFit="1" customWidth="1" collapsed="1"/>
    <col min="15" max="15" width="14.7109375" style="352" bestFit="1" customWidth="1"/>
    <col min="16" max="16" width="12.28515625" style="352" bestFit="1" customWidth="1"/>
    <col min="17" max="17" width="8.140625" style="352" bestFit="1" customWidth="1"/>
    <col min="18" max="18" width="7.7109375" style="352" bestFit="1" customWidth="1"/>
    <col min="19" max="19" width="9.140625" style="352"/>
    <col min="20" max="20" width="8.5703125" style="352" bestFit="1" customWidth="1"/>
    <col min="21" max="21" width="9.140625" style="352"/>
    <col min="22" max="23" width="9.140625" style="352" hidden="1" customWidth="1" outlineLevel="1"/>
    <col min="24" max="24" width="2" style="352" hidden="1" customWidth="1" outlineLevel="1"/>
    <col min="25" max="25" width="12.28515625" style="352" bestFit="1" customWidth="1" collapsed="1"/>
    <col min="26" max="27" width="12.28515625" style="352" hidden="1" customWidth="1" outlineLevel="1"/>
    <col min="28" max="28" width="4.7109375" style="352" hidden="1" customWidth="1" outlineLevel="1"/>
    <col min="29" max="38" width="9.140625" style="352" hidden="1" customWidth="1" outlineLevel="1"/>
    <col min="39" max="39" width="7.42578125" style="352" bestFit="1" customWidth="1" collapsed="1"/>
    <col min="40" max="40" width="19.7109375" style="352" hidden="1" customWidth="1" outlineLevel="1"/>
    <col min="41" max="41" width="9.140625" style="352" hidden="1" customWidth="1" outlineLevel="1"/>
    <col min="42" max="42" width="9.140625" style="352" collapsed="1"/>
    <col min="43" max="49" width="9.140625" style="352" hidden="1" customWidth="1" outlineLevel="2"/>
    <col min="50" max="50" width="11.5703125" style="352" hidden="1" customWidth="1" outlineLevel="2"/>
    <col min="51" max="51" width="11.85546875" style="352" hidden="1" customWidth="1" outlineLevel="1" collapsed="1"/>
    <col min="52" max="52" width="9.42578125" style="352" hidden="1" customWidth="1" outlineLevel="1"/>
    <col min="53" max="53" width="10.5703125" style="352" hidden="1" customWidth="1" outlineLevel="1"/>
    <col min="54" max="54" width="9.140625" style="352" collapsed="1"/>
    <col min="55" max="55" width="11.85546875" style="352" bestFit="1" customWidth="1"/>
    <col min="56" max="16384" width="9.140625" style="352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298</v>
      </c>
      <c r="E3" s="335"/>
      <c r="F3" s="335"/>
      <c r="N3" s="352" t="str">
        <f>D3</f>
        <v>Inday vd S.</v>
      </c>
      <c r="O3" s="144">
        <f>SUM(P3:S3)</f>
        <v>406</v>
      </c>
      <c r="P3" s="109">
        <f>SUM(Y8:Y86)</f>
        <v>198</v>
      </c>
      <c r="Q3" s="109">
        <f>SUM(AM4:AM55)</f>
        <v>150</v>
      </c>
      <c r="R3" s="109">
        <f>SUM(AP89:AP92)</f>
        <v>10</v>
      </c>
      <c r="S3" s="109">
        <f>SUM(BB58:BB69)</f>
        <v>48</v>
      </c>
      <c r="T3" s="109">
        <f>COUNTIF(AF8:AF86,10)</f>
        <v>6</v>
      </c>
      <c r="U3" s="109" t="str">
        <f>E89</f>
        <v>Nederland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O6" s="392"/>
      <c r="P6" s="393"/>
      <c r="Q6" s="393"/>
      <c r="R6" s="393"/>
      <c r="S6" s="393"/>
      <c r="T6" s="393"/>
      <c r="U6" s="392"/>
      <c r="V6" s="392"/>
      <c r="W6" s="392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80" t="s">
        <v>3</v>
      </c>
      <c r="E7" s="419"/>
      <c r="F7" s="481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O7" s="353"/>
      <c r="P7" s="393"/>
      <c r="Q7" s="393"/>
      <c r="R7" s="393"/>
      <c r="S7" s="393"/>
      <c r="T7" s="393"/>
      <c r="U7" s="353"/>
      <c r="V7" s="353"/>
      <c r="W7" s="353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458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3</v>
      </c>
      <c r="H8" s="360" t="s">
        <v>9</v>
      </c>
      <c r="I8" s="478">
        <v>0</v>
      </c>
      <c r="J8" s="362">
        <f>IF(I8="","",IF(G8&gt;I8,1,IF(G8&lt;I8,2,3)))</f>
        <v>1</v>
      </c>
      <c r="K8" s="363">
        <f>IF(I8="","",IF($G8&gt;$I8,3,IF($G8=$I8,1,0)))</f>
        <v>3</v>
      </c>
      <c r="L8" s="363">
        <f>IF(I8="","",IF($G8&lt;$I8,3,IF($G8=$I8,1,0)))</f>
        <v>0</v>
      </c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392"/>
      <c r="V8" s="392"/>
      <c r="W8" s="392"/>
      <c r="Y8" s="109">
        <f>AF8</f>
        <v>6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6</v>
      </c>
      <c r="AG8" s="108">
        <f t="shared" ref="AG8:AG55" si="0">IF(AC8="",0,(IF(G8=AC8,1,0)))</f>
        <v>1</v>
      </c>
      <c r="AH8" s="108">
        <f t="shared" ref="AH8:AH55" si="1">IF(AD8="",0,(IF(I8=AD8,1,0)))</f>
        <v>0</v>
      </c>
      <c r="AI8" s="108">
        <f>IF(AND(AG8=1,AH8=1),10,0)</f>
        <v>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2</v>
      </c>
      <c r="H9" s="367" t="s">
        <v>9</v>
      </c>
      <c r="I9" s="440">
        <v>1</v>
      </c>
      <c r="J9" s="369">
        <f t="shared" ref="J9:J55" si="5">IF(I9="","",IF(G9&gt;I9,1,IF(G9&lt;I9,2,3)))</f>
        <v>1</v>
      </c>
      <c r="K9" s="363">
        <f t="shared" ref="K9:K55" si="6">IF(I9="","",IF($G9&gt;$I9,3,IF($G9=$I9,1,0)))</f>
        <v>3</v>
      </c>
      <c r="L9" s="363">
        <f t="shared" ref="L9:L55" si="7">IF(I9="","",IF($G9&lt;$I9,3,IF($G9=$I9,1,0)))</f>
        <v>0</v>
      </c>
      <c r="O9" s="394" t="s">
        <v>8</v>
      </c>
      <c r="P9" s="395">
        <f>SUMIF($D$8:$D$55,$O9,$G$8:$G$55)+SUMIF($F$8:$F$55,$O9,$I$8:$I$55)</f>
        <v>10</v>
      </c>
      <c r="Q9" s="395">
        <f>SUMIF($D$8:$D$55,$O9,$I$8:$I$55)+SUMIF($F$8:$F$55,$O9,$G$8:$G$55)</f>
        <v>2</v>
      </c>
      <c r="R9" s="396">
        <f>P9-Q9</f>
        <v>8</v>
      </c>
      <c r="S9" s="397">
        <f>SUMIF($D$8:$D$55,$O9,$K$8:$K$55)+SUMIF($F$8:$F$55,$O9,$L$8:$L$55)</f>
        <v>9</v>
      </c>
      <c r="T9" s="444" t="s">
        <v>48</v>
      </c>
      <c r="U9" s="392"/>
      <c r="V9" s="392" t="str">
        <f>O9</f>
        <v>Brazilië</v>
      </c>
      <c r="W9" s="392" t="s">
        <v>48</v>
      </c>
      <c r="Y9" s="109">
        <f t="shared" ref="Y9:Y55" si="8">AF9</f>
        <v>5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5</v>
      </c>
      <c r="AG9" s="108">
        <f t="shared" si="0"/>
        <v>0</v>
      </c>
      <c r="AH9" s="108">
        <f t="shared" si="1"/>
        <v>0</v>
      </c>
      <c r="AI9" s="108">
        <f t="shared" ref="AI9:AI55" si="10">IF(AND(AG9=1,AH9=1),10,0)</f>
        <v>0</v>
      </c>
      <c r="AJ9" s="108">
        <f t="shared" si="2"/>
        <v>5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2</v>
      </c>
      <c r="H10" s="373" t="s">
        <v>9</v>
      </c>
      <c r="I10" s="441">
        <v>1</v>
      </c>
      <c r="J10" s="375">
        <f t="shared" si="5"/>
        <v>1</v>
      </c>
      <c r="K10" s="363">
        <f t="shared" si="6"/>
        <v>3</v>
      </c>
      <c r="L10" s="363">
        <f t="shared" si="7"/>
        <v>0</v>
      </c>
      <c r="O10" s="398" t="s">
        <v>10</v>
      </c>
      <c r="P10" s="399">
        <f>SUMIF($D$8:$D$55,$O10,$G$8:$G$55)+SUMIF($F$8:$F$55,$O10,$I$8:$I$55)</f>
        <v>2</v>
      </c>
      <c r="Q10" s="399">
        <f>SUMIF($D$8:$D$55,$O10,$I$8:$I$55)+SUMIF($F$8:$F$55,$O10,$G$8:$G$55)</f>
        <v>6</v>
      </c>
      <c r="R10" s="399">
        <f>P10-Q10</f>
        <v>-4</v>
      </c>
      <c r="S10" s="400">
        <f>SUMIF($D$8:$D$55,$O10,$K$8:$K$55)+SUMIF($F$8:$F$55,$O10,$L$8:$L$55)</f>
        <v>3</v>
      </c>
      <c r="T10" s="445" t="s">
        <v>47</v>
      </c>
      <c r="U10" s="392"/>
      <c r="V10" s="392" t="str">
        <f>O10</f>
        <v>Kroatië</v>
      </c>
      <c r="W10" s="392" t="s">
        <v>49</v>
      </c>
      <c r="Y10" s="109">
        <f t="shared" si="8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0</v>
      </c>
      <c r="AG10" s="108">
        <f t="shared" si="0"/>
        <v>0</v>
      </c>
      <c r="AH10" s="108">
        <f t="shared" si="1"/>
        <v>0</v>
      </c>
      <c r="AI10" s="108">
        <f t="shared" si="10"/>
        <v>0</v>
      </c>
      <c r="AJ10" s="108">
        <f t="shared" si="2"/>
        <v>0</v>
      </c>
      <c r="AK10" s="108">
        <f t="shared" si="3"/>
        <v>0</v>
      </c>
      <c r="AL10" s="108">
        <f t="shared" si="4"/>
        <v>0</v>
      </c>
      <c r="AM10" s="120">
        <f>AO10</f>
        <v>10</v>
      </c>
      <c r="AN10" s="117" t="s">
        <v>10</v>
      </c>
      <c r="AO10" s="115">
        <f>IF(Uitslag!T10="",0,IF(T10=Uitslag!T10,10,0))</f>
        <v>10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0</v>
      </c>
      <c r="H11" s="379" t="s">
        <v>9</v>
      </c>
      <c r="I11" s="442">
        <v>1</v>
      </c>
      <c r="J11" s="381">
        <f t="shared" si="5"/>
        <v>2</v>
      </c>
      <c r="K11" s="363">
        <f t="shared" si="6"/>
        <v>0</v>
      </c>
      <c r="L11" s="363">
        <f t="shared" si="7"/>
        <v>3</v>
      </c>
      <c r="O11" s="398" t="s">
        <v>11</v>
      </c>
      <c r="P11" s="399">
        <f>SUMIF($D$8:$D$55,$O11,$G$8:$G$55)+SUMIF($F$8:$F$55,$O11,$I$8:$I$55)</f>
        <v>5</v>
      </c>
      <c r="Q11" s="399">
        <f>SUMIF($D$8:$D$55,$O11,$I$8:$I$55)+SUMIF($F$8:$F$55,$O11,$G$8:$G$55)</f>
        <v>4</v>
      </c>
      <c r="R11" s="399">
        <f>P11-Q11</f>
        <v>1</v>
      </c>
      <c r="S11" s="400">
        <f>SUMIF($D$8:$D$55,$O11,$K$8:$K$55)+SUMIF($F$8:$F$55,$O11,$L$8:$L$55)</f>
        <v>6</v>
      </c>
      <c r="T11" s="445" t="s">
        <v>49</v>
      </c>
      <c r="U11" s="392"/>
      <c r="V11" s="392" t="str">
        <f>O11</f>
        <v>Mexico</v>
      </c>
      <c r="W11" s="392" t="s">
        <v>47</v>
      </c>
      <c r="Y11" s="109">
        <f t="shared" si="8"/>
        <v>1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1</v>
      </c>
      <c r="AG11" s="108">
        <f t="shared" si="0"/>
        <v>0</v>
      </c>
      <c r="AH11" s="108">
        <f t="shared" si="1"/>
        <v>1</v>
      </c>
      <c r="AI11" s="108">
        <f t="shared" si="10"/>
        <v>0</v>
      </c>
      <c r="AJ11" s="108">
        <f t="shared" si="2"/>
        <v>0</v>
      </c>
      <c r="AK11" s="108">
        <f t="shared" si="3"/>
        <v>0</v>
      </c>
      <c r="AL11" s="108">
        <f t="shared" si="4"/>
        <v>0</v>
      </c>
      <c r="AM11" s="120">
        <f>AO11</f>
        <v>10</v>
      </c>
      <c r="AN11" s="117" t="s">
        <v>11</v>
      </c>
      <c r="AO11" s="115">
        <f>IF(Uitslag!T11="",0,IF(T11=Uitslag!T11,10,0))</f>
        <v>10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4</v>
      </c>
      <c r="H12" s="367" t="s">
        <v>9</v>
      </c>
      <c r="I12" s="440">
        <v>1</v>
      </c>
      <c r="J12" s="369">
        <f t="shared" si="5"/>
        <v>1</v>
      </c>
      <c r="K12" s="363">
        <f t="shared" si="6"/>
        <v>3</v>
      </c>
      <c r="L12" s="363">
        <f t="shared" si="7"/>
        <v>0</v>
      </c>
      <c r="O12" s="401" t="s">
        <v>12</v>
      </c>
      <c r="P12" s="402">
        <f>SUMIF($D$8:$D$55,$O12,$G$8:$G$55)+SUMIF($F$8:$F$55,$O12,$I$8:$I$55)</f>
        <v>3</v>
      </c>
      <c r="Q12" s="402">
        <f>SUMIF($D$8:$D$55,$O12,$I$8:$I$55)+SUMIF($F$8:$F$55,$O12,$G$8:$G$55)</f>
        <v>8</v>
      </c>
      <c r="R12" s="402">
        <f>P12-Q12</f>
        <v>-5</v>
      </c>
      <c r="S12" s="403">
        <f>SUMIF($D$8:$D$55,$O12,$K$8:$K$55)+SUMIF($F$8:$F$55,$O12,$L$8:$L$55)</f>
        <v>0</v>
      </c>
      <c r="T12" s="446" t="s">
        <v>50</v>
      </c>
      <c r="U12" s="392"/>
      <c r="V12" s="392" t="str">
        <f>O12</f>
        <v>Kameroen</v>
      </c>
      <c r="W12" s="392" t="s">
        <v>50</v>
      </c>
      <c r="Y12" s="109">
        <f t="shared" si="8"/>
        <v>5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5</v>
      </c>
      <c r="AG12" s="108">
        <f t="shared" si="0"/>
        <v>0</v>
      </c>
      <c r="AH12" s="108">
        <f t="shared" si="1"/>
        <v>0</v>
      </c>
      <c r="AI12" s="108">
        <f t="shared" si="10"/>
        <v>0</v>
      </c>
      <c r="AJ12" s="108">
        <f t="shared" si="2"/>
        <v>5</v>
      </c>
      <c r="AK12" s="108">
        <f t="shared" si="3"/>
        <v>0</v>
      </c>
      <c r="AL12" s="108">
        <f t="shared" si="4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0</v>
      </c>
      <c r="H13" s="373" t="s">
        <v>9</v>
      </c>
      <c r="I13" s="441">
        <v>0</v>
      </c>
      <c r="J13" s="375">
        <f t="shared" si="5"/>
        <v>3</v>
      </c>
      <c r="K13" s="363">
        <f t="shared" si="6"/>
        <v>1</v>
      </c>
      <c r="L13" s="363">
        <f t="shared" si="7"/>
        <v>1</v>
      </c>
      <c r="O13" s="392"/>
      <c r="P13" s="393"/>
      <c r="Q13" s="393"/>
      <c r="R13" s="393"/>
      <c r="S13" s="393"/>
      <c r="T13" s="393"/>
      <c r="U13" s="392"/>
      <c r="V13" s="392"/>
      <c r="W13" s="392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0"/>
        <v>0</v>
      </c>
      <c r="AH13" s="108">
        <f t="shared" si="1"/>
        <v>0</v>
      </c>
      <c r="AI13" s="108">
        <f t="shared" si="10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392"/>
      <c r="AO13" s="393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4</v>
      </c>
      <c r="H14" s="373" t="s">
        <v>9</v>
      </c>
      <c r="I14" s="441">
        <v>3</v>
      </c>
      <c r="J14" s="375">
        <f t="shared" si="5"/>
        <v>1</v>
      </c>
      <c r="K14" s="363">
        <f t="shared" si="6"/>
        <v>3</v>
      </c>
      <c r="L14" s="363">
        <f t="shared" si="7"/>
        <v>0</v>
      </c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392"/>
      <c r="V14" s="392"/>
      <c r="W14" s="392"/>
      <c r="Y14" s="109">
        <f t="shared" si="8"/>
        <v>0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0</v>
      </c>
      <c r="AG14" s="108">
        <f t="shared" si="0"/>
        <v>0</v>
      </c>
      <c r="AH14" s="108">
        <f t="shared" si="1"/>
        <v>0</v>
      </c>
      <c r="AI14" s="108">
        <f t="shared" si="10"/>
        <v>0</v>
      </c>
      <c r="AJ14" s="108">
        <f t="shared" si="2"/>
        <v>0</v>
      </c>
      <c r="AK14" s="108">
        <f t="shared" si="3"/>
        <v>0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1</v>
      </c>
      <c r="H15" s="379" t="s">
        <v>9</v>
      </c>
      <c r="I15" s="442">
        <v>1</v>
      </c>
      <c r="J15" s="381">
        <f t="shared" si="5"/>
        <v>3</v>
      </c>
      <c r="K15" s="363">
        <f t="shared" si="6"/>
        <v>1</v>
      </c>
      <c r="L15" s="363">
        <f t="shared" si="7"/>
        <v>1</v>
      </c>
      <c r="O15" s="394" t="s">
        <v>13</v>
      </c>
      <c r="P15" s="395">
        <f>SUMIF($D$8:$D$55,$O15,$G$8:$G$55)+SUMIF($F$8:$F$55,$O15,$I$8:$I$55)</f>
        <v>8</v>
      </c>
      <c r="Q15" s="395">
        <f>SUMIF($D$8:$D$55,$O15,$I$8:$I$55)+SUMIF($F$8:$F$55,$O15,$G$8:$G$55)</f>
        <v>3</v>
      </c>
      <c r="R15" s="396">
        <f>P15-Q15</f>
        <v>5</v>
      </c>
      <c r="S15" s="397">
        <f>SUMIF($D$8:$D$55,$O15,$K$8:$K$55)+SUMIF($F$8:$F$55,$O15,$L$8:$L$55)</f>
        <v>9</v>
      </c>
      <c r="T15" s="444" t="s">
        <v>52</v>
      </c>
      <c r="U15" s="392"/>
      <c r="V15" s="392" t="str">
        <f>O15</f>
        <v>Spanje</v>
      </c>
      <c r="W15" s="392" t="s">
        <v>52</v>
      </c>
      <c r="Y15" s="109">
        <f t="shared" si="8"/>
        <v>1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1</v>
      </c>
      <c r="AG15" s="108">
        <f t="shared" si="0"/>
        <v>0</v>
      </c>
      <c r="AH15" s="108">
        <f t="shared" si="1"/>
        <v>1</v>
      </c>
      <c r="AI15" s="108">
        <f t="shared" si="10"/>
        <v>0</v>
      </c>
      <c r="AJ15" s="108">
        <f t="shared" si="2"/>
        <v>0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0</v>
      </c>
      <c r="H16" s="367" t="s">
        <v>9</v>
      </c>
      <c r="I16" s="440">
        <v>0</v>
      </c>
      <c r="J16" s="369">
        <f t="shared" si="5"/>
        <v>3</v>
      </c>
      <c r="K16" s="363">
        <f t="shared" si="6"/>
        <v>1</v>
      </c>
      <c r="L16" s="363">
        <f t="shared" si="7"/>
        <v>1</v>
      </c>
      <c r="O16" s="404" t="s">
        <v>14</v>
      </c>
      <c r="P16" s="399">
        <f>SUMIF($D$8:$D$55,$O16,$G$8:$G$55)+SUMIF($F$8:$F$55,$O16,$I$8:$I$55)</f>
        <v>10</v>
      </c>
      <c r="Q16" s="399">
        <f>SUMIF($D$8:$D$55,$O16,$I$8:$I$55)+SUMIF($F$8:$F$55,$O16,$G$8:$G$55)</f>
        <v>6</v>
      </c>
      <c r="R16" s="399">
        <f>P16-Q16</f>
        <v>4</v>
      </c>
      <c r="S16" s="400">
        <f>SUMIF($D$8:$D$55,$O16,$K$8:$K$55)+SUMIF($F$8:$F$55,$O16,$L$8:$L$55)</f>
        <v>6</v>
      </c>
      <c r="T16" s="445" t="s">
        <v>53</v>
      </c>
      <c r="U16" s="392"/>
      <c r="V16" s="392" t="str">
        <f>O16</f>
        <v>Nederland</v>
      </c>
      <c r="W16" s="392" t="s">
        <v>53</v>
      </c>
      <c r="Y16" s="109">
        <f t="shared" si="8"/>
        <v>0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0</v>
      </c>
      <c r="AG16" s="108">
        <f t="shared" si="0"/>
        <v>0</v>
      </c>
      <c r="AH16" s="108">
        <f t="shared" si="1"/>
        <v>0</v>
      </c>
      <c r="AI16" s="108">
        <f t="shared" si="10"/>
        <v>0</v>
      </c>
      <c r="AJ16" s="108">
        <f t="shared" si="2"/>
        <v>0</v>
      </c>
      <c r="AK16" s="108">
        <f t="shared" si="3"/>
        <v>0</v>
      </c>
      <c r="AL16" s="108">
        <f t="shared" si="4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3</v>
      </c>
      <c r="H17" s="373" t="s">
        <v>9</v>
      </c>
      <c r="I17" s="441">
        <v>0</v>
      </c>
      <c r="J17" s="375">
        <f t="shared" si="5"/>
        <v>1</v>
      </c>
      <c r="K17" s="363">
        <f t="shared" si="6"/>
        <v>3</v>
      </c>
      <c r="L17" s="363">
        <f t="shared" si="7"/>
        <v>0</v>
      </c>
      <c r="O17" s="398" t="s">
        <v>15</v>
      </c>
      <c r="P17" s="399">
        <f>SUMIF($D$8:$D$55,$O17,$G$8:$G$55)+SUMIF($F$8:$F$55,$O17,$I$8:$I$55)</f>
        <v>4</v>
      </c>
      <c r="Q17" s="399">
        <f>SUMIF($D$8:$D$55,$O17,$I$8:$I$55)+SUMIF($F$8:$F$55,$O17,$G$8:$G$55)</f>
        <v>9</v>
      </c>
      <c r="R17" s="399">
        <f>P17-Q17</f>
        <v>-5</v>
      </c>
      <c r="S17" s="400">
        <f>SUMIF($D$8:$D$55,$O17,$K$8:$K$55)+SUMIF($F$8:$F$55,$O17,$L$8:$L$55)</f>
        <v>0</v>
      </c>
      <c r="T17" s="445" t="s">
        <v>55</v>
      </c>
      <c r="U17" s="392"/>
      <c r="V17" s="392" t="str">
        <f>O17</f>
        <v>Chili</v>
      </c>
      <c r="W17" s="392" t="s">
        <v>54</v>
      </c>
      <c r="Y17" s="109">
        <f t="shared" si="8"/>
        <v>10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10</v>
      </c>
      <c r="AG17" s="108">
        <f t="shared" si="0"/>
        <v>1</v>
      </c>
      <c r="AH17" s="108">
        <f t="shared" si="1"/>
        <v>1</v>
      </c>
      <c r="AI17" s="108">
        <f t="shared" si="10"/>
        <v>10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2</v>
      </c>
      <c r="H18" s="379" t="s">
        <v>9</v>
      </c>
      <c r="I18" s="442">
        <v>0</v>
      </c>
      <c r="J18" s="381">
        <f t="shared" si="5"/>
        <v>1</v>
      </c>
      <c r="K18" s="363">
        <f t="shared" si="6"/>
        <v>3</v>
      </c>
      <c r="L18" s="363">
        <f t="shared" si="7"/>
        <v>0</v>
      </c>
      <c r="O18" s="401" t="s">
        <v>16</v>
      </c>
      <c r="P18" s="402">
        <f>SUMIF($D$8:$D$55,$O18,$G$8:$G$55)+SUMIF($F$8:$F$55,$O18,$I$8:$I$55)</f>
        <v>3</v>
      </c>
      <c r="Q18" s="402">
        <f>SUMIF($D$8:$D$55,$O18,$I$8:$I$55)+SUMIF($F$8:$F$55,$O18,$G$8:$G$55)</f>
        <v>7</v>
      </c>
      <c r="R18" s="402">
        <f>P18-Q18</f>
        <v>-4</v>
      </c>
      <c r="S18" s="403">
        <f>SUMIF($D$8:$D$55,$O18,$K$8:$K$55)+SUMIF($F$8:$F$55,$O18,$L$8:$L$55)</f>
        <v>3</v>
      </c>
      <c r="T18" s="446" t="s">
        <v>54</v>
      </c>
      <c r="U18" s="392"/>
      <c r="V18" s="392" t="str">
        <f>O18</f>
        <v>Australië</v>
      </c>
      <c r="W18" s="392" t="s">
        <v>55</v>
      </c>
      <c r="Y18" s="109">
        <f t="shared" si="8"/>
        <v>6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6</v>
      </c>
      <c r="AG18" s="108">
        <f t="shared" si="0"/>
        <v>1</v>
      </c>
      <c r="AH18" s="108">
        <f t="shared" si="1"/>
        <v>0</v>
      </c>
      <c r="AI18" s="108">
        <f t="shared" si="10"/>
        <v>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0</v>
      </c>
      <c r="AN18" s="118" t="s">
        <v>16</v>
      </c>
      <c r="AO18" s="115">
        <f>IF(Uitslag!T18="",0,IF(T18=Uitslag!T18,10,0))</f>
        <v>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1</v>
      </c>
      <c r="H19" s="367" t="s">
        <v>9</v>
      </c>
      <c r="I19" s="440">
        <v>3</v>
      </c>
      <c r="J19" s="369">
        <f t="shared" si="5"/>
        <v>2</v>
      </c>
      <c r="K19" s="363">
        <f t="shared" si="6"/>
        <v>0</v>
      </c>
      <c r="L19" s="363">
        <f t="shared" si="7"/>
        <v>3</v>
      </c>
      <c r="O19" s="392"/>
      <c r="P19" s="393"/>
      <c r="Q19" s="393"/>
      <c r="R19" s="393"/>
      <c r="S19" s="393"/>
      <c r="T19" s="393"/>
      <c r="U19" s="392"/>
      <c r="V19" s="392"/>
      <c r="W19" s="392"/>
      <c r="Y19" s="109">
        <f t="shared" si="8"/>
        <v>0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0</v>
      </c>
      <c r="AG19" s="108">
        <f t="shared" si="0"/>
        <v>0</v>
      </c>
      <c r="AH19" s="108">
        <f t="shared" si="1"/>
        <v>0</v>
      </c>
      <c r="AI19" s="108">
        <f t="shared" si="10"/>
        <v>0</v>
      </c>
      <c r="AJ19" s="108">
        <f t="shared" si="2"/>
        <v>0</v>
      </c>
      <c r="AK19" s="108">
        <f t="shared" si="3"/>
        <v>0</v>
      </c>
      <c r="AL19" s="108">
        <f t="shared" si="4"/>
        <v>0</v>
      </c>
      <c r="AN19" s="392"/>
      <c r="AO19" s="393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1</v>
      </c>
      <c r="H20" s="373" t="s">
        <v>9</v>
      </c>
      <c r="I20" s="441">
        <v>1</v>
      </c>
      <c r="J20" s="375">
        <f t="shared" si="5"/>
        <v>3</v>
      </c>
      <c r="K20" s="363">
        <f t="shared" si="6"/>
        <v>1</v>
      </c>
      <c r="L20" s="363">
        <f t="shared" si="7"/>
        <v>1</v>
      </c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392"/>
      <c r="V20" s="392"/>
      <c r="W20" s="392"/>
      <c r="Y20" s="109">
        <f t="shared" si="8"/>
        <v>5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5</v>
      </c>
      <c r="AG20" s="108">
        <f t="shared" si="0"/>
        <v>0</v>
      </c>
      <c r="AH20" s="108">
        <f t="shared" si="1"/>
        <v>0</v>
      </c>
      <c r="AI20" s="108">
        <f t="shared" si="10"/>
        <v>0</v>
      </c>
      <c r="AJ20" s="108">
        <f t="shared" si="2"/>
        <v>0</v>
      </c>
      <c r="AK20" s="108">
        <f t="shared" si="3"/>
        <v>0</v>
      </c>
      <c r="AL20" s="108">
        <f t="shared" si="4"/>
        <v>5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0</v>
      </c>
      <c r="H21" s="379" t="s">
        <v>9</v>
      </c>
      <c r="I21" s="442">
        <v>0</v>
      </c>
      <c r="J21" s="381">
        <f t="shared" si="5"/>
        <v>3</v>
      </c>
      <c r="K21" s="363">
        <f t="shared" si="6"/>
        <v>1</v>
      </c>
      <c r="L21" s="363">
        <f t="shared" si="7"/>
        <v>1</v>
      </c>
      <c r="O21" s="394" t="s">
        <v>17</v>
      </c>
      <c r="P21" s="395">
        <f>SUMIF($D$8:$D$55,$O21,$G$8:$G$55)+SUMIF($F$8:$F$55,$O21,$I$8:$I$55)</f>
        <v>10</v>
      </c>
      <c r="Q21" s="395">
        <f>SUMIF($D$8:$D$55,$O21,$I$8:$I$55)+SUMIF($F$8:$F$55,$O21,$G$8:$G$55)</f>
        <v>4</v>
      </c>
      <c r="R21" s="396">
        <f>P21-Q21</f>
        <v>6</v>
      </c>
      <c r="S21" s="397">
        <f>SUMIF($D$8:$D$55,$O21,$K$8:$K$55)+SUMIF($F$8:$F$55,$O21,$L$8:$L$55)</f>
        <v>7</v>
      </c>
      <c r="T21" s="444" t="s">
        <v>57</v>
      </c>
      <c r="U21" s="392"/>
      <c r="V21" s="392" t="str">
        <f>O21</f>
        <v>Colombia</v>
      </c>
      <c r="W21" s="392" t="s">
        <v>57</v>
      </c>
      <c r="Y21" s="109">
        <f t="shared" si="8"/>
        <v>0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0</v>
      </c>
      <c r="AG21" s="108">
        <f t="shared" si="0"/>
        <v>0</v>
      </c>
      <c r="AH21" s="108">
        <f t="shared" si="1"/>
        <v>0</v>
      </c>
      <c r="AI21" s="108">
        <f t="shared" si="10"/>
        <v>0</v>
      </c>
      <c r="AJ21" s="108">
        <f t="shared" si="2"/>
        <v>0</v>
      </c>
      <c r="AK21" s="108">
        <f t="shared" si="3"/>
        <v>0</v>
      </c>
      <c r="AL21" s="108">
        <f t="shared" si="4"/>
        <v>0</v>
      </c>
      <c r="AM21" s="120">
        <f>AO21</f>
        <v>10</v>
      </c>
      <c r="AN21" s="116" t="s">
        <v>17</v>
      </c>
      <c r="AO21" s="115">
        <f>IF(Uitslag!T21="",0,IF(T21=Uitslag!T21,10,0))</f>
        <v>10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1</v>
      </c>
      <c r="H22" s="367" t="s">
        <v>9</v>
      </c>
      <c r="I22" s="440">
        <v>1</v>
      </c>
      <c r="J22" s="369">
        <f t="shared" si="5"/>
        <v>3</v>
      </c>
      <c r="K22" s="363">
        <f t="shared" si="6"/>
        <v>1</v>
      </c>
      <c r="L22" s="363">
        <f t="shared" si="7"/>
        <v>1</v>
      </c>
      <c r="O22" s="398" t="s">
        <v>18</v>
      </c>
      <c r="P22" s="399">
        <f>SUMIF($D$8:$D$55,$O22,$G$8:$G$55)+SUMIF($F$8:$F$55,$O22,$I$8:$I$55)</f>
        <v>6</v>
      </c>
      <c r="Q22" s="399">
        <f>SUMIF($D$8:$D$55,$O22,$I$8:$I$55)+SUMIF($F$8:$F$55,$O22,$G$8:$G$55)</f>
        <v>9</v>
      </c>
      <c r="R22" s="399">
        <f>P22-Q22</f>
        <v>-3</v>
      </c>
      <c r="S22" s="400">
        <f>SUMIF($D$8:$D$55,$O22,$K$8:$K$55)+SUMIF($F$8:$F$55,$O22,$L$8:$L$55)</f>
        <v>3</v>
      </c>
      <c r="T22" s="445" t="s">
        <v>59</v>
      </c>
      <c r="U22" s="392"/>
      <c r="V22" s="392" t="str">
        <f>O22</f>
        <v>Griekenland</v>
      </c>
      <c r="W22" s="392" t="s">
        <v>58</v>
      </c>
      <c r="Y22" s="109">
        <f t="shared" si="8"/>
        <v>1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1</v>
      </c>
      <c r="AG22" s="108">
        <f t="shared" si="0"/>
        <v>0</v>
      </c>
      <c r="AH22" s="108">
        <f t="shared" si="1"/>
        <v>1</v>
      </c>
      <c r="AI22" s="108">
        <f t="shared" si="10"/>
        <v>0</v>
      </c>
      <c r="AJ22" s="108">
        <f t="shared" si="2"/>
        <v>0</v>
      </c>
      <c r="AK22" s="108">
        <f t="shared" si="3"/>
        <v>0</v>
      </c>
      <c r="AL22" s="108">
        <f t="shared" si="4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3</v>
      </c>
      <c r="H23" s="373" t="s">
        <v>9</v>
      </c>
      <c r="I23" s="441">
        <v>1</v>
      </c>
      <c r="J23" s="375">
        <f t="shared" si="5"/>
        <v>1</v>
      </c>
      <c r="K23" s="363">
        <f t="shared" si="6"/>
        <v>3</v>
      </c>
      <c r="L23" s="363">
        <f t="shared" si="7"/>
        <v>0</v>
      </c>
      <c r="O23" s="398" t="s">
        <v>23</v>
      </c>
      <c r="P23" s="399">
        <f>SUMIF($D$8:$D$55,$O23,$G$8:$G$55)+SUMIF($F$8:$F$55,$O23,$I$8:$I$55)</f>
        <v>6</v>
      </c>
      <c r="Q23" s="399">
        <f>SUMIF($D$8:$D$55,$O23,$I$8:$I$55)+SUMIF($F$8:$F$55,$O23,$G$8:$G$55)</f>
        <v>5</v>
      </c>
      <c r="R23" s="399">
        <f>P23-Q23</f>
        <v>1</v>
      </c>
      <c r="S23" s="400">
        <f>SUMIF($D$8:$D$55,$O23,$K$8:$K$55)+SUMIF($F$8:$F$55,$O23,$L$8:$L$55)</f>
        <v>5</v>
      </c>
      <c r="T23" s="445" t="s">
        <v>58</v>
      </c>
      <c r="U23" s="392"/>
      <c r="V23" s="392" t="str">
        <f>O23</f>
        <v>Ivoorkust</v>
      </c>
      <c r="W23" s="392" t="s">
        <v>59</v>
      </c>
      <c r="Y23" s="109">
        <f t="shared" si="8"/>
        <v>0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0</v>
      </c>
      <c r="AG23" s="108">
        <f t="shared" si="0"/>
        <v>0</v>
      </c>
      <c r="AH23" s="108">
        <f t="shared" si="1"/>
        <v>0</v>
      </c>
      <c r="AI23" s="108">
        <f t="shared" si="10"/>
        <v>0</v>
      </c>
      <c r="AJ23" s="108">
        <f t="shared" si="2"/>
        <v>0</v>
      </c>
      <c r="AK23" s="108">
        <f t="shared" si="3"/>
        <v>0</v>
      </c>
      <c r="AL23" s="108">
        <f t="shared" si="4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1</v>
      </c>
      <c r="H24" s="379" t="s">
        <v>9</v>
      </c>
      <c r="I24" s="442">
        <v>1</v>
      </c>
      <c r="J24" s="381">
        <f t="shared" si="5"/>
        <v>3</v>
      </c>
      <c r="K24" s="363">
        <f t="shared" si="6"/>
        <v>1</v>
      </c>
      <c r="L24" s="363">
        <f t="shared" si="7"/>
        <v>1</v>
      </c>
      <c r="O24" s="401" t="s">
        <v>24</v>
      </c>
      <c r="P24" s="402">
        <f>SUMIF($D$8:$D$55,$O24,$G$8:$G$55)+SUMIF($F$8:$F$55,$O24,$I$8:$I$55)</f>
        <v>4</v>
      </c>
      <c r="Q24" s="402">
        <f>SUMIF($D$8:$D$55,$O24,$I$8:$I$55)+SUMIF($F$8:$F$55,$O24,$G$8:$G$55)</f>
        <v>8</v>
      </c>
      <c r="R24" s="402">
        <f>P24-Q24</f>
        <v>-4</v>
      </c>
      <c r="S24" s="403">
        <f>SUMIF($D$8:$D$55,$O24,$K$8:$K$55)+SUMIF($F$8:$F$55,$O24,$L$8:$L$55)</f>
        <v>1</v>
      </c>
      <c r="T24" s="446" t="s">
        <v>60</v>
      </c>
      <c r="U24" s="392"/>
      <c r="V24" s="392" t="str">
        <f>O24</f>
        <v>Japan</v>
      </c>
      <c r="W24" s="392" t="s">
        <v>60</v>
      </c>
      <c r="Y24" s="109">
        <f t="shared" si="8"/>
        <v>10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10</v>
      </c>
      <c r="AG24" s="108">
        <f t="shared" si="0"/>
        <v>1</v>
      </c>
      <c r="AH24" s="108">
        <f t="shared" si="1"/>
        <v>1</v>
      </c>
      <c r="AI24" s="108">
        <f t="shared" si="10"/>
        <v>10</v>
      </c>
      <c r="AJ24" s="108">
        <f t="shared" si="2"/>
        <v>0</v>
      </c>
      <c r="AK24" s="108">
        <f t="shared" si="3"/>
        <v>0</v>
      </c>
      <c r="AL24" s="108">
        <f t="shared" si="4"/>
        <v>5</v>
      </c>
      <c r="AM24" s="120">
        <f>AO24</f>
        <v>10</v>
      </c>
      <c r="AN24" s="118" t="s">
        <v>24</v>
      </c>
      <c r="AO24" s="115">
        <f>IF(Uitslag!T24="",0,IF(T24=Uitslag!T24,10,0))</f>
        <v>10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1</v>
      </c>
      <c r="H25" s="367" t="s">
        <v>9</v>
      </c>
      <c r="I25" s="440">
        <v>4</v>
      </c>
      <c r="J25" s="369">
        <f t="shared" si="5"/>
        <v>2</v>
      </c>
      <c r="K25" s="363">
        <f t="shared" si="6"/>
        <v>0</v>
      </c>
      <c r="L25" s="363">
        <f t="shared" si="7"/>
        <v>3</v>
      </c>
      <c r="O25" s="392"/>
      <c r="P25" s="393"/>
      <c r="Q25" s="393"/>
      <c r="R25" s="393"/>
      <c r="S25" s="393"/>
      <c r="T25" s="393"/>
      <c r="U25" s="392"/>
      <c r="V25" s="392"/>
      <c r="W25" s="392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0"/>
        <v>0</v>
      </c>
      <c r="AH25" s="108">
        <f t="shared" si="1"/>
        <v>0</v>
      </c>
      <c r="AI25" s="108">
        <f t="shared" si="10"/>
        <v>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392"/>
      <c r="AO25" s="393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3</v>
      </c>
      <c r="H26" s="373" t="s">
        <v>9</v>
      </c>
      <c r="I26" s="441">
        <v>1</v>
      </c>
      <c r="J26" s="375">
        <f t="shared" si="5"/>
        <v>1</v>
      </c>
      <c r="K26" s="363">
        <f t="shared" si="6"/>
        <v>3</v>
      </c>
      <c r="L26" s="363">
        <f t="shared" si="7"/>
        <v>0</v>
      </c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392"/>
      <c r="V26" s="392"/>
      <c r="W26" s="392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0"/>
        <v>0</v>
      </c>
      <c r="AH26" s="108">
        <f t="shared" si="1"/>
        <v>0</v>
      </c>
      <c r="AI26" s="108">
        <f t="shared" si="10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1</v>
      </c>
      <c r="H27" s="379" t="s">
        <v>9</v>
      </c>
      <c r="I27" s="442">
        <v>2</v>
      </c>
      <c r="J27" s="381">
        <f t="shared" si="5"/>
        <v>2</v>
      </c>
      <c r="K27" s="363">
        <f t="shared" si="6"/>
        <v>0</v>
      </c>
      <c r="L27" s="363">
        <f t="shared" si="7"/>
        <v>3</v>
      </c>
      <c r="O27" s="394" t="s">
        <v>19</v>
      </c>
      <c r="P27" s="395">
        <f>SUMIF($D$8:$D$55,$O27,$G$8:$G$55)+SUMIF($F$8:$F$55,$O27,$I$8:$I$55)</f>
        <v>3</v>
      </c>
      <c r="Q27" s="395">
        <f>SUMIF($D$8:$D$55,$O27,$I$8:$I$55)+SUMIF($F$8:$F$55,$O27,$G$8:$G$55)</f>
        <v>8</v>
      </c>
      <c r="R27" s="396">
        <f>P27-Q27</f>
        <v>-5</v>
      </c>
      <c r="S27" s="397">
        <f>SUMIF($D$8:$D$55,$O27,$K$8:$K$55)+SUMIF($F$8:$F$55,$O27,$L$8:$L$55)</f>
        <v>1</v>
      </c>
      <c r="T27" s="444" t="s">
        <v>64</v>
      </c>
      <c r="U27" s="392"/>
      <c r="V27" s="392" t="str">
        <f>O27</f>
        <v>Uruguay</v>
      </c>
      <c r="W27" s="392" t="s">
        <v>62</v>
      </c>
      <c r="Y27" s="109">
        <f t="shared" si="8"/>
        <v>5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5</v>
      </c>
      <c r="AG27" s="108">
        <f t="shared" si="0"/>
        <v>0</v>
      </c>
      <c r="AH27" s="108">
        <f t="shared" si="1"/>
        <v>0</v>
      </c>
      <c r="AI27" s="108">
        <f t="shared" si="10"/>
        <v>0</v>
      </c>
      <c r="AJ27" s="108">
        <f t="shared" si="2"/>
        <v>0</v>
      </c>
      <c r="AK27" s="108">
        <f t="shared" si="3"/>
        <v>5</v>
      </c>
      <c r="AL27" s="108">
        <f t="shared" si="4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2</v>
      </c>
      <c r="H28" s="367" t="s">
        <v>9</v>
      </c>
      <c r="I28" s="440">
        <v>2</v>
      </c>
      <c r="J28" s="369">
        <f t="shared" si="5"/>
        <v>3</v>
      </c>
      <c r="K28" s="363">
        <f t="shared" si="6"/>
        <v>1</v>
      </c>
      <c r="L28" s="363">
        <f t="shared" si="7"/>
        <v>1</v>
      </c>
      <c r="O28" s="398" t="s">
        <v>20</v>
      </c>
      <c r="P28" s="399">
        <f>SUMIF($D$8:$D$55,$O28,$G$8:$G$55)+SUMIF($F$8:$F$55,$O28,$I$8:$I$55)</f>
        <v>2</v>
      </c>
      <c r="Q28" s="399">
        <f>SUMIF($D$8:$D$55,$O28,$I$8:$I$55)+SUMIF($F$8:$F$55,$O28,$G$8:$G$55)</f>
        <v>6</v>
      </c>
      <c r="R28" s="399">
        <f>P28-Q28</f>
        <v>-4</v>
      </c>
      <c r="S28" s="400">
        <f>SUMIF($D$8:$D$55,$O28,$K$8:$K$55)+SUMIF($F$8:$F$55,$O28,$L$8:$L$55)</f>
        <v>1</v>
      </c>
      <c r="T28" s="445" t="s">
        <v>65</v>
      </c>
      <c r="U28" s="392"/>
      <c r="V28" s="392" t="str">
        <f>O28</f>
        <v>Costa Rica</v>
      </c>
      <c r="W28" s="392" t="s">
        <v>63</v>
      </c>
      <c r="Y28" s="109">
        <f t="shared" si="8"/>
        <v>1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1</v>
      </c>
      <c r="AG28" s="108">
        <f t="shared" si="0"/>
        <v>1</v>
      </c>
      <c r="AH28" s="108">
        <f t="shared" si="1"/>
        <v>0</v>
      </c>
      <c r="AI28" s="108">
        <f t="shared" si="10"/>
        <v>0</v>
      </c>
      <c r="AJ28" s="108">
        <f t="shared" si="2"/>
        <v>0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2</v>
      </c>
      <c r="H29" s="373" t="s">
        <v>9</v>
      </c>
      <c r="I29" s="441">
        <v>4</v>
      </c>
      <c r="J29" s="375">
        <f t="shared" si="5"/>
        <v>2</v>
      </c>
      <c r="K29" s="363">
        <f t="shared" si="6"/>
        <v>0</v>
      </c>
      <c r="L29" s="363">
        <f t="shared" si="7"/>
        <v>3</v>
      </c>
      <c r="O29" s="398" t="s">
        <v>21</v>
      </c>
      <c r="P29" s="399">
        <f>SUMIF($D$8:$D$55,$O29,$G$8:$G$55)+SUMIF($F$8:$F$55,$O29,$I$8:$I$55)</f>
        <v>11</v>
      </c>
      <c r="Q29" s="399">
        <f>SUMIF($D$8:$D$55,$O29,$I$8:$I$55)+SUMIF($F$8:$F$55,$O29,$G$8:$G$55)</f>
        <v>6</v>
      </c>
      <c r="R29" s="399">
        <f>P29-Q29</f>
        <v>5</v>
      </c>
      <c r="S29" s="400">
        <f>SUMIF($D$8:$D$55,$O29,$K$8:$K$55)+SUMIF($F$8:$F$55,$O29,$L$8:$L$55)</f>
        <v>9</v>
      </c>
      <c r="T29" s="445" t="s">
        <v>62</v>
      </c>
      <c r="U29" s="392"/>
      <c r="V29" s="392" t="str">
        <f>O29</f>
        <v>Engeland</v>
      </c>
      <c r="W29" s="392" t="s">
        <v>64</v>
      </c>
      <c r="Y29" s="109">
        <f t="shared" si="8"/>
        <v>1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1</v>
      </c>
      <c r="AG29" s="108">
        <f t="shared" si="0"/>
        <v>1</v>
      </c>
      <c r="AH29" s="108">
        <f t="shared" si="1"/>
        <v>0</v>
      </c>
      <c r="AI29" s="108">
        <f t="shared" si="10"/>
        <v>0</v>
      </c>
      <c r="AJ29" s="108">
        <f t="shared" si="2"/>
        <v>0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2</v>
      </c>
      <c r="H30" s="379" t="s">
        <v>9</v>
      </c>
      <c r="I30" s="442">
        <v>3</v>
      </c>
      <c r="J30" s="381">
        <f t="shared" si="5"/>
        <v>2</v>
      </c>
      <c r="K30" s="363">
        <f t="shared" si="6"/>
        <v>0</v>
      </c>
      <c r="L30" s="363">
        <f t="shared" si="7"/>
        <v>3</v>
      </c>
      <c r="O30" s="401" t="s">
        <v>22</v>
      </c>
      <c r="P30" s="402">
        <f>SUMIF($D$8:$D$55,$O30,$G$8:$G$55)+SUMIF($F$8:$F$55,$O30,$I$8:$I$55)</f>
        <v>10</v>
      </c>
      <c r="Q30" s="402">
        <f>SUMIF($D$8:$D$55,$O30,$I$8:$I$55)+SUMIF($F$8:$F$55,$O30,$G$8:$G$55)</f>
        <v>6</v>
      </c>
      <c r="R30" s="402">
        <f>P30-Q30</f>
        <v>4</v>
      </c>
      <c r="S30" s="403">
        <f>SUMIF($D$8:$D$55,$O30,$K$8:$K$55)+SUMIF($F$8:$F$55,$O30,$L$8:$L$55)</f>
        <v>6</v>
      </c>
      <c r="T30" s="446" t="s">
        <v>63</v>
      </c>
      <c r="U30" s="392"/>
      <c r="V30" s="392" t="str">
        <f>O30</f>
        <v>Italië</v>
      </c>
      <c r="W30" s="392" t="s">
        <v>65</v>
      </c>
      <c r="Y30" s="109">
        <f t="shared" si="8"/>
        <v>0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0</v>
      </c>
      <c r="AG30" s="108">
        <f t="shared" si="0"/>
        <v>0</v>
      </c>
      <c r="AH30" s="108">
        <f t="shared" si="1"/>
        <v>0</v>
      </c>
      <c r="AI30" s="108">
        <f t="shared" si="10"/>
        <v>0</v>
      </c>
      <c r="AJ30" s="108">
        <f t="shared" si="2"/>
        <v>0</v>
      </c>
      <c r="AK30" s="108">
        <f t="shared" si="3"/>
        <v>0</v>
      </c>
      <c r="AL30" s="108">
        <f t="shared" si="4"/>
        <v>0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3</v>
      </c>
      <c r="H31" s="367" t="s">
        <v>9</v>
      </c>
      <c r="I31" s="440">
        <v>1</v>
      </c>
      <c r="J31" s="369">
        <f t="shared" si="5"/>
        <v>1</v>
      </c>
      <c r="K31" s="363">
        <f t="shared" si="6"/>
        <v>3</v>
      </c>
      <c r="L31" s="363">
        <f t="shared" si="7"/>
        <v>0</v>
      </c>
      <c r="O31" s="392"/>
      <c r="P31" s="393"/>
      <c r="Q31" s="393"/>
      <c r="R31" s="393"/>
      <c r="S31" s="393"/>
      <c r="T31" s="393"/>
      <c r="U31" s="392"/>
      <c r="V31" s="392"/>
      <c r="W31" s="392"/>
      <c r="Y31" s="109">
        <f t="shared" si="8"/>
        <v>1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1</v>
      </c>
      <c r="AG31" s="108">
        <f t="shared" si="0"/>
        <v>0</v>
      </c>
      <c r="AH31" s="108">
        <f t="shared" si="1"/>
        <v>1</v>
      </c>
      <c r="AI31" s="108">
        <f t="shared" si="10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392"/>
      <c r="AO31" s="393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2</v>
      </c>
      <c r="H32" s="373" t="s">
        <v>9</v>
      </c>
      <c r="I32" s="441">
        <v>4</v>
      </c>
      <c r="J32" s="375">
        <f t="shared" si="5"/>
        <v>2</v>
      </c>
      <c r="K32" s="363">
        <f t="shared" si="6"/>
        <v>0</v>
      </c>
      <c r="L32" s="363">
        <f t="shared" si="7"/>
        <v>3</v>
      </c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392"/>
      <c r="V32" s="392"/>
      <c r="W32" s="392"/>
      <c r="Y32" s="109">
        <f t="shared" si="8"/>
        <v>6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6</v>
      </c>
      <c r="AG32" s="108">
        <f t="shared" si="0"/>
        <v>1</v>
      </c>
      <c r="AH32" s="108">
        <f t="shared" si="1"/>
        <v>0</v>
      </c>
      <c r="AI32" s="108">
        <f t="shared" si="10"/>
        <v>0</v>
      </c>
      <c r="AJ32" s="108">
        <f t="shared" si="2"/>
        <v>0</v>
      </c>
      <c r="AK32" s="108">
        <f t="shared" si="3"/>
        <v>5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1</v>
      </c>
      <c r="H33" s="379" t="s">
        <v>9</v>
      </c>
      <c r="I33" s="442">
        <v>2</v>
      </c>
      <c r="J33" s="381">
        <f t="shared" si="5"/>
        <v>2</v>
      </c>
      <c r="K33" s="363">
        <f t="shared" si="6"/>
        <v>0</v>
      </c>
      <c r="L33" s="363">
        <f t="shared" si="7"/>
        <v>3</v>
      </c>
      <c r="O33" s="394" t="s">
        <v>25</v>
      </c>
      <c r="P33" s="395">
        <f>SUMIF($D$8:$D$55,$O33,$G$8:$G$55)+SUMIF($F$8:$F$55,$O33,$I$8:$I$55)</f>
        <v>4</v>
      </c>
      <c r="Q33" s="395">
        <f>SUMIF($D$8:$D$55,$O33,$I$8:$I$55)+SUMIF($F$8:$F$55,$O33,$G$8:$G$55)</f>
        <v>4</v>
      </c>
      <c r="R33" s="396">
        <f>P33-Q33</f>
        <v>0</v>
      </c>
      <c r="S33" s="397">
        <f>SUMIF($D$8:$D$55,$O33,$K$8:$K$55)+SUMIF($F$8:$F$55,$O33,$L$8:$L$55)</f>
        <v>4</v>
      </c>
      <c r="T33" s="444" t="s">
        <v>68</v>
      </c>
      <c r="U33" s="392"/>
      <c r="V33" s="392" t="str">
        <f>O33</f>
        <v>Zwitserland</v>
      </c>
      <c r="W33" s="392" t="s">
        <v>67</v>
      </c>
      <c r="Y33" s="109">
        <f t="shared" si="8"/>
        <v>10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10</v>
      </c>
      <c r="AG33" s="108">
        <f t="shared" si="0"/>
        <v>1</v>
      </c>
      <c r="AH33" s="108">
        <f t="shared" si="1"/>
        <v>1</v>
      </c>
      <c r="AI33" s="108">
        <f t="shared" si="10"/>
        <v>10</v>
      </c>
      <c r="AJ33" s="108">
        <f t="shared" si="2"/>
        <v>0</v>
      </c>
      <c r="AK33" s="108">
        <f t="shared" si="3"/>
        <v>5</v>
      </c>
      <c r="AL33" s="108">
        <f t="shared" si="4"/>
        <v>0</v>
      </c>
      <c r="AM33" s="120">
        <f>AO33</f>
        <v>10</v>
      </c>
      <c r="AN33" s="116" t="s">
        <v>25</v>
      </c>
      <c r="AO33" s="115">
        <f>IF(Uitslag!T33="",0,IF(T33=Uitslag!T33,10,0))</f>
        <v>10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3</v>
      </c>
      <c r="H34" s="367" t="s">
        <v>9</v>
      </c>
      <c r="I34" s="440">
        <v>2</v>
      </c>
      <c r="J34" s="369">
        <f t="shared" si="5"/>
        <v>1</v>
      </c>
      <c r="K34" s="363">
        <f t="shared" si="6"/>
        <v>3</v>
      </c>
      <c r="L34" s="363">
        <f t="shared" si="7"/>
        <v>0</v>
      </c>
      <c r="O34" s="398" t="s">
        <v>26</v>
      </c>
      <c r="P34" s="399">
        <f>SUMIF($D$8:$D$55,$O34,$G$8:$G$55)+SUMIF($F$8:$F$55,$O34,$I$8:$I$55)</f>
        <v>4</v>
      </c>
      <c r="Q34" s="399">
        <f>SUMIF($D$8:$D$55,$O34,$I$8:$I$55)+SUMIF($F$8:$F$55,$O34,$G$8:$G$55)</f>
        <v>5</v>
      </c>
      <c r="R34" s="399">
        <f>P34-Q34</f>
        <v>-1</v>
      </c>
      <c r="S34" s="400">
        <f>SUMIF($D$8:$D$55,$O34,$K$8:$K$55)+SUMIF($F$8:$F$55,$O34,$L$8:$L$55)</f>
        <v>4</v>
      </c>
      <c r="T34" s="445" t="s">
        <v>69</v>
      </c>
      <c r="U34" s="392"/>
      <c r="V34" s="392" t="str">
        <f>O34</f>
        <v>Ecuador</v>
      </c>
      <c r="W34" s="392" t="s">
        <v>68</v>
      </c>
      <c r="Y34" s="109">
        <f t="shared" si="8"/>
        <v>5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5</v>
      </c>
      <c r="AG34" s="108">
        <f t="shared" si="0"/>
        <v>0</v>
      </c>
      <c r="AH34" s="108">
        <f t="shared" si="1"/>
        <v>0</v>
      </c>
      <c r="AI34" s="108">
        <f t="shared" si="10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10</v>
      </c>
      <c r="AN34" s="117" t="s">
        <v>26</v>
      </c>
      <c r="AO34" s="115">
        <f>IF(Uitslag!T34="",0,IF(T34=Uitslag!T34,10,0))</f>
        <v>10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4</v>
      </c>
      <c r="H35" s="373" t="s">
        <v>9</v>
      </c>
      <c r="I35" s="441">
        <v>1</v>
      </c>
      <c r="J35" s="375">
        <f t="shared" si="5"/>
        <v>1</v>
      </c>
      <c r="K35" s="363">
        <f t="shared" si="6"/>
        <v>3</v>
      </c>
      <c r="L35" s="363">
        <f t="shared" si="7"/>
        <v>0</v>
      </c>
      <c r="O35" s="398" t="s">
        <v>27</v>
      </c>
      <c r="P35" s="399">
        <f>SUMIF($D$8:$D$55,$O35,$G$8:$G$55)+SUMIF($F$8:$F$55,$O35,$I$8:$I$55)</f>
        <v>11</v>
      </c>
      <c r="Q35" s="399">
        <f>SUMIF($D$8:$D$55,$O35,$I$8:$I$55)+SUMIF($F$8:$F$55,$O35,$G$8:$G$55)</f>
        <v>4</v>
      </c>
      <c r="R35" s="399">
        <f>P35-Q35</f>
        <v>7</v>
      </c>
      <c r="S35" s="400">
        <f>SUMIF($D$8:$D$55,$O35,$K$8:$K$55)+SUMIF($F$8:$F$55,$O35,$L$8:$L$55)</f>
        <v>9</v>
      </c>
      <c r="T35" s="445" t="s">
        <v>67</v>
      </c>
      <c r="U35" s="392"/>
      <c r="V35" s="392" t="str">
        <f>O35</f>
        <v>Frankrijk</v>
      </c>
      <c r="W35" s="392" t="s">
        <v>69</v>
      </c>
      <c r="Y35" s="109">
        <f t="shared" si="8"/>
        <v>0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0</v>
      </c>
      <c r="AG35" s="108">
        <f t="shared" si="0"/>
        <v>0</v>
      </c>
      <c r="AH35" s="108">
        <f t="shared" si="1"/>
        <v>0</v>
      </c>
      <c r="AI35" s="108">
        <f t="shared" si="10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3</v>
      </c>
      <c r="H36" s="379" t="s">
        <v>9</v>
      </c>
      <c r="I36" s="442">
        <v>2</v>
      </c>
      <c r="J36" s="381">
        <f t="shared" si="5"/>
        <v>1</v>
      </c>
      <c r="K36" s="363">
        <f t="shared" si="6"/>
        <v>3</v>
      </c>
      <c r="L36" s="363">
        <f t="shared" si="7"/>
        <v>0</v>
      </c>
      <c r="O36" s="401" t="s">
        <v>28</v>
      </c>
      <c r="P36" s="402">
        <f>SUMIF($D$8:$D$55,$O36,$G$8:$G$55)+SUMIF($F$8:$F$55,$O36,$I$8:$I$55)</f>
        <v>1</v>
      </c>
      <c r="Q36" s="402">
        <f>SUMIF($D$8:$D$55,$O36,$I$8:$I$55)+SUMIF($F$8:$F$55,$O36,$G$8:$G$55)</f>
        <v>7</v>
      </c>
      <c r="R36" s="402">
        <f>P36-Q36</f>
        <v>-6</v>
      </c>
      <c r="S36" s="403">
        <f>SUMIF($D$8:$D$55,$O36,$K$8:$K$55)+SUMIF($F$8:$F$55,$O36,$L$8:$L$55)</f>
        <v>0</v>
      </c>
      <c r="T36" s="446" t="s">
        <v>70</v>
      </c>
      <c r="U36" s="392"/>
      <c r="V36" s="392" t="str">
        <f>O36</f>
        <v>Honduras</v>
      </c>
      <c r="W36" s="392" t="s">
        <v>70</v>
      </c>
      <c r="Y36" s="109">
        <f t="shared" si="8"/>
        <v>5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5</v>
      </c>
      <c r="AG36" s="108">
        <f t="shared" si="0"/>
        <v>0</v>
      </c>
      <c r="AH36" s="108">
        <f t="shared" si="1"/>
        <v>0</v>
      </c>
      <c r="AI36" s="108">
        <f t="shared" si="10"/>
        <v>0</v>
      </c>
      <c r="AJ36" s="108">
        <f t="shared" si="2"/>
        <v>5</v>
      </c>
      <c r="AK36" s="108">
        <f t="shared" si="3"/>
        <v>0</v>
      </c>
      <c r="AL36" s="108">
        <f t="shared" si="4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2</v>
      </c>
      <c r="H37" s="367" t="s">
        <v>9</v>
      </c>
      <c r="I37" s="440">
        <v>2</v>
      </c>
      <c r="J37" s="369">
        <f t="shared" si="5"/>
        <v>3</v>
      </c>
      <c r="K37" s="363">
        <f t="shared" si="6"/>
        <v>1</v>
      </c>
      <c r="L37" s="363">
        <f t="shared" si="7"/>
        <v>1</v>
      </c>
      <c r="O37" s="392"/>
      <c r="P37" s="393"/>
      <c r="Q37" s="393"/>
      <c r="R37" s="393"/>
      <c r="S37" s="393"/>
      <c r="T37" s="393"/>
      <c r="U37" s="392"/>
      <c r="V37" s="392"/>
      <c r="W37" s="392"/>
      <c r="Y37" s="109">
        <f t="shared" si="8"/>
        <v>0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0</v>
      </c>
      <c r="AG37" s="108">
        <f t="shared" si="0"/>
        <v>0</v>
      </c>
      <c r="AH37" s="108">
        <f t="shared" si="1"/>
        <v>0</v>
      </c>
      <c r="AI37" s="108">
        <f t="shared" si="10"/>
        <v>0</v>
      </c>
      <c r="AJ37" s="108">
        <f t="shared" si="2"/>
        <v>0</v>
      </c>
      <c r="AK37" s="108">
        <f t="shared" si="3"/>
        <v>0</v>
      </c>
      <c r="AL37" s="108">
        <f t="shared" si="4"/>
        <v>0</v>
      </c>
      <c r="AN37" s="392"/>
      <c r="AO37" s="393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2</v>
      </c>
      <c r="H38" s="373" t="s">
        <v>9</v>
      </c>
      <c r="I38" s="441">
        <v>0</v>
      </c>
      <c r="J38" s="375">
        <f t="shared" si="5"/>
        <v>1</v>
      </c>
      <c r="K38" s="363">
        <f t="shared" si="6"/>
        <v>3</v>
      </c>
      <c r="L38" s="363">
        <f t="shared" si="7"/>
        <v>0</v>
      </c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392"/>
      <c r="V38" s="392"/>
      <c r="W38" s="392"/>
      <c r="Y38" s="109">
        <f t="shared" si="8"/>
        <v>1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1</v>
      </c>
      <c r="AG38" s="108">
        <f t="shared" si="0"/>
        <v>1</v>
      </c>
      <c r="AH38" s="108">
        <f t="shared" si="1"/>
        <v>0</v>
      </c>
      <c r="AI38" s="108">
        <f t="shared" si="10"/>
        <v>0</v>
      </c>
      <c r="AJ38" s="108">
        <f t="shared" si="2"/>
        <v>0</v>
      </c>
      <c r="AK38" s="108">
        <f t="shared" si="3"/>
        <v>0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2</v>
      </c>
      <c r="H39" s="379" t="s">
        <v>9</v>
      </c>
      <c r="I39" s="442">
        <v>4</v>
      </c>
      <c r="J39" s="381">
        <f t="shared" si="5"/>
        <v>2</v>
      </c>
      <c r="K39" s="363">
        <f t="shared" si="6"/>
        <v>0</v>
      </c>
      <c r="L39" s="363">
        <f t="shared" si="7"/>
        <v>3</v>
      </c>
      <c r="O39" s="394" t="s">
        <v>29</v>
      </c>
      <c r="P39" s="395">
        <f>SUMIF($D$8:$D$55,$O39,$G$8:$G$55)+SUMIF($F$8:$F$55,$O39,$I$8:$I$55)</f>
        <v>9</v>
      </c>
      <c r="Q39" s="395">
        <f>SUMIF($D$8:$D$55,$O39,$I$8:$I$55)+SUMIF($F$8:$F$55,$O39,$G$8:$G$55)</f>
        <v>4</v>
      </c>
      <c r="R39" s="396">
        <f>P39-Q39</f>
        <v>5</v>
      </c>
      <c r="S39" s="397">
        <f>SUMIF($D$8:$D$55,$O39,$K$8:$K$55)+SUMIF($F$8:$F$55,$O39,$L$8:$L$55)</f>
        <v>9</v>
      </c>
      <c r="T39" s="444" t="s">
        <v>72</v>
      </c>
      <c r="U39" s="392"/>
      <c r="V39" s="392" t="str">
        <f>O39</f>
        <v>Argentinië</v>
      </c>
      <c r="W39" s="392" t="s">
        <v>72</v>
      </c>
      <c r="Y39" s="109">
        <f t="shared" si="8"/>
        <v>1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1</v>
      </c>
      <c r="AG39" s="108">
        <f t="shared" si="0"/>
        <v>1</v>
      </c>
      <c r="AH39" s="108">
        <f t="shared" si="1"/>
        <v>0</v>
      </c>
      <c r="AI39" s="108">
        <f t="shared" si="10"/>
        <v>0</v>
      </c>
      <c r="AJ39" s="108">
        <f t="shared" si="2"/>
        <v>0</v>
      </c>
      <c r="AK39" s="108">
        <f t="shared" si="3"/>
        <v>0</v>
      </c>
      <c r="AL39" s="108">
        <f t="shared" si="4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1</v>
      </c>
      <c r="H40" s="367" t="s">
        <v>9</v>
      </c>
      <c r="I40" s="440">
        <v>3</v>
      </c>
      <c r="J40" s="369">
        <f t="shared" si="5"/>
        <v>2</v>
      </c>
      <c r="K40" s="363">
        <f t="shared" si="6"/>
        <v>0</v>
      </c>
      <c r="L40" s="363">
        <f t="shared" si="7"/>
        <v>3</v>
      </c>
      <c r="O40" s="398" t="s">
        <v>30</v>
      </c>
      <c r="P40" s="399">
        <f>SUMIF($D$8:$D$55,$O40,$G$8:$G$55)+SUMIF($F$8:$F$55,$O40,$I$8:$I$55)</f>
        <v>5</v>
      </c>
      <c r="Q40" s="399">
        <f>SUMIF($D$8:$D$55,$O40,$I$8:$I$55)+SUMIF($F$8:$F$55,$O40,$G$8:$G$55)</f>
        <v>6</v>
      </c>
      <c r="R40" s="399">
        <f>P40-Q40</f>
        <v>-1</v>
      </c>
      <c r="S40" s="400">
        <f>SUMIF($D$8:$D$55,$O40,$K$8:$K$55)+SUMIF($F$8:$F$55,$O40,$L$8:$L$55)</f>
        <v>3</v>
      </c>
      <c r="T40" s="445" t="s">
        <v>74</v>
      </c>
      <c r="U40" s="392"/>
      <c r="V40" s="392" t="str">
        <f>O40</f>
        <v>Bosnië H.</v>
      </c>
      <c r="W40" s="392" t="s">
        <v>73</v>
      </c>
      <c r="Y40" s="109">
        <f t="shared" si="8"/>
        <v>6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6</v>
      </c>
      <c r="AG40" s="108">
        <f t="shared" si="0"/>
        <v>0</v>
      </c>
      <c r="AH40" s="108">
        <f t="shared" si="1"/>
        <v>1</v>
      </c>
      <c r="AI40" s="108">
        <f t="shared" si="10"/>
        <v>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5</v>
      </c>
      <c r="H41" s="373" t="s">
        <v>9</v>
      </c>
      <c r="I41" s="441">
        <v>3</v>
      </c>
      <c r="J41" s="375">
        <f t="shared" si="5"/>
        <v>1</v>
      </c>
      <c r="K41" s="363">
        <f t="shared" si="6"/>
        <v>3</v>
      </c>
      <c r="L41" s="363">
        <f t="shared" si="7"/>
        <v>0</v>
      </c>
      <c r="O41" s="398" t="s">
        <v>33</v>
      </c>
      <c r="P41" s="399">
        <f>SUMIF($D$8:$D$55,$O41,$G$8:$G$55)+SUMIF($F$8:$F$55,$O41,$I$8:$I$55)</f>
        <v>4</v>
      </c>
      <c r="Q41" s="399">
        <f>SUMIF($D$8:$D$55,$O41,$I$8:$I$55)+SUMIF($F$8:$F$55,$O41,$G$8:$G$55)</f>
        <v>7</v>
      </c>
      <c r="R41" s="399">
        <f>P41-Q41</f>
        <v>-3</v>
      </c>
      <c r="S41" s="400">
        <f>SUMIF($D$8:$D$55,$O41,$K$8:$K$55)+SUMIF($F$8:$F$55,$O41,$L$8:$L$55)</f>
        <v>1</v>
      </c>
      <c r="T41" s="445" t="s">
        <v>75</v>
      </c>
      <c r="U41" s="392"/>
      <c r="V41" s="392" t="str">
        <f>O41</f>
        <v>Iran</v>
      </c>
      <c r="W41" s="392" t="s">
        <v>74</v>
      </c>
      <c r="Y41" s="109">
        <f t="shared" si="8"/>
        <v>5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5</v>
      </c>
      <c r="AG41" s="108">
        <f t="shared" si="0"/>
        <v>0</v>
      </c>
      <c r="AH41" s="108">
        <f t="shared" si="1"/>
        <v>0</v>
      </c>
      <c r="AI41" s="108">
        <f t="shared" si="10"/>
        <v>0</v>
      </c>
      <c r="AJ41" s="108">
        <f t="shared" si="2"/>
        <v>5</v>
      </c>
      <c r="AK41" s="108">
        <f t="shared" si="3"/>
        <v>0</v>
      </c>
      <c r="AL41" s="108">
        <f t="shared" si="4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1</v>
      </c>
      <c r="H42" s="373" t="s">
        <v>9</v>
      </c>
      <c r="I42" s="441">
        <v>4</v>
      </c>
      <c r="J42" s="375">
        <f t="shared" si="5"/>
        <v>2</v>
      </c>
      <c r="K42" s="363">
        <f t="shared" si="6"/>
        <v>0</v>
      </c>
      <c r="L42" s="363">
        <f t="shared" si="7"/>
        <v>3</v>
      </c>
      <c r="O42" s="401" t="s">
        <v>34</v>
      </c>
      <c r="P42" s="402">
        <f>SUMIF($D$8:$D$55,$O42,$G$8:$G$55)+SUMIF($F$8:$F$55,$O42,$I$8:$I$55)</f>
        <v>6</v>
      </c>
      <c r="Q42" s="402">
        <f>SUMIF($D$8:$D$55,$O42,$I$8:$I$55)+SUMIF($F$8:$F$55,$O42,$G$8:$G$55)</f>
        <v>7</v>
      </c>
      <c r="R42" s="402">
        <f>P42-Q42</f>
        <v>-1</v>
      </c>
      <c r="S42" s="403">
        <f>SUMIF($D$8:$D$55,$O42,$K$8:$K$55)+SUMIF($F$8:$F$55,$O42,$L$8:$L$55)</f>
        <v>4</v>
      </c>
      <c r="T42" s="446" t="s">
        <v>73</v>
      </c>
      <c r="U42" s="392"/>
      <c r="V42" s="392" t="str">
        <f>O42</f>
        <v>Nigeria</v>
      </c>
      <c r="W42" s="392" t="s">
        <v>75</v>
      </c>
      <c r="Y42" s="109">
        <f t="shared" si="8"/>
        <v>10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10</v>
      </c>
      <c r="AG42" s="108">
        <f t="shared" si="0"/>
        <v>1</v>
      </c>
      <c r="AH42" s="108">
        <f t="shared" si="1"/>
        <v>1</v>
      </c>
      <c r="AI42" s="108">
        <f t="shared" si="10"/>
        <v>10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0</v>
      </c>
      <c r="H43" s="379" t="s">
        <v>9</v>
      </c>
      <c r="I43" s="442">
        <v>2</v>
      </c>
      <c r="J43" s="381">
        <f t="shared" si="5"/>
        <v>2</v>
      </c>
      <c r="K43" s="363">
        <f t="shared" si="6"/>
        <v>0</v>
      </c>
      <c r="L43" s="363">
        <f t="shared" si="7"/>
        <v>3</v>
      </c>
      <c r="O43" s="392"/>
      <c r="P43" s="393"/>
      <c r="Q43" s="393"/>
      <c r="R43" s="393"/>
      <c r="S43" s="393"/>
      <c r="T43" s="393"/>
      <c r="U43" s="392"/>
      <c r="V43" s="392"/>
      <c r="W43" s="392"/>
      <c r="Y43" s="109">
        <f t="shared" si="8"/>
        <v>5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5</v>
      </c>
      <c r="AG43" s="108">
        <f t="shared" si="0"/>
        <v>0</v>
      </c>
      <c r="AH43" s="108">
        <f t="shared" si="1"/>
        <v>0</v>
      </c>
      <c r="AI43" s="108">
        <f t="shared" si="10"/>
        <v>0</v>
      </c>
      <c r="AJ43" s="108">
        <f t="shared" si="2"/>
        <v>0</v>
      </c>
      <c r="AK43" s="108">
        <f t="shared" si="3"/>
        <v>5</v>
      </c>
      <c r="AL43" s="108">
        <f t="shared" si="4"/>
        <v>0</v>
      </c>
      <c r="AN43" s="392"/>
      <c r="AO43" s="393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4</v>
      </c>
      <c r="H44" s="367" t="s">
        <v>9</v>
      </c>
      <c r="I44" s="440">
        <v>1</v>
      </c>
      <c r="J44" s="369">
        <f t="shared" si="5"/>
        <v>1</v>
      </c>
      <c r="K44" s="363">
        <f t="shared" si="6"/>
        <v>3</v>
      </c>
      <c r="L44" s="363">
        <f t="shared" si="7"/>
        <v>0</v>
      </c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392"/>
      <c r="V44" s="392"/>
      <c r="W44" s="392"/>
      <c r="Y44" s="109">
        <f t="shared" si="8"/>
        <v>1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1</v>
      </c>
      <c r="AG44" s="108">
        <f t="shared" si="0"/>
        <v>0</v>
      </c>
      <c r="AH44" s="108">
        <f t="shared" si="1"/>
        <v>1</v>
      </c>
      <c r="AI44" s="108">
        <f t="shared" si="10"/>
        <v>0</v>
      </c>
      <c r="AJ44" s="108">
        <f t="shared" si="2"/>
        <v>0</v>
      </c>
      <c r="AK44" s="108">
        <f t="shared" si="3"/>
        <v>0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1</v>
      </c>
      <c r="H45" s="373" t="s">
        <v>9</v>
      </c>
      <c r="I45" s="441">
        <v>3</v>
      </c>
      <c r="J45" s="375">
        <f t="shared" si="5"/>
        <v>2</v>
      </c>
      <c r="K45" s="363">
        <f t="shared" si="6"/>
        <v>0</v>
      </c>
      <c r="L45" s="363">
        <f t="shared" si="7"/>
        <v>3</v>
      </c>
      <c r="O45" s="394" t="s">
        <v>31</v>
      </c>
      <c r="P45" s="395">
        <f>SUMIF($D$8:$D$55,$O45,$G$8:$G$55)+SUMIF($F$8:$F$55,$O45,$I$8:$I$55)</f>
        <v>8</v>
      </c>
      <c r="Q45" s="395">
        <f>SUMIF($D$8:$D$55,$O45,$I$8:$I$55)+SUMIF($F$8:$F$55,$O45,$G$8:$G$55)</f>
        <v>6</v>
      </c>
      <c r="R45" s="396">
        <f>P45-Q45</f>
        <v>2</v>
      </c>
      <c r="S45" s="397">
        <f>SUMIF($D$8:$D$55,$O45,$K$8:$K$55)+SUMIF($F$8:$F$55,$O45,$L$8:$L$55)</f>
        <v>6</v>
      </c>
      <c r="T45" s="444" t="s">
        <v>78</v>
      </c>
      <c r="U45" s="392"/>
      <c r="V45" s="392" t="str">
        <f>O45</f>
        <v>Duitsland</v>
      </c>
      <c r="W45" s="392" t="s">
        <v>77</v>
      </c>
      <c r="Y45" s="109">
        <f t="shared" si="8"/>
        <v>0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0</v>
      </c>
      <c r="AG45" s="108">
        <f t="shared" si="0"/>
        <v>0</v>
      </c>
      <c r="AH45" s="108">
        <f t="shared" si="1"/>
        <v>0</v>
      </c>
      <c r="AI45" s="108">
        <f t="shared" si="10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0</v>
      </c>
      <c r="AN45" s="116" t="s">
        <v>31</v>
      </c>
      <c r="AO45" s="115">
        <f>IF(Uitslag!T45="",0,IF(T45=Uitslag!T45,10,0))</f>
        <v>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1</v>
      </c>
      <c r="H46" s="373" t="s">
        <v>9</v>
      </c>
      <c r="I46" s="441">
        <v>4</v>
      </c>
      <c r="J46" s="375">
        <f t="shared" si="5"/>
        <v>2</v>
      </c>
      <c r="K46" s="363">
        <f t="shared" si="6"/>
        <v>0</v>
      </c>
      <c r="L46" s="363">
        <f t="shared" si="7"/>
        <v>3</v>
      </c>
      <c r="O46" s="398" t="s">
        <v>32</v>
      </c>
      <c r="P46" s="399">
        <f>SUMIF($D$8:$D$55,$O46,$G$8:$G$55)+SUMIF($F$8:$F$55,$O46,$I$8:$I$55)</f>
        <v>12</v>
      </c>
      <c r="Q46" s="399">
        <f>SUMIF($D$8:$D$55,$O46,$I$8:$I$55)+SUMIF($F$8:$F$55,$O46,$G$8:$G$55)</f>
        <v>6</v>
      </c>
      <c r="R46" s="399">
        <f>P46-Q46</f>
        <v>6</v>
      </c>
      <c r="S46" s="400">
        <f>SUMIF($D$8:$D$55,$O46,$K$8:$K$55)+SUMIF($F$8:$F$55,$O46,$L$8:$L$55)</f>
        <v>9</v>
      </c>
      <c r="T46" s="445" t="s">
        <v>77</v>
      </c>
      <c r="U46" s="392"/>
      <c r="V46" s="392" t="str">
        <f>O46</f>
        <v>Portugal</v>
      </c>
      <c r="W46" s="392" t="s">
        <v>78</v>
      </c>
      <c r="Y46" s="109">
        <f t="shared" si="8"/>
        <v>10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10</v>
      </c>
      <c r="AG46" s="108">
        <f t="shared" si="0"/>
        <v>1</v>
      </c>
      <c r="AH46" s="108">
        <f t="shared" si="1"/>
        <v>1</v>
      </c>
      <c r="AI46" s="108">
        <f t="shared" si="10"/>
        <v>10</v>
      </c>
      <c r="AJ46" s="108">
        <f t="shared" si="2"/>
        <v>0</v>
      </c>
      <c r="AK46" s="108">
        <f t="shared" si="3"/>
        <v>5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2</v>
      </c>
      <c r="H47" s="379" t="s">
        <v>9</v>
      </c>
      <c r="I47" s="442">
        <v>3</v>
      </c>
      <c r="J47" s="381">
        <f t="shared" si="5"/>
        <v>2</v>
      </c>
      <c r="K47" s="363">
        <f t="shared" si="6"/>
        <v>0</v>
      </c>
      <c r="L47" s="363">
        <f t="shared" si="7"/>
        <v>3</v>
      </c>
      <c r="O47" s="398" t="s">
        <v>35</v>
      </c>
      <c r="P47" s="399">
        <f>SUMIF($D$8:$D$55,$O47,$G$8:$G$55)+SUMIF($F$8:$F$55,$O47,$I$8:$I$55)</f>
        <v>4</v>
      </c>
      <c r="Q47" s="399">
        <f>SUMIF($D$8:$D$55,$O47,$I$8:$I$55)+SUMIF($F$8:$F$55,$O47,$G$8:$G$55)</f>
        <v>9</v>
      </c>
      <c r="R47" s="399">
        <f>P47-Q47</f>
        <v>-5</v>
      </c>
      <c r="S47" s="400">
        <f>SUMIF($D$8:$D$55,$O47,$K$8:$K$55)+SUMIF($F$8:$F$55,$O47,$L$8:$L$55)</f>
        <v>1</v>
      </c>
      <c r="T47" s="445" t="s">
        <v>80</v>
      </c>
      <c r="U47" s="392"/>
      <c r="V47" s="392" t="str">
        <f>O47</f>
        <v>Ghana</v>
      </c>
      <c r="W47" s="392" t="s">
        <v>79</v>
      </c>
      <c r="Y47" s="109">
        <f t="shared" si="8"/>
        <v>1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1</v>
      </c>
      <c r="AG47" s="108">
        <f t="shared" si="0"/>
        <v>1</v>
      </c>
      <c r="AH47" s="108">
        <f t="shared" si="1"/>
        <v>0</v>
      </c>
      <c r="AI47" s="108">
        <f t="shared" si="10"/>
        <v>0</v>
      </c>
      <c r="AJ47" s="108">
        <f t="shared" si="2"/>
        <v>0</v>
      </c>
      <c r="AK47" s="108">
        <f t="shared" si="3"/>
        <v>0</v>
      </c>
      <c r="AL47" s="108">
        <f t="shared" si="4"/>
        <v>0</v>
      </c>
      <c r="AM47" s="120">
        <f>AO47</f>
        <v>10</v>
      </c>
      <c r="AN47" s="117" t="s">
        <v>35</v>
      </c>
      <c r="AO47" s="115">
        <f>IF(Uitslag!T47="",0,IF(T47=Uitslag!T47,10,0))</f>
        <v>10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2</v>
      </c>
      <c r="H48" s="367" t="s">
        <v>9</v>
      </c>
      <c r="I48" s="440">
        <v>4</v>
      </c>
      <c r="J48" s="369">
        <f t="shared" si="5"/>
        <v>2</v>
      </c>
      <c r="K48" s="363">
        <f t="shared" si="6"/>
        <v>0</v>
      </c>
      <c r="L48" s="363">
        <f t="shared" si="7"/>
        <v>3</v>
      </c>
      <c r="O48" s="401" t="s">
        <v>36</v>
      </c>
      <c r="P48" s="402">
        <f>SUMIF($D$8:$D$55,$O48,$G$8:$G$55)+SUMIF($F$8:$F$55,$O48,$I$8:$I$55)</f>
        <v>4</v>
      </c>
      <c r="Q48" s="402">
        <f>SUMIF($D$8:$D$55,$O48,$I$8:$I$55)+SUMIF($F$8:$F$55,$O48,$G$8:$G$55)</f>
        <v>7</v>
      </c>
      <c r="R48" s="402">
        <f>P48-Q48</f>
        <v>-3</v>
      </c>
      <c r="S48" s="403">
        <f>SUMIF($D$8:$D$55,$O48,$K$8:$K$55)+SUMIF($F$8:$F$55,$O48,$L$8:$L$55)</f>
        <v>1</v>
      </c>
      <c r="T48" s="446" t="s">
        <v>79</v>
      </c>
      <c r="U48" s="392"/>
      <c r="V48" s="392" t="str">
        <f>O48</f>
        <v>Verenigde Staten</v>
      </c>
      <c r="W48" s="392" t="s">
        <v>80</v>
      </c>
      <c r="Y48" s="109">
        <f t="shared" si="8"/>
        <v>6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6</v>
      </c>
      <c r="AG48" s="108">
        <f t="shared" si="0"/>
        <v>1</v>
      </c>
      <c r="AH48" s="108">
        <f t="shared" si="1"/>
        <v>0</v>
      </c>
      <c r="AI48" s="108">
        <f t="shared" si="10"/>
        <v>0</v>
      </c>
      <c r="AJ48" s="108">
        <f t="shared" si="2"/>
        <v>0</v>
      </c>
      <c r="AK48" s="108">
        <f t="shared" si="3"/>
        <v>5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3</v>
      </c>
      <c r="H49" s="373" t="s">
        <v>9</v>
      </c>
      <c r="I49" s="441">
        <v>1</v>
      </c>
      <c r="J49" s="375">
        <f t="shared" si="5"/>
        <v>1</v>
      </c>
      <c r="K49" s="363">
        <f t="shared" si="6"/>
        <v>3</v>
      </c>
      <c r="L49" s="363">
        <f t="shared" si="7"/>
        <v>0</v>
      </c>
      <c r="O49" s="392"/>
      <c r="P49" s="393"/>
      <c r="Q49" s="393"/>
      <c r="R49" s="393"/>
      <c r="S49" s="393"/>
      <c r="T49" s="393"/>
      <c r="U49" s="392"/>
      <c r="V49" s="392"/>
      <c r="W49" s="392"/>
      <c r="Y49" s="109">
        <f t="shared" si="8"/>
        <v>10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10</v>
      </c>
      <c r="AG49" s="108">
        <f t="shared" si="0"/>
        <v>1</v>
      </c>
      <c r="AH49" s="108">
        <f t="shared" si="1"/>
        <v>1</v>
      </c>
      <c r="AI49" s="108">
        <f t="shared" si="10"/>
        <v>10</v>
      </c>
      <c r="AJ49" s="108">
        <f t="shared" si="2"/>
        <v>5</v>
      </c>
      <c r="AK49" s="108">
        <f t="shared" si="3"/>
        <v>0</v>
      </c>
      <c r="AL49" s="108">
        <f t="shared" si="4"/>
        <v>0</v>
      </c>
      <c r="AN49" s="392"/>
      <c r="AO49" s="393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0</v>
      </c>
      <c r="H50" s="373" t="s">
        <v>9</v>
      </c>
      <c r="I50" s="441">
        <v>2</v>
      </c>
      <c r="J50" s="375">
        <f t="shared" si="5"/>
        <v>2</v>
      </c>
      <c r="K50" s="363">
        <f t="shared" si="6"/>
        <v>0</v>
      </c>
      <c r="L50" s="363">
        <f t="shared" si="7"/>
        <v>3</v>
      </c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392"/>
      <c r="V50" s="392"/>
      <c r="W50" s="392"/>
      <c r="Y50" s="109">
        <f t="shared" si="8"/>
        <v>6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6</v>
      </c>
      <c r="AG50" s="108">
        <f t="shared" si="0"/>
        <v>1</v>
      </c>
      <c r="AH50" s="108">
        <f t="shared" si="1"/>
        <v>0</v>
      </c>
      <c r="AI50" s="108">
        <f t="shared" si="10"/>
        <v>0</v>
      </c>
      <c r="AJ50" s="108">
        <f t="shared" si="2"/>
        <v>0</v>
      </c>
      <c r="AK50" s="108">
        <f t="shared" si="3"/>
        <v>5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2</v>
      </c>
      <c r="H51" s="379" t="s">
        <v>9</v>
      </c>
      <c r="I51" s="442">
        <v>4</v>
      </c>
      <c r="J51" s="381">
        <f t="shared" si="5"/>
        <v>2</v>
      </c>
      <c r="K51" s="363">
        <f t="shared" si="6"/>
        <v>0</v>
      </c>
      <c r="L51" s="363">
        <f>IF(I51="","",IF($G51&lt;$I51,3,IF($G51=$I51,1,0)))</f>
        <v>3</v>
      </c>
      <c r="O51" s="394" t="s">
        <v>37</v>
      </c>
      <c r="P51" s="395">
        <f>SUMIF($D$8:$D$55,$O51,$G$8:$G$55)+SUMIF($F$8:$F$55,$O51,$I$8:$I$55)</f>
        <v>5</v>
      </c>
      <c r="Q51" s="395">
        <f>SUMIF($D$8:$D$55,$O51,$I$8:$I$55)+SUMIF($F$8:$F$55,$O51,$G$8:$G$55)</f>
        <v>6</v>
      </c>
      <c r="R51" s="396">
        <f>P51-Q51</f>
        <v>-1</v>
      </c>
      <c r="S51" s="397">
        <f>SUMIF($D$8:$D$55,$O51,$K$8:$K$55)+SUMIF($F$8:$F$55,$O51,$L$8:$L$55)</f>
        <v>2</v>
      </c>
      <c r="T51" s="444" t="s">
        <v>84</v>
      </c>
      <c r="U51" s="392"/>
      <c r="V51" s="392" t="str">
        <f>O51</f>
        <v>België</v>
      </c>
      <c r="W51" s="392" t="s">
        <v>82</v>
      </c>
      <c r="Y51" s="109">
        <f t="shared" si="8"/>
        <v>0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0</v>
      </c>
      <c r="AG51" s="108">
        <f t="shared" si="0"/>
        <v>0</v>
      </c>
      <c r="AH51" s="108">
        <f t="shared" si="1"/>
        <v>0</v>
      </c>
      <c r="AI51" s="108">
        <f t="shared" si="10"/>
        <v>0</v>
      </c>
      <c r="AJ51" s="108">
        <f t="shared" si="2"/>
        <v>0</v>
      </c>
      <c r="AK51" s="108">
        <f t="shared" si="3"/>
        <v>0</v>
      </c>
      <c r="AL51" s="108">
        <f t="shared" si="4"/>
        <v>0</v>
      </c>
      <c r="AM51" s="120">
        <f>AO51</f>
        <v>0</v>
      </c>
      <c r="AN51" s="116" t="s">
        <v>37</v>
      </c>
      <c r="AO51" s="115">
        <f>IF(Uitslag!T51="",0,IF(T51=Uitslag!T51,10,0))</f>
        <v>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2</v>
      </c>
      <c r="H52" s="373" t="s">
        <v>9</v>
      </c>
      <c r="I52" s="441">
        <v>3</v>
      </c>
      <c r="J52" s="369">
        <f t="shared" si="5"/>
        <v>2</v>
      </c>
      <c r="K52" s="363">
        <f t="shared" si="6"/>
        <v>0</v>
      </c>
      <c r="L52" s="363">
        <f t="shared" si="7"/>
        <v>3</v>
      </c>
      <c r="O52" s="398" t="s">
        <v>38</v>
      </c>
      <c r="P52" s="399">
        <f>SUMIF($D$8:$D$55,$O52,$G$8:$G$55)+SUMIF($F$8:$F$55,$O52,$I$8:$I$55)</f>
        <v>1</v>
      </c>
      <c r="Q52" s="399">
        <f>SUMIF($D$8:$D$55,$O52,$I$8:$I$55)+SUMIF($F$8:$F$55,$O52,$G$8:$G$55)</f>
        <v>5</v>
      </c>
      <c r="R52" s="399">
        <f>P52-Q52</f>
        <v>-4</v>
      </c>
      <c r="S52" s="400">
        <f>SUMIF($D$8:$D$55,$O52,$K$8:$K$55)+SUMIF($F$8:$F$55,$O52,$L$8:$L$55)</f>
        <v>1</v>
      </c>
      <c r="T52" s="445" t="s">
        <v>85</v>
      </c>
      <c r="U52" s="392"/>
      <c r="V52" s="392" t="str">
        <f>O52</f>
        <v>Algerije</v>
      </c>
      <c r="W52" s="392" t="s">
        <v>83</v>
      </c>
      <c r="Y52" s="109">
        <f t="shared" si="8"/>
        <v>5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5</v>
      </c>
      <c r="AG52" s="108">
        <f t="shared" si="0"/>
        <v>0</v>
      </c>
      <c r="AH52" s="108">
        <f t="shared" si="1"/>
        <v>0</v>
      </c>
      <c r="AI52" s="108">
        <f t="shared" si="10"/>
        <v>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5</v>
      </c>
      <c r="H53" s="373" t="s">
        <v>9</v>
      </c>
      <c r="I53" s="441">
        <v>3</v>
      </c>
      <c r="J53" s="375">
        <f t="shared" si="5"/>
        <v>1</v>
      </c>
      <c r="K53" s="363">
        <f t="shared" si="6"/>
        <v>3</v>
      </c>
      <c r="L53" s="363">
        <f t="shared" si="7"/>
        <v>0</v>
      </c>
      <c r="O53" s="398" t="s">
        <v>39</v>
      </c>
      <c r="P53" s="399">
        <f>SUMIF($D$8:$D$55,$O53,$G$8:$G$55)+SUMIF($F$8:$F$55,$O53,$I$8:$I$55)</f>
        <v>5</v>
      </c>
      <c r="Q53" s="399">
        <f>SUMIF($D$8:$D$55,$O53,$I$8:$I$55)+SUMIF($F$8:$F$55,$O53,$G$8:$G$55)</f>
        <v>3</v>
      </c>
      <c r="R53" s="399">
        <f>P53-Q53</f>
        <v>2</v>
      </c>
      <c r="S53" s="400">
        <f>SUMIF($D$8:$D$55,$O53,$K$8:$K$55)+SUMIF($F$8:$F$55,$O53,$L$8:$L$55)</f>
        <v>5</v>
      </c>
      <c r="T53" s="445" t="s">
        <v>83</v>
      </c>
      <c r="U53" s="392"/>
      <c r="V53" s="392" t="str">
        <f>O53</f>
        <v>Rusland</v>
      </c>
      <c r="W53" s="392" t="s">
        <v>84</v>
      </c>
      <c r="Y53" s="109">
        <f t="shared" si="8"/>
        <v>5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5</v>
      </c>
      <c r="AG53" s="108">
        <f t="shared" si="0"/>
        <v>0</v>
      </c>
      <c r="AH53" s="108">
        <f t="shared" si="1"/>
        <v>0</v>
      </c>
      <c r="AI53" s="108">
        <f t="shared" si="10"/>
        <v>0</v>
      </c>
      <c r="AJ53" s="108">
        <f t="shared" si="2"/>
        <v>5</v>
      </c>
      <c r="AK53" s="108">
        <f t="shared" si="3"/>
        <v>0</v>
      </c>
      <c r="AL53" s="108">
        <f t="shared" si="4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3</v>
      </c>
      <c r="H54" s="373" t="s">
        <v>9</v>
      </c>
      <c r="I54" s="441">
        <v>2</v>
      </c>
      <c r="J54" s="375">
        <f t="shared" si="5"/>
        <v>1</v>
      </c>
      <c r="K54" s="363">
        <f t="shared" si="6"/>
        <v>3</v>
      </c>
      <c r="L54" s="363">
        <f t="shared" si="7"/>
        <v>0</v>
      </c>
      <c r="O54" s="401" t="s">
        <v>40</v>
      </c>
      <c r="P54" s="402">
        <f>SUMIF($D$8:$D$55,$O54,$G$8:$G$55)+SUMIF($F$8:$F$55,$O54,$I$8:$I$55)</f>
        <v>6</v>
      </c>
      <c r="Q54" s="402">
        <f>SUMIF($D$8:$D$55,$O54,$I$8:$I$55)+SUMIF($F$8:$F$55,$O54,$G$8:$G$55)</f>
        <v>3</v>
      </c>
      <c r="R54" s="402">
        <f>P54-Q54</f>
        <v>3</v>
      </c>
      <c r="S54" s="403">
        <f>SUMIF($D$8:$D$55,$O54,$K$8:$K$55)+SUMIF($F$8:$F$55,$O54,$L$8:$L$55)</f>
        <v>7</v>
      </c>
      <c r="T54" s="446" t="s">
        <v>82</v>
      </c>
      <c r="U54" s="392"/>
      <c r="V54" s="392" t="str">
        <f>O54</f>
        <v>Zuid Korea</v>
      </c>
      <c r="W54" s="392" t="s">
        <v>85</v>
      </c>
      <c r="Y54" s="109">
        <f t="shared" si="8"/>
        <v>0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0</v>
      </c>
      <c r="AG54" s="108">
        <f t="shared" si="0"/>
        <v>0</v>
      </c>
      <c r="AH54" s="108">
        <f t="shared" si="1"/>
        <v>0</v>
      </c>
      <c r="AI54" s="108">
        <f t="shared" si="10"/>
        <v>0</v>
      </c>
      <c r="AJ54" s="108">
        <f t="shared" si="2"/>
        <v>0</v>
      </c>
      <c r="AK54" s="108">
        <f t="shared" si="3"/>
        <v>0</v>
      </c>
      <c r="AL54" s="108">
        <f t="shared" si="4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0</v>
      </c>
      <c r="H55" s="388" t="s">
        <v>9</v>
      </c>
      <c r="I55" s="443">
        <v>2</v>
      </c>
      <c r="J55" s="390">
        <f t="shared" si="5"/>
        <v>2</v>
      </c>
      <c r="K55" s="363">
        <f t="shared" si="6"/>
        <v>0</v>
      </c>
      <c r="L55" s="363">
        <f t="shared" si="7"/>
        <v>3</v>
      </c>
      <c r="O55" s="392"/>
      <c r="P55" s="393"/>
      <c r="Q55" s="393"/>
      <c r="R55" s="393"/>
      <c r="S55" s="393"/>
      <c r="T55" s="393"/>
      <c r="U55" s="392"/>
      <c r="V55" s="392"/>
      <c r="W55" s="392"/>
      <c r="Y55" s="109">
        <f t="shared" si="8"/>
        <v>0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0</v>
      </c>
      <c r="AG55" s="108">
        <f t="shared" si="0"/>
        <v>0</v>
      </c>
      <c r="AH55" s="108">
        <f t="shared" si="1"/>
        <v>0</v>
      </c>
      <c r="AI55" s="108">
        <f t="shared" si="10"/>
        <v>0</v>
      </c>
      <c r="AJ55" s="108">
        <f t="shared" si="2"/>
        <v>0</v>
      </c>
      <c r="AK55" s="108">
        <f t="shared" si="3"/>
        <v>0</v>
      </c>
      <c r="AL55" s="108">
        <f t="shared" si="4"/>
        <v>0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79"/>
      <c r="K57" s="353"/>
      <c r="L57" s="353"/>
      <c r="M57" s="353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77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O58" s="458">
        <v>1</v>
      </c>
      <c r="P58" s="877" t="s">
        <v>224</v>
      </c>
      <c r="Q58" s="877"/>
      <c r="R58" s="877"/>
      <c r="S58" s="877"/>
      <c r="T58" s="878"/>
      <c r="V58" s="352" t="s">
        <v>132</v>
      </c>
      <c r="W58" s="352" t="s">
        <v>124</v>
      </c>
      <c r="X58" s="352" t="str">
        <f t="shared" ref="X58:X98" si="11">CONCATENATE(W58," ",V58)</f>
        <v>Jeroen Zoet (k)</v>
      </c>
      <c r="Y58" s="113" t="s">
        <v>91</v>
      </c>
      <c r="Z58" s="352" t="str">
        <f>IF(K58=""," ",VLOOKUP(K58,$T$9:$V$54,3,FALSE))</f>
        <v xml:space="preserve"> </v>
      </c>
      <c r="AA58" s="352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>IF(ISERROR(Z59),K59,Z59)</f>
        <v>Brazilië</v>
      </c>
      <c r="E59" s="367" t="s">
        <v>9</v>
      </c>
      <c r="F59" s="406" t="str">
        <f>IF(ISERROR(AA59),L59,AA59)</f>
        <v>Nederland</v>
      </c>
      <c r="G59" s="435">
        <v>4</v>
      </c>
      <c r="H59" s="367" t="s">
        <v>9</v>
      </c>
      <c r="I59" s="447">
        <v>4</v>
      </c>
      <c r="J59" s="448">
        <v>2</v>
      </c>
      <c r="K59" s="407" t="s">
        <v>48</v>
      </c>
      <c r="L59" s="407" t="s">
        <v>53</v>
      </c>
      <c r="M59" s="407">
        <v>1</v>
      </c>
      <c r="O59" s="458">
        <v>2</v>
      </c>
      <c r="P59" s="877" t="s">
        <v>209</v>
      </c>
      <c r="Q59" s="877"/>
      <c r="R59" s="877"/>
      <c r="S59" s="877"/>
      <c r="T59" s="878"/>
      <c r="V59" s="352" t="s">
        <v>132</v>
      </c>
      <c r="W59" s="352" t="s">
        <v>111</v>
      </c>
      <c r="X59" s="352" t="str">
        <f t="shared" si="11"/>
        <v>Jasper Cillessen (k)</v>
      </c>
      <c r="Y59" s="109">
        <f t="shared" ref="Y59:Y66" si="13">AF59</f>
        <v>5</v>
      </c>
      <c r="Z59" s="352" t="str">
        <f t="shared" ref="Z59:AA65" si="14">IF(K59=""," ",VLOOKUP(K59,$T$9:$V$54,3,FALSE))</f>
        <v>Brazilië</v>
      </c>
      <c r="AA59" s="352" t="str">
        <f t="shared" si="14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5</v>
      </c>
      <c r="AG59" s="108">
        <f t="shared" ref="AG59:AG66" si="16">IF(AC59="",0,(IF(G59=AC59,1,0)))</f>
        <v>0</v>
      </c>
      <c r="AH59" s="108">
        <f t="shared" ref="AH59:AH66" si="17">IF(AD59="",0,(IF(I59=AD59,1,0)))</f>
        <v>0</v>
      </c>
      <c r="AI59" s="108">
        <f t="shared" ref="AI59:AI66" si="18">IF(AND(AG59=1,AH59=1),10,0)</f>
        <v>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5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376">
        <v>50</v>
      </c>
      <c r="C60" s="466">
        <v>41818</v>
      </c>
      <c r="D60" s="460" t="str">
        <f t="shared" ref="D60:D66" si="23">IF(ISERROR(Z60),K60,Z60)</f>
        <v>Colombia</v>
      </c>
      <c r="E60" s="379" t="s">
        <v>9</v>
      </c>
      <c r="F60" s="409" t="str">
        <f t="shared" ref="F60:F66" si="24">IF(ISERROR(AA60),L60,AA60)</f>
        <v>Italië</v>
      </c>
      <c r="G60" s="437">
        <v>2</v>
      </c>
      <c r="H60" s="379" t="s">
        <v>9</v>
      </c>
      <c r="I60" s="449">
        <v>4</v>
      </c>
      <c r="J60" s="450">
        <v>2</v>
      </c>
      <c r="K60" s="407" t="s">
        <v>57</v>
      </c>
      <c r="L60" s="407" t="s">
        <v>63</v>
      </c>
      <c r="M60" s="407">
        <v>2</v>
      </c>
      <c r="O60" s="458">
        <v>3</v>
      </c>
      <c r="P60" s="877" t="s">
        <v>225</v>
      </c>
      <c r="Q60" s="877"/>
      <c r="R60" s="877"/>
      <c r="S60" s="877"/>
      <c r="T60" s="878"/>
      <c r="V60" s="352" t="s">
        <v>132</v>
      </c>
      <c r="W60" s="352" t="s">
        <v>110</v>
      </c>
      <c r="X60" s="352" t="str">
        <f t="shared" si="11"/>
        <v>Kenneth Vermeer (k)</v>
      </c>
      <c r="Y60" s="109">
        <f t="shared" si="13"/>
        <v>1</v>
      </c>
      <c r="Z60" s="352" t="str">
        <f t="shared" si="14"/>
        <v>Colombia</v>
      </c>
      <c r="AA60" s="352" t="str">
        <f t="shared" si="14"/>
        <v>Italië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1</v>
      </c>
      <c r="AG60" s="108">
        <f t="shared" si="16"/>
        <v>1</v>
      </c>
      <c r="AH60" s="108">
        <f t="shared" si="17"/>
        <v>0</v>
      </c>
      <c r="AI60" s="108">
        <f t="shared" si="18"/>
        <v>0</v>
      </c>
      <c r="AJ60" s="108">
        <f t="shared" si="19"/>
        <v>0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2"/>
        <v>3</v>
      </c>
    </row>
    <row r="61" spans="2:54">
      <c r="B61" s="364">
        <v>51</v>
      </c>
      <c r="C61" s="465">
        <v>41819</v>
      </c>
      <c r="D61" s="464" t="str">
        <f t="shared" si="23"/>
        <v>Spanje</v>
      </c>
      <c r="E61" s="367" t="s">
        <v>9</v>
      </c>
      <c r="F61" s="406" t="str">
        <f t="shared" si="24"/>
        <v>Mexico</v>
      </c>
      <c r="G61" s="435">
        <v>3</v>
      </c>
      <c r="H61" s="367" t="s">
        <v>9</v>
      </c>
      <c r="I61" s="447">
        <v>1</v>
      </c>
      <c r="J61" s="448">
        <v>1</v>
      </c>
      <c r="K61" s="407" t="s">
        <v>52</v>
      </c>
      <c r="L61" s="407" t="s">
        <v>49</v>
      </c>
      <c r="M61" s="407"/>
      <c r="O61" s="458">
        <v>4</v>
      </c>
      <c r="P61" s="877" t="s">
        <v>211</v>
      </c>
      <c r="Q61" s="877"/>
      <c r="R61" s="877"/>
      <c r="S61" s="877"/>
      <c r="T61" s="878"/>
      <c r="V61" s="352" t="s">
        <v>132</v>
      </c>
      <c r="W61" s="352" t="s">
        <v>191</v>
      </c>
      <c r="X61" s="352" t="str">
        <f t="shared" si="11"/>
        <v>Tim Krul (k)</v>
      </c>
      <c r="Y61" s="109">
        <f t="shared" si="13"/>
        <v>6</v>
      </c>
      <c r="Z61" s="352" t="str">
        <f t="shared" si="14"/>
        <v>Spanje</v>
      </c>
      <c r="AA61" s="352" t="str">
        <f t="shared" si="14"/>
        <v>Mexico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6</v>
      </c>
      <c r="AG61" s="108">
        <f t="shared" si="16"/>
        <v>0</v>
      </c>
      <c r="AH61" s="108">
        <f t="shared" si="17"/>
        <v>1</v>
      </c>
      <c r="AI61" s="108">
        <f t="shared" si="18"/>
        <v>0</v>
      </c>
      <c r="AJ61" s="108">
        <f t="shared" si="19"/>
        <v>5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3</v>
      </c>
      <c r="BB61" s="139">
        <f t="shared" si="22"/>
        <v>3</v>
      </c>
    </row>
    <row r="62" spans="2:54">
      <c r="B62" s="376">
        <v>52</v>
      </c>
      <c r="C62" s="466">
        <v>41819</v>
      </c>
      <c r="D62" s="464" t="str">
        <f t="shared" si="23"/>
        <v>Engeland</v>
      </c>
      <c r="E62" s="379" t="s">
        <v>9</v>
      </c>
      <c r="F62" s="409" t="str">
        <f t="shared" si="24"/>
        <v>Ivoorkust</v>
      </c>
      <c r="G62" s="437">
        <v>4</v>
      </c>
      <c r="H62" s="379" t="s">
        <v>9</v>
      </c>
      <c r="I62" s="449">
        <v>1</v>
      </c>
      <c r="J62" s="450">
        <v>1</v>
      </c>
      <c r="K62" s="407" t="s">
        <v>62</v>
      </c>
      <c r="L62" s="407" t="s">
        <v>58</v>
      </c>
      <c r="M62" s="407"/>
      <c r="O62" s="458">
        <v>5</v>
      </c>
      <c r="P62" s="877" t="s">
        <v>212</v>
      </c>
      <c r="Q62" s="877"/>
      <c r="R62" s="877"/>
      <c r="S62" s="877"/>
      <c r="T62" s="878"/>
      <c r="V62" s="352" t="s">
        <v>132</v>
      </c>
      <c r="W62" s="352" t="s">
        <v>192</v>
      </c>
      <c r="X62" s="352" t="str">
        <f t="shared" si="11"/>
        <v>Maarten Stekelenburg (k)</v>
      </c>
      <c r="Y62" s="109">
        <f t="shared" si="13"/>
        <v>1</v>
      </c>
      <c r="Z62" s="352" t="str">
        <f t="shared" si="14"/>
        <v>Engeland</v>
      </c>
      <c r="AA62" s="352" t="str">
        <f t="shared" si="14"/>
        <v>Ivoorkust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1</v>
      </c>
      <c r="AG62" s="108">
        <f t="shared" si="16"/>
        <v>0</v>
      </c>
      <c r="AH62" s="108">
        <f t="shared" si="17"/>
        <v>1</v>
      </c>
      <c r="AI62" s="108">
        <f t="shared" si="18"/>
        <v>0</v>
      </c>
      <c r="AJ62" s="108">
        <f t="shared" si="19"/>
        <v>0</v>
      </c>
      <c r="AK62" s="108">
        <f t="shared" si="20"/>
        <v>0</v>
      </c>
      <c r="AL62" s="108">
        <f t="shared" si="21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2"/>
        <v>3</v>
      </c>
    </row>
    <row r="63" spans="2:54">
      <c r="B63" s="364">
        <v>53</v>
      </c>
      <c r="C63" s="465">
        <v>41820</v>
      </c>
      <c r="D63" s="459" t="str">
        <f t="shared" si="23"/>
        <v>Frankrijk</v>
      </c>
      <c r="E63" s="367" t="s">
        <v>9</v>
      </c>
      <c r="F63" s="406" t="str">
        <f t="shared" si="24"/>
        <v>Nigeria</v>
      </c>
      <c r="G63" s="435">
        <v>3</v>
      </c>
      <c r="H63" s="367" t="s">
        <v>9</v>
      </c>
      <c r="I63" s="447">
        <v>0</v>
      </c>
      <c r="J63" s="448">
        <v>1</v>
      </c>
      <c r="K63" s="407" t="s">
        <v>67</v>
      </c>
      <c r="L63" s="407" t="s">
        <v>73</v>
      </c>
      <c r="M63" s="407"/>
      <c r="O63" s="458">
        <v>6</v>
      </c>
      <c r="P63" s="877" t="s">
        <v>226</v>
      </c>
      <c r="Q63" s="877"/>
      <c r="R63" s="877"/>
      <c r="S63" s="877"/>
      <c r="T63" s="878"/>
      <c r="V63" s="352" t="s">
        <v>132</v>
      </c>
      <c r="W63" s="352" t="s">
        <v>193</v>
      </c>
      <c r="X63" s="352" t="str">
        <f t="shared" si="11"/>
        <v>Michel Vorm (k)</v>
      </c>
      <c r="Y63" s="109">
        <f t="shared" si="13"/>
        <v>6</v>
      </c>
      <c r="Z63" s="352" t="str">
        <f t="shared" si="14"/>
        <v>Frankrijk</v>
      </c>
      <c r="AA63" s="352" t="str">
        <f t="shared" si="14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6</v>
      </c>
      <c r="AG63" s="108">
        <f t="shared" si="16"/>
        <v>0</v>
      </c>
      <c r="AH63" s="108">
        <f t="shared" si="17"/>
        <v>1</v>
      </c>
      <c r="AI63" s="108">
        <f t="shared" si="18"/>
        <v>0</v>
      </c>
      <c r="AJ63" s="108">
        <f t="shared" si="19"/>
        <v>5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3</v>
      </c>
      <c r="BB63" s="139">
        <f t="shared" si="22"/>
        <v>3</v>
      </c>
    </row>
    <row r="64" spans="2:54">
      <c r="B64" s="376">
        <v>54</v>
      </c>
      <c r="C64" s="466">
        <v>41820</v>
      </c>
      <c r="D64" s="460" t="str">
        <f t="shared" si="23"/>
        <v>Portugal</v>
      </c>
      <c r="E64" s="379" t="s">
        <v>9</v>
      </c>
      <c r="F64" s="409" t="str">
        <f t="shared" si="24"/>
        <v>Rusland</v>
      </c>
      <c r="G64" s="437">
        <v>4</v>
      </c>
      <c r="H64" s="379" t="s">
        <v>9</v>
      </c>
      <c r="I64" s="449">
        <v>1</v>
      </c>
      <c r="J64" s="450">
        <v>1</v>
      </c>
      <c r="K64" s="407" t="s">
        <v>77</v>
      </c>
      <c r="L64" s="407" t="s">
        <v>83</v>
      </c>
      <c r="M64" s="407"/>
      <c r="O64" s="458">
        <v>7</v>
      </c>
      <c r="P64" s="877" t="s">
        <v>220</v>
      </c>
      <c r="Q64" s="877"/>
      <c r="R64" s="877"/>
      <c r="S64" s="877"/>
      <c r="T64" s="878"/>
      <c r="V64" s="352" t="s">
        <v>133</v>
      </c>
      <c r="W64" s="352" t="s">
        <v>112</v>
      </c>
      <c r="X64" s="352" t="str">
        <f t="shared" si="11"/>
        <v>Joël Veltman (v)</v>
      </c>
      <c r="Y64" s="109">
        <f t="shared" si="13"/>
        <v>0</v>
      </c>
      <c r="Z64" s="352" t="str">
        <f t="shared" si="14"/>
        <v>Portugal</v>
      </c>
      <c r="AA64" s="352" t="str">
        <f t="shared" si="14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0</v>
      </c>
      <c r="AG64" s="108">
        <f t="shared" si="16"/>
        <v>0</v>
      </c>
      <c r="AH64" s="108">
        <f t="shared" si="17"/>
        <v>0</v>
      </c>
      <c r="AI64" s="108">
        <f t="shared" si="18"/>
        <v>0</v>
      </c>
      <c r="AJ64" s="108">
        <f t="shared" si="19"/>
        <v>0</v>
      </c>
      <c r="AK64" s="108">
        <f t="shared" si="20"/>
        <v>0</v>
      </c>
      <c r="AL64" s="108">
        <f t="shared" si="21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2"/>
        <v>3</v>
      </c>
    </row>
    <row r="65" spans="2:54">
      <c r="B65" s="370">
        <v>55</v>
      </c>
      <c r="C65" s="467">
        <v>41821</v>
      </c>
      <c r="D65" s="459" t="str">
        <f t="shared" si="23"/>
        <v>Argentinië</v>
      </c>
      <c r="E65" s="373" t="s">
        <v>9</v>
      </c>
      <c r="F65" s="410" t="str">
        <f t="shared" si="24"/>
        <v>Zwitserland</v>
      </c>
      <c r="G65" s="436">
        <v>3</v>
      </c>
      <c r="H65" s="373" t="s">
        <v>9</v>
      </c>
      <c r="I65" s="451">
        <v>2</v>
      </c>
      <c r="J65" s="452">
        <v>1</v>
      </c>
      <c r="K65" s="407" t="s">
        <v>72</v>
      </c>
      <c r="L65" s="407" t="s">
        <v>68</v>
      </c>
      <c r="M65" s="407"/>
      <c r="O65" s="458">
        <v>8</v>
      </c>
      <c r="P65" s="877" t="s">
        <v>213</v>
      </c>
      <c r="Q65" s="877"/>
      <c r="R65" s="877"/>
      <c r="S65" s="877"/>
      <c r="T65" s="878"/>
      <c r="V65" s="352" t="s">
        <v>133</v>
      </c>
      <c r="W65" s="352" t="s">
        <v>109</v>
      </c>
      <c r="X65" s="352" t="str">
        <f t="shared" si="11"/>
        <v>Daley Blind (v)</v>
      </c>
      <c r="Y65" s="109">
        <f t="shared" si="13"/>
        <v>0</v>
      </c>
      <c r="Z65" s="352" t="str">
        <f t="shared" si="14"/>
        <v>Argentinië</v>
      </c>
      <c r="AA65" s="352" t="str">
        <f t="shared" si="14"/>
        <v>Zwitserland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0</v>
      </c>
      <c r="AG65" s="108">
        <f t="shared" si="16"/>
        <v>0</v>
      </c>
      <c r="AH65" s="108">
        <f t="shared" si="17"/>
        <v>0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2"/>
        <v>3</v>
      </c>
    </row>
    <row r="66" spans="2:54" ht="15.75" thickBot="1">
      <c r="B66" s="385">
        <v>56</v>
      </c>
      <c r="C66" s="462">
        <v>41821</v>
      </c>
      <c r="D66" s="461" t="str">
        <f t="shared" si="23"/>
        <v>Zuid Korea</v>
      </c>
      <c r="E66" s="388" t="s">
        <v>9</v>
      </c>
      <c r="F66" s="412" t="str">
        <f t="shared" si="24"/>
        <v>Duitsland</v>
      </c>
      <c r="G66" s="438">
        <v>2</v>
      </c>
      <c r="H66" s="388" t="s">
        <v>9</v>
      </c>
      <c r="I66" s="453">
        <v>2</v>
      </c>
      <c r="J66" s="454">
        <v>2</v>
      </c>
      <c r="K66" s="407" t="s">
        <v>82</v>
      </c>
      <c r="L66" s="407" t="s">
        <v>78</v>
      </c>
      <c r="M66" s="407"/>
      <c r="O66" s="458">
        <v>9</v>
      </c>
      <c r="P66" s="877" t="s">
        <v>216</v>
      </c>
      <c r="Q66" s="877"/>
      <c r="R66" s="877"/>
      <c r="S66" s="877"/>
      <c r="T66" s="878"/>
      <c r="V66" s="352" t="s">
        <v>133</v>
      </c>
      <c r="W66" s="352" t="s">
        <v>115</v>
      </c>
      <c r="X66" s="352" t="str">
        <f t="shared" si="11"/>
        <v>Daryl Janmaat (v)</v>
      </c>
      <c r="Y66" s="109">
        <f t="shared" si="13"/>
        <v>5</v>
      </c>
      <c r="Z66" s="352" t="str">
        <f>IF(K66=""," ",VLOOKUP(K66,$T$9:$V$54,3,FALSE))</f>
        <v>Zuid Korea</v>
      </c>
      <c r="AA66" s="352" t="str">
        <f>IF(L66=""," ",VLOOKUP(L66,$T$9:$V$54,3,FALSE))</f>
        <v>Duitsland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5</v>
      </c>
      <c r="AG66" s="108">
        <f t="shared" si="16"/>
        <v>0</v>
      </c>
      <c r="AH66" s="108">
        <f t="shared" si="17"/>
        <v>0</v>
      </c>
      <c r="AI66" s="108">
        <f t="shared" si="18"/>
        <v>0</v>
      </c>
      <c r="AJ66" s="108">
        <f t="shared" si="19"/>
        <v>0</v>
      </c>
      <c r="AK66" s="108">
        <f t="shared" si="20"/>
        <v>0</v>
      </c>
      <c r="AL66" s="108">
        <f t="shared" si="21"/>
        <v>5</v>
      </c>
      <c r="AZ66" s="138" t="str">
        <f>Uitslag!P66</f>
        <v>Jonathan de Guzman (m)</v>
      </c>
      <c r="BA66" s="140">
        <f t="shared" si="12"/>
        <v>3</v>
      </c>
      <c r="BB66" s="139">
        <f t="shared" si="22"/>
        <v>3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O67" s="458">
        <v>10</v>
      </c>
      <c r="P67" s="877" t="s">
        <v>215</v>
      </c>
      <c r="Q67" s="877"/>
      <c r="R67" s="877"/>
      <c r="S67" s="877"/>
      <c r="T67" s="878"/>
      <c r="V67" s="352" t="s">
        <v>133</v>
      </c>
      <c r="W67" s="352" t="s">
        <v>118</v>
      </c>
      <c r="X67" s="352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2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79"/>
      <c r="K68" s="353"/>
      <c r="L68" s="353"/>
      <c r="M68" s="353"/>
      <c r="O68" s="458">
        <v>11</v>
      </c>
      <c r="P68" s="877" t="s">
        <v>214</v>
      </c>
      <c r="Q68" s="877"/>
      <c r="R68" s="877"/>
      <c r="S68" s="877"/>
      <c r="T68" s="878"/>
      <c r="V68" s="352" t="s">
        <v>133</v>
      </c>
      <c r="W68" s="352" t="s">
        <v>119</v>
      </c>
      <c r="X68" s="352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2"/>
        <v>3</v>
      </c>
    </row>
    <row r="69" spans="2:54">
      <c r="B69" s="428" t="s">
        <v>1</v>
      </c>
      <c r="C69" s="429" t="s">
        <v>2</v>
      </c>
      <c r="D69" s="476" t="s">
        <v>3</v>
      </c>
      <c r="E69" s="431"/>
      <c r="F69" s="477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V69" s="352" t="s">
        <v>133</v>
      </c>
      <c r="W69" s="352" t="s">
        <v>121</v>
      </c>
      <c r="X69" s="352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33</v>
      </c>
      <c r="BB69" s="139">
        <f>IF(AND(BA69&lt;&gt;"",BA69=33),15,"nvt")</f>
        <v>15</v>
      </c>
    </row>
    <row r="70" spans="2:54">
      <c r="B70" s="364">
        <v>57</v>
      </c>
      <c r="C70" s="365">
        <v>41824</v>
      </c>
      <c r="D70" s="405" t="str">
        <f>IF(J63="","Winnaar 53",IF(J63=1,D63,F63))</f>
        <v>Frankrijk</v>
      </c>
      <c r="E70" s="367" t="s">
        <v>9</v>
      </c>
      <c r="F70" s="406" t="str">
        <f>IF(J64="","Winnaar 54",IF(J64=1,D64,F64))</f>
        <v>Portugal</v>
      </c>
      <c r="G70" s="435">
        <v>2</v>
      </c>
      <c r="H70" s="367" t="s">
        <v>9</v>
      </c>
      <c r="I70" s="447">
        <v>3</v>
      </c>
      <c r="J70" s="448">
        <v>2</v>
      </c>
      <c r="K70" s="353"/>
      <c r="L70" s="353"/>
      <c r="M70" s="353"/>
      <c r="V70" s="352" t="s">
        <v>133</v>
      </c>
      <c r="W70" s="352" t="s">
        <v>126</v>
      </c>
      <c r="X70" s="352" t="str">
        <f t="shared" si="11"/>
        <v>Karim Rekik (v)</v>
      </c>
      <c r="Y70" s="109">
        <f>AF70</f>
        <v>5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5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Nederland</v>
      </c>
      <c r="E71" s="379" t="s">
        <v>9</v>
      </c>
      <c r="F71" s="409" t="str">
        <f>IF(J60="","Winnaar 50",IF(J60=1,D60,F60))</f>
        <v>Italië</v>
      </c>
      <c r="G71" s="437">
        <v>3</v>
      </c>
      <c r="H71" s="379" t="s">
        <v>9</v>
      </c>
      <c r="I71" s="449">
        <v>1</v>
      </c>
      <c r="J71" s="450">
        <v>1</v>
      </c>
      <c r="K71" s="353"/>
      <c r="L71" s="353"/>
      <c r="M71" s="353"/>
      <c r="V71" s="352" t="s">
        <v>133</v>
      </c>
      <c r="W71" s="352" t="s">
        <v>194</v>
      </c>
      <c r="X71" s="352" t="str">
        <f t="shared" si="11"/>
        <v>Ron Vlaar (v)</v>
      </c>
      <c r="Y71" s="109">
        <f>AF71</f>
        <v>6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6</v>
      </c>
      <c r="AG71" s="108">
        <f>IF(AC71="",0,(IF(G71=AC71,1,0)))</f>
        <v>0</v>
      </c>
      <c r="AH71" s="108">
        <f>IF(AD71="",0,(IF(I71=AD71,1,0)))</f>
        <v>1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Argentinië</v>
      </c>
      <c r="E72" s="367" t="s">
        <v>9</v>
      </c>
      <c r="F72" s="406" t="str">
        <f>IF(J66="","Winnaar 56",IF(J66=1,D66,F66))</f>
        <v>Duitsland</v>
      </c>
      <c r="G72" s="435">
        <v>2</v>
      </c>
      <c r="H72" s="367" t="s">
        <v>9</v>
      </c>
      <c r="I72" s="447">
        <v>2</v>
      </c>
      <c r="J72" s="448">
        <v>1</v>
      </c>
      <c r="K72" s="353"/>
      <c r="L72" s="353"/>
      <c r="M72" s="353"/>
      <c r="V72" s="352" t="s">
        <v>133</v>
      </c>
      <c r="W72" s="352" t="s">
        <v>195</v>
      </c>
      <c r="X72" s="352" t="str">
        <f t="shared" si="11"/>
        <v>John Heitinga (v)</v>
      </c>
      <c r="Y72" s="109">
        <f>AF72</f>
        <v>0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0</v>
      </c>
      <c r="AG72" s="108">
        <f>IF(AC72="",0,(IF(G72=AC72,1,0)))</f>
        <v>0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0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Spanje</v>
      </c>
      <c r="E73" s="388" t="s">
        <v>9</v>
      </c>
      <c r="F73" s="412" t="str">
        <f>IF(J62="","Winnaar 52",IF(J62=1,D62,F62))</f>
        <v>Engeland</v>
      </c>
      <c r="G73" s="438">
        <v>3</v>
      </c>
      <c r="H73" s="388" t="s">
        <v>9</v>
      </c>
      <c r="I73" s="453">
        <v>2</v>
      </c>
      <c r="J73" s="454">
        <v>1</v>
      </c>
      <c r="K73" s="353"/>
      <c r="L73" s="353"/>
      <c r="M73" s="353"/>
      <c r="V73" s="352" t="s">
        <v>133</v>
      </c>
      <c r="W73" s="352" t="s">
        <v>196</v>
      </c>
      <c r="X73" s="352" t="str">
        <f t="shared" si="11"/>
        <v>Urby Emanuelson (v)</v>
      </c>
      <c r="Y73" s="109">
        <f>AF73</f>
        <v>0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0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V74" s="352" t="s">
        <v>133</v>
      </c>
      <c r="W74" s="352" t="s">
        <v>197</v>
      </c>
      <c r="X74" s="352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79"/>
      <c r="K75" s="353"/>
      <c r="L75" s="353"/>
      <c r="M75" s="353"/>
      <c r="V75" s="352" t="s">
        <v>133</v>
      </c>
      <c r="W75" s="352" t="s">
        <v>198</v>
      </c>
      <c r="X75" s="352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76" t="s">
        <v>3</v>
      </c>
      <c r="E76" s="431"/>
      <c r="F76" s="477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V76" s="352" t="s">
        <v>133</v>
      </c>
      <c r="W76" s="352" t="s">
        <v>202</v>
      </c>
      <c r="X76" s="352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Portugal</v>
      </c>
      <c r="E77" s="367" t="s">
        <v>9</v>
      </c>
      <c r="F77" s="406" t="str">
        <f>IF(J71="","Winnaar 58",IF(J71=1,D71,F71))</f>
        <v>Nederland</v>
      </c>
      <c r="G77" s="435">
        <v>2</v>
      </c>
      <c r="H77" s="367" t="s">
        <v>9</v>
      </c>
      <c r="I77" s="447">
        <v>3</v>
      </c>
      <c r="J77" s="448">
        <v>2</v>
      </c>
      <c r="K77" s="353"/>
      <c r="L77" s="353"/>
      <c r="M77" s="353"/>
      <c r="V77" s="352" t="s">
        <v>134</v>
      </c>
      <c r="W77" s="352" t="s">
        <v>203</v>
      </c>
      <c r="X77" s="352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Argentinië</v>
      </c>
      <c r="E78" s="388" t="s">
        <v>9</v>
      </c>
      <c r="F78" s="412" t="str">
        <f>IF(J73="","Winnaar 60",IF(J73=1,D73,F73))</f>
        <v>Spanje</v>
      </c>
      <c r="G78" s="438">
        <v>0</v>
      </c>
      <c r="H78" s="388" t="s">
        <v>9</v>
      </c>
      <c r="I78" s="453">
        <v>3</v>
      </c>
      <c r="J78" s="454">
        <v>2</v>
      </c>
      <c r="K78" s="353"/>
      <c r="L78" s="353"/>
      <c r="M78" s="353"/>
      <c r="V78" s="352" t="s">
        <v>134</v>
      </c>
      <c r="W78" s="352" t="s">
        <v>199</v>
      </c>
      <c r="X78" s="352" t="str">
        <f t="shared" si="11"/>
        <v>Leroy Fer (m)</v>
      </c>
      <c r="Y78" s="109">
        <f>AF78</f>
        <v>1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1</v>
      </c>
      <c r="AG78" s="108">
        <f>IF(AC78="",0,(IF(G78=AC78,1,0)))</f>
        <v>1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V79" s="352" t="s">
        <v>134</v>
      </c>
      <c r="W79" s="352" t="s">
        <v>114</v>
      </c>
      <c r="X79" s="352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79"/>
      <c r="K80" s="353"/>
      <c r="L80" s="353"/>
      <c r="M80" s="353"/>
      <c r="V80" s="352" t="s">
        <v>134</v>
      </c>
      <c r="W80" s="352" t="s">
        <v>117</v>
      </c>
      <c r="X80" s="352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76" t="s">
        <v>3</v>
      </c>
      <c r="E81" s="431"/>
      <c r="F81" s="477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V81" s="352" t="s">
        <v>134</v>
      </c>
      <c r="W81" s="352" t="s">
        <v>120</v>
      </c>
      <c r="X81" s="352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Portugal</v>
      </c>
      <c r="E82" s="355" t="s">
        <v>9</v>
      </c>
      <c r="F82" s="415" t="str">
        <f>IF(J78="","Verliezer 62",IF(J78=1,F78,D78))</f>
        <v>Argentinië</v>
      </c>
      <c r="G82" s="455">
        <v>4</v>
      </c>
      <c r="H82" s="355" t="s">
        <v>9</v>
      </c>
      <c r="I82" s="456">
        <v>2</v>
      </c>
      <c r="J82" s="457">
        <v>1</v>
      </c>
      <c r="K82" s="353"/>
      <c r="L82" s="353"/>
      <c r="M82" s="353"/>
      <c r="V82" s="352" t="s">
        <v>134</v>
      </c>
      <c r="W82" s="352" t="s">
        <v>125</v>
      </c>
      <c r="X82" s="35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V83" s="352" t="s">
        <v>134</v>
      </c>
      <c r="W83" s="352" t="s">
        <v>136</v>
      </c>
      <c r="X83" s="352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79"/>
      <c r="K84" s="353"/>
      <c r="L84" s="353"/>
      <c r="M84" s="353"/>
      <c r="V84" s="352" t="s">
        <v>134</v>
      </c>
      <c r="W84" s="352" t="s">
        <v>137</v>
      </c>
      <c r="X84" s="352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76" t="s">
        <v>3</v>
      </c>
      <c r="E85" s="431"/>
      <c r="F85" s="477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V85" s="352" t="s">
        <v>134</v>
      </c>
      <c r="W85" s="352" t="s">
        <v>138</v>
      </c>
      <c r="X85" s="352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Nederland</v>
      </c>
      <c r="E86" s="355" t="s">
        <v>9</v>
      </c>
      <c r="F86" s="415" t="str">
        <f>IF(J78="","Winnaar 62",IF(J78=1,D78,F78))</f>
        <v>Spanje</v>
      </c>
      <c r="G86" s="455">
        <v>1</v>
      </c>
      <c r="H86" s="355" t="s">
        <v>9</v>
      </c>
      <c r="I86" s="456">
        <v>0</v>
      </c>
      <c r="J86" s="457">
        <v>1</v>
      </c>
      <c r="K86" s="353"/>
      <c r="L86" s="353"/>
      <c r="M86" s="353"/>
      <c r="V86" s="352" t="s">
        <v>134</v>
      </c>
      <c r="W86" s="352" t="s">
        <v>139</v>
      </c>
      <c r="X86" s="352" t="str">
        <f t="shared" si="11"/>
        <v>Nigel de Jong (m)</v>
      </c>
      <c r="Y86" s="109">
        <f>AF86</f>
        <v>1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1</v>
      </c>
      <c r="AG86" s="108">
        <f>IF(AC86="",0,(IF(G86=AC86,1,0)))</f>
        <v>0</v>
      </c>
      <c r="AH86" s="108">
        <f>IF(AD86="",0,(IF(I86=AD86,1,0)))</f>
        <v>1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353"/>
      <c r="C87" s="129"/>
      <c r="D87" s="392"/>
      <c r="E87" s="353"/>
      <c r="F87" s="392"/>
      <c r="G87" s="353"/>
      <c r="H87" s="353"/>
      <c r="I87" s="353"/>
      <c r="J87" s="353"/>
      <c r="K87" s="353"/>
      <c r="L87" s="353"/>
      <c r="M87" s="353"/>
      <c r="V87" s="352" t="s">
        <v>135</v>
      </c>
      <c r="W87" s="352" t="s">
        <v>205</v>
      </c>
      <c r="X87" s="352" t="str">
        <f t="shared" si="11"/>
        <v>Ricky van Wolfswinkel (a)</v>
      </c>
      <c r="AP87" s="136" t="s">
        <v>102</v>
      </c>
    </row>
    <row r="88" spans="2:50">
      <c r="B88" s="353"/>
      <c r="C88" s="129"/>
      <c r="D88" s="392"/>
      <c r="E88" s="353"/>
      <c r="F88" s="392"/>
      <c r="G88" s="353"/>
      <c r="H88" s="353"/>
      <c r="I88" s="353"/>
      <c r="J88" s="353"/>
      <c r="K88" s="353"/>
      <c r="L88" s="353"/>
      <c r="M88" s="353"/>
      <c r="V88" s="352" t="s">
        <v>135</v>
      </c>
      <c r="W88" s="352" t="s">
        <v>204</v>
      </c>
      <c r="X88" s="352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458"/>
    </row>
    <row r="89" spans="2:50" ht="20.25">
      <c r="C89" s="874" t="s">
        <v>101</v>
      </c>
      <c r="D89" s="871"/>
      <c r="E89" s="873" t="str">
        <f>IF(J86=1,D86,IF(J86=2,F86,"Wie zal het worden?"))</f>
        <v>Nederland</v>
      </c>
      <c r="F89" s="873"/>
      <c r="G89" s="873"/>
      <c r="H89" s="873"/>
      <c r="I89" s="873"/>
      <c r="J89" s="873"/>
      <c r="K89" s="353"/>
      <c r="L89" s="353"/>
      <c r="M89" s="353"/>
      <c r="V89" s="352" t="s">
        <v>135</v>
      </c>
      <c r="W89" s="352" t="s">
        <v>201</v>
      </c>
      <c r="X89" s="352" t="str">
        <f t="shared" si="11"/>
        <v>Jermain Lens (a)</v>
      </c>
      <c r="AP89" s="109">
        <f>AU89</f>
        <v>5</v>
      </c>
      <c r="AQ89" s="131">
        <v>1</v>
      </c>
      <c r="AR89" s="904" t="str">
        <f>Uitslag!E89</f>
        <v>Duitsland</v>
      </c>
      <c r="AS89" s="905"/>
      <c r="AT89" s="906"/>
      <c r="AU89" s="352">
        <f>SUM(AV89:AX89)</f>
        <v>5</v>
      </c>
      <c r="AV89" s="352">
        <f>IF(AR89=0,0,IF(E89=AR89,50,0))</f>
        <v>0</v>
      </c>
      <c r="AW89" s="352">
        <f>IF(E89=0,0,IF(OR(E89=AR90),15,0))</f>
        <v>0</v>
      </c>
      <c r="AX89" s="352">
        <f>IF(E89=0,0,IF(OR(E89=AR91,E89=AR92),5,0))</f>
        <v>5</v>
      </c>
    </row>
    <row r="90" spans="2:50">
      <c r="C90" s="870">
        <v>2</v>
      </c>
      <c r="D90" s="871"/>
      <c r="E90" s="872" t="str">
        <f>IF(J86=2,D86,IF(J86=1,F86,"Wie wordt 2de?"))</f>
        <v>Spanje</v>
      </c>
      <c r="F90" s="872"/>
      <c r="G90" s="872"/>
      <c r="H90" s="872"/>
      <c r="I90" s="872"/>
      <c r="J90" s="872"/>
      <c r="V90" s="352" t="s">
        <v>135</v>
      </c>
      <c r="W90" s="352" t="s">
        <v>200</v>
      </c>
      <c r="X90" s="352" t="str">
        <f t="shared" si="11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 s="352">
        <f>SUM(AV90:AX90)</f>
        <v>0</v>
      </c>
      <c r="AV90" s="352">
        <f>IF(AR90=0,0,IF(AR90=E90,25,0))</f>
        <v>0</v>
      </c>
      <c r="AW90" s="352">
        <f>IF(E90=0,0,IF(OR(E90=AR89,),15,0))</f>
        <v>0</v>
      </c>
      <c r="AX90" s="352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Portugal</v>
      </c>
      <c r="F91" s="872"/>
      <c r="G91" s="872"/>
      <c r="H91" s="872"/>
      <c r="I91" s="872"/>
      <c r="J91" s="872"/>
      <c r="V91" s="352" t="s">
        <v>135</v>
      </c>
      <c r="W91" s="352" t="s">
        <v>128</v>
      </c>
      <c r="X91" s="352" t="str">
        <f t="shared" si="11"/>
        <v>Jürgen Locadia (a)</v>
      </c>
      <c r="AP91" s="109">
        <f>AU91</f>
        <v>0</v>
      </c>
      <c r="AQ91" s="131">
        <v>3</v>
      </c>
      <c r="AR91" s="904" t="str">
        <f>Uitslag!E91</f>
        <v>Nederland</v>
      </c>
      <c r="AS91" s="905"/>
      <c r="AT91" s="906"/>
      <c r="AU91" s="352">
        <f>SUM(AV91:AX91)</f>
        <v>0</v>
      </c>
      <c r="AV91" s="352">
        <f>IF(AR91=0,0,IF(AR91=E91,15,0))</f>
        <v>0</v>
      </c>
      <c r="AW91" s="352">
        <f>IF(E91=0,0,IF(OR(E91=AR92),10,0))</f>
        <v>0</v>
      </c>
      <c r="AX91" s="352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Argentinië</v>
      </c>
      <c r="F92" s="872"/>
      <c r="G92" s="872"/>
      <c r="H92" s="872"/>
      <c r="I92" s="872"/>
      <c r="J92" s="872"/>
      <c r="V92" s="352" t="s">
        <v>135</v>
      </c>
      <c r="W92" s="352" t="s">
        <v>127</v>
      </c>
      <c r="X92" s="352" t="str">
        <f t="shared" si="11"/>
        <v>Memphis Depay (a)</v>
      </c>
      <c r="AP92" s="109">
        <f>AU92</f>
        <v>5</v>
      </c>
      <c r="AQ92" s="131">
        <v>4</v>
      </c>
      <c r="AR92" s="904" t="str">
        <f>Uitslag!E92</f>
        <v>Brazilië</v>
      </c>
      <c r="AS92" s="905"/>
      <c r="AT92" s="906"/>
      <c r="AU92" s="352">
        <f>SUM(AV92:AX92)</f>
        <v>5</v>
      </c>
      <c r="AV92" s="352">
        <f>IF(AR92=0,0,IF(AR92=E92,15,0))</f>
        <v>0</v>
      </c>
      <c r="AW92" s="352">
        <f>IF(E92=0,0,IF(OR(E92=AR91,),10,0))</f>
        <v>0</v>
      </c>
      <c r="AX92" s="352">
        <f>IF(E92=0,0,IF(OR(E92=AR89,E92=AR90),5,0))</f>
        <v>5</v>
      </c>
    </row>
    <row r="93" spans="2:50" ht="15.75" thickBot="1">
      <c r="V93" s="352" t="s">
        <v>135</v>
      </c>
      <c r="W93" s="352" t="s">
        <v>123</v>
      </c>
      <c r="X93" s="352" t="str">
        <f t="shared" si="11"/>
        <v>Quincy Promes (a)</v>
      </c>
      <c r="AS93" s="132"/>
      <c r="AU93" s="133">
        <f>SUM(AU89:AU92)</f>
        <v>10</v>
      </c>
    </row>
    <row r="94" spans="2:50" ht="15.75" thickTop="1">
      <c r="V94" s="352" t="s">
        <v>135</v>
      </c>
      <c r="W94" s="352" t="s">
        <v>122</v>
      </c>
      <c r="X94" s="352" t="str">
        <f t="shared" si="11"/>
        <v>Luc Castaignos (a)</v>
      </c>
    </row>
    <row r="95" spans="2:50">
      <c r="V95" s="352" t="s">
        <v>135</v>
      </c>
      <c r="W95" s="352" t="s">
        <v>113</v>
      </c>
      <c r="X95" s="352" t="str">
        <f t="shared" si="11"/>
        <v>Jean-Paul Boëtius (a)</v>
      </c>
    </row>
    <row r="96" spans="2:50">
      <c r="V96" s="352" t="s">
        <v>135</v>
      </c>
      <c r="W96" s="352" t="s">
        <v>129</v>
      </c>
      <c r="X96" s="352" t="str">
        <f t="shared" si="11"/>
        <v>Luciano Narsingh (a)</v>
      </c>
    </row>
    <row r="97" spans="22:24">
      <c r="V97" s="352" t="s">
        <v>135</v>
      </c>
      <c r="W97" s="352" t="s">
        <v>130</v>
      </c>
      <c r="X97" s="352" t="str">
        <f t="shared" si="11"/>
        <v>Robin van Persie (a)</v>
      </c>
    </row>
    <row r="98" spans="22:24">
      <c r="V98" s="352" t="s">
        <v>135</v>
      </c>
      <c r="W98" s="352" t="s">
        <v>131</v>
      </c>
      <c r="X98" s="352" t="str">
        <f t="shared" si="11"/>
        <v>Arjen Robben (a)</v>
      </c>
    </row>
  </sheetData>
  <mergeCells count="36">
    <mergeCell ref="C91:D91"/>
    <mergeCell ref="E91:J91"/>
    <mergeCell ref="AR91:AT91"/>
    <mergeCell ref="C92:D92"/>
    <mergeCell ref="E92:J92"/>
    <mergeCell ref="AR92:AT92"/>
    <mergeCell ref="C89:D89"/>
    <mergeCell ref="E89:J89"/>
    <mergeCell ref="AR89:AT89"/>
    <mergeCell ref="C90:D90"/>
    <mergeCell ref="E90:J90"/>
    <mergeCell ref="AR90:AT90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</mergeCells>
  <conditionalFormatting sqref="AO9:AO12 AO15:AO18 AO21:AO24 AO27:AO30 AO33:AO36 AO39:AO42 AO45:AO48 AO51:AO54">
    <cfRule type="cellIs" dxfId="68" priority="3" operator="equal">
      <formula>10</formula>
    </cfRule>
  </conditionalFormatting>
  <conditionalFormatting sqref="P58:T58">
    <cfRule type="duplicateValues" dxfId="67" priority="2"/>
  </conditionalFormatting>
  <conditionalFormatting sqref="P58:T68">
    <cfRule type="duplicateValues" dxfId="66" priority="1"/>
  </conditionalFormatting>
  <dataValidations count="10">
    <dataValidation type="list" allowBlank="1" showInputMessage="1" showErrorMessage="1" sqref="T51:T54">
      <formula1>$W$51:$W$54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P58:P68">
      <formula1>$X$58:$X$98</formula1>
    </dataValidation>
  </dataValidation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>
  <dimension ref="B1:BB98"/>
  <sheetViews>
    <sheetView topLeftCell="A46" zoomScale="70" zoomScaleNormal="70" workbookViewId="0">
      <selection activeCell="P58" sqref="P58:T68"/>
    </sheetView>
  </sheetViews>
  <sheetFormatPr defaultRowHeight="15" outlineLevelCol="2"/>
  <cols>
    <col min="1" max="1" width="3.42578125" style="352" customWidth="1"/>
    <col min="2" max="2" width="3.5703125" style="352" bestFit="1" customWidth="1"/>
    <col min="3" max="3" width="11.5703125" style="123" bestFit="1" customWidth="1"/>
    <col min="4" max="4" width="19.7109375" style="352" bestFit="1" customWidth="1"/>
    <col min="5" max="5" width="3.42578125" style="352" customWidth="1"/>
    <col min="6" max="6" width="19.7109375" style="352" bestFit="1" customWidth="1"/>
    <col min="7" max="7" width="6.7109375" style="352" customWidth="1"/>
    <col min="8" max="8" width="1.5703125" style="352" bestFit="1" customWidth="1"/>
    <col min="9" max="9" width="6.7109375" style="352" customWidth="1"/>
    <col min="10" max="10" width="6.85546875" style="352" bestFit="1" customWidth="1"/>
    <col min="11" max="13" width="9.140625" style="352" hidden="1" customWidth="1" outlineLevel="1"/>
    <col min="14" max="14" width="11.42578125" style="352" bestFit="1" customWidth="1" collapsed="1"/>
    <col min="15" max="15" width="14.7109375" style="352" bestFit="1" customWidth="1"/>
    <col min="16" max="16" width="12.28515625" style="352" bestFit="1" customWidth="1"/>
    <col min="17" max="17" width="8.140625" style="352" bestFit="1" customWidth="1"/>
    <col min="18" max="18" width="7.7109375" style="352" bestFit="1" customWidth="1"/>
    <col min="19" max="19" width="9.140625" style="352"/>
    <col min="20" max="20" width="8.5703125" style="352" bestFit="1" customWidth="1"/>
    <col min="21" max="21" width="9.140625" style="352"/>
    <col min="22" max="23" width="9.140625" style="352" hidden="1" customWidth="1" outlineLevel="1"/>
    <col min="24" max="24" width="2" style="352" hidden="1" customWidth="1" outlineLevel="1"/>
    <col min="25" max="25" width="12.28515625" style="352" bestFit="1" customWidth="1" collapsed="1"/>
    <col min="26" max="27" width="12.28515625" style="352" hidden="1" customWidth="1" outlineLevel="1"/>
    <col min="28" max="28" width="4.7109375" style="352" hidden="1" customWidth="1" outlineLevel="1"/>
    <col min="29" max="38" width="9.140625" style="352" hidden="1" customWidth="1" outlineLevel="1"/>
    <col min="39" max="39" width="7.42578125" style="352" bestFit="1" customWidth="1" collapsed="1"/>
    <col min="40" max="40" width="19.7109375" style="352" hidden="1" customWidth="1" outlineLevel="1"/>
    <col min="41" max="41" width="9.140625" style="352" hidden="1" customWidth="1" outlineLevel="1"/>
    <col min="42" max="42" width="9.140625" style="352" collapsed="1"/>
    <col min="43" max="49" width="9.140625" style="352" hidden="1" customWidth="1" outlineLevel="2"/>
    <col min="50" max="50" width="11.5703125" style="352" hidden="1" customWidth="1" outlineLevel="2"/>
    <col min="51" max="51" width="11.85546875" style="352" hidden="1" customWidth="1" outlineLevel="1" collapsed="1"/>
    <col min="52" max="52" width="9.42578125" style="352" hidden="1" customWidth="1" outlineLevel="1"/>
    <col min="53" max="53" width="10.5703125" style="352" hidden="1" customWidth="1" outlineLevel="1"/>
    <col min="54" max="54" width="9.140625" style="352" collapsed="1"/>
    <col min="55" max="55" width="11.85546875" style="352" bestFit="1" customWidth="1"/>
    <col min="56" max="16384" width="9.140625" style="352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299</v>
      </c>
      <c r="E3" s="335"/>
      <c r="F3" s="335"/>
      <c r="N3" s="352" t="str">
        <f>D3</f>
        <v>Anneliez</v>
      </c>
      <c r="O3" s="144">
        <f>SUM(P3:S3)</f>
        <v>437</v>
      </c>
      <c r="P3" s="109">
        <f>SUM(Y8:Y86)</f>
        <v>240</v>
      </c>
      <c r="Q3" s="109">
        <f>SUM(AM4:AM55)</f>
        <v>160</v>
      </c>
      <c r="R3" s="109">
        <f>SUM(AP89:AP92)</f>
        <v>10</v>
      </c>
      <c r="S3" s="109">
        <f>SUM(BB58:BB69)</f>
        <v>27</v>
      </c>
      <c r="T3" s="109">
        <f>COUNTIF(AF8:AF86,10)</f>
        <v>9</v>
      </c>
      <c r="U3" s="109" t="str">
        <f>E89</f>
        <v>Brazilië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O6" s="392"/>
      <c r="P6" s="393"/>
      <c r="Q6" s="393"/>
      <c r="R6" s="393"/>
      <c r="S6" s="393"/>
      <c r="T6" s="393"/>
      <c r="U6" s="392"/>
      <c r="V6" s="392"/>
      <c r="W6" s="392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80" t="s">
        <v>3</v>
      </c>
      <c r="E7" s="419"/>
      <c r="F7" s="481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O7" s="353"/>
      <c r="P7" s="393"/>
      <c r="Q7" s="393"/>
      <c r="R7" s="393"/>
      <c r="S7" s="393"/>
      <c r="T7" s="393"/>
      <c r="U7" s="353"/>
      <c r="V7" s="353"/>
      <c r="W7" s="353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458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2</v>
      </c>
      <c r="H8" s="360" t="s">
        <v>9</v>
      </c>
      <c r="I8" s="478">
        <v>1</v>
      </c>
      <c r="J8" s="362">
        <f t="shared" ref="J8:J55" si="0">IF(I8="","",IF(G8&gt;I8,1,IF(G8&lt;I8,2,3)))</f>
        <v>1</v>
      </c>
      <c r="K8" s="363">
        <f t="shared" ref="K8:K55" si="1">IF(I8="","",IF($G8&gt;$I8,3,IF($G8=$I8,1,0)))</f>
        <v>3</v>
      </c>
      <c r="L8" s="363">
        <f t="shared" ref="L8:L55" si="2">IF(I8="","",IF($G8&lt;$I8,3,IF($G8=$I8,1,0)))</f>
        <v>0</v>
      </c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392"/>
      <c r="V8" s="392"/>
      <c r="W8" s="392"/>
      <c r="Y8" s="109">
        <f>AF8</f>
        <v>6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6</v>
      </c>
      <c r="AG8" s="108">
        <f t="shared" ref="AG8:AG55" si="3">IF(AC8="",0,(IF(G8=AC8,1,0)))</f>
        <v>0</v>
      </c>
      <c r="AH8" s="108">
        <f t="shared" ref="AH8:AH55" si="4">IF(AD8="",0,(IF(I8=AD8,1,0)))</f>
        <v>1</v>
      </c>
      <c r="AI8" s="108">
        <f>IF(AND(AG8=1,AH8=1),10,0)</f>
        <v>0</v>
      </c>
      <c r="AJ8" s="108">
        <f t="shared" ref="AJ8:AJ55" si="5">IF(AND(G8&gt;I8,AC8&gt;AD8),5,0)</f>
        <v>5</v>
      </c>
      <c r="AK8" s="108">
        <f t="shared" ref="AK8:AK55" si="6">IF(AND(G8&lt;I8,AC8&lt;AD8),5,0)</f>
        <v>0</v>
      </c>
      <c r="AL8" s="108">
        <f t="shared" ref="AL8:AL55" si="7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3</v>
      </c>
      <c r="H9" s="367" t="s">
        <v>9</v>
      </c>
      <c r="I9" s="440">
        <v>0</v>
      </c>
      <c r="J9" s="369">
        <f t="shared" si="0"/>
        <v>1</v>
      </c>
      <c r="K9" s="363">
        <f t="shared" si="1"/>
        <v>3</v>
      </c>
      <c r="L9" s="363">
        <f t="shared" si="2"/>
        <v>0</v>
      </c>
      <c r="O9" s="394" t="s">
        <v>8</v>
      </c>
      <c r="P9" s="395">
        <f>SUMIF($D$8:$D$55,$O9,$G$8:$G$55)+SUMIF($F$8:$F$55,$O9,$I$8:$I$55)</f>
        <v>7</v>
      </c>
      <c r="Q9" s="395">
        <f>SUMIF($D$8:$D$55,$O9,$I$8:$I$55)+SUMIF($F$8:$F$55,$O9,$G$8:$G$55)</f>
        <v>2</v>
      </c>
      <c r="R9" s="396">
        <f>P9-Q9</f>
        <v>5</v>
      </c>
      <c r="S9" s="397">
        <f>SUMIF($D$8:$D$55,$O9,$K$8:$K$55)+SUMIF($F$8:$F$55,$O9,$L$8:$L$55)</f>
        <v>9</v>
      </c>
      <c r="T9" s="444" t="s">
        <v>48</v>
      </c>
      <c r="U9" s="392"/>
      <c r="V9" s="392" t="str">
        <f>O9</f>
        <v>Brazilië</v>
      </c>
      <c r="W9" s="392" t="s">
        <v>48</v>
      </c>
      <c r="Y9" s="109">
        <f t="shared" ref="Y9:Y55" si="8">AF9</f>
        <v>6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6</v>
      </c>
      <c r="AG9" s="108">
        <f t="shared" si="3"/>
        <v>0</v>
      </c>
      <c r="AH9" s="108">
        <f t="shared" si="4"/>
        <v>1</v>
      </c>
      <c r="AI9" s="108">
        <f t="shared" ref="AI9:AI55" si="10">IF(AND(AG9=1,AH9=1),10,0)</f>
        <v>0</v>
      </c>
      <c r="AJ9" s="108">
        <f t="shared" si="5"/>
        <v>5</v>
      </c>
      <c r="AK9" s="108">
        <f t="shared" si="6"/>
        <v>0</v>
      </c>
      <c r="AL9" s="108">
        <f t="shared" si="7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0</v>
      </c>
      <c r="H10" s="373" t="s">
        <v>9</v>
      </c>
      <c r="I10" s="441">
        <v>1</v>
      </c>
      <c r="J10" s="375">
        <f t="shared" si="0"/>
        <v>2</v>
      </c>
      <c r="K10" s="363">
        <f t="shared" si="1"/>
        <v>0</v>
      </c>
      <c r="L10" s="363">
        <f t="shared" si="2"/>
        <v>3</v>
      </c>
      <c r="O10" s="398" t="s">
        <v>10</v>
      </c>
      <c r="P10" s="399">
        <f>SUMIF($D$8:$D$55,$O10,$G$8:$G$55)+SUMIF($F$8:$F$55,$O10,$I$8:$I$55)</f>
        <v>4</v>
      </c>
      <c r="Q10" s="399">
        <f>SUMIF($D$8:$D$55,$O10,$I$8:$I$55)+SUMIF($F$8:$F$55,$O10,$G$8:$G$55)</f>
        <v>2</v>
      </c>
      <c r="R10" s="399">
        <f>P10-Q10</f>
        <v>2</v>
      </c>
      <c r="S10" s="400">
        <f>SUMIF($D$8:$D$55,$O10,$K$8:$K$55)+SUMIF($F$8:$F$55,$O10,$L$8:$L$55)</f>
        <v>4</v>
      </c>
      <c r="T10" s="445" t="s">
        <v>47</v>
      </c>
      <c r="U10" s="392"/>
      <c r="V10" s="392" t="str">
        <f>O10</f>
        <v>Kroatië</v>
      </c>
      <c r="W10" s="392" t="s">
        <v>49</v>
      </c>
      <c r="Y10" s="109">
        <f t="shared" si="8"/>
        <v>5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5</v>
      </c>
      <c r="AG10" s="108">
        <f t="shared" si="3"/>
        <v>0</v>
      </c>
      <c r="AH10" s="108">
        <f t="shared" si="4"/>
        <v>0</v>
      </c>
      <c r="AI10" s="108">
        <f t="shared" si="10"/>
        <v>0</v>
      </c>
      <c r="AJ10" s="108">
        <f t="shared" si="5"/>
        <v>0</v>
      </c>
      <c r="AK10" s="108">
        <f t="shared" si="6"/>
        <v>5</v>
      </c>
      <c r="AL10" s="108">
        <f t="shared" si="7"/>
        <v>0</v>
      </c>
      <c r="AM10" s="120">
        <f>AO10</f>
        <v>10</v>
      </c>
      <c r="AN10" s="117" t="s">
        <v>10</v>
      </c>
      <c r="AO10" s="115">
        <f>IF(Uitslag!T10="",0,IF(T10=Uitslag!T10,10,0))</f>
        <v>10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2</v>
      </c>
      <c r="H11" s="379" t="s">
        <v>9</v>
      </c>
      <c r="I11" s="442">
        <v>0</v>
      </c>
      <c r="J11" s="381">
        <f t="shared" si="0"/>
        <v>1</v>
      </c>
      <c r="K11" s="363">
        <f t="shared" si="1"/>
        <v>3</v>
      </c>
      <c r="L11" s="363">
        <f t="shared" si="2"/>
        <v>0</v>
      </c>
      <c r="O11" s="398" t="s">
        <v>11</v>
      </c>
      <c r="P11" s="399">
        <f>SUMIF($D$8:$D$55,$O11,$G$8:$G$55)+SUMIF($F$8:$F$55,$O11,$I$8:$I$55)</f>
        <v>4</v>
      </c>
      <c r="Q11" s="399">
        <f>SUMIF($D$8:$D$55,$O11,$I$8:$I$55)+SUMIF($F$8:$F$55,$O11,$G$8:$G$55)</f>
        <v>2</v>
      </c>
      <c r="R11" s="399">
        <f>P11-Q11</f>
        <v>2</v>
      </c>
      <c r="S11" s="400">
        <f>SUMIF($D$8:$D$55,$O11,$K$8:$K$55)+SUMIF($F$8:$F$55,$O11,$L$8:$L$55)</f>
        <v>4</v>
      </c>
      <c r="T11" s="445" t="s">
        <v>49</v>
      </c>
      <c r="U11" s="392"/>
      <c r="V11" s="392" t="str">
        <f>O11</f>
        <v>Mexico</v>
      </c>
      <c r="W11" s="392" t="s">
        <v>47</v>
      </c>
      <c r="Y11" s="109">
        <f t="shared" si="8"/>
        <v>5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5</v>
      </c>
      <c r="AG11" s="108">
        <f t="shared" si="3"/>
        <v>0</v>
      </c>
      <c r="AH11" s="108">
        <f t="shared" si="4"/>
        <v>0</v>
      </c>
      <c r="AI11" s="108">
        <f t="shared" si="10"/>
        <v>0</v>
      </c>
      <c r="AJ11" s="108">
        <f t="shared" si="5"/>
        <v>5</v>
      </c>
      <c r="AK11" s="108">
        <f t="shared" si="6"/>
        <v>0</v>
      </c>
      <c r="AL11" s="108">
        <f t="shared" si="7"/>
        <v>0</v>
      </c>
      <c r="AM11" s="120">
        <f>AO11</f>
        <v>10</v>
      </c>
      <c r="AN11" s="117" t="s">
        <v>11</v>
      </c>
      <c r="AO11" s="115">
        <f>IF(Uitslag!T11="",0,IF(T11=Uitslag!T11,10,0))</f>
        <v>10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1</v>
      </c>
      <c r="H12" s="367" t="s">
        <v>9</v>
      </c>
      <c r="I12" s="440">
        <v>0</v>
      </c>
      <c r="J12" s="369">
        <f t="shared" si="0"/>
        <v>1</v>
      </c>
      <c r="K12" s="363">
        <f t="shared" si="1"/>
        <v>3</v>
      </c>
      <c r="L12" s="363">
        <f t="shared" si="2"/>
        <v>0</v>
      </c>
      <c r="O12" s="401" t="s">
        <v>12</v>
      </c>
      <c r="P12" s="402">
        <f>SUMIF($D$8:$D$55,$O12,$G$8:$G$55)+SUMIF($F$8:$F$55,$O12,$I$8:$I$55)</f>
        <v>0</v>
      </c>
      <c r="Q12" s="402">
        <f>SUMIF($D$8:$D$55,$O12,$I$8:$I$55)+SUMIF($F$8:$F$55,$O12,$G$8:$G$55)</f>
        <v>9</v>
      </c>
      <c r="R12" s="402">
        <f>P12-Q12</f>
        <v>-9</v>
      </c>
      <c r="S12" s="403">
        <f>SUMIF($D$8:$D$55,$O12,$K$8:$K$55)+SUMIF($F$8:$F$55,$O12,$L$8:$L$55)</f>
        <v>0</v>
      </c>
      <c r="T12" s="446" t="s">
        <v>50</v>
      </c>
      <c r="U12" s="392"/>
      <c r="V12" s="392" t="str">
        <f>O12</f>
        <v>Kameroen</v>
      </c>
      <c r="W12" s="392" t="s">
        <v>50</v>
      </c>
      <c r="Y12" s="109">
        <f t="shared" si="8"/>
        <v>6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6</v>
      </c>
      <c r="AG12" s="108">
        <f t="shared" si="3"/>
        <v>0</v>
      </c>
      <c r="AH12" s="108">
        <f t="shared" si="4"/>
        <v>1</v>
      </c>
      <c r="AI12" s="108">
        <f t="shared" si="10"/>
        <v>0</v>
      </c>
      <c r="AJ12" s="108">
        <f t="shared" si="5"/>
        <v>5</v>
      </c>
      <c r="AK12" s="108">
        <f t="shared" si="6"/>
        <v>0</v>
      </c>
      <c r="AL12" s="108">
        <f t="shared" si="7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2</v>
      </c>
      <c r="H13" s="373" t="s">
        <v>9</v>
      </c>
      <c r="I13" s="441">
        <v>2</v>
      </c>
      <c r="J13" s="375">
        <f t="shared" si="0"/>
        <v>3</v>
      </c>
      <c r="K13" s="363">
        <f t="shared" si="1"/>
        <v>1</v>
      </c>
      <c r="L13" s="363">
        <f t="shared" si="2"/>
        <v>1</v>
      </c>
      <c r="O13" s="392"/>
      <c r="P13" s="393"/>
      <c r="Q13" s="393"/>
      <c r="R13" s="393"/>
      <c r="S13" s="393"/>
      <c r="T13" s="393"/>
      <c r="U13" s="392"/>
      <c r="V13" s="392"/>
      <c r="W13" s="392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3"/>
        <v>0</v>
      </c>
      <c r="AH13" s="108">
        <f t="shared" si="4"/>
        <v>0</v>
      </c>
      <c r="AI13" s="108">
        <f t="shared" si="10"/>
        <v>0</v>
      </c>
      <c r="AJ13" s="108">
        <f t="shared" si="5"/>
        <v>0</v>
      </c>
      <c r="AK13" s="108">
        <f t="shared" si="6"/>
        <v>0</v>
      </c>
      <c r="AL13" s="108">
        <f t="shared" si="7"/>
        <v>0</v>
      </c>
      <c r="AN13" s="392"/>
      <c r="AO13" s="393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1</v>
      </c>
      <c r="H14" s="373" t="s">
        <v>9</v>
      </c>
      <c r="I14" s="441">
        <v>1</v>
      </c>
      <c r="J14" s="375">
        <f t="shared" si="0"/>
        <v>3</v>
      </c>
      <c r="K14" s="363">
        <f t="shared" si="1"/>
        <v>1</v>
      </c>
      <c r="L14" s="363">
        <f t="shared" si="2"/>
        <v>1</v>
      </c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392"/>
      <c r="V14" s="392"/>
      <c r="W14" s="392"/>
      <c r="Y14" s="109">
        <f t="shared" si="8"/>
        <v>1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</v>
      </c>
      <c r="AG14" s="108">
        <f t="shared" si="3"/>
        <v>1</v>
      </c>
      <c r="AH14" s="108">
        <f t="shared" si="4"/>
        <v>0</v>
      </c>
      <c r="AI14" s="108">
        <f t="shared" si="10"/>
        <v>0</v>
      </c>
      <c r="AJ14" s="108">
        <f t="shared" si="5"/>
        <v>0</v>
      </c>
      <c r="AK14" s="108">
        <f t="shared" si="6"/>
        <v>0</v>
      </c>
      <c r="AL14" s="108">
        <f t="shared" si="7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0</v>
      </c>
      <c r="H15" s="379" t="s">
        <v>9</v>
      </c>
      <c r="I15" s="442">
        <v>0</v>
      </c>
      <c r="J15" s="381">
        <f t="shared" si="0"/>
        <v>3</v>
      </c>
      <c r="K15" s="363">
        <f t="shared" si="1"/>
        <v>1</v>
      </c>
      <c r="L15" s="363">
        <f t="shared" si="2"/>
        <v>1</v>
      </c>
      <c r="O15" s="394" t="s">
        <v>13</v>
      </c>
      <c r="P15" s="395">
        <f>SUMIF($D$8:$D$55,$O15,$G$8:$G$55)+SUMIF($F$8:$F$55,$O15,$I$8:$I$55)</f>
        <v>4</v>
      </c>
      <c r="Q15" s="395">
        <f>SUMIF($D$8:$D$55,$O15,$I$8:$I$55)+SUMIF($F$8:$F$55,$O15,$G$8:$G$55)</f>
        <v>3</v>
      </c>
      <c r="R15" s="396">
        <f>P15-Q15</f>
        <v>1</v>
      </c>
      <c r="S15" s="397">
        <f>SUMIF($D$8:$D$55,$O15,$K$8:$K$55)+SUMIF($F$8:$F$55,$O15,$L$8:$L$55)</f>
        <v>4</v>
      </c>
      <c r="T15" s="444" t="s">
        <v>53</v>
      </c>
      <c r="U15" s="392"/>
      <c r="V15" s="392" t="str">
        <f>O15</f>
        <v>Spanje</v>
      </c>
      <c r="W15" s="392" t="s">
        <v>52</v>
      </c>
      <c r="Y15" s="109">
        <f t="shared" si="8"/>
        <v>0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0</v>
      </c>
      <c r="AG15" s="108">
        <f t="shared" si="3"/>
        <v>0</v>
      </c>
      <c r="AH15" s="108">
        <f t="shared" si="4"/>
        <v>0</v>
      </c>
      <c r="AI15" s="108">
        <f t="shared" si="10"/>
        <v>0</v>
      </c>
      <c r="AJ15" s="108">
        <f t="shared" si="5"/>
        <v>0</v>
      </c>
      <c r="AK15" s="108">
        <f t="shared" si="6"/>
        <v>0</v>
      </c>
      <c r="AL15" s="108">
        <f t="shared" si="7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2</v>
      </c>
      <c r="H16" s="367" t="s">
        <v>9</v>
      </c>
      <c r="I16" s="440">
        <v>1</v>
      </c>
      <c r="J16" s="369">
        <f t="shared" si="0"/>
        <v>1</v>
      </c>
      <c r="K16" s="363">
        <f t="shared" si="1"/>
        <v>3</v>
      </c>
      <c r="L16" s="363">
        <f t="shared" si="2"/>
        <v>0</v>
      </c>
      <c r="O16" s="404" t="s">
        <v>14</v>
      </c>
      <c r="P16" s="399">
        <f>SUMIF($D$8:$D$55,$O16,$G$8:$G$55)+SUMIF($F$8:$F$55,$O16,$I$8:$I$55)</f>
        <v>5</v>
      </c>
      <c r="Q16" s="399">
        <f>SUMIF($D$8:$D$55,$O16,$I$8:$I$55)+SUMIF($F$8:$F$55,$O16,$G$8:$G$55)</f>
        <v>0</v>
      </c>
      <c r="R16" s="399">
        <f>P16-Q16</f>
        <v>5</v>
      </c>
      <c r="S16" s="400">
        <f>SUMIF($D$8:$D$55,$O16,$K$8:$K$55)+SUMIF($F$8:$F$55,$O16,$L$8:$L$55)</f>
        <v>9</v>
      </c>
      <c r="T16" s="445" t="s">
        <v>52</v>
      </c>
      <c r="U16" s="392"/>
      <c r="V16" s="392" t="str">
        <f>O16</f>
        <v>Nederland</v>
      </c>
      <c r="W16" s="392" t="s">
        <v>53</v>
      </c>
      <c r="Y16" s="109">
        <f t="shared" si="8"/>
        <v>10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10</v>
      </c>
      <c r="AG16" s="108">
        <f t="shared" si="3"/>
        <v>1</v>
      </c>
      <c r="AH16" s="108">
        <f t="shared" si="4"/>
        <v>1</v>
      </c>
      <c r="AI16" s="108">
        <f t="shared" si="10"/>
        <v>10</v>
      </c>
      <c r="AJ16" s="108">
        <f t="shared" si="5"/>
        <v>5</v>
      </c>
      <c r="AK16" s="108">
        <f t="shared" si="6"/>
        <v>0</v>
      </c>
      <c r="AL16" s="108">
        <f t="shared" si="7"/>
        <v>0</v>
      </c>
      <c r="AM16" s="120">
        <f>AO16</f>
        <v>10</v>
      </c>
      <c r="AN16" s="119" t="s">
        <v>14</v>
      </c>
      <c r="AO16" s="115">
        <f>IF(Uitslag!T16="",0,IF(T16=Uitslag!T16,10,0))</f>
        <v>10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3</v>
      </c>
      <c r="H17" s="373" t="s">
        <v>9</v>
      </c>
      <c r="I17" s="441">
        <v>0</v>
      </c>
      <c r="J17" s="375">
        <f t="shared" si="0"/>
        <v>1</v>
      </c>
      <c r="K17" s="363">
        <f t="shared" si="1"/>
        <v>3</v>
      </c>
      <c r="L17" s="363">
        <f t="shared" si="2"/>
        <v>0</v>
      </c>
      <c r="O17" s="398" t="s">
        <v>15</v>
      </c>
      <c r="P17" s="399">
        <f>SUMIF($D$8:$D$55,$O17,$G$8:$G$55)+SUMIF($F$8:$F$55,$O17,$I$8:$I$55)</f>
        <v>3</v>
      </c>
      <c r="Q17" s="399">
        <f>SUMIF($D$8:$D$55,$O17,$I$8:$I$55)+SUMIF($F$8:$F$55,$O17,$G$8:$G$55)</f>
        <v>5</v>
      </c>
      <c r="R17" s="399">
        <f>P17-Q17</f>
        <v>-2</v>
      </c>
      <c r="S17" s="400">
        <f>SUMIF($D$8:$D$55,$O17,$K$8:$K$55)+SUMIF($F$8:$F$55,$O17,$L$8:$L$55)</f>
        <v>3</v>
      </c>
      <c r="T17" s="445" t="s">
        <v>54</v>
      </c>
      <c r="U17" s="392"/>
      <c r="V17" s="392" t="str">
        <f>O17</f>
        <v>Chili</v>
      </c>
      <c r="W17" s="392" t="s">
        <v>54</v>
      </c>
      <c r="Y17" s="109">
        <f t="shared" si="8"/>
        <v>10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10</v>
      </c>
      <c r="AG17" s="108">
        <f t="shared" si="3"/>
        <v>1</v>
      </c>
      <c r="AH17" s="108">
        <f t="shared" si="4"/>
        <v>1</v>
      </c>
      <c r="AI17" s="108">
        <f t="shared" si="10"/>
        <v>10</v>
      </c>
      <c r="AJ17" s="108">
        <f t="shared" si="5"/>
        <v>5</v>
      </c>
      <c r="AK17" s="108">
        <f t="shared" si="6"/>
        <v>0</v>
      </c>
      <c r="AL17" s="108">
        <f t="shared" si="7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2</v>
      </c>
      <c r="H18" s="379" t="s">
        <v>9</v>
      </c>
      <c r="I18" s="442">
        <v>0</v>
      </c>
      <c r="J18" s="381">
        <f t="shared" si="0"/>
        <v>1</v>
      </c>
      <c r="K18" s="363">
        <f t="shared" si="1"/>
        <v>3</v>
      </c>
      <c r="L18" s="363">
        <f t="shared" si="2"/>
        <v>0</v>
      </c>
      <c r="O18" s="401" t="s">
        <v>16</v>
      </c>
      <c r="P18" s="402">
        <f>SUMIF($D$8:$D$55,$O18,$G$8:$G$55)+SUMIF($F$8:$F$55,$O18,$I$8:$I$55)</f>
        <v>1</v>
      </c>
      <c r="Q18" s="402">
        <f>SUMIF($D$8:$D$55,$O18,$I$8:$I$55)+SUMIF($F$8:$F$55,$O18,$G$8:$G$55)</f>
        <v>5</v>
      </c>
      <c r="R18" s="402">
        <f>P18-Q18</f>
        <v>-4</v>
      </c>
      <c r="S18" s="403">
        <f>SUMIF($D$8:$D$55,$O18,$K$8:$K$55)+SUMIF($F$8:$F$55,$O18,$L$8:$L$55)</f>
        <v>1</v>
      </c>
      <c r="T18" s="446" t="s">
        <v>55</v>
      </c>
      <c r="U18" s="392"/>
      <c r="V18" s="392" t="str">
        <f>O18</f>
        <v>Australië</v>
      </c>
      <c r="W18" s="392" t="s">
        <v>55</v>
      </c>
      <c r="Y18" s="109">
        <f t="shared" si="8"/>
        <v>6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6</v>
      </c>
      <c r="AG18" s="108">
        <f t="shared" si="3"/>
        <v>1</v>
      </c>
      <c r="AH18" s="108">
        <f t="shared" si="4"/>
        <v>0</v>
      </c>
      <c r="AI18" s="108">
        <f t="shared" si="10"/>
        <v>0</v>
      </c>
      <c r="AJ18" s="108">
        <f t="shared" si="5"/>
        <v>5</v>
      </c>
      <c r="AK18" s="108">
        <f t="shared" si="6"/>
        <v>0</v>
      </c>
      <c r="AL18" s="108">
        <f t="shared" si="7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0</v>
      </c>
      <c r="H19" s="367" t="s">
        <v>9</v>
      </c>
      <c r="I19" s="440">
        <v>0</v>
      </c>
      <c r="J19" s="369">
        <f t="shared" si="0"/>
        <v>3</v>
      </c>
      <c r="K19" s="363">
        <f t="shared" si="1"/>
        <v>1</v>
      </c>
      <c r="L19" s="363">
        <f t="shared" si="2"/>
        <v>1</v>
      </c>
      <c r="O19" s="392"/>
      <c r="P19" s="393"/>
      <c r="Q19" s="393"/>
      <c r="R19" s="393"/>
      <c r="S19" s="393"/>
      <c r="T19" s="393"/>
      <c r="U19" s="392"/>
      <c r="V19" s="392"/>
      <c r="W19" s="392"/>
      <c r="Y19" s="109">
        <f t="shared" si="8"/>
        <v>1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1</v>
      </c>
      <c r="AG19" s="108">
        <f t="shared" si="3"/>
        <v>0</v>
      </c>
      <c r="AH19" s="108">
        <f t="shared" si="4"/>
        <v>1</v>
      </c>
      <c r="AI19" s="108">
        <f t="shared" si="10"/>
        <v>0</v>
      </c>
      <c r="AJ19" s="108">
        <f t="shared" si="5"/>
        <v>0</v>
      </c>
      <c r="AK19" s="108">
        <f t="shared" si="6"/>
        <v>0</v>
      </c>
      <c r="AL19" s="108">
        <f t="shared" si="7"/>
        <v>0</v>
      </c>
      <c r="AN19" s="392"/>
      <c r="AO19" s="393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3</v>
      </c>
      <c r="H20" s="373" t="s">
        <v>9</v>
      </c>
      <c r="I20" s="441">
        <v>3</v>
      </c>
      <c r="J20" s="375">
        <f t="shared" si="0"/>
        <v>3</v>
      </c>
      <c r="K20" s="363">
        <f t="shared" si="1"/>
        <v>1</v>
      </c>
      <c r="L20" s="363">
        <f t="shared" si="2"/>
        <v>1</v>
      </c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392"/>
      <c r="V20" s="392"/>
      <c r="W20" s="392"/>
      <c r="Y20" s="109">
        <f t="shared" si="8"/>
        <v>5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5</v>
      </c>
      <c r="AG20" s="108">
        <f t="shared" si="3"/>
        <v>0</v>
      </c>
      <c r="AH20" s="108">
        <f t="shared" si="4"/>
        <v>0</v>
      </c>
      <c r="AI20" s="108">
        <f t="shared" si="10"/>
        <v>0</v>
      </c>
      <c r="AJ20" s="108">
        <f t="shared" si="5"/>
        <v>0</v>
      </c>
      <c r="AK20" s="108">
        <f t="shared" si="6"/>
        <v>0</v>
      </c>
      <c r="AL20" s="108">
        <f t="shared" si="7"/>
        <v>5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1</v>
      </c>
      <c r="H21" s="379" t="s">
        <v>9</v>
      </c>
      <c r="I21" s="442">
        <v>0</v>
      </c>
      <c r="J21" s="381">
        <f t="shared" si="0"/>
        <v>1</v>
      </c>
      <c r="K21" s="363">
        <f t="shared" si="1"/>
        <v>3</v>
      </c>
      <c r="L21" s="363">
        <f t="shared" si="2"/>
        <v>0</v>
      </c>
      <c r="O21" s="394" t="s">
        <v>17</v>
      </c>
      <c r="P21" s="395">
        <f>SUMIF($D$8:$D$55,$O21,$G$8:$G$55)+SUMIF($F$8:$F$55,$O21,$I$8:$I$55)</f>
        <v>4</v>
      </c>
      <c r="Q21" s="395">
        <f>SUMIF($D$8:$D$55,$O21,$I$8:$I$55)+SUMIF($F$8:$F$55,$O21,$G$8:$G$55)</f>
        <v>2</v>
      </c>
      <c r="R21" s="396">
        <f>P21-Q21</f>
        <v>2</v>
      </c>
      <c r="S21" s="397">
        <f>SUMIF($D$8:$D$55,$O21,$K$8:$K$55)+SUMIF($F$8:$F$55,$O21,$L$8:$L$55)</f>
        <v>6</v>
      </c>
      <c r="T21" s="444" t="s">
        <v>57</v>
      </c>
      <c r="U21" s="392"/>
      <c r="V21" s="392" t="str">
        <f>O21</f>
        <v>Colombia</v>
      </c>
      <c r="W21" s="392" t="s">
        <v>57</v>
      </c>
      <c r="Y21" s="109">
        <f t="shared" si="8"/>
        <v>1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1</v>
      </c>
      <c r="AG21" s="108">
        <f t="shared" si="3"/>
        <v>1</v>
      </c>
      <c r="AH21" s="108">
        <f t="shared" si="4"/>
        <v>0</v>
      </c>
      <c r="AI21" s="108">
        <f t="shared" si="10"/>
        <v>0</v>
      </c>
      <c r="AJ21" s="108">
        <f t="shared" si="5"/>
        <v>0</v>
      </c>
      <c r="AK21" s="108">
        <f t="shared" si="6"/>
        <v>0</v>
      </c>
      <c r="AL21" s="108">
        <f t="shared" si="7"/>
        <v>0</v>
      </c>
      <c r="AM21" s="120">
        <f>AO21</f>
        <v>10</v>
      </c>
      <c r="AN21" s="116" t="s">
        <v>17</v>
      </c>
      <c r="AO21" s="115">
        <f>IF(Uitslag!T21="",0,IF(T21=Uitslag!T21,10,0))</f>
        <v>10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2</v>
      </c>
      <c r="H22" s="367" t="s">
        <v>9</v>
      </c>
      <c r="I22" s="440">
        <v>0</v>
      </c>
      <c r="J22" s="369">
        <f t="shared" si="0"/>
        <v>1</v>
      </c>
      <c r="K22" s="363">
        <f t="shared" si="1"/>
        <v>3</v>
      </c>
      <c r="L22" s="363">
        <f t="shared" si="2"/>
        <v>0</v>
      </c>
      <c r="O22" s="398" t="s">
        <v>18</v>
      </c>
      <c r="P22" s="399">
        <f>SUMIF($D$8:$D$55,$O22,$G$8:$G$55)+SUMIF($F$8:$F$55,$O22,$I$8:$I$55)</f>
        <v>4</v>
      </c>
      <c r="Q22" s="399">
        <f>SUMIF($D$8:$D$55,$O22,$I$8:$I$55)+SUMIF($F$8:$F$55,$O22,$G$8:$G$55)</f>
        <v>2</v>
      </c>
      <c r="R22" s="399">
        <f>P22-Q22</f>
        <v>2</v>
      </c>
      <c r="S22" s="400">
        <f>SUMIF($D$8:$D$55,$O22,$K$8:$K$55)+SUMIF($F$8:$F$55,$O22,$L$8:$L$55)</f>
        <v>4</v>
      </c>
      <c r="T22" s="445" t="s">
        <v>59</v>
      </c>
      <c r="U22" s="392"/>
      <c r="V22" s="392" t="str">
        <f>O22</f>
        <v>Griekenland</v>
      </c>
      <c r="W22" s="392" t="s">
        <v>58</v>
      </c>
      <c r="Y22" s="109">
        <f t="shared" si="8"/>
        <v>6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6</v>
      </c>
      <c r="AG22" s="108">
        <f t="shared" si="3"/>
        <v>1</v>
      </c>
      <c r="AH22" s="108">
        <f t="shared" si="4"/>
        <v>0</v>
      </c>
      <c r="AI22" s="108">
        <f t="shared" si="10"/>
        <v>0</v>
      </c>
      <c r="AJ22" s="108">
        <f t="shared" si="5"/>
        <v>5</v>
      </c>
      <c r="AK22" s="108">
        <f t="shared" si="6"/>
        <v>0</v>
      </c>
      <c r="AL22" s="108">
        <f t="shared" si="7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2</v>
      </c>
      <c r="H23" s="373" t="s">
        <v>9</v>
      </c>
      <c r="I23" s="441">
        <v>1</v>
      </c>
      <c r="J23" s="375">
        <f t="shared" si="0"/>
        <v>1</v>
      </c>
      <c r="K23" s="363">
        <f t="shared" si="1"/>
        <v>3</v>
      </c>
      <c r="L23" s="363">
        <f t="shared" si="2"/>
        <v>0</v>
      </c>
      <c r="O23" s="398" t="s">
        <v>23</v>
      </c>
      <c r="P23" s="399">
        <f>SUMIF($D$8:$D$55,$O23,$G$8:$G$55)+SUMIF($F$8:$F$55,$O23,$I$8:$I$55)</f>
        <v>0</v>
      </c>
      <c r="Q23" s="399">
        <f>SUMIF($D$8:$D$55,$O23,$I$8:$I$55)+SUMIF($F$8:$F$55,$O23,$G$8:$G$55)</f>
        <v>5</v>
      </c>
      <c r="R23" s="399">
        <f>P23-Q23</f>
        <v>-5</v>
      </c>
      <c r="S23" s="400">
        <f>SUMIF($D$8:$D$55,$O23,$K$8:$K$55)+SUMIF($F$8:$F$55,$O23,$L$8:$L$55)</f>
        <v>1</v>
      </c>
      <c r="T23" s="445" t="s">
        <v>60</v>
      </c>
      <c r="U23" s="392"/>
      <c r="V23" s="392" t="str">
        <f>O23</f>
        <v>Ivoorkust</v>
      </c>
      <c r="W23" s="392" t="s">
        <v>59</v>
      </c>
      <c r="Y23" s="109">
        <f t="shared" si="8"/>
        <v>0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0</v>
      </c>
      <c r="AG23" s="108">
        <f t="shared" si="3"/>
        <v>0</v>
      </c>
      <c r="AH23" s="108">
        <f t="shared" si="4"/>
        <v>0</v>
      </c>
      <c r="AI23" s="108">
        <f t="shared" si="10"/>
        <v>0</v>
      </c>
      <c r="AJ23" s="108">
        <f t="shared" si="5"/>
        <v>0</v>
      </c>
      <c r="AK23" s="108">
        <f t="shared" si="6"/>
        <v>0</v>
      </c>
      <c r="AL23" s="108">
        <f t="shared" si="7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1</v>
      </c>
      <c r="H24" s="379" t="s">
        <v>9</v>
      </c>
      <c r="I24" s="442">
        <v>1</v>
      </c>
      <c r="J24" s="381">
        <f t="shared" si="0"/>
        <v>3</v>
      </c>
      <c r="K24" s="363">
        <f t="shared" si="1"/>
        <v>1</v>
      </c>
      <c r="L24" s="363">
        <f t="shared" si="2"/>
        <v>1</v>
      </c>
      <c r="O24" s="401" t="s">
        <v>24</v>
      </c>
      <c r="P24" s="402">
        <f>SUMIF($D$8:$D$55,$O24,$G$8:$G$55)+SUMIF($F$8:$F$55,$O24,$I$8:$I$55)</f>
        <v>3</v>
      </c>
      <c r="Q24" s="402">
        <f>SUMIF($D$8:$D$55,$O24,$I$8:$I$55)+SUMIF($F$8:$F$55,$O24,$G$8:$G$55)</f>
        <v>2</v>
      </c>
      <c r="R24" s="402">
        <f>P24-Q24</f>
        <v>1</v>
      </c>
      <c r="S24" s="403">
        <f>SUMIF($D$8:$D$55,$O24,$K$8:$K$55)+SUMIF($F$8:$F$55,$O24,$L$8:$L$55)</f>
        <v>5</v>
      </c>
      <c r="T24" s="446" t="s">
        <v>58</v>
      </c>
      <c r="U24" s="392"/>
      <c r="V24" s="392" t="str">
        <f>O24</f>
        <v>Japan</v>
      </c>
      <c r="W24" s="392" t="s">
        <v>60</v>
      </c>
      <c r="Y24" s="109">
        <f t="shared" si="8"/>
        <v>10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10</v>
      </c>
      <c r="AG24" s="108">
        <f t="shared" si="3"/>
        <v>1</v>
      </c>
      <c r="AH24" s="108">
        <f t="shared" si="4"/>
        <v>1</v>
      </c>
      <c r="AI24" s="108">
        <f t="shared" si="10"/>
        <v>10</v>
      </c>
      <c r="AJ24" s="108">
        <f t="shared" si="5"/>
        <v>0</v>
      </c>
      <c r="AK24" s="108">
        <f t="shared" si="6"/>
        <v>0</v>
      </c>
      <c r="AL24" s="108">
        <f t="shared" si="7"/>
        <v>5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0</v>
      </c>
      <c r="H25" s="367" t="s">
        <v>9</v>
      </c>
      <c r="I25" s="440">
        <v>2</v>
      </c>
      <c r="J25" s="369">
        <f t="shared" si="0"/>
        <v>2</v>
      </c>
      <c r="K25" s="363">
        <f t="shared" si="1"/>
        <v>0</v>
      </c>
      <c r="L25" s="363">
        <f t="shared" si="2"/>
        <v>3</v>
      </c>
      <c r="O25" s="392"/>
      <c r="P25" s="393"/>
      <c r="Q25" s="393"/>
      <c r="R25" s="393"/>
      <c r="S25" s="393"/>
      <c r="T25" s="393"/>
      <c r="U25" s="392"/>
      <c r="V25" s="392"/>
      <c r="W25" s="392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3"/>
        <v>0</v>
      </c>
      <c r="AH25" s="108">
        <f t="shared" si="4"/>
        <v>0</v>
      </c>
      <c r="AI25" s="108">
        <f t="shared" si="10"/>
        <v>0</v>
      </c>
      <c r="AJ25" s="108">
        <f t="shared" si="5"/>
        <v>0</v>
      </c>
      <c r="AK25" s="108">
        <f t="shared" si="6"/>
        <v>5</v>
      </c>
      <c r="AL25" s="108">
        <f t="shared" si="7"/>
        <v>0</v>
      </c>
      <c r="AN25" s="392"/>
      <c r="AO25" s="393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3</v>
      </c>
      <c r="H26" s="373" t="s">
        <v>9</v>
      </c>
      <c r="I26" s="441">
        <v>1</v>
      </c>
      <c r="J26" s="375">
        <f t="shared" si="0"/>
        <v>1</v>
      </c>
      <c r="K26" s="363">
        <f t="shared" si="1"/>
        <v>3</v>
      </c>
      <c r="L26" s="363">
        <f t="shared" si="2"/>
        <v>0</v>
      </c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392"/>
      <c r="V26" s="392"/>
      <c r="W26" s="392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3"/>
        <v>0</v>
      </c>
      <c r="AH26" s="108">
        <f t="shared" si="4"/>
        <v>0</v>
      </c>
      <c r="AI26" s="108">
        <f t="shared" si="10"/>
        <v>0</v>
      </c>
      <c r="AJ26" s="108">
        <f t="shared" si="5"/>
        <v>0</v>
      </c>
      <c r="AK26" s="108">
        <f t="shared" si="6"/>
        <v>0</v>
      </c>
      <c r="AL26" s="108">
        <f t="shared" si="7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0</v>
      </c>
      <c r="H27" s="379" t="s">
        <v>9</v>
      </c>
      <c r="I27" s="442">
        <v>3</v>
      </c>
      <c r="J27" s="381">
        <f t="shared" si="0"/>
        <v>2</v>
      </c>
      <c r="K27" s="363">
        <f t="shared" si="1"/>
        <v>0</v>
      </c>
      <c r="L27" s="363">
        <f t="shared" si="2"/>
        <v>3</v>
      </c>
      <c r="O27" s="394" t="s">
        <v>19</v>
      </c>
      <c r="P27" s="395">
        <f>SUMIF($D$8:$D$55,$O27,$G$8:$G$55)+SUMIF($F$8:$F$55,$O27,$I$8:$I$55)</f>
        <v>3</v>
      </c>
      <c r="Q27" s="395">
        <f>SUMIF($D$8:$D$55,$O27,$I$8:$I$55)+SUMIF($F$8:$F$55,$O27,$G$8:$G$55)</f>
        <v>5</v>
      </c>
      <c r="R27" s="396">
        <f>P27-Q27</f>
        <v>-2</v>
      </c>
      <c r="S27" s="397">
        <f>SUMIF($D$8:$D$55,$O27,$K$8:$K$55)+SUMIF($F$8:$F$55,$O27,$L$8:$L$55)</f>
        <v>4</v>
      </c>
      <c r="T27" s="444" t="s">
        <v>63</v>
      </c>
      <c r="U27" s="392"/>
      <c r="V27" s="392" t="str">
        <f>O27</f>
        <v>Uruguay</v>
      </c>
      <c r="W27" s="392" t="s">
        <v>62</v>
      </c>
      <c r="Y27" s="109">
        <f t="shared" si="8"/>
        <v>6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6</v>
      </c>
      <c r="AG27" s="108">
        <f t="shared" si="3"/>
        <v>1</v>
      </c>
      <c r="AH27" s="108">
        <f t="shared" si="4"/>
        <v>0</v>
      </c>
      <c r="AI27" s="108">
        <f t="shared" si="10"/>
        <v>0</v>
      </c>
      <c r="AJ27" s="108">
        <f t="shared" si="5"/>
        <v>0</v>
      </c>
      <c r="AK27" s="108">
        <f t="shared" si="6"/>
        <v>5</v>
      </c>
      <c r="AL27" s="108">
        <f t="shared" si="7"/>
        <v>0</v>
      </c>
      <c r="AM27" s="120">
        <f>AO27</f>
        <v>10</v>
      </c>
      <c r="AN27" s="116" t="s">
        <v>19</v>
      </c>
      <c r="AO27" s="115">
        <f>IF(Uitslag!T27="",0,IF(T27=Uitslag!T27,10,0))</f>
        <v>10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2</v>
      </c>
      <c r="H28" s="367" t="s">
        <v>9</v>
      </c>
      <c r="I28" s="440">
        <v>0</v>
      </c>
      <c r="J28" s="369">
        <f t="shared" si="0"/>
        <v>1</v>
      </c>
      <c r="K28" s="363">
        <f t="shared" si="1"/>
        <v>3</v>
      </c>
      <c r="L28" s="363">
        <f t="shared" si="2"/>
        <v>0</v>
      </c>
      <c r="O28" s="398" t="s">
        <v>20</v>
      </c>
      <c r="P28" s="399">
        <f>SUMIF($D$8:$D$55,$O28,$G$8:$G$55)+SUMIF($F$8:$F$55,$O28,$I$8:$I$55)</f>
        <v>2</v>
      </c>
      <c r="Q28" s="399">
        <f>SUMIF($D$8:$D$55,$O28,$I$8:$I$55)+SUMIF($F$8:$F$55,$O28,$G$8:$G$55)</f>
        <v>8</v>
      </c>
      <c r="R28" s="399">
        <f>P28-Q28</f>
        <v>-6</v>
      </c>
      <c r="S28" s="400">
        <f>SUMIF($D$8:$D$55,$O28,$K$8:$K$55)+SUMIF($F$8:$F$55,$O28,$L$8:$L$55)</f>
        <v>1</v>
      </c>
      <c r="T28" s="445" t="s">
        <v>65</v>
      </c>
      <c r="U28" s="392"/>
      <c r="V28" s="392" t="str">
        <f>O28</f>
        <v>Costa Rica</v>
      </c>
      <c r="W28" s="392" t="s">
        <v>63</v>
      </c>
      <c r="Y28" s="109">
        <f t="shared" si="8"/>
        <v>6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6</v>
      </c>
      <c r="AG28" s="108">
        <f t="shared" si="3"/>
        <v>1</v>
      </c>
      <c r="AH28" s="108">
        <f t="shared" si="4"/>
        <v>0</v>
      </c>
      <c r="AI28" s="108">
        <f t="shared" si="10"/>
        <v>0</v>
      </c>
      <c r="AJ28" s="108">
        <f t="shared" si="5"/>
        <v>5</v>
      </c>
      <c r="AK28" s="108">
        <f t="shared" si="6"/>
        <v>0</v>
      </c>
      <c r="AL28" s="108">
        <f t="shared" si="7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1</v>
      </c>
      <c r="H29" s="373" t="s">
        <v>9</v>
      </c>
      <c r="I29" s="441">
        <v>0</v>
      </c>
      <c r="J29" s="375">
        <f t="shared" si="0"/>
        <v>1</v>
      </c>
      <c r="K29" s="363">
        <f t="shared" si="1"/>
        <v>3</v>
      </c>
      <c r="L29" s="363">
        <f t="shared" si="2"/>
        <v>0</v>
      </c>
      <c r="O29" s="398" t="s">
        <v>21</v>
      </c>
      <c r="P29" s="399">
        <f>SUMIF($D$8:$D$55,$O29,$G$8:$G$55)+SUMIF($F$8:$F$55,$O29,$I$8:$I$55)</f>
        <v>4</v>
      </c>
      <c r="Q29" s="399">
        <f>SUMIF($D$8:$D$55,$O29,$I$8:$I$55)+SUMIF($F$8:$F$55,$O29,$G$8:$G$55)</f>
        <v>2</v>
      </c>
      <c r="R29" s="399">
        <f>P29-Q29</f>
        <v>2</v>
      </c>
      <c r="S29" s="400">
        <f>SUMIF($D$8:$D$55,$O29,$K$8:$K$55)+SUMIF($F$8:$F$55,$O29,$L$8:$L$55)</f>
        <v>4</v>
      </c>
      <c r="T29" s="445" t="s">
        <v>64</v>
      </c>
      <c r="U29" s="392"/>
      <c r="V29" s="392" t="str">
        <f>O29</f>
        <v>Engeland</v>
      </c>
      <c r="W29" s="392" t="s">
        <v>64</v>
      </c>
      <c r="Y29" s="109">
        <f t="shared" si="8"/>
        <v>5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5</v>
      </c>
      <c r="AG29" s="108">
        <f t="shared" si="3"/>
        <v>0</v>
      </c>
      <c r="AH29" s="108">
        <f t="shared" si="4"/>
        <v>0</v>
      </c>
      <c r="AI29" s="108">
        <f t="shared" si="10"/>
        <v>0</v>
      </c>
      <c r="AJ29" s="108">
        <f t="shared" si="5"/>
        <v>5</v>
      </c>
      <c r="AK29" s="108">
        <f t="shared" si="6"/>
        <v>0</v>
      </c>
      <c r="AL29" s="108">
        <f t="shared" si="7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1</v>
      </c>
      <c r="H30" s="379" t="s">
        <v>9</v>
      </c>
      <c r="I30" s="442">
        <v>1</v>
      </c>
      <c r="J30" s="381">
        <f t="shared" si="0"/>
        <v>3</v>
      </c>
      <c r="K30" s="363">
        <f t="shared" si="1"/>
        <v>1</v>
      </c>
      <c r="L30" s="363">
        <f t="shared" si="2"/>
        <v>1</v>
      </c>
      <c r="O30" s="401" t="s">
        <v>22</v>
      </c>
      <c r="P30" s="402">
        <f>SUMIF($D$8:$D$55,$O30,$G$8:$G$55)+SUMIF($F$8:$F$55,$O30,$I$8:$I$55)</f>
        <v>7</v>
      </c>
      <c r="Q30" s="402">
        <f>SUMIF($D$8:$D$55,$O30,$I$8:$I$55)+SUMIF($F$8:$F$55,$O30,$G$8:$G$55)</f>
        <v>1</v>
      </c>
      <c r="R30" s="402">
        <f>P30-Q30</f>
        <v>6</v>
      </c>
      <c r="S30" s="403">
        <f>SUMIF($D$8:$D$55,$O30,$K$8:$K$55)+SUMIF($F$8:$F$55,$O30,$L$8:$L$55)</f>
        <v>7</v>
      </c>
      <c r="T30" s="446" t="s">
        <v>62</v>
      </c>
      <c r="U30" s="392"/>
      <c r="V30" s="392" t="str">
        <f>O30</f>
        <v>Italië</v>
      </c>
      <c r="W30" s="392" t="s">
        <v>65</v>
      </c>
      <c r="Y30" s="109">
        <f t="shared" si="8"/>
        <v>5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5</v>
      </c>
      <c r="AG30" s="108">
        <f t="shared" si="3"/>
        <v>0</v>
      </c>
      <c r="AH30" s="108">
        <f t="shared" si="4"/>
        <v>0</v>
      </c>
      <c r="AI30" s="108">
        <f t="shared" si="10"/>
        <v>0</v>
      </c>
      <c r="AJ30" s="108">
        <f t="shared" si="5"/>
        <v>0</v>
      </c>
      <c r="AK30" s="108">
        <f t="shared" si="6"/>
        <v>0</v>
      </c>
      <c r="AL30" s="108">
        <f t="shared" si="7"/>
        <v>5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3</v>
      </c>
      <c r="H31" s="367" t="s">
        <v>9</v>
      </c>
      <c r="I31" s="440">
        <v>0</v>
      </c>
      <c r="J31" s="369">
        <f t="shared" si="0"/>
        <v>1</v>
      </c>
      <c r="K31" s="363">
        <f t="shared" si="1"/>
        <v>3</v>
      </c>
      <c r="L31" s="363">
        <f t="shared" si="2"/>
        <v>0</v>
      </c>
      <c r="O31" s="392"/>
      <c r="P31" s="393"/>
      <c r="Q31" s="393"/>
      <c r="R31" s="393"/>
      <c r="S31" s="393"/>
      <c r="T31" s="393"/>
      <c r="U31" s="392"/>
      <c r="V31" s="392"/>
      <c r="W31" s="392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3"/>
        <v>0</v>
      </c>
      <c r="AH31" s="108">
        <f t="shared" si="4"/>
        <v>0</v>
      </c>
      <c r="AI31" s="108">
        <f t="shared" si="10"/>
        <v>0</v>
      </c>
      <c r="AJ31" s="108">
        <f t="shared" si="5"/>
        <v>0</v>
      </c>
      <c r="AK31" s="108">
        <f t="shared" si="6"/>
        <v>0</v>
      </c>
      <c r="AL31" s="108">
        <f t="shared" si="7"/>
        <v>0</v>
      </c>
      <c r="AN31" s="392"/>
      <c r="AO31" s="393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0</v>
      </c>
      <c r="H32" s="373" t="s">
        <v>9</v>
      </c>
      <c r="I32" s="441">
        <v>2</v>
      </c>
      <c r="J32" s="375">
        <f t="shared" si="0"/>
        <v>2</v>
      </c>
      <c r="K32" s="363">
        <f t="shared" si="1"/>
        <v>0</v>
      </c>
      <c r="L32" s="363">
        <f t="shared" si="2"/>
        <v>3</v>
      </c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392"/>
      <c r="V32" s="392"/>
      <c r="W32" s="392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3"/>
        <v>0</v>
      </c>
      <c r="AH32" s="108">
        <f t="shared" si="4"/>
        <v>0</v>
      </c>
      <c r="AI32" s="108">
        <f t="shared" si="10"/>
        <v>0</v>
      </c>
      <c r="AJ32" s="108">
        <f t="shared" si="5"/>
        <v>0</v>
      </c>
      <c r="AK32" s="108">
        <f t="shared" si="6"/>
        <v>5</v>
      </c>
      <c r="AL32" s="108">
        <f t="shared" si="7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2</v>
      </c>
      <c r="H33" s="379" t="s">
        <v>9</v>
      </c>
      <c r="I33" s="442">
        <v>2</v>
      </c>
      <c r="J33" s="381">
        <f t="shared" si="0"/>
        <v>3</v>
      </c>
      <c r="K33" s="363">
        <f t="shared" si="1"/>
        <v>1</v>
      </c>
      <c r="L33" s="363">
        <f t="shared" si="2"/>
        <v>1</v>
      </c>
      <c r="O33" s="394" t="s">
        <v>25</v>
      </c>
      <c r="P33" s="395">
        <f>SUMIF($D$8:$D$55,$O33,$G$8:$G$55)+SUMIF($F$8:$F$55,$O33,$I$8:$I$55)</f>
        <v>5</v>
      </c>
      <c r="Q33" s="395">
        <f>SUMIF($D$8:$D$55,$O33,$I$8:$I$55)+SUMIF($F$8:$F$55,$O33,$G$8:$G$55)</f>
        <v>3</v>
      </c>
      <c r="R33" s="396">
        <f>P33-Q33</f>
        <v>2</v>
      </c>
      <c r="S33" s="397">
        <f>SUMIF($D$8:$D$55,$O33,$K$8:$K$55)+SUMIF($F$8:$F$55,$O33,$L$8:$L$55)</f>
        <v>6</v>
      </c>
      <c r="T33" s="444" t="s">
        <v>68</v>
      </c>
      <c r="U33" s="392"/>
      <c r="V33" s="392" t="str">
        <f>O33</f>
        <v>Zwitserland</v>
      </c>
      <c r="W33" s="392" t="s">
        <v>67</v>
      </c>
      <c r="Y33" s="109">
        <f t="shared" si="8"/>
        <v>1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1</v>
      </c>
      <c r="AG33" s="108">
        <f t="shared" si="3"/>
        <v>0</v>
      </c>
      <c r="AH33" s="108">
        <f t="shared" si="4"/>
        <v>1</v>
      </c>
      <c r="AI33" s="108">
        <f t="shared" si="10"/>
        <v>0</v>
      </c>
      <c r="AJ33" s="108">
        <f t="shared" si="5"/>
        <v>0</v>
      </c>
      <c r="AK33" s="108">
        <f t="shared" si="6"/>
        <v>0</v>
      </c>
      <c r="AL33" s="108">
        <f t="shared" si="7"/>
        <v>0</v>
      </c>
      <c r="AM33" s="120">
        <f>AO33</f>
        <v>10</v>
      </c>
      <c r="AN33" s="116" t="s">
        <v>25</v>
      </c>
      <c r="AO33" s="115">
        <f>IF(Uitslag!T33="",0,IF(T33=Uitslag!T33,10,0))</f>
        <v>10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3</v>
      </c>
      <c r="H34" s="367" t="s">
        <v>9</v>
      </c>
      <c r="I34" s="440">
        <v>0</v>
      </c>
      <c r="J34" s="369">
        <f t="shared" si="0"/>
        <v>1</v>
      </c>
      <c r="K34" s="363">
        <f t="shared" si="1"/>
        <v>3</v>
      </c>
      <c r="L34" s="363">
        <f t="shared" si="2"/>
        <v>0</v>
      </c>
      <c r="O34" s="398" t="s">
        <v>26</v>
      </c>
      <c r="P34" s="399">
        <f>SUMIF($D$8:$D$55,$O34,$G$8:$G$55)+SUMIF($F$8:$F$55,$O34,$I$8:$I$55)</f>
        <v>3</v>
      </c>
      <c r="Q34" s="399">
        <f>SUMIF($D$8:$D$55,$O34,$I$8:$I$55)+SUMIF($F$8:$F$55,$O34,$G$8:$G$55)</f>
        <v>8</v>
      </c>
      <c r="R34" s="399">
        <f>P34-Q34</f>
        <v>-5</v>
      </c>
      <c r="S34" s="400">
        <f>SUMIF($D$8:$D$55,$O34,$K$8:$K$55)+SUMIF($F$8:$F$55,$O34,$L$8:$L$55)</f>
        <v>1</v>
      </c>
      <c r="T34" s="445" t="s">
        <v>69</v>
      </c>
      <c r="U34" s="392"/>
      <c r="V34" s="392" t="str">
        <f>O34</f>
        <v>Ecuador</v>
      </c>
      <c r="W34" s="392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3"/>
        <v>0</v>
      </c>
      <c r="AH34" s="108">
        <f t="shared" si="4"/>
        <v>1</v>
      </c>
      <c r="AI34" s="108">
        <f t="shared" si="10"/>
        <v>0</v>
      </c>
      <c r="AJ34" s="108">
        <f t="shared" si="5"/>
        <v>5</v>
      </c>
      <c r="AK34" s="108">
        <f t="shared" si="6"/>
        <v>0</v>
      </c>
      <c r="AL34" s="108">
        <f t="shared" si="7"/>
        <v>0</v>
      </c>
      <c r="AM34" s="120">
        <f>AO34</f>
        <v>10</v>
      </c>
      <c r="AN34" s="117" t="s">
        <v>26</v>
      </c>
      <c r="AO34" s="115">
        <f>IF(Uitslag!T34="",0,IF(T34=Uitslag!T34,10,0))</f>
        <v>10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1</v>
      </c>
      <c r="H35" s="373" t="s">
        <v>9</v>
      </c>
      <c r="I35" s="441">
        <v>1</v>
      </c>
      <c r="J35" s="375">
        <f t="shared" si="0"/>
        <v>3</v>
      </c>
      <c r="K35" s="363">
        <f t="shared" si="1"/>
        <v>1</v>
      </c>
      <c r="L35" s="363">
        <f t="shared" si="2"/>
        <v>1</v>
      </c>
      <c r="O35" s="398" t="s">
        <v>27</v>
      </c>
      <c r="P35" s="399">
        <f>SUMIF($D$8:$D$55,$O35,$G$8:$G$55)+SUMIF($F$8:$F$55,$O35,$I$8:$I$55)</f>
        <v>9</v>
      </c>
      <c r="Q35" s="399">
        <f>SUMIF($D$8:$D$55,$O35,$I$8:$I$55)+SUMIF($F$8:$F$55,$O35,$G$8:$G$55)</f>
        <v>0</v>
      </c>
      <c r="R35" s="399">
        <f>P35-Q35</f>
        <v>9</v>
      </c>
      <c r="S35" s="400">
        <f>SUMIF($D$8:$D$55,$O35,$K$8:$K$55)+SUMIF($F$8:$F$55,$O35,$L$8:$L$55)</f>
        <v>9</v>
      </c>
      <c r="T35" s="445" t="s">
        <v>67</v>
      </c>
      <c r="U35" s="392"/>
      <c r="V35" s="392" t="str">
        <f>O35</f>
        <v>Frankrijk</v>
      </c>
      <c r="W35" s="392" t="s">
        <v>69</v>
      </c>
      <c r="Y35" s="109">
        <f t="shared" si="8"/>
        <v>5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5</v>
      </c>
      <c r="AG35" s="108">
        <f t="shared" si="3"/>
        <v>0</v>
      </c>
      <c r="AH35" s="108">
        <f t="shared" si="4"/>
        <v>0</v>
      </c>
      <c r="AI35" s="108">
        <f t="shared" si="10"/>
        <v>0</v>
      </c>
      <c r="AJ35" s="108">
        <f t="shared" si="5"/>
        <v>0</v>
      </c>
      <c r="AK35" s="108">
        <f t="shared" si="6"/>
        <v>0</v>
      </c>
      <c r="AL35" s="108">
        <f t="shared" si="7"/>
        <v>5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0</v>
      </c>
      <c r="H36" s="379" t="s">
        <v>9</v>
      </c>
      <c r="I36" s="442">
        <v>0</v>
      </c>
      <c r="J36" s="381">
        <f t="shared" si="0"/>
        <v>3</v>
      </c>
      <c r="K36" s="363">
        <f t="shared" si="1"/>
        <v>1</v>
      </c>
      <c r="L36" s="363">
        <f t="shared" si="2"/>
        <v>1</v>
      </c>
      <c r="O36" s="401" t="s">
        <v>28</v>
      </c>
      <c r="P36" s="402">
        <f>SUMIF($D$8:$D$55,$O36,$G$8:$G$55)+SUMIF($F$8:$F$55,$O36,$I$8:$I$55)</f>
        <v>2</v>
      </c>
      <c r="Q36" s="402">
        <f>SUMIF($D$8:$D$55,$O36,$I$8:$I$55)+SUMIF($F$8:$F$55,$O36,$G$8:$G$55)</f>
        <v>8</v>
      </c>
      <c r="R36" s="402">
        <f>P36-Q36</f>
        <v>-6</v>
      </c>
      <c r="S36" s="403">
        <f>SUMIF($D$8:$D$55,$O36,$K$8:$K$55)+SUMIF($F$8:$F$55,$O36,$L$8:$L$55)</f>
        <v>1</v>
      </c>
      <c r="T36" s="446" t="s">
        <v>70</v>
      </c>
      <c r="U36" s="392"/>
      <c r="V36" s="392" t="str">
        <f>O36</f>
        <v>Honduras</v>
      </c>
      <c r="W36" s="392" t="s">
        <v>70</v>
      </c>
      <c r="Y36" s="109">
        <f t="shared" si="8"/>
        <v>1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1</v>
      </c>
      <c r="AG36" s="108">
        <f t="shared" si="3"/>
        <v>0</v>
      </c>
      <c r="AH36" s="108">
        <f t="shared" si="4"/>
        <v>1</v>
      </c>
      <c r="AI36" s="108">
        <f t="shared" si="10"/>
        <v>0</v>
      </c>
      <c r="AJ36" s="108">
        <f t="shared" si="5"/>
        <v>0</v>
      </c>
      <c r="AK36" s="108">
        <f t="shared" si="6"/>
        <v>0</v>
      </c>
      <c r="AL36" s="108">
        <f t="shared" si="7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1</v>
      </c>
      <c r="H37" s="367" t="s">
        <v>9</v>
      </c>
      <c r="I37" s="440">
        <v>0</v>
      </c>
      <c r="J37" s="369">
        <f t="shared" si="0"/>
        <v>1</v>
      </c>
      <c r="K37" s="363">
        <f t="shared" si="1"/>
        <v>3</v>
      </c>
      <c r="L37" s="363">
        <f t="shared" si="2"/>
        <v>0</v>
      </c>
      <c r="O37" s="392"/>
      <c r="P37" s="393"/>
      <c r="Q37" s="393"/>
      <c r="R37" s="393"/>
      <c r="S37" s="393"/>
      <c r="T37" s="393"/>
      <c r="U37" s="392"/>
      <c r="V37" s="392"/>
      <c r="W37" s="392"/>
      <c r="Y37" s="109">
        <f t="shared" si="8"/>
        <v>10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10</v>
      </c>
      <c r="AG37" s="108">
        <f t="shared" si="3"/>
        <v>1</v>
      </c>
      <c r="AH37" s="108">
        <f t="shared" si="4"/>
        <v>1</v>
      </c>
      <c r="AI37" s="108">
        <f t="shared" si="10"/>
        <v>10</v>
      </c>
      <c r="AJ37" s="108">
        <f t="shared" si="5"/>
        <v>5</v>
      </c>
      <c r="AK37" s="108">
        <f t="shared" si="6"/>
        <v>0</v>
      </c>
      <c r="AL37" s="108">
        <f t="shared" si="7"/>
        <v>0</v>
      </c>
      <c r="AN37" s="392"/>
      <c r="AO37" s="393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2</v>
      </c>
      <c r="H38" s="373" t="s">
        <v>9</v>
      </c>
      <c r="I38" s="441">
        <v>0</v>
      </c>
      <c r="J38" s="375">
        <f t="shared" si="0"/>
        <v>1</v>
      </c>
      <c r="K38" s="363">
        <f t="shared" si="1"/>
        <v>3</v>
      </c>
      <c r="L38" s="363">
        <f t="shared" si="2"/>
        <v>0</v>
      </c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392"/>
      <c r="V38" s="392"/>
      <c r="W38" s="392"/>
      <c r="Y38" s="109">
        <f t="shared" si="8"/>
        <v>1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1</v>
      </c>
      <c r="AG38" s="108">
        <f t="shared" si="3"/>
        <v>1</v>
      </c>
      <c r="AH38" s="108">
        <f t="shared" si="4"/>
        <v>0</v>
      </c>
      <c r="AI38" s="108">
        <f t="shared" si="10"/>
        <v>0</v>
      </c>
      <c r="AJ38" s="108">
        <f t="shared" si="5"/>
        <v>0</v>
      </c>
      <c r="AK38" s="108">
        <f t="shared" si="6"/>
        <v>0</v>
      </c>
      <c r="AL38" s="108">
        <f t="shared" si="7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0</v>
      </c>
      <c r="H39" s="379" t="s">
        <v>9</v>
      </c>
      <c r="I39" s="442">
        <v>2</v>
      </c>
      <c r="J39" s="381">
        <f t="shared" si="0"/>
        <v>2</v>
      </c>
      <c r="K39" s="363">
        <f t="shared" si="1"/>
        <v>0</v>
      </c>
      <c r="L39" s="363">
        <f t="shared" si="2"/>
        <v>3</v>
      </c>
      <c r="O39" s="394" t="s">
        <v>29</v>
      </c>
      <c r="P39" s="395">
        <f>SUMIF($D$8:$D$55,$O39,$G$8:$G$55)+SUMIF($F$8:$F$55,$O39,$I$8:$I$55)</f>
        <v>7</v>
      </c>
      <c r="Q39" s="395">
        <f>SUMIF($D$8:$D$55,$O39,$I$8:$I$55)+SUMIF($F$8:$F$55,$O39,$G$8:$G$55)</f>
        <v>0</v>
      </c>
      <c r="R39" s="396">
        <f>P39-Q39</f>
        <v>7</v>
      </c>
      <c r="S39" s="397">
        <f>SUMIF($D$8:$D$55,$O39,$K$8:$K$55)+SUMIF($F$8:$F$55,$O39,$L$8:$L$55)</f>
        <v>9</v>
      </c>
      <c r="T39" s="444" t="s">
        <v>72</v>
      </c>
      <c r="U39" s="392"/>
      <c r="V39" s="392" t="str">
        <f>O39</f>
        <v>Argentinië</v>
      </c>
      <c r="W39" s="392" t="s">
        <v>72</v>
      </c>
      <c r="Y39" s="109">
        <f t="shared" si="8"/>
        <v>1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1</v>
      </c>
      <c r="AG39" s="108">
        <f t="shared" si="3"/>
        <v>0</v>
      </c>
      <c r="AH39" s="108">
        <f t="shared" si="4"/>
        <v>1</v>
      </c>
      <c r="AI39" s="108">
        <f t="shared" si="10"/>
        <v>0</v>
      </c>
      <c r="AJ39" s="108">
        <f t="shared" si="5"/>
        <v>0</v>
      </c>
      <c r="AK39" s="108">
        <f t="shared" si="6"/>
        <v>0</v>
      </c>
      <c r="AL39" s="108">
        <f t="shared" si="7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1</v>
      </c>
      <c r="H40" s="367" t="s">
        <v>9</v>
      </c>
      <c r="I40" s="440">
        <v>1</v>
      </c>
      <c r="J40" s="369">
        <f t="shared" si="0"/>
        <v>3</v>
      </c>
      <c r="K40" s="363">
        <f t="shared" si="1"/>
        <v>1</v>
      </c>
      <c r="L40" s="363">
        <f t="shared" si="2"/>
        <v>1</v>
      </c>
      <c r="O40" s="398" t="s">
        <v>30</v>
      </c>
      <c r="P40" s="399">
        <f>SUMIF($D$8:$D$55,$O40,$G$8:$G$55)+SUMIF($F$8:$F$55,$O40,$I$8:$I$55)</f>
        <v>2</v>
      </c>
      <c r="Q40" s="399">
        <f>SUMIF($D$8:$D$55,$O40,$I$8:$I$55)+SUMIF($F$8:$F$55,$O40,$G$8:$G$55)</f>
        <v>4</v>
      </c>
      <c r="R40" s="399">
        <f>P40-Q40</f>
        <v>-2</v>
      </c>
      <c r="S40" s="400">
        <f>SUMIF($D$8:$D$55,$O40,$K$8:$K$55)+SUMIF($F$8:$F$55,$O40,$L$8:$L$55)</f>
        <v>2</v>
      </c>
      <c r="T40" s="445" t="s">
        <v>73</v>
      </c>
      <c r="U40" s="392"/>
      <c r="V40" s="392" t="str">
        <f>O40</f>
        <v>Bosnië H.</v>
      </c>
      <c r="W40" s="392" t="s">
        <v>73</v>
      </c>
      <c r="Y40" s="109">
        <f t="shared" si="8"/>
        <v>0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0</v>
      </c>
      <c r="AG40" s="108">
        <f t="shared" si="3"/>
        <v>0</v>
      </c>
      <c r="AH40" s="108">
        <f t="shared" si="4"/>
        <v>0</v>
      </c>
      <c r="AI40" s="108">
        <f t="shared" si="10"/>
        <v>0</v>
      </c>
      <c r="AJ40" s="108">
        <f t="shared" si="5"/>
        <v>0</v>
      </c>
      <c r="AK40" s="108">
        <f t="shared" si="6"/>
        <v>0</v>
      </c>
      <c r="AL40" s="108">
        <f t="shared" si="7"/>
        <v>0</v>
      </c>
      <c r="AM40" s="120">
        <f>AO40</f>
        <v>0</v>
      </c>
      <c r="AN40" s="117" t="s">
        <v>30</v>
      </c>
      <c r="AO40" s="115">
        <f>IF(Uitslag!T40="",0,IF(T40=Uitslag!T40,10,0))</f>
        <v>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2</v>
      </c>
      <c r="H41" s="373" t="s">
        <v>9</v>
      </c>
      <c r="I41" s="441">
        <v>0</v>
      </c>
      <c r="J41" s="375">
        <f t="shared" si="0"/>
        <v>1</v>
      </c>
      <c r="K41" s="363">
        <f t="shared" si="1"/>
        <v>3</v>
      </c>
      <c r="L41" s="363">
        <f t="shared" si="2"/>
        <v>0</v>
      </c>
      <c r="O41" s="398" t="s">
        <v>33</v>
      </c>
      <c r="P41" s="399">
        <f>SUMIF($D$8:$D$55,$O41,$G$8:$G$55)+SUMIF($F$8:$F$55,$O41,$I$8:$I$55)</f>
        <v>5</v>
      </c>
      <c r="Q41" s="399">
        <f>SUMIF($D$8:$D$55,$O41,$I$8:$I$55)+SUMIF($F$8:$F$55,$O41,$G$8:$G$55)</f>
        <v>8</v>
      </c>
      <c r="R41" s="399">
        <f>P41-Q41</f>
        <v>-3</v>
      </c>
      <c r="S41" s="400">
        <f>SUMIF($D$8:$D$55,$O41,$K$8:$K$55)+SUMIF($F$8:$F$55,$O41,$L$8:$L$55)</f>
        <v>2</v>
      </c>
      <c r="T41" s="445" t="s">
        <v>75</v>
      </c>
      <c r="U41" s="392"/>
      <c r="V41" s="392" t="str">
        <f>O41</f>
        <v>Iran</v>
      </c>
      <c r="W41" s="392" t="s">
        <v>74</v>
      </c>
      <c r="Y41" s="109">
        <f t="shared" si="8"/>
        <v>10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10</v>
      </c>
      <c r="AG41" s="108">
        <f t="shared" si="3"/>
        <v>1</v>
      </c>
      <c r="AH41" s="108">
        <f t="shared" si="4"/>
        <v>1</v>
      </c>
      <c r="AI41" s="108">
        <f t="shared" si="10"/>
        <v>10</v>
      </c>
      <c r="AJ41" s="108">
        <f t="shared" si="5"/>
        <v>5</v>
      </c>
      <c r="AK41" s="108">
        <f t="shared" si="6"/>
        <v>0</v>
      </c>
      <c r="AL41" s="108">
        <f t="shared" si="7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0</v>
      </c>
      <c r="H42" s="373" t="s">
        <v>9</v>
      </c>
      <c r="I42" s="441">
        <v>3</v>
      </c>
      <c r="J42" s="375">
        <f t="shared" si="0"/>
        <v>2</v>
      </c>
      <c r="K42" s="363">
        <f t="shared" si="1"/>
        <v>0</v>
      </c>
      <c r="L42" s="363">
        <f t="shared" si="2"/>
        <v>3</v>
      </c>
      <c r="O42" s="401" t="s">
        <v>34</v>
      </c>
      <c r="P42" s="402">
        <f>SUMIF($D$8:$D$55,$O42,$G$8:$G$55)+SUMIF($F$8:$F$55,$O42,$I$8:$I$55)</f>
        <v>3</v>
      </c>
      <c r="Q42" s="402">
        <f>SUMIF($D$8:$D$55,$O42,$I$8:$I$55)+SUMIF($F$8:$F$55,$O42,$G$8:$G$55)</f>
        <v>5</v>
      </c>
      <c r="R42" s="402">
        <f>P42-Q42</f>
        <v>-2</v>
      </c>
      <c r="S42" s="403">
        <f>SUMIF($D$8:$D$55,$O42,$K$8:$K$55)+SUMIF($F$8:$F$55,$O42,$L$8:$L$55)</f>
        <v>2</v>
      </c>
      <c r="T42" s="446" t="s">
        <v>74</v>
      </c>
      <c r="U42" s="392"/>
      <c r="V42" s="392" t="str">
        <f>O42</f>
        <v>Nigeria</v>
      </c>
      <c r="W42" s="392" t="s">
        <v>75</v>
      </c>
      <c r="Y42" s="109">
        <f t="shared" si="8"/>
        <v>5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5</v>
      </c>
      <c r="AG42" s="108">
        <f t="shared" si="3"/>
        <v>0</v>
      </c>
      <c r="AH42" s="108">
        <f t="shared" si="4"/>
        <v>0</v>
      </c>
      <c r="AI42" s="108">
        <f t="shared" si="10"/>
        <v>0</v>
      </c>
      <c r="AJ42" s="108">
        <f t="shared" si="5"/>
        <v>0</v>
      </c>
      <c r="AK42" s="108">
        <f t="shared" si="6"/>
        <v>5</v>
      </c>
      <c r="AL42" s="108">
        <f t="shared" si="7"/>
        <v>0</v>
      </c>
      <c r="AM42" s="120">
        <f>AO42</f>
        <v>0</v>
      </c>
      <c r="AN42" s="118" t="s">
        <v>34</v>
      </c>
      <c r="AO42" s="115">
        <f>IF(Uitslag!T42="",0,IF(T42=Uitslag!T42,10,0))</f>
        <v>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0</v>
      </c>
      <c r="H43" s="379" t="s">
        <v>9</v>
      </c>
      <c r="I43" s="442">
        <v>0</v>
      </c>
      <c r="J43" s="381">
        <f t="shared" si="0"/>
        <v>3</v>
      </c>
      <c r="K43" s="363">
        <f t="shared" si="1"/>
        <v>1</v>
      </c>
      <c r="L43" s="363">
        <f t="shared" si="2"/>
        <v>1</v>
      </c>
      <c r="O43" s="392"/>
      <c r="P43" s="393"/>
      <c r="Q43" s="393"/>
      <c r="R43" s="393"/>
      <c r="S43" s="393"/>
      <c r="T43" s="393"/>
      <c r="U43" s="392"/>
      <c r="V43" s="392"/>
      <c r="W43" s="392"/>
      <c r="Y43" s="109">
        <f t="shared" si="8"/>
        <v>0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0</v>
      </c>
      <c r="AG43" s="108">
        <f t="shared" si="3"/>
        <v>0</v>
      </c>
      <c r="AH43" s="108">
        <f t="shared" si="4"/>
        <v>0</v>
      </c>
      <c r="AI43" s="108">
        <f t="shared" si="10"/>
        <v>0</v>
      </c>
      <c r="AJ43" s="108">
        <f t="shared" si="5"/>
        <v>0</v>
      </c>
      <c r="AK43" s="108">
        <f t="shared" si="6"/>
        <v>0</v>
      </c>
      <c r="AL43" s="108">
        <f t="shared" si="7"/>
        <v>0</v>
      </c>
      <c r="AN43" s="392"/>
      <c r="AO43" s="393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3</v>
      </c>
      <c r="H44" s="367" t="s">
        <v>9</v>
      </c>
      <c r="I44" s="440">
        <v>0</v>
      </c>
      <c r="J44" s="369">
        <f t="shared" si="0"/>
        <v>1</v>
      </c>
      <c r="K44" s="363">
        <f t="shared" si="1"/>
        <v>3</v>
      </c>
      <c r="L44" s="363">
        <f t="shared" si="2"/>
        <v>0</v>
      </c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392"/>
      <c r="V44" s="392"/>
      <c r="W44" s="392"/>
      <c r="Y44" s="109">
        <f t="shared" si="8"/>
        <v>0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0</v>
      </c>
      <c r="AG44" s="108">
        <f t="shared" si="3"/>
        <v>0</v>
      </c>
      <c r="AH44" s="108">
        <f t="shared" si="4"/>
        <v>0</v>
      </c>
      <c r="AI44" s="108">
        <f t="shared" si="10"/>
        <v>0</v>
      </c>
      <c r="AJ44" s="108">
        <f t="shared" si="5"/>
        <v>0</v>
      </c>
      <c r="AK44" s="108">
        <f t="shared" si="6"/>
        <v>0</v>
      </c>
      <c r="AL44" s="108">
        <f t="shared" si="7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0</v>
      </c>
      <c r="H45" s="373" t="s">
        <v>9</v>
      </c>
      <c r="I45" s="441">
        <v>3</v>
      </c>
      <c r="J45" s="375">
        <f t="shared" si="0"/>
        <v>2</v>
      </c>
      <c r="K45" s="363">
        <f t="shared" si="1"/>
        <v>0</v>
      </c>
      <c r="L45" s="363">
        <f t="shared" si="2"/>
        <v>3</v>
      </c>
      <c r="O45" s="394" t="s">
        <v>31</v>
      </c>
      <c r="P45" s="395">
        <f>SUMIF($D$8:$D$55,$O45,$G$8:$G$55)+SUMIF($F$8:$F$55,$O45,$I$8:$I$55)</f>
        <v>3</v>
      </c>
      <c r="Q45" s="395">
        <f>SUMIF($D$8:$D$55,$O45,$I$8:$I$55)+SUMIF($F$8:$F$55,$O45,$G$8:$G$55)</f>
        <v>1</v>
      </c>
      <c r="R45" s="396">
        <f>P45-Q45</f>
        <v>2</v>
      </c>
      <c r="S45" s="397">
        <f>SUMIF($D$8:$D$55,$O45,$K$8:$K$55)+SUMIF($F$8:$F$55,$O45,$L$8:$L$55)</f>
        <v>5</v>
      </c>
      <c r="T45" s="444" t="s">
        <v>78</v>
      </c>
      <c r="U45" s="392"/>
      <c r="V45" s="392" t="str">
        <f>O45</f>
        <v>Duitsland</v>
      </c>
      <c r="W45" s="392" t="s">
        <v>77</v>
      </c>
      <c r="Y45" s="109">
        <f t="shared" si="8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1</v>
      </c>
      <c r="AG45" s="108">
        <f t="shared" si="3"/>
        <v>1</v>
      </c>
      <c r="AH45" s="108">
        <f t="shared" si="4"/>
        <v>0</v>
      </c>
      <c r="AI45" s="108">
        <f t="shared" si="10"/>
        <v>0</v>
      </c>
      <c r="AJ45" s="108">
        <f t="shared" si="5"/>
        <v>0</v>
      </c>
      <c r="AK45" s="108">
        <f t="shared" si="6"/>
        <v>0</v>
      </c>
      <c r="AL45" s="108">
        <f t="shared" si="7"/>
        <v>0</v>
      </c>
      <c r="AM45" s="120">
        <f>AO45</f>
        <v>0</v>
      </c>
      <c r="AN45" s="116" t="s">
        <v>31</v>
      </c>
      <c r="AO45" s="115">
        <f>IF(Uitslag!T45="",0,IF(T45=Uitslag!T45,10,0))</f>
        <v>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2</v>
      </c>
      <c r="H46" s="373" t="s">
        <v>9</v>
      </c>
      <c r="I46" s="441">
        <v>1</v>
      </c>
      <c r="J46" s="375">
        <f t="shared" si="0"/>
        <v>1</v>
      </c>
      <c r="K46" s="363">
        <f t="shared" si="1"/>
        <v>3</v>
      </c>
      <c r="L46" s="363">
        <f t="shared" si="2"/>
        <v>0</v>
      </c>
      <c r="O46" s="398" t="s">
        <v>32</v>
      </c>
      <c r="P46" s="399">
        <f>SUMIF($D$8:$D$55,$O46,$G$8:$G$55)+SUMIF($F$8:$F$55,$O46,$I$8:$I$55)</f>
        <v>4</v>
      </c>
      <c r="Q46" s="399">
        <f>SUMIF($D$8:$D$55,$O46,$I$8:$I$55)+SUMIF($F$8:$F$55,$O46,$G$8:$G$55)</f>
        <v>0</v>
      </c>
      <c r="R46" s="399">
        <f>P46-Q46</f>
        <v>4</v>
      </c>
      <c r="S46" s="400">
        <f>SUMIF($D$8:$D$55,$O46,$K$8:$K$55)+SUMIF($F$8:$F$55,$O46,$L$8:$L$55)</f>
        <v>7</v>
      </c>
      <c r="T46" s="445" t="s">
        <v>77</v>
      </c>
      <c r="U46" s="392"/>
      <c r="V46" s="392" t="str">
        <f>O46</f>
        <v>Portugal</v>
      </c>
      <c r="W46" s="392" t="s">
        <v>78</v>
      </c>
      <c r="Y46" s="109">
        <f t="shared" si="8"/>
        <v>0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0</v>
      </c>
      <c r="AG46" s="108">
        <f t="shared" si="3"/>
        <v>0</v>
      </c>
      <c r="AH46" s="108">
        <f t="shared" si="4"/>
        <v>0</v>
      </c>
      <c r="AI46" s="108">
        <f t="shared" si="10"/>
        <v>0</v>
      </c>
      <c r="AJ46" s="108">
        <f t="shared" si="5"/>
        <v>0</v>
      </c>
      <c r="AK46" s="108">
        <f t="shared" si="6"/>
        <v>0</v>
      </c>
      <c r="AL46" s="108">
        <f t="shared" si="7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3</v>
      </c>
      <c r="H47" s="379" t="s">
        <v>9</v>
      </c>
      <c r="I47" s="442">
        <v>0</v>
      </c>
      <c r="J47" s="381">
        <f t="shared" si="0"/>
        <v>1</v>
      </c>
      <c r="K47" s="363">
        <f t="shared" si="1"/>
        <v>3</v>
      </c>
      <c r="L47" s="363">
        <f t="shared" si="2"/>
        <v>0</v>
      </c>
      <c r="O47" s="398" t="s">
        <v>35</v>
      </c>
      <c r="P47" s="399">
        <f>SUMIF($D$8:$D$55,$O47,$G$8:$G$55)+SUMIF($F$8:$F$55,$O47,$I$8:$I$55)</f>
        <v>2</v>
      </c>
      <c r="Q47" s="399">
        <f>SUMIF($D$8:$D$55,$O47,$I$8:$I$55)+SUMIF($F$8:$F$55,$O47,$G$8:$G$55)</f>
        <v>3</v>
      </c>
      <c r="R47" s="399">
        <f>P47-Q47</f>
        <v>-1</v>
      </c>
      <c r="S47" s="400">
        <f>SUMIF($D$8:$D$55,$O47,$K$8:$K$55)+SUMIF($F$8:$F$55,$O47,$L$8:$L$55)</f>
        <v>4</v>
      </c>
      <c r="T47" s="445" t="s">
        <v>79</v>
      </c>
      <c r="U47" s="392"/>
      <c r="V47" s="392" t="str">
        <f>O47</f>
        <v>Ghana</v>
      </c>
      <c r="W47" s="392" t="s">
        <v>79</v>
      </c>
      <c r="Y47" s="109">
        <f t="shared" si="8"/>
        <v>5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5</v>
      </c>
      <c r="AG47" s="108">
        <f t="shared" si="3"/>
        <v>0</v>
      </c>
      <c r="AH47" s="108">
        <f t="shared" si="4"/>
        <v>0</v>
      </c>
      <c r="AI47" s="108">
        <f t="shared" si="10"/>
        <v>0</v>
      </c>
      <c r="AJ47" s="108">
        <f t="shared" si="5"/>
        <v>5</v>
      </c>
      <c r="AK47" s="108">
        <f t="shared" si="6"/>
        <v>0</v>
      </c>
      <c r="AL47" s="108">
        <f t="shared" si="7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0</v>
      </c>
      <c r="H48" s="367" t="s">
        <v>9</v>
      </c>
      <c r="I48" s="440">
        <v>2</v>
      </c>
      <c r="J48" s="369">
        <f t="shared" si="0"/>
        <v>2</v>
      </c>
      <c r="K48" s="363">
        <f t="shared" si="1"/>
        <v>0</v>
      </c>
      <c r="L48" s="363">
        <f t="shared" si="2"/>
        <v>3</v>
      </c>
      <c r="O48" s="401" t="s">
        <v>36</v>
      </c>
      <c r="P48" s="402">
        <f>SUMIF($D$8:$D$55,$O48,$G$8:$G$55)+SUMIF($F$8:$F$55,$O48,$I$8:$I$55)</f>
        <v>0</v>
      </c>
      <c r="Q48" s="402">
        <f>SUMIF($D$8:$D$55,$O48,$I$8:$I$55)+SUMIF($F$8:$F$55,$O48,$G$8:$G$55)</f>
        <v>5</v>
      </c>
      <c r="R48" s="402">
        <f>P48-Q48</f>
        <v>-5</v>
      </c>
      <c r="S48" s="403">
        <f>SUMIF($D$8:$D$55,$O48,$K$8:$K$55)+SUMIF($F$8:$F$55,$O48,$L$8:$L$55)</f>
        <v>0</v>
      </c>
      <c r="T48" s="446" t="s">
        <v>80</v>
      </c>
      <c r="U48" s="392"/>
      <c r="V48" s="392" t="str">
        <f>O48</f>
        <v>Verenigde Staten</v>
      </c>
      <c r="W48" s="392" t="s">
        <v>80</v>
      </c>
      <c r="Y48" s="109">
        <f t="shared" si="8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5</v>
      </c>
      <c r="AG48" s="108">
        <f t="shared" si="3"/>
        <v>0</v>
      </c>
      <c r="AH48" s="108">
        <f t="shared" si="4"/>
        <v>0</v>
      </c>
      <c r="AI48" s="108">
        <f t="shared" si="10"/>
        <v>0</v>
      </c>
      <c r="AJ48" s="108">
        <f t="shared" si="5"/>
        <v>0</v>
      </c>
      <c r="AK48" s="108">
        <f t="shared" si="6"/>
        <v>5</v>
      </c>
      <c r="AL48" s="108">
        <f t="shared" si="7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2</v>
      </c>
      <c r="H49" s="373" t="s">
        <v>9</v>
      </c>
      <c r="I49" s="441">
        <v>2</v>
      </c>
      <c r="J49" s="375">
        <f t="shared" si="0"/>
        <v>3</v>
      </c>
      <c r="K49" s="363">
        <f t="shared" si="1"/>
        <v>1</v>
      </c>
      <c r="L49" s="363">
        <f t="shared" si="2"/>
        <v>1</v>
      </c>
      <c r="O49" s="392"/>
      <c r="P49" s="393"/>
      <c r="Q49" s="393"/>
      <c r="R49" s="393"/>
      <c r="S49" s="393"/>
      <c r="T49" s="393"/>
      <c r="U49" s="392"/>
      <c r="V49" s="392"/>
      <c r="W49" s="392"/>
      <c r="Y49" s="109">
        <f t="shared" si="8"/>
        <v>0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0</v>
      </c>
      <c r="AG49" s="108">
        <f t="shared" si="3"/>
        <v>0</v>
      </c>
      <c r="AH49" s="108">
        <f t="shared" si="4"/>
        <v>0</v>
      </c>
      <c r="AI49" s="108">
        <f t="shared" si="10"/>
        <v>0</v>
      </c>
      <c r="AJ49" s="108">
        <f t="shared" si="5"/>
        <v>0</v>
      </c>
      <c r="AK49" s="108">
        <f t="shared" si="6"/>
        <v>0</v>
      </c>
      <c r="AL49" s="108">
        <f t="shared" si="7"/>
        <v>0</v>
      </c>
      <c r="AN49" s="392"/>
      <c r="AO49" s="393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0</v>
      </c>
      <c r="H50" s="373" t="s">
        <v>9</v>
      </c>
      <c r="I50" s="441">
        <v>3</v>
      </c>
      <c r="J50" s="375">
        <f t="shared" si="0"/>
        <v>2</v>
      </c>
      <c r="K50" s="363">
        <f t="shared" si="1"/>
        <v>0</v>
      </c>
      <c r="L50" s="363">
        <f t="shared" si="2"/>
        <v>3</v>
      </c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392"/>
      <c r="V50" s="392"/>
      <c r="W50" s="392"/>
      <c r="Y50" s="109">
        <f t="shared" si="8"/>
        <v>10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10</v>
      </c>
      <c r="AG50" s="108">
        <f t="shared" si="3"/>
        <v>1</v>
      </c>
      <c r="AH50" s="108">
        <f t="shared" si="4"/>
        <v>1</v>
      </c>
      <c r="AI50" s="108">
        <f t="shared" si="10"/>
        <v>10</v>
      </c>
      <c r="AJ50" s="108">
        <f t="shared" si="5"/>
        <v>0</v>
      </c>
      <c r="AK50" s="108">
        <f t="shared" si="6"/>
        <v>5</v>
      </c>
      <c r="AL50" s="108">
        <f t="shared" si="7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0</v>
      </c>
      <c r="H51" s="379" t="s">
        <v>9</v>
      </c>
      <c r="I51" s="442">
        <v>4</v>
      </c>
      <c r="J51" s="381">
        <f t="shared" si="0"/>
        <v>2</v>
      </c>
      <c r="K51" s="363">
        <f t="shared" si="1"/>
        <v>0</v>
      </c>
      <c r="L51" s="363">
        <f t="shared" si="2"/>
        <v>3</v>
      </c>
      <c r="O51" s="394" t="s">
        <v>37</v>
      </c>
      <c r="P51" s="395">
        <f>SUMIF($D$8:$D$55,$O51,$G$8:$G$55)+SUMIF($F$8:$F$55,$O51,$I$8:$I$55)</f>
        <v>4</v>
      </c>
      <c r="Q51" s="395">
        <f>SUMIF($D$8:$D$55,$O51,$I$8:$I$55)+SUMIF($F$8:$F$55,$O51,$G$8:$G$55)</f>
        <v>0</v>
      </c>
      <c r="R51" s="396">
        <f>P51-Q51</f>
        <v>4</v>
      </c>
      <c r="S51" s="397">
        <f>SUMIF($D$8:$D$55,$O51,$K$8:$K$55)+SUMIF($F$8:$F$55,$O51,$L$8:$L$55)</f>
        <v>9</v>
      </c>
      <c r="T51" s="444" t="s">
        <v>82</v>
      </c>
      <c r="U51" s="392"/>
      <c r="V51" s="392" t="str">
        <f>O51</f>
        <v>België</v>
      </c>
      <c r="W51" s="392" t="s">
        <v>82</v>
      </c>
      <c r="Y51" s="109">
        <f t="shared" si="8"/>
        <v>1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1</v>
      </c>
      <c r="AG51" s="108">
        <f t="shared" si="3"/>
        <v>1</v>
      </c>
      <c r="AH51" s="108">
        <f t="shared" si="4"/>
        <v>0</v>
      </c>
      <c r="AI51" s="108">
        <f t="shared" si="10"/>
        <v>0</v>
      </c>
      <c r="AJ51" s="108">
        <f t="shared" si="5"/>
        <v>0</v>
      </c>
      <c r="AK51" s="108">
        <f t="shared" si="6"/>
        <v>0</v>
      </c>
      <c r="AL51" s="108">
        <f t="shared" si="7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0</v>
      </c>
      <c r="H52" s="373" t="s">
        <v>9</v>
      </c>
      <c r="I52" s="441">
        <v>2</v>
      </c>
      <c r="J52" s="369">
        <f t="shared" si="0"/>
        <v>2</v>
      </c>
      <c r="K52" s="363">
        <f t="shared" si="1"/>
        <v>0</v>
      </c>
      <c r="L52" s="363">
        <f t="shared" si="2"/>
        <v>3</v>
      </c>
      <c r="O52" s="398" t="s">
        <v>38</v>
      </c>
      <c r="P52" s="399">
        <f>SUMIF($D$8:$D$55,$O52,$G$8:$G$55)+SUMIF($F$8:$F$55,$O52,$I$8:$I$55)</f>
        <v>1</v>
      </c>
      <c r="Q52" s="399">
        <f>SUMIF($D$8:$D$55,$O52,$I$8:$I$55)+SUMIF($F$8:$F$55,$O52,$G$8:$G$55)</f>
        <v>5</v>
      </c>
      <c r="R52" s="399">
        <f>P52-Q52</f>
        <v>-4</v>
      </c>
      <c r="S52" s="400">
        <f>SUMIF($D$8:$D$55,$O52,$K$8:$K$55)+SUMIF($F$8:$F$55,$O52,$L$8:$L$55)</f>
        <v>1</v>
      </c>
      <c r="T52" s="445" t="s">
        <v>85</v>
      </c>
      <c r="U52" s="392"/>
      <c r="V52" s="392" t="str">
        <f>O52</f>
        <v>Algerije</v>
      </c>
      <c r="W52" s="392" t="s">
        <v>83</v>
      </c>
      <c r="Y52" s="109">
        <f t="shared" si="8"/>
        <v>6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6</v>
      </c>
      <c r="AG52" s="108">
        <f t="shared" si="3"/>
        <v>1</v>
      </c>
      <c r="AH52" s="108">
        <f t="shared" si="4"/>
        <v>0</v>
      </c>
      <c r="AI52" s="108">
        <f t="shared" si="10"/>
        <v>0</v>
      </c>
      <c r="AJ52" s="108">
        <f t="shared" si="5"/>
        <v>0</v>
      </c>
      <c r="AK52" s="108">
        <f t="shared" si="6"/>
        <v>5</v>
      </c>
      <c r="AL52" s="108">
        <f t="shared" si="7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2</v>
      </c>
      <c r="H53" s="373" t="s">
        <v>9</v>
      </c>
      <c r="I53" s="441">
        <v>0</v>
      </c>
      <c r="J53" s="375">
        <f t="shared" si="0"/>
        <v>1</v>
      </c>
      <c r="K53" s="363">
        <f t="shared" si="1"/>
        <v>3</v>
      </c>
      <c r="L53" s="363">
        <f t="shared" si="2"/>
        <v>0</v>
      </c>
      <c r="O53" s="398" t="s">
        <v>39</v>
      </c>
      <c r="P53" s="399">
        <f>SUMIF($D$8:$D$55,$O53,$G$8:$G$55)+SUMIF($F$8:$F$55,$O53,$I$8:$I$55)</f>
        <v>2</v>
      </c>
      <c r="Q53" s="399">
        <f>SUMIF($D$8:$D$55,$O53,$I$8:$I$55)+SUMIF($F$8:$F$55,$O53,$G$8:$G$55)</f>
        <v>3</v>
      </c>
      <c r="R53" s="399">
        <f>P53-Q53</f>
        <v>-1</v>
      </c>
      <c r="S53" s="400">
        <f>SUMIF($D$8:$D$55,$O53,$K$8:$K$55)+SUMIF($F$8:$F$55,$O53,$L$8:$L$55)</f>
        <v>2</v>
      </c>
      <c r="T53" s="445" t="s">
        <v>84</v>
      </c>
      <c r="U53" s="392"/>
      <c r="V53" s="392" t="str">
        <f>O53</f>
        <v>Rusland</v>
      </c>
      <c r="W53" s="392" t="s">
        <v>84</v>
      </c>
      <c r="Y53" s="109">
        <f t="shared" si="8"/>
        <v>6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6</v>
      </c>
      <c r="AG53" s="108">
        <f t="shared" si="3"/>
        <v>1</v>
      </c>
      <c r="AH53" s="108">
        <f t="shared" si="4"/>
        <v>0</v>
      </c>
      <c r="AI53" s="108">
        <f t="shared" si="10"/>
        <v>0</v>
      </c>
      <c r="AJ53" s="108">
        <f t="shared" si="5"/>
        <v>5</v>
      </c>
      <c r="AK53" s="108">
        <f t="shared" si="6"/>
        <v>0</v>
      </c>
      <c r="AL53" s="108">
        <f t="shared" si="7"/>
        <v>0</v>
      </c>
      <c r="AM53" s="120">
        <f>AO53</f>
        <v>10</v>
      </c>
      <c r="AN53" s="117" t="s">
        <v>39</v>
      </c>
      <c r="AO53" s="115">
        <f>IF(Uitslag!T53="",0,IF(T53=Uitslag!T53,10,0))</f>
        <v>10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0</v>
      </c>
      <c r="H54" s="373" t="s">
        <v>9</v>
      </c>
      <c r="I54" s="441">
        <v>1</v>
      </c>
      <c r="J54" s="375">
        <f t="shared" si="0"/>
        <v>2</v>
      </c>
      <c r="K54" s="363">
        <f t="shared" si="1"/>
        <v>0</v>
      </c>
      <c r="L54" s="363">
        <f t="shared" si="2"/>
        <v>3</v>
      </c>
      <c r="O54" s="401" t="s">
        <v>40</v>
      </c>
      <c r="P54" s="402">
        <f>SUMIF($D$8:$D$55,$O54,$G$8:$G$55)+SUMIF($F$8:$F$55,$O54,$I$8:$I$55)</f>
        <v>3</v>
      </c>
      <c r="Q54" s="402">
        <f>SUMIF($D$8:$D$55,$O54,$I$8:$I$55)+SUMIF($F$8:$F$55,$O54,$G$8:$G$55)</f>
        <v>2</v>
      </c>
      <c r="R54" s="402">
        <f>P54-Q54</f>
        <v>1</v>
      </c>
      <c r="S54" s="403">
        <f>SUMIF($D$8:$D$55,$O54,$K$8:$K$55)+SUMIF($F$8:$F$55,$O54,$L$8:$L$55)</f>
        <v>4</v>
      </c>
      <c r="T54" s="446" t="s">
        <v>83</v>
      </c>
      <c r="U54" s="392"/>
      <c r="V54" s="392" t="str">
        <f>O54</f>
        <v>Zuid Korea</v>
      </c>
      <c r="W54" s="392" t="s">
        <v>85</v>
      </c>
      <c r="Y54" s="109">
        <f t="shared" si="8"/>
        <v>10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10</v>
      </c>
      <c r="AG54" s="108">
        <f t="shared" si="3"/>
        <v>1</v>
      </c>
      <c r="AH54" s="108">
        <f t="shared" si="4"/>
        <v>1</v>
      </c>
      <c r="AI54" s="108">
        <f t="shared" si="10"/>
        <v>10</v>
      </c>
      <c r="AJ54" s="108">
        <f t="shared" si="5"/>
        <v>0</v>
      </c>
      <c r="AK54" s="108">
        <f t="shared" si="6"/>
        <v>5</v>
      </c>
      <c r="AL54" s="108">
        <f t="shared" si="7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1</v>
      </c>
      <c r="H55" s="388" t="s">
        <v>9</v>
      </c>
      <c r="I55" s="443">
        <v>1</v>
      </c>
      <c r="J55" s="390">
        <f t="shared" si="0"/>
        <v>3</v>
      </c>
      <c r="K55" s="363">
        <f t="shared" si="1"/>
        <v>1</v>
      </c>
      <c r="L55" s="363">
        <f t="shared" si="2"/>
        <v>1</v>
      </c>
      <c r="O55" s="392"/>
      <c r="P55" s="393"/>
      <c r="Q55" s="393"/>
      <c r="R55" s="393"/>
      <c r="S55" s="393"/>
      <c r="T55" s="393"/>
      <c r="U55" s="392"/>
      <c r="V55" s="392"/>
      <c r="W55" s="392"/>
      <c r="Y55" s="109">
        <f t="shared" si="8"/>
        <v>10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10</v>
      </c>
      <c r="AG55" s="108">
        <f t="shared" si="3"/>
        <v>1</v>
      </c>
      <c r="AH55" s="108">
        <f t="shared" si="4"/>
        <v>1</v>
      </c>
      <c r="AI55" s="108">
        <f t="shared" si="10"/>
        <v>10</v>
      </c>
      <c r="AJ55" s="108">
        <f t="shared" si="5"/>
        <v>0</v>
      </c>
      <c r="AK55" s="108">
        <f t="shared" si="6"/>
        <v>0</v>
      </c>
      <c r="AL55" s="108">
        <f t="shared" si="7"/>
        <v>5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79"/>
      <c r="K57" s="353"/>
      <c r="L57" s="353"/>
      <c r="M57" s="353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77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O58" s="458">
        <v>1</v>
      </c>
      <c r="P58" s="877" t="s">
        <v>224</v>
      </c>
      <c r="Q58" s="877"/>
      <c r="R58" s="877"/>
      <c r="S58" s="877"/>
      <c r="T58" s="878"/>
      <c r="V58" s="352" t="s">
        <v>132</v>
      </c>
      <c r="W58" s="352" t="s">
        <v>124</v>
      </c>
      <c r="X58" s="352" t="str">
        <f t="shared" ref="X58:X98" si="11">CONCATENATE(W58," ",V58)</f>
        <v>Jeroen Zoet (k)</v>
      </c>
      <c r="Y58" s="113" t="s">
        <v>91</v>
      </c>
      <c r="Z58" s="352" t="str">
        <f>IF(K58=""," ",VLOOKUP(K58,$T$9:$V$54,3,FALSE))</f>
        <v xml:space="preserve"> </v>
      </c>
      <c r="AA58" s="352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 t="shared" ref="D59:D66" si="13">IF(ISERROR(Z59),K59,Z59)</f>
        <v>Brazilië</v>
      </c>
      <c r="E59" s="367" t="s">
        <v>9</v>
      </c>
      <c r="F59" s="406" t="str">
        <f t="shared" ref="F59:F66" si="14">IF(ISERROR(AA59),L59,AA59)</f>
        <v>Spanje</v>
      </c>
      <c r="G59" s="435">
        <v>1</v>
      </c>
      <c r="H59" s="367" t="s">
        <v>9</v>
      </c>
      <c r="I59" s="447">
        <v>0</v>
      </c>
      <c r="J59" s="448">
        <v>1</v>
      </c>
      <c r="K59" s="407" t="s">
        <v>48</v>
      </c>
      <c r="L59" s="407" t="s">
        <v>53</v>
      </c>
      <c r="M59" s="407">
        <v>1</v>
      </c>
      <c r="O59" s="458">
        <v>2</v>
      </c>
      <c r="P59" s="877" t="s">
        <v>212</v>
      </c>
      <c r="Q59" s="877"/>
      <c r="R59" s="877"/>
      <c r="S59" s="877"/>
      <c r="T59" s="878"/>
      <c r="V59" s="352" t="s">
        <v>132</v>
      </c>
      <c r="W59" s="352" t="s">
        <v>111</v>
      </c>
      <c r="X59" s="352" t="str">
        <f t="shared" si="11"/>
        <v>Jasper Cillessen (k)</v>
      </c>
      <c r="Y59" s="109">
        <f t="shared" ref="Y59:Y66" si="15">AF59</f>
        <v>1</v>
      </c>
      <c r="Z59" s="352" t="str">
        <f t="shared" ref="Z59:AA65" si="16">IF(K59=""," ",VLOOKUP(K59,$T$9:$V$54,3,FALSE))</f>
        <v>Brazilië</v>
      </c>
      <c r="AA59" s="352" t="str">
        <f t="shared" si="16"/>
        <v>Spanje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7">IF(OR(AC59="",AD59=""),0,(IF(SUM(AG59:AL59)&gt;10,10,SUM(AG59:AL59))))</f>
        <v>1</v>
      </c>
      <c r="AG59" s="108">
        <f t="shared" ref="AG59:AG66" si="18">IF(AC59="",0,(IF(G59=AC59,1,0)))</f>
        <v>1</v>
      </c>
      <c r="AH59" s="108">
        <f t="shared" ref="AH59:AH66" si="19">IF(AD59="",0,(IF(I59=AD59,1,0)))</f>
        <v>0</v>
      </c>
      <c r="AI59" s="108">
        <f t="shared" ref="AI59:AI66" si="20">IF(AND(AG59=1,AH59=1),10,0)</f>
        <v>0</v>
      </c>
      <c r="AJ59" s="108">
        <f t="shared" ref="AJ59:AJ66" si="21">IF(AND(G59&gt;I59,AC59&gt;AD59),5,0)</f>
        <v>0</v>
      </c>
      <c r="AK59" s="108">
        <f t="shared" ref="AK59:AK66" si="22">IF(AND(G59&lt;I59,AC59&lt;AD59),5,0)</f>
        <v>0</v>
      </c>
      <c r="AL59" s="108">
        <f t="shared" ref="AL59:AL66" si="23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4">BA59</f>
        <v>3</v>
      </c>
    </row>
    <row r="60" spans="2:54">
      <c r="B60" s="376">
        <v>50</v>
      </c>
      <c r="C60" s="466">
        <v>41818</v>
      </c>
      <c r="D60" s="460" t="str">
        <f t="shared" si="13"/>
        <v>Colombia</v>
      </c>
      <c r="E60" s="379" t="s">
        <v>9</v>
      </c>
      <c r="F60" s="409" t="str">
        <f t="shared" si="14"/>
        <v>Uruguay</v>
      </c>
      <c r="G60" s="437">
        <v>0</v>
      </c>
      <c r="H60" s="379" t="s">
        <v>9</v>
      </c>
      <c r="I60" s="449">
        <v>0</v>
      </c>
      <c r="J60" s="450">
        <v>2</v>
      </c>
      <c r="K60" s="407" t="s">
        <v>57</v>
      </c>
      <c r="L60" s="407" t="s">
        <v>63</v>
      </c>
      <c r="M60" s="407">
        <v>2</v>
      </c>
      <c r="O60" s="458">
        <v>3</v>
      </c>
      <c r="P60" s="877" t="s">
        <v>220</v>
      </c>
      <c r="Q60" s="877"/>
      <c r="R60" s="877"/>
      <c r="S60" s="877"/>
      <c r="T60" s="878"/>
      <c r="V60" s="352" t="s">
        <v>132</v>
      </c>
      <c r="W60" s="352" t="s">
        <v>110</v>
      </c>
      <c r="X60" s="352" t="str">
        <f t="shared" si="11"/>
        <v>Kenneth Vermeer (k)</v>
      </c>
      <c r="Y60" s="109">
        <f t="shared" si="15"/>
        <v>1</v>
      </c>
      <c r="Z60" s="352" t="str">
        <f t="shared" si="16"/>
        <v>Colombia</v>
      </c>
      <c r="AA60" s="352" t="str">
        <f t="shared" si="16"/>
        <v>Uruguay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7"/>
        <v>1</v>
      </c>
      <c r="AG60" s="108">
        <f t="shared" si="18"/>
        <v>0</v>
      </c>
      <c r="AH60" s="108">
        <f t="shared" si="19"/>
        <v>1</v>
      </c>
      <c r="AI60" s="108">
        <f t="shared" si="20"/>
        <v>0</v>
      </c>
      <c r="AJ60" s="108">
        <f t="shared" si="21"/>
        <v>0</v>
      </c>
      <c r="AK60" s="108">
        <f t="shared" si="22"/>
        <v>0</v>
      </c>
      <c r="AL60" s="108">
        <f t="shared" si="23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4"/>
        <v>3</v>
      </c>
    </row>
    <row r="61" spans="2:54">
      <c r="B61" s="364">
        <v>51</v>
      </c>
      <c r="C61" s="465">
        <v>41819</v>
      </c>
      <c r="D61" s="464" t="str">
        <f t="shared" si="13"/>
        <v>Nederland</v>
      </c>
      <c r="E61" s="367" t="s">
        <v>9</v>
      </c>
      <c r="F61" s="406" t="str">
        <f t="shared" si="14"/>
        <v>Mexico</v>
      </c>
      <c r="G61" s="435">
        <v>1</v>
      </c>
      <c r="H61" s="367" t="s">
        <v>9</v>
      </c>
      <c r="I61" s="447">
        <v>0</v>
      </c>
      <c r="J61" s="448">
        <v>1</v>
      </c>
      <c r="K61" s="407" t="s">
        <v>52</v>
      </c>
      <c r="L61" s="407" t="s">
        <v>49</v>
      </c>
      <c r="M61" s="407"/>
      <c r="O61" s="458">
        <v>4</v>
      </c>
      <c r="P61" s="877" t="s">
        <v>211</v>
      </c>
      <c r="Q61" s="877"/>
      <c r="R61" s="877"/>
      <c r="S61" s="877"/>
      <c r="T61" s="878"/>
      <c r="V61" s="352" t="s">
        <v>132</v>
      </c>
      <c r="W61" s="352" t="s">
        <v>191</v>
      </c>
      <c r="X61" s="352" t="str">
        <f t="shared" si="11"/>
        <v>Tim Krul (k)</v>
      </c>
      <c r="Y61" s="109">
        <f t="shared" si="15"/>
        <v>5</v>
      </c>
      <c r="Z61" s="352" t="str">
        <f t="shared" si="16"/>
        <v>Nederland</v>
      </c>
      <c r="AA61" s="352" t="str">
        <f t="shared" si="16"/>
        <v>Mexico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7"/>
        <v>5</v>
      </c>
      <c r="AG61" s="108">
        <f t="shared" si="18"/>
        <v>0</v>
      </c>
      <c r="AH61" s="108">
        <f t="shared" si="19"/>
        <v>0</v>
      </c>
      <c r="AI61" s="108">
        <f t="shared" si="20"/>
        <v>0</v>
      </c>
      <c r="AJ61" s="108">
        <f t="shared" si="21"/>
        <v>5</v>
      </c>
      <c r="AK61" s="108">
        <f t="shared" si="22"/>
        <v>0</v>
      </c>
      <c r="AL61" s="108">
        <f t="shared" si="23"/>
        <v>0</v>
      </c>
      <c r="AZ61" s="138" t="str">
        <f>Uitslag!P61</f>
        <v>Ron Vlaar (v)</v>
      </c>
      <c r="BA61" s="140">
        <f t="shared" si="12"/>
        <v>3</v>
      </c>
      <c r="BB61" s="139">
        <f t="shared" si="24"/>
        <v>3</v>
      </c>
    </row>
    <row r="62" spans="2:54">
      <c r="B62" s="376">
        <v>52</v>
      </c>
      <c r="C62" s="466">
        <v>41819</v>
      </c>
      <c r="D62" s="464" t="str">
        <f t="shared" si="13"/>
        <v>Italië</v>
      </c>
      <c r="E62" s="379" t="s">
        <v>9</v>
      </c>
      <c r="F62" s="409" t="str">
        <f t="shared" si="14"/>
        <v>Japan</v>
      </c>
      <c r="G62" s="437">
        <v>2</v>
      </c>
      <c r="H62" s="379" t="s">
        <v>9</v>
      </c>
      <c r="I62" s="449">
        <v>1</v>
      </c>
      <c r="J62" s="450">
        <v>1</v>
      </c>
      <c r="K62" s="407" t="s">
        <v>62</v>
      </c>
      <c r="L62" s="407" t="s">
        <v>58</v>
      </c>
      <c r="M62" s="407"/>
      <c r="O62" s="458">
        <v>5</v>
      </c>
      <c r="P62" s="877" t="s">
        <v>209</v>
      </c>
      <c r="Q62" s="877"/>
      <c r="R62" s="877"/>
      <c r="S62" s="877"/>
      <c r="T62" s="878"/>
      <c r="V62" s="352" t="s">
        <v>132</v>
      </c>
      <c r="W62" s="352" t="s">
        <v>192</v>
      </c>
      <c r="X62" s="352" t="str">
        <f t="shared" si="11"/>
        <v>Maarten Stekelenburg (k)</v>
      </c>
      <c r="Y62" s="109">
        <f t="shared" si="15"/>
        <v>1</v>
      </c>
      <c r="Z62" s="352" t="str">
        <f t="shared" si="16"/>
        <v>Italië</v>
      </c>
      <c r="AA62" s="352" t="str">
        <f t="shared" si="16"/>
        <v>Japan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7"/>
        <v>1</v>
      </c>
      <c r="AG62" s="108">
        <f t="shared" si="18"/>
        <v>0</v>
      </c>
      <c r="AH62" s="108">
        <f t="shared" si="19"/>
        <v>1</v>
      </c>
      <c r="AI62" s="108">
        <f t="shared" si="20"/>
        <v>0</v>
      </c>
      <c r="AJ62" s="108">
        <f t="shared" si="21"/>
        <v>0</v>
      </c>
      <c r="AK62" s="108">
        <f t="shared" si="22"/>
        <v>0</v>
      </c>
      <c r="AL62" s="108">
        <f t="shared" si="23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4"/>
        <v>3</v>
      </c>
    </row>
    <row r="63" spans="2:54">
      <c r="B63" s="364">
        <v>53</v>
      </c>
      <c r="C63" s="465">
        <v>41820</v>
      </c>
      <c r="D63" s="459" t="str">
        <f t="shared" si="13"/>
        <v>Frankrijk</v>
      </c>
      <c r="E63" s="367" t="s">
        <v>9</v>
      </c>
      <c r="F63" s="406" t="str">
        <f t="shared" si="14"/>
        <v>Bosnië H.</v>
      </c>
      <c r="G63" s="435">
        <v>2</v>
      </c>
      <c r="H63" s="367" t="s">
        <v>9</v>
      </c>
      <c r="I63" s="447">
        <v>0</v>
      </c>
      <c r="J63" s="448">
        <v>1</v>
      </c>
      <c r="K63" s="407" t="s">
        <v>67</v>
      </c>
      <c r="L63" s="407" t="s">
        <v>73</v>
      </c>
      <c r="M63" s="407"/>
      <c r="O63" s="458">
        <v>6</v>
      </c>
      <c r="P63" s="877" t="s">
        <v>221</v>
      </c>
      <c r="Q63" s="877"/>
      <c r="R63" s="877"/>
      <c r="S63" s="877"/>
      <c r="T63" s="878"/>
      <c r="V63" s="352" t="s">
        <v>132</v>
      </c>
      <c r="W63" s="352" t="s">
        <v>193</v>
      </c>
      <c r="X63" s="352" t="str">
        <f t="shared" si="11"/>
        <v>Michel Vorm (k)</v>
      </c>
      <c r="Y63" s="109">
        <f t="shared" si="15"/>
        <v>10</v>
      </c>
      <c r="Z63" s="352" t="str">
        <f t="shared" si="16"/>
        <v>Frankrijk</v>
      </c>
      <c r="AA63" s="352" t="str">
        <f t="shared" si="16"/>
        <v>Bosnië H.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7"/>
        <v>10</v>
      </c>
      <c r="AG63" s="108">
        <f t="shared" si="18"/>
        <v>1</v>
      </c>
      <c r="AH63" s="108">
        <f t="shared" si="19"/>
        <v>1</v>
      </c>
      <c r="AI63" s="108">
        <f t="shared" si="20"/>
        <v>10</v>
      </c>
      <c r="AJ63" s="108">
        <f t="shared" si="21"/>
        <v>5</v>
      </c>
      <c r="AK63" s="108">
        <f t="shared" si="22"/>
        <v>0</v>
      </c>
      <c r="AL63" s="108">
        <f t="shared" si="23"/>
        <v>0</v>
      </c>
      <c r="AZ63" s="138" t="str">
        <f>Uitslag!P63</f>
        <v>Daley Blind (v)</v>
      </c>
      <c r="BA63" s="140">
        <f t="shared" si="12"/>
        <v>0</v>
      </c>
      <c r="BB63" s="139">
        <f t="shared" si="24"/>
        <v>0</v>
      </c>
    </row>
    <row r="64" spans="2:54">
      <c r="B64" s="376">
        <v>54</v>
      </c>
      <c r="C64" s="466">
        <v>41820</v>
      </c>
      <c r="D64" s="460" t="str">
        <f t="shared" si="13"/>
        <v>Portugal</v>
      </c>
      <c r="E64" s="379" t="s">
        <v>9</v>
      </c>
      <c r="F64" s="409" t="str">
        <f t="shared" si="14"/>
        <v>Zuid Korea</v>
      </c>
      <c r="G64" s="437">
        <v>1</v>
      </c>
      <c r="H64" s="379" t="s">
        <v>9</v>
      </c>
      <c r="I64" s="449">
        <v>0</v>
      </c>
      <c r="J64" s="450">
        <v>1</v>
      </c>
      <c r="K64" s="407" t="s">
        <v>77</v>
      </c>
      <c r="L64" s="407" t="s">
        <v>83</v>
      </c>
      <c r="M64" s="407"/>
      <c r="O64" s="458">
        <v>7</v>
      </c>
      <c r="P64" s="877" t="s">
        <v>268</v>
      </c>
      <c r="Q64" s="877"/>
      <c r="R64" s="877"/>
      <c r="S64" s="877"/>
      <c r="T64" s="878"/>
      <c r="V64" s="352" t="s">
        <v>133</v>
      </c>
      <c r="W64" s="352" t="s">
        <v>112</v>
      </c>
      <c r="X64" s="352" t="str">
        <f t="shared" si="11"/>
        <v>Joël Veltman (v)</v>
      </c>
      <c r="Y64" s="109">
        <f t="shared" si="15"/>
        <v>1</v>
      </c>
      <c r="Z64" s="352" t="str">
        <f t="shared" si="16"/>
        <v>Portugal</v>
      </c>
      <c r="AA64" s="352" t="str">
        <f t="shared" si="16"/>
        <v>Zuid Korea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7"/>
        <v>1</v>
      </c>
      <c r="AG64" s="108">
        <f t="shared" si="18"/>
        <v>0</v>
      </c>
      <c r="AH64" s="108">
        <f t="shared" si="19"/>
        <v>1</v>
      </c>
      <c r="AI64" s="108">
        <f t="shared" si="20"/>
        <v>0</v>
      </c>
      <c r="AJ64" s="108">
        <f t="shared" si="21"/>
        <v>0</v>
      </c>
      <c r="AK64" s="108">
        <f t="shared" si="22"/>
        <v>0</v>
      </c>
      <c r="AL64" s="108">
        <f t="shared" si="23"/>
        <v>0</v>
      </c>
      <c r="AZ64" s="138" t="str">
        <f>Uitslag!P64</f>
        <v>Wesley Sneijder (m)</v>
      </c>
      <c r="BA64" s="140">
        <f t="shared" si="12"/>
        <v>0</v>
      </c>
      <c r="BB64" s="139">
        <f t="shared" si="24"/>
        <v>0</v>
      </c>
    </row>
    <row r="65" spans="2:54">
      <c r="B65" s="370">
        <v>55</v>
      </c>
      <c r="C65" s="467">
        <v>41821</v>
      </c>
      <c r="D65" s="459" t="str">
        <f t="shared" si="13"/>
        <v>Argentinië</v>
      </c>
      <c r="E65" s="373" t="s">
        <v>9</v>
      </c>
      <c r="F65" s="410" t="str">
        <f t="shared" si="14"/>
        <v>Zwitserland</v>
      </c>
      <c r="G65" s="436">
        <v>2</v>
      </c>
      <c r="H65" s="373" t="s">
        <v>9</v>
      </c>
      <c r="I65" s="451">
        <v>0</v>
      </c>
      <c r="J65" s="452">
        <v>1</v>
      </c>
      <c r="K65" s="407" t="s">
        <v>72</v>
      </c>
      <c r="L65" s="407" t="s">
        <v>68</v>
      </c>
      <c r="M65" s="407"/>
      <c r="O65" s="458">
        <v>8</v>
      </c>
      <c r="P65" s="877" t="s">
        <v>213</v>
      </c>
      <c r="Q65" s="877"/>
      <c r="R65" s="877"/>
      <c r="S65" s="877"/>
      <c r="T65" s="878"/>
      <c r="V65" s="352" t="s">
        <v>133</v>
      </c>
      <c r="W65" s="352" t="s">
        <v>109</v>
      </c>
      <c r="X65" s="352" t="str">
        <f t="shared" si="11"/>
        <v>Daley Blind (v)</v>
      </c>
      <c r="Y65" s="109">
        <f t="shared" si="15"/>
        <v>1</v>
      </c>
      <c r="Z65" s="352" t="str">
        <f t="shared" si="16"/>
        <v>Argentinië</v>
      </c>
      <c r="AA65" s="352" t="str">
        <f t="shared" si="16"/>
        <v>Zwitserland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7"/>
        <v>1</v>
      </c>
      <c r="AG65" s="108">
        <f t="shared" si="18"/>
        <v>0</v>
      </c>
      <c r="AH65" s="108">
        <f t="shared" si="19"/>
        <v>1</v>
      </c>
      <c r="AI65" s="108">
        <f t="shared" si="20"/>
        <v>0</v>
      </c>
      <c r="AJ65" s="108">
        <f t="shared" si="21"/>
        <v>0</v>
      </c>
      <c r="AK65" s="108">
        <f t="shared" si="22"/>
        <v>0</v>
      </c>
      <c r="AL65" s="108">
        <f t="shared" si="23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4"/>
        <v>3</v>
      </c>
    </row>
    <row r="66" spans="2:54" ht="15.75" thickBot="1">
      <c r="B66" s="385">
        <v>56</v>
      </c>
      <c r="C66" s="462">
        <v>41821</v>
      </c>
      <c r="D66" s="461" t="str">
        <f t="shared" si="13"/>
        <v>België</v>
      </c>
      <c r="E66" s="388" t="s">
        <v>9</v>
      </c>
      <c r="F66" s="412" t="str">
        <f t="shared" si="14"/>
        <v>Duitsland</v>
      </c>
      <c r="G66" s="438">
        <v>0</v>
      </c>
      <c r="H66" s="388" t="s">
        <v>9</v>
      </c>
      <c r="I66" s="453">
        <v>1</v>
      </c>
      <c r="J66" s="454">
        <v>2</v>
      </c>
      <c r="K66" s="407" t="s">
        <v>82</v>
      </c>
      <c r="L66" s="407" t="s">
        <v>78</v>
      </c>
      <c r="M66" s="407"/>
      <c r="O66" s="458">
        <v>9</v>
      </c>
      <c r="P66" s="877" t="s">
        <v>216</v>
      </c>
      <c r="Q66" s="877"/>
      <c r="R66" s="877"/>
      <c r="S66" s="877"/>
      <c r="T66" s="878"/>
      <c r="V66" s="352" t="s">
        <v>133</v>
      </c>
      <c r="W66" s="352" t="s">
        <v>115</v>
      </c>
      <c r="X66" s="352" t="str">
        <f t="shared" si="11"/>
        <v>Daryl Janmaat (v)</v>
      </c>
      <c r="Y66" s="109">
        <f t="shared" si="15"/>
        <v>1</v>
      </c>
      <c r="Z66" s="352" t="str">
        <f>IF(K66=""," ",VLOOKUP(K66,$T$9:$V$54,3,FALSE))</f>
        <v>België</v>
      </c>
      <c r="AA66" s="352" t="str">
        <f>IF(L66=""," ",VLOOKUP(L66,$T$9:$V$54,3,FALSE))</f>
        <v>Duitsland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7"/>
        <v>1</v>
      </c>
      <c r="AG66" s="108">
        <f t="shared" si="18"/>
        <v>1</v>
      </c>
      <c r="AH66" s="108">
        <f t="shared" si="19"/>
        <v>0</v>
      </c>
      <c r="AI66" s="108">
        <f t="shared" si="20"/>
        <v>0</v>
      </c>
      <c r="AJ66" s="108">
        <f t="shared" si="21"/>
        <v>0</v>
      </c>
      <c r="AK66" s="108">
        <f t="shared" si="22"/>
        <v>0</v>
      </c>
      <c r="AL66" s="108">
        <f t="shared" si="23"/>
        <v>0</v>
      </c>
      <c r="AZ66" s="138" t="str">
        <f>Uitslag!P66</f>
        <v>Jonathan de Guzman (m)</v>
      </c>
      <c r="BA66" s="140">
        <f t="shared" si="12"/>
        <v>3</v>
      </c>
      <c r="BB66" s="139">
        <f t="shared" si="24"/>
        <v>3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O67" s="458">
        <v>10</v>
      </c>
      <c r="P67" s="877" t="s">
        <v>215</v>
      </c>
      <c r="Q67" s="877"/>
      <c r="R67" s="877"/>
      <c r="S67" s="877"/>
      <c r="T67" s="878"/>
      <c r="V67" s="352" t="s">
        <v>133</v>
      </c>
      <c r="W67" s="352" t="s">
        <v>118</v>
      </c>
      <c r="X67" s="352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4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79"/>
      <c r="K68" s="353"/>
      <c r="L68" s="353"/>
      <c r="M68" s="353"/>
      <c r="O68" s="458">
        <v>11</v>
      </c>
      <c r="P68" s="877" t="s">
        <v>225</v>
      </c>
      <c r="Q68" s="877"/>
      <c r="R68" s="877"/>
      <c r="S68" s="877"/>
      <c r="T68" s="878"/>
      <c r="V68" s="352" t="s">
        <v>133</v>
      </c>
      <c r="W68" s="352" t="s">
        <v>119</v>
      </c>
      <c r="X68" s="352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4"/>
        <v>3</v>
      </c>
    </row>
    <row r="69" spans="2:54">
      <c r="B69" s="428" t="s">
        <v>1</v>
      </c>
      <c r="C69" s="429" t="s">
        <v>2</v>
      </c>
      <c r="D69" s="476" t="s">
        <v>3</v>
      </c>
      <c r="E69" s="431"/>
      <c r="F69" s="477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V69" s="352" t="s">
        <v>133</v>
      </c>
      <c r="W69" s="352" t="s">
        <v>121</v>
      </c>
      <c r="X69" s="352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27</v>
      </c>
      <c r="BB69" s="139" t="str">
        <f>IF(AND(BA69&lt;&gt;"",BA69=33),15,"nvt")</f>
        <v>nvt</v>
      </c>
    </row>
    <row r="70" spans="2:54">
      <c r="B70" s="364">
        <v>57</v>
      </c>
      <c r="C70" s="365">
        <v>41824</v>
      </c>
      <c r="D70" s="405" t="str">
        <f>IF(J63="","Winnaar 53",IF(J63=1,D63,F63))</f>
        <v>Frankrijk</v>
      </c>
      <c r="E70" s="367" t="s">
        <v>9</v>
      </c>
      <c r="F70" s="406" t="str">
        <f>IF(J64="","Winnaar 54",IF(J64=1,D64,F64))</f>
        <v>Portugal</v>
      </c>
      <c r="G70" s="435">
        <v>0</v>
      </c>
      <c r="H70" s="367" t="s">
        <v>9</v>
      </c>
      <c r="I70" s="447">
        <v>2</v>
      </c>
      <c r="J70" s="448">
        <v>2</v>
      </c>
      <c r="K70" s="353"/>
      <c r="L70" s="353"/>
      <c r="M70" s="353"/>
      <c r="V70" s="352" t="s">
        <v>133</v>
      </c>
      <c r="W70" s="352" t="s">
        <v>126</v>
      </c>
      <c r="X70" s="352" t="str">
        <f t="shared" si="11"/>
        <v>Karim Rekik (v)</v>
      </c>
      <c r="Y70" s="109">
        <f>AF70</f>
        <v>6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6</v>
      </c>
      <c r="AG70" s="108">
        <f>IF(AC70="",0,(IF(G70=AC70,1,0)))</f>
        <v>1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Brazilië</v>
      </c>
      <c r="E71" s="379" t="s">
        <v>9</v>
      </c>
      <c r="F71" s="409" t="str">
        <f>IF(J60="","Winnaar 50",IF(J60=1,D60,F60))</f>
        <v>Uruguay</v>
      </c>
      <c r="G71" s="437">
        <v>2</v>
      </c>
      <c r="H71" s="379" t="s">
        <v>9</v>
      </c>
      <c r="I71" s="449">
        <v>0</v>
      </c>
      <c r="J71" s="450">
        <v>1</v>
      </c>
      <c r="K71" s="353"/>
      <c r="L71" s="353"/>
      <c r="M71" s="353"/>
      <c r="V71" s="352" t="s">
        <v>133</v>
      </c>
      <c r="W71" s="352" t="s">
        <v>194</v>
      </c>
      <c r="X71" s="352" t="str">
        <f t="shared" si="11"/>
        <v>Ron Vlaar (v)</v>
      </c>
      <c r="Y71" s="109">
        <f>AF71</f>
        <v>6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6</v>
      </c>
      <c r="AG71" s="108">
        <f>IF(AC71="",0,(IF(G71=AC71,1,0)))</f>
        <v>1</v>
      </c>
      <c r="AH71" s="108">
        <f>IF(AD71="",0,(IF(I71=AD71,1,0)))</f>
        <v>0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Argentinië</v>
      </c>
      <c r="E72" s="367" t="s">
        <v>9</v>
      </c>
      <c r="F72" s="406" t="str">
        <f>IF(J66="","Winnaar 56",IF(J66=1,D66,F66))</f>
        <v>Duitsland</v>
      </c>
      <c r="G72" s="435">
        <v>0</v>
      </c>
      <c r="H72" s="367" t="s">
        <v>9</v>
      </c>
      <c r="I72" s="447">
        <v>1</v>
      </c>
      <c r="J72" s="448">
        <v>1</v>
      </c>
      <c r="K72" s="353"/>
      <c r="L72" s="353"/>
      <c r="M72" s="353"/>
      <c r="V72" s="352" t="s">
        <v>133</v>
      </c>
      <c r="W72" s="352" t="s">
        <v>195</v>
      </c>
      <c r="X72" s="352" t="str">
        <f t="shared" si="11"/>
        <v>John Heitinga (v)</v>
      </c>
      <c r="Y72" s="109">
        <f>AF72</f>
        <v>0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0</v>
      </c>
      <c r="AG72" s="108">
        <f>IF(AC72="",0,(IF(G72=AC72,1,0)))</f>
        <v>0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0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Nederland</v>
      </c>
      <c r="E73" s="388" t="s">
        <v>9</v>
      </c>
      <c r="F73" s="412" t="str">
        <f>IF(J62="","Winnaar 52",IF(J62=1,D62,F62))</f>
        <v>Italië</v>
      </c>
      <c r="G73" s="438">
        <v>0</v>
      </c>
      <c r="H73" s="388" t="s">
        <v>9</v>
      </c>
      <c r="I73" s="453">
        <v>1</v>
      </c>
      <c r="J73" s="454">
        <v>2</v>
      </c>
      <c r="K73" s="353"/>
      <c r="L73" s="353"/>
      <c r="M73" s="353"/>
      <c r="V73" s="352" t="s">
        <v>133</v>
      </c>
      <c r="W73" s="352" t="s">
        <v>196</v>
      </c>
      <c r="X73" s="352" t="str">
        <f t="shared" si="11"/>
        <v>Urby Emanuelson (v)</v>
      </c>
      <c r="Y73" s="109">
        <f>AF73</f>
        <v>1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1</v>
      </c>
      <c r="AG73" s="108">
        <f>IF(AC73="",0,(IF(G73=AC73,1,0)))</f>
        <v>1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V74" s="352" t="s">
        <v>133</v>
      </c>
      <c r="W74" s="352" t="s">
        <v>197</v>
      </c>
      <c r="X74" s="352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79"/>
      <c r="K75" s="353"/>
      <c r="L75" s="353"/>
      <c r="M75" s="353"/>
      <c r="V75" s="352" t="s">
        <v>133</v>
      </c>
      <c r="W75" s="352" t="s">
        <v>198</v>
      </c>
      <c r="X75" s="352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76" t="s">
        <v>3</v>
      </c>
      <c r="E76" s="431"/>
      <c r="F76" s="477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V76" s="352" t="s">
        <v>133</v>
      </c>
      <c r="W76" s="352" t="s">
        <v>202</v>
      </c>
      <c r="X76" s="352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Portugal</v>
      </c>
      <c r="E77" s="367" t="s">
        <v>9</v>
      </c>
      <c r="F77" s="406" t="str">
        <f>IF(J71="","Winnaar 58",IF(J71=1,D71,F71))</f>
        <v>Brazilië</v>
      </c>
      <c r="G77" s="435">
        <v>0</v>
      </c>
      <c r="H77" s="367" t="s">
        <v>9</v>
      </c>
      <c r="I77" s="447">
        <v>2</v>
      </c>
      <c r="J77" s="448">
        <v>2</v>
      </c>
      <c r="K77" s="353"/>
      <c r="L77" s="353"/>
      <c r="M77" s="353"/>
      <c r="V77" s="352" t="s">
        <v>134</v>
      </c>
      <c r="W77" s="352" t="s">
        <v>203</v>
      </c>
      <c r="X77" s="352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Argentinië</v>
      </c>
      <c r="E78" s="388" t="s">
        <v>9</v>
      </c>
      <c r="F78" s="412" t="str">
        <f>IF(J73="","Winnaar 60",IF(J73=1,D73,F73))</f>
        <v>Italië</v>
      </c>
      <c r="G78" s="438">
        <v>2</v>
      </c>
      <c r="H78" s="388" t="s">
        <v>9</v>
      </c>
      <c r="I78" s="453">
        <v>0</v>
      </c>
      <c r="J78" s="454">
        <v>2</v>
      </c>
      <c r="K78" s="353"/>
      <c r="L78" s="353"/>
      <c r="M78" s="353"/>
      <c r="V78" s="352" t="s">
        <v>134</v>
      </c>
      <c r="W78" s="352" t="s">
        <v>199</v>
      </c>
      <c r="X78" s="352" t="str">
        <f t="shared" si="11"/>
        <v>Leroy Fer (m)</v>
      </c>
      <c r="Y78" s="109">
        <f>AF78</f>
        <v>1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1</v>
      </c>
      <c r="AG78" s="108">
        <f>IF(AC78="",0,(IF(G78=AC78,1,0)))</f>
        <v>0</v>
      </c>
      <c r="AH78" s="108">
        <f>IF(AD78="",0,(IF(I78=AD78,1,0)))</f>
        <v>1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V79" s="352" t="s">
        <v>134</v>
      </c>
      <c r="W79" s="352" t="s">
        <v>114</v>
      </c>
      <c r="X79" s="352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79"/>
      <c r="K80" s="353"/>
      <c r="L80" s="353"/>
      <c r="M80" s="353"/>
      <c r="V80" s="352" t="s">
        <v>134</v>
      </c>
      <c r="W80" s="352" t="s">
        <v>117</v>
      </c>
      <c r="X80" s="352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76" t="s">
        <v>3</v>
      </c>
      <c r="E81" s="431"/>
      <c r="F81" s="477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V81" s="352" t="s">
        <v>134</v>
      </c>
      <c r="W81" s="352" t="s">
        <v>120</v>
      </c>
      <c r="X81" s="352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Portugal</v>
      </c>
      <c r="E82" s="355" t="s">
        <v>9</v>
      </c>
      <c r="F82" s="415" t="str">
        <f>IF(J78="","Verliezer 62",IF(J78=1,F78,D78))</f>
        <v>Argentinië</v>
      </c>
      <c r="G82" s="455">
        <v>1</v>
      </c>
      <c r="H82" s="355" t="s">
        <v>9</v>
      </c>
      <c r="I82" s="456">
        <v>0</v>
      </c>
      <c r="J82" s="457">
        <v>1</v>
      </c>
      <c r="K82" s="353"/>
      <c r="L82" s="353"/>
      <c r="M82" s="353"/>
      <c r="V82" s="352" t="s">
        <v>134</v>
      </c>
      <c r="W82" s="352" t="s">
        <v>125</v>
      </c>
      <c r="X82" s="35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V83" s="352" t="s">
        <v>134</v>
      </c>
      <c r="W83" s="352" t="s">
        <v>136</v>
      </c>
      <c r="X83" s="352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79"/>
      <c r="K84" s="353"/>
      <c r="L84" s="353"/>
      <c r="M84" s="353"/>
      <c r="V84" s="352" t="s">
        <v>134</v>
      </c>
      <c r="W84" s="352" t="s">
        <v>137</v>
      </c>
      <c r="X84" s="352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76" t="s">
        <v>3</v>
      </c>
      <c r="E85" s="431"/>
      <c r="F85" s="477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V85" s="352" t="s">
        <v>134</v>
      </c>
      <c r="W85" s="352" t="s">
        <v>138</v>
      </c>
      <c r="X85" s="352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Brazilië</v>
      </c>
      <c r="E86" s="355" t="s">
        <v>9</v>
      </c>
      <c r="F86" s="415" t="str">
        <f>IF(J78="","Winnaar 62",IF(J78=1,D78,F78))</f>
        <v>Italië</v>
      </c>
      <c r="G86" s="455">
        <v>1</v>
      </c>
      <c r="H86" s="355" t="s">
        <v>9</v>
      </c>
      <c r="I86" s="456">
        <v>0</v>
      </c>
      <c r="J86" s="457">
        <v>1</v>
      </c>
      <c r="K86" s="353"/>
      <c r="L86" s="353"/>
      <c r="M86" s="353"/>
      <c r="V86" s="352" t="s">
        <v>134</v>
      </c>
      <c r="W86" s="352" t="s">
        <v>139</v>
      </c>
      <c r="X86" s="352" t="str">
        <f t="shared" si="11"/>
        <v>Nigel de Jong (m)</v>
      </c>
      <c r="Y86" s="109">
        <f>AF86</f>
        <v>1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1</v>
      </c>
      <c r="AG86" s="108">
        <f>IF(AC86="",0,(IF(G86=AC86,1,0)))</f>
        <v>0</v>
      </c>
      <c r="AH86" s="108">
        <f>IF(AD86="",0,(IF(I86=AD86,1,0)))</f>
        <v>1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353"/>
      <c r="C87" s="129"/>
      <c r="D87" s="392"/>
      <c r="E87" s="353"/>
      <c r="F87" s="392"/>
      <c r="G87" s="353"/>
      <c r="H87" s="353"/>
      <c r="I87" s="353"/>
      <c r="J87" s="353"/>
      <c r="K87" s="353"/>
      <c r="L87" s="353"/>
      <c r="M87" s="353"/>
      <c r="V87" s="352" t="s">
        <v>135</v>
      </c>
      <c r="W87" s="352" t="s">
        <v>205</v>
      </c>
      <c r="X87" s="352" t="str">
        <f t="shared" si="11"/>
        <v>Ricky van Wolfswinkel (a)</v>
      </c>
      <c r="AP87" s="136" t="s">
        <v>102</v>
      </c>
    </row>
    <row r="88" spans="2:50">
      <c r="B88" s="353"/>
      <c r="C88" s="129"/>
      <c r="D88" s="392"/>
      <c r="E88" s="353"/>
      <c r="F88" s="392"/>
      <c r="G88" s="353"/>
      <c r="H88" s="353"/>
      <c r="I88" s="353"/>
      <c r="J88" s="353"/>
      <c r="K88" s="353"/>
      <c r="L88" s="353"/>
      <c r="M88" s="353"/>
      <c r="V88" s="352" t="s">
        <v>135</v>
      </c>
      <c r="W88" s="352" t="s">
        <v>204</v>
      </c>
      <c r="X88" s="352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458"/>
    </row>
    <row r="89" spans="2:50" ht="20.25">
      <c r="C89" s="874" t="s">
        <v>101</v>
      </c>
      <c r="D89" s="871"/>
      <c r="E89" s="873" t="str">
        <f>IF(J86=1,D86,IF(J86=2,F86,"Wie zal het worden?"))</f>
        <v>Brazilië</v>
      </c>
      <c r="F89" s="873"/>
      <c r="G89" s="873"/>
      <c r="H89" s="873"/>
      <c r="I89" s="873"/>
      <c r="J89" s="873"/>
      <c r="K89" s="353"/>
      <c r="L89" s="353"/>
      <c r="M89" s="353"/>
      <c r="V89" s="352" t="s">
        <v>135</v>
      </c>
      <c r="W89" s="352" t="s">
        <v>201</v>
      </c>
      <c r="X89" s="352" t="str">
        <f t="shared" si="11"/>
        <v>Jermain Lens (a)</v>
      </c>
      <c r="AP89" s="109">
        <f>AU89</f>
        <v>5</v>
      </c>
      <c r="AQ89" s="131">
        <v>1</v>
      </c>
      <c r="AR89" s="904" t="str">
        <f>Uitslag!E89</f>
        <v>Duitsland</v>
      </c>
      <c r="AS89" s="905"/>
      <c r="AT89" s="906"/>
      <c r="AU89" s="352">
        <f>SUM(AV89:AX89)</f>
        <v>5</v>
      </c>
      <c r="AV89" s="352">
        <f>IF(AR89=0,0,IF(E89=AR89,50,0))</f>
        <v>0</v>
      </c>
      <c r="AW89" s="352">
        <f>IF(E89=0,0,IF(OR(E89=AR90),15,0))</f>
        <v>0</v>
      </c>
      <c r="AX89" s="352">
        <f>IF(E89=0,0,IF(OR(E89=AR91,E89=AR92),5,0))</f>
        <v>5</v>
      </c>
    </row>
    <row r="90" spans="2:50">
      <c r="C90" s="870">
        <v>2</v>
      </c>
      <c r="D90" s="871"/>
      <c r="E90" s="872" t="str">
        <f>IF(J86=2,D86,IF(J86=1,F86,"Wie wordt 2de?"))</f>
        <v>Italië</v>
      </c>
      <c r="F90" s="872"/>
      <c r="G90" s="872"/>
      <c r="H90" s="872"/>
      <c r="I90" s="872"/>
      <c r="J90" s="872"/>
      <c r="V90" s="352" t="s">
        <v>135</v>
      </c>
      <c r="W90" s="352" t="s">
        <v>200</v>
      </c>
      <c r="X90" s="352" t="str">
        <f t="shared" si="11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 s="352">
        <f>SUM(AV90:AX90)</f>
        <v>0</v>
      </c>
      <c r="AV90" s="352">
        <f>IF(AR90=0,0,IF(AR90=E90,25,0))</f>
        <v>0</v>
      </c>
      <c r="AW90" s="352">
        <f>IF(E90=0,0,IF(OR(E90=AR89,),15,0))</f>
        <v>0</v>
      </c>
      <c r="AX90" s="352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Portugal</v>
      </c>
      <c r="F91" s="872"/>
      <c r="G91" s="872"/>
      <c r="H91" s="872"/>
      <c r="I91" s="872"/>
      <c r="J91" s="872"/>
      <c r="V91" s="352" t="s">
        <v>135</v>
      </c>
      <c r="W91" s="352" t="s">
        <v>128</v>
      </c>
      <c r="X91" s="352" t="str">
        <f t="shared" si="11"/>
        <v>Jürgen Locadia (a)</v>
      </c>
      <c r="AP91" s="109">
        <f>AU91</f>
        <v>0</v>
      </c>
      <c r="AQ91" s="131">
        <v>3</v>
      </c>
      <c r="AR91" s="904" t="str">
        <f>Uitslag!E91</f>
        <v>Nederland</v>
      </c>
      <c r="AS91" s="905"/>
      <c r="AT91" s="906"/>
      <c r="AU91" s="352">
        <f>SUM(AV91:AX91)</f>
        <v>0</v>
      </c>
      <c r="AV91" s="352">
        <f>IF(AR91=0,0,IF(AR91=E91,15,0))</f>
        <v>0</v>
      </c>
      <c r="AW91" s="352">
        <f>IF(E91=0,0,IF(OR(E91=AR92),10,0))</f>
        <v>0</v>
      </c>
      <c r="AX91" s="352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Argentinië</v>
      </c>
      <c r="F92" s="872"/>
      <c r="G92" s="872"/>
      <c r="H92" s="872"/>
      <c r="I92" s="872"/>
      <c r="J92" s="872"/>
      <c r="V92" s="352" t="s">
        <v>135</v>
      </c>
      <c r="W92" s="352" t="s">
        <v>127</v>
      </c>
      <c r="X92" s="352" t="str">
        <f t="shared" si="11"/>
        <v>Memphis Depay (a)</v>
      </c>
      <c r="AP92" s="109">
        <f>AU92</f>
        <v>5</v>
      </c>
      <c r="AQ92" s="131">
        <v>4</v>
      </c>
      <c r="AR92" s="904" t="str">
        <f>Uitslag!E92</f>
        <v>Brazilië</v>
      </c>
      <c r="AS92" s="905"/>
      <c r="AT92" s="906"/>
      <c r="AU92" s="352">
        <f>SUM(AV92:AX92)</f>
        <v>5</v>
      </c>
      <c r="AV92" s="352">
        <f>IF(AR92=0,0,IF(AR92=E92,15,0))</f>
        <v>0</v>
      </c>
      <c r="AW92" s="352">
        <f>IF(E92=0,0,IF(OR(E92=AR91,),10,0))</f>
        <v>0</v>
      </c>
      <c r="AX92" s="352">
        <f>IF(E92=0,0,IF(OR(E92=AR89,E92=AR90),5,0))</f>
        <v>5</v>
      </c>
    </row>
    <row r="93" spans="2:50" ht="15.75" thickBot="1">
      <c r="V93" s="352" t="s">
        <v>135</v>
      </c>
      <c r="W93" s="352" t="s">
        <v>123</v>
      </c>
      <c r="X93" s="352" t="str">
        <f t="shared" si="11"/>
        <v>Quincy Promes (a)</v>
      </c>
      <c r="AS93" s="132"/>
      <c r="AU93" s="133">
        <f>SUM(AU89:AU92)</f>
        <v>10</v>
      </c>
    </row>
    <row r="94" spans="2:50" ht="15.75" thickTop="1">
      <c r="V94" s="352" t="s">
        <v>135</v>
      </c>
      <c r="W94" s="352" t="s">
        <v>122</v>
      </c>
      <c r="X94" s="352" t="str">
        <f t="shared" si="11"/>
        <v>Luc Castaignos (a)</v>
      </c>
    </row>
    <row r="95" spans="2:50">
      <c r="V95" s="352" t="s">
        <v>135</v>
      </c>
      <c r="W95" s="352" t="s">
        <v>113</v>
      </c>
      <c r="X95" s="352" t="str">
        <f t="shared" si="11"/>
        <v>Jean-Paul Boëtius (a)</v>
      </c>
    </row>
    <row r="96" spans="2:50">
      <c r="V96" s="352" t="s">
        <v>135</v>
      </c>
      <c r="W96" s="352" t="s">
        <v>129</v>
      </c>
      <c r="X96" s="352" t="str">
        <f t="shared" si="11"/>
        <v>Luciano Narsingh (a)</v>
      </c>
    </row>
    <row r="97" spans="22:24">
      <c r="V97" s="352" t="s">
        <v>135</v>
      </c>
      <c r="W97" s="352" t="s">
        <v>130</v>
      </c>
      <c r="X97" s="352" t="str">
        <f t="shared" si="11"/>
        <v>Robin van Persie (a)</v>
      </c>
    </row>
    <row r="98" spans="22:24">
      <c r="V98" s="352" t="s">
        <v>135</v>
      </c>
      <c r="W98" s="352" t="s">
        <v>131</v>
      </c>
      <c r="X98" s="352" t="str">
        <f t="shared" si="11"/>
        <v>Arjen Robben (a)</v>
      </c>
    </row>
  </sheetData>
  <mergeCells count="36">
    <mergeCell ref="C91:D91"/>
    <mergeCell ref="E91:J91"/>
    <mergeCell ref="AR91:AT91"/>
    <mergeCell ref="C92:D92"/>
    <mergeCell ref="E92:J92"/>
    <mergeCell ref="AR92:AT92"/>
    <mergeCell ref="C89:D89"/>
    <mergeCell ref="E89:J89"/>
    <mergeCell ref="AR89:AT89"/>
    <mergeCell ref="C90:D90"/>
    <mergeCell ref="E90:J90"/>
    <mergeCell ref="AR90:AT90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</mergeCells>
  <conditionalFormatting sqref="AO9:AO12 AO15:AO18 AO21:AO24 AO27:AO30 AO33:AO36 AO39:AO42 AO45:AO48 AO51:AO54">
    <cfRule type="cellIs" dxfId="65" priority="3" operator="equal">
      <formula>10</formula>
    </cfRule>
  </conditionalFormatting>
  <conditionalFormatting sqref="P58:T58">
    <cfRule type="duplicateValues" dxfId="64" priority="2"/>
  </conditionalFormatting>
  <conditionalFormatting sqref="P58:T68">
    <cfRule type="duplicateValues" dxfId="63" priority="1"/>
  </conditionalFormatting>
  <dataValidations count="10">
    <dataValidation type="list" allowBlank="1" showInputMessage="1" showErrorMessage="1" sqref="P58:P68">
      <formula1>$X$58:$X$98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51:T54">
      <formula1>$W$51:$W$54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B1:BB98"/>
  <sheetViews>
    <sheetView topLeftCell="A55" zoomScale="70" zoomScaleNormal="70" workbookViewId="0">
      <selection activeCell="D77" sqref="D77"/>
    </sheetView>
  </sheetViews>
  <sheetFormatPr defaultRowHeight="15" outlineLevelCol="2"/>
  <cols>
    <col min="1" max="1" width="3.42578125" customWidth="1"/>
    <col min="2" max="2" width="3.5703125" bestFit="1" customWidth="1"/>
    <col min="3" max="3" width="8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204" t="s">
        <v>145</v>
      </c>
      <c r="D3" s="145" t="s">
        <v>227</v>
      </c>
      <c r="E3" s="145"/>
      <c r="F3" s="145"/>
      <c r="N3" t="str">
        <f>D3</f>
        <v>Anoeska van S.</v>
      </c>
      <c r="O3" s="144">
        <f>SUM(P3:S3)</f>
        <v>431</v>
      </c>
      <c r="P3" s="109">
        <f>SUM(Y8:Y86)</f>
        <v>203</v>
      </c>
      <c r="Q3" s="109">
        <f>SUM(AM4:AM55)</f>
        <v>120</v>
      </c>
      <c r="R3" s="109">
        <f>SUM(AP89:AP92)</f>
        <v>60</v>
      </c>
      <c r="S3" s="109">
        <f>SUM(BB58:BB69)</f>
        <v>48</v>
      </c>
      <c r="T3" s="109">
        <f>COUNTIF(AF8:AF86,10)</f>
        <v>7</v>
      </c>
      <c r="U3" s="109" t="str">
        <f>E89</f>
        <v>Duitsland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1"/>
      <c r="L6" s="1"/>
      <c r="O6" s="40"/>
      <c r="P6" s="41"/>
      <c r="Q6" s="41"/>
      <c r="R6" s="41"/>
      <c r="S6" s="41"/>
      <c r="T6" s="41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66" t="s">
        <v>1</v>
      </c>
      <c r="C7" s="121" t="s">
        <v>2</v>
      </c>
      <c r="D7" s="196" t="s">
        <v>3</v>
      </c>
      <c r="E7" s="69"/>
      <c r="F7" s="197" t="s">
        <v>4</v>
      </c>
      <c r="G7" s="880" t="s">
        <v>5</v>
      </c>
      <c r="H7" s="881"/>
      <c r="I7" s="882"/>
      <c r="J7" s="71" t="s">
        <v>6</v>
      </c>
      <c r="K7" s="4" t="s">
        <v>7</v>
      </c>
      <c r="L7" s="4" t="s">
        <v>7</v>
      </c>
      <c r="O7" s="1"/>
      <c r="P7" s="41"/>
      <c r="Q7" s="41"/>
      <c r="R7" s="41"/>
      <c r="S7" s="41"/>
      <c r="T7" s="41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5">
        <v>1</v>
      </c>
      <c r="C8" s="205">
        <v>41802</v>
      </c>
      <c r="D8" s="7" t="s">
        <v>8</v>
      </c>
      <c r="E8" s="8" t="s">
        <v>9</v>
      </c>
      <c r="F8" s="9" t="s">
        <v>10</v>
      </c>
      <c r="G8" s="84">
        <v>3</v>
      </c>
      <c r="H8" s="8" t="s">
        <v>9</v>
      </c>
      <c r="I8" s="192">
        <v>1</v>
      </c>
      <c r="J8" s="10">
        <f>IF(I8="","",IF(G8&gt;I8,1,IF(G8&lt;I8,2,3)))</f>
        <v>1</v>
      </c>
      <c r="K8" s="11">
        <f>IF(I8="","",IF($G8&gt;$I8,3,IF($G8=$I8,1,0)))</f>
        <v>3</v>
      </c>
      <c r="L8" s="11">
        <f>IF(I8="","",IF($G8&lt;$I8,3,IF($G8=$I8,1,0)))</f>
        <v>0</v>
      </c>
      <c r="O8" s="72" t="s">
        <v>41</v>
      </c>
      <c r="P8" s="73" t="s">
        <v>42</v>
      </c>
      <c r="Q8" s="73" t="s">
        <v>43</v>
      </c>
      <c r="R8" s="74" t="s">
        <v>44</v>
      </c>
      <c r="S8" s="75" t="s">
        <v>45</v>
      </c>
      <c r="T8" s="76" t="s">
        <v>46</v>
      </c>
      <c r="U8" s="40"/>
      <c r="V8" s="40"/>
      <c r="W8" s="40"/>
      <c r="Y8" s="109">
        <f>AF8</f>
        <v>10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10</v>
      </c>
      <c r="AG8" s="108">
        <f t="shared" ref="AG8:AG55" si="0">IF(AC8="",0,(IF(G8=AC8,1,0)))</f>
        <v>1</v>
      </c>
      <c r="AH8" s="108">
        <f t="shared" ref="AH8:AH55" si="1">IF(AD8="",0,(IF(I8=AD8,1,0)))</f>
        <v>1</v>
      </c>
      <c r="AI8" s="108">
        <f>IF(AND(AG8=1,AH8=1),10,0)</f>
        <v>10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12">
        <v>2</v>
      </c>
      <c r="C9" s="206">
        <v>41803</v>
      </c>
      <c r="D9" s="14" t="s">
        <v>11</v>
      </c>
      <c r="E9" s="15" t="s">
        <v>9</v>
      </c>
      <c r="F9" s="16" t="s">
        <v>12</v>
      </c>
      <c r="G9" s="85">
        <v>1</v>
      </c>
      <c r="H9" s="15" t="s">
        <v>9</v>
      </c>
      <c r="I9" s="90">
        <v>1</v>
      </c>
      <c r="J9" s="17">
        <f t="shared" ref="J9:J55" si="5">IF(I9="","",IF(G9&gt;I9,1,IF(G9&lt;I9,2,3)))</f>
        <v>3</v>
      </c>
      <c r="K9" s="11">
        <f t="shared" ref="K9:K55" si="6">IF(I9="","",IF($G9&gt;$I9,3,IF($G9=$I9,1,0)))</f>
        <v>1</v>
      </c>
      <c r="L9" s="11">
        <f t="shared" ref="L9:L55" si="7">IF(I9="","",IF($G9&lt;$I9,3,IF($G9=$I9,1,0)))</f>
        <v>1</v>
      </c>
      <c r="O9" s="44" t="s">
        <v>8</v>
      </c>
      <c r="P9" s="45">
        <f>SUMIF($D$8:$D$55,$O9,$G$8:$G$55)+SUMIF($F$8:$F$55,$O9,$I$8:$I$55)</f>
        <v>7</v>
      </c>
      <c r="Q9" s="45">
        <f>SUMIF($D$8:$D$55,$O9,$I$8:$I$55)+SUMIF($F$8:$F$55,$O9,$G$8:$G$55)</f>
        <v>2</v>
      </c>
      <c r="R9" s="46">
        <f>P9-Q9</f>
        <v>5</v>
      </c>
      <c r="S9" s="47">
        <f>SUMIF($D$8:$D$55,$O9,$K$8:$K$55)+SUMIF($F$8:$F$55,$O9,$L$8:$L$55)</f>
        <v>9</v>
      </c>
      <c r="T9" s="94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1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1</v>
      </c>
      <c r="AG9" s="108">
        <f t="shared" si="0"/>
        <v>1</v>
      </c>
      <c r="AH9" s="108">
        <f t="shared" si="1"/>
        <v>0</v>
      </c>
      <c r="AI9" s="108">
        <f t="shared" ref="AI9:AI55" si="10">IF(AND(AG9=1,AH9=1),10,0)</f>
        <v>0</v>
      </c>
      <c r="AJ9" s="108">
        <f t="shared" si="2"/>
        <v>0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18">
        <v>3</v>
      </c>
      <c r="C10" s="207">
        <v>41803</v>
      </c>
      <c r="D10" s="20" t="s">
        <v>13</v>
      </c>
      <c r="E10" s="21" t="s">
        <v>9</v>
      </c>
      <c r="F10" s="22" t="s">
        <v>14</v>
      </c>
      <c r="G10" s="86">
        <v>2</v>
      </c>
      <c r="H10" s="21" t="s">
        <v>9</v>
      </c>
      <c r="I10" s="91">
        <v>0</v>
      </c>
      <c r="J10" s="23">
        <f t="shared" si="5"/>
        <v>1</v>
      </c>
      <c r="K10" s="11">
        <f t="shared" si="6"/>
        <v>3</v>
      </c>
      <c r="L10" s="11">
        <f t="shared" si="7"/>
        <v>0</v>
      </c>
      <c r="O10" s="48" t="s">
        <v>10</v>
      </c>
      <c r="P10" s="49">
        <f>SUMIF($D$8:$D$55,$O10,$G$8:$G$55)+SUMIF($F$8:$F$55,$O10,$I$8:$I$55)</f>
        <v>5</v>
      </c>
      <c r="Q10" s="49">
        <f>SUMIF($D$8:$D$55,$O10,$I$8:$I$55)+SUMIF($F$8:$F$55,$O10,$G$8:$G$55)</f>
        <v>6</v>
      </c>
      <c r="R10" s="49">
        <f>P10-Q10</f>
        <v>-1</v>
      </c>
      <c r="S10" s="50">
        <f>SUMIF($D$8:$D$55,$O10,$K$8:$K$55)+SUMIF($F$8:$F$55,$O10,$L$8:$L$55)</f>
        <v>4</v>
      </c>
      <c r="T10" s="95" t="s">
        <v>49</v>
      </c>
      <c r="U10" s="40"/>
      <c r="V10" s="40" t="str">
        <f>O10</f>
        <v>Kroatië</v>
      </c>
      <c r="W10" s="40" t="s">
        <v>49</v>
      </c>
      <c r="Y10" s="109">
        <f t="shared" si="8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0</v>
      </c>
      <c r="AG10" s="108">
        <f t="shared" si="0"/>
        <v>0</v>
      </c>
      <c r="AH10" s="108">
        <f t="shared" si="1"/>
        <v>0</v>
      </c>
      <c r="AI10" s="108">
        <f t="shared" si="10"/>
        <v>0</v>
      </c>
      <c r="AJ10" s="108">
        <f t="shared" si="2"/>
        <v>0</v>
      </c>
      <c r="AK10" s="108">
        <f t="shared" si="3"/>
        <v>0</v>
      </c>
      <c r="AL10" s="108">
        <f t="shared" si="4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24">
        <v>4</v>
      </c>
      <c r="C11" s="208">
        <v>41803</v>
      </c>
      <c r="D11" s="26" t="s">
        <v>15</v>
      </c>
      <c r="E11" s="27" t="s">
        <v>9</v>
      </c>
      <c r="F11" s="28" t="s">
        <v>16</v>
      </c>
      <c r="G11" s="87">
        <v>2</v>
      </c>
      <c r="H11" s="27" t="s">
        <v>9</v>
      </c>
      <c r="I11" s="92">
        <v>1</v>
      </c>
      <c r="J11" s="29">
        <f t="shared" si="5"/>
        <v>1</v>
      </c>
      <c r="K11" s="11">
        <f t="shared" si="6"/>
        <v>3</v>
      </c>
      <c r="L11" s="11">
        <f t="shared" si="7"/>
        <v>0</v>
      </c>
      <c r="O11" s="48" t="s">
        <v>11</v>
      </c>
      <c r="P11" s="49">
        <f>SUMIF($D$8:$D$55,$O11,$G$8:$G$55)+SUMIF($F$8:$F$55,$O11,$I$8:$I$55)</f>
        <v>2</v>
      </c>
      <c r="Q11" s="49">
        <f>SUMIF($D$8:$D$55,$O11,$I$8:$I$55)+SUMIF($F$8:$F$55,$O11,$G$8:$G$55)</f>
        <v>5</v>
      </c>
      <c r="R11" s="49">
        <f>P11-Q11</f>
        <v>-3</v>
      </c>
      <c r="S11" s="50">
        <f>SUMIF($D$8:$D$55,$O11,$K$8:$K$55)+SUMIF($F$8:$F$55,$O11,$L$8:$L$55)</f>
        <v>1</v>
      </c>
      <c r="T11" s="95" t="s">
        <v>50</v>
      </c>
      <c r="U11" s="40"/>
      <c r="V11" s="40" t="str">
        <f>O11</f>
        <v>Mexico</v>
      </c>
      <c r="W11" s="40" t="s">
        <v>47</v>
      </c>
      <c r="Y11" s="109">
        <f t="shared" si="8"/>
        <v>6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6</v>
      </c>
      <c r="AG11" s="108">
        <f t="shared" si="0"/>
        <v>0</v>
      </c>
      <c r="AH11" s="108">
        <f t="shared" si="1"/>
        <v>1</v>
      </c>
      <c r="AI11" s="108">
        <f t="shared" si="10"/>
        <v>0</v>
      </c>
      <c r="AJ11" s="108">
        <f t="shared" si="2"/>
        <v>5</v>
      </c>
      <c r="AK11" s="108">
        <f t="shared" si="3"/>
        <v>0</v>
      </c>
      <c r="AL11" s="108">
        <f t="shared" si="4"/>
        <v>0</v>
      </c>
      <c r="AM11" s="120">
        <f>AO11</f>
        <v>0</v>
      </c>
      <c r="AN11" s="117" t="s">
        <v>11</v>
      </c>
      <c r="AO11" s="115">
        <f>IF(Uitslag!T11="",0,IF(T11=Uitslag!T11,10,0))</f>
        <v>0</v>
      </c>
    </row>
    <row r="12" spans="2:54" ht="15.75" thickBot="1">
      <c r="B12" s="12">
        <v>5</v>
      </c>
      <c r="C12" s="206">
        <v>41804</v>
      </c>
      <c r="D12" s="14" t="s">
        <v>17</v>
      </c>
      <c r="E12" s="15" t="s">
        <v>9</v>
      </c>
      <c r="F12" s="16" t="s">
        <v>18</v>
      </c>
      <c r="G12" s="85">
        <v>1</v>
      </c>
      <c r="H12" s="15" t="s">
        <v>9</v>
      </c>
      <c r="I12" s="90">
        <v>0</v>
      </c>
      <c r="J12" s="17">
        <f t="shared" si="5"/>
        <v>1</v>
      </c>
      <c r="K12" s="11">
        <f t="shared" si="6"/>
        <v>3</v>
      </c>
      <c r="L12" s="11">
        <f t="shared" si="7"/>
        <v>0</v>
      </c>
      <c r="O12" s="51" t="s">
        <v>12</v>
      </c>
      <c r="P12" s="52">
        <f>SUMIF($D$8:$D$55,$O12,$G$8:$G$55)+SUMIF($F$8:$F$55,$O12,$I$8:$I$55)</f>
        <v>4</v>
      </c>
      <c r="Q12" s="52">
        <f>SUMIF($D$8:$D$55,$O12,$I$8:$I$55)+SUMIF($F$8:$F$55,$O12,$G$8:$G$55)</f>
        <v>5</v>
      </c>
      <c r="R12" s="52">
        <f>P12-Q12</f>
        <v>-1</v>
      </c>
      <c r="S12" s="53">
        <f>SUMIF($D$8:$D$55,$O12,$K$8:$K$55)+SUMIF($F$8:$F$55,$O12,$L$8:$L$55)</f>
        <v>2</v>
      </c>
      <c r="T12" s="96" t="s">
        <v>47</v>
      </c>
      <c r="U12" s="40"/>
      <c r="V12" s="40" t="str">
        <f>O12</f>
        <v>Kameroen</v>
      </c>
      <c r="W12" s="40" t="s">
        <v>50</v>
      </c>
      <c r="Y12" s="109">
        <f t="shared" si="8"/>
        <v>6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6</v>
      </c>
      <c r="AG12" s="108">
        <f t="shared" si="0"/>
        <v>0</v>
      </c>
      <c r="AH12" s="108">
        <f t="shared" si="1"/>
        <v>1</v>
      </c>
      <c r="AI12" s="108">
        <f t="shared" si="10"/>
        <v>0</v>
      </c>
      <c r="AJ12" s="108">
        <f t="shared" si="2"/>
        <v>5</v>
      </c>
      <c r="AK12" s="108">
        <f t="shared" si="3"/>
        <v>0</v>
      </c>
      <c r="AL12" s="108">
        <f t="shared" si="4"/>
        <v>0</v>
      </c>
      <c r="AM12" s="120">
        <f>AO12</f>
        <v>0</v>
      </c>
      <c r="AN12" s="118" t="s">
        <v>12</v>
      </c>
      <c r="AO12" s="115">
        <f>IF(Uitslag!T12="",0,IF(T12=Uitslag!T12,10,0))</f>
        <v>0</v>
      </c>
    </row>
    <row r="13" spans="2:54" ht="15.75" thickBot="1">
      <c r="B13" s="18">
        <v>6</v>
      </c>
      <c r="C13" s="207">
        <v>41804</v>
      </c>
      <c r="D13" s="20" t="s">
        <v>19</v>
      </c>
      <c r="E13" s="21" t="s">
        <v>9</v>
      </c>
      <c r="F13" s="30" t="s">
        <v>20</v>
      </c>
      <c r="G13" s="86">
        <v>3</v>
      </c>
      <c r="H13" s="21" t="s">
        <v>9</v>
      </c>
      <c r="I13" s="91">
        <v>1</v>
      </c>
      <c r="J13" s="23">
        <f t="shared" si="5"/>
        <v>1</v>
      </c>
      <c r="K13" s="11">
        <f t="shared" si="6"/>
        <v>3</v>
      </c>
      <c r="L13" s="11">
        <f t="shared" si="7"/>
        <v>0</v>
      </c>
      <c r="O13" s="40"/>
      <c r="P13" s="41"/>
      <c r="Q13" s="41"/>
      <c r="R13" s="41"/>
      <c r="S13" s="41"/>
      <c r="T13" s="41"/>
      <c r="U13" s="40"/>
      <c r="V13" s="40"/>
      <c r="W13" s="40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0"/>
        <v>0</v>
      </c>
      <c r="AH13" s="108">
        <f t="shared" si="1"/>
        <v>0</v>
      </c>
      <c r="AI13" s="108">
        <f t="shared" si="10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40"/>
      <c r="AO13" s="41"/>
    </row>
    <row r="14" spans="2:54" ht="15.75" thickBot="1">
      <c r="B14" s="18">
        <v>7</v>
      </c>
      <c r="C14" s="207">
        <v>41804</v>
      </c>
      <c r="D14" s="20" t="s">
        <v>21</v>
      </c>
      <c r="E14" s="21" t="s">
        <v>9</v>
      </c>
      <c r="F14" s="30" t="s">
        <v>22</v>
      </c>
      <c r="G14" s="86">
        <v>1</v>
      </c>
      <c r="H14" s="21" t="s">
        <v>9</v>
      </c>
      <c r="I14" s="91">
        <v>2</v>
      </c>
      <c r="J14" s="23">
        <f t="shared" si="5"/>
        <v>2</v>
      </c>
      <c r="K14" s="11">
        <f t="shared" si="6"/>
        <v>0</v>
      </c>
      <c r="L14" s="11">
        <f t="shared" si="7"/>
        <v>3</v>
      </c>
      <c r="O14" s="72" t="s">
        <v>51</v>
      </c>
      <c r="P14" s="73" t="s">
        <v>42</v>
      </c>
      <c r="Q14" s="73" t="s">
        <v>43</v>
      </c>
      <c r="R14" s="74" t="s">
        <v>44</v>
      </c>
      <c r="S14" s="75" t="s">
        <v>45</v>
      </c>
      <c r="T14" s="76" t="s">
        <v>46</v>
      </c>
      <c r="U14" s="40"/>
      <c r="V14" s="40"/>
      <c r="W14" s="40"/>
      <c r="Y14" s="109">
        <f t="shared" si="8"/>
        <v>10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10</v>
      </c>
      <c r="AG14" s="108">
        <f t="shared" si="0"/>
        <v>1</v>
      </c>
      <c r="AH14" s="108">
        <f t="shared" si="1"/>
        <v>1</v>
      </c>
      <c r="AI14" s="108">
        <f t="shared" si="10"/>
        <v>10</v>
      </c>
      <c r="AJ14" s="108">
        <f t="shared" si="2"/>
        <v>0</v>
      </c>
      <c r="AK14" s="108">
        <f t="shared" si="3"/>
        <v>5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24">
        <v>8</v>
      </c>
      <c r="C15" s="208">
        <v>41804</v>
      </c>
      <c r="D15" s="26" t="s">
        <v>23</v>
      </c>
      <c r="E15" s="27" t="s">
        <v>9</v>
      </c>
      <c r="F15" s="28" t="s">
        <v>24</v>
      </c>
      <c r="G15" s="87">
        <v>2</v>
      </c>
      <c r="H15" s="27" t="s">
        <v>9</v>
      </c>
      <c r="I15" s="92">
        <v>2</v>
      </c>
      <c r="J15" s="29">
        <f t="shared" si="5"/>
        <v>3</v>
      </c>
      <c r="K15" s="11">
        <f t="shared" si="6"/>
        <v>1</v>
      </c>
      <c r="L15" s="11">
        <f t="shared" si="7"/>
        <v>1</v>
      </c>
      <c r="O15" s="44" t="s">
        <v>13</v>
      </c>
      <c r="P15" s="45">
        <f>SUMIF($D$8:$D$55,$O15,$G$8:$G$55)+SUMIF($F$8:$F$55,$O15,$I$8:$I$55)</f>
        <v>7</v>
      </c>
      <c r="Q15" s="45">
        <f>SUMIF($D$8:$D$55,$O15,$I$8:$I$55)+SUMIF($F$8:$F$55,$O15,$G$8:$G$55)</f>
        <v>2</v>
      </c>
      <c r="R15" s="46">
        <f>P15-Q15</f>
        <v>5</v>
      </c>
      <c r="S15" s="47">
        <f>SUMIF($D$8:$D$55,$O15,$K$8:$K$55)+SUMIF($F$8:$F$55,$O15,$L$8:$L$55)</f>
        <v>9</v>
      </c>
      <c r="T15" s="94" t="s">
        <v>52</v>
      </c>
      <c r="U15" s="40"/>
      <c r="V15" s="40" t="str">
        <f>O15</f>
        <v>Spanje</v>
      </c>
      <c r="W15" s="40" t="s">
        <v>52</v>
      </c>
      <c r="Y15" s="109">
        <f t="shared" si="8"/>
        <v>1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1</v>
      </c>
      <c r="AG15" s="108">
        <f t="shared" si="0"/>
        <v>1</v>
      </c>
      <c r="AH15" s="108">
        <f t="shared" si="1"/>
        <v>0</v>
      </c>
      <c r="AI15" s="108">
        <f t="shared" si="10"/>
        <v>0</v>
      </c>
      <c r="AJ15" s="108">
        <f t="shared" si="2"/>
        <v>0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12">
        <v>9</v>
      </c>
      <c r="C16" s="206">
        <v>41805</v>
      </c>
      <c r="D16" s="14" t="s">
        <v>25</v>
      </c>
      <c r="E16" s="15" t="s">
        <v>9</v>
      </c>
      <c r="F16" s="16" t="s">
        <v>26</v>
      </c>
      <c r="G16" s="85">
        <v>2</v>
      </c>
      <c r="H16" s="15" t="s">
        <v>9</v>
      </c>
      <c r="I16" s="90">
        <v>1</v>
      </c>
      <c r="J16" s="17">
        <f t="shared" si="5"/>
        <v>1</v>
      </c>
      <c r="K16" s="11">
        <f t="shared" si="6"/>
        <v>3</v>
      </c>
      <c r="L16" s="11">
        <f t="shared" si="7"/>
        <v>0</v>
      </c>
      <c r="O16" s="54" t="s">
        <v>14</v>
      </c>
      <c r="P16" s="49">
        <f>SUMIF($D$8:$D$55,$O16,$G$8:$G$55)+SUMIF($F$8:$F$55,$O16,$I$8:$I$55)</f>
        <v>3</v>
      </c>
      <c r="Q16" s="49">
        <f>SUMIF($D$8:$D$55,$O16,$I$8:$I$55)+SUMIF($F$8:$F$55,$O16,$G$8:$G$55)</f>
        <v>6</v>
      </c>
      <c r="R16" s="49">
        <f>P16-Q16</f>
        <v>-3</v>
      </c>
      <c r="S16" s="50">
        <f>SUMIF($D$8:$D$55,$O16,$K$8:$K$55)+SUMIF($F$8:$F$55,$O16,$L$8:$L$55)</f>
        <v>1</v>
      </c>
      <c r="T16" s="95" t="s">
        <v>54</v>
      </c>
      <c r="U16" s="40"/>
      <c r="V16" s="40" t="str">
        <f>O16</f>
        <v>Nederland</v>
      </c>
      <c r="W16" s="40" t="s">
        <v>53</v>
      </c>
      <c r="Y16" s="109">
        <f t="shared" si="8"/>
        <v>10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10</v>
      </c>
      <c r="AG16" s="108">
        <f t="shared" si="0"/>
        <v>1</v>
      </c>
      <c r="AH16" s="108">
        <f t="shared" si="1"/>
        <v>1</v>
      </c>
      <c r="AI16" s="108">
        <f t="shared" si="10"/>
        <v>10</v>
      </c>
      <c r="AJ16" s="108">
        <f t="shared" si="2"/>
        <v>5</v>
      </c>
      <c r="AK16" s="108">
        <f t="shared" si="3"/>
        <v>0</v>
      </c>
      <c r="AL16" s="108">
        <f t="shared" si="4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18">
        <v>10</v>
      </c>
      <c r="C17" s="207">
        <v>41805</v>
      </c>
      <c r="D17" s="20" t="s">
        <v>27</v>
      </c>
      <c r="E17" s="21" t="s">
        <v>9</v>
      </c>
      <c r="F17" s="30" t="s">
        <v>28</v>
      </c>
      <c r="G17" s="86">
        <v>2</v>
      </c>
      <c r="H17" s="21" t="s">
        <v>9</v>
      </c>
      <c r="I17" s="91">
        <v>1</v>
      </c>
      <c r="J17" s="23">
        <f t="shared" si="5"/>
        <v>1</v>
      </c>
      <c r="K17" s="11">
        <f t="shared" si="6"/>
        <v>3</v>
      </c>
      <c r="L17" s="11">
        <f t="shared" si="7"/>
        <v>0</v>
      </c>
      <c r="O17" s="48" t="s">
        <v>15</v>
      </c>
      <c r="P17" s="49">
        <f>SUMIF($D$8:$D$55,$O17,$G$8:$G$55)+SUMIF($F$8:$F$55,$O17,$I$8:$I$55)</f>
        <v>5</v>
      </c>
      <c r="Q17" s="49">
        <f>SUMIF($D$8:$D$55,$O17,$I$8:$I$55)+SUMIF($F$8:$F$55,$O17,$G$8:$G$55)</f>
        <v>4</v>
      </c>
      <c r="R17" s="49">
        <f>P17-Q17</f>
        <v>1</v>
      </c>
      <c r="S17" s="50">
        <f>SUMIF($D$8:$D$55,$O17,$K$8:$K$55)+SUMIF($F$8:$F$55,$O17,$L$8:$L$55)</f>
        <v>6</v>
      </c>
      <c r="T17" s="95" t="s">
        <v>53</v>
      </c>
      <c r="U17" s="40"/>
      <c r="V17" s="40" t="str">
        <f>O17</f>
        <v>Chili</v>
      </c>
      <c r="W17" s="40" t="s">
        <v>54</v>
      </c>
      <c r="Y17" s="109">
        <f t="shared" si="8"/>
        <v>5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5</v>
      </c>
      <c r="AG17" s="108">
        <f t="shared" si="0"/>
        <v>0</v>
      </c>
      <c r="AH17" s="108">
        <f t="shared" si="1"/>
        <v>0</v>
      </c>
      <c r="AI17" s="108">
        <f t="shared" si="10"/>
        <v>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10</v>
      </c>
      <c r="AN17" s="117" t="s">
        <v>15</v>
      </c>
      <c r="AO17" s="115">
        <f>IF(Uitslag!T17="",0,IF(T17=Uitslag!T17,10,0))</f>
        <v>10</v>
      </c>
    </row>
    <row r="18" spans="2:41" ht="15.75" thickBot="1">
      <c r="B18" s="24">
        <v>11</v>
      </c>
      <c r="C18" s="208">
        <v>41805</v>
      </c>
      <c r="D18" s="26" t="s">
        <v>29</v>
      </c>
      <c r="E18" s="27" t="s">
        <v>9</v>
      </c>
      <c r="F18" s="28" t="s">
        <v>30</v>
      </c>
      <c r="G18" s="87">
        <v>2</v>
      </c>
      <c r="H18" s="27" t="s">
        <v>9</v>
      </c>
      <c r="I18" s="92">
        <v>0</v>
      </c>
      <c r="J18" s="29">
        <f t="shared" si="5"/>
        <v>1</v>
      </c>
      <c r="K18" s="11">
        <f t="shared" si="6"/>
        <v>3</v>
      </c>
      <c r="L18" s="11">
        <f t="shared" si="7"/>
        <v>0</v>
      </c>
      <c r="O18" s="51" t="s">
        <v>16</v>
      </c>
      <c r="P18" s="52">
        <f>SUMIF($D$8:$D$55,$O18,$G$8:$G$55)+SUMIF($F$8:$F$55,$O18,$I$8:$I$55)</f>
        <v>4</v>
      </c>
      <c r="Q18" s="52">
        <f>SUMIF($D$8:$D$55,$O18,$I$8:$I$55)+SUMIF($F$8:$F$55,$O18,$G$8:$G$55)</f>
        <v>7</v>
      </c>
      <c r="R18" s="52">
        <f>P18-Q18</f>
        <v>-3</v>
      </c>
      <c r="S18" s="53">
        <f>SUMIF($D$8:$D$55,$O18,$K$8:$K$55)+SUMIF($F$8:$F$55,$O18,$L$8:$L$55)</f>
        <v>1</v>
      </c>
      <c r="T18" s="96" t="s">
        <v>55</v>
      </c>
      <c r="U18" s="40"/>
      <c r="V18" s="40" t="str">
        <f>O18</f>
        <v>Australië</v>
      </c>
      <c r="W18" s="40" t="s">
        <v>55</v>
      </c>
      <c r="Y18" s="109">
        <f t="shared" si="8"/>
        <v>6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6</v>
      </c>
      <c r="AG18" s="108">
        <f t="shared" si="0"/>
        <v>1</v>
      </c>
      <c r="AH18" s="108">
        <f t="shared" si="1"/>
        <v>0</v>
      </c>
      <c r="AI18" s="108">
        <f t="shared" si="10"/>
        <v>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12">
        <v>12</v>
      </c>
      <c r="C19" s="206">
        <v>41806</v>
      </c>
      <c r="D19" s="14" t="s">
        <v>31</v>
      </c>
      <c r="E19" s="15" t="s">
        <v>9</v>
      </c>
      <c r="F19" s="16" t="s">
        <v>32</v>
      </c>
      <c r="G19" s="85">
        <v>2</v>
      </c>
      <c r="H19" s="15" t="s">
        <v>9</v>
      </c>
      <c r="I19" s="90">
        <v>1</v>
      </c>
      <c r="J19" s="17">
        <f t="shared" si="5"/>
        <v>1</v>
      </c>
      <c r="K19" s="11">
        <f t="shared" si="6"/>
        <v>3</v>
      </c>
      <c r="L19" s="11">
        <f t="shared" si="7"/>
        <v>0</v>
      </c>
      <c r="O19" s="40"/>
      <c r="P19" s="41"/>
      <c r="Q19" s="41"/>
      <c r="R19" s="41"/>
      <c r="S19" s="41"/>
      <c r="T19" s="41"/>
      <c r="U19" s="40"/>
      <c r="V19" s="40"/>
      <c r="W19" s="40"/>
      <c r="Y19" s="109">
        <f t="shared" si="8"/>
        <v>5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5</v>
      </c>
      <c r="AG19" s="108">
        <f t="shared" si="0"/>
        <v>0</v>
      </c>
      <c r="AH19" s="108">
        <f t="shared" si="1"/>
        <v>0</v>
      </c>
      <c r="AI19" s="108">
        <f t="shared" si="10"/>
        <v>0</v>
      </c>
      <c r="AJ19" s="108">
        <f t="shared" si="2"/>
        <v>5</v>
      </c>
      <c r="AK19" s="108">
        <f t="shared" si="3"/>
        <v>0</v>
      </c>
      <c r="AL19" s="108">
        <f t="shared" si="4"/>
        <v>0</v>
      </c>
      <c r="AN19" s="40"/>
      <c r="AO19" s="41"/>
    </row>
    <row r="20" spans="2:41" ht="15.75" thickBot="1">
      <c r="B20" s="18">
        <v>13</v>
      </c>
      <c r="C20" s="207">
        <v>41806</v>
      </c>
      <c r="D20" s="20" t="s">
        <v>33</v>
      </c>
      <c r="E20" s="21" t="s">
        <v>9</v>
      </c>
      <c r="F20" s="30" t="s">
        <v>34</v>
      </c>
      <c r="G20" s="86">
        <v>0</v>
      </c>
      <c r="H20" s="21" t="s">
        <v>9</v>
      </c>
      <c r="I20" s="91">
        <v>2</v>
      </c>
      <c r="J20" s="23">
        <f t="shared" si="5"/>
        <v>2</v>
      </c>
      <c r="K20" s="11">
        <f t="shared" si="6"/>
        <v>0</v>
      </c>
      <c r="L20" s="11">
        <f t="shared" si="7"/>
        <v>3</v>
      </c>
      <c r="O20" s="72" t="s">
        <v>56</v>
      </c>
      <c r="P20" s="73" t="s">
        <v>42</v>
      </c>
      <c r="Q20" s="73" t="s">
        <v>43</v>
      </c>
      <c r="R20" s="74" t="s">
        <v>44</v>
      </c>
      <c r="S20" s="75" t="s">
        <v>45</v>
      </c>
      <c r="T20" s="76" t="s">
        <v>46</v>
      </c>
      <c r="U20" s="40"/>
      <c r="V20" s="40"/>
      <c r="W20" s="40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0"/>
        <v>1</v>
      </c>
      <c r="AH20" s="108">
        <f t="shared" si="1"/>
        <v>0</v>
      </c>
      <c r="AI20" s="108">
        <f t="shared" si="10"/>
        <v>0</v>
      </c>
      <c r="AJ20" s="108">
        <f t="shared" si="2"/>
        <v>0</v>
      </c>
      <c r="AK20" s="108">
        <f t="shared" si="3"/>
        <v>0</v>
      </c>
      <c r="AL20" s="108">
        <f t="shared" si="4"/>
        <v>0</v>
      </c>
      <c r="AN20" s="42" t="s">
        <v>56</v>
      </c>
      <c r="AO20" s="43" t="s">
        <v>46</v>
      </c>
    </row>
    <row r="21" spans="2:41" ht="15.75" thickBot="1">
      <c r="B21" s="24">
        <v>14</v>
      </c>
      <c r="C21" s="208">
        <v>41806</v>
      </c>
      <c r="D21" s="26" t="s">
        <v>35</v>
      </c>
      <c r="E21" s="27" t="s">
        <v>9</v>
      </c>
      <c r="F21" s="28" t="s">
        <v>36</v>
      </c>
      <c r="G21" s="87">
        <v>1</v>
      </c>
      <c r="H21" s="27" t="s">
        <v>9</v>
      </c>
      <c r="I21" s="92">
        <v>1</v>
      </c>
      <c r="J21" s="29">
        <f t="shared" si="5"/>
        <v>3</v>
      </c>
      <c r="K21" s="11">
        <f t="shared" si="6"/>
        <v>1</v>
      </c>
      <c r="L21" s="11">
        <f t="shared" si="7"/>
        <v>1</v>
      </c>
      <c r="O21" s="44" t="s">
        <v>17</v>
      </c>
      <c r="P21" s="45">
        <f>SUMIF($D$8:$D$55,$O21,$G$8:$G$55)+SUMIF($F$8:$F$55,$O21,$I$8:$I$55)</f>
        <v>5</v>
      </c>
      <c r="Q21" s="45">
        <f>SUMIF($D$8:$D$55,$O21,$I$8:$I$55)+SUMIF($F$8:$F$55,$O21,$G$8:$G$55)</f>
        <v>3</v>
      </c>
      <c r="R21" s="46">
        <f>P21-Q21</f>
        <v>2</v>
      </c>
      <c r="S21" s="47">
        <f>SUMIF($D$8:$D$55,$O21,$K$8:$K$55)+SUMIF($F$8:$F$55,$O21,$L$8:$L$55)</f>
        <v>7</v>
      </c>
      <c r="T21" s="94" t="s">
        <v>57</v>
      </c>
      <c r="U21" s="40"/>
      <c r="V21" s="40" t="str">
        <f>O21</f>
        <v>Colombia</v>
      </c>
      <c r="W21" s="40" t="s">
        <v>57</v>
      </c>
      <c r="Y21" s="109">
        <f t="shared" si="8"/>
        <v>1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1</v>
      </c>
      <c r="AG21" s="108">
        <f t="shared" si="0"/>
        <v>1</v>
      </c>
      <c r="AH21" s="108">
        <f t="shared" si="1"/>
        <v>0</v>
      </c>
      <c r="AI21" s="108">
        <f t="shared" si="10"/>
        <v>0</v>
      </c>
      <c r="AJ21" s="108">
        <f t="shared" si="2"/>
        <v>0</v>
      </c>
      <c r="AK21" s="108">
        <f t="shared" si="3"/>
        <v>0</v>
      </c>
      <c r="AL21" s="108">
        <f t="shared" si="4"/>
        <v>0</v>
      </c>
      <c r="AM21" s="120">
        <f>AO21</f>
        <v>10</v>
      </c>
      <c r="AN21" s="116" t="s">
        <v>17</v>
      </c>
      <c r="AO21" s="115">
        <f>IF(Uitslag!T21="",0,IF(T21=Uitslag!T21,10,0))</f>
        <v>10</v>
      </c>
    </row>
    <row r="22" spans="2:41" ht="15.75" thickBot="1">
      <c r="B22" s="12">
        <v>15</v>
      </c>
      <c r="C22" s="206">
        <v>41807</v>
      </c>
      <c r="D22" s="14" t="s">
        <v>37</v>
      </c>
      <c r="E22" s="15" t="s">
        <v>9</v>
      </c>
      <c r="F22" s="16" t="s">
        <v>38</v>
      </c>
      <c r="G22" s="85">
        <v>2</v>
      </c>
      <c r="H22" s="15" t="s">
        <v>9</v>
      </c>
      <c r="I22" s="90">
        <v>1</v>
      </c>
      <c r="J22" s="17">
        <f t="shared" si="5"/>
        <v>1</v>
      </c>
      <c r="K22" s="11">
        <f t="shared" si="6"/>
        <v>3</v>
      </c>
      <c r="L22" s="11">
        <f t="shared" si="7"/>
        <v>0</v>
      </c>
      <c r="O22" s="48" t="s">
        <v>18</v>
      </c>
      <c r="P22" s="49">
        <f>SUMIF($D$8:$D$55,$O22,$G$8:$G$55)+SUMIF($F$8:$F$55,$O22,$I$8:$I$55)</f>
        <v>2</v>
      </c>
      <c r="Q22" s="49">
        <f>SUMIF($D$8:$D$55,$O22,$I$8:$I$55)+SUMIF($F$8:$F$55,$O22,$G$8:$G$55)</f>
        <v>3</v>
      </c>
      <c r="R22" s="49">
        <f>P22-Q22</f>
        <v>-1</v>
      </c>
      <c r="S22" s="50">
        <f>SUMIF($D$8:$D$55,$O22,$K$8:$K$55)+SUMIF($F$8:$F$55,$O22,$L$8:$L$55)</f>
        <v>3</v>
      </c>
      <c r="T22" s="95" t="s">
        <v>59</v>
      </c>
      <c r="U22" s="40"/>
      <c r="V22" s="40" t="str">
        <f>O22</f>
        <v>Griekenland</v>
      </c>
      <c r="W22" s="40" t="s">
        <v>58</v>
      </c>
      <c r="Y22" s="109">
        <f t="shared" si="8"/>
        <v>10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10</v>
      </c>
      <c r="AG22" s="108">
        <f t="shared" si="0"/>
        <v>1</v>
      </c>
      <c r="AH22" s="108">
        <f t="shared" si="1"/>
        <v>1</v>
      </c>
      <c r="AI22" s="108">
        <f t="shared" si="10"/>
        <v>10</v>
      </c>
      <c r="AJ22" s="108">
        <f t="shared" si="2"/>
        <v>5</v>
      </c>
      <c r="AK22" s="108">
        <f t="shared" si="3"/>
        <v>0</v>
      </c>
      <c r="AL22" s="108">
        <f t="shared" si="4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18">
        <v>16</v>
      </c>
      <c r="C23" s="207">
        <v>41807</v>
      </c>
      <c r="D23" s="20" t="s">
        <v>8</v>
      </c>
      <c r="E23" s="21" t="s">
        <v>9</v>
      </c>
      <c r="F23" s="30" t="s">
        <v>11</v>
      </c>
      <c r="G23" s="86">
        <v>2</v>
      </c>
      <c r="H23" s="21" t="s">
        <v>9</v>
      </c>
      <c r="I23" s="91">
        <v>0</v>
      </c>
      <c r="J23" s="23">
        <f t="shared" si="5"/>
        <v>1</v>
      </c>
      <c r="K23" s="11">
        <f t="shared" si="6"/>
        <v>3</v>
      </c>
      <c r="L23" s="11">
        <f t="shared" si="7"/>
        <v>0</v>
      </c>
      <c r="O23" s="48" t="s">
        <v>23</v>
      </c>
      <c r="P23" s="49">
        <f>SUMIF($D$8:$D$55,$O23,$G$8:$G$55)+SUMIF($F$8:$F$55,$O23,$I$8:$I$55)</f>
        <v>5</v>
      </c>
      <c r="Q23" s="49">
        <f>SUMIF($D$8:$D$55,$O23,$I$8:$I$55)+SUMIF($F$8:$F$55,$O23,$G$8:$G$55)</f>
        <v>4</v>
      </c>
      <c r="R23" s="49">
        <f>P23-Q23</f>
        <v>1</v>
      </c>
      <c r="S23" s="50">
        <f>SUMIF($D$8:$D$55,$O23,$K$8:$K$55)+SUMIF($F$8:$F$55,$O23,$L$8:$L$55)</f>
        <v>5</v>
      </c>
      <c r="T23" s="95" t="s">
        <v>58</v>
      </c>
      <c r="U23" s="40"/>
      <c r="V23" s="40" t="str">
        <f>O23</f>
        <v>Ivoorkust</v>
      </c>
      <c r="W23" s="40" t="s">
        <v>59</v>
      </c>
      <c r="Y23" s="109">
        <f t="shared" si="8"/>
        <v>1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1</v>
      </c>
      <c r="AG23" s="108">
        <f t="shared" si="0"/>
        <v>0</v>
      </c>
      <c r="AH23" s="108">
        <f t="shared" si="1"/>
        <v>1</v>
      </c>
      <c r="AI23" s="108">
        <f t="shared" si="10"/>
        <v>0</v>
      </c>
      <c r="AJ23" s="108">
        <f t="shared" si="2"/>
        <v>0</v>
      </c>
      <c r="AK23" s="108">
        <f t="shared" si="3"/>
        <v>0</v>
      </c>
      <c r="AL23" s="108">
        <f t="shared" si="4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24">
        <v>17</v>
      </c>
      <c r="C24" s="208">
        <v>41807</v>
      </c>
      <c r="D24" s="26" t="s">
        <v>39</v>
      </c>
      <c r="E24" s="27" t="s">
        <v>9</v>
      </c>
      <c r="F24" s="28" t="s">
        <v>40</v>
      </c>
      <c r="G24" s="87">
        <v>1</v>
      </c>
      <c r="H24" s="27" t="s">
        <v>9</v>
      </c>
      <c r="I24" s="92">
        <v>1</v>
      </c>
      <c r="J24" s="29">
        <f t="shared" si="5"/>
        <v>3</v>
      </c>
      <c r="K24" s="11">
        <f t="shared" si="6"/>
        <v>1</v>
      </c>
      <c r="L24" s="11">
        <f t="shared" si="7"/>
        <v>1</v>
      </c>
      <c r="O24" s="51" t="s">
        <v>24</v>
      </c>
      <c r="P24" s="52">
        <f>SUMIF($D$8:$D$55,$O24,$G$8:$G$55)+SUMIF($F$8:$F$55,$O24,$I$8:$I$55)</f>
        <v>4</v>
      </c>
      <c r="Q24" s="52">
        <f>SUMIF($D$8:$D$55,$O24,$I$8:$I$55)+SUMIF($F$8:$F$55,$O24,$G$8:$G$55)</f>
        <v>6</v>
      </c>
      <c r="R24" s="52">
        <f>P24-Q24</f>
        <v>-2</v>
      </c>
      <c r="S24" s="53">
        <f>SUMIF($D$8:$D$55,$O24,$K$8:$K$55)+SUMIF($F$8:$F$55,$O24,$L$8:$L$55)</f>
        <v>1</v>
      </c>
      <c r="T24" s="96" t="s">
        <v>60</v>
      </c>
      <c r="U24" s="40"/>
      <c r="V24" s="40" t="str">
        <f>O24</f>
        <v>Japan</v>
      </c>
      <c r="W24" s="40" t="s">
        <v>60</v>
      </c>
      <c r="Y24" s="109">
        <f t="shared" si="8"/>
        <v>10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10</v>
      </c>
      <c r="AG24" s="108">
        <f t="shared" si="0"/>
        <v>1</v>
      </c>
      <c r="AH24" s="108">
        <f t="shared" si="1"/>
        <v>1</v>
      </c>
      <c r="AI24" s="108">
        <f t="shared" si="10"/>
        <v>10</v>
      </c>
      <c r="AJ24" s="108">
        <f t="shared" si="2"/>
        <v>0</v>
      </c>
      <c r="AK24" s="108">
        <f t="shared" si="3"/>
        <v>0</v>
      </c>
      <c r="AL24" s="108">
        <f t="shared" si="4"/>
        <v>5</v>
      </c>
      <c r="AM24" s="120">
        <f>AO24</f>
        <v>10</v>
      </c>
      <c r="AN24" s="118" t="s">
        <v>24</v>
      </c>
      <c r="AO24" s="115">
        <f>IF(Uitslag!T24="",0,IF(T24=Uitslag!T24,10,0))</f>
        <v>10</v>
      </c>
    </row>
    <row r="25" spans="2:41" ht="15.75" thickBot="1">
      <c r="B25" s="12">
        <v>18</v>
      </c>
      <c r="C25" s="206">
        <v>41808</v>
      </c>
      <c r="D25" s="14" t="s">
        <v>16</v>
      </c>
      <c r="E25" s="15" t="s">
        <v>9</v>
      </c>
      <c r="F25" s="31" t="s">
        <v>14</v>
      </c>
      <c r="G25" s="85">
        <v>2</v>
      </c>
      <c r="H25" s="15" t="s">
        <v>9</v>
      </c>
      <c r="I25" s="90">
        <v>2</v>
      </c>
      <c r="J25" s="17">
        <f t="shared" si="5"/>
        <v>3</v>
      </c>
      <c r="K25" s="11">
        <f t="shared" si="6"/>
        <v>1</v>
      </c>
      <c r="L25" s="11">
        <f t="shared" si="7"/>
        <v>1</v>
      </c>
      <c r="O25" s="40"/>
      <c r="P25" s="41"/>
      <c r="Q25" s="41"/>
      <c r="R25" s="41"/>
      <c r="S25" s="41"/>
      <c r="T25" s="41"/>
      <c r="U25" s="40"/>
      <c r="V25" s="40"/>
      <c r="W25" s="40"/>
      <c r="Y25" s="109">
        <f t="shared" si="8"/>
        <v>1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1</v>
      </c>
      <c r="AG25" s="108">
        <f t="shared" si="0"/>
        <v>1</v>
      </c>
      <c r="AH25" s="108">
        <f t="shared" si="1"/>
        <v>0</v>
      </c>
      <c r="AI25" s="108">
        <f t="shared" si="10"/>
        <v>0</v>
      </c>
      <c r="AJ25" s="108">
        <f t="shared" si="2"/>
        <v>0</v>
      </c>
      <c r="AK25" s="108">
        <f t="shared" si="3"/>
        <v>0</v>
      </c>
      <c r="AL25" s="108">
        <f t="shared" si="4"/>
        <v>0</v>
      </c>
      <c r="AN25" s="40"/>
      <c r="AO25" s="41"/>
    </row>
    <row r="26" spans="2:41" ht="15.75" thickBot="1">
      <c r="B26" s="18">
        <v>19</v>
      </c>
      <c r="C26" s="207">
        <v>41808</v>
      </c>
      <c r="D26" s="20" t="s">
        <v>13</v>
      </c>
      <c r="E26" s="21" t="s">
        <v>9</v>
      </c>
      <c r="F26" s="30" t="s">
        <v>15</v>
      </c>
      <c r="G26" s="86">
        <v>2</v>
      </c>
      <c r="H26" s="21" t="s">
        <v>9</v>
      </c>
      <c r="I26" s="91">
        <v>1</v>
      </c>
      <c r="J26" s="23">
        <f t="shared" si="5"/>
        <v>1</v>
      </c>
      <c r="K26" s="11">
        <f t="shared" si="6"/>
        <v>3</v>
      </c>
      <c r="L26" s="11">
        <f t="shared" si="7"/>
        <v>0</v>
      </c>
      <c r="O26" s="72" t="s">
        <v>61</v>
      </c>
      <c r="P26" s="73" t="s">
        <v>42</v>
      </c>
      <c r="Q26" s="73" t="s">
        <v>43</v>
      </c>
      <c r="R26" s="74" t="s">
        <v>44</v>
      </c>
      <c r="S26" s="75" t="s">
        <v>45</v>
      </c>
      <c r="T26" s="76" t="s">
        <v>46</v>
      </c>
      <c r="U26" s="40"/>
      <c r="V26" s="40"/>
      <c r="W26" s="40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0"/>
        <v>0</v>
      </c>
      <c r="AH26" s="108">
        <f t="shared" si="1"/>
        <v>0</v>
      </c>
      <c r="AI26" s="108">
        <f t="shared" si="10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24">
        <v>20</v>
      </c>
      <c r="C27" s="208">
        <v>41808</v>
      </c>
      <c r="D27" s="26" t="s">
        <v>12</v>
      </c>
      <c r="E27" s="27" t="s">
        <v>9</v>
      </c>
      <c r="F27" s="28" t="s">
        <v>10</v>
      </c>
      <c r="G27" s="87">
        <v>2</v>
      </c>
      <c r="H27" s="27" t="s">
        <v>9</v>
      </c>
      <c r="I27" s="92">
        <v>2</v>
      </c>
      <c r="J27" s="29">
        <f t="shared" si="5"/>
        <v>3</v>
      </c>
      <c r="K27" s="11">
        <f t="shared" si="6"/>
        <v>1</v>
      </c>
      <c r="L27" s="11">
        <f t="shared" si="7"/>
        <v>1</v>
      </c>
      <c r="O27" s="44" t="s">
        <v>19</v>
      </c>
      <c r="P27" s="45">
        <f>SUMIF($D$8:$D$55,$O27,$G$8:$G$55)+SUMIF($F$8:$F$55,$O27,$I$8:$I$55)</f>
        <v>8</v>
      </c>
      <c r="Q27" s="45">
        <f>SUMIF($D$8:$D$55,$O27,$I$8:$I$55)+SUMIF($F$8:$F$55,$O27,$G$8:$G$55)</f>
        <v>4</v>
      </c>
      <c r="R27" s="46">
        <f>P27-Q27</f>
        <v>4</v>
      </c>
      <c r="S27" s="47">
        <f>SUMIF($D$8:$D$55,$O27,$K$8:$K$55)+SUMIF($F$8:$F$55,$O27,$L$8:$L$55)</f>
        <v>9</v>
      </c>
      <c r="T27" s="94" t="s">
        <v>62</v>
      </c>
      <c r="U27" s="40"/>
      <c r="V27" s="40" t="str">
        <f>O27</f>
        <v>Uruguay</v>
      </c>
      <c r="W27" s="40" t="s">
        <v>62</v>
      </c>
      <c r="Y27" s="109">
        <f t="shared" si="8"/>
        <v>0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0</v>
      </c>
      <c r="AG27" s="108">
        <f t="shared" si="0"/>
        <v>0</v>
      </c>
      <c r="AH27" s="108">
        <f t="shared" si="1"/>
        <v>0</v>
      </c>
      <c r="AI27" s="108">
        <f t="shared" si="10"/>
        <v>0</v>
      </c>
      <c r="AJ27" s="108">
        <f t="shared" si="2"/>
        <v>0</v>
      </c>
      <c r="AK27" s="108">
        <f t="shared" si="3"/>
        <v>0</v>
      </c>
      <c r="AL27" s="108">
        <f t="shared" si="4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12">
        <v>21</v>
      </c>
      <c r="C28" s="206">
        <v>41809</v>
      </c>
      <c r="D28" s="14" t="s">
        <v>17</v>
      </c>
      <c r="E28" s="15" t="s">
        <v>9</v>
      </c>
      <c r="F28" s="16" t="s">
        <v>23</v>
      </c>
      <c r="G28" s="85">
        <v>2</v>
      </c>
      <c r="H28" s="15" t="s">
        <v>9</v>
      </c>
      <c r="I28" s="90">
        <v>2</v>
      </c>
      <c r="J28" s="17">
        <f t="shared" si="5"/>
        <v>3</v>
      </c>
      <c r="K28" s="11">
        <f t="shared" si="6"/>
        <v>1</v>
      </c>
      <c r="L28" s="11">
        <f t="shared" si="7"/>
        <v>1</v>
      </c>
      <c r="O28" s="48" t="s">
        <v>20</v>
      </c>
      <c r="P28" s="49">
        <f>SUMIF($D$8:$D$55,$O28,$G$8:$G$55)+SUMIF($F$8:$F$55,$O28,$I$8:$I$55)</f>
        <v>2</v>
      </c>
      <c r="Q28" s="49">
        <f>SUMIF($D$8:$D$55,$O28,$I$8:$I$55)+SUMIF($F$8:$F$55,$O28,$G$8:$G$55)</f>
        <v>6</v>
      </c>
      <c r="R28" s="49">
        <f>P28-Q28</f>
        <v>-4</v>
      </c>
      <c r="S28" s="50">
        <f>SUMIF($D$8:$D$55,$O28,$K$8:$K$55)+SUMIF($F$8:$F$55,$O28,$L$8:$L$55)</f>
        <v>0</v>
      </c>
      <c r="T28" s="95" t="s">
        <v>65</v>
      </c>
      <c r="U28" s="40"/>
      <c r="V28" s="40" t="str">
        <f>O28</f>
        <v>Costa Rica</v>
      </c>
      <c r="W28" s="40" t="s">
        <v>63</v>
      </c>
      <c r="Y28" s="109">
        <f t="shared" si="8"/>
        <v>1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1</v>
      </c>
      <c r="AG28" s="108">
        <f t="shared" si="0"/>
        <v>1</v>
      </c>
      <c r="AH28" s="108">
        <f t="shared" si="1"/>
        <v>0</v>
      </c>
      <c r="AI28" s="108">
        <f t="shared" si="10"/>
        <v>0</v>
      </c>
      <c r="AJ28" s="108">
        <f t="shared" si="2"/>
        <v>0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18">
        <v>22</v>
      </c>
      <c r="C29" s="207">
        <v>41809</v>
      </c>
      <c r="D29" s="20" t="s">
        <v>19</v>
      </c>
      <c r="E29" s="21" t="s">
        <v>9</v>
      </c>
      <c r="F29" s="30" t="s">
        <v>21</v>
      </c>
      <c r="G29" s="86">
        <v>2</v>
      </c>
      <c r="H29" s="21" t="s">
        <v>9</v>
      </c>
      <c r="I29" s="91">
        <v>1</v>
      </c>
      <c r="J29" s="23">
        <f t="shared" si="5"/>
        <v>1</v>
      </c>
      <c r="K29" s="11">
        <f t="shared" si="6"/>
        <v>3</v>
      </c>
      <c r="L29" s="11">
        <f t="shared" si="7"/>
        <v>0</v>
      </c>
      <c r="O29" s="48" t="s">
        <v>21</v>
      </c>
      <c r="P29" s="49">
        <f>SUMIF($D$8:$D$55,$O29,$G$8:$G$55)+SUMIF($F$8:$F$55,$O29,$I$8:$I$55)</f>
        <v>4</v>
      </c>
      <c r="Q29" s="49">
        <f>SUMIF($D$8:$D$55,$O29,$I$8:$I$55)+SUMIF($F$8:$F$55,$O29,$G$8:$G$55)</f>
        <v>5</v>
      </c>
      <c r="R29" s="49">
        <f>P29-Q29</f>
        <v>-1</v>
      </c>
      <c r="S29" s="50">
        <f>SUMIF($D$8:$D$55,$O29,$K$8:$K$55)+SUMIF($F$8:$F$55,$O29,$L$8:$L$55)</f>
        <v>3</v>
      </c>
      <c r="T29" s="95" t="s">
        <v>64</v>
      </c>
      <c r="U29" s="40"/>
      <c r="V29" s="40" t="str">
        <f>O29</f>
        <v>Engeland</v>
      </c>
      <c r="W29" s="40" t="s">
        <v>64</v>
      </c>
      <c r="Y29" s="109">
        <f t="shared" si="8"/>
        <v>10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10</v>
      </c>
      <c r="AG29" s="108">
        <f t="shared" si="0"/>
        <v>1</v>
      </c>
      <c r="AH29" s="108">
        <f t="shared" si="1"/>
        <v>1</v>
      </c>
      <c r="AI29" s="108">
        <f t="shared" si="10"/>
        <v>10</v>
      </c>
      <c r="AJ29" s="108">
        <f t="shared" si="2"/>
        <v>5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24">
        <v>23</v>
      </c>
      <c r="C30" s="208">
        <v>41809</v>
      </c>
      <c r="D30" s="26" t="s">
        <v>24</v>
      </c>
      <c r="E30" s="27" t="s">
        <v>9</v>
      </c>
      <c r="F30" s="28" t="s">
        <v>18</v>
      </c>
      <c r="G30" s="87">
        <v>1</v>
      </c>
      <c r="H30" s="27" t="s">
        <v>9</v>
      </c>
      <c r="I30" s="92">
        <v>2</v>
      </c>
      <c r="J30" s="29">
        <f t="shared" si="5"/>
        <v>2</v>
      </c>
      <c r="K30" s="11">
        <f t="shared" si="6"/>
        <v>0</v>
      </c>
      <c r="L30" s="11">
        <f t="shared" si="7"/>
        <v>3</v>
      </c>
      <c r="O30" s="51" t="s">
        <v>22</v>
      </c>
      <c r="P30" s="52">
        <f>SUMIF($D$8:$D$55,$O30,$G$8:$G$55)+SUMIF($F$8:$F$55,$O30,$I$8:$I$55)</f>
        <v>5</v>
      </c>
      <c r="Q30" s="52">
        <f>SUMIF($D$8:$D$55,$O30,$I$8:$I$55)+SUMIF($F$8:$F$55,$O30,$G$8:$G$55)</f>
        <v>4</v>
      </c>
      <c r="R30" s="52">
        <f>P30-Q30</f>
        <v>1</v>
      </c>
      <c r="S30" s="53">
        <f>SUMIF($D$8:$D$55,$O30,$K$8:$K$55)+SUMIF($F$8:$F$55,$O30,$L$8:$L$55)</f>
        <v>6</v>
      </c>
      <c r="T30" s="96" t="s">
        <v>63</v>
      </c>
      <c r="U30" s="40"/>
      <c r="V30" s="40" t="str">
        <f>O30</f>
        <v>Italië</v>
      </c>
      <c r="W30" s="40" t="s">
        <v>65</v>
      </c>
      <c r="Y30" s="109">
        <f t="shared" si="8"/>
        <v>0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0</v>
      </c>
      <c r="AG30" s="108">
        <f t="shared" si="0"/>
        <v>0</v>
      </c>
      <c r="AH30" s="108">
        <f t="shared" si="1"/>
        <v>0</v>
      </c>
      <c r="AI30" s="108">
        <f t="shared" si="10"/>
        <v>0</v>
      </c>
      <c r="AJ30" s="108">
        <f t="shared" si="2"/>
        <v>0</v>
      </c>
      <c r="AK30" s="108">
        <f t="shared" si="3"/>
        <v>0</v>
      </c>
      <c r="AL30" s="108">
        <f t="shared" si="4"/>
        <v>0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12">
        <v>24</v>
      </c>
      <c r="C31" s="206">
        <v>41810</v>
      </c>
      <c r="D31" s="14" t="s">
        <v>22</v>
      </c>
      <c r="E31" s="15" t="s">
        <v>9</v>
      </c>
      <c r="F31" s="16" t="s">
        <v>20</v>
      </c>
      <c r="G31" s="85">
        <v>1</v>
      </c>
      <c r="H31" s="15" t="s">
        <v>9</v>
      </c>
      <c r="I31" s="90">
        <v>0</v>
      </c>
      <c r="J31" s="17">
        <f t="shared" si="5"/>
        <v>1</v>
      </c>
      <c r="K31" s="11">
        <f t="shared" si="6"/>
        <v>3</v>
      </c>
      <c r="L31" s="11">
        <f t="shared" si="7"/>
        <v>0</v>
      </c>
      <c r="O31" s="40"/>
      <c r="P31" s="41"/>
      <c r="Q31" s="41"/>
      <c r="R31" s="41"/>
      <c r="S31" s="41"/>
      <c r="T31" s="41"/>
      <c r="U31" s="40"/>
      <c r="V31" s="40"/>
      <c r="W31" s="40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0"/>
        <v>0</v>
      </c>
      <c r="AH31" s="108">
        <f t="shared" si="1"/>
        <v>0</v>
      </c>
      <c r="AI31" s="108">
        <f t="shared" si="10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40"/>
      <c r="AO31" s="41"/>
    </row>
    <row r="32" spans="2:41" ht="15.75" thickBot="1">
      <c r="B32" s="18">
        <v>25</v>
      </c>
      <c r="C32" s="207">
        <v>41810</v>
      </c>
      <c r="D32" s="20" t="s">
        <v>25</v>
      </c>
      <c r="E32" s="21" t="s">
        <v>9</v>
      </c>
      <c r="F32" s="30" t="s">
        <v>27</v>
      </c>
      <c r="G32" s="86">
        <v>1</v>
      </c>
      <c r="H32" s="21" t="s">
        <v>9</v>
      </c>
      <c r="I32" s="91">
        <v>1</v>
      </c>
      <c r="J32" s="23">
        <f t="shared" si="5"/>
        <v>3</v>
      </c>
      <c r="K32" s="11">
        <f t="shared" si="6"/>
        <v>1</v>
      </c>
      <c r="L32" s="11">
        <f t="shared" si="7"/>
        <v>1</v>
      </c>
      <c r="O32" s="72" t="s">
        <v>66</v>
      </c>
      <c r="P32" s="73" t="s">
        <v>42</v>
      </c>
      <c r="Q32" s="73" t="s">
        <v>43</v>
      </c>
      <c r="R32" s="74" t="s">
        <v>44</v>
      </c>
      <c r="S32" s="75" t="s">
        <v>45</v>
      </c>
      <c r="T32" s="76" t="s">
        <v>46</v>
      </c>
      <c r="U32" s="40"/>
      <c r="V32" s="40"/>
      <c r="W32" s="40"/>
      <c r="Y32" s="109">
        <f t="shared" si="8"/>
        <v>0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0</v>
      </c>
      <c r="AG32" s="108">
        <f t="shared" si="0"/>
        <v>0</v>
      </c>
      <c r="AH32" s="108">
        <f t="shared" si="1"/>
        <v>0</v>
      </c>
      <c r="AI32" s="108">
        <f t="shared" si="10"/>
        <v>0</v>
      </c>
      <c r="AJ32" s="108">
        <f t="shared" si="2"/>
        <v>0</v>
      </c>
      <c r="AK32" s="108">
        <f t="shared" si="3"/>
        <v>0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24">
        <v>26</v>
      </c>
      <c r="C33" s="208">
        <v>41810</v>
      </c>
      <c r="D33" s="26" t="s">
        <v>28</v>
      </c>
      <c r="E33" s="27" t="s">
        <v>9</v>
      </c>
      <c r="F33" s="28" t="s">
        <v>26</v>
      </c>
      <c r="G33" s="87">
        <v>1</v>
      </c>
      <c r="H33" s="27" t="s">
        <v>9</v>
      </c>
      <c r="I33" s="92">
        <v>0</v>
      </c>
      <c r="J33" s="29">
        <f t="shared" si="5"/>
        <v>1</v>
      </c>
      <c r="K33" s="11">
        <f t="shared" si="6"/>
        <v>3</v>
      </c>
      <c r="L33" s="11">
        <f t="shared" si="7"/>
        <v>0</v>
      </c>
      <c r="O33" s="44" t="s">
        <v>25</v>
      </c>
      <c r="P33" s="45">
        <f>SUMIF($D$8:$D$55,$O33,$G$8:$G$55)+SUMIF($F$8:$F$55,$O33,$I$8:$I$55)</f>
        <v>4</v>
      </c>
      <c r="Q33" s="45">
        <f>SUMIF($D$8:$D$55,$O33,$I$8:$I$55)+SUMIF($F$8:$F$55,$O33,$G$8:$G$55)</f>
        <v>4</v>
      </c>
      <c r="R33" s="46">
        <f>P33-Q33</f>
        <v>0</v>
      </c>
      <c r="S33" s="47">
        <f>SUMIF($D$8:$D$55,$O33,$K$8:$K$55)+SUMIF($F$8:$F$55,$O33,$L$8:$L$55)</f>
        <v>4</v>
      </c>
      <c r="T33" s="94" t="s">
        <v>69</v>
      </c>
      <c r="U33" s="40"/>
      <c r="V33" s="40" t="str">
        <f>O33</f>
        <v>Zwitserland</v>
      </c>
      <c r="W33" s="40" t="s">
        <v>67</v>
      </c>
      <c r="Y33" s="109">
        <f t="shared" si="8"/>
        <v>1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1</v>
      </c>
      <c r="AG33" s="108">
        <f t="shared" si="0"/>
        <v>1</v>
      </c>
      <c r="AH33" s="108">
        <f t="shared" si="1"/>
        <v>0</v>
      </c>
      <c r="AI33" s="108">
        <f t="shared" si="10"/>
        <v>0</v>
      </c>
      <c r="AJ33" s="108">
        <f t="shared" si="2"/>
        <v>0</v>
      </c>
      <c r="AK33" s="108">
        <f t="shared" si="3"/>
        <v>0</v>
      </c>
      <c r="AL33" s="108">
        <f t="shared" si="4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12">
        <v>27</v>
      </c>
      <c r="C34" s="206">
        <v>41811</v>
      </c>
      <c r="D34" s="14" t="s">
        <v>29</v>
      </c>
      <c r="E34" s="15" t="s">
        <v>9</v>
      </c>
      <c r="F34" s="16" t="s">
        <v>33</v>
      </c>
      <c r="G34" s="85">
        <v>4</v>
      </c>
      <c r="H34" s="15" t="s">
        <v>9</v>
      </c>
      <c r="I34" s="90">
        <v>1</v>
      </c>
      <c r="J34" s="17">
        <f t="shared" si="5"/>
        <v>1</v>
      </c>
      <c r="K34" s="11">
        <f t="shared" si="6"/>
        <v>3</v>
      </c>
      <c r="L34" s="11">
        <f t="shared" si="7"/>
        <v>0</v>
      </c>
      <c r="O34" s="48" t="s">
        <v>26</v>
      </c>
      <c r="P34" s="49">
        <f>SUMIF($D$8:$D$55,$O34,$G$8:$G$55)+SUMIF($F$8:$F$55,$O34,$I$8:$I$55)</f>
        <v>3</v>
      </c>
      <c r="Q34" s="49">
        <f>SUMIF($D$8:$D$55,$O34,$I$8:$I$55)+SUMIF($F$8:$F$55,$O34,$G$8:$G$55)</f>
        <v>5</v>
      </c>
      <c r="R34" s="49">
        <f>P34-Q34</f>
        <v>-2</v>
      </c>
      <c r="S34" s="50">
        <f>SUMIF($D$8:$D$55,$O34,$K$8:$K$55)+SUMIF($F$8:$F$55,$O34,$L$8:$L$55)</f>
        <v>1</v>
      </c>
      <c r="T34" s="95" t="s">
        <v>70</v>
      </c>
      <c r="U34" s="40"/>
      <c r="V34" s="40" t="str">
        <f>O34</f>
        <v>Ecuador</v>
      </c>
      <c r="W34" s="40" t="s">
        <v>68</v>
      </c>
      <c r="Y34" s="109">
        <f t="shared" si="8"/>
        <v>5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5</v>
      </c>
      <c r="AG34" s="108">
        <f t="shared" si="0"/>
        <v>0</v>
      </c>
      <c r="AH34" s="108">
        <f t="shared" si="1"/>
        <v>0</v>
      </c>
      <c r="AI34" s="108">
        <f t="shared" si="10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18">
        <v>28</v>
      </c>
      <c r="C35" s="207">
        <v>41811</v>
      </c>
      <c r="D35" s="20" t="s">
        <v>31</v>
      </c>
      <c r="E35" s="21" t="s">
        <v>9</v>
      </c>
      <c r="F35" s="30" t="s">
        <v>35</v>
      </c>
      <c r="G35" s="86">
        <v>3</v>
      </c>
      <c r="H35" s="21" t="s">
        <v>9</v>
      </c>
      <c r="I35" s="91">
        <v>0</v>
      </c>
      <c r="J35" s="23">
        <f t="shared" si="5"/>
        <v>1</v>
      </c>
      <c r="K35" s="11">
        <f t="shared" si="6"/>
        <v>3</v>
      </c>
      <c r="L35" s="11">
        <f t="shared" si="7"/>
        <v>0</v>
      </c>
      <c r="O35" s="48" t="s">
        <v>27</v>
      </c>
      <c r="P35" s="49">
        <f>SUMIF($D$8:$D$55,$O35,$G$8:$G$55)+SUMIF($F$8:$F$55,$O35,$I$8:$I$55)</f>
        <v>5</v>
      </c>
      <c r="Q35" s="49">
        <f>SUMIF($D$8:$D$55,$O35,$I$8:$I$55)+SUMIF($F$8:$F$55,$O35,$G$8:$G$55)</f>
        <v>4</v>
      </c>
      <c r="R35" s="49">
        <f>P35-Q35</f>
        <v>1</v>
      </c>
      <c r="S35" s="50">
        <f>SUMIF($D$8:$D$55,$O35,$K$8:$K$55)+SUMIF($F$8:$F$55,$O35,$L$8:$L$55)</f>
        <v>5</v>
      </c>
      <c r="T35" s="95" t="s">
        <v>68</v>
      </c>
      <c r="U35" s="40"/>
      <c r="V35" s="40" t="str">
        <f>O35</f>
        <v>Frankrijk</v>
      </c>
      <c r="W35" s="40" t="s">
        <v>69</v>
      </c>
      <c r="Y35" s="109">
        <f t="shared" si="8"/>
        <v>0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0</v>
      </c>
      <c r="AG35" s="108">
        <f t="shared" si="0"/>
        <v>0</v>
      </c>
      <c r="AH35" s="108">
        <f t="shared" si="1"/>
        <v>0</v>
      </c>
      <c r="AI35" s="108">
        <f t="shared" si="10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0</v>
      </c>
      <c r="AN35" s="117" t="s">
        <v>27</v>
      </c>
      <c r="AO35" s="115">
        <f>IF(Uitslag!T35="",0,IF(T35=Uitslag!T35,10,0))</f>
        <v>0</v>
      </c>
    </row>
    <row r="36" spans="2:41" ht="15.75" thickBot="1">
      <c r="B36" s="24">
        <v>29</v>
      </c>
      <c r="C36" s="208">
        <v>41811</v>
      </c>
      <c r="D36" s="26" t="s">
        <v>34</v>
      </c>
      <c r="E36" s="27" t="s">
        <v>9</v>
      </c>
      <c r="F36" s="28" t="s">
        <v>30</v>
      </c>
      <c r="G36" s="87">
        <v>1</v>
      </c>
      <c r="H36" s="27" t="s">
        <v>9</v>
      </c>
      <c r="I36" s="92">
        <v>0</v>
      </c>
      <c r="J36" s="29">
        <f t="shared" si="5"/>
        <v>1</v>
      </c>
      <c r="K36" s="11">
        <f t="shared" si="6"/>
        <v>3</v>
      </c>
      <c r="L36" s="11">
        <f t="shared" si="7"/>
        <v>0</v>
      </c>
      <c r="O36" s="51" t="s">
        <v>28</v>
      </c>
      <c r="P36" s="52">
        <f>SUMIF($D$8:$D$55,$O36,$G$8:$G$55)+SUMIF($F$8:$F$55,$O36,$I$8:$I$55)</f>
        <v>4</v>
      </c>
      <c r="Q36" s="52">
        <f>SUMIF($D$8:$D$55,$O36,$I$8:$I$55)+SUMIF($F$8:$F$55,$O36,$G$8:$G$55)</f>
        <v>3</v>
      </c>
      <c r="R36" s="52">
        <f>P36-Q36</f>
        <v>1</v>
      </c>
      <c r="S36" s="53">
        <f>SUMIF($D$8:$D$55,$O36,$K$8:$K$55)+SUMIF($F$8:$F$55,$O36,$L$8:$L$55)</f>
        <v>6</v>
      </c>
      <c r="T36" s="96" t="s">
        <v>67</v>
      </c>
      <c r="U36" s="40"/>
      <c r="V36" s="40" t="str">
        <f>O36</f>
        <v>Honduras</v>
      </c>
      <c r="W36" s="40" t="s">
        <v>70</v>
      </c>
      <c r="Y36" s="109">
        <f t="shared" si="8"/>
        <v>10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10</v>
      </c>
      <c r="AG36" s="108">
        <f t="shared" si="0"/>
        <v>1</v>
      </c>
      <c r="AH36" s="108">
        <f t="shared" si="1"/>
        <v>1</v>
      </c>
      <c r="AI36" s="108">
        <f t="shared" si="10"/>
        <v>10</v>
      </c>
      <c r="AJ36" s="108">
        <f t="shared" si="2"/>
        <v>5</v>
      </c>
      <c r="AK36" s="108">
        <f t="shared" si="3"/>
        <v>0</v>
      </c>
      <c r="AL36" s="108">
        <f t="shared" si="4"/>
        <v>0</v>
      </c>
      <c r="AM36" s="120">
        <f>AO36</f>
        <v>0</v>
      </c>
      <c r="AN36" s="118" t="s">
        <v>28</v>
      </c>
      <c r="AO36" s="115">
        <f>IF(Uitslag!T36="",0,IF(T36=Uitslag!T36,10,0))</f>
        <v>0</v>
      </c>
    </row>
    <row r="37" spans="2:41" ht="15.75" thickBot="1">
      <c r="B37" s="12">
        <v>30</v>
      </c>
      <c r="C37" s="206">
        <v>41812</v>
      </c>
      <c r="D37" s="14" t="s">
        <v>37</v>
      </c>
      <c r="E37" s="15" t="s">
        <v>9</v>
      </c>
      <c r="F37" s="16" t="s">
        <v>39</v>
      </c>
      <c r="G37" s="85">
        <v>2</v>
      </c>
      <c r="H37" s="15" t="s">
        <v>9</v>
      </c>
      <c r="I37" s="90">
        <v>0</v>
      </c>
      <c r="J37" s="17">
        <f t="shared" si="5"/>
        <v>1</v>
      </c>
      <c r="K37" s="11">
        <f t="shared" si="6"/>
        <v>3</v>
      </c>
      <c r="L37" s="11">
        <f t="shared" si="7"/>
        <v>0</v>
      </c>
      <c r="O37" s="40"/>
      <c r="P37" s="41"/>
      <c r="Q37" s="41"/>
      <c r="R37" s="41"/>
      <c r="S37" s="41"/>
      <c r="T37" s="41"/>
      <c r="U37" s="40"/>
      <c r="V37" s="40"/>
      <c r="W37" s="40"/>
      <c r="Y37" s="109">
        <f t="shared" si="8"/>
        <v>6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6</v>
      </c>
      <c r="AG37" s="108">
        <f t="shared" si="0"/>
        <v>0</v>
      </c>
      <c r="AH37" s="108">
        <f t="shared" si="1"/>
        <v>1</v>
      </c>
      <c r="AI37" s="108">
        <f t="shared" si="10"/>
        <v>0</v>
      </c>
      <c r="AJ37" s="108">
        <f t="shared" si="2"/>
        <v>5</v>
      </c>
      <c r="AK37" s="108">
        <f t="shared" si="3"/>
        <v>0</v>
      </c>
      <c r="AL37" s="108">
        <f t="shared" si="4"/>
        <v>0</v>
      </c>
      <c r="AN37" s="40"/>
      <c r="AO37" s="41"/>
    </row>
    <row r="38" spans="2:41" ht="15.75" thickBot="1">
      <c r="B38" s="18">
        <v>31</v>
      </c>
      <c r="C38" s="207">
        <v>41812</v>
      </c>
      <c r="D38" s="20" t="s">
        <v>40</v>
      </c>
      <c r="E38" s="21" t="s">
        <v>9</v>
      </c>
      <c r="F38" s="30" t="s">
        <v>38</v>
      </c>
      <c r="G38" s="86">
        <v>1</v>
      </c>
      <c r="H38" s="21" t="s">
        <v>9</v>
      </c>
      <c r="I38" s="91">
        <v>0</v>
      </c>
      <c r="J38" s="23">
        <f t="shared" si="5"/>
        <v>1</v>
      </c>
      <c r="K38" s="11">
        <f t="shared" si="6"/>
        <v>3</v>
      </c>
      <c r="L38" s="11">
        <f t="shared" si="7"/>
        <v>0</v>
      </c>
      <c r="O38" s="72" t="s">
        <v>71</v>
      </c>
      <c r="P38" s="73" t="s">
        <v>42</v>
      </c>
      <c r="Q38" s="73" t="s">
        <v>43</v>
      </c>
      <c r="R38" s="74" t="s">
        <v>44</v>
      </c>
      <c r="S38" s="75" t="s">
        <v>45</v>
      </c>
      <c r="T38" s="76" t="s">
        <v>46</v>
      </c>
      <c r="U38" s="40"/>
      <c r="V38" s="40"/>
      <c r="W38" s="40"/>
      <c r="Y38" s="109">
        <f t="shared" si="8"/>
        <v>0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0</v>
      </c>
      <c r="AG38" s="108">
        <f t="shared" si="0"/>
        <v>0</v>
      </c>
      <c r="AH38" s="108">
        <f t="shared" si="1"/>
        <v>0</v>
      </c>
      <c r="AI38" s="108">
        <f t="shared" si="10"/>
        <v>0</v>
      </c>
      <c r="AJ38" s="108">
        <f t="shared" si="2"/>
        <v>0</v>
      </c>
      <c r="AK38" s="108">
        <f t="shared" si="3"/>
        <v>0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24">
        <v>32</v>
      </c>
      <c r="C39" s="208">
        <v>41812</v>
      </c>
      <c r="D39" s="26" t="s">
        <v>36</v>
      </c>
      <c r="E39" s="27" t="s">
        <v>9</v>
      </c>
      <c r="F39" s="28" t="s">
        <v>32</v>
      </c>
      <c r="G39" s="87">
        <v>1</v>
      </c>
      <c r="H39" s="27" t="s">
        <v>9</v>
      </c>
      <c r="I39" s="92">
        <v>3</v>
      </c>
      <c r="J39" s="29">
        <f t="shared" si="5"/>
        <v>2</v>
      </c>
      <c r="K39" s="11">
        <f t="shared" si="6"/>
        <v>0</v>
      </c>
      <c r="L39" s="11">
        <f t="shared" si="7"/>
        <v>3</v>
      </c>
      <c r="O39" s="44" t="s">
        <v>29</v>
      </c>
      <c r="P39" s="45">
        <f>SUMIF($D$8:$D$55,$O39,$G$8:$G$55)+SUMIF($F$8:$F$55,$O39,$I$8:$I$55)</f>
        <v>9</v>
      </c>
      <c r="Q39" s="45">
        <f>SUMIF($D$8:$D$55,$O39,$I$8:$I$55)+SUMIF($F$8:$F$55,$O39,$G$8:$G$55)</f>
        <v>2</v>
      </c>
      <c r="R39" s="46">
        <f>P39-Q39</f>
        <v>7</v>
      </c>
      <c r="S39" s="47">
        <f>SUMIF($D$8:$D$55,$O39,$K$8:$K$55)+SUMIF($F$8:$F$55,$O39,$L$8:$L$55)</f>
        <v>9</v>
      </c>
      <c r="T39" s="94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0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0</v>
      </c>
      <c r="AG39" s="108">
        <f t="shared" si="0"/>
        <v>0</v>
      </c>
      <c r="AH39" s="108">
        <f t="shared" si="1"/>
        <v>0</v>
      </c>
      <c r="AI39" s="108">
        <f t="shared" si="10"/>
        <v>0</v>
      </c>
      <c r="AJ39" s="108">
        <f t="shared" si="2"/>
        <v>0</v>
      </c>
      <c r="AK39" s="108">
        <f t="shared" si="3"/>
        <v>0</v>
      </c>
      <c r="AL39" s="108">
        <f t="shared" si="4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12">
        <v>33</v>
      </c>
      <c r="C40" s="206">
        <v>41813</v>
      </c>
      <c r="D40" s="14" t="s">
        <v>16</v>
      </c>
      <c r="E40" s="15" t="s">
        <v>9</v>
      </c>
      <c r="F40" s="16" t="s">
        <v>13</v>
      </c>
      <c r="G40" s="85">
        <v>1</v>
      </c>
      <c r="H40" s="15" t="s">
        <v>9</v>
      </c>
      <c r="I40" s="90">
        <v>3</v>
      </c>
      <c r="J40" s="17">
        <f t="shared" si="5"/>
        <v>2</v>
      </c>
      <c r="K40" s="11">
        <f t="shared" si="6"/>
        <v>0</v>
      </c>
      <c r="L40" s="11">
        <f t="shared" si="7"/>
        <v>3</v>
      </c>
      <c r="O40" s="48" t="s">
        <v>30</v>
      </c>
      <c r="P40" s="49">
        <f>SUMIF($D$8:$D$55,$O40,$G$8:$G$55)+SUMIF($F$8:$F$55,$O40,$I$8:$I$55)</f>
        <v>1</v>
      </c>
      <c r="Q40" s="49">
        <f>SUMIF($D$8:$D$55,$O40,$I$8:$I$55)+SUMIF($F$8:$F$55,$O40,$G$8:$G$55)</f>
        <v>4</v>
      </c>
      <c r="R40" s="49">
        <f>P40-Q40</f>
        <v>-3</v>
      </c>
      <c r="S40" s="50">
        <f>SUMIF($D$8:$D$55,$O40,$K$8:$K$55)+SUMIF($F$8:$F$55,$O40,$L$8:$L$55)</f>
        <v>1</v>
      </c>
      <c r="T40" s="95" t="s">
        <v>74</v>
      </c>
      <c r="U40" s="40"/>
      <c r="V40" s="40" t="str">
        <f>O40</f>
        <v>Bosnië H.</v>
      </c>
      <c r="W40" s="40" t="s">
        <v>73</v>
      </c>
      <c r="Y40" s="109">
        <f t="shared" si="8"/>
        <v>6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6</v>
      </c>
      <c r="AG40" s="108">
        <f t="shared" si="0"/>
        <v>0</v>
      </c>
      <c r="AH40" s="108">
        <f t="shared" si="1"/>
        <v>1</v>
      </c>
      <c r="AI40" s="108">
        <f t="shared" si="10"/>
        <v>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18">
        <v>34</v>
      </c>
      <c r="C41" s="207">
        <v>41813</v>
      </c>
      <c r="D41" s="32" t="s">
        <v>14</v>
      </c>
      <c r="E41" s="21" t="s">
        <v>9</v>
      </c>
      <c r="F41" s="30" t="s">
        <v>15</v>
      </c>
      <c r="G41" s="86">
        <v>1</v>
      </c>
      <c r="H41" s="21" t="s">
        <v>9</v>
      </c>
      <c r="I41" s="91">
        <v>2</v>
      </c>
      <c r="J41" s="23">
        <f t="shared" si="5"/>
        <v>2</v>
      </c>
      <c r="K41" s="11">
        <f t="shared" si="6"/>
        <v>0</v>
      </c>
      <c r="L41" s="11">
        <f t="shared" si="7"/>
        <v>3</v>
      </c>
      <c r="O41" s="48" t="s">
        <v>33</v>
      </c>
      <c r="P41" s="49">
        <f>SUMIF($D$8:$D$55,$O41,$G$8:$G$55)+SUMIF($F$8:$F$55,$O41,$I$8:$I$55)</f>
        <v>2</v>
      </c>
      <c r="Q41" s="49">
        <f>SUMIF($D$8:$D$55,$O41,$I$8:$I$55)+SUMIF($F$8:$F$55,$O41,$G$8:$G$55)</f>
        <v>7</v>
      </c>
      <c r="R41" s="49">
        <f>P41-Q41</f>
        <v>-5</v>
      </c>
      <c r="S41" s="50">
        <f>SUMIF($D$8:$D$55,$O41,$K$8:$K$55)+SUMIF($F$8:$F$55,$O41,$L$8:$L$55)</f>
        <v>1</v>
      </c>
      <c r="T41" s="95" t="s">
        <v>75</v>
      </c>
      <c r="U41" s="40"/>
      <c r="V41" s="40" t="str">
        <f>O41</f>
        <v>Iran</v>
      </c>
      <c r="W41" s="40" t="s">
        <v>74</v>
      </c>
      <c r="Y41" s="109">
        <f t="shared" si="8"/>
        <v>0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0</v>
      </c>
      <c r="AG41" s="108">
        <f t="shared" si="0"/>
        <v>0</v>
      </c>
      <c r="AH41" s="108">
        <f t="shared" si="1"/>
        <v>0</v>
      </c>
      <c r="AI41" s="108">
        <f t="shared" si="10"/>
        <v>0</v>
      </c>
      <c r="AJ41" s="108">
        <f t="shared" si="2"/>
        <v>0</v>
      </c>
      <c r="AK41" s="108">
        <f t="shared" si="3"/>
        <v>0</v>
      </c>
      <c r="AL41" s="108">
        <f t="shared" si="4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18">
        <v>35</v>
      </c>
      <c r="C42" s="207">
        <v>41813</v>
      </c>
      <c r="D42" s="20" t="s">
        <v>12</v>
      </c>
      <c r="E42" s="21" t="s">
        <v>9</v>
      </c>
      <c r="F42" s="30" t="s">
        <v>8</v>
      </c>
      <c r="G42" s="86">
        <v>1</v>
      </c>
      <c r="H42" s="21" t="s">
        <v>9</v>
      </c>
      <c r="I42" s="91">
        <v>2</v>
      </c>
      <c r="J42" s="23">
        <f t="shared" si="5"/>
        <v>2</v>
      </c>
      <c r="K42" s="11">
        <f t="shared" si="6"/>
        <v>0</v>
      </c>
      <c r="L42" s="11">
        <f t="shared" si="7"/>
        <v>3</v>
      </c>
      <c r="O42" s="51" t="s">
        <v>34</v>
      </c>
      <c r="P42" s="52">
        <f>SUMIF($D$8:$D$55,$O42,$G$8:$G$55)+SUMIF($F$8:$F$55,$O42,$I$8:$I$55)</f>
        <v>4</v>
      </c>
      <c r="Q42" s="52">
        <f>SUMIF($D$8:$D$55,$O42,$I$8:$I$55)+SUMIF($F$8:$F$55,$O42,$G$8:$G$55)</f>
        <v>3</v>
      </c>
      <c r="R42" s="52">
        <f>P42-Q42</f>
        <v>1</v>
      </c>
      <c r="S42" s="53">
        <f>SUMIF($D$8:$D$55,$O42,$K$8:$K$55)+SUMIF($F$8:$F$55,$O42,$L$8:$L$55)</f>
        <v>6</v>
      </c>
      <c r="T42" s="96" t="s">
        <v>73</v>
      </c>
      <c r="U42" s="40"/>
      <c r="V42" s="40" t="str">
        <f>O42</f>
        <v>Nigeria</v>
      </c>
      <c r="W42" s="40" t="s">
        <v>75</v>
      </c>
      <c r="Y42" s="109">
        <f t="shared" si="8"/>
        <v>6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6</v>
      </c>
      <c r="AG42" s="108">
        <f t="shared" si="0"/>
        <v>1</v>
      </c>
      <c r="AH42" s="108">
        <f t="shared" si="1"/>
        <v>0</v>
      </c>
      <c r="AI42" s="108">
        <f t="shared" si="10"/>
        <v>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24">
        <v>36</v>
      </c>
      <c r="C43" s="208">
        <v>41813</v>
      </c>
      <c r="D43" s="26" t="s">
        <v>10</v>
      </c>
      <c r="E43" s="27" t="s">
        <v>9</v>
      </c>
      <c r="F43" s="28" t="s">
        <v>11</v>
      </c>
      <c r="G43" s="87">
        <v>2</v>
      </c>
      <c r="H43" s="27" t="s">
        <v>9</v>
      </c>
      <c r="I43" s="92">
        <v>1</v>
      </c>
      <c r="J43" s="29">
        <f t="shared" si="5"/>
        <v>1</v>
      </c>
      <c r="K43" s="11">
        <f t="shared" si="6"/>
        <v>3</v>
      </c>
      <c r="L43" s="11">
        <f t="shared" si="7"/>
        <v>0</v>
      </c>
      <c r="O43" s="40"/>
      <c r="P43" s="41"/>
      <c r="Q43" s="41"/>
      <c r="R43" s="41"/>
      <c r="S43" s="41"/>
      <c r="T43" s="41"/>
      <c r="U43" s="40"/>
      <c r="V43" s="40"/>
      <c r="W43" s="40"/>
      <c r="Y43" s="109">
        <f t="shared" si="8"/>
        <v>0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0</v>
      </c>
      <c r="AG43" s="108">
        <f t="shared" si="0"/>
        <v>0</v>
      </c>
      <c r="AH43" s="108">
        <f t="shared" si="1"/>
        <v>0</v>
      </c>
      <c r="AI43" s="108">
        <f t="shared" si="10"/>
        <v>0</v>
      </c>
      <c r="AJ43" s="108">
        <f t="shared" si="2"/>
        <v>0</v>
      </c>
      <c r="AK43" s="108">
        <f t="shared" si="3"/>
        <v>0</v>
      </c>
      <c r="AL43" s="108">
        <f t="shared" si="4"/>
        <v>0</v>
      </c>
      <c r="AN43" s="40"/>
      <c r="AO43" s="41"/>
    </row>
    <row r="44" spans="2:41" ht="15.75" thickBot="1">
      <c r="B44" s="12">
        <v>37</v>
      </c>
      <c r="C44" s="206">
        <v>41814</v>
      </c>
      <c r="D44" s="14" t="s">
        <v>22</v>
      </c>
      <c r="E44" s="15" t="s">
        <v>9</v>
      </c>
      <c r="F44" s="16" t="s">
        <v>19</v>
      </c>
      <c r="G44" s="85">
        <v>2</v>
      </c>
      <c r="H44" s="15" t="s">
        <v>9</v>
      </c>
      <c r="I44" s="90">
        <v>3</v>
      </c>
      <c r="J44" s="17">
        <f t="shared" si="5"/>
        <v>2</v>
      </c>
      <c r="K44" s="11">
        <f t="shared" si="6"/>
        <v>0</v>
      </c>
      <c r="L44" s="11">
        <f t="shared" si="7"/>
        <v>3</v>
      </c>
      <c r="O44" s="72" t="s">
        <v>76</v>
      </c>
      <c r="P44" s="73" t="s">
        <v>42</v>
      </c>
      <c r="Q44" s="73" t="s">
        <v>43</v>
      </c>
      <c r="R44" s="74" t="s">
        <v>44</v>
      </c>
      <c r="S44" s="75" t="s">
        <v>45</v>
      </c>
      <c r="T44" s="76" t="s">
        <v>46</v>
      </c>
      <c r="U44" s="40"/>
      <c r="V44" s="40"/>
      <c r="W44" s="40"/>
      <c r="Y44" s="109">
        <f t="shared" si="8"/>
        <v>5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5</v>
      </c>
      <c r="AG44" s="108">
        <f t="shared" si="0"/>
        <v>0</v>
      </c>
      <c r="AH44" s="108">
        <f t="shared" si="1"/>
        <v>0</v>
      </c>
      <c r="AI44" s="108">
        <f t="shared" si="10"/>
        <v>0</v>
      </c>
      <c r="AJ44" s="108">
        <f t="shared" si="2"/>
        <v>0</v>
      </c>
      <c r="AK44" s="108">
        <f t="shared" si="3"/>
        <v>5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18">
        <v>38</v>
      </c>
      <c r="C45" s="207">
        <v>41814</v>
      </c>
      <c r="D45" s="20" t="s">
        <v>20</v>
      </c>
      <c r="E45" s="21" t="s">
        <v>9</v>
      </c>
      <c r="F45" s="30" t="s">
        <v>21</v>
      </c>
      <c r="G45" s="86">
        <v>1</v>
      </c>
      <c r="H45" s="21" t="s">
        <v>9</v>
      </c>
      <c r="I45" s="91">
        <v>2</v>
      </c>
      <c r="J45" s="23">
        <f t="shared" si="5"/>
        <v>2</v>
      </c>
      <c r="K45" s="11">
        <f t="shared" si="6"/>
        <v>0</v>
      </c>
      <c r="L45" s="11">
        <f t="shared" si="7"/>
        <v>3</v>
      </c>
      <c r="O45" s="44" t="s">
        <v>31</v>
      </c>
      <c r="P45" s="45">
        <f>SUMIF($D$8:$D$55,$O45,$G$8:$G$55)+SUMIF($F$8:$F$55,$O45,$I$8:$I$55)</f>
        <v>9</v>
      </c>
      <c r="Q45" s="45">
        <f>SUMIF($D$8:$D$55,$O45,$I$8:$I$55)+SUMIF($F$8:$F$55,$O45,$G$8:$G$55)</f>
        <v>3</v>
      </c>
      <c r="R45" s="46">
        <f>P45-Q45</f>
        <v>6</v>
      </c>
      <c r="S45" s="47">
        <f>SUMIF($D$8:$D$55,$O45,$K$8:$K$55)+SUMIF($F$8:$F$55,$O45,$L$8:$L$55)</f>
        <v>9</v>
      </c>
      <c r="T45" s="94" t="s">
        <v>77</v>
      </c>
      <c r="U45" s="40"/>
      <c r="V45" s="40" t="str">
        <f>O45</f>
        <v>Duitsland</v>
      </c>
      <c r="W45" s="40" t="s">
        <v>77</v>
      </c>
      <c r="Y45" s="109">
        <f t="shared" si="8"/>
        <v>0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0</v>
      </c>
      <c r="AG45" s="108">
        <f t="shared" si="0"/>
        <v>0</v>
      </c>
      <c r="AH45" s="108">
        <f t="shared" si="1"/>
        <v>0</v>
      </c>
      <c r="AI45" s="108">
        <f t="shared" si="10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18">
        <v>39</v>
      </c>
      <c r="C46" s="207">
        <v>41814</v>
      </c>
      <c r="D46" s="20" t="s">
        <v>24</v>
      </c>
      <c r="E46" s="21" t="s">
        <v>9</v>
      </c>
      <c r="F46" s="30" t="s">
        <v>17</v>
      </c>
      <c r="G46" s="86">
        <v>1</v>
      </c>
      <c r="H46" s="21" t="s">
        <v>9</v>
      </c>
      <c r="I46" s="91">
        <v>2</v>
      </c>
      <c r="J46" s="23">
        <f t="shared" si="5"/>
        <v>2</v>
      </c>
      <c r="K46" s="11">
        <f t="shared" si="6"/>
        <v>0</v>
      </c>
      <c r="L46" s="11">
        <f t="shared" si="7"/>
        <v>3</v>
      </c>
      <c r="O46" s="48" t="s">
        <v>32</v>
      </c>
      <c r="P46" s="49">
        <f>SUMIF($D$8:$D$55,$O46,$G$8:$G$55)+SUMIF($F$8:$F$55,$O46,$I$8:$I$55)</f>
        <v>6</v>
      </c>
      <c r="Q46" s="49">
        <f>SUMIF($D$8:$D$55,$O46,$I$8:$I$55)+SUMIF($F$8:$F$55,$O46,$G$8:$G$55)</f>
        <v>3</v>
      </c>
      <c r="R46" s="49">
        <f>P46-Q46</f>
        <v>3</v>
      </c>
      <c r="S46" s="50">
        <f>SUMIF($D$8:$D$55,$O46,$K$8:$K$55)+SUMIF($F$8:$F$55,$O46,$L$8:$L$55)</f>
        <v>6</v>
      </c>
      <c r="T46" s="95" t="s">
        <v>78</v>
      </c>
      <c r="U46" s="40"/>
      <c r="V46" s="40" t="str">
        <f>O46</f>
        <v>Portugal</v>
      </c>
      <c r="W46" s="40" t="s">
        <v>78</v>
      </c>
      <c r="Y46" s="109">
        <f t="shared" si="8"/>
        <v>6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6</v>
      </c>
      <c r="AG46" s="108">
        <f t="shared" si="0"/>
        <v>1</v>
      </c>
      <c r="AH46" s="108">
        <f t="shared" si="1"/>
        <v>0</v>
      </c>
      <c r="AI46" s="108">
        <f t="shared" si="10"/>
        <v>0</v>
      </c>
      <c r="AJ46" s="108">
        <f t="shared" si="2"/>
        <v>0</v>
      </c>
      <c r="AK46" s="108">
        <f t="shared" si="3"/>
        <v>5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24">
        <v>40</v>
      </c>
      <c r="C47" s="208">
        <v>41814</v>
      </c>
      <c r="D47" s="26" t="s">
        <v>18</v>
      </c>
      <c r="E47" s="27" t="s">
        <v>9</v>
      </c>
      <c r="F47" s="28" t="s">
        <v>23</v>
      </c>
      <c r="G47" s="87">
        <v>0</v>
      </c>
      <c r="H47" s="27" t="s">
        <v>9</v>
      </c>
      <c r="I47" s="92">
        <v>1</v>
      </c>
      <c r="J47" s="29">
        <f t="shared" si="5"/>
        <v>2</v>
      </c>
      <c r="K47" s="11">
        <f t="shared" si="6"/>
        <v>0</v>
      </c>
      <c r="L47" s="11">
        <f t="shared" si="7"/>
        <v>3</v>
      </c>
      <c r="O47" s="48" t="s">
        <v>35</v>
      </c>
      <c r="P47" s="49">
        <f>SUMIF($D$8:$D$55,$O47,$G$8:$G$55)+SUMIF($F$8:$F$55,$O47,$I$8:$I$55)</f>
        <v>1</v>
      </c>
      <c r="Q47" s="49">
        <f>SUMIF($D$8:$D$55,$O47,$I$8:$I$55)+SUMIF($F$8:$F$55,$O47,$G$8:$G$55)</f>
        <v>6</v>
      </c>
      <c r="R47" s="49">
        <f>P47-Q47</f>
        <v>-5</v>
      </c>
      <c r="S47" s="50">
        <f>SUMIF($D$8:$D$55,$O47,$K$8:$K$55)+SUMIF($F$8:$F$55,$O47,$L$8:$L$55)</f>
        <v>1</v>
      </c>
      <c r="T47" s="95" t="s">
        <v>80</v>
      </c>
      <c r="U47" s="40"/>
      <c r="V47" s="40" t="str">
        <f>O47</f>
        <v>Ghana</v>
      </c>
      <c r="W47" s="40" t="s">
        <v>79</v>
      </c>
      <c r="Y47" s="109">
        <f t="shared" si="8"/>
        <v>1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1</v>
      </c>
      <c r="AG47" s="108">
        <f t="shared" si="0"/>
        <v>0</v>
      </c>
      <c r="AH47" s="108">
        <f t="shared" si="1"/>
        <v>1</v>
      </c>
      <c r="AI47" s="108">
        <f t="shared" si="10"/>
        <v>0</v>
      </c>
      <c r="AJ47" s="108">
        <f t="shared" si="2"/>
        <v>0</v>
      </c>
      <c r="AK47" s="108">
        <f t="shared" si="3"/>
        <v>0</v>
      </c>
      <c r="AL47" s="108">
        <f t="shared" si="4"/>
        <v>0</v>
      </c>
      <c r="AM47" s="120">
        <f>AO47</f>
        <v>10</v>
      </c>
      <c r="AN47" s="117" t="s">
        <v>35</v>
      </c>
      <c r="AO47" s="115">
        <f>IF(Uitslag!T47="",0,IF(T47=Uitslag!T47,10,0))</f>
        <v>10</v>
      </c>
    </row>
    <row r="48" spans="2:41" ht="15.75" thickBot="1">
      <c r="B48" s="12">
        <v>41</v>
      </c>
      <c r="C48" s="206">
        <v>41815</v>
      </c>
      <c r="D48" s="14" t="s">
        <v>34</v>
      </c>
      <c r="E48" s="15" t="s">
        <v>9</v>
      </c>
      <c r="F48" s="16" t="s">
        <v>29</v>
      </c>
      <c r="G48" s="85">
        <v>1</v>
      </c>
      <c r="H48" s="15" t="s">
        <v>9</v>
      </c>
      <c r="I48" s="90">
        <v>3</v>
      </c>
      <c r="J48" s="17">
        <f t="shared" si="5"/>
        <v>2</v>
      </c>
      <c r="K48" s="11">
        <f t="shared" si="6"/>
        <v>0</v>
      </c>
      <c r="L48" s="11">
        <f t="shared" si="7"/>
        <v>3</v>
      </c>
      <c r="O48" s="51" t="s">
        <v>36</v>
      </c>
      <c r="P48" s="52">
        <f>SUMIF($D$8:$D$55,$O48,$G$8:$G$55)+SUMIF($F$8:$F$55,$O48,$I$8:$I$55)</f>
        <v>4</v>
      </c>
      <c r="Q48" s="52">
        <f>SUMIF($D$8:$D$55,$O48,$I$8:$I$55)+SUMIF($F$8:$F$55,$O48,$G$8:$G$55)</f>
        <v>8</v>
      </c>
      <c r="R48" s="52">
        <f>P48-Q48</f>
        <v>-4</v>
      </c>
      <c r="S48" s="53">
        <f>SUMIF($D$8:$D$55,$O48,$K$8:$K$55)+SUMIF($F$8:$F$55,$O48,$L$8:$L$55)</f>
        <v>1</v>
      </c>
      <c r="T48" s="96" t="s">
        <v>79</v>
      </c>
      <c r="U48" s="40"/>
      <c r="V48" s="40" t="str">
        <f>O48</f>
        <v>Verenigde Staten</v>
      </c>
      <c r="W48" s="40" t="s">
        <v>80</v>
      </c>
      <c r="Y48" s="109">
        <f t="shared" si="8"/>
        <v>6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6</v>
      </c>
      <c r="AG48" s="108">
        <f t="shared" si="0"/>
        <v>0</v>
      </c>
      <c r="AH48" s="108">
        <f t="shared" si="1"/>
        <v>1</v>
      </c>
      <c r="AI48" s="108">
        <f t="shared" si="10"/>
        <v>0</v>
      </c>
      <c r="AJ48" s="108">
        <f t="shared" si="2"/>
        <v>0</v>
      </c>
      <c r="AK48" s="108">
        <f t="shared" si="3"/>
        <v>5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18">
        <v>42</v>
      </c>
      <c r="C49" s="207">
        <v>41815</v>
      </c>
      <c r="D49" s="20" t="s">
        <v>30</v>
      </c>
      <c r="E49" s="21" t="s">
        <v>9</v>
      </c>
      <c r="F49" s="30" t="s">
        <v>33</v>
      </c>
      <c r="G49" s="86">
        <v>1</v>
      </c>
      <c r="H49" s="21" t="s">
        <v>9</v>
      </c>
      <c r="I49" s="91">
        <v>1</v>
      </c>
      <c r="J49" s="23">
        <f t="shared" si="5"/>
        <v>3</v>
      </c>
      <c r="K49" s="11">
        <f t="shared" si="6"/>
        <v>1</v>
      </c>
      <c r="L49" s="11">
        <f t="shared" si="7"/>
        <v>1</v>
      </c>
      <c r="O49" s="40"/>
      <c r="P49" s="41"/>
      <c r="Q49" s="41"/>
      <c r="R49" s="41"/>
      <c r="S49" s="41"/>
      <c r="T49" s="41"/>
      <c r="U49" s="40"/>
      <c r="V49" s="40"/>
      <c r="W49" s="40"/>
      <c r="Y49" s="109">
        <f t="shared" si="8"/>
        <v>1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1</v>
      </c>
      <c r="AG49" s="108">
        <f t="shared" si="0"/>
        <v>0</v>
      </c>
      <c r="AH49" s="108">
        <f t="shared" si="1"/>
        <v>1</v>
      </c>
      <c r="AI49" s="108">
        <f t="shared" si="10"/>
        <v>0</v>
      </c>
      <c r="AJ49" s="108">
        <f t="shared" si="2"/>
        <v>0</v>
      </c>
      <c r="AK49" s="108">
        <f t="shared" si="3"/>
        <v>0</v>
      </c>
      <c r="AL49" s="108">
        <f t="shared" si="4"/>
        <v>0</v>
      </c>
      <c r="AN49" s="40"/>
      <c r="AO49" s="41"/>
    </row>
    <row r="50" spans="2:54" ht="15.75" thickBot="1">
      <c r="B50" s="18">
        <v>43</v>
      </c>
      <c r="C50" s="207">
        <v>41815</v>
      </c>
      <c r="D50" s="20" t="s">
        <v>28</v>
      </c>
      <c r="E50" s="21" t="s">
        <v>9</v>
      </c>
      <c r="F50" s="30" t="s">
        <v>25</v>
      </c>
      <c r="G50" s="86">
        <v>2</v>
      </c>
      <c r="H50" s="21" t="s">
        <v>9</v>
      </c>
      <c r="I50" s="91">
        <v>1</v>
      </c>
      <c r="J50" s="23">
        <f t="shared" si="5"/>
        <v>1</v>
      </c>
      <c r="K50" s="11">
        <f t="shared" si="6"/>
        <v>3</v>
      </c>
      <c r="L50" s="11">
        <f t="shared" si="7"/>
        <v>0</v>
      </c>
      <c r="O50" s="72" t="s">
        <v>81</v>
      </c>
      <c r="P50" s="73" t="s">
        <v>42</v>
      </c>
      <c r="Q50" s="73" t="s">
        <v>43</v>
      </c>
      <c r="R50" s="74" t="s">
        <v>44</v>
      </c>
      <c r="S50" s="75" t="s">
        <v>45</v>
      </c>
      <c r="T50" s="76" t="s">
        <v>46</v>
      </c>
      <c r="U50" s="40"/>
      <c r="V50" s="40"/>
      <c r="W50" s="40"/>
      <c r="Y50" s="109">
        <f t="shared" si="8"/>
        <v>0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0</v>
      </c>
      <c r="AG50" s="108">
        <f t="shared" si="0"/>
        <v>0</v>
      </c>
      <c r="AH50" s="108">
        <f t="shared" si="1"/>
        <v>0</v>
      </c>
      <c r="AI50" s="108">
        <f t="shared" si="10"/>
        <v>0</v>
      </c>
      <c r="AJ50" s="108">
        <f t="shared" si="2"/>
        <v>0</v>
      </c>
      <c r="AK50" s="108">
        <f t="shared" si="3"/>
        <v>0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24">
        <v>44</v>
      </c>
      <c r="C51" s="208">
        <v>41815</v>
      </c>
      <c r="D51" s="26" t="s">
        <v>26</v>
      </c>
      <c r="E51" s="27" t="s">
        <v>9</v>
      </c>
      <c r="F51" s="28" t="s">
        <v>27</v>
      </c>
      <c r="G51" s="87">
        <v>2</v>
      </c>
      <c r="H51" s="27" t="s">
        <v>9</v>
      </c>
      <c r="I51" s="92">
        <v>2</v>
      </c>
      <c r="J51" s="29">
        <f t="shared" si="5"/>
        <v>3</v>
      </c>
      <c r="K51" s="11">
        <f t="shared" si="6"/>
        <v>1</v>
      </c>
      <c r="L51" s="11">
        <f>IF(I51="","",IF($G51&lt;$I51,3,IF($G51=$I51,1,0)))</f>
        <v>1</v>
      </c>
      <c r="O51" s="44" t="s">
        <v>37</v>
      </c>
      <c r="P51" s="45">
        <f>SUMIF($D$8:$D$55,$O51,$G$8:$G$55)+SUMIF($F$8:$F$55,$O51,$I$8:$I$55)</f>
        <v>7</v>
      </c>
      <c r="Q51" s="45">
        <f>SUMIF($D$8:$D$55,$O51,$I$8:$I$55)+SUMIF($F$8:$F$55,$O51,$G$8:$G$55)</f>
        <v>2</v>
      </c>
      <c r="R51" s="46">
        <f>P51-Q51</f>
        <v>5</v>
      </c>
      <c r="S51" s="47">
        <f>SUMIF($D$8:$D$55,$O51,$K$8:$K$55)+SUMIF($F$8:$F$55,$O51,$L$8:$L$55)</f>
        <v>9</v>
      </c>
      <c r="T51" s="94" t="s">
        <v>82</v>
      </c>
      <c r="U51" s="40"/>
      <c r="V51" s="40" t="str">
        <f>O51</f>
        <v>België</v>
      </c>
      <c r="W51" s="40" t="s">
        <v>82</v>
      </c>
      <c r="Y51" s="109">
        <f t="shared" si="8"/>
        <v>5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5</v>
      </c>
      <c r="AG51" s="108">
        <f t="shared" si="0"/>
        <v>0</v>
      </c>
      <c r="AH51" s="108">
        <f t="shared" si="1"/>
        <v>0</v>
      </c>
      <c r="AI51" s="108">
        <f t="shared" si="10"/>
        <v>0</v>
      </c>
      <c r="AJ51" s="108">
        <f t="shared" si="2"/>
        <v>0</v>
      </c>
      <c r="AK51" s="108">
        <f t="shared" si="3"/>
        <v>0</v>
      </c>
      <c r="AL51" s="108">
        <f t="shared" si="4"/>
        <v>5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18">
        <v>45</v>
      </c>
      <c r="C52" s="207">
        <v>41816</v>
      </c>
      <c r="D52" s="20" t="s">
        <v>36</v>
      </c>
      <c r="E52" s="21" t="s">
        <v>9</v>
      </c>
      <c r="F52" s="30" t="s">
        <v>31</v>
      </c>
      <c r="G52" s="86">
        <v>2</v>
      </c>
      <c r="H52" s="21" t="s">
        <v>9</v>
      </c>
      <c r="I52" s="91">
        <v>4</v>
      </c>
      <c r="J52" s="17">
        <f t="shared" si="5"/>
        <v>2</v>
      </c>
      <c r="K52" s="11">
        <f t="shared" si="6"/>
        <v>0</v>
      </c>
      <c r="L52" s="11">
        <f t="shared" si="7"/>
        <v>3</v>
      </c>
      <c r="O52" s="48" t="s">
        <v>38</v>
      </c>
      <c r="P52" s="49">
        <f>SUMIF($D$8:$D$55,$O52,$G$8:$G$55)+SUMIF($F$8:$F$55,$O52,$I$8:$I$55)</f>
        <v>2</v>
      </c>
      <c r="Q52" s="49">
        <f>SUMIF($D$8:$D$55,$O52,$I$8:$I$55)+SUMIF($F$8:$F$55,$O52,$G$8:$G$55)</f>
        <v>5</v>
      </c>
      <c r="R52" s="49">
        <f>P52-Q52</f>
        <v>-3</v>
      </c>
      <c r="S52" s="50">
        <f>SUMIF($D$8:$D$55,$O52,$K$8:$K$55)+SUMIF($F$8:$F$55,$O52,$L$8:$L$55)</f>
        <v>0</v>
      </c>
      <c r="T52" s="95" t="s">
        <v>85</v>
      </c>
      <c r="U52" s="40"/>
      <c r="V52" s="40" t="str">
        <f>O52</f>
        <v>Algerije</v>
      </c>
      <c r="W52" s="40" t="s">
        <v>83</v>
      </c>
      <c r="Y52" s="109">
        <f t="shared" si="8"/>
        <v>5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5</v>
      </c>
      <c r="AG52" s="108">
        <f t="shared" si="0"/>
        <v>0</v>
      </c>
      <c r="AH52" s="108">
        <f t="shared" si="1"/>
        <v>0</v>
      </c>
      <c r="AI52" s="108">
        <f t="shared" si="10"/>
        <v>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18">
        <v>46</v>
      </c>
      <c r="C53" s="207">
        <v>41816</v>
      </c>
      <c r="D53" s="20" t="s">
        <v>32</v>
      </c>
      <c r="E53" s="21" t="s">
        <v>9</v>
      </c>
      <c r="F53" s="30" t="s">
        <v>35</v>
      </c>
      <c r="G53" s="86">
        <v>2</v>
      </c>
      <c r="H53" s="21" t="s">
        <v>9</v>
      </c>
      <c r="I53" s="91">
        <v>0</v>
      </c>
      <c r="J53" s="23">
        <f t="shared" si="5"/>
        <v>1</v>
      </c>
      <c r="K53" s="11">
        <f t="shared" si="6"/>
        <v>3</v>
      </c>
      <c r="L53" s="11">
        <f t="shared" si="7"/>
        <v>0</v>
      </c>
      <c r="O53" s="48" t="s">
        <v>39</v>
      </c>
      <c r="P53" s="49">
        <f>SUMIF($D$8:$D$55,$O53,$G$8:$G$55)+SUMIF($F$8:$F$55,$O53,$I$8:$I$55)</f>
        <v>3</v>
      </c>
      <c r="Q53" s="49">
        <f>SUMIF($D$8:$D$55,$O53,$I$8:$I$55)+SUMIF($F$8:$F$55,$O53,$G$8:$G$55)</f>
        <v>4</v>
      </c>
      <c r="R53" s="49">
        <f>P53-Q53</f>
        <v>-1</v>
      </c>
      <c r="S53" s="50">
        <f>SUMIF($D$8:$D$55,$O53,$K$8:$K$55)+SUMIF($F$8:$F$55,$O53,$L$8:$L$55)</f>
        <v>4</v>
      </c>
      <c r="T53" s="95" t="s">
        <v>83</v>
      </c>
      <c r="U53" s="40"/>
      <c r="V53" s="40" t="str">
        <f>O53</f>
        <v>Rusland</v>
      </c>
      <c r="W53" s="40" t="s">
        <v>84</v>
      </c>
      <c r="Y53" s="109">
        <f t="shared" si="8"/>
        <v>6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6</v>
      </c>
      <c r="AG53" s="108">
        <f t="shared" si="0"/>
        <v>1</v>
      </c>
      <c r="AH53" s="108">
        <f t="shared" si="1"/>
        <v>0</v>
      </c>
      <c r="AI53" s="108">
        <f t="shared" si="10"/>
        <v>0</v>
      </c>
      <c r="AJ53" s="108">
        <f t="shared" si="2"/>
        <v>5</v>
      </c>
      <c r="AK53" s="108">
        <f t="shared" si="3"/>
        <v>0</v>
      </c>
      <c r="AL53" s="108">
        <f t="shared" si="4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18">
        <v>47</v>
      </c>
      <c r="C54" s="207">
        <v>41816</v>
      </c>
      <c r="D54" s="20" t="s">
        <v>40</v>
      </c>
      <c r="E54" s="21" t="s">
        <v>9</v>
      </c>
      <c r="F54" s="30" t="s">
        <v>37</v>
      </c>
      <c r="G54" s="86">
        <v>1</v>
      </c>
      <c r="H54" s="21" t="s">
        <v>9</v>
      </c>
      <c r="I54" s="91">
        <v>3</v>
      </c>
      <c r="J54" s="23">
        <f t="shared" si="5"/>
        <v>2</v>
      </c>
      <c r="K54" s="11">
        <f t="shared" si="6"/>
        <v>0</v>
      </c>
      <c r="L54" s="11">
        <f t="shared" si="7"/>
        <v>3</v>
      </c>
      <c r="O54" s="51" t="s">
        <v>40</v>
      </c>
      <c r="P54" s="52">
        <f>SUMIF($D$8:$D$55,$O54,$G$8:$G$55)+SUMIF($F$8:$F$55,$O54,$I$8:$I$55)</f>
        <v>3</v>
      </c>
      <c r="Q54" s="52">
        <f>SUMIF($D$8:$D$55,$O54,$I$8:$I$55)+SUMIF($F$8:$F$55,$O54,$G$8:$G$55)</f>
        <v>4</v>
      </c>
      <c r="R54" s="52">
        <f>P54-Q54</f>
        <v>-1</v>
      </c>
      <c r="S54" s="53">
        <f>SUMIF($D$8:$D$55,$O54,$K$8:$K$55)+SUMIF($F$8:$F$55,$O54,$L$8:$L$55)</f>
        <v>4</v>
      </c>
      <c r="T54" s="96" t="s">
        <v>84</v>
      </c>
      <c r="U54" s="40"/>
      <c r="V54" s="40" t="str">
        <f>O54</f>
        <v>Zuid Korea</v>
      </c>
      <c r="W54" s="40" t="s">
        <v>85</v>
      </c>
      <c r="Y54" s="109">
        <f t="shared" si="8"/>
        <v>5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5</v>
      </c>
      <c r="AG54" s="108">
        <f t="shared" si="0"/>
        <v>0</v>
      </c>
      <c r="AH54" s="108">
        <f t="shared" si="1"/>
        <v>0</v>
      </c>
      <c r="AI54" s="108">
        <f t="shared" si="10"/>
        <v>0</v>
      </c>
      <c r="AJ54" s="108">
        <f t="shared" si="2"/>
        <v>0</v>
      </c>
      <c r="AK54" s="108">
        <f t="shared" si="3"/>
        <v>5</v>
      </c>
      <c r="AL54" s="108">
        <f t="shared" si="4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3">
        <v>48</v>
      </c>
      <c r="C55" s="209">
        <v>41816</v>
      </c>
      <c r="D55" s="35" t="s">
        <v>38</v>
      </c>
      <c r="E55" s="36" t="s">
        <v>9</v>
      </c>
      <c r="F55" s="37" t="s">
        <v>39</v>
      </c>
      <c r="G55" s="88">
        <v>1</v>
      </c>
      <c r="H55" s="36" t="s">
        <v>9</v>
      </c>
      <c r="I55" s="93">
        <v>2</v>
      </c>
      <c r="J55" s="38">
        <f t="shared" si="5"/>
        <v>2</v>
      </c>
      <c r="K55" s="11">
        <f t="shared" si="6"/>
        <v>0</v>
      </c>
      <c r="L55" s="11">
        <f t="shared" si="7"/>
        <v>3</v>
      </c>
      <c r="O55" s="40"/>
      <c r="P55" s="41"/>
      <c r="Q55" s="41"/>
      <c r="R55" s="41"/>
      <c r="S55" s="41"/>
      <c r="T55" s="41"/>
      <c r="U55" s="40"/>
      <c r="V55" s="40"/>
      <c r="W55" s="40"/>
      <c r="Y55" s="109">
        <f t="shared" si="8"/>
        <v>1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</v>
      </c>
      <c r="AG55" s="108">
        <f t="shared" si="0"/>
        <v>1</v>
      </c>
      <c r="AH55" s="108">
        <f t="shared" si="1"/>
        <v>0</v>
      </c>
      <c r="AI55" s="108">
        <f t="shared" si="10"/>
        <v>0</v>
      </c>
      <c r="AJ55" s="108">
        <f t="shared" si="2"/>
        <v>0</v>
      </c>
      <c r="AK55" s="108">
        <f t="shared" si="3"/>
        <v>0</v>
      </c>
      <c r="AL55" s="108">
        <f t="shared" si="4"/>
        <v>0</v>
      </c>
    </row>
    <row r="56" spans="2:54" ht="15.75" thickBot="1">
      <c r="B56" s="1"/>
      <c r="C56" s="210"/>
      <c r="D56" s="40"/>
      <c r="E56" s="1"/>
      <c r="F56" s="40"/>
      <c r="G56" s="1"/>
      <c r="H56" s="1"/>
      <c r="I56" s="1"/>
      <c r="J56" s="1"/>
      <c r="K56" s="1"/>
      <c r="L56" s="1"/>
      <c r="M56" s="1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195"/>
      <c r="K57" s="1"/>
      <c r="L57" s="1"/>
      <c r="M57" s="1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78" t="s">
        <v>1</v>
      </c>
      <c r="C58" s="122" t="s">
        <v>2</v>
      </c>
      <c r="D58" s="187" t="s">
        <v>3</v>
      </c>
      <c r="E58" s="81"/>
      <c r="F58" s="194" t="s">
        <v>4</v>
      </c>
      <c r="G58" s="867" t="s">
        <v>5</v>
      </c>
      <c r="H58" s="868"/>
      <c r="I58" s="869"/>
      <c r="J58" s="83" t="s">
        <v>6</v>
      </c>
      <c r="K58" s="1"/>
      <c r="L58" s="1"/>
      <c r="M58" s="1"/>
      <c r="O58" s="135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12">
        <v>49</v>
      </c>
      <c r="C59" s="211">
        <v>41818</v>
      </c>
      <c r="D59" s="153" t="str">
        <f>IF(ISERROR(Z59),K59,Z59)</f>
        <v>Brazilië</v>
      </c>
      <c r="E59" s="15" t="s">
        <v>9</v>
      </c>
      <c r="F59" s="56" t="str">
        <f>IF(ISERROR(AA59),L59,AA59)</f>
        <v>Chili</v>
      </c>
      <c r="G59" s="85">
        <v>2</v>
      </c>
      <c r="H59" s="15" t="s">
        <v>9</v>
      </c>
      <c r="I59" s="97">
        <v>1</v>
      </c>
      <c r="J59" s="98">
        <v>1</v>
      </c>
      <c r="K59" s="57" t="s">
        <v>48</v>
      </c>
      <c r="L59" s="57" t="s">
        <v>53</v>
      </c>
      <c r="M59" s="57">
        <v>1</v>
      </c>
      <c r="O59" s="135">
        <v>2</v>
      </c>
      <c r="P59" s="877" t="s">
        <v>220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3">AF59</f>
        <v>1</v>
      </c>
      <c r="Z59" t="str">
        <f t="shared" ref="Z59:AA65" si="14">IF(K59=""," ",VLOOKUP(K59,$T$9:$V$54,3,FALSE))</f>
        <v>Brazilië</v>
      </c>
      <c r="AA59" t="str">
        <f t="shared" si="14"/>
        <v>Chili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1</v>
      </c>
      <c r="AG59" s="108">
        <f t="shared" ref="AG59:AG66" si="16">IF(AC59="",0,(IF(G59=AC59,1,0)))</f>
        <v>0</v>
      </c>
      <c r="AH59" s="108">
        <f t="shared" ref="AH59:AH66" si="17">IF(AD59="",0,(IF(I59=AD59,1,0)))</f>
        <v>1</v>
      </c>
      <c r="AI59" s="108">
        <f t="shared" ref="AI59:AI66" si="18">IF(AND(AG59=1,AH59=1),10,0)</f>
        <v>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24">
        <v>50</v>
      </c>
      <c r="C60" s="212">
        <v>41818</v>
      </c>
      <c r="D60" s="154" t="str">
        <f t="shared" ref="D60:D66" si="23">IF(ISERROR(Z60),K60,Z60)</f>
        <v>Colombia</v>
      </c>
      <c r="E60" s="27" t="s">
        <v>9</v>
      </c>
      <c r="F60" s="59" t="str">
        <f t="shared" ref="F60:F66" si="24">IF(ISERROR(AA60),L60,AA60)</f>
        <v>Italië</v>
      </c>
      <c r="G60" s="87">
        <v>2</v>
      </c>
      <c r="H60" s="27" t="s">
        <v>9</v>
      </c>
      <c r="I60" s="99">
        <v>1</v>
      </c>
      <c r="J60" s="100">
        <v>1</v>
      </c>
      <c r="K60" s="57" t="s">
        <v>57</v>
      </c>
      <c r="L60" s="57" t="s">
        <v>63</v>
      </c>
      <c r="M60" s="57">
        <v>2</v>
      </c>
      <c r="O60" s="135">
        <v>3</v>
      </c>
      <c r="P60" s="877" t="s">
        <v>214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3"/>
        <v>6</v>
      </c>
      <c r="Z60" t="str">
        <f t="shared" si="14"/>
        <v>Colombia</v>
      </c>
      <c r="AA60" t="str">
        <f t="shared" si="14"/>
        <v>Italië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6</v>
      </c>
      <c r="AG60" s="108">
        <f t="shared" si="16"/>
        <v>1</v>
      </c>
      <c r="AH60" s="108">
        <f t="shared" si="17"/>
        <v>0</v>
      </c>
      <c r="AI60" s="108">
        <f t="shared" si="18"/>
        <v>0</v>
      </c>
      <c r="AJ60" s="108">
        <f t="shared" si="19"/>
        <v>5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2"/>
        <v>3</v>
      </c>
    </row>
    <row r="61" spans="2:54">
      <c r="B61" s="12">
        <v>51</v>
      </c>
      <c r="C61" s="211">
        <v>41819</v>
      </c>
      <c r="D61" s="188" t="str">
        <f t="shared" si="23"/>
        <v>Spanje</v>
      </c>
      <c r="E61" s="15" t="s">
        <v>9</v>
      </c>
      <c r="F61" s="56" t="str">
        <f t="shared" si="24"/>
        <v>Kroatië</v>
      </c>
      <c r="G61" s="85">
        <v>2</v>
      </c>
      <c r="H61" s="15" t="s">
        <v>9</v>
      </c>
      <c r="I61" s="97">
        <v>0</v>
      </c>
      <c r="J61" s="98">
        <v>1</v>
      </c>
      <c r="K61" s="57" t="s">
        <v>52</v>
      </c>
      <c r="L61" s="57" t="s">
        <v>49</v>
      </c>
      <c r="M61" s="57"/>
      <c r="O61" s="135">
        <v>4</v>
      </c>
      <c r="P61" s="877" t="s">
        <v>225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3"/>
        <v>6</v>
      </c>
      <c r="Z61" t="str">
        <f t="shared" si="14"/>
        <v>Spanje</v>
      </c>
      <c r="AA61" t="str">
        <f t="shared" si="14"/>
        <v>Kroatië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6</v>
      </c>
      <c r="AG61" s="108">
        <f t="shared" si="16"/>
        <v>1</v>
      </c>
      <c r="AH61" s="108">
        <f t="shared" si="17"/>
        <v>0</v>
      </c>
      <c r="AI61" s="108">
        <f t="shared" si="18"/>
        <v>0</v>
      </c>
      <c r="AJ61" s="108">
        <f t="shared" si="19"/>
        <v>5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3</v>
      </c>
      <c r="BB61" s="139">
        <f t="shared" si="22"/>
        <v>3</v>
      </c>
    </row>
    <row r="62" spans="2:54">
      <c r="B62" s="24">
        <v>52</v>
      </c>
      <c r="C62" s="212">
        <v>41819</v>
      </c>
      <c r="D62" s="188" t="str">
        <f t="shared" si="23"/>
        <v>Uruguay</v>
      </c>
      <c r="E62" s="27" t="s">
        <v>9</v>
      </c>
      <c r="F62" s="59" t="str">
        <f t="shared" si="24"/>
        <v>Ivoorkust</v>
      </c>
      <c r="G62" s="87">
        <v>2</v>
      </c>
      <c r="H62" s="27" t="s">
        <v>9</v>
      </c>
      <c r="I62" s="99">
        <v>1</v>
      </c>
      <c r="J62" s="100">
        <v>1</v>
      </c>
      <c r="K62" s="57" t="s">
        <v>62</v>
      </c>
      <c r="L62" s="57" t="s">
        <v>58</v>
      </c>
      <c r="M62" s="57"/>
      <c r="O62" s="135">
        <v>5</v>
      </c>
      <c r="P62" s="877" t="s">
        <v>216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3"/>
        <v>1</v>
      </c>
      <c r="Z62" t="str">
        <f t="shared" si="14"/>
        <v>Uruguay</v>
      </c>
      <c r="AA62" t="str">
        <f t="shared" si="14"/>
        <v>Ivoorkust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1</v>
      </c>
      <c r="AG62" s="108">
        <f t="shared" si="16"/>
        <v>0</v>
      </c>
      <c r="AH62" s="108">
        <f t="shared" si="17"/>
        <v>1</v>
      </c>
      <c r="AI62" s="108">
        <f t="shared" si="18"/>
        <v>0</v>
      </c>
      <c r="AJ62" s="108">
        <f t="shared" si="19"/>
        <v>0</v>
      </c>
      <c r="AK62" s="108">
        <f t="shared" si="20"/>
        <v>0</v>
      </c>
      <c r="AL62" s="108">
        <f t="shared" si="21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2"/>
        <v>3</v>
      </c>
    </row>
    <row r="63" spans="2:54">
      <c r="B63" s="12">
        <v>53</v>
      </c>
      <c r="C63" s="211">
        <v>41820</v>
      </c>
      <c r="D63" s="153" t="str">
        <f t="shared" si="23"/>
        <v>Honduras</v>
      </c>
      <c r="E63" s="15" t="s">
        <v>9</v>
      </c>
      <c r="F63" s="56" t="str">
        <f t="shared" si="24"/>
        <v>Nigeria</v>
      </c>
      <c r="G63" s="85">
        <v>1</v>
      </c>
      <c r="H63" s="15" t="s">
        <v>9</v>
      </c>
      <c r="I63" s="97">
        <v>1</v>
      </c>
      <c r="J63" s="98">
        <v>1</v>
      </c>
      <c r="K63" s="57" t="s">
        <v>67</v>
      </c>
      <c r="L63" s="57" t="s">
        <v>73</v>
      </c>
      <c r="M63" s="57"/>
      <c r="O63" s="135">
        <v>6</v>
      </c>
      <c r="P63" s="877" t="s">
        <v>215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3"/>
        <v>0</v>
      </c>
      <c r="Z63" t="str">
        <f t="shared" si="14"/>
        <v>Honduras</v>
      </c>
      <c r="AA63" t="str">
        <f t="shared" si="14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0</v>
      </c>
      <c r="AG63" s="108">
        <f t="shared" si="16"/>
        <v>0</v>
      </c>
      <c r="AH63" s="108">
        <f t="shared" si="17"/>
        <v>0</v>
      </c>
      <c r="AI63" s="108">
        <f t="shared" si="18"/>
        <v>0</v>
      </c>
      <c r="AJ63" s="108">
        <f t="shared" si="19"/>
        <v>0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3</v>
      </c>
      <c r="BB63" s="139">
        <f t="shared" si="22"/>
        <v>3</v>
      </c>
    </row>
    <row r="64" spans="2:54">
      <c r="B64" s="24">
        <v>54</v>
      </c>
      <c r="C64" s="212">
        <v>41820</v>
      </c>
      <c r="D64" s="154" t="str">
        <f t="shared" si="23"/>
        <v>Duitsland</v>
      </c>
      <c r="E64" s="27" t="s">
        <v>9</v>
      </c>
      <c r="F64" s="59" t="str">
        <f t="shared" si="24"/>
        <v>Rusland</v>
      </c>
      <c r="G64" s="87">
        <v>3</v>
      </c>
      <c r="H64" s="27" t="s">
        <v>9</v>
      </c>
      <c r="I64" s="99">
        <v>1</v>
      </c>
      <c r="J64" s="100">
        <v>1</v>
      </c>
      <c r="K64" s="57" t="s">
        <v>77</v>
      </c>
      <c r="L64" s="57" t="s">
        <v>83</v>
      </c>
      <c r="M64" s="57"/>
      <c r="O64" s="135">
        <v>7</v>
      </c>
      <c r="P64" s="877" t="s">
        <v>212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3"/>
        <v>0</v>
      </c>
      <c r="Z64" t="str">
        <f t="shared" si="14"/>
        <v>Duitsland</v>
      </c>
      <c r="AA64" t="str">
        <f t="shared" si="14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0</v>
      </c>
      <c r="AG64" s="108">
        <f t="shared" si="16"/>
        <v>0</v>
      </c>
      <c r="AH64" s="108">
        <f t="shared" si="17"/>
        <v>0</v>
      </c>
      <c r="AI64" s="108">
        <f t="shared" si="18"/>
        <v>0</v>
      </c>
      <c r="AJ64" s="108">
        <f t="shared" si="19"/>
        <v>0</v>
      </c>
      <c r="AK64" s="108">
        <f t="shared" si="20"/>
        <v>0</v>
      </c>
      <c r="AL64" s="108">
        <f t="shared" si="21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2"/>
        <v>3</v>
      </c>
    </row>
    <row r="65" spans="2:54">
      <c r="B65" s="18">
        <v>55</v>
      </c>
      <c r="C65" s="213">
        <v>41821</v>
      </c>
      <c r="D65" s="153" t="str">
        <f t="shared" si="23"/>
        <v>Argentinië</v>
      </c>
      <c r="E65" s="21" t="s">
        <v>9</v>
      </c>
      <c r="F65" s="60" t="str">
        <f t="shared" si="24"/>
        <v>Frankrijk</v>
      </c>
      <c r="G65" s="86">
        <v>2</v>
      </c>
      <c r="H65" s="21" t="s">
        <v>9</v>
      </c>
      <c r="I65" s="101">
        <v>1</v>
      </c>
      <c r="J65" s="102">
        <v>1</v>
      </c>
      <c r="K65" s="57" t="s">
        <v>72</v>
      </c>
      <c r="L65" s="57" t="s">
        <v>68</v>
      </c>
      <c r="M65" s="57"/>
      <c r="O65" s="135">
        <v>8</v>
      </c>
      <c r="P65" s="877" t="s">
        <v>209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3"/>
        <v>0</v>
      </c>
      <c r="Z65" t="str">
        <f t="shared" si="14"/>
        <v>Argentinië</v>
      </c>
      <c r="AA65" t="str">
        <f t="shared" si="14"/>
        <v>Frankrijk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0</v>
      </c>
      <c r="AG65" s="108">
        <f t="shared" si="16"/>
        <v>0</v>
      </c>
      <c r="AH65" s="108">
        <f t="shared" si="17"/>
        <v>0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2"/>
        <v>3</v>
      </c>
    </row>
    <row r="66" spans="2:54" ht="15.75" thickBot="1">
      <c r="B66" s="33">
        <v>56</v>
      </c>
      <c r="C66" s="214">
        <v>41821</v>
      </c>
      <c r="D66" s="155" t="str">
        <f t="shared" si="23"/>
        <v>België</v>
      </c>
      <c r="E66" s="36" t="s">
        <v>9</v>
      </c>
      <c r="F66" s="62" t="str">
        <f t="shared" si="24"/>
        <v>Portugal</v>
      </c>
      <c r="G66" s="88">
        <v>2</v>
      </c>
      <c r="H66" s="36" t="s">
        <v>9</v>
      </c>
      <c r="I66" s="103">
        <v>2</v>
      </c>
      <c r="J66" s="104">
        <v>1</v>
      </c>
      <c r="K66" s="57" t="s">
        <v>82</v>
      </c>
      <c r="L66" s="57" t="s">
        <v>78</v>
      </c>
      <c r="M66" s="57"/>
      <c r="O66" s="135">
        <v>9</v>
      </c>
      <c r="P66" s="877" t="s">
        <v>211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3"/>
        <v>5</v>
      </c>
      <c r="Z66" t="str">
        <f>IF(K66=""," ",VLOOKUP(K66,$T$9:$V$54,3,FALSE))</f>
        <v>België</v>
      </c>
      <c r="AA66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5</v>
      </c>
      <c r="AG66" s="108">
        <f t="shared" si="16"/>
        <v>0</v>
      </c>
      <c r="AH66" s="108">
        <f t="shared" si="17"/>
        <v>0</v>
      </c>
      <c r="AI66" s="108">
        <f t="shared" si="18"/>
        <v>0</v>
      </c>
      <c r="AJ66" s="108">
        <f t="shared" si="19"/>
        <v>0</v>
      </c>
      <c r="AK66" s="108">
        <f t="shared" si="20"/>
        <v>0</v>
      </c>
      <c r="AL66" s="108">
        <f t="shared" si="21"/>
        <v>5</v>
      </c>
      <c r="AZ66" s="138" t="str">
        <f>Uitslag!P66</f>
        <v>Jonathan de Guzman (m)</v>
      </c>
      <c r="BA66" s="140">
        <f t="shared" si="12"/>
        <v>3</v>
      </c>
      <c r="BB66" s="139">
        <f t="shared" si="22"/>
        <v>3</v>
      </c>
    </row>
    <row r="67" spans="2:54" ht="15.75" thickBot="1">
      <c r="B67" s="1"/>
      <c r="C67" s="210"/>
      <c r="D67" s="40"/>
      <c r="E67" s="1"/>
      <c r="F67" s="40"/>
      <c r="G67" s="1"/>
      <c r="H67" s="1"/>
      <c r="I67" s="1"/>
      <c r="J67" s="1"/>
      <c r="K67" s="1"/>
      <c r="L67" s="1"/>
      <c r="M67" s="1"/>
      <c r="O67" s="135">
        <v>10</v>
      </c>
      <c r="P67" s="877" t="s">
        <v>226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2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195"/>
      <c r="K68" s="1"/>
      <c r="L68" s="1"/>
      <c r="M68" s="1"/>
      <c r="O68" s="135">
        <v>11</v>
      </c>
      <c r="P68" s="877" t="s">
        <v>213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2"/>
        <v>3</v>
      </c>
    </row>
    <row r="69" spans="2:54">
      <c r="B69" s="78" t="s">
        <v>1</v>
      </c>
      <c r="C69" s="122" t="s">
        <v>2</v>
      </c>
      <c r="D69" s="193" t="s">
        <v>3</v>
      </c>
      <c r="E69" s="81"/>
      <c r="F69" s="194" t="s">
        <v>4</v>
      </c>
      <c r="G69" s="867" t="s">
        <v>5</v>
      </c>
      <c r="H69" s="868"/>
      <c r="I69" s="869"/>
      <c r="J69" s="83" t="s">
        <v>6</v>
      </c>
      <c r="K69" s="1"/>
      <c r="L69" s="1"/>
      <c r="M69" s="1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33</v>
      </c>
      <c r="BB69" s="139">
        <f>IF(AND(BA69&lt;&gt;"",BA69=33),15,"nvt")</f>
        <v>15</v>
      </c>
    </row>
    <row r="70" spans="2:54">
      <c r="B70" s="12">
        <v>57</v>
      </c>
      <c r="C70" s="206">
        <v>41824</v>
      </c>
      <c r="D70" s="55" t="str">
        <f>IF(J63="","Winnaar 53",IF(J63=1,D63,F63))</f>
        <v>Honduras</v>
      </c>
      <c r="E70" s="15" t="s">
        <v>9</v>
      </c>
      <c r="F70" s="56" t="str">
        <f>IF(J64="","Winnaar 54",IF(J64=1,D64,F64))</f>
        <v>Duitsland</v>
      </c>
      <c r="G70" s="85">
        <v>0</v>
      </c>
      <c r="H70" s="15" t="s">
        <v>9</v>
      </c>
      <c r="I70" s="97">
        <v>4</v>
      </c>
      <c r="J70" s="98">
        <v>2</v>
      </c>
      <c r="K70" s="1"/>
      <c r="L70" s="1"/>
      <c r="M70" s="1"/>
      <c r="V70" t="s">
        <v>133</v>
      </c>
      <c r="W70" t="s">
        <v>126</v>
      </c>
      <c r="X70" t="str">
        <f t="shared" si="11"/>
        <v>Karim Rekik (v)</v>
      </c>
      <c r="Y70" s="109">
        <f>AF70</f>
        <v>6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6</v>
      </c>
      <c r="AG70" s="108">
        <f>IF(AC70="",0,(IF(G70=AC70,1,0)))</f>
        <v>1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24">
        <v>58</v>
      </c>
      <c r="C71" s="208">
        <v>41824</v>
      </c>
      <c r="D71" s="58" t="str">
        <f>IF(J59="","Winnaar 49",IF(J59=1,D59,F59))</f>
        <v>Brazilië</v>
      </c>
      <c r="E71" s="27" t="s">
        <v>9</v>
      </c>
      <c r="F71" s="59" t="str">
        <f>IF(J60="","Winnaar 50",IF(J60=1,D60,F60))</f>
        <v>Colombia</v>
      </c>
      <c r="G71" s="87">
        <v>3</v>
      </c>
      <c r="H71" s="27" t="s">
        <v>9</v>
      </c>
      <c r="I71" s="99">
        <v>0</v>
      </c>
      <c r="J71" s="100">
        <v>1</v>
      </c>
      <c r="K71" s="1"/>
      <c r="L71" s="1"/>
      <c r="M71" s="1"/>
      <c r="V71" t="s">
        <v>133</v>
      </c>
      <c r="W71" t="s">
        <v>194</v>
      </c>
      <c r="X71" t="str">
        <f t="shared" si="11"/>
        <v>Ron Vlaar (v)</v>
      </c>
      <c r="Y71" s="109">
        <f>AF71</f>
        <v>5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5</v>
      </c>
      <c r="AG71" s="108">
        <f>IF(AC71="",0,(IF(G71=AC71,1,0)))</f>
        <v>0</v>
      </c>
      <c r="AH71" s="108">
        <f>IF(AD71="",0,(IF(I71=AD71,1,0)))</f>
        <v>0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12">
        <v>59</v>
      </c>
      <c r="C72" s="206">
        <v>41825</v>
      </c>
      <c r="D72" s="55" t="str">
        <f>IF(J65="","Winnaar 55",IF(J65=1,D65,F65))</f>
        <v>Argentinië</v>
      </c>
      <c r="E72" s="15" t="s">
        <v>9</v>
      </c>
      <c r="F72" s="56" t="str">
        <f>IF(J66="","Winnaar 56",IF(J66=1,D66,F66))</f>
        <v>België</v>
      </c>
      <c r="G72" s="85">
        <v>1</v>
      </c>
      <c r="H72" s="15" t="s">
        <v>9</v>
      </c>
      <c r="I72" s="97">
        <v>1</v>
      </c>
      <c r="J72" s="98">
        <v>2</v>
      </c>
      <c r="K72" s="1"/>
      <c r="L72" s="1"/>
      <c r="M72" s="1"/>
      <c r="V72" t="s">
        <v>133</v>
      </c>
      <c r="W72" t="s">
        <v>195</v>
      </c>
      <c r="X72" t="str">
        <f t="shared" si="11"/>
        <v>John Heitinga (v)</v>
      </c>
      <c r="Y72" s="109">
        <f>AF72</f>
        <v>1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1</v>
      </c>
      <c r="AG72" s="108">
        <f>IF(AC72="",0,(IF(G72=AC72,1,0)))</f>
        <v>1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0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3">
        <v>60</v>
      </c>
      <c r="C73" s="209">
        <v>41825</v>
      </c>
      <c r="D73" s="61" t="str">
        <f>IF(J61="","Winnaar 51",IF(J61=1,D61,F61))</f>
        <v>Spanje</v>
      </c>
      <c r="E73" s="36" t="s">
        <v>9</v>
      </c>
      <c r="F73" s="62" t="str">
        <f>IF(J62="","Winnaar 52",IF(J62=1,D62,F62))</f>
        <v>Uruguay</v>
      </c>
      <c r="G73" s="88">
        <v>2</v>
      </c>
      <c r="H73" s="36" t="s">
        <v>9</v>
      </c>
      <c r="I73" s="103">
        <v>1</v>
      </c>
      <c r="J73" s="104">
        <v>1</v>
      </c>
      <c r="K73" s="1"/>
      <c r="L73" s="1"/>
      <c r="M73" s="1"/>
      <c r="V73" t="s">
        <v>133</v>
      </c>
      <c r="W73" t="s">
        <v>196</v>
      </c>
      <c r="X73" t="str">
        <f t="shared" si="11"/>
        <v>Urby Emanuelson (v)</v>
      </c>
      <c r="Y73" s="109">
        <f>AF73</f>
        <v>0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0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1"/>
      <c r="C74" s="210"/>
      <c r="D74" s="40"/>
      <c r="E74" s="1"/>
      <c r="F74" s="40"/>
      <c r="G74" s="1"/>
      <c r="H74" s="1"/>
      <c r="I74" s="1"/>
      <c r="J74" s="1"/>
      <c r="K74" s="1"/>
      <c r="L74" s="1"/>
      <c r="M74" s="1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195"/>
      <c r="K75" s="1"/>
      <c r="L75" s="1"/>
      <c r="M75" s="1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78" t="s">
        <v>1</v>
      </c>
      <c r="C76" s="122" t="s">
        <v>2</v>
      </c>
      <c r="D76" s="193" t="s">
        <v>3</v>
      </c>
      <c r="E76" s="81"/>
      <c r="F76" s="194" t="s">
        <v>4</v>
      </c>
      <c r="G76" s="867" t="s">
        <v>5</v>
      </c>
      <c r="H76" s="868"/>
      <c r="I76" s="869"/>
      <c r="J76" s="83" t="s">
        <v>6</v>
      </c>
      <c r="K76" s="1"/>
      <c r="L76" s="1"/>
      <c r="M76" s="1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12">
        <v>61</v>
      </c>
      <c r="C77" s="206">
        <v>41828</v>
      </c>
      <c r="D77" s="55" t="str">
        <f>IF(J70="","Winnaar 57",IF(J70=1,D70,F70))</f>
        <v>Duitsland</v>
      </c>
      <c r="E77" s="15" t="s">
        <v>9</v>
      </c>
      <c r="F77" s="56" t="str">
        <f>IF(J71="","Winnaar 58",IF(J71=1,D71,F71))</f>
        <v>Brazilië</v>
      </c>
      <c r="G77" s="85">
        <v>2</v>
      </c>
      <c r="H77" s="15" t="s">
        <v>9</v>
      </c>
      <c r="I77" s="97">
        <v>2</v>
      </c>
      <c r="J77" s="98">
        <v>1</v>
      </c>
      <c r="K77" s="1"/>
      <c r="L77" s="1"/>
      <c r="M77" s="1"/>
      <c r="V77" t="s">
        <v>134</v>
      </c>
      <c r="W77" t="s">
        <v>203</v>
      </c>
      <c r="X77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3">
        <v>62</v>
      </c>
      <c r="C78" s="209">
        <v>41829</v>
      </c>
      <c r="D78" s="61" t="str">
        <f>IF(J72="","Winnaar 59",IF(J72=1,D72,F72))</f>
        <v>België</v>
      </c>
      <c r="E78" s="36" t="s">
        <v>9</v>
      </c>
      <c r="F78" s="62" t="str">
        <f>IF(J73="","Winnaar 60",IF(J73=1,D73,F73))</f>
        <v>Spanje</v>
      </c>
      <c r="G78" s="88">
        <v>1</v>
      </c>
      <c r="H78" s="36" t="s">
        <v>9</v>
      </c>
      <c r="I78" s="103">
        <v>0</v>
      </c>
      <c r="J78" s="104">
        <v>1</v>
      </c>
      <c r="K78" s="1"/>
      <c r="L78" s="1"/>
      <c r="M78" s="1"/>
      <c r="V78" t="s">
        <v>134</v>
      </c>
      <c r="W78" t="s">
        <v>199</v>
      </c>
      <c r="X78" t="str">
        <f t="shared" si="11"/>
        <v>Leroy Fer (m)</v>
      </c>
      <c r="Y78" s="109">
        <f>AF78</f>
        <v>1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1</v>
      </c>
      <c r="AG78" s="108">
        <f>IF(AC78="",0,(IF(G78=AC78,1,0)))</f>
        <v>0</v>
      </c>
      <c r="AH78" s="108">
        <f>IF(AD78="",0,(IF(I78=AD78,1,0)))</f>
        <v>1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1"/>
      <c r="C79" s="210"/>
      <c r="D79" s="40"/>
      <c r="E79" s="1"/>
      <c r="F79" s="40"/>
      <c r="G79" s="1"/>
      <c r="H79" s="1"/>
      <c r="I79" s="1"/>
      <c r="J79" s="1"/>
      <c r="K79" s="1"/>
      <c r="L79" s="1"/>
      <c r="M79" s="1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195"/>
      <c r="K80" s="1"/>
      <c r="L80" s="1"/>
      <c r="M80" s="1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78" t="s">
        <v>1</v>
      </c>
      <c r="C81" s="122" t="s">
        <v>2</v>
      </c>
      <c r="D81" s="193" t="s">
        <v>3</v>
      </c>
      <c r="E81" s="81"/>
      <c r="F81" s="194" t="s">
        <v>4</v>
      </c>
      <c r="G81" s="867" t="s">
        <v>5</v>
      </c>
      <c r="H81" s="868"/>
      <c r="I81" s="869"/>
      <c r="J81" s="83" t="s">
        <v>6</v>
      </c>
      <c r="K81" s="1"/>
      <c r="L81" s="1"/>
      <c r="M81" s="1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2">
        <v>63</v>
      </c>
      <c r="C82" s="215">
        <v>41832</v>
      </c>
      <c r="D82" s="64" t="str">
        <f>IF(J77="","Verliezer 61",IF(J77=1,F77,D77))</f>
        <v>Brazilië</v>
      </c>
      <c r="E82" s="3" t="s">
        <v>9</v>
      </c>
      <c r="F82" s="65" t="str">
        <f>IF(J78="","Verliezer 62",IF(J78=1,F78,D78))</f>
        <v>Spanje</v>
      </c>
      <c r="G82" s="105">
        <v>2</v>
      </c>
      <c r="H82" s="3" t="s">
        <v>9</v>
      </c>
      <c r="I82" s="106">
        <v>1</v>
      </c>
      <c r="J82" s="107">
        <v>1</v>
      </c>
      <c r="K82" s="1"/>
      <c r="L82" s="1"/>
      <c r="M82" s="1"/>
      <c r="V82" t="s">
        <v>134</v>
      </c>
      <c r="W82" t="s">
        <v>125</v>
      </c>
      <c r="X8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1"/>
      <c r="C83" s="210"/>
      <c r="D83" s="40"/>
      <c r="E83" s="1"/>
      <c r="F83" s="40"/>
      <c r="G83" s="1"/>
      <c r="H83" s="1"/>
      <c r="I83" s="1"/>
      <c r="J83" s="1"/>
      <c r="K83" s="1"/>
      <c r="L83" s="1"/>
      <c r="M83" s="1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195"/>
      <c r="K84" s="1"/>
      <c r="L84" s="1"/>
      <c r="M84" s="1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78" t="s">
        <v>1</v>
      </c>
      <c r="C85" s="122" t="s">
        <v>2</v>
      </c>
      <c r="D85" s="193" t="s">
        <v>3</v>
      </c>
      <c r="E85" s="81"/>
      <c r="F85" s="194" t="s">
        <v>4</v>
      </c>
      <c r="G85" s="867" t="s">
        <v>5</v>
      </c>
      <c r="H85" s="868"/>
      <c r="I85" s="869"/>
      <c r="J85" s="83" t="s">
        <v>6</v>
      </c>
      <c r="K85" s="1"/>
      <c r="L85" s="1"/>
      <c r="M85" s="1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2">
        <v>64</v>
      </c>
      <c r="C86" s="215">
        <v>41833</v>
      </c>
      <c r="D86" s="64" t="str">
        <f>IF(J77="","Winnaar 61",IF(J77=1,D77,F77))</f>
        <v>Duitsland</v>
      </c>
      <c r="E86" s="3" t="s">
        <v>9</v>
      </c>
      <c r="F86" s="65" t="str">
        <f>IF(J78="","Winnaar 62",IF(J78=1,D78,F78))</f>
        <v>België</v>
      </c>
      <c r="G86" s="105">
        <v>2</v>
      </c>
      <c r="H86" s="3" t="s">
        <v>9</v>
      </c>
      <c r="I86" s="106">
        <v>0</v>
      </c>
      <c r="J86" s="107">
        <v>1</v>
      </c>
      <c r="K86" s="1"/>
      <c r="L86" s="1"/>
      <c r="M86" s="1"/>
      <c r="V86" t="s">
        <v>134</v>
      </c>
      <c r="W86" t="s">
        <v>139</v>
      </c>
      <c r="X86" t="str">
        <f t="shared" si="11"/>
        <v>Nigel de Jong (m)</v>
      </c>
      <c r="Y86" s="109">
        <f>AF86</f>
        <v>1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1</v>
      </c>
      <c r="AG86" s="108">
        <f>IF(AC86="",0,(IF(G86=AC86,1,0)))</f>
        <v>0</v>
      </c>
      <c r="AH86" s="108">
        <f>IF(AD86="",0,(IF(I86=AD86,1,0)))</f>
        <v>1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Duitsland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50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50</v>
      </c>
      <c r="AV89">
        <f>IF(AR89=0,0,IF(E89=AR89,50,0))</f>
        <v>50</v>
      </c>
      <c r="AW89">
        <f>IF(E89=0,0,IF(OR(E89=AR90),15,0))</f>
        <v>0</v>
      </c>
      <c r="AX89">
        <f>IF(E89=0,0,IF(OR(E89=AR91,E89=AR92),5,0))</f>
        <v>0</v>
      </c>
    </row>
    <row r="90" spans="2:50">
      <c r="C90" s="870">
        <v>2</v>
      </c>
      <c r="D90" s="871"/>
      <c r="E90" s="872" t="str">
        <f>IF(J86=2,D86,IF(J86=1,F86,"Wie wordt 2de?"))</f>
        <v>België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0</v>
      </c>
      <c r="AV90">
        <f>IF(AR90=0,0,IF(AR90=E90,25,0))</f>
        <v>0</v>
      </c>
      <c r="AW90">
        <f>IF(E90=0,0,IF(OR(E90=AR89,),15,0))</f>
        <v>0</v>
      </c>
      <c r="AX90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Brazilië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10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10</v>
      </c>
      <c r="AV91">
        <f>IF(AR91=0,0,IF(AR91=E91,15,0))</f>
        <v>0</v>
      </c>
      <c r="AW91">
        <f>IF(E91=0,0,IF(OR(E91=AR92),10,0))</f>
        <v>10</v>
      </c>
      <c r="AX91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Spanje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0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0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60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phoneticPr fontId="24" type="noConversion"/>
  <conditionalFormatting sqref="AO9:AO12 AO15:AO18 AO21:AO24 AO27:AO30 AO33:AO36 AO39:AO42 AO45:AO48 AO51:AO54">
    <cfRule type="cellIs" dxfId="279" priority="3" operator="equal">
      <formula>10</formula>
    </cfRule>
  </conditionalFormatting>
  <conditionalFormatting sqref="P58:T58">
    <cfRule type="duplicateValues" dxfId="278" priority="2"/>
  </conditionalFormatting>
  <conditionalFormatting sqref="P58:T68">
    <cfRule type="duplicateValues" dxfId="277" priority="1"/>
  </conditionalFormatting>
  <dataValidations count="10">
    <dataValidation type="list" allowBlank="1" showInputMessage="1" showErrorMessage="1" sqref="P58:P68">
      <formula1>$X$58:$X$98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51:T54">
      <formula1>$W$51:$W$54</formula1>
    </dataValidation>
  </dataValidation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>
  <dimension ref="B1:BB98"/>
  <sheetViews>
    <sheetView topLeftCell="A46" zoomScale="70" zoomScaleNormal="70" workbookViewId="0">
      <selection activeCell="P58" sqref="P58:T68"/>
    </sheetView>
  </sheetViews>
  <sheetFormatPr defaultRowHeight="15" outlineLevelCol="2"/>
  <cols>
    <col min="1" max="1" width="3.42578125" style="352" customWidth="1"/>
    <col min="2" max="2" width="3.5703125" style="352" bestFit="1" customWidth="1"/>
    <col min="3" max="3" width="11.5703125" style="123" bestFit="1" customWidth="1"/>
    <col min="4" max="4" width="19.7109375" style="352" bestFit="1" customWidth="1"/>
    <col min="5" max="5" width="3.42578125" style="352" customWidth="1"/>
    <col min="6" max="6" width="19.7109375" style="352" bestFit="1" customWidth="1"/>
    <col min="7" max="7" width="6.7109375" style="352" customWidth="1"/>
    <col min="8" max="8" width="1.5703125" style="352" bestFit="1" customWidth="1"/>
    <col min="9" max="9" width="6.7109375" style="352" customWidth="1"/>
    <col min="10" max="10" width="6.85546875" style="352" bestFit="1" customWidth="1"/>
    <col min="11" max="13" width="9.140625" style="352" hidden="1" customWidth="1" outlineLevel="1"/>
    <col min="14" max="14" width="11.42578125" style="352" bestFit="1" customWidth="1" collapsed="1"/>
    <col min="15" max="15" width="14.7109375" style="352" bestFit="1" customWidth="1"/>
    <col min="16" max="16" width="12.28515625" style="352" bestFit="1" customWidth="1"/>
    <col min="17" max="17" width="8.140625" style="352" bestFit="1" customWidth="1"/>
    <col min="18" max="18" width="7.7109375" style="352" bestFit="1" customWidth="1"/>
    <col min="19" max="19" width="9.140625" style="352"/>
    <col min="20" max="20" width="8.5703125" style="352" bestFit="1" customWidth="1"/>
    <col min="21" max="21" width="9.140625" style="352"/>
    <col min="22" max="23" width="9.140625" style="352" hidden="1" customWidth="1" outlineLevel="1"/>
    <col min="24" max="24" width="2" style="352" hidden="1" customWidth="1" outlineLevel="1"/>
    <col min="25" max="25" width="12.28515625" style="352" bestFit="1" customWidth="1" collapsed="1"/>
    <col min="26" max="27" width="12.28515625" style="352" hidden="1" customWidth="1" outlineLevel="1"/>
    <col min="28" max="28" width="4.7109375" style="352" hidden="1" customWidth="1" outlineLevel="1"/>
    <col min="29" max="38" width="9.140625" style="352" hidden="1" customWidth="1" outlineLevel="1"/>
    <col min="39" max="39" width="7.42578125" style="352" bestFit="1" customWidth="1" collapsed="1"/>
    <col min="40" max="40" width="19.7109375" style="352" hidden="1" customWidth="1" outlineLevel="1"/>
    <col min="41" max="41" width="9.140625" style="352" hidden="1" customWidth="1" outlineLevel="1"/>
    <col min="42" max="42" width="9.140625" style="352" collapsed="1"/>
    <col min="43" max="49" width="9.140625" style="352" hidden="1" customWidth="1" outlineLevel="2"/>
    <col min="50" max="50" width="11.5703125" style="352" hidden="1" customWidth="1" outlineLevel="2"/>
    <col min="51" max="51" width="11.85546875" style="352" hidden="1" customWidth="1" outlineLevel="1" collapsed="1"/>
    <col min="52" max="52" width="9.42578125" style="352" hidden="1" customWidth="1" outlineLevel="1"/>
    <col min="53" max="53" width="10.5703125" style="352" hidden="1" customWidth="1" outlineLevel="1"/>
    <col min="54" max="54" width="9.140625" style="352" collapsed="1"/>
    <col min="55" max="55" width="11.85546875" style="352" bestFit="1" customWidth="1"/>
    <col min="56" max="16384" width="9.140625" style="352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182" t="s">
        <v>300</v>
      </c>
      <c r="E3" s="335"/>
      <c r="F3" s="335"/>
      <c r="N3" s="352" t="str">
        <f>D3</f>
        <v>Martinos de Hoekos</v>
      </c>
      <c r="O3" s="144">
        <f>SUM(P3:S3)</f>
        <v>390</v>
      </c>
      <c r="P3" s="109">
        <f>SUM(Y8:Y86)</f>
        <v>186</v>
      </c>
      <c r="Q3" s="109">
        <f>SUM(AM4:AM55)</f>
        <v>150</v>
      </c>
      <c r="R3" s="109">
        <f>SUM(AP89:AP92)</f>
        <v>30</v>
      </c>
      <c r="S3" s="109">
        <f>SUM(BB58:BB69)</f>
        <v>24</v>
      </c>
      <c r="T3" s="109">
        <f>COUNTIF(AF8:AF86,10)</f>
        <v>2</v>
      </c>
      <c r="U3" s="109" t="str">
        <f>E89</f>
        <v>Portugal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O6" s="392"/>
      <c r="P6" s="393"/>
      <c r="Q6" s="393"/>
      <c r="R6" s="393"/>
      <c r="S6" s="393"/>
      <c r="T6" s="393"/>
      <c r="U6" s="392"/>
      <c r="V6" s="392"/>
      <c r="W6" s="392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80" t="s">
        <v>3</v>
      </c>
      <c r="E7" s="419"/>
      <c r="F7" s="481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O7" s="353"/>
      <c r="P7" s="393"/>
      <c r="Q7" s="393"/>
      <c r="R7" s="393"/>
      <c r="S7" s="393"/>
      <c r="T7" s="393"/>
      <c r="U7" s="353"/>
      <c r="V7" s="353"/>
      <c r="W7" s="353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458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2</v>
      </c>
      <c r="H8" s="360" t="s">
        <v>9</v>
      </c>
      <c r="I8" s="478">
        <v>0</v>
      </c>
      <c r="J8" s="362">
        <f t="shared" ref="J8:J55" si="0">IF(I8="","",IF(G8&gt;I8,1,IF(G8&lt;I8,2,3)))</f>
        <v>1</v>
      </c>
      <c r="K8" s="363">
        <f t="shared" ref="K8:K55" si="1">IF(I8="","",IF($G8&gt;$I8,3,IF($G8=$I8,1,0)))</f>
        <v>3</v>
      </c>
      <c r="L8" s="363">
        <f t="shared" ref="L8:L55" si="2">IF(I8="","",IF($G8&lt;$I8,3,IF($G8=$I8,1,0)))</f>
        <v>0</v>
      </c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392"/>
      <c r="V8" s="392"/>
      <c r="W8" s="392"/>
      <c r="Y8" s="109">
        <f>AF8</f>
        <v>5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5</v>
      </c>
      <c r="AG8" s="108">
        <f t="shared" ref="AG8:AG55" si="3">IF(AC8="",0,(IF(G8=AC8,1,0)))</f>
        <v>0</v>
      </c>
      <c r="AH8" s="108">
        <f t="shared" ref="AH8:AH55" si="4">IF(AD8="",0,(IF(I8=AD8,1,0)))</f>
        <v>0</v>
      </c>
      <c r="AI8" s="108">
        <f>IF(AND(AG8=1,AH8=1),10,0)</f>
        <v>0</v>
      </c>
      <c r="AJ8" s="108">
        <f t="shared" ref="AJ8:AJ55" si="5">IF(AND(G8&gt;I8,AC8&gt;AD8),5,0)</f>
        <v>5</v>
      </c>
      <c r="AK8" s="108">
        <f t="shared" ref="AK8:AK55" si="6">IF(AND(G8&lt;I8,AC8&lt;AD8),5,0)</f>
        <v>0</v>
      </c>
      <c r="AL8" s="108">
        <f t="shared" ref="AL8:AL55" si="7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1</v>
      </c>
      <c r="H9" s="367" t="s">
        <v>9</v>
      </c>
      <c r="I9" s="440">
        <v>1</v>
      </c>
      <c r="J9" s="369">
        <f t="shared" si="0"/>
        <v>3</v>
      </c>
      <c r="K9" s="363">
        <f t="shared" si="1"/>
        <v>1</v>
      </c>
      <c r="L9" s="363">
        <f t="shared" si="2"/>
        <v>1</v>
      </c>
      <c r="O9" s="394" t="s">
        <v>8</v>
      </c>
      <c r="P9" s="395">
        <f>SUMIF($D$8:$D$55,$O9,$G$8:$G$55)+SUMIF($F$8:$F$55,$O9,$I$8:$I$55)</f>
        <v>6</v>
      </c>
      <c r="Q9" s="395">
        <f>SUMIF($D$8:$D$55,$O9,$I$8:$I$55)+SUMIF($F$8:$F$55,$O9,$G$8:$G$55)</f>
        <v>2</v>
      </c>
      <c r="R9" s="396">
        <f>P9-Q9</f>
        <v>4</v>
      </c>
      <c r="S9" s="397">
        <f>SUMIF($D$8:$D$55,$O9,$K$8:$K$55)+SUMIF($F$8:$F$55,$O9,$L$8:$L$55)</f>
        <v>9</v>
      </c>
      <c r="T9" s="444" t="s">
        <v>48</v>
      </c>
      <c r="U9" s="392"/>
      <c r="V9" s="392" t="str">
        <f>O9</f>
        <v>Brazilië</v>
      </c>
      <c r="W9" s="392" t="s">
        <v>48</v>
      </c>
      <c r="Y9" s="109">
        <f t="shared" ref="Y9:Y55" si="8">AF9</f>
        <v>1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1</v>
      </c>
      <c r="AG9" s="108">
        <f t="shared" si="3"/>
        <v>1</v>
      </c>
      <c r="AH9" s="108">
        <f t="shared" si="4"/>
        <v>0</v>
      </c>
      <c r="AI9" s="108">
        <f t="shared" ref="AI9:AI55" si="10">IF(AND(AG9=1,AH9=1),10,0)</f>
        <v>0</v>
      </c>
      <c r="AJ9" s="108">
        <f t="shared" si="5"/>
        <v>0</v>
      </c>
      <c r="AK9" s="108">
        <f t="shared" si="6"/>
        <v>0</v>
      </c>
      <c r="AL9" s="108">
        <f t="shared" si="7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2</v>
      </c>
      <c r="H10" s="373" t="s">
        <v>9</v>
      </c>
      <c r="I10" s="441">
        <v>1</v>
      </c>
      <c r="J10" s="375">
        <f t="shared" si="0"/>
        <v>1</v>
      </c>
      <c r="K10" s="363">
        <f t="shared" si="1"/>
        <v>3</v>
      </c>
      <c r="L10" s="363">
        <f t="shared" si="2"/>
        <v>0</v>
      </c>
      <c r="O10" s="398" t="s">
        <v>10</v>
      </c>
      <c r="P10" s="399">
        <f>SUMIF($D$8:$D$55,$O10,$G$8:$G$55)+SUMIF($F$8:$F$55,$O10,$I$8:$I$55)</f>
        <v>3</v>
      </c>
      <c r="Q10" s="399">
        <f>SUMIF($D$8:$D$55,$O10,$I$8:$I$55)+SUMIF($F$8:$F$55,$O10,$G$8:$G$55)</f>
        <v>4</v>
      </c>
      <c r="R10" s="399">
        <f>P10-Q10</f>
        <v>-1</v>
      </c>
      <c r="S10" s="400">
        <f>SUMIF($D$8:$D$55,$O10,$K$8:$K$55)+SUMIF($F$8:$F$55,$O10,$L$8:$L$55)</f>
        <v>3</v>
      </c>
      <c r="T10" s="445" t="s">
        <v>49</v>
      </c>
      <c r="U10" s="392"/>
      <c r="V10" s="392" t="str">
        <f>O10</f>
        <v>Kroatië</v>
      </c>
      <c r="W10" s="392" t="s">
        <v>49</v>
      </c>
      <c r="Y10" s="109">
        <f t="shared" si="8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0</v>
      </c>
      <c r="AG10" s="108">
        <f t="shared" si="3"/>
        <v>0</v>
      </c>
      <c r="AH10" s="108">
        <f t="shared" si="4"/>
        <v>0</v>
      </c>
      <c r="AI10" s="108">
        <f t="shared" si="10"/>
        <v>0</v>
      </c>
      <c r="AJ10" s="108">
        <f t="shared" si="5"/>
        <v>0</v>
      </c>
      <c r="AK10" s="108">
        <f t="shared" si="6"/>
        <v>0</v>
      </c>
      <c r="AL10" s="108">
        <f t="shared" si="7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2</v>
      </c>
      <c r="H11" s="379" t="s">
        <v>9</v>
      </c>
      <c r="I11" s="442">
        <v>0</v>
      </c>
      <c r="J11" s="381">
        <f t="shared" si="0"/>
        <v>1</v>
      </c>
      <c r="K11" s="363">
        <f t="shared" si="1"/>
        <v>3</v>
      </c>
      <c r="L11" s="363">
        <f t="shared" si="2"/>
        <v>0</v>
      </c>
      <c r="O11" s="398" t="s">
        <v>11</v>
      </c>
      <c r="P11" s="399">
        <f>SUMIF($D$8:$D$55,$O11,$G$8:$G$55)+SUMIF($F$8:$F$55,$O11,$I$8:$I$55)</f>
        <v>4</v>
      </c>
      <c r="Q11" s="399">
        <f>SUMIF($D$8:$D$55,$O11,$I$8:$I$55)+SUMIF($F$8:$F$55,$O11,$G$8:$G$55)</f>
        <v>4</v>
      </c>
      <c r="R11" s="399">
        <f>P11-Q11</f>
        <v>0</v>
      </c>
      <c r="S11" s="400">
        <f>SUMIF($D$8:$D$55,$O11,$K$8:$K$55)+SUMIF($F$8:$F$55,$O11,$L$8:$L$55)</f>
        <v>4</v>
      </c>
      <c r="T11" s="445" t="s">
        <v>47</v>
      </c>
      <c r="U11" s="392"/>
      <c r="V11" s="392" t="str">
        <f>O11</f>
        <v>Mexico</v>
      </c>
      <c r="W11" s="392" t="s">
        <v>47</v>
      </c>
      <c r="Y11" s="109">
        <f t="shared" si="8"/>
        <v>5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5</v>
      </c>
      <c r="AG11" s="108">
        <f t="shared" si="3"/>
        <v>0</v>
      </c>
      <c r="AH11" s="108">
        <f t="shared" si="4"/>
        <v>0</v>
      </c>
      <c r="AI11" s="108">
        <f t="shared" si="10"/>
        <v>0</v>
      </c>
      <c r="AJ11" s="108">
        <f t="shared" si="5"/>
        <v>5</v>
      </c>
      <c r="AK11" s="108">
        <f t="shared" si="6"/>
        <v>0</v>
      </c>
      <c r="AL11" s="108">
        <f t="shared" si="7"/>
        <v>0</v>
      </c>
      <c r="AM11" s="120">
        <f>AO11</f>
        <v>0</v>
      </c>
      <c r="AN11" s="117" t="s">
        <v>11</v>
      </c>
      <c r="AO11" s="115">
        <f>IF(Uitslag!T11="",0,IF(T11=Uitslag!T11,10,0))</f>
        <v>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1</v>
      </c>
      <c r="H12" s="367" t="s">
        <v>9</v>
      </c>
      <c r="I12" s="440">
        <v>0</v>
      </c>
      <c r="J12" s="369">
        <f t="shared" si="0"/>
        <v>1</v>
      </c>
      <c r="K12" s="363">
        <f t="shared" si="1"/>
        <v>3</v>
      </c>
      <c r="L12" s="363">
        <f t="shared" si="2"/>
        <v>0</v>
      </c>
      <c r="O12" s="401" t="s">
        <v>12</v>
      </c>
      <c r="P12" s="402">
        <f>SUMIF($D$8:$D$55,$O12,$G$8:$G$55)+SUMIF($F$8:$F$55,$O12,$I$8:$I$55)</f>
        <v>2</v>
      </c>
      <c r="Q12" s="402">
        <f>SUMIF($D$8:$D$55,$O12,$I$8:$I$55)+SUMIF($F$8:$F$55,$O12,$G$8:$G$55)</f>
        <v>5</v>
      </c>
      <c r="R12" s="402">
        <f>P12-Q12</f>
        <v>-3</v>
      </c>
      <c r="S12" s="403">
        <f>SUMIF($D$8:$D$55,$O12,$K$8:$K$55)+SUMIF($F$8:$F$55,$O12,$L$8:$L$55)</f>
        <v>1</v>
      </c>
      <c r="T12" s="446" t="s">
        <v>50</v>
      </c>
      <c r="U12" s="392"/>
      <c r="V12" s="392" t="str">
        <f>O12</f>
        <v>Kameroen</v>
      </c>
      <c r="W12" s="392" t="s">
        <v>50</v>
      </c>
      <c r="Y12" s="109">
        <f t="shared" si="8"/>
        <v>6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6</v>
      </c>
      <c r="AG12" s="108">
        <f t="shared" si="3"/>
        <v>0</v>
      </c>
      <c r="AH12" s="108">
        <f t="shared" si="4"/>
        <v>1</v>
      </c>
      <c r="AI12" s="108">
        <f t="shared" si="10"/>
        <v>0</v>
      </c>
      <c r="AJ12" s="108">
        <f t="shared" si="5"/>
        <v>5</v>
      </c>
      <c r="AK12" s="108">
        <f t="shared" si="6"/>
        <v>0</v>
      </c>
      <c r="AL12" s="108">
        <f t="shared" si="7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2</v>
      </c>
      <c r="H13" s="373" t="s">
        <v>9</v>
      </c>
      <c r="I13" s="441">
        <v>0</v>
      </c>
      <c r="J13" s="375">
        <f t="shared" si="0"/>
        <v>1</v>
      </c>
      <c r="K13" s="363">
        <f t="shared" si="1"/>
        <v>3</v>
      </c>
      <c r="L13" s="363">
        <f t="shared" si="2"/>
        <v>0</v>
      </c>
      <c r="O13" s="392"/>
      <c r="P13" s="393"/>
      <c r="Q13" s="393"/>
      <c r="R13" s="393"/>
      <c r="S13" s="393"/>
      <c r="T13" s="393"/>
      <c r="U13" s="392"/>
      <c r="V13" s="392"/>
      <c r="W13" s="392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3"/>
        <v>0</v>
      </c>
      <c r="AH13" s="108">
        <f t="shared" si="4"/>
        <v>0</v>
      </c>
      <c r="AI13" s="108">
        <f t="shared" si="10"/>
        <v>0</v>
      </c>
      <c r="AJ13" s="108">
        <f t="shared" si="5"/>
        <v>0</v>
      </c>
      <c r="AK13" s="108">
        <f t="shared" si="6"/>
        <v>0</v>
      </c>
      <c r="AL13" s="108">
        <f t="shared" si="7"/>
        <v>0</v>
      </c>
      <c r="AN13" s="392"/>
      <c r="AO13" s="393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0</v>
      </c>
      <c r="H14" s="373" t="s">
        <v>9</v>
      </c>
      <c r="I14" s="441">
        <v>1</v>
      </c>
      <c r="J14" s="375">
        <f t="shared" si="0"/>
        <v>2</v>
      </c>
      <c r="K14" s="363">
        <f t="shared" si="1"/>
        <v>0</v>
      </c>
      <c r="L14" s="363">
        <f t="shared" si="2"/>
        <v>3</v>
      </c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392"/>
      <c r="V14" s="392"/>
      <c r="W14" s="392"/>
      <c r="Y14" s="109">
        <f t="shared" si="8"/>
        <v>5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5</v>
      </c>
      <c r="AG14" s="108">
        <f t="shared" si="3"/>
        <v>0</v>
      </c>
      <c r="AH14" s="108">
        <f t="shared" si="4"/>
        <v>0</v>
      </c>
      <c r="AI14" s="108">
        <f t="shared" si="10"/>
        <v>0</v>
      </c>
      <c r="AJ14" s="108">
        <f t="shared" si="5"/>
        <v>0</v>
      </c>
      <c r="AK14" s="108">
        <f t="shared" si="6"/>
        <v>5</v>
      </c>
      <c r="AL14" s="108">
        <f t="shared" si="7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0</v>
      </c>
      <c r="H15" s="379" t="s">
        <v>9</v>
      </c>
      <c r="I15" s="442">
        <v>0</v>
      </c>
      <c r="J15" s="381">
        <f t="shared" si="0"/>
        <v>3</v>
      </c>
      <c r="K15" s="363">
        <f t="shared" si="1"/>
        <v>1</v>
      </c>
      <c r="L15" s="363">
        <f t="shared" si="2"/>
        <v>1</v>
      </c>
      <c r="O15" s="394" t="s">
        <v>13</v>
      </c>
      <c r="P15" s="395">
        <f>SUMIF($D$8:$D$55,$O15,$G$8:$G$55)+SUMIF($F$8:$F$55,$O15,$I$8:$I$55)</f>
        <v>6</v>
      </c>
      <c r="Q15" s="395">
        <f>SUMIF($D$8:$D$55,$O15,$I$8:$I$55)+SUMIF($F$8:$F$55,$O15,$G$8:$G$55)</f>
        <v>2</v>
      </c>
      <c r="R15" s="396">
        <f>P15-Q15</f>
        <v>4</v>
      </c>
      <c r="S15" s="397">
        <f>SUMIF($D$8:$D$55,$O15,$K$8:$K$55)+SUMIF($F$8:$F$55,$O15,$L$8:$L$55)</f>
        <v>9</v>
      </c>
      <c r="T15" s="444" t="s">
        <v>52</v>
      </c>
      <c r="U15" s="392"/>
      <c r="V15" s="392" t="str">
        <f>O15</f>
        <v>Spanje</v>
      </c>
      <c r="W15" s="392" t="s">
        <v>52</v>
      </c>
      <c r="Y15" s="109">
        <f t="shared" si="8"/>
        <v>0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0</v>
      </c>
      <c r="AG15" s="108">
        <f t="shared" si="3"/>
        <v>0</v>
      </c>
      <c r="AH15" s="108">
        <f t="shared" si="4"/>
        <v>0</v>
      </c>
      <c r="AI15" s="108">
        <f t="shared" si="10"/>
        <v>0</v>
      </c>
      <c r="AJ15" s="108">
        <f t="shared" si="5"/>
        <v>0</v>
      </c>
      <c r="AK15" s="108">
        <f t="shared" si="6"/>
        <v>0</v>
      </c>
      <c r="AL15" s="108">
        <f t="shared" si="7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0</v>
      </c>
      <c r="H16" s="367" t="s">
        <v>9</v>
      </c>
      <c r="I16" s="440">
        <v>0</v>
      </c>
      <c r="J16" s="369">
        <f t="shared" si="0"/>
        <v>3</v>
      </c>
      <c r="K16" s="363">
        <f t="shared" si="1"/>
        <v>1</v>
      </c>
      <c r="L16" s="363">
        <f t="shared" si="2"/>
        <v>1</v>
      </c>
      <c r="O16" s="404" t="s">
        <v>14</v>
      </c>
      <c r="P16" s="399">
        <f>SUMIF($D$8:$D$55,$O16,$G$8:$G$55)+SUMIF($F$8:$F$55,$O16,$I$8:$I$55)</f>
        <v>4</v>
      </c>
      <c r="Q16" s="399">
        <f>SUMIF($D$8:$D$55,$O16,$I$8:$I$55)+SUMIF($F$8:$F$55,$O16,$G$8:$G$55)</f>
        <v>4</v>
      </c>
      <c r="R16" s="399">
        <f>P16-Q16</f>
        <v>0</v>
      </c>
      <c r="S16" s="400">
        <f>SUMIF($D$8:$D$55,$O16,$K$8:$K$55)+SUMIF($F$8:$F$55,$O16,$L$8:$L$55)</f>
        <v>4</v>
      </c>
      <c r="T16" s="445" t="s">
        <v>54</v>
      </c>
      <c r="U16" s="392"/>
      <c r="V16" s="392" t="str">
        <f>O16</f>
        <v>Nederland</v>
      </c>
      <c r="W16" s="392" t="s">
        <v>53</v>
      </c>
      <c r="Y16" s="109">
        <f t="shared" si="8"/>
        <v>0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0</v>
      </c>
      <c r="AG16" s="108">
        <f t="shared" si="3"/>
        <v>0</v>
      </c>
      <c r="AH16" s="108">
        <f t="shared" si="4"/>
        <v>0</v>
      </c>
      <c r="AI16" s="108">
        <f t="shared" si="10"/>
        <v>0</v>
      </c>
      <c r="AJ16" s="108">
        <f t="shared" si="5"/>
        <v>0</v>
      </c>
      <c r="AK16" s="108">
        <f t="shared" si="6"/>
        <v>0</v>
      </c>
      <c r="AL16" s="108">
        <f t="shared" si="7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1</v>
      </c>
      <c r="H17" s="373" t="s">
        <v>9</v>
      </c>
      <c r="I17" s="441">
        <v>0</v>
      </c>
      <c r="J17" s="375">
        <f t="shared" si="0"/>
        <v>1</v>
      </c>
      <c r="K17" s="363">
        <f t="shared" si="1"/>
        <v>3</v>
      </c>
      <c r="L17" s="363">
        <f t="shared" si="2"/>
        <v>0</v>
      </c>
      <c r="O17" s="398" t="s">
        <v>15</v>
      </c>
      <c r="P17" s="399">
        <f>SUMIF($D$8:$D$55,$O17,$G$8:$G$55)+SUMIF($F$8:$F$55,$O17,$I$8:$I$55)</f>
        <v>4</v>
      </c>
      <c r="Q17" s="399">
        <f>SUMIF($D$8:$D$55,$O17,$I$8:$I$55)+SUMIF($F$8:$F$55,$O17,$G$8:$G$55)</f>
        <v>3</v>
      </c>
      <c r="R17" s="399">
        <f>P17-Q17</f>
        <v>1</v>
      </c>
      <c r="S17" s="400">
        <f>SUMIF($D$8:$D$55,$O17,$K$8:$K$55)+SUMIF($F$8:$F$55,$O17,$L$8:$L$55)</f>
        <v>4</v>
      </c>
      <c r="T17" s="445" t="s">
        <v>53</v>
      </c>
      <c r="U17" s="392"/>
      <c r="V17" s="392" t="str">
        <f>O17</f>
        <v>Chili</v>
      </c>
      <c r="W17" s="392" t="s">
        <v>54</v>
      </c>
      <c r="Y17" s="109">
        <f t="shared" si="8"/>
        <v>6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6</v>
      </c>
      <c r="AG17" s="108">
        <f t="shared" si="3"/>
        <v>0</v>
      </c>
      <c r="AH17" s="108">
        <f t="shared" si="4"/>
        <v>1</v>
      </c>
      <c r="AI17" s="108">
        <f t="shared" si="10"/>
        <v>0</v>
      </c>
      <c r="AJ17" s="108">
        <f t="shared" si="5"/>
        <v>5</v>
      </c>
      <c r="AK17" s="108">
        <f t="shared" si="6"/>
        <v>0</v>
      </c>
      <c r="AL17" s="108">
        <f t="shared" si="7"/>
        <v>0</v>
      </c>
      <c r="AM17" s="120">
        <f>AO17</f>
        <v>10</v>
      </c>
      <c r="AN17" s="117" t="s">
        <v>15</v>
      </c>
      <c r="AO17" s="115">
        <f>IF(Uitslag!T17="",0,IF(T17=Uitslag!T17,10,0))</f>
        <v>10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2</v>
      </c>
      <c r="H18" s="379" t="s">
        <v>9</v>
      </c>
      <c r="I18" s="442">
        <v>1</v>
      </c>
      <c r="J18" s="381">
        <f t="shared" si="0"/>
        <v>1</v>
      </c>
      <c r="K18" s="363">
        <f t="shared" si="1"/>
        <v>3</v>
      </c>
      <c r="L18" s="363">
        <f t="shared" si="2"/>
        <v>0</v>
      </c>
      <c r="O18" s="401" t="s">
        <v>16</v>
      </c>
      <c r="P18" s="402">
        <f>SUMIF($D$8:$D$55,$O18,$G$8:$G$55)+SUMIF($F$8:$F$55,$O18,$I$8:$I$55)</f>
        <v>1</v>
      </c>
      <c r="Q18" s="402">
        <f>SUMIF($D$8:$D$55,$O18,$I$8:$I$55)+SUMIF($F$8:$F$55,$O18,$G$8:$G$55)</f>
        <v>6</v>
      </c>
      <c r="R18" s="402">
        <f>P18-Q18</f>
        <v>-5</v>
      </c>
      <c r="S18" s="403">
        <f>SUMIF($D$8:$D$55,$O18,$K$8:$K$55)+SUMIF($F$8:$F$55,$O18,$L$8:$L$55)</f>
        <v>0</v>
      </c>
      <c r="T18" s="446" t="s">
        <v>55</v>
      </c>
      <c r="U18" s="392"/>
      <c r="V18" s="392" t="str">
        <f>O18</f>
        <v>Australië</v>
      </c>
      <c r="W18" s="392" t="s">
        <v>55</v>
      </c>
      <c r="Y18" s="109">
        <f t="shared" si="8"/>
        <v>10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10</v>
      </c>
      <c r="AG18" s="108">
        <f t="shared" si="3"/>
        <v>1</v>
      </c>
      <c r="AH18" s="108">
        <f t="shared" si="4"/>
        <v>1</v>
      </c>
      <c r="AI18" s="108">
        <f t="shared" si="10"/>
        <v>10</v>
      </c>
      <c r="AJ18" s="108">
        <f t="shared" si="5"/>
        <v>5</v>
      </c>
      <c r="AK18" s="108">
        <f t="shared" si="6"/>
        <v>0</v>
      </c>
      <c r="AL18" s="108">
        <f t="shared" si="7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2</v>
      </c>
      <c r="H19" s="367" t="s">
        <v>9</v>
      </c>
      <c r="I19" s="440">
        <v>2</v>
      </c>
      <c r="J19" s="369">
        <f t="shared" si="0"/>
        <v>3</v>
      </c>
      <c r="K19" s="363">
        <f t="shared" si="1"/>
        <v>1</v>
      </c>
      <c r="L19" s="363">
        <f t="shared" si="2"/>
        <v>1</v>
      </c>
      <c r="O19" s="392"/>
      <c r="P19" s="393"/>
      <c r="Q19" s="393"/>
      <c r="R19" s="393"/>
      <c r="S19" s="393"/>
      <c r="T19" s="393"/>
      <c r="U19" s="392"/>
      <c r="V19" s="392"/>
      <c r="W19" s="392"/>
      <c r="Y19" s="109">
        <f t="shared" si="8"/>
        <v>0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0</v>
      </c>
      <c r="AG19" s="108">
        <f t="shared" si="3"/>
        <v>0</v>
      </c>
      <c r="AH19" s="108">
        <f t="shared" si="4"/>
        <v>0</v>
      </c>
      <c r="AI19" s="108">
        <f t="shared" si="10"/>
        <v>0</v>
      </c>
      <c r="AJ19" s="108">
        <f t="shared" si="5"/>
        <v>0</v>
      </c>
      <c r="AK19" s="108">
        <f t="shared" si="6"/>
        <v>0</v>
      </c>
      <c r="AL19" s="108">
        <f t="shared" si="7"/>
        <v>0</v>
      </c>
      <c r="AN19" s="392"/>
      <c r="AO19" s="393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0</v>
      </c>
      <c r="H20" s="373" t="s">
        <v>9</v>
      </c>
      <c r="I20" s="441">
        <v>1</v>
      </c>
      <c r="J20" s="375">
        <f t="shared" si="0"/>
        <v>2</v>
      </c>
      <c r="K20" s="363">
        <f t="shared" si="1"/>
        <v>0</v>
      </c>
      <c r="L20" s="363">
        <f t="shared" si="2"/>
        <v>3</v>
      </c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392"/>
      <c r="V20" s="392"/>
      <c r="W20" s="392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3"/>
        <v>1</v>
      </c>
      <c r="AH20" s="108">
        <f t="shared" si="4"/>
        <v>0</v>
      </c>
      <c r="AI20" s="108">
        <f t="shared" si="10"/>
        <v>0</v>
      </c>
      <c r="AJ20" s="108">
        <f t="shared" si="5"/>
        <v>0</v>
      </c>
      <c r="AK20" s="108">
        <f t="shared" si="6"/>
        <v>0</v>
      </c>
      <c r="AL20" s="108">
        <f t="shared" si="7"/>
        <v>0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1</v>
      </c>
      <c r="H21" s="379" t="s">
        <v>9</v>
      </c>
      <c r="I21" s="442">
        <v>1</v>
      </c>
      <c r="J21" s="381">
        <f t="shared" si="0"/>
        <v>3</v>
      </c>
      <c r="K21" s="363">
        <f t="shared" si="1"/>
        <v>1</v>
      </c>
      <c r="L21" s="363">
        <f t="shared" si="2"/>
        <v>1</v>
      </c>
      <c r="O21" s="394" t="s">
        <v>17</v>
      </c>
      <c r="P21" s="395">
        <f>SUMIF($D$8:$D$55,$O21,$G$8:$G$55)+SUMIF($F$8:$F$55,$O21,$I$8:$I$55)</f>
        <v>4</v>
      </c>
      <c r="Q21" s="395">
        <f>SUMIF($D$8:$D$55,$O21,$I$8:$I$55)+SUMIF($F$8:$F$55,$O21,$G$8:$G$55)</f>
        <v>1</v>
      </c>
      <c r="R21" s="396">
        <f>P21-Q21</f>
        <v>3</v>
      </c>
      <c r="S21" s="397">
        <f>SUMIF($D$8:$D$55,$O21,$K$8:$K$55)+SUMIF($F$8:$F$55,$O21,$L$8:$L$55)</f>
        <v>7</v>
      </c>
      <c r="T21" s="444" t="s">
        <v>57</v>
      </c>
      <c r="U21" s="392"/>
      <c r="V21" s="392" t="str">
        <f>O21</f>
        <v>Colombia</v>
      </c>
      <c r="W21" s="392" t="s">
        <v>57</v>
      </c>
      <c r="Y21" s="109">
        <f t="shared" si="8"/>
        <v>1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1</v>
      </c>
      <c r="AG21" s="108">
        <f t="shared" si="3"/>
        <v>1</v>
      </c>
      <c r="AH21" s="108">
        <f t="shared" si="4"/>
        <v>0</v>
      </c>
      <c r="AI21" s="108">
        <f t="shared" si="10"/>
        <v>0</v>
      </c>
      <c r="AJ21" s="108">
        <f t="shared" si="5"/>
        <v>0</v>
      </c>
      <c r="AK21" s="108">
        <f t="shared" si="6"/>
        <v>0</v>
      </c>
      <c r="AL21" s="108">
        <f t="shared" si="7"/>
        <v>0</v>
      </c>
      <c r="AM21" s="120">
        <f>AO21</f>
        <v>10</v>
      </c>
      <c r="AN21" s="116" t="s">
        <v>17</v>
      </c>
      <c r="AO21" s="115">
        <f>IF(Uitslag!T21="",0,IF(T21=Uitslag!T21,10,0))</f>
        <v>10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1</v>
      </c>
      <c r="H22" s="367" t="s">
        <v>9</v>
      </c>
      <c r="I22" s="440">
        <v>0</v>
      </c>
      <c r="J22" s="369">
        <f t="shared" si="0"/>
        <v>1</v>
      </c>
      <c r="K22" s="363">
        <f t="shared" si="1"/>
        <v>3</v>
      </c>
      <c r="L22" s="363">
        <f t="shared" si="2"/>
        <v>0</v>
      </c>
      <c r="O22" s="398" t="s">
        <v>18</v>
      </c>
      <c r="P22" s="399">
        <f>SUMIF($D$8:$D$55,$O22,$G$8:$G$55)+SUMIF($F$8:$F$55,$O22,$I$8:$I$55)</f>
        <v>1</v>
      </c>
      <c r="Q22" s="399">
        <f>SUMIF($D$8:$D$55,$O22,$I$8:$I$55)+SUMIF($F$8:$F$55,$O22,$G$8:$G$55)</f>
        <v>2</v>
      </c>
      <c r="R22" s="399">
        <f>P22-Q22</f>
        <v>-1</v>
      </c>
      <c r="S22" s="400">
        <f>SUMIF($D$8:$D$55,$O22,$K$8:$K$55)+SUMIF($F$8:$F$55,$O22,$L$8:$L$55)</f>
        <v>2</v>
      </c>
      <c r="T22" s="445" t="s">
        <v>58</v>
      </c>
      <c r="U22" s="392"/>
      <c r="V22" s="392" t="str">
        <f>O22</f>
        <v>Griekenland</v>
      </c>
      <c r="W22" s="392" t="s">
        <v>58</v>
      </c>
      <c r="Y22" s="109">
        <f t="shared" si="8"/>
        <v>5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5</v>
      </c>
      <c r="AG22" s="108">
        <f t="shared" si="3"/>
        <v>0</v>
      </c>
      <c r="AH22" s="108">
        <f t="shared" si="4"/>
        <v>0</v>
      </c>
      <c r="AI22" s="108">
        <f t="shared" si="10"/>
        <v>0</v>
      </c>
      <c r="AJ22" s="108">
        <f t="shared" si="5"/>
        <v>5</v>
      </c>
      <c r="AK22" s="108">
        <f t="shared" si="6"/>
        <v>0</v>
      </c>
      <c r="AL22" s="108">
        <f t="shared" si="7"/>
        <v>0</v>
      </c>
      <c r="AM22" s="120">
        <f>AO22</f>
        <v>10</v>
      </c>
      <c r="AN22" s="117" t="s">
        <v>18</v>
      </c>
      <c r="AO22" s="115">
        <f>IF(Uitslag!T22="",0,IF(T22=Uitslag!T22,10,0))</f>
        <v>10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2</v>
      </c>
      <c r="H23" s="373" t="s">
        <v>9</v>
      </c>
      <c r="I23" s="441">
        <v>1</v>
      </c>
      <c r="J23" s="375">
        <f t="shared" si="0"/>
        <v>1</v>
      </c>
      <c r="K23" s="363">
        <f t="shared" si="1"/>
        <v>3</v>
      </c>
      <c r="L23" s="363">
        <f t="shared" si="2"/>
        <v>0</v>
      </c>
      <c r="O23" s="398" t="s">
        <v>23</v>
      </c>
      <c r="P23" s="399">
        <f>SUMIF($D$8:$D$55,$O23,$G$8:$G$55)+SUMIF($F$8:$F$55,$O23,$I$8:$I$55)</f>
        <v>0</v>
      </c>
      <c r="Q23" s="399">
        <f>SUMIF($D$8:$D$55,$O23,$I$8:$I$55)+SUMIF($F$8:$F$55,$O23,$G$8:$G$55)</f>
        <v>2</v>
      </c>
      <c r="R23" s="399">
        <f>P23-Q23</f>
        <v>-2</v>
      </c>
      <c r="S23" s="400">
        <f>SUMIF($D$8:$D$55,$O23,$K$8:$K$55)+SUMIF($F$8:$F$55,$O23,$L$8:$L$55)</f>
        <v>2</v>
      </c>
      <c r="T23" s="445" t="s">
        <v>60</v>
      </c>
      <c r="U23" s="392"/>
      <c r="V23" s="392" t="str">
        <f>O23</f>
        <v>Ivoorkust</v>
      </c>
      <c r="W23" s="392" t="s">
        <v>59</v>
      </c>
      <c r="Y23" s="109">
        <f t="shared" si="8"/>
        <v>0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0</v>
      </c>
      <c r="AG23" s="108">
        <f t="shared" si="3"/>
        <v>0</v>
      </c>
      <c r="AH23" s="108">
        <f t="shared" si="4"/>
        <v>0</v>
      </c>
      <c r="AI23" s="108">
        <f t="shared" si="10"/>
        <v>0</v>
      </c>
      <c r="AJ23" s="108">
        <f t="shared" si="5"/>
        <v>0</v>
      </c>
      <c r="AK23" s="108">
        <f t="shared" si="6"/>
        <v>0</v>
      </c>
      <c r="AL23" s="108">
        <f t="shared" si="7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1</v>
      </c>
      <c r="H24" s="379" t="s">
        <v>9</v>
      </c>
      <c r="I24" s="442">
        <v>0</v>
      </c>
      <c r="J24" s="381">
        <f t="shared" si="0"/>
        <v>1</v>
      </c>
      <c r="K24" s="363">
        <f t="shared" si="1"/>
        <v>3</v>
      </c>
      <c r="L24" s="363">
        <f t="shared" si="2"/>
        <v>0</v>
      </c>
      <c r="O24" s="401" t="s">
        <v>24</v>
      </c>
      <c r="P24" s="402">
        <f>SUMIF($D$8:$D$55,$O24,$G$8:$G$55)+SUMIF($F$8:$F$55,$O24,$I$8:$I$55)</f>
        <v>2</v>
      </c>
      <c r="Q24" s="402">
        <f>SUMIF($D$8:$D$55,$O24,$I$8:$I$55)+SUMIF($F$8:$F$55,$O24,$G$8:$G$55)</f>
        <v>2</v>
      </c>
      <c r="R24" s="402">
        <f>P24-Q24</f>
        <v>0</v>
      </c>
      <c r="S24" s="403">
        <f>SUMIF($D$8:$D$55,$O24,$K$8:$K$55)+SUMIF($F$8:$F$55,$O24,$L$8:$L$55)</f>
        <v>3</v>
      </c>
      <c r="T24" s="446" t="s">
        <v>59</v>
      </c>
      <c r="U24" s="392"/>
      <c r="V24" s="392" t="str">
        <f>O24</f>
        <v>Japan</v>
      </c>
      <c r="W24" s="392" t="s">
        <v>60</v>
      </c>
      <c r="Y24" s="109">
        <f t="shared" si="8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</v>
      </c>
      <c r="AG24" s="108">
        <f t="shared" si="3"/>
        <v>1</v>
      </c>
      <c r="AH24" s="108">
        <f t="shared" si="4"/>
        <v>0</v>
      </c>
      <c r="AI24" s="108">
        <f t="shared" si="10"/>
        <v>0</v>
      </c>
      <c r="AJ24" s="108">
        <f t="shared" si="5"/>
        <v>0</v>
      </c>
      <c r="AK24" s="108">
        <f t="shared" si="6"/>
        <v>0</v>
      </c>
      <c r="AL24" s="108">
        <f t="shared" si="7"/>
        <v>0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1</v>
      </c>
      <c r="H25" s="367" t="s">
        <v>9</v>
      </c>
      <c r="I25" s="440">
        <v>2</v>
      </c>
      <c r="J25" s="369">
        <f t="shared" si="0"/>
        <v>2</v>
      </c>
      <c r="K25" s="363">
        <f t="shared" si="1"/>
        <v>0</v>
      </c>
      <c r="L25" s="363">
        <f t="shared" si="2"/>
        <v>3</v>
      </c>
      <c r="O25" s="392"/>
      <c r="P25" s="393"/>
      <c r="Q25" s="393"/>
      <c r="R25" s="393"/>
      <c r="S25" s="393"/>
      <c r="T25" s="393"/>
      <c r="U25" s="392"/>
      <c r="V25" s="392"/>
      <c r="W25" s="392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3"/>
        <v>0</v>
      </c>
      <c r="AH25" s="108">
        <f t="shared" si="4"/>
        <v>0</v>
      </c>
      <c r="AI25" s="108">
        <f t="shared" si="10"/>
        <v>0</v>
      </c>
      <c r="AJ25" s="108">
        <f t="shared" si="5"/>
        <v>0</v>
      </c>
      <c r="AK25" s="108">
        <f t="shared" si="6"/>
        <v>5</v>
      </c>
      <c r="AL25" s="108">
        <f t="shared" si="7"/>
        <v>0</v>
      </c>
      <c r="AN25" s="392"/>
      <c r="AO25" s="393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2</v>
      </c>
      <c r="H26" s="373" t="s">
        <v>9</v>
      </c>
      <c r="I26" s="441">
        <v>1</v>
      </c>
      <c r="J26" s="375">
        <f t="shared" si="0"/>
        <v>1</v>
      </c>
      <c r="K26" s="363">
        <f t="shared" si="1"/>
        <v>3</v>
      </c>
      <c r="L26" s="363">
        <f t="shared" si="2"/>
        <v>0</v>
      </c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392"/>
      <c r="V26" s="392"/>
      <c r="W26" s="392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3"/>
        <v>0</v>
      </c>
      <c r="AH26" s="108">
        <f t="shared" si="4"/>
        <v>0</v>
      </c>
      <c r="AI26" s="108">
        <f t="shared" si="10"/>
        <v>0</v>
      </c>
      <c r="AJ26" s="108">
        <f t="shared" si="5"/>
        <v>0</v>
      </c>
      <c r="AK26" s="108">
        <f t="shared" si="6"/>
        <v>0</v>
      </c>
      <c r="AL26" s="108">
        <f t="shared" si="7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0</v>
      </c>
      <c r="H27" s="379" t="s">
        <v>9</v>
      </c>
      <c r="I27" s="442">
        <v>2</v>
      </c>
      <c r="J27" s="381">
        <f t="shared" si="0"/>
        <v>2</v>
      </c>
      <c r="K27" s="363">
        <f t="shared" si="1"/>
        <v>0</v>
      </c>
      <c r="L27" s="363">
        <f t="shared" si="2"/>
        <v>3</v>
      </c>
      <c r="O27" s="394" t="s">
        <v>19</v>
      </c>
      <c r="P27" s="395">
        <f>SUMIF($D$8:$D$55,$O27,$G$8:$G$55)+SUMIF($F$8:$F$55,$O27,$I$8:$I$55)</f>
        <v>3</v>
      </c>
      <c r="Q27" s="395">
        <f>SUMIF($D$8:$D$55,$O27,$I$8:$I$55)+SUMIF($F$8:$F$55,$O27,$G$8:$G$55)</f>
        <v>2</v>
      </c>
      <c r="R27" s="396">
        <f>P27-Q27</f>
        <v>1</v>
      </c>
      <c r="S27" s="397">
        <f>SUMIF($D$8:$D$55,$O27,$K$8:$K$55)+SUMIF($F$8:$F$55,$O27,$L$8:$L$55)</f>
        <v>4</v>
      </c>
      <c r="T27" s="444" t="s">
        <v>63</v>
      </c>
      <c r="U27" s="392"/>
      <c r="V27" s="392" t="str">
        <f>O27</f>
        <v>Uruguay</v>
      </c>
      <c r="W27" s="392" t="s">
        <v>62</v>
      </c>
      <c r="Y27" s="109">
        <f t="shared" si="8"/>
        <v>6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6</v>
      </c>
      <c r="AG27" s="108">
        <f t="shared" si="3"/>
        <v>1</v>
      </c>
      <c r="AH27" s="108">
        <f t="shared" si="4"/>
        <v>0</v>
      </c>
      <c r="AI27" s="108">
        <f t="shared" si="10"/>
        <v>0</v>
      </c>
      <c r="AJ27" s="108">
        <f t="shared" si="5"/>
        <v>0</v>
      </c>
      <c r="AK27" s="108">
        <f t="shared" si="6"/>
        <v>5</v>
      </c>
      <c r="AL27" s="108">
        <f t="shared" si="7"/>
        <v>0</v>
      </c>
      <c r="AM27" s="120">
        <f>AO27</f>
        <v>10</v>
      </c>
      <c r="AN27" s="116" t="s">
        <v>19</v>
      </c>
      <c r="AO27" s="115">
        <f>IF(Uitslag!T27="",0,IF(T27=Uitslag!T27,10,0))</f>
        <v>10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2</v>
      </c>
      <c r="H28" s="367" t="s">
        <v>9</v>
      </c>
      <c r="I28" s="440">
        <v>0</v>
      </c>
      <c r="J28" s="369">
        <f t="shared" si="0"/>
        <v>1</v>
      </c>
      <c r="K28" s="363">
        <f t="shared" si="1"/>
        <v>3</v>
      </c>
      <c r="L28" s="363">
        <f t="shared" si="2"/>
        <v>0</v>
      </c>
      <c r="O28" s="398" t="s">
        <v>20</v>
      </c>
      <c r="P28" s="399">
        <f>SUMIF($D$8:$D$55,$O28,$G$8:$G$55)+SUMIF($F$8:$F$55,$O28,$I$8:$I$55)</f>
        <v>0</v>
      </c>
      <c r="Q28" s="399">
        <f>SUMIF($D$8:$D$55,$O28,$I$8:$I$55)+SUMIF($F$8:$F$55,$O28,$G$8:$G$55)</f>
        <v>6</v>
      </c>
      <c r="R28" s="399">
        <f>P28-Q28</f>
        <v>-6</v>
      </c>
      <c r="S28" s="400">
        <f>SUMIF($D$8:$D$55,$O28,$K$8:$K$55)+SUMIF($F$8:$F$55,$O28,$L$8:$L$55)</f>
        <v>0</v>
      </c>
      <c r="T28" s="445" t="s">
        <v>65</v>
      </c>
      <c r="U28" s="392"/>
      <c r="V28" s="392" t="str">
        <f>O28</f>
        <v>Costa Rica</v>
      </c>
      <c r="W28" s="392" t="s">
        <v>63</v>
      </c>
      <c r="Y28" s="109">
        <f t="shared" si="8"/>
        <v>6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6</v>
      </c>
      <c r="AG28" s="108">
        <f t="shared" si="3"/>
        <v>1</v>
      </c>
      <c r="AH28" s="108">
        <f t="shared" si="4"/>
        <v>0</v>
      </c>
      <c r="AI28" s="108">
        <f t="shared" si="10"/>
        <v>0</v>
      </c>
      <c r="AJ28" s="108">
        <f t="shared" si="5"/>
        <v>5</v>
      </c>
      <c r="AK28" s="108">
        <f t="shared" si="6"/>
        <v>0</v>
      </c>
      <c r="AL28" s="108">
        <f t="shared" si="7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1</v>
      </c>
      <c r="H29" s="373" t="s">
        <v>9</v>
      </c>
      <c r="I29" s="441">
        <v>1</v>
      </c>
      <c r="J29" s="375">
        <f t="shared" si="0"/>
        <v>3</v>
      </c>
      <c r="K29" s="363">
        <f t="shared" si="1"/>
        <v>1</v>
      </c>
      <c r="L29" s="363">
        <f t="shared" si="2"/>
        <v>1</v>
      </c>
      <c r="O29" s="398" t="s">
        <v>21</v>
      </c>
      <c r="P29" s="399">
        <f>SUMIF($D$8:$D$55,$O29,$G$8:$G$55)+SUMIF($F$8:$F$55,$O29,$I$8:$I$55)</f>
        <v>3</v>
      </c>
      <c r="Q29" s="399">
        <f>SUMIF($D$8:$D$55,$O29,$I$8:$I$55)+SUMIF($F$8:$F$55,$O29,$G$8:$G$55)</f>
        <v>2</v>
      </c>
      <c r="R29" s="399">
        <f>P29-Q29</f>
        <v>1</v>
      </c>
      <c r="S29" s="400">
        <f>SUMIF($D$8:$D$55,$O29,$K$8:$K$55)+SUMIF($F$8:$F$55,$O29,$L$8:$L$55)</f>
        <v>4</v>
      </c>
      <c r="T29" s="445" t="s">
        <v>64</v>
      </c>
      <c r="U29" s="392"/>
      <c r="V29" s="392" t="str">
        <f>O29</f>
        <v>Engeland</v>
      </c>
      <c r="W29" s="392" t="s">
        <v>64</v>
      </c>
      <c r="Y29" s="109">
        <f t="shared" si="8"/>
        <v>1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1</v>
      </c>
      <c r="AG29" s="108">
        <f t="shared" si="3"/>
        <v>0</v>
      </c>
      <c r="AH29" s="108">
        <f t="shared" si="4"/>
        <v>1</v>
      </c>
      <c r="AI29" s="108">
        <f t="shared" si="10"/>
        <v>0</v>
      </c>
      <c r="AJ29" s="108">
        <f t="shared" si="5"/>
        <v>0</v>
      </c>
      <c r="AK29" s="108">
        <f t="shared" si="6"/>
        <v>0</v>
      </c>
      <c r="AL29" s="108">
        <f t="shared" si="7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1</v>
      </c>
      <c r="H30" s="379" t="s">
        <v>9</v>
      </c>
      <c r="I30" s="442">
        <v>1</v>
      </c>
      <c r="J30" s="381">
        <f t="shared" si="0"/>
        <v>3</v>
      </c>
      <c r="K30" s="363">
        <f t="shared" si="1"/>
        <v>1</v>
      </c>
      <c r="L30" s="363">
        <f t="shared" si="2"/>
        <v>1</v>
      </c>
      <c r="O30" s="401" t="s">
        <v>22</v>
      </c>
      <c r="P30" s="402">
        <f>SUMIF($D$8:$D$55,$O30,$G$8:$G$55)+SUMIF($F$8:$F$55,$O30,$I$8:$I$55)</f>
        <v>4</v>
      </c>
      <c r="Q30" s="402">
        <f>SUMIF($D$8:$D$55,$O30,$I$8:$I$55)+SUMIF($F$8:$F$55,$O30,$G$8:$G$55)</f>
        <v>0</v>
      </c>
      <c r="R30" s="402">
        <f>P30-Q30</f>
        <v>4</v>
      </c>
      <c r="S30" s="403">
        <f>SUMIF($D$8:$D$55,$O30,$K$8:$K$55)+SUMIF($F$8:$F$55,$O30,$L$8:$L$55)</f>
        <v>9</v>
      </c>
      <c r="T30" s="446" t="s">
        <v>62</v>
      </c>
      <c r="U30" s="392"/>
      <c r="V30" s="392" t="str">
        <f>O30</f>
        <v>Italië</v>
      </c>
      <c r="W30" s="392" t="s">
        <v>65</v>
      </c>
      <c r="Y30" s="109">
        <f t="shared" si="8"/>
        <v>5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5</v>
      </c>
      <c r="AG30" s="108">
        <f t="shared" si="3"/>
        <v>0</v>
      </c>
      <c r="AH30" s="108">
        <f t="shared" si="4"/>
        <v>0</v>
      </c>
      <c r="AI30" s="108">
        <f t="shared" si="10"/>
        <v>0</v>
      </c>
      <c r="AJ30" s="108">
        <f t="shared" si="5"/>
        <v>0</v>
      </c>
      <c r="AK30" s="108">
        <f t="shared" si="6"/>
        <v>0</v>
      </c>
      <c r="AL30" s="108">
        <f t="shared" si="7"/>
        <v>5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2</v>
      </c>
      <c r="H31" s="367" t="s">
        <v>9</v>
      </c>
      <c r="I31" s="440">
        <v>0</v>
      </c>
      <c r="J31" s="369">
        <f t="shared" si="0"/>
        <v>1</v>
      </c>
      <c r="K31" s="363">
        <f t="shared" si="1"/>
        <v>3</v>
      </c>
      <c r="L31" s="363">
        <f t="shared" si="2"/>
        <v>0</v>
      </c>
      <c r="O31" s="392"/>
      <c r="P31" s="393"/>
      <c r="Q31" s="393"/>
      <c r="R31" s="393"/>
      <c r="S31" s="393"/>
      <c r="T31" s="393"/>
      <c r="U31" s="392"/>
      <c r="V31" s="392"/>
      <c r="W31" s="392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3"/>
        <v>0</v>
      </c>
      <c r="AH31" s="108">
        <f t="shared" si="4"/>
        <v>0</v>
      </c>
      <c r="AI31" s="108">
        <f t="shared" si="10"/>
        <v>0</v>
      </c>
      <c r="AJ31" s="108">
        <f t="shared" si="5"/>
        <v>0</v>
      </c>
      <c r="AK31" s="108">
        <f t="shared" si="6"/>
        <v>0</v>
      </c>
      <c r="AL31" s="108">
        <f t="shared" si="7"/>
        <v>0</v>
      </c>
      <c r="AN31" s="392"/>
      <c r="AO31" s="393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0</v>
      </c>
      <c r="H32" s="373" t="s">
        <v>9</v>
      </c>
      <c r="I32" s="441">
        <v>2</v>
      </c>
      <c r="J32" s="375">
        <f t="shared" si="0"/>
        <v>2</v>
      </c>
      <c r="K32" s="363">
        <f t="shared" si="1"/>
        <v>0</v>
      </c>
      <c r="L32" s="363">
        <f t="shared" si="2"/>
        <v>3</v>
      </c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392"/>
      <c r="V32" s="392"/>
      <c r="W32" s="392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3"/>
        <v>0</v>
      </c>
      <c r="AH32" s="108">
        <f t="shared" si="4"/>
        <v>0</v>
      </c>
      <c r="AI32" s="108">
        <f t="shared" si="10"/>
        <v>0</v>
      </c>
      <c r="AJ32" s="108">
        <f t="shared" si="5"/>
        <v>0</v>
      </c>
      <c r="AK32" s="108">
        <f t="shared" si="6"/>
        <v>5</v>
      </c>
      <c r="AL32" s="108">
        <f t="shared" si="7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0</v>
      </c>
      <c r="H33" s="379" t="s">
        <v>9</v>
      </c>
      <c r="I33" s="442">
        <v>0</v>
      </c>
      <c r="J33" s="381">
        <f t="shared" si="0"/>
        <v>3</v>
      </c>
      <c r="K33" s="363">
        <f t="shared" si="1"/>
        <v>1</v>
      </c>
      <c r="L33" s="363">
        <f t="shared" si="2"/>
        <v>1</v>
      </c>
      <c r="O33" s="394" t="s">
        <v>25</v>
      </c>
      <c r="P33" s="395">
        <f>SUMIF($D$8:$D$55,$O33,$G$8:$G$55)+SUMIF($F$8:$F$55,$O33,$I$8:$I$55)</f>
        <v>1</v>
      </c>
      <c r="Q33" s="395">
        <f>SUMIF($D$8:$D$55,$O33,$I$8:$I$55)+SUMIF($F$8:$F$55,$O33,$G$8:$G$55)</f>
        <v>2</v>
      </c>
      <c r="R33" s="396">
        <f>P33-Q33</f>
        <v>-1</v>
      </c>
      <c r="S33" s="397">
        <f>SUMIF($D$8:$D$55,$O33,$K$8:$K$55)+SUMIF($F$8:$F$55,$O33,$L$8:$L$55)</f>
        <v>4</v>
      </c>
      <c r="T33" s="444" t="s">
        <v>68</v>
      </c>
      <c r="U33" s="392"/>
      <c r="V33" s="392" t="str">
        <f>O33</f>
        <v>Zwitserland</v>
      </c>
      <c r="W33" s="392" t="s">
        <v>67</v>
      </c>
      <c r="Y33" s="109">
        <f t="shared" si="8"/>
        <v>0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0</v>
      </c>
      <c r="AG33" s="108">
        <f t="shared" si="3"/>
        <v>0</v>
      </c>
      <c r="AH33" s="108">
        <f t="shared" si="4"/>
        <v>0</v>
      </c>
      <c r="AI33" s="108">
        <f t="shared" si="10"/>
        <v>0</v>
      </c>
      <c r="AJ33" s="108">
        <f t="shared" si="5"/>
        <v>0</v>
      </c>
      <c r="AK33" s="108">
        <f t="shared" si="6"/>
        <v>0</v>
      </c>
      <c r="AL33" s="108">
        <f t="shared" si="7"/>
        <v>0</v>
      </c>
      <c r="AM33" s="120">
        <f>AO33</f>
        <v>10</v>
      </c>
      <c r="AN33" s="116" t="s">
        <v>25</v>
      </c>
      <c r="AO33" s="115">
        <f>IF(Uitslag!T33="",0,IF(T33=Uitslag!T33,10,0))</f>
        <v>10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3</v>
      </c>
      <c r="H34" s="367" t="s">
        <v>9</v>
      </c>
      <c r="I34" s="440">
        <v>1</v>
      </c>
      <c r="J34" s="369">
        <f t="shared" si="0"/>
        <v>1</v>
      </c>
      <c r="K34" s="363">
        <f t="shared" si="1"/>
        <v>3</v>
      </c>
      <c r="L34" s="363">
        <f t="shared" si="2"/>
        <v>0</v>
      </c>
      <c r="O34" s="398" t="s">
        <v>26</v>
      </c>
      <c r="P34" s="399">
        <f>SUMIF($D$8:$D$55,$O34,$G$8:$G$55)+SUMIF($F$8:$F$55,$O34,$I$8:$I$55)</f>
        <v>0</v>
      </c>
      <c r="Q34" s="399">
        <f>SUMIF($D$8:$D$55,$O34,$I$8:$I$55)+SUMIF($F$8:$F$55,$O34,$G$8:$G$55)</f>
        <v>1</v>
      </c>
      <c r="R34" s="399">
        <f>P34-Q34</f>
        <v>-1</v>
      </c>
      <c r="S34" s="400">
        <f>SUMIF($D$8:$D$55,$O34,$K$8:$K$55)+SUMIF($F$8:$F$55,$O34,$L$8:$L$55)</f>
        <v>2</v>
      </c>
      <c r="T34" s="445" t="s">
        <v>69</v>
      </c>
      <c r="U34" s="392"/>
      <c r="V34" s="392" t="str">
        <f>O34</f>
        <v>Ecuador</v>
      </c>
      <c r="W34" s="392" t="s">
        <v>68</v>
      </c>
      <c r="Y34" s="109">
        <f t="shared" si="8"/>
        <v>5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5</v>
      </c>
      <c r="AG34" s="108">
        <f t="shared" si="3"/>
        <v>0</v>
      </c>
      <c r="AH34" s="108">
        <f t="shared" si="4"/>
        <v>0</v>
      </c>
      <c r="AI34" s="108">
        <f t="shared" si="10"/>
        <v>0</v>
      </c>
      <c r="AJ34" s="108">
        <f t="shared" si="5"/>
        <v>5</v>
      </c>
      <c r="AK34" s="108">
        <f t="shared" si="6"/>
        <v>0</v>
      </c>
      <c r="AL34" s="108">
        <f t="shared" si="7"/>
        <v>0</v>
      </c>
      <c r="AM34" s="120">
        <f>AO34</f>
        <v>10</v>
      </c>
      <c r="AN34" s="117" t="s">
        <v>26</v>
      </c>
      <c r="AO34" s="115">
        <f>IF(Uitslag!T34="",0,IF(T34=Uitslag!T34,10,0))</f>
        <v>10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3</v>
      </c>
      <c r="H35" s="373" t="s">
        <v>9</v>
      </c>
      <c r="I35" s="441">
        <v>0</v>
      </c>
      <c r="J35" s="375">
        <f t="shared" si="0"/>
        <v>1</v>
      </c>
      <c r="K35" s="363">
        <f t="shared" si="1"/>
        <v>3</v>
      </c>
      <c r="L35" s="363">
        <f t="shared" si="2"/>
        <v>0</v>
      </c>
      <c r="O35" s="398" t="s">
        <v>27</v>
      </c>
      <c r="P35" s="399">
        <f>SUMIF($D$8:$D$55,$O35,$G$8:$G$55)+SUMIF($F$8:$F$55,$O35,$I$8:$I$55)</f>
        <v>4</v>
      </c>
      <c r="Q35" s="399">
        <f>SUMIF($D$8:$D$55,$O35,$I$8:$I$55)+SUMIF($F$8:$F$55,$O35,$G$8:$G$55)</f>
        <v>0</v>
      </c>
      <c r="R35" s="399">
        <f>P35-Q35</f>
        <v>4</v>
      </c>
      <c r="S35" s="400">
        <f>SUMIF($D$8:$D$55,$O35,$K$8:$K$55)+SUMIF($F$8:$F$55,$O35,$L$8:$L$55)</f>
        <v>9</v>
      </c>
      <c r="T35" s="445" t="s">
        <v>67</v>
      </c>
      <c r="U35" s="392"/>
      <c r="V35" s="392" t="str">
        <f>O35</f>
        <v>Frankrijk</v>
      </c>
      <c r="W35" s="392" t="s">
        <v>69</v>
      </c>
      <c r="Y35" s="109">
        <f t="shared" si="8"/>
        <v>0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0</v>
      </c>
      <c r="AG35" s="108">
        <f t="shared" si="3"/>
        <v>0</v>
      </c>
      <c r="AH35" s="108">
        <f t="shared" si="4"/>
        <v>0</v>
      </c>
      <c r="AI35" s="108">
        <f t="shared" si="10"/>
        <v>0</v>
      </c>
      <c r="AJ35" s="108">
        <f t="shared" si="5"/>
        <v>0</v>
      </c>
      <c r="AK35" s="108">
        <f t="shared" si="6"/>
        <v>0</v>
      </c>
      <c r="AL35" s="108">
        <f t="shared" si="7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1</v>
      </c>
      <c r="H36" s="379" t="s">
        <v>9</v>
      </c>
      <c r="I36" s="442">
        <v>2</v>
      </c>
      <c r="J36" s="381">
        <f t="shared" si="0"/>
        <v>2</v>
      </c>
      <c r="K36" s="363">
        <f t="shared" si="1"/>
        <v>0</v>
      </c>
      <c r="L36" s="363">
        <f t="shared" si="2"/>
        <v>3</v>
      </c>
      <c r="O36" s="401" t="s">
        <v>28</v>
      </c>
      <c r="P36" s="402">
        <f>SUMIF($D$8:$D$55,$O36,$G$8:$G$55)+SUMIF($F$8:$F$55,$O36,$I$8:$I$55)</f>
        <v>0</v>
      </c>
      <c r="Q36" s="402">
        <f>SUMIF($D$8:$D$55,$O36,$I$8:$I$55)+SUMIF($F$8:$F$55,$O36,$G$8:$G$55)</f>
        <v>2</v>
      </c>
      <c r="R36" s="402">
        <f>P36-Q36</f>
        <v>-2</v>
      </c>
      <c r="S36" s="403">
        <f>SUMIF($D$8:$D$55,$O36,$K$8:$K$55)+SUMIF($F$8:$F$55,$O36,$L$8:$L$55)</f>
        <v>1</v>
      </c>
      <c r="T36" s="446" t="s">
        <v>70</v>
      </c>
      <c r="U36" s="392"/>
      <c r="V36" s="392" t="str">
        <f>O36</f>
        <v>Honduras</v>
      </c>
      <c r="W36" s="392" t="s">
        <v>70</v>
      </c>
      <c r="Y36" s="109">
        <f t="shared" si="8"/>
        <v>1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1</v>
      </c>
      <c r="AG36" s="108">
        <f t="shared" si="3"/>
        <v>1</v>
      </c>
      <c r="AH36" s="108">
        <f t="shared" si="4"/>
        <v>0</v>
      </c>
      <c r="AI36" s="108">
        <f t="shared" si="10"/>
        <v>0</v>
      </c>
      <c r="AJ36" s="108">
        <f t="shared" si="5"/>
        <v>0</v>
      </c>
      <c r="AK36" s="108">
        <f t="shared" si="6"/>
        <v>0</v>
      </c>
      <c r="AL36" s="108">
        <f t="shared" si="7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2</v>
      </c>
      <c r="H37" s="367" t="s">
        <v>9</v>
      </c>
      <c r="I37" s="440">
        <v>0</v>
      </c>
      <c r="J37" s="369">
        <f t="shared" si="0"/>
        <v>1</v>
      </c>
      <c r="K37" s="363">
        <f t="shared" si="1"/>
        <v>3</v>
      </c>
      <c r="L37" s="363">
        <f t="shared" si="2"/>
        <v>0</v>
      </c>
      <c r="O37" s="392"/>
      <c r="P37" s="393"/>
      <c r="Q37" s="393"/>
      <c r="R37" s="393"/>
      <c r="S37" s="393"/>
      <c r="T37" s="393"/>
      <c r="U37" s="392"/>
      <c r="V37" s="392"/>
      <c r="W37" s="392"/>
      <c r="Y37" s="109">
        <f t="shared" si="8"/>
        <v>6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6</v>
      </c>
      <c r="AG37" s="108">
        <f t="shared" si="3"/>
        <v>0</v>
      </c>
      <c r="AH37" s="108">
        <f t="shared" si="4"/>
        <v>1</v>
      </c>
      <c r="AI37" s="108">
        <f t="shared" si="10"/>
        <v>0</v>
      </c>
      <c r="AJ37" s="108">
        <f t="shared" si="5"/>
        <v>5</v>
      </c>
      <c r="AK37" s="108">
        <f t="shared" si="6"/>
        <v>0</v>
      </c>
      <c r="AL37" s="108">
        <f t="shared" si="7"/>
        <v>0</v>
      </c>
      <c r="AN37" s="392"/>
      <c r="AO37" s="393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1</v>
      </c>
      <c r="H38" s="373" t="s">
        <v>9</v>
      </c>
      <c r="I38" s="441">
        <v>1</v>
      </c>
      <c r="J38" s="375">
        <f t="shared" si="0"/>
        <v>3</v>
      </c>
      <c r="K38" s="363">
        <f t="shared" si="1"/>
        <v>1</v>
      </c>
      <c r="L38" s="363">
        <f t="shared" si="2"/>
        <v>1</v>
      </c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392"/>
      <c r="V38" s="392"/>
      <c r="W38" s="392"/>
      <c r="Y38" s="109">
        <f t="shared" si="8"/>
        <v>0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0</v>
      </c>
      <c r="AG38" s="108">
        <f t="shared" si="3"/>
        <v>0</v>
      </c>
      <c r="AH38" s="108">
        <f t="shared" si="4"/>
        <v>0</v>
      </c>
      <c r="AI38" s="108">
        <f t="shared" si="10"/>
        <v>0</v>
      </c>
      <c r="AJ38" s="108">
        <f t="shared" si="5"/>
        <v>0</v>
      </c>
      <c r="AK38" s="108">
        <f t="shared" si="6"/>
        <v>0</v>
      </c>
      <c r="AL38" s="108">
        <f t="shared" si="7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1</v>
      </c>
      <c r="H39" s="379" t="s">
        <v>9</v>
      </c>
      <c r="I39" s="442">
        <v>3</v>
      </c>
      <c r="J39" s="381">
        <f t="shared" si="0"/>
        <v>2</v>
      </c>
      <c r="K39" s="363">
        <f t="shared" si="1"/>
        <v>0</v>
      </c>
      <c r="L39" s="363">
        <f t="shared" si="2"/>
        <v>3</v>
      </c>
      <c r="O39" s="394" t="s">
        <v>29</v>
      </c>
      <c r="P39" s="395">
        <f>SUMIF($D$8:$D$55,$O39,$G$8:$G$55)+SUMIF($F$8:$F$55,$O39,$I$8:$I$55)</f>
        <v>7</v>
      </c>
      <c r="Q39" s="395">
        <f>SUMIF($D$8:$D$55,$O39,$I$8:$I$55)+SUMIF($F$8:$F$55,$O39,$G$8:$G$55)</f>
        <v>3</v>
      </c>
      <c r="R39" s="396">
        <f>P39-Q39</f>
        <v>4</v>
      </c>
      <c r="S39" s="397">
        <f>SUMIF($D$8:$D$55,$O39,$K$8:$K$55)+SUMIF($F$8:$F$55,$O39,$L$8:$L$55)</f>
        <v>9</v>
      </c>
      <c r="T39" s="444" t="s">
        <v>72</v>
      </c>
      <c r="U39" s="392"/>
      <c r="V39" s="392" t="str">
        <f>O39</f>
        <v>Argentinië</v>
      </c>
      <c r="W39" s="392" t="s">
        <v>72</v>
      </c>
      <c r="Y39" s="109">
        <f t="shared" si="8"/>
        <v>0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0</v>
      </c>
      <c r="AG39" s="108">
        <f t="shared" si="3"/>
        <v>0</v>
      </c>
      <c r="AH39" s="108">
        <f t="shared" si="4"/>
        <v>0</v>
      </c>
      <c r="AI39" s="108">
        <f t="shared" si="10"/>
        <v>0</v>
      </c>
      <c r="AJ39" s="108">
        <f t="shared" si="5"/>
        <v>0</v>
      </c>
      <c r="AK39" s="108">
        <f t="shared" si="6"/>
        <v>0</v>
      </c>
      <c r="AL39" s="108">
        <f t="shared" si="7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0</v>
      </c>
      <c r="H40" s="367" t="s">
        <v>9</v>
      </c>
      <c r="I40" s="440">
        <v>2</v>
      </c>
      <c r="J40" s="369">
        <f t="shared" si="0"/>
        <v>2</v>
      </c>
      <c r="K40" s="363">
        <f t="shared" si="1"/>
        <v>0</v>
      </c>
      <c r="L40" s="363">
        <f t="shared" si="2"/>
        <v>3</v>
      </c>
      <c r="O40" s="398" t="s">
        <v>30</v>
      </c>
      <c r="P40" s="399">
        <f>SUMIF($D$8:$D$55,$O40,$G$8:$G$55)+SUMIF($F$8:$F$55,$O40,$I$8:$I$55)</f>
        <v>5</v>
      </c>
      <c r="Q40" s="399">
        <f>SUMIF($D$8:$D$55,$O40,$I$8:$I$55)+SUMIF($F$8:$F$55,$O40,$G$8:$G$55)</f>
        <v>3</v>
      </c>
      <c r="R40" s="399">
        <f>P40-Q40</f>
        <v>2</v>
      </c>
      <c r="S40" s="400">
        <f>SUMIF($D$8:$D$55,$O40,$K$8:$K$55)+SUMIF($F$8:$F$55,$O40,$L$8:$L$55)</f>
        <v>6</v>
      </c>
      <c r="T40" s="445" t="s">
        <v>73</v>
      </c>
      <c r="U40" s="392"/>
      <c r="V40" s="392" t="str">
        <f>O40</f>
        <v>Bosnië H.</v>
      </c>
      <c r="W40" s="392" t="s">
        <v>73</v>
      </c>
      <c r="Y40" s="109">
        <f t="shared" si="8"/>
        <v>6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6</v>
      </c>
      <c r="AG40" s="108">
        <f t="shared" si="3"/>
        <v>1</v>
      </c>
      <c r="AH40" s="108">
        <f t="shared" si="4"/>
        <v>0</v>
      </c>
      <c r="AI40" s="108">
        <f t="shared" si="10"/>
        <v>0</v>
      </c>
      <c r="AJ40" s="108">
        <f t="shared" si="5"/>
        <v>0</v>
      </c>
      <c r="AK40" s="108">
        <f t="shared" si="6"/>
        <v>5</v>
      </c>
      <c r="AL40" s="108">
        <f t="shared" si="7"/>
        <v>0</v>
      </c>
      <c r="AM40" s="120">
        <f>AO40</f>
        <v>0</v>
      </c>
      <c r="AN40" s="117" t="s">
        <v>30</v>
      </c>
      <c r="AO40" s="115">
        <f>IF(Uitslag!T40="",0,IF(T40=Uitslag!T40,10,0))</f>
        <v>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1</v>
      </c>
      <c r="H41" s="373" t="s">
        <v>9</v>
      </c>
      <c r="I41" s="441">
        <v>1</v>
      </c>
      <c r="J41" s="375">
        <f t="shared" si="0"/>
        <v>3</v>
      </c>
      <c r="K41" s="363">
        <f t="shared" si="1"/>
        <v>1</v>
      </c>
      <c r="L41" s="363">
        <f t="shared" si="2"/>
        <v>1</v>
      </c>
      <c r="O41" s="398" t="s">
        <v>33</v>
      </c>
      <c r="P41" s="399">
        <f>SUMIF($D$8:$D$55,$O41,$G$8:$G$55)+SUMIF($F$8:$F$55,$O41,$I$8:$I$55)</f>
        <v>1</v>
      </c>
      <c r="Q41" s="399">
        <f>SUMIF($D$8:$D$55,$O41,$I$8:$I$55)+SUMIF($F$8:$F$55,$O41,$G$8:$G$55)</f>
        <v>6</v>
      </c>
      <c r="R41" s="399">
        <f>P41-Q41</f>
        <v>-5</v>
      </c>
      <c r="S41" s="400">
        <f>SUMIF($D$8:$D$55,$O41,$K$8:$K$55)+SUMIF($F$8:$F$55,$O41,$L$8:$L$55)</f>
        <v>0</v>
      </c>
      <c r="T41" s="445" t="s">
        <v>75</v>
      </c>
      <c r="U41" s="392"/>
      <c r="V41" s="392" t="str">
        <f>O41</f>
        <v>Iran</v>
      </c>
      <c r="W41" s="392" t="s">
        <v>74</v>
      </c>
      <c r="Y41" s="109">
        <f t="shared" si="8"/>
        <v>0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0</v>
      </c>
      <c r="AG41" s="108">
        <f t="shared" si="3"/>
        <v>0</v>
      </c>
      <c r="AH41" s="108">
        <f t="shared" si="4"/>
        <v>0</v>
      </c>
      <c r="AI41" s="108">
        <f t="shared" si="10"/>
        <v>0</v>
      </c>
      <c r="AJ41" s="108">
        <f t="shared" si="5"/>
        <v>0</v>
      </c>
      <c r="AK41" s="108">
        <f t="shared" si="6"/>
        <v>0</v>
      </c>
      <c r="AL41" s="108">
        <f t="shared" si="7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1</v>
      </c>
      <c r="H42" s="373" t="s">
        <v>9</v>
      </c>
      <c r="I42" s="441">
        <v>2</v>
      </c>
      <c r="J42" s="375">
        <f t="shared" si="0"/>
        <v>2</v>
      </c>
      <c r="K42" s="363">
        <f t="shared" si="1"/>
        <v>0</v>
      </c>
      <c r="L42" s="363">
        <f t="shared" si="2"/>
        <v>3</v>
      </c>
      <c r="O42" s="401" t="s">
        <v>34</v>
      </c>
      <c r="P42" s="402">
        <f>SUMIF($D$8:$D$55,$O42,$G$8:$G$55)+SUMIF($F$8:$F$55,$O42,$I$8:$I$55)</f>
        <v>3</v>
      </c>
      <c r="Q42" s="402">
        <f>SUMIF($D$8:$D$55,$O42,$I$8:$I$55)+SUMIF($F$8:$F$55,$O42,$G$8:$G$55)</f>
        <v>4</v>
      </c>
      <c r="R42" s="402">
        <f>P42-Q42</f>
        <v>-1</v>
      </c>
      <c r="S42" s="403">
        <f>SUMIF($D$8:$D$55,$O42,$K$8:$K$55)+SUMIF($F$8:$F$55,$O42,$L$8:$L$55)</f>
        <v>3</v>
      </c>
      <c r="T42" s="446" t="s">
        <v>74</v>
      </c>
      <c r="U42" s="392"/>
      <c r="V42" s="392" t="str">
        <f>O42</f>
        <v>Nigeria</v>
      </c>
      <c r="W42" s="392" t="s">
        <v>75</v>
      </c>
      <c r="Y42" s="109">
        <f t="shared" si="8"/>
        <v>6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6</v>
      </c>
      <c r="AG42" s="108">
        <f t="shared" si="3"/>
        <v>1</v>
      </c>
      <c r="AH42" s="108">
        <f t="shared" si="4"/>
        <v>0</v>
      </c>
      <c r="AI42" s="108">
        <f t="shared" si="10"/>
        <v>0</v>
      </c>
      <c r="AJ42" s="108">
        <f t="shared" si="5"/>
        <v>0</v>
      </c>
      <c r="AK42" s="108">
        <f t="shared" si="6"/>
        <v>5</v>
      </c>
      <c r="AL42" s="108">
        <f t="shared" si="7"/>
        <v>0</v>
      </c>
      <c r="AM42" s="120">
        <f>AO42</f>
        <v>0</v>
      </c>
      <c r="AN42" s="118" t="s">
        <v>34</v>
      </c>
      <c r="AO42" s="115">
        <f>IF(Uitslag!T42="",0,IF(T42=Uitslag!T42,10,0))</f>
        <v>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1</v>
      </c>
      <c r="H43" s="379" t="s">
        <v>9</v>
      </c>
      <c r="I43" s="442">
        <v>2</v>
      </c>
      <c r="J43" s="381">
        <f t="shared" si="0"/>
        <v>2</v>
      </c>
      <c r="K43" s="363">
        <f t="shared" si="1"/>
        <v>0</v>
      </c>
      <c r="L43" s="363">
        <f t="shared" si="2"/>
        <v>3</v>
      </c>
      <c r="O43" s="392"/>
      <c r="P43" s="393"/>
      <c r="Q43" s="393"/>
      <c r="R43" s="393"/>
      <c r="S43" s="393"/>
      <c r="T43" s="393"/>
      <c r="U43" s="392"/>
      <c r="V43" s="392"/>
      <c r="W43" s="392"/>
      <c r="Y43" s="109">
        <f t="shared" si="8"/>
        <v>6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6</v>
      </c>
      <c r="AG43" s="108">
        <f t="shared" si="3"/>
        <v>1</v>
      </c>
      <c r="AH43" s="108">
        <f t="shared" si="4"/>
        <v>0</v>
      </c>
      <c r="AI43" s="108">
        <f t="shared" si="10"/>
        <v>0</v>
      </c>
      <c r="AJ43" s="108">
        <f t="shared" si="5"/>
        <v>0</v>
      </c>
      <c r="AK43" s="108">
        <f t="shared" si="6"/>
        <v>5</v>
      </c>
      <c r="AL43" s="108">
        <f t="shared" si="7"/>
        <v>0</v>
      </c>
      <c r="AN43" s="392"/>
      <c r="AO43" s="393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1</v>
      </c>
      <c r="H44" s="367" t="s">
        <v>9</v>
      </c>
      <c r="I44" s="440">
        <v>0</v>
      </c>
      <c r="J44" s="369">
        <f t="shared" si="0"/>
        <v>1</v>
      </c>
      <c r="K44" s="363">
        <f t="shared" si="1"/>
        <v>3</v>
      </c>
      <c r="L44" s="363">
        <f t="shared" si="2"/>
        <v>0</v>
      </c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392"/>
      <c r="V44" s="392"/>
      <c r="W44" s="392"/>
      <c r="Y44" s="109">
        <f t="shared" si="8"/>
        <v>0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0</v>
      </c>
      <c r="AG44" s="108">
        <f t="shared" si="3"/>
        <v>0</v>
      </c>
      <c r="AH44" s="108">
        <f t="shared" si="4"/>
        <v>0</v>
      </c>
      <c r="AI44" s="108">
        <f t="shared" si="10"/>
        <v>0</v>
      </c>
      <c r="AJ44" s="108">
        <f t="shared" si="5"/>
        <v>0</v>
      </c>
      <c r="AK44" s="108">
        <f t="shared" si="6"/>
        <v>0</v>
      </c>
      <c r="AL44" s="108">
        <f t="shared" si="7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0</v>
      </c>
      <c r="H45" s="373" t="s">
        <v>9</v>
      </c>
      <c r="I45" s="441">
        <v>2</v>
      </c>
      <c r="J45" s="375">
        <f t="shared" si="0"/>
        <v>2</v>
      </c>
      <c r="K45" s="363">
        <f t="shared" si="1"/>
        <v>0</v>
      </c>
      <c r="L45" s="363">
        <f t="shared" si="2"/>
        <v>3</v>
      </c>
      <c r="O45" s="394" t="s">
        <v>31</v>
      </c>
      <c r="P45" s="395">
        <f>SUMIF($D$8:$D$55,$O45,$G$8:$G$55)+SUMIF($F$8:$F$55,$O45,$I$8:$I$55)</f>
        <v>8</v>
      </c>
      <c r="Q45" s="395">
        <f>SUMIF($D$8:$D$55,$O45,$I$8:$I$55)+SUMIF($F$8:$F$55,$O45,$G$8:$G$55)</f>
        <v>2</v>
      </c>
      <c r="R45" s="396">
        <f>P45-Q45</f>
        <v>6</v>
      </c>
      <c r="S45" s="397">
        <f>SUMIF($D$8:$D$55,$O45,$K$8:$K$55)+SUMIF($F$8:$F$55,$O45,$L$8:$L$55)</f>
        <v>7</v>
      </c>
      <c r="T45" s="444" t="s">
        <v>78</v>
      </c>
      <c r="U45" s="392"/>
      <c r="V45" s="392" t="str">
        <f>O45</f>
        <v>Duitsland</v>
      </c>
      <c r="W45" s="392" t="s">
        <v>77</v>
      </c>
      <c r="Y45" s="109">
        <f t="shared" si="8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1</v>
      </c>
      <c r="AG45" s="108">
        <f t="shared" si="3"/>
        <v>1</v>
      </c>
      <c r="AH45" s="108">
        <f t="shared" si="4"/>
        <v>0</v>
      </c>
      <c r="AI45" s="108">
        <f t="shared" si="10"/>
        <v>0</v>
      </c>
      <c r="AJ45" s="108">
        <f t="shared" si="5"/>
        <v>0</v>
      </c>
      <c r="AK45" s="108">
        <f t="shared" si="6"/>
        <v>0</v>
      </c>
      <c r="AL45" s="108">
        <f t="shared" si="7"/>
        <v>0</v>
      </c>
      <c r="AM45" s="120">
        <f>AO45</f>
        <v>0</v>
      </c>
      <c r="AN45" s="116" t="s">
        <v>31</v>
      </c>
      <c r="AO45" s="115">
        <f>IF(Uitslag!T45="",0,IF(T45=Uitslag!T45,10,0))</f>
        <v>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1</v>
      </c>
      <c r="H46" s="373" t="s">
        <v>9</v>
      </c>
      <c r="I46" s="441">
        <v>1</v>
      </c>
      <c r="J46" s="375">
        <f t="shared" si="0"/>
        <v>3</v>
      </c>
      <c r="K46" s="363">
        <f t="shared" si="1"/>
        <v>1</v>
      </c>
      <c r="L46" s="363">
        <f t="shared" si="2"/>
        <v>1</v>
      </c>
      <c r="O46" s="398" t="s">
        <v>32</v>
      </c>
      <c r="P46" s="399">
        <f>SUMIF($D$8:$D$55,$O46,$G$8:$G$55)+SUMIF($F$8:$F$55,$O46,$I$8:$I$55)</f>
        <v>7</v>
      </c>
      <c r="Q46" s="399">
        <f>SUMIF($D$8:$D$55,$O46,$I$8:$I$55)+SUMIF($F$8:$F$55,$O46,$G$8:$G$55)</f>
        <v>4</v>
      </c>
      <c r="R46" s="399">
        <f>P46-Q46</f>
        <v>3</v>
      </c>
      <c r="S46" s="400">
        <f>SUMIF($D$8:$D$55,$O46,$K$8:$K$55)+SUMIF($F$8:$F$55,$O46,$L$8:$L$55)</f>
        <v>7</v>
      </c>
      <c r="T46" s="445" t="s">
        <v>77</v>
      </c>
      <c r="U46" s="392"/>
      <c r="V46" s="392" t="str">
        <f>O46</f>
        <v>Portugal</v>
      </c>
      <c r="W46" s="392" t="s">
        <v>78</v>
      </c>
      <c r="Y46" s="109">
        <f t="shared" si="8"/>
        <v>1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1</v>
      </c>
      <c r="AG46" s="108">
        <f t="shared" si="3"/>
        <v>1</v>
      </c>
      <c r="AH46" s="108">
        <f t="shared" si="4"/>
        <v>0</v>
      </c>
      <c r="AI46" s="108">
        <f t="shared" si="10"/>
        <v>0</v>
      </c>
      <c r="AJ46" s="108">
        <f t="shared" si="5"/>
        <v>0</v>
      </c>
      <c r="AK46" s="108">
        <f t="shared" si="6"/>
        <v>0</v>
      </c>
      <c r="AL46" s="108">
        <f t="shared" si="7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0</v>
      </c>
      <c r="H47" s="379" t="s">
        <v>9</v>
      </c>
      <c r="I47" s="442">
        <v>0</v>
      </c>
      <c r="J47" s="381">
        <f t="shared" si="0"/>
        <v>3</v>
      </c>
      <c r="K47" s="363">
        <f t="shared" si="1"/>
        <v>1</v>
      </c>
      <c r="L47" s="363">
        <f t="shared" si="2"/>
        <v>1</v>
      </c>
      <c r="O47" s="398" t="s">
        <v>35</v>
      </c>
      <c r="P47" s="399">
        <f>SUMIF($D$8:$D$55,$O47,$G$8:$G$55)+SUMIF($F$8:$F$55,$O47,$I$8:$I$55)</f>
        <v>2</v>
      </c>
      <c r="Q47" s="399">
        <f>SUMIF($D$8:$D$55,$O47,$I$8:$I$55)+SUMIF($F$8:$F$55,$O47,$G$8:$G$55)</f>
        <v>6</v>
      </c>
      <c r="R47" s="399">
        <f>P47-Q47</f>
        <v>-4</v>
      </c>
      <c r="S47" s="400">
        <f>SUMIF($D$8:$D$55,$O47,$K$8:$K$55)+SUMIF($F$8:$F$55,$O47,$L$8:$L$55)</f>
        <v>1</v>
      </c>
      <c r="T47" s="445" t="s">
        <v>79</v>
      </c>
      <c r="U47" s="392"/>
      <c r="V47" s="392" t="str">
        <f>O47</f>
        <v>Ghana</v>
      </c>
      <c r="W47" s="392" t="s">
        <v>79</v>
      </c>
      <c r="Y47" s="109">
        <f t="shared" si="8"/>
        <v>0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0</v>
      </c>
      <c r="AG47" s="108">
        <f t="shared" si="3"/>
        <v>0</v>
      </c>
      <c r="AH47" s="108">
        <f t="shared" si="4"/>
        <v>0</v>
      </c>
      <c r="AI47" s="108">
        <f t="shared" si="10"/>
        <v>0</v>
      </c>
      <c r="AJ47" s="108">
        <f t="shared" si="5"/>
        <v>0</v>
      </c>
      <c r="AK47" s="108">
        <f t="shared" si="6"/>
        <v>0</v>
      </c>
      <c r="AL47" s="108">
        <f t="shared" si="7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1</v>
      </c>
      <c r="H48" s="367" t="s">
        <v>9</v>
      </c>
      <c r="I48" s="440">
        <v>2</v>
      </c>
      <c r="J48" s="369">
        <f t="shared" si="0"/>
        <v>2</v>
      </c>
      <c r="K48" s="363">
        <f t="shared" si="1"/>
        <v>0</v>
      </c>
      <c r="L48" s="363">
        <f t="shared" si="2"/>
        <v>3</v>
      </c>
      <c r="O48" s="401" t="s">
        <v>36</v>
      </c>
      <c r="P48" s="402">
        <f>SUMIF($D$8:$D$55,$O48,$G$8:$G$55)+SUMIF($F$8:$F$55,$O48,$I$8:$I$55)</f>
        <v>2</v>
      </c>
      <c r="Q48" s="402">
        <f>SUMIF($D$8:$D$55,$O48,$I$8:$I$55)+SUMIF($F$8:$F$55,$O48,$G$8:$G$55)</f>
        <v>7</v>
      </c>
      <c r="R48" s="402">
        <f>P48-Q48</f>
        <v>-5</v>
      </c>
      <c r="S48" s="403">
        <f>SUMIF($D$8:$D$55,$O48,$K$8:$K$55)+SUMIF($F$8:$F$55,$O48,$L$8:$L$55)</f>
        <v>1</v>
      </c>
      <c r="T48" s="446" t="s">
        <v>80</v>
      </c>
      <c r="U48" s="392"/>
      <c r="V48" s="392" t="str">
        <f>O48</f>
        <v>Verenigde Staten</v>
      </c>
      <c r="W48" s="392" t="s">
        <v>80</v>
      </c>
      <c r="Y48" s="109">
        <f t="shared" si="8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5</v>
      </c>
      <c r="AG48" s="108">
        <f t="shared" si="3"/>
        <v>0</v>
      </c>
      <c r="AH48" s="108">
        <f t="shared" si="4"/>
        <v>0</v>
      </c>
      <c r="AI48" s="108">
        <f t="shared" si="10"/>
        <v>0</v>
      </c>
      <c r="AJ48" s="108">
        <f t="shared" si="5"/>
        <v>0</v>
      </c>
      <c r="AK48" s="108">
        <f t="shared" si="6"/>
        <v>5</v>
      </c>
      <c r="AL48" s="108">
        <f t="shared" si="7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2</v>
      </c>
      <c r="H49" s="373" t="s">
        <v>9</v>
      </c>
      <c r="I49" s="441">
        <v>0</v>
      </c>
      <c r="J49" s="375">
        <f t="shared" si="0"/>
        <v>1</v>
      </c>
      <c r="K49" s="363">
        <f t="shared" si="1"/>
        <v>3</v>
      </c>
      <c r="L49" s="363">
        <f t="shared" si="2"/>
        <v>0</v>
      </c>
      <c r="O49" s="392"/>
      <c r="P49" s="393"/>
      <c r="Q49" s="393"/>
      <c r="R49" s="393"/>
      <c r="S49" s="393"/>
      <c r="T49" s="393"/>
      <c r="U49" s="392"/>
      <c r="V49" s="392"/>
      <c r="W49" s="392"/>
      <c r="Y49" s="109">
        <f t="shared" si="8"/>
        <v>5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5</v>
      </c>
      <c r="AG49" s="108">
        <f t="shared" si="3"/>
        <v>0</v>
      </c>
      <c r="AH49" s="108">
        <f t="shared" si="4"/>
        <v>0</v>
      </c>
      <c r="AI49" s="108">
        <f t="shared" si="10"/>
        <v>0</v>
      </c>
      <c r="AJ49" s="108">
        <f t="shared" si="5"/>
        <v>5</v>
      </c>
      <c r="AK49" s="108">
        <f t="shared" si="6"/>
        <v>0</v>
      </c>
      <c r="AL49" s="108">
        <f t="shared" si="7"/>
        <v>0</v>
      </c>
      <c r="AN49" s="392"/>
      <c r="AO49" s="393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0</v>
      </c>
      <c r="H50" s="373" t="s">
        <v>9</v>
      </c>
      <c r="I50" s="441">
        <v>1</v>
      </c>
      <c r="J50" s="375">
        <f t="shared" si="0"/>
        <v>2</v>
      </c>
      <c r="K50" s="363">
        <f t="shared" si="1"/>
        <v>0</v>
      </c>
      <c r="L50" s="363">
        <f t="shared" si="2"/>
        <v>3</v>
      </c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392"/>
      <c r="V50" s="392"/>
      <c r="W50" s="392"/>
      <c r="Y50" s="109">
        <f t="shared" si="8"/>
        <v>6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6</v>
      </c>
      <c r="AG50" s="108">
        <f t="shared" si="3"/>
        <v>1</v>
      </c>
      <c r="AH50" s="108">
        <f t="shared" si="4"/>
        <v>0</v>
      </c>
      <c r="AI50" s="108">
        <f t="shared" si="10"/>
        <v>0</v>
      </c>
      <c r="AJ50" s="108">
        <f t="shared" si="5"/>
        <v>0</v>
      </c>
      <c r="AK50" s="108">
        <f t="shared" si="6"/>
        <v>5</v>
      </c>
      <c r="AL50" s="108">
        <f t="shared" si="7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0</v>
      </c>
      <c r="H51" s="379" t="s">
        <v>9</v>
      </c>
      <c r="I51" s="442">
        <v>1</v>
      </c>
      <c r="J51" s="381">
        <f t="shared" si="0"/>
        <v>2</v>
      </c>
      <c r="K51" s="363">
        <f t="shared" si="1"/>
        <v>0</v>
      </c>
      <c r="L51" s="363">
        <f t="shared" si="2"/>
        <v>3</v>
      </c>
      <c r="O51" s="394" t="s">
        <v>37</v>
      </c>
      <c r="P51" s="395">
        <f>SUMIF($D$8:$D$55,$O51,$G$8:$G$55)+SUMIF($F$8:$F$55,$O51,$I$8:$I$55)</f>
        <v>6</v>
      </c>
      <c r="Q51" s="395">
        <f>SUMIF($D$8:$D$55,$O51,$I$8:$I$55)+SUMIF($F$8:$F$55,$O51,$G$8:$G$55)</f>
        <v>1</v>
      </c>
      <c r="R51" s="396">
        <f>P51-Q51</f>
        <v>5</v>
      </c>
      <c r="S51" s="397">
        <f>SUMIF($D$8:$D$55,$O51,$K$8:$K$55)+SUMIF($F$8:$F$55,$O51,$L$8:$L$55)</f>
        <v>9</v>
      </c>
      <c r="T51" s="444" t="s">
        <v>82</v>
      </c>
      <c r="U51" s="392"/>
      <c r="V51" s="392" t="str">
        <f>O51</f>
        <v>België</v>
      </c>
      <c r="W51" s="392" t="s">
        <v>82</v>
      </c>
      <c r="Y51" s="109">
        <f t="shared" si="8"/>
        <v>1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1</v>
      </c>
      <c r="AG51" s="108">
        <f t="shared" si="3"/>
        <v>1</v>
      </c>
      <c r="AH51" s="108">
        <f t="shared" si="4"/>
        <v>0</v>
      </c>
      <c r="AI51" s="108">
        <f t="shared" si="10"/>
        <v>0</v>
      </c>
      <c r="AJ51" s="108">
        <f t="shared" si="5"/>
        <v>0</v>
      </c>
      <c r="AK51" s="108">
        <f t="shared" si="6"/>
        <v>0</v>
      </c>
      <c r="AL51" s="108">
        <f t="shared" si="7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0</v>
      </c>
      <c r="H52" s="373" t="s">
        <v>9</v>
      </c>
      <c r="I52" s="441">
        <v>3</v>
      </c>
      <c r="J52" s="369">
        <f t="shared" si="0"/>
        <v>2</v>
      </c>
      <c r="K52" s="363">
        <f t="shared" si="1"/>
        <v>0</v>
      </c>
      <c r="L52" s="363">
        <f t="shared" si="2"/>
        <v>3</v>
      </c>
      <c r="O52" s="398" t="s">
        <v>38</v>
      </c>
      <c r="P52" s="399">
        <f>SUMIF($D$8:$D$55,$O52,$G$8:$G$55)+SUMIF($F$8:$F$55,$O52,$I$8:$I$55)</f>
        <v>1</v>
      </c>
      <c r="Q52" s="399">
        <f>SUMIF($D$8:$D$55,$O52,$I$8:$I$55)+SUMIF($F$8:$F$55,$O52,$G$8:$G$55)</f>
        <v>3</v>
      </c>
      <c r="R52" s="399">
        <f>P52-Q52</f>
        <v>-2</v>
      </c>
      <c r="S52" s="400">
        <f>SUMIF($D$8:$D$55,$O52,$K$8:$K$55)+SUMIF($F$8:$F$55,$O52,$L$8:$L$55)</f>
        <v>1</v>
      </c>
      <c r="T52" s="445" t="s">
        <v>84</v>
      </c>
      <c r="U52" s="392"/>
      <c r="V52" s="392" t="str">
        <f>O52</f>
        <v>Algerije</v>
      </c>
      <c r="W52" s="392" t="s">
        <v>83</v>
      </c>
      <c r="Y52" s="109">
        <f t="shared" si="8"/>
        <v>6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6</v>
      </c>
      <c r="AG52" s="108">
        <f t="shared" si="3"/>
        <v>1</v>
      </c>
      <c r="AH52" s="108">
        <f t="shared" si="4"/>
        <v>0</v>
      </c>
      <c r="AI52" s="108">
        <f t="shared" si="10"/>
        <v>0</v>
      </c>
      <c r="AJ52" s="108">
        <f t="shared" si="5"/>
        <v>0</v>
      </c>
      <c r="AK52" s="108">
        <f t="shared" si="6"/>
        <v>5</v>
      </c>
      <c r="AL52" s="108">
        <f t="shared" si="7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2</v>
      </c>
      <c r="H53" s="373" t="s">
        <v>9</v>
      </c>
      <c r="I53" s="441">
        <v>1</v>
      </c>
      <c r="J53" s="375">
        <f t="shared" si="0"/>
        <v>1</v>
      </c>
      <c r="K53" s="363">
        <f t="shared" si="1"/>
        <v>3</v>
      </c>
      <c r="L53" s="363">
        <f t="shared" si="2"/>
        <v>0</v>
      </c>
      <c r="O53" s="398" t="s">
        <v>39</v>
      </c>
      <c r="P53" s="399">
        <f>SUMIF($D$8:$D$55,$O53,$G$8:$G$55)+SUMIF($F$8:$F$55,$O53,$I$8:$I$55)</f>
        <v>2</v>
      </c>
      <c r="Q53" s="399">
        <f>SUMIF($D$8:$D$55,$O53,$I$8:$I$55)+SUMIF($F$8:$F$55,$O53,$G$8:$G$55)</f>
        <v>2</v>
      </c>
      <c r="R53" s="399">
        <f>P53-Q53</f>
        <v>0</v>
      </c>
      <c r="S53" s="400">
        <f>SUMIF($D$8:$D$55,$O53,$K$8:$K$55)+SUMIF($F$8:$F$55,$O53,$L$8:$L$55)</f>
        <v>6</v>
      </c>
      <c r="T53" s="445" t="s">
        <v>83</v>
      </c>
      <c r="U53" s="392"/>
      <c r="V53" s="392" t="str">
        <f>O53</f>
        <v>Rusland</v>
      </c>
      <c r="W53" s="392" t="s">
        <v>84</v>
      </c>
      <c r="Y53" s="109">
        <f t="shared" si="8"/>
        <v>10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10</v>
      </c>
      <c r="AG53" s="108">
        <f t="shared" si="3"/>
        <v>1</v>
      </c>
      <c r="AH53" s="108">
        <f t="shared" si="4"/>
        <v>1</v>
      </c>
      <c r="AI53" s="108">
        <f t="shared" si="10"/>
        <v>10</v>
      </c>
      <c r="AJ53" s="108">
        <f t="shared" si="5"/>
        <v>5</v>
      </c>
      <c r="AK53" s="108">
        <f t="shared" si="6"/>
        <v>0</v>
      </c>
      <c r="AL53" s="108">
        <f t="shared" si="7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1</v>
      </c>
      <c r="H54" s="373" t="s">
        <v>9</v>
      </c>
      <c r="I54" s="441">
        <v>3</v>
      </c>
      <c r="J54" s="375">
        <f t="shared" si="0"/>
        <v>2</v>
      </c>
      <c r="K54" s="363">
        <f t="shared" si="1"/>
        <v>0</v>
      </c>
      <c r="L54" s="363">
        <f t="shared" si="2"/>
        <v>3</v>
      </c>
      <c r="O54" s="401" t="s">
        <v>40</v>
      </c>
      <c r="P54" s="402">
        <f>SUMIF($D$8:$D$55,$O54,$G$8:$G$55)+SUMIF($F$8:$F$55,$O54,$I$8:$I$55)</f>
        <v>2</v>
      </c>
      <c r="Q54" s="402">
        <f>SUMIF($D$8:$D$55,$O54,$I$8:$I$55)+SUMIF($F$8:$F$55,$O54,$G$8:$G$55)</f>
        <v>5</v>
      </c>
      <c r="R54" s="402">
        <f>P54-Q54</f>
        <v>-3</v>
      </c>
      <c r="S54" s="403">
        <f>SUMIF($D$8:$D$55,$O54,$K$8:$K$55)+SUMIF($F$8:$F$55,$O54,$L$8:$L$55)</f>
        <v>1</v>
      </c>
      <c r="T54" s="446" t="s">
        <v>85</v>
      </c>
      <c r="U54" s="392"/>
      <c r="V54" s="392" t="str">
        <f>O54</f>
        <v>Zuid Korea</v>
      </c>
      <c r="W54" s="392" t="s">
        <v>85</v>
      </c>
      <c r="Y54" s="109">
        <f t="shared" si="8"/>
        <v>5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5</v>
      </c>
      <c r="AG54" s="108">
        <f t="shared" si="3"/>
        <v>0</v>
      </c>
      <c r="AH54" s="108">
        <f t="shared" si="4"/>
        <v>0</v>
      </c>
      <c r="AI54" s="108">
        <f t="shared" si="10"/>
        <v>0</v>
      </c>
      <c r="AJ54" s="108">
        <f t="shared" si="5"/>
        <v>0</v>
      </c>
      <c r="AK54" s="108">
        <f t="shared" si="6"/>
        <v>5</v>
      </c>
      <c r="AL54" s="108">
        <f t="shared" si="7"/>
        <v>0</v>
      </c>
      <c r="AM54" s="120">
        <f>AO54</f>
        <v>10</v>
      </c>
      <c r="AN54" s="118" t="s">
        <v>40</v>
      </c>
      <c r="AO54" s="115">
        <f>IF(Uitslag!T54="",0,IF(T54=Uitslag!T54,10,0))</f>
        <v>10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0</v>
      </c>
      <c r="H55" s="388" t="s">
        <v>9</v>
      </c>
      <c r="I55" s="443">
        <v>1</v>
      </c>
      <c r="J55" s="390">
        <f t="shared" si="0"/>
        <v>2</v>
      </c>
      <c r="K55" s="363">
        <f t="shared" si="1"/>
        <v>0</v>
      </c>
      <c r="L55" s="363">
        <f t="shared" si="2"/>
        <v>3</v>
      </c>
      <c r="O55" s="392"/>
      <c r="P55" s="393"/>
      <c r="Q55" s="393"/>
      <c r="R55" s="393"/>
      <c r="S55" s="393"/>
      <c r="T55" s="393"/>
      <c r="U55" s="392"/>
      <c r="V55" s="392"/>
      <c r="W55" s="392"/>
      <c r="Y55" s="109">
        <f t="shared" si="8"/>
        <v>1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</v>
      </c>
      <c r="AG55" s="108">
        <f t="shared" si="3"/>
        <v>0</v>
      </c>
      <c r="AH55" s="108">
        <f t="shared" si="4"/>
        <v>1</v>
      </c>
      <c r="AI55" s="108">
        <f t="shared" si="10"/>
        <v>0</v>
      </c>
      <c r="AJ55" s="108">
        <f t="shared" si="5"/>
        <v>0</v>
      </c>
      <c r="AK55" s="108">
        <f t="shared" si="6"/>
        <v>0</v>
      </c>
      <c r="AL55" s="108">
        <f t="shared" si="7"/>
        <v>0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79"/>
      <c r="K57" s="353"/>
      <c r="L57" s="353"/>
      <c r="M57" s="353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77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O58" s="458">
        <v>1</v>
      </c>
      <c r="P58" s="877" t="s">
        <v>224</v>
      </c>
      <c r="Q58" s="877"/>
      <c r="R58" s="877"/>
      <c r="S58" s="877"/>
      <c r="T58" s="878"/>
      <c r="V58" s="352" t="s">
        <v>132</v>
      </c>
      <c r="W58" s="352" t="s">
        <v>124</v>
      </c>
      <c r="X58" s="352" t="str">
        <f t="shared" ref="X58:X98" si="11">CONCATENATE(W58," ",V58)</f>
        <v>Jeroen Zoet (k)</v>
      </c>
      <c r="Y58" s="113" t="s">
        <v>91</v>
      </c>
      <c r="Z58" s="352" t="str">
        <f>IF(K58=""," ",VLOOKUP(K58,$T$9:$V$54,3,FALSE))</f>
        <v xml:space="preserve"> </v>
      </c>
      <c r="AA58" s="352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 t="shared" ref="D59:D66" si="13">IF(ISERROR(Z59),K59,Z59)</f>
        <v>Brazilië</v>
      </c>
      <c r="E59" s="367" t="s">
        <v>9</v>
      </c>
      <c r="F59" s="406" t="str">
        <f t="shared" ref="F59:F66" si="14">IF(ISERROR(AA59),L59,AA59)</f>
        <v>Chili</v>
      </c>
      <c r="G59" s="435">
        <v>2</v>
      </c>
      <c r="H59" s="367" t="s">
        <v>9</v>
      </c>
      <c r="I59" s="447">
        <v>1</v>
      </c>
      <c r="J59" s="448">
        <v>1</v>
      </c>
      <c r="K59" s="407" t="s">
        <v>48</v>
      </c>
      <c r="L59" s="407" t="s">
        <v>53</v>
      </c>
      <c r="M59" s="407">
        <v>1</v>
      </c>
      <c r="O59" s="458">
        <v>2</v>
      </c>
      <c r="P59" s="877" t="s">
        <v>212</v>
      </c>
      <c r="Q59" s="877"/>
      <c r="R59" s="877"/>
      <c r="S59" s="877"/>
      <c r="T59" s="878"/>
      <c r="V59" s="352" t="s">
        <v>132</v>
      </c>
      <c r="W59" s="352" t="s">
        <v>111</v>
      </c>
      <c r="X59" s="352" t="str">
        <f t="shared" si="11"/>
        <v>Jasper Cillessen (k)</v>
      </c>
      <c r="Y59" s="109">
        <f t="shared" ref="Y59:Y66" si="15">AF59</f>
        <v>1</v>
      </c>
      <c r="Z59" s="352" t="str">
        <f t="shared" ref="Z59:AA65" si="16">IF(K59=""," ",VLOOKUP(K59,$T$9:$V$54,3,FALSE))</f>
        <v>Brazilië</v>
      </c>
      <c r="AA59" s="352" t="str">
        <f t="shared" si="16"/>
        <v>Chili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7">IF(OR(AC59="",AD59=""),0,(IF(SUM(AG59:AL59)&gt;10,10,SUM(AG59:AL59))))</f>
        <v>1</v>
      </c>
      <c r="AG59" s="108">
        <f t="shared" ref="AG59:AG66" si="18">IF(AC59="",0,(IF(G59=AC59,1,0)))</f>
        <v>0</v>
      </c>
      <c r="AH59" s="108">
        <f t="shared" ref="AH59:AH66" si="19">IF(AD59="",0,(IF(I59=AD59,1,0)))</f>
        <v>1</v>
      </c>
      <c r="AI59" s="108">
        <f t="shared" ref="AI59:AI66" si="20">IF(AND(AG59=1,AH59=1),10,0)</f>
        <v>0</v>
      </c>
      <c r="AJ59" s="108">
        <f t="shared" ref="AJ59:AJ66" si="21">IF(AND(G59&gt;I59,AC59&gt;AD59),5,0)</f>
        <v>0</v>
      </c>
      <c r="AK59" s="108">
        <f t="shared" ref="AK59:AK66" si="22">IF(AND(G59&lt;I59,AC59&lt;AD59),5,0)</f>
        <v>0</v>
      </c>
      <c r="AL59" s="108">
        <f t="shared" ref="AL59:AL66" si="23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4">BA59</f>
        <v>3</v>
      </c>
    </row>
    <row r="60" spans="2:54">
      <c r="B60" s="376">
        <v>50</v>
      </c>
      <c r="C60" s="466">
        <v>41818</v>
      </c>
      <c r="D60" s="460" t="str">
        <f t="shared" si="13"/>
        <v>Colombia</v>
      </c>
      <c r="E60" s="379" t="s">
        <v>9</v>
      </c>
      <c r="F60" s="409" t="str">
        <f t="shared" si="14"/>
        <v>Uruguay</v>
      </c>
      <c r="G60" s="437">
        <v>0</v>
      </c>
      <c r="H60" s="379" t="s">
        <v>9</v>
      </c>
      <c r="I60" s="449">
        <v>0</v>
      </c>
      <c r="J60" s="450">
        <v>1</v>
      </c>
      <c r="K60" s="407" t="s">
        <v>57</v>
      </c>
      <c r="L60" s="407" t="s">
        <v>63</v>
      </c>
      <c r="M60" s="407">
        <v>2</v>
      </c>
      <c r="O60" s="458">
        <v>3</v>
      </c>
      <c r="P60" s="877" t="s">
        <v>220</v>
      </c>
      <c r="Q60" s="877"/>
      <c r="R60" s="877"/>
      <c r="S60" s="877"/>
      <c r="T60" s="878"/>
      <c r="V60" s="352" t="s">
        <v>132</v>
      </c>
      <c r="W60" s="352" t="s">
        <v>110</v>
      </c>
      <c r="X60" s="352" t="str">
        <f t="shared" si="11"/>
        <v>Kenneth Vermeer (k)</v>
      </c>
      <c r="Y60" s="109">
        <f t="shared" si="15"/>
        <v>1</v>
      </c>
      <c r="Z60" s="352" t="str">
        <f t="shared" si="16"/>
        <v>Colombia</v>
      </c>
      <c r="AA60" s="352" t="str">
        <f t="shared" si="16"/>
        <v>Uruguay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7"/>
        <v>1</v>
      </c>
      <c r="AG60" s="108">
        <f t="shared" si="18"/>
        <v>0</v>
      </c>
      <c r="AH60" s="108">
        <f t="shared" si="19"/>
        <v>1</v>
      </c>
      <c r="AI60" s="108">
        <f t="shared" si="20"/>
        <v>0</v>
      </c>
      <c r="AJ60" s="108">
        <f t="shared" si="21"/>
        <v>0</v>
      </c>
      <c r="AK60" s="108">
        <f t="shared" si="22"/>
        <v>0</v>
      </c>
      <c r="AL60" s="108">
        <f t="shared" si="23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4"/>
        <v>3</v>
      </c>
    </row>
    <row r="61" spans="2:54">
      <c r="B61" s="364">
        <v>51</v>
      </c>
      <c r="C61" s="465">
        <v>41819</v>
      </c>
      <c r="D61" s="464" t="str">
        <f t="shared" si="13"/>
        <v>Spanje</v>
      </c>
      <c r="E61" s="367" t="s">
        <v>9</v>
      </c>
      <c r="F61" s="406" t="str">
        <f t="shared" si="14"/>
        <v>Kroatië</v>
      </c>
      <c r="G61" s="435">
        <v>2</v>
      </c>
      <c r="H61" s="367" t="s">
        <v>9</v>
      </c>
      <c r="I61" s="447">
        <v>0</v>
      </c>
      <c r="J61" s="448">
        <v>1</v>
      </c>
      <c r="K61" s="407" t="s">
        <v>52</v>
      </c>
      <c r="L61" s="407" t="s">
        <v>49</v>
      </c>
      <c r="M61" s="407"/>
      <c r="O61" s="458">
        <v>4</v>
      </c>
      <c r="P61" s="877" t="s">
        <v>219</v>
      </c>
      <c r="Q61" s="877"/>
      <c r="R61" s="877"/>
      <c r="S61" s="877"/>
      <c r="T61" s="878"/>
      <c r="V61" s="352" t="s">
        <v>132</v>
      </c>
      <c r="W61" s="352" t="s">
        <v>191</v>
      </c>
      <c r="X61" s="352" t="str">
        <f t="shared" si="11"/>
        <v>Tim Krul (k)</v>
      </c>
      <c r="Y61" s="109">
        <f t="shared" si="15"/>
        <v>6</v>
      </c>
      <c r="Z61" s="352" t="str">
        <f t="shared" si="16"/>
        <v>Spanje</v>
      </c>
      <c r="AA61" s="352" t="str">
        <f t="shared" si="16"/>
        <v>Kroatië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7"/>
        <v>6</v>
      </c>
      <c r="AG61" s="108">
        <f t="shared" si="18"/>
        <v>1</v>
      </c>
      <c r="AH61" s="108">
        <f t="shared" si="19"/>
        <v>0</v>
      </c>
      <c r="AI61" s="108">
        <f t="shared" si="20"/>
        <v>0</v>
      </c>
      <c r="AJ61" s="108">
        <f t="shared" si="21"/>
        <v>5</v>
      </c>
      <c r="AK61" s="108">
        <f t="shared" si="22"/>
        <v>0</v>
      </c>
      <c r="AL61" s="108">
        <f t="shared" si="23"/>
        <v>0</v>
      </c>
      <c r="AZ61" s="138" t="str">
        <f>Uitslag!P61</f>
        <v>Ron Vlaar (v)</v>
      </c>
      <c r="BA61" s="140">
        <f t="shared" si="12"/>
        <v>0</v>
      </c>
      <c r="BB61" s="139">
        <f t="shared" si="24"/>
        <v>0</v>
      </c>
    </row>
    <row r="62" spans="2:54">
      <c r="B62" s="376">
        <v>52</v>
      </c>
      <c r="C62" s="466">
        <v>41819</v>
      </c>
      <c r="D62" s="464" t="str">
        <f t="shared" si="13"/>
        <v>Italië</v>
      </c>
      <c r="E62" s="379" t="s">
        <v>9</v>
      </c>
      <c r="F62" s="409" t="str">
        <f t="shared" si="14"/>
        <v>Griekenland</v>
      </c>
      <c r="G62" s="437">
        <v>0</v>
      </c>
      <c r="H62" s="379" t="s">
        <v>9</v>
      </c>
      <c r="I62" s="449">
        <v>0</v>
      </c>
      <c r="J62" s="450">
        <v>1</v>
      </c>
      <c r="K62" s="407" t="s">
        <v>62</v>
      </c>
      <c r="L62" s="407" t="s">
        <v>58</v>
      </c>
      <c r="M62" s="407"/>
      <c r="O62" s="458">
        <v>5</v>
      </c>
      <c r="P62" s="877" t="s">
        <v>211</v>
      </c>
      <c r="Q62" s="877"/>
      <c r="R62" s="877"/>
      <c r="S62" s="877"/>
      <c r="T62" s="878"/>
      <c r="V62" s="352" t="s">
        <v>132</v>
      </c>
      <c r="W62" s="352" t="s">
        <v>192</v>
      </c>
      <c r="X62" s="352" t="str">
        <f t="shared" si="11"/>
        <v>Maarten Stekelenburg (k)</v>
      </c>
      <c r="Y62" s="109">
        <f t="shared" si="15"/>
        <v>5</v>
      </c>
      <c r="Z62" s="352" t="str">
        <f t="shared" si="16"/>
        <v>Italië</v>
      </c>
      <c r="AA62" s="352" t="str">
        <f t="shared" si="16"/>
        <v>Griekenland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7"/>
        <v>5</v>
      </c>
      <c r="AG62" s="108">
        <f t="shared" si="18"/>
        <v>0</v>
      </c>
      <c r="AH62" s="108">
        <f t="shared" si="19"/>
        <v>0</v>
      </c>
      <c r="AI62" s="108">
        <f t="shared" si="20"/>
        <v>0</v>
      </c>
      <c r="AJ62" s="108">
        <f t="shared" si="21"/>
        <v>0</v>
      </c>
      <c r="AK62" s="108">
        <f t="shared" si="22"/>
        <v>0</v>
      </c>
      <c r="AL62" s="108">
        <f t="shared" si="23"/>
        <v>5</v>
      </c>
      <c r="AZ62" s="138" t="str">
        <f>Uitslag!P62</f>
        <v>Bruno Martins Indi (v)</v>
      </c>
      <c r="BA62" s="140">
        <f t="shared" si="12"/>
        <v>3</v>
      </c>
      <c r="BB62" s="139">
        <f t="shared" si="24"/>
        <v>3</v>
      </c>
    </row>
    <row r="63" spans="2:54">
      <c r="B63" s="364">
        <v>53</v>
      </c>
      <c r="C63" s="465">
        <v>41820</v>
      </c>
      <c r="D63" s="459" t="str">
        <f t="shared" si="13"/>
        <v>Frankrijk</v>
      </c>
      <c r="E63" s="367" t="s">
        <v>9</v>
      </c>
      <c r="F63" s="406" t="str">
        <f t="shared" si="14"/>
        <v>Bosnië H.</v>
      </c>
      <c r="G63" s="435">
        <v>2</v>
      </c>
      <c r="H63" s="367" t="s">
        <v>9</v>
      </c>
      <c r="I63" s="447">
        <v>2</v>
      </c>
      <c r="J63" s="448">
        <v>1</v>
      </c>
      <c r="K63" s="407" t="s">
        <v>67</v>
      </c>
      <c r="L63" s="407" t="s">
        <v>73</v>
      </c>
      <c r="M63" s="407"/>
      <c r="O63" s="458">
        <v>6</v>
      </c>
      <c r="P63" s="877" t="s">
        <v>213</v>
      </c>
      <c r="Q63" s="877"/>
      <c r="R63" s="877"/>
      <c r="S63" s="877"/>
      <c r="T63" s="878"/>
      <c r="V63" s="352" t="s">
        <v>132</v>
      </c>
      <c r="W63" s="352" t="s">
        <v>193</v>
      </c>
      <c r="X63" s="352" t="str">
        <f t="shared" si="11"/>
        <v>Michel Vorm (k)</v>
      </c>
      <c r="Y63" s="109">
        <f t="shared" si="15"/>
        <v>1</v>
      </c>
      <c r="Z63" s="352" t="str">
        <f t="shared" si="16"/>
        <v>Frankrijk</v>
      </c>
      <c r="AA63" s="352" t="str">
        <f t="shared" si="16"/>
        <v>Bosnië H.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7"/>
        <v>1</v>
      </c>
      <c r="AG63" s="108">
        <f t="shared" si="18"/>
        <v>1</v>
      </c>
      <c r="AH63" s="108">
        <f t="shared" si="19"/>
        <v>0</v>
      </c>
      <c r="AI63" s="108">
        <f t="shared" si="20"/>
        <v>0</v>
      </c>
      <c r="AJ63" s="108">
        <f t="shared" si="21"/>
        <v>0</v>
      </c>
      <c r="AK63" s="108">
        <f t="shared" si="22"/>
        <v>0</v>
      </c>
      <c r="AL63" s="108">
        <f t="shared" si="23"/>
        <v>0</v>
      </c>
      <c r="AZ63" s="138" t="str">
        <f>Uitslag!P63</f>
        <v>Daley Blind (v)</v>
      </c>
      <c r="BA63" s="140">
        <f t="shared" si="12"/>
        <v>3</v>
      </c>
      <c r="BB63" s="139">
        <f t="shared" si="24"/>
        <v>3</v>
      </c>
    </row>
    <row r="64" spans="2:54">
      <c r="B64" s="376">
        <v>54</v>
      </c>
      <c r="C64" s="466">
        <v>41820</v>
      </c>
      <c r="D64" s="460" t="str">
        <f t="shared" si="13"/>
        <v>Portugal</v>
      </c>
      <c r="E64" s="379" t="s">
        <v>9</v>
      </c>
      <c r="F64" s="409" t="str">
        <f t="shared" si="14"/>
        <v>Rusland</v>
      </c>
      <c r="G64" s="437">
        <v>2</v>
      </c>
      <c r="H64" s="379" t="s">
        <v>9</v>
      </c>
      <c r="I64" s="449">
        <v>0</v>
      </c>
      <c r="J64" s="450">
        <v>1</v>
      </c>
      <c r="K64" s="407" t="s">
        <v>77</v>
      </c>
      <c r="L64" s="407" t="s">
        <v>83</v>
      </c>
      <c r="M64" s="407"/>
      <c r="O64" s="458">
        <v>7</v>
      </c>
      <c r="P64" s="877" t="s">
        <v>221</v>
      </c>
      <c r="Q64" s="877"/>
      <c r="R64" s="877"/>
      <c r="S64" s="877"/>
      <c r="T64" s="878"/>
      <c r="V64" s="352" t="s">
        <v>133</v>
      </c>
      <c r="W64" s="352" t="s">
        <v>112</v>
      </c>
      <c r="X64" s="352" t="str">
        <f t="shared" si="11"/>
        <v>Joël Veltman (v)</v>
      </c>
      <c r="Y64" s="109">
        <f t="shared" si="15"/>
        <v>1</v>
      </c>
      <c r="Z64" s="352" t="str">
        <f t="shared" si="16"/>
        <v>Portugal</v>
      </c>
      <c r="AA64" s="352" t="str">
        <f t="shared" si="16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7"/>
        <v>1</v>
      </c>
      <c r="AG64" s="108">
        <f t="shared" si="18"/>
        <v>0</v>
      </c>
      <c r="AH64" s="108">
        <f t="shared" si="19"/>
        <v>1</v>
      </c>
      <c r="AI64" s="108">
        <f t="shared" si="20"/>
        <v>0</v>
      </c>
      <c r="AJ64" s="108">
        <f t="shared" si="21"/>
        <v>0</v>
      </c>
      <c r="AK64" s="108">
        <f t="shared" si="22"/>
        <v>0</v>
      </c>
      <c r="AL64" s="108">
        <f t="shared" si="23"/>
        <v>0</v>
      </c>
      <c r="AZ64" s="138" t="str">
        <f>Uitslag!P64</f>
        <v>Wesley Sneijder (m)</v>
      </c>
      <c r="BA64" s="140">
        <f t="shared" si="12"/>
        <v>0</v>
      </c>
      <c r="BB64" s="139">
        <f t="shared" si="24"/>
        <v>0</v>
      </c>
    </row>
    <row r="65" spans="2:54">
      <c r="B65" s="370">
        <v>55</v>
      </c>
      <c r="C65" s="467">
        <v>41821</v>
      </c>
      <c r="D65" s="459" t="str">
        <f t="shared" si="13"/>
        <v>Argentinië</v>
      </c>
      <c r="E65" s="373" t="s">
        <v>9</v>
      </c>
      <c r="F65" s="410" t="str">
        <f t="shared" si="14"/>
        <v>Zwitserland</v>
      </c>
      <c r="G65" s="436">
        <v>2</v>
      </c>
      <c r="H65" s="373" t="s">
        <v>9</v>
      </c>
      <c r="I65" s="451">
        <v>0</v>
      </c>
      <c r="J65" s="452">
        <v>1</v>
      </c>
      <c r="K65" s="407" t="s">
        <v>72</v>
      </c>
      <c r="L65" s="407" t="s">
        <v>68</v>
      </c>
      <c r="M65" s="407"/>
      <c r="O65" s="458">
        <v>8</v>
      </c>
      <c r="P65" s="877" t="s">
        <v>214</v>
      </c>
      <c r="Q65" s="877"/>
      <c r="R65" s="877"/>
      <c r="S65" s="877"/>
      <c r="T65" s="878"/>
      <c r="V65" s="352" t="s">
        <v>133</v>
      </c>
      <c r="W65" s="352" t="s">
        <v>109</v>
      </c>
      <c r="X65" s="352" t="str">
        <f t="shared" si="11"/>
        <v>Daley Blind (v)</v>
      </c>
      <c r="Y65" s="109">
        <f t="shared" si="15"/>
        <v>1</v>
      </c>
      <c r="Z65" s="352" t="str">
        <f t="shared" si="16"/>
        <v>Argentinië</v>
      </c>
      <c r="AA65" s="352" t="str">
        <f t="shared" si="16"/>
        <v>Zwitserland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7"/>
        <v>1</v>
      </c>
      <c r="AG65" s="108">
        <f t="shared" si="18"/>
        <v>0</v>
      </c>
      <c r="AH65" s="108">
        <f t="shared" si="19"/>
        <v>1</v>
      </c>
      <c r="AI65" s="108">
        <f t="shared" si="20"/>
        <v>0</v>
      </c>
      <c r="AJ65" s="108">
        <f t="shared" si="21"/>
        <v>0</v>
      </c>
      <c r="AK65" s="108">
        <f t="shared" si="22"/>
        <v>0</v>
      </c>
      <c r="AL65" s="108">
        <f t="shared" si="23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4"/>
        <v>3</v>
      </c>
    </row>
    <row r="66" spans="2:54" ht="15.75" thickBot="1">
      <c r="B66" s="385">
        <v>56</v>
      </c>
      <c r="C66" s="462">
        <v>41821</v>
      </c>
      <c r="D66" s="461" t="str">
        <f t="shared" si="13"/>
        <v>België</v>
      </c>
      <c r="E66" s="388" t="s">
        <v>9</v>
      </c>
      <c r="F66" s="412" t="str">
        <f t="shared" si="14"/>
        <v>Duitsland</v>
      </c>
      <c r="G66" s="438">
        <v>1</v>
      </c>
      <c r="H66" s="388" t="s">
        <v>9</v>
      </c>
      <c r="I66" s="453">
        <v>2</v>
      </c>
      <c r="J66" s="454">
        <v>2</v>
      </c>
      <c r="K66" s="407" t="s">
        <v>82</v>
      </c>
      <c r="L66" s="407" t="s">
        <v>78</v>
      </c>
      <c r="M66" s="407"/>
      <c r="O66" s="458">
        <v>9</v>
      </c>
      <c r="P66" s="877" t="s">
        <v>282</v>
      </c>
      <c r="Q66" s="877"/>
      <c r="R66" s="877"/>
      <c r="S66" s="877"/>
      <c r="T66" s="878"/>
      <c r="V66" s="352" t="s">
        <v>133</v>
      </c>
      <c r="W66" s="352" t="s">
        <v>115</v>
      </c>
      <c r="X66" s="352" t="str">
        <f t="shared" si="11"/>
        <v>Daryl Janmaat (v)</v>
      </c>
      <c r="Y66" s="109">
        <f t="shared" si="15"/>
        <v>0</v>
      </c>
      <c r="Z66" s="352" t="str">
        <f>IF(K66=""," ",VLOOKUP(K66,$T$9:$V$54,3,FALSE))</f>
        <v>België</v>
      </c>
      <c r="AA66" s="352" t="str">
        <f>IF(L66=""," ",VLOOKUP(L66,$T$9:$V$54,3,FALSE))</f>
        <v>Duitsland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7"/>
        <v>0</v>
      </c>
      <c r="AG66" s="108">
        <f t="shared" si="18"/>
        <v>0</v>
      </c>
      <c r="AH66" s="108">
        <f t="shared" si="19"/>
        <v>0</v>
      </c>
      <c r="AI66" s="108">
        <f t="shared" si="20"/>
        <v>0</v>
      </c>
      <c r="AJ66" s="108">
        <f t="shared" si="21"/>
        <v>0</v>
      </c>
      <c r="AK66" s="108">
        <f t="shared" si="22"/>
        <v>0</v>
      </c>
      <c r="AL66" s="108">
        <f t="shared" si="23"/>
        <v>0</v>
      </c>
      <c r="AZ66" s="138" t="str">
        <f>Uitslag!P66</f>
        <v>Jonathan de Guzman (m)</v>
      </c>
      <c r="BA66" s="140">
        <f t="shared" si="12"/>
        <v>0</v>
      </c>
      <c r="BB66" s="139">
        <f t="shared" si="24"/>
        <v>0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O67" s="458">
        <v>10</v>
      </c>
      <c r="P67" s="877" t="s">
        <v>216</v>
      </c>
      <c r="Q67" s="877"/>
      <c r="R67" s="877"/>
      <c r="S67" s="877"/>
      <c r="T67" s="878"/>
      <c r="V67" s="352" t="s">
        <v>133</v>
      </c>
      <c r="W67" s="352" t="s">
        <v>118</v>
      </c>
      <c r="X67" s="352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4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79"/>
      <c r="K68" s="353"/>
      <c r="L68" s="353"/>
      <c r="M68" s="353"/>
      <c r="O68" s="458">
        <v>11</v>
      </c>
      <c r="P68" s="877" t="s">
        <v>215</v>
      </c>
      <c r="Q68" s="877"/>
      <c r="R68" s="877"/>
      <c r="S68" s="877"/>
      <c r="T68" s="878"/>
      <c r="V68" s="352" t="s">
        <v>133</v>
      </c>
      <c r="W68" s="352" t="s">
        <v>119</v>
      </c>
      <c r="X68" s="352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4"/>
        <v>3</v>
      </c>
    </row>
    <row r="69" spans="2:54">
      <c r="B69" s="428" t="s">
        <v>1</v>
      </c>
      <c r="C69" s="429" t="s">
        <v>2</v>
      </c>
      <c r="D69" s="476" t="s">
        <v>3</v>
      </c>
      <c r="E69" s="431"/>
      <c r="F69" s="477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V69" s="352" t="s">
        <v>133</v>
      </c>
      <c r="W69" s="352" t="s">
        <v>121</v>
      </c>
      <c r="X69" s="352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24</v>
      </c>
      <c r="BB69" s="139" t="str">
        <f>IF(AND(BA69&lt;&gt;"",BA69=33),15,"nvt")</f>
        <v>nvt</v>
      </c>
    </row>
    <row r="70" spans="2:54">
      <c r="B70" s="364">
        <v>57</v>
      </c>
      <c r="C70" s="365">
        <v>41824</v>
      </c>
      <c r="D70" s="405" t="str">
        <f>IF(J63="","Winnaar 53",IF(J63=1,D63,F63))</f>
        <v>Frankrijk</v>
      </c>
      <c r="E70" s="367" t="s">
        <v>9</v>
      </c>
      <c r="F70" s="406" t="str">
        <f>IF(J64="","Winnaar 54",IF(J64=1,D64,F64))</f>
        <v>Portugal</v>
      </c>
      <c r="G70" s="435">
        <v>0</v>
      </c>
      <c r="H70" s="367" t="s">
        <v>9</v>
      </c>
      <c r="I70" s="447">
        <v>2</v>
      </c>
      <c r="J70" s="448">
        <v>2</v>
      </c>
      <c r="K70" s="353"/>
      <c r="L70" s="353"/>
      <c r="M70" s="353"/>
      <c r="V70" s="352" t="s">
        <v>133</v>
      </c>
      <c r="W70" s="352" t="s">
        <v>126</v>
      </c>
      <c r="X70" s="352" t="str">
        <f t="shared" si="11"/>
        <v>Karim Rekik (v)</v>
      </c>
      <c r="Y70" s="109">
        <f>AF70</f>
        <v>6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6</v>
      </c>
      <c r="AG70" s="108">
        <f>IF(AC70="",0,(IF(G70=AC70,1,0)))</f>
        <v>1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Brazilië</v>
      </c>
      <c r="E71" s="379" t="s">
        <v>9</v>
      </c>
      <c r="F71" s="409" t="str">
        <f>IF(J60="","Winnaar 50",IF(J60=1,D60,F60))</f>
        <v>Colombia</v>
      </c>
      <c r="G71" s="437">
        <v>2</v>
      </c>
      <c r="H71" s="379" t="s">
        <v>9</v>
      </c>
      <c r="I71" s="449">
        <v>0</v>
      </c>
      <c r="J71" s="450">
        <v>1</v>
      </c>
      <c r="K71" s="353"/>
      <c r="L71" s="353"/>
      <c r="M71" s="353"/>
      <c r="V71" s="352" t="s">
        <v>133</v>
      </c>
      <c r="W71" s="352" t="s">
        <v>194</v>
      </c>
      <c r="X71" s="352" t="str">
        <f t="shared" si="11"/>
        <v>Ron Vlaar (v)</v>
      </c>
      <c r="Y71" s="109">
        <f>AF71</f>
        <v>6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6</v>
      </c>
      <c r="AG71" s="108">
        <f>IF(AC71="",0,(IF(G71=AC71,1,0)))</f>
        <v>1</v>
      </c>
      <c r="AH71" s="108">
        <f>IF(AD71="",0,(IF(I71=AD71,1,0)))</f>
        <v>0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Argentinië</v>
      </c>
      <c r="E72" s="367" t="s">
        <v>9</v>
      </c>
      <c r="F72" s="406" t="str">
        <f>IF(J66="","Winnaar 56",IF(J66=1,D66,F66))</f>
        <v>Duitsland</v>
      </c>
      <c r="G72" s="435">
        <v>1</v>
      </c>
      <c r="H72" s="367" t="s">
        <v>9</v>
      </c>
      <c r="I72" s="447">
        <v>3</v>
      </c>
      <c r="J72" s="448">
        <v>2</v>
      </c>
      <c r="K72" s="353"/>
      <c r="L72" s="353"/>
      <c r="M72" s="353"/>
      <c r="V72" s="352" t="s">
        <v>133</v>
      </c>
      <c r="W72" s="352" t="s">
        <v>195</v>
      </c>
      <c r="X72" s="352" t="str">
        <f t="shared" si="11"/>
        <v>John Heitinga (v)</v>
      </c>
      <c r="Y72" s="109">
        <f>AF72</f>
        <v>1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1</v>
      </c>
      <c r="AG72" s="108">
        <f>IF(AC72="",0,(IF(G72=AC72,1,0)))</f>
        <v>1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0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Spanje</v>
      </c>
      <c r="E73" s="388" t="s">
        <v>9</v>
      </c>
      <c r="F73" s="412" t="str">
        <f>IF(J62="","Winnaar 52",IF(J62=1,D62,F62))</f>
        <v>Italië</v>
      </c>
      <c r="G73" s="438">
        <v>2</v>
      </c>
      <c r="H73" s="388" t="s">
        <v>9</v>
      </c>
      <c r="I73" s="453">
        <v>0</v>
      </c>
      <c r="J73" s="454">
        <v>1</v>
      </c>
      <c r="K73" s="353"/>
      <c r="L73" s="353"/>
      <c r="M73" s="353"/>
      <c r="V73" s="352" t="s">
        <v>133</v>
      </c>
      <c r="W73" s="352" t="s">
        <v>196</v>
      </c>
      <c r="X73" s="352" t="str">
        <f t="shared" si="11"/>
        <v>Urby Emanuelson (v)</v>
      </c>
      <c r="Y73" s="109">
        <f>AF73</f>
        <v>1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1</v>
      </c>
      <c r="AG73" s="108">
        <f>IF(AC73="",0,(IF(G73=AC73,1,0)))</f>
        <v>0</v>
      </c>
      <c r="AH73" s="108">
        <f>IF(AD73="",0,(IF(I73=AD73,1,0)))</f>
        <v>1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V74" s="352" t="s">
        <v>133</v>
      </c>
      <c r="W74" s="352" t="s">
        <v>197</v>
      </c>
      <c r="X74" s="352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79"/>
      <c r="K75" s="353"/>
      <c r="L75" s="353"/>
      <c r="M75" s="353"/>
      <c r="V75" s="352" t="s">
        <v>133</v>
      </c>
      <c r="W75" s="352" t="s">
        <v>198</v>
      </c>
      <c r="X75" s="352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76" t="s">
        <v>3</v>
      </c>
      <c r="E76" s="431"/>
      <c r="F76" s="477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V76" s="352" t="s">
        <v>133</v>
      </c>
      <c r="W76" s="352" t="s">
        <v>202</v>
      </c>
      <c r="X76" s="352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Portugal</v>
      </c>
      <c r="E77" s="367" t="s">
        <v>9</v>
      </c>
      <c r="F77" s="406" t="str">
        <f>IF(J71="","Winnaar 58",IF(J71=1,D71,F71))</f>
        <v>Brazilië</v>
      </c>
      <c r="G77" s="435">
        <v>1</v>
      </c>
      <c r="H77" s="367" t="s">
        <v>9</v>
      </c>
      <c r="I77" s="447">
        <v>1</v>
      </c>
      <c r="J77" s="448">
        <v>1</v>
      </c>
      <c r="K77" s="353"/>
      <c r="L77" s="353"/>
      <c r="M77" s="353"/>
      <c r="V77" s="352" t="s">
        <v>134</v>
      </c>
      <c r="W77" s="352" t="s">
        <v>203</v>
      </c>
      <c r="X77" s="352" t="str">
        <f t="shared" si="11"/>
        <v>Marco van Ginkel (m)</v>
      </c>
      <c r="Y77" s="109">
        <f>AF77</f>
        <v>1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1</v>
      </c>
      <c r="AG77" s="108">
        <f>IF(AC77="",0,(IF(G77=AC77,1,0)))</f>
        <v>0</v>
      </c>
      <c r="AH77" s="108">
        <f>IF(AD77="",0,(IF(I77=AD77,1,0)))</f>
        <v>1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Duitsland</v>
      </c>
      <c r="E78" s="388" t="s">
        <v>9</v>
      </c>
      <c r="F78" s="412" t="str">
        <f>IF(J73="","Winnaar 60",IF(J73=1,D73,F73))</f>
        <v>Spanje</v>
      </c>
      <c r="G78" s="438">
        <v>2</v>
      </c>
      <c r="H78" s="388" t="s">
        <v>9</v>
      </c>
      <c r="I78" s="453">
        <v>2</v>
      </c>
      <c r="J78" s="454">
        <v>1</v>
      </c>
      <c r="K78" s="353"/>
      <c r="L78" s="353"/>
      <c r="M78" s="353"/>
      <c r="V78" s="352" t="s">
        <v>134</v>
      </c>
      <c r="W78" s="352" t="s">
        <v>199</v>
      </c>
      <c r="X78" s="352" t="str">
        <f t="shared" si="11"/>
        <v>Leroy Fer (m)</v>
      </c>
      <c r="Y78" s="109">
        <f>AF78</f>
        <v>5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5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5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V79" s="352" t="s">
        <v>134</v>
      </c>
      <c r="W79" s="352" t="s">
        <v>114</v>
      </c>
      <c r="X79" s="352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79"/>
      <c r="K80" s="353"/>
      <c r="L80" s="353"/>
      <c r="M80" s="353"/>
      <c r="V80" s="352" t="s">
        <v>134</v>
      </c>
      <c r="W80" s="352" t="s">
        <v>117</v>
      </c>
      <c r="X80" s="352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76" t="s">
        <v>3</v>
      </c>
      <c r="E81" s="431"/>
      <c r="F81" s="477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V81" s="352" t="s">
        <v>134</v>
      </c>
      <c r="W81" s="352" t="s">
        <v>120</v>
      </c>
      <c r="X81" s="352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Brazilië</v>
      </c>
      <c r="E82" s="355" t="s">
        <v>9</v>
      </c>
      <c r="F82" s="415" t="str">
        <f>IF(J78="","Verliezer 62",IF(J78=1,F78,D78))</f>
        <v>Spanje</v>
      </c>
      <c r="G82" s="455">
        <v>1</v>
      </c>
      <c r="H82" s="355" t="s">
        <v>9</v>
      </c>
      <c r="I82" s="456">
        <v>1</v>
      </c>
      <c r="J82" s="457">
        <v>2</v>
      </c>
      <c r="K82" s="353"/>
      <c r="L82" s="353"/>
      <c r="M82" s="353"/>
      <c r="V82" s="352" t="s">
        <v>134</v>
      </c>
      <c r="W82" s="352" t="s">
        <v>125</v>
      </c>
      <c r="X82" s="35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V83" s="352" t="s">
        <v>134</v>
      </c>
      <c r="W83" s="352" t="s">
        <v>136</v>
      </c>
      <c r="X83" s="352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79"/>
      <c r="K84" s="353"/>
      <c r="L84" s="353"/>
      <c r="M84" s="353"/>
      <c r="V84" s="352" t="s">
        <v>134</v>
      </c>
      <c r="W84" s="352" t="s">
        <v>137</v>
      </c>
      <c r="X84" s="352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76" t="s">
        <v>3</v>
      </c>
      <c r="E85" s="431"/>
      <c r="F85" s="477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V85" s="352" t="s">
        <v>134</v>
      </c>
      <c r="W85" s="352" t="s">
        <v>138</v>
      </c>
      <c r="X85" s="352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Portugal</v>
      </c>
      <c r="E86" s="355" t="s">
        <v>9</v>
      </c>
      <c r="F86" s="415" t="str">
        <f>IF(J78="","Winnaar 62",IF(J78=1,D78,F78))</f>
        <v>Duitsland</v>
      </c>
      <c r="G86" s="455">
        <v>1</v>
      </c>
      <c r="H86" s="355" t="s">
        <v>9</v>
      </c>
      <c r="I86" s="456">
        <v>1</v>
      </c>
      <c r="J86" s="457">
        <v>1</v>
      </c>
      <c r="K86" s="353"/>
      <c r="L86" s="353"/>
      <c r="M86" s="353"/>
      <c r="V86" s="352" t="s">
        <v>134</v>
      </c>
      <c r="W86" s="352" t="s">
        <v>139</v>
      </c>
      <c r="X86" s="352" t="str">
        <f t="shared" si="11"/>
        <v>Nigel de Jong (m)</v>
      </c>
      <c r="Y86" s="109">
        <f>AF86</f>
        <v>5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5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5</v>
      </c>
    </row>
    <row r="87" spans="2:50">
      <c r="B87" s="353"/>
      <c r="C87" s="129"/>
      <c r="D87" s="392"/>
      <c r="E87" s="353"/>
      <c r="F87" s="392"/>
      <c r="G87" s="353"/>
      <c r="H87" s="353"/>
      <c r="I87" s="353"/>
      <c r="J87" s="353"/>
      <c r="K87" s="353"/>
      <c r="L87" s="353"/>
      <c r="M87" s="353"/>
      <c r="V87" s="352" t="s">
        <v>135</v>
      </c>
      <c r="W87" s="352" t="s">
        <v>205</v>
      </c>
      <c r="X87" s="352" t="str">
        <f t="shared" si="11"/>
        <v>Ricky van Wolfswinkel (a)</v>
      </c>
      <c r="AP87" s="136" t="s">
        <v>102</v>
      </c>
    </row>
    <row r="88" spans="2:50">
      <c r="B88" s="353"/>
      <c r="C88" s="129"/>
      <c r="D88" s="392"/>
      <c r="E88" s="353"/>
      <c r="F88" s="392"/>
      <c r="G88" s="353"/>
      <c r="H88" s="353"/>
      <c r="I88" s="353"/>
      <c r="J88" s="353"/>
      <c r="K88" s="353"/>
      <c r="L88" s="353"/>
      <c r="M88" s="353"/>
      <c r="V88" s="352" t="s">
        <v>135</v>
      </c>
      <c r="W88" s="352" t="s">
        <v>204</v>
      </c>
      <c r="X88" s="352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458"/>
    </row>
    <row r="89" spans="2:50" ht="20.25">
      <c r="C89" s="874" t="s">
        <v>101</v>
      </c>
      <c r="D89" s="871"/>
      <c r="E89" s="873" t="str">
        <f>IF(J86=1,D86,IF(J86=2,F86,"Wie zal het worden?"))</f>
        <v>Portugal</v>
      </c>
      <c r="F89" s="873"/>
      <c r="G89" s="873"/>
      <c r="H89" s="873"/>
      <c r="I89" s="873"/>
      <c r="J89" s="873"/>
      <c r="K89" s="353"/>
      <c r="L89" s="353"/>
      <c r="M89" s="353"/>
      <c r="V89" s="352" t="s">
        <v>135</v>
      </c>
      <c r="W89" s="352" t="s">
        <v>201</v>
      </c>
      <c r="X89" s="352" t="str">
        <f t="shared" si="11"/>
        <v>Jermain Lens (a)</v>
      </c>
      <c r="AP89" s="109">
        <f>AU89</f>
        <v>0</v>
      </c>
      <c r="AQ89" s="131">
        <v>1</v>
      </c>
      <c r="AR89" s="904" t="str">
        <f>Uitslag!E89</f>
        <v>Duitsland</v>
      </c>
      <c r="AS89" s="905"/>
      <c r="AT89" s="906"/>
      <c r="AU89" s="352">
        <f>SUM(AV89:AX89)</f>
        <v>0</v>
      </c>
      <c r="AV89" s="352">
        <f>IF(AR89=0,0,IF(E89=AR89,50,0))</f>
        <v>0</v>
      </c>
      <c r="AW89" s="352">
        <f>IF(E89=0,0,IF(OR(E89=AR90),15,0))</f>
        <v>0</v>
      </c>
      <c r="AX89" s="352">
        <f>IF(E89=0,0,IF(OR(E89=AR91,E89=AR92),5,0))</f>
        <v>0</v>
      </c>
    </row>
    <row r="90" spans="2:50">
      <c r="C90" s="870">
        <v>2</v>
      </c>
      <c r="D90" s="871"/>
      <c r="E90" s="872" t="str">
        <f>IF(J86=2,D86,IF(J86=1,F86,"Wie wordt 2de?"))</f>
        <v>Duitsland</v>
      </c>
      <c r="F90" s="872"/>
      <c r="G90" s="872"/>
      <c r="H90" s="872"/>
      <c r="I90" s="872"/>
      <c r="J90" s="872"/>
      <c r="V90" s="352" t="s">
        <v>135</v>
      </c>
      <c r="W90" s="352" t="s">
        <v>200</v>
      </c>
      <c r="X90" s="352" t="str">
        <f t="shared" si="11"/>
        <v>Dirk Kuyt (a)</v>
      </c>
      <c r="AP90" s="109">
        <f>AU90</f>
        <v>15</v>
      </c>
      <c r="AQ90" s="131">
        <v>2</v>
      </c>
      <c r="AR90" s="904" t="str">
        <f>Uitslag!E90</f>
        <v>Argentinië</v>
      </c>
      <c r="AS90" s="905"/>
      <c r="AT90" s="906"/>
      <c r="AU90" s="352">
        <f>SUM(AV90:AX90)</f>
        <v>15</v>
      </c>
      <c r="AV90" s="352">
        <f>IF(AR90=0,0,IF(AR90=E90,25,0))</f>
        <v>0</v>
      </c>
      <c r="AW90" s="352">
        <f>IF(E90=0,0,IF(OR(E90=AR89,),15,0))</f>
        <v>15</v>
      </c>
      <c r="AX90" s="352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Spanje</v>
      </c>
      <c r="F91" s="872"/>
      <c r="G91" s="872"/>
      <c r="H91" s="872"/>
      <c r="I91" s="872"/>
      <c r="J91" s="872"/>
      <c r="V91" s="352" t="s">
        <v>135</v>
      </c>
      <c r="W91" s="352" t="s">
        <v>128</v>
      </c>
      <c r="X91" s="352" t="str">
        <f t="shared" si="11"/>
        <v>Jürgen Locadia (a)</v>
      </c>
      <c r="AP91" s="109">
        <f>AU91</f>
        <v>0</v>
      </c>
      <c r="AQ91" s="131">
        <v>3</v>
      </c>
      <c r="AR91" s="904" t="str">
        <f>Uitslag!E91</f>
        <v>Nederland</v>
      </c>
      <c r="AS91" s="905"/>
      <c r="AT91" s="906"/>
      <c r="AU91" s="352">
        <f>SUM(AV91:AX91)</f>
        <v>0</v>
      </c>
      <c r="AV91" s="352">
        <f>IF(AR91=0,0,IF(AR91=E91,15,0))</f>
        <v>0</v>
      </c>
      <c r="AW91" s="352">
        <f>IF(E91=0,0,IF(OR(E91=AR92),10,0))</f>
        <v>0</v>
      </c>
      <c r="AX91" s="352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Brazilië</v>
      </c>
      <c r="F92" s="872"/>
      <c r="G92" s="872"/>
      <c r="H92" s="872"/>
      <c r="I92" s="872"/>
      <c r="J92" s="872"/>
      <c r="V92" s="352" t="s">
        <v>135</v>
      </c>
      <c r="W92" s="352" t="s">
        <v>127</v>
      </c>
      <c r="X92" s="352" t="str">
        <f t="shared" si="11"/>
        <v>Memphis Depay (a)</v>
      </c>
      <c r="AP92" s="109">
        <f>AU92</f>
        <v>15</v>
      </c>
      <c r="AQ92" s="131">
        <v>4</v>
      </c>
      <c r="AR92" s="904" t="str">
        <f>Uitslag!E92</f>
        <v>Brazilië</v>
      </c>
      <c r="AS92" s="905"/>
      <c r="AT92" s="906"/>
      <c r="AU92" s="352">
        <f>SUM(AV92:AX92)</f>
        <v>15</v>
      </c>
      <c r="AV92" s="352">
        <f>IF(AR92=0,0,IF(AR92=E92,15,0))</f>
        <v>15</v>
      </c>
      <c r="AW92" s="352">
        <f>IF(E92=0,0,IF(OR(E92=AR91,),10,0))</f>
        <v>0</v>
      </c>
      <c r="AX92" s="352">
        <f>IF(E92=0,0,IF(OR(E92=AR89,E92=AR90),5,0))</f>
        <v>0</v>
      </c>
    </row>
    <row r="93" spans="2:50" ht="15.75" thickBot="1">
      <c r="V93" s="352" t="s">
        <v>135</v>
      </c>
      <c r="W93" s="352" t="s">
        <v>123</v>
      </c>
      <c r="X93" s="352" t="str">
        <f t="shared" si="11"/>
        <v>Quincy Promes (a)</v>
      </c>
      <c r="AS93" s="132"/>
      <c r="AU93" s="133">
        <f>SUM(AU89:AU92)</f>
        <v>30</v>
      </c>
    </row>
    <row r="94" spans="2:50" ht="15.75" thickTop="1">
      <c r="V94" s="352" t="s">
        <v>135</v>
      </c>
      <c r="W94" s="352" t="s">
        <v>122</v>
      </c>
      <c r="X94" s="352" t="str">
        <f t="shared" si="11"/>
        <v>Luc Castaignos (a)</v>
      </c>
    </row>
    <row r="95" spans="2:50">
      <c r="V95" s="352" t="s">
        <v>135</v>
      </c>
      <c r="W95" s="352" t="s">
        <v>113</v>
      </c>
      <c r="X95" s="352" t="str">
        <f t="shared" si="11"/>
        <v>Jean-Paul Boëtius (a)</v>
      </c>
    </row>
    <row r="96" spans="2:50">
      <c r="V96" s="352" t="s">
        <v>135</v>
      </c>
      <c r="W96" s="352" t="s">
        <v>129</v>
      </c>
      <c r="X96" s="352" t="str">
        <f t="shared" si="11"/>
        <v>Luciano Narsingh (a)</v>
      </c>
    </row>
    <row r="97" spans="22:24">
      <c r="V97" s="352" t="s">
        <v>135</v>
      </c>
      <c r="W97" s="352" t="s">
        <v>130</v>
      </c>
      <c r="X97" s="352" t="str">
        <f t="shared" si="11"/>
        <v>Robin van Persie (a)</v>
      </c>
    </row>
    <row r="98" spans="22:24">
      <c r="V98" s="352" t="s">
        <v>135</v>
      </c>
      <c r="W98" s="352" t="s">
        <v>131</v>
      </c>
      <c r="X98" s="352" t="str">
        <f t="shared" si="11"/>
        <v>Arjen Robben (a)</v>
      </c>
    </row>
  </sheetData>
  <mergeCells count="36">
    <mergeCell ref="C91:D91"/>
    <mergeCell ref="E91:J91"/>
    <mergeCell ref="AR91:AT91"/>
    <mergeCell ref="C92:D92"/>
    <mergeCell ref="E92:J92"/>
    <mergeCell ref="AR92:AT92"/>
    <mergeCell ref="C89:D89"/>
    <mergeCell ref="E89:J89"/>
    <mergeCell ref="AR89:AT89"/>
    <mergeCell ref="C90:D90"/>
    <mergeCell ref="E90:J90"/>
    <mergeCell ref="AR90:AT90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</mergeCells>
  <conditionalFormatting sqref="AO9:AO12 AO15:AO18 AO21:AO24 AO27:AO30 AO33:AO36 AO39:AO42 AO45:AO48 AO51:AO54">
    <cfRule type="cellIs" dxfId="62" priority="3" operator="equal">
      <formula>10</formula>
    </cfRule>
  </conditionalFormatting>
  <conditionalFormatting sqref="P58:T58">
    <cfRule type="duplicateValues" dxfId="61" priority="2"/>
  </conditionalFormatting>
  <conditionalFormatting sqref="P58:T68">
    <cfRule type="duplicateValues" dxfId="60" priority="1"/>
  </conditionalFormatting>
  <dataValidations count="10">
    <dataValidation type="list" allowBlank="1" showInputMessage="1" showErrorMessage="1" sqref="P58:P68">
      <formula1>$X$58:$X$98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51:T54">
      <formula1>$W$51:$W$54</formula1>
    </dataValidation>
  </dataValidation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>
  <dimension ref="B1:BB98"/>
  <sheetViews>
    <sheetView topLeftCell="A40" zoomScale="70" zoomScaleNormal="70" workbookViewId="0">
      <selection activeCell="P58" sqref="P58:T68"/>
    </sheetView>
  </sheetViews>
  <sheetFormatPr defaultRowHeight="15" outlineLevelCol="2"/>
  <cols>
    <col min="1" max="1" width="3.42578125" style="352" customWidth="1"/>
    <col min="2" max="2" width="3.5703125" style="352" bestFit="1" customWidth="1"/>
    <col min="3" max="3" width="11.5703125" style="123" bestFit="1" customWidth="1"/>
    <col min="4" max="4" width="19.7109375" style="352" bestFit="1" customWidth="1"/>
    <col min="5" max="5" width="3.42578125" style="352" customWidth="1"/>
    <col min="6" max="6" width="19.7109375" style="352" bestFit="1" customWidth="1"/>
    <col min="7" max="7" width="6.7109375" style="352" customWidth="1"/>
    <col min="8" max="8" width="1.5703125" style="352" bestFit="1" customWidth="1"/>
    <col min="9" max="9" width="6.7109375" style="352" customWidth="1"/>
    <col min="10" max="10" width="6.85546875" style="352" bestFit="1" customWidth="1"/>
    <col min="11" max="13" width="9.140625" style="352" hidden="1" customWidth="1" outlineLevel="1"/>
    <col min="14" max="14" width="11.42578125" style="352" bestFit="1" customWidth="1" collapsed="1"/>
    <col min="15" max="15" width="14.7109375" style="352" bestFit="1" customWidth="1"/>
    <col min="16" max="16" width="12.28515625" style="352" bestFit="1" customWidth="1"/>
    <col min="17" max="17" width="8.140625" style="352" bestFit="1" customWidth="1"/>
    <col min="18" max="18" width="7.7109375" style="352" bestFit="1" customWidth="1"/>
    <col min="19" max="19" width="9.140625" style="352"/>
    <col min="20" max="20" width="8.5703125" style="352" bestFit="1" customWidth="1"/>
    <col min="21" max="21" width="9.140625" style="352"/>
    <col min="22" max="23" width="9.140625" style="352" hidden="1" customWidth="1" outlineLevel="1"/>
    <col min="24" max="24" width="2" style="352" hidden="1" customWidth="1" outlineLevel="1"/>
    <col min="25" max="25" width="12.28515625" style="352" bestFit="1" customWidth="1" collapsed="1"/>
    <col min="26" max="27" width="12.28515625" style="352" hidden="1" customWidth="1" outlineLevel="1"/>
    <col min="28" max="28" width="4.7109375" style="352" hidden="1" customWidth="1" outlineLevel="1"/>
    <col min="29" max="38" width="9.140625" style="352" hidden="1" customWidth="1" outlineLevel="1"/>
    <col min="39" max="39" width="7.42578125" style="352" bestFit="1" customWidth="1" collapsed="1"/>
    <col min="40" max="40" width="19.7109375" style="352" hidden="1" customWidth="1" outlineLevel="1"/>
    <col min="41" max="41" width="9.140625" style="352" hidden="1" customWidth="1" outlineLevel="1"/>
    <col min="42" max="42" width="9.140625" style="352" collapsed="1"/>
    <col min="43" max="49" width="9.140625" style="352" hidden="1" customWidth="1" outlineLevel="2"/>
    <col min="50" max="50" width="11.5703125" style="352" hidden="1" customWidth="1" outlineLevel="2"/>
    <col min="51" max="51" width="11.85546875" style="352" hidden="1" customWidth="1" outlineLevel="1" collapsed="1"/>
    <col min="52" max="52" width="9.42578125" style="352" hidden="1" customWidth="1" outlineLevel="1"/>
    <col min="53" max="53" width="10.5703125" style="352" hidden="1" customWidth="1" outlineLevel="1"/>
    <col min="54" max="54" width="9.140625" style="352" collapsed="1"/>
    <col min="55" max="55" width="11.85546875" style="352" bestFit="1" customWidth="1"/>
    <col min="56" max="16384" width="9.140625" style="352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301</v>
      </c>
      <c r="E3" s="335"/>
      <c r="F3" s="335"/>
      <c r="N3" s="352" t="str">
        <f>D3</f>
        <v>Radjesh S.</v>
      </c>
      <c r="O3" s="144">
        <f>SUM(P3:S3)</f>
        <v>340</v>
      </c>
      <c r="P3" s="109">
        <f>SUM(Y8:Y86)</f>
        <v>180</v>
      </c>
      <c r="Q3" s="109">
        <f>SUM(AM4:AM55)</f>
        <v>130</v>
      </c>
      <c r="R3" s="109">
        <f>SUM(AP89:AP92)</f>
        <v>0</v>
      </c>
      <c r="S3" s="109">
        <f>SUM(BB58:BB69)</f>
        <v>30</v>
      </c>
      <c r="T3" s="109">
        <f>COUNTIF(AF8:AF86,10)</f>
        <v>5</v>
      </c>
      <c r="U3" s="109" t="str">
        <f>E89</f>
        <v>Engeland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O6" s="392"/>
      <c r="P6" s="393"/>
      <c r="Q6" s="393"/>
      <c r="R6" s="393"/>
      <c r="S6" s="393"/>
      <c r="T6" s="393"/>
      <c r="U6" s="392"/>
      <c r="V6" s="392"/>
      <c r="W6" s="392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80" t="s">
        <v>3</v>
      </c>
      <c r="E7" s="419"/>
      <c r="F7" s="481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O7" s="353"/>
      <c r="P7" s="393"/>
      <c r="Q7" s="393"/>
      <c r="R7" s="393"/>
      <c r="S7" s="393"/>
      <c r="T7" s="393"/>
      <c r="U7" s="353"/>
      <c r="V7" s="353"/>
      <c r="W7" s="353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458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2</v>
      </c>
      <c r="H8" s="360" t="s">
        <v>9</v>
      </c>
      <c r="I8" s="478">
        <v>0</v>
      </c>
      <c r="J8" s="362">
        <f t="shared" ref="J8:J55" si="0">IF(I8="","",IF(G8&gt;I8,1,IF(G8&lt;I8,2,3)))</f>
        <v>1</v>
      </c>
      <c r="K8" s="363">
        <f t="shared" ref="K8:K55" si="1">IF(I8="","",IF($G8&gt;$I8,3,IF($G8=$I8,1,0)))</f>
        <v>3</v>
      </c>
      <c r="L8" s="363">
        <f t="shared" ref="L8:L55" si="2">IF(I8="","",IF($G8&lt;$I8,3,IF($G8=$I8,1,0)))</f>
        <v>0</v>
      </c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392"/>
      <c r="V8" s="392"/>
      <c r="W8" s="392"/>
      <c r="Y8" s="109">
        <f>AF8</f>
        <v>5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5</v>
      </c>
      <c r="AG8" s="108">
        <f t="shared" ref="AG8:AG55" si="3">IF(AC8="",0,(IF(G8=AC8,1,0)))</f>
        <v>0</v>
      </c>
      <c r="AH8" s="108">
        <f t="shared" ref="AH8:AH55" si="4">IF(AD8="",0,(IF(I8=AD8,1,0)))</f>
        <v>0</v>
      </c>
      <c r="AI8" s="108">
        <f>IF(AND(AG8=1,AH8=1),10,0)</f>
        <v>0</v>
      </c>
      <c r="AJ8" s="108">
        <f t="shared" ref="AJ8:AJ55" si="5">IF(AND(G8&gt;I8,AC8&gt;AD8),5,0)</f>
        <v>5</v>
      </c>
      <c r="AK8" s="108">
        <f t="shared" ref="AK8:AK55" si="6">IF(AND(G8&lt;I8,AC8&lt;AD8),5,0)</f>
        <v>0</v>
      </c>
      <c r="AL8" s="108">
        <f t="shared" ref="AL8:AL55" si="7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1</v>
      </c>
      <c r="H9" s="367" t="s">
        <v>9</v>
      </c>
      <c r="I9" s="440">
        <v>1</v>
      </c>
      <c r="J9" s="369">
        <f t="shared" si="0"/>
        <v>3</v>
      </c>
      <c r="K9" s="363">
        <f t="shared" si="1"/>
        <v>1</v>
      </c>
      <c r="L9" s="363">
        <f t="shared" si="2"/>
        <v>1</v>
      </c>
      <c r="O9" s="394" t="s">
        <v>8</v>
      </c>
      <c r="P9" s="395">
        <f>SUMIF($D$8:$D$55,$O9,$G$8:$G$55)+SUMIF($F$8:$F$55,$O9,$I$8:$I$55)</f>
        <v>4</v>
      </c>
      <c r="Q9" s="395">
        <f>SUMIF($D$8:$D$55,$O9,$I$8:$I$55)+SUMIF($F$8:$F$55,$O9,$G$8:$G$55)</f>
        <v>2</v>
      </c>
      <c r="R9" s="396">
        <f>P9-Q9</f>
        <v>2</v>
      </c>
      <c r="S9" s="397">
        <f>SUMIF($D$8:$D$55,$O9,$K$8:$K$55)+SUMIF($F$8:$F$55,$O9,$L$8:$L$55)</f>
        <v>5</v>
      </c>
      <c r="T9" s="444" t="s">
        <v>48</v>
      </c>
      <c r="U9" s="392"/>
      <c r="V9" s="392" t="str">
        <f>O9</f>
        <v>Brazilië</v>
      </c>
      <c r="W9" s="392" t="s">
        <v>48</v>
      </c>
      <c r="Y9" s="109">
        <f t="shared" ref="Y9:Y55" si="8">AF9</f>
        <v>1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1</v>
      </c>
      <c r="AG9" s="108">
        <f t="shared" si="3"/>
        <v>1</v>
      </c>
      <c r="AH9" s="108">
        <f t="shared" si="4"/>
        <v>0</v>
      </c>
      <c r="AI9" s="108">
        <f t="shared" ref="AI9:AI55" si="10">IF(AND(AG9=1,AH9=1),10,0)</f>
        <v>0</v>
      </c>
      <c r="AJ9" s="108">
        <f t="shared" si="5"/>
        <v>0</v>
      </c>
      <c r="AK9" s="108">
        <f t="shared" si="6"/>
        <v>0</v>
      </c>
      <c r="AL9" s="108">
        <f t="shared" si="7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1</v>
      </c>
      <c r="H10" s="373" t="s">
        <v>9</v>
      </c>
      <c r="I10" s="441">
        <v>1</v>
      </c>
      <c r="J10" s="375">
        <f t="shared" si="0"/>
        <v>3</v>
      </c>
      <c r="K10" s="363">
        <f t="shared" si="1"/>
        <v>1</v>
      </c>
      <c r="L10" s="363">
        <f t="shared" si="2"/>
        <v>1</v>
      </c>
      <c r="O10" s="398" t="s">
        <v>10</v>
      </c>
      <c r="P10" s="399">
        <f>SUMIF($D$8:$D$55,$O10,$G$8:$G$55)+SUMIF($F$8:$F$55,$O10,$I$8:$I$55)</f>
        <v>1</v>
      </c>
      <c r="Q10" s="399">
        <f>SUMIF($D$8:$D$55,$O10,$I$8:$I$55)+SUMIF($F$8:$F$55,$O10,$G$8:$G$55)</f>
        <v>5</v>
      </c>
      <c r="R10" s="399">
        <f>P10-Q10</f>
        <v>-4</v>
      </c>
      <c r="S10" s="400">
        <f>SUMIF($D$8:$D$55,$O10,$K$8:$K$55)+SUMIF($F$8:$F$55,$O10,$L$8:$L$55)</f>
        <v>0</v>
      </c>
      <c r="T10" s="445" t="s">
        <v>50</v>
      </c>
      <c r="U10" s="392"/>
      <c r="V10" s="392" t="str">
        <f>O10</f>
        <v>Kroatië</v>
      </c>
      <c r="W10" s="392" t="s">
        <v>49</v>
      </c>
      <c r="Y10" s="109">
        <f t="shared" si="8"/>
        <v>1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1</v>
      </c>
      <c r="AG10" s="108">
        <f t="shared" si="3"/>
        <v>1</v>
      </c>
      <c r="AH10" s="108">
        <f t="shared" si="4"/>
        <v>0</v>
      </c>
      <c r="AI10" s="108">
        <f t="shared" si="10"/>
        <v>0</v>
      </c>
      <c r="AJ10" s="108">
        <f t="shared" si="5"/>
        <v>0</v>
      </c>
      <c r="AK10" s="108">
        <f t="shared" si="6"/>
        <v>0</v>
      </c>
      <c r="AL10" s="108">
        <f t="shared" si="7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1</v>
      </c>
      <c r="H11" s="379" t="s">
        <v>9</v>
      </c>
      <c r="I11" s="442">
        <v>2</v>
      </c>
      <c r="J11" s="381">
        <f t="shared" si="0"/>
        <v>2</v>
      </c>
      <c r="K11" s="363">
        <f t="shared" si="1"/>
        <v>0</v>
      </c>
      <c r="L11" s="363">
        <f t="shared" si="2"/>
        <v>3</v>
      </c>
      <c r="O11" s="398" t="s">
        <v>11</v>
      </c>
      <c r="P11" s="399">
        <f>SUMIF($D$8:$D$55,$O11,$G$8:$G$55)+SUMIF($F$8:$F$55,$O11,$I$8:$I$55)</f>
        <v>3</v>
      </c>
      <c r="Q11" s="399">
        <f>SUMIF($D$8:$D$55,$O11,$I$8:$I$55)+SUMIF($F$8:$F$55,$O11,$G$8:$G$55)</f>
        <v>2</v>
      </c>
      <c r="R11" s="399">
        <f>P11-Q11</f>
        <v>1</v>
      </c>
      <c r="S11" s="400">
        <f>SUMIF($D$8:$D$55,$O11,$K$8:$K$55)+SUMIF($F$8:$F$55,$O11,$L$8:$L$55)</f>
        <v>5</v>
      </c>
      <c r="T11" s="445" t="s">
        <v>49</v>
      </c>
      <c r="U11" s="392"/>
      <c r="V11" s="392" t="str">
        <f>O11</f>
        <v>Mexico</v>
      </c>
      <c r="W11" s="392" t="s">
        <v>47</v>
      </c>
      <c r="Y11" s="109">
        <f t="shared" si="8"/>
        <v>0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0</v>
      </c>
      <c r="AG11" s="108">
        <f t="shared" si="3"/>
        <v>0</v>
      </c>
      <c r="AH11" s="108">
        <f t="shared" si="4"/>
        <v>0</v>
      </c>
      <c r="AI11" s="108">
        <f t="shared" si="10"/>
        <v>0</v>
      </c>
      <c r="AJ11" s="108">
        <f t="shared" si="5"/>
        <v>0</v>
      </c>
      <c r="AK11" s="108">
        <f t="shared" si="6"/>
        <v>0</v>
      </c>
      <c r="AL11" s="108">
        <f t="shared" si="7"/>
        <v>0</v>
      </c>
      <c r="AM11" s="120">
        <f>AO11</f>
        <v>10</v>
      </c>
      <c r="AN11" s="117" t="s">
        <v>11</v>
      </c>
      <c r="AO11" s="115">
        <f>IF(Uitslag!T11="",0,IF(T11=Uitslag!T11,10,0))</f>
        <v>10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2</v>
      </c>
      <c r="H12" s="367" t="s">
        <v>9</v>
      </c>
      <c r="I12" s="440">
        <v>1</v>
      </c>
      <c r="J12" s="369">
        <f t="shared" si="0"/>
        <v>1</v>
      </c>
      <c r="K12" s="363">
        <f t="shared" si="1"/>
        <v>3</v>
      </c>
      <c r="L12" s="363">
        <f t="shared" si="2"/>
        <v>0</v>
      </c>
      <c r="O12" s="401" t="s">
        <v>12</v>
      </c>
      <c r="P12" s="402">
        <f>SUMIF($D$8:$D$55,$O12,$G$8:$G$55)+SUMIF($F$8:$F$55,$O12,$I$8:$I$55)</f>
        <v>4</v>
      </c>
      <c r="Q12" s="402">
        <f>SUMIF($D$8:$D$55,$O12,$I$8:$I$55)+SUMIF($F$8:$F$55,$O12,$G$8:$G$55)</f>
        <v>3</v>
      </c>
      <c r="R12" s="402">
        <f>P12-Q12</f>
        <v>1</v>
      </c>
      <c r="S12" s="403">
        <f>SUMIF($D$8:$D$55,$O12,$K$8:$K$55)+SUMIF($F$8:$F$55,$O12,$L$8:$L$55)</f>
        <v>5</v>
      </c>
      <c r="T12" s="446" t="s">
        <v>49</v>
      </c>
      <c r="U12" s="392"/>
      <c r="V12" s="392" t="str">
        <f>O12</f>
        <v>Kameroen</v>
      </c>
      <c r="W12" s="392" t="s">
        <v>50</v>
      </c>
      <c r="Y12" s="109">
        <f t="shared" si="8"/>
        <v>5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5</v>
      </c>
      <c r="AG12" s="108">
        <f t="shared" si="3"/>
        <v>0</v>
      </c>
      <c r="AH12" s="108">
        <f t="shared" si="4"/>
        <v>0</v>
      </c>
      <c r="AI12" s="108">
        <f t="shared" si="10"/>
        <v>0</v>
      </c>
      <c r="AJ12" s="108">
        <f t="shared" si="5"/>
        <v>5</v>
      </c>
      <c r="AK12" s="108">
        <f t="shared" si="6"/>
        <v>0</v>
      </c>
      <c r="AL12" s="108">
        <f t="shared" si="7"/>
        <v>0</v>
      </c>
      <c r="AM12" s="120">
        <f>AO12</f>
        <v>0</v>
      </c>
      <c r="AN12" s="118" t="s">
        <v>12</v>
      </c>
      <c r="AO12" s="115">
        <f>IF(Uitslag!T12="",0,IF(T12=Uitslag!T12,10,0))</f>
        <v>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2</v>
      </c>
      <c r="H13" s="373" t="s">
        <v>9</v>
      </c>
      <c r="I13" s="441">
        <v>1</v>
      </c>
      <c r="J13" s="375">
        <f t="shared" si="0"/>
        <v>1</v>
      </c>
      <c r="K13" s="363">
        <f t="shared" si="1"/>
        <v>3</v>
      </c>
      <c r="L13" s="363">
        <f t="shared" si="2"/>
        <v>0</v>
      </c>
      <c r="O13" s="392"/>
      <c r="P13" s="393"/>
      <c r="Q13" s="393"/>
      <c r="R13" s="393"/>
      <c r="S13" s="393"/>
      <c r="T13" s="393"/>
      <c r="U13" s="392"/>
      <c r="V13" s="392"/>
      <c r="W13" s="392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3"/>
        <v>0</v>
      </c>
      <c r="AH13" s="108">
        <f t="shared" si="4"/>
        <v>0</v>
      </c>
      <c r="AI13" s="108">
        <f t="shared" si="10"/>
        <v>0</v>
      </c>
      <c r="AJ13" s="108">
        <f t="shared" si="5"/>
        <v>0</v>
      </c>
      <c r="AK13" s="108">
        <f t="shared" si="6"/>
        <v>0</v>
      </c>
      <c r="AL13" s="108">
        <f t="shared" si="7"/>
        <v>0</v>
      </c>
      <c r="AN13" s="392"/>
      <c r="AO13" s="393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1</v>
      </c>
      <c r="H14" s="373" t="s">
        <v>9</v>
      </c>
      <c r="I14" s="441">
        <v>1</v>
      </c>
      <c r="J14" s="375">
        <f t="shared" si="0"/>
        <v>3</v>
      </c>
      <c r="K14" s="363">
        <f t="shared" si="1"/>
        <v>1</v>
      </c>
      <c r="L14" s="363">
        <f t="shared" si="2"/>
        <v>1</v>
      </c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392"/>
      <c r="V14" s="392"/>
      <c r="W14" s="392"/>
      <c r="Y14" s="109">
        <f t="shared" si="8"/>
        <v>1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</v>
      </c>
      <c r="AG14" s="108">
        <f t="shared" si="3"/>
        <v>1</v>
      </c>
      <c r="AH14" s="108">
        <f t="shared" si="4"/>
        <v>0</v>
      </c>
      <c r="AI14" s="108">
        <f t="shared" si="10"/>
        <v>0</v>
      </c>
      <c r="AJ14" s="108">
        <f t="shared" si="5"/>
        <v>0</v>
      </c>
      <c r="AK14" s="108">
        <f t="shared" si="6"/>
        <v>0</v>
      </c>
      <c r="AL14" s="108">
        <f t="shared" si="7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1</v>
      </c>
      <c r="H15" s="379" t="s">
        <v>9</v>
      </c>
      <c r="I15" s="442">
        <v>1</v>
      </c>
      <c r="J15" s="381">
        <f t="shared" si="0"/>
        <v>3</v>
      </c>
      <c r="K15" s="363">
        <f t="shared" si="1"/>
        <v>1</v>
      </c>
      <c r="L15" s="363">
        <f t="shared" si="2"/>
        <v>1</v>
      </c>
      <c r="O15" s="394" t="s">
        <v>13</v>
      </c>
      <c r="P15" s="395">
        <f>SUMIF($D$8:$D$55,$O15,$G$8:$G$55)+SUMIF($F$8:$F$55,$O15,$I$8:$I$55)</f>
        <v>4</v>
      </c>
      <c r="Q15" s="395">
        <f>SUMIF($D$8:$D$55,$O15,$I$8:$I$55)+SUMIF($F$8:$F$55,$O15,$G$8:$G$55)</f>
        <v>2</v>
      </c>
      <c r="R15" s="396">
        <f>P15-Q15</f>
        <v>2</v>
      </c>
      <c r="S15" s="397">
        <f>SUMIF($D$8:$D$55,$O15,$K$8:$K$55)+SUMIF($F$8:$F$55,$O15,$L$8:$L$55)</f>
        <v>5</v>
      </c>
      <c r="T15" s="444" t="s">
        <v>53</v>
      </c>
      <c r="U15" s="392"/>
      <c r="V15" s="392" t="str">
        <f>O15</f>
        <v>Spanje</v>
      </c>
      <c r="W15" s="392" t="s">
        <v>52</v>
      </c>
      <c r="Y15" s="109">
        <f t="shared" si="8"/>
        <v>1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1</v>
      </c>
      <c r="AG15" s="108">
        <f t="shared" si="3"/>
        <v>0</v>
      </c>
      <c r="AH15" s="108">
        <f t="shared" si="4"/>
        <v>1</v>
      </c>
      <c r="AI15" s="108">
        <f t="shared" si="10"/>
        <v>0</v>
      </c>
      <c r="AJ15" s="108">
        <f t="shared" si="5"/>
        <v>0</v>
      </c>
      <c r="AK15" s="108">
        <f t="shared" si="6"/>
        <v>0</v>
      </c>
      <c r="AL15" s="108">
        <f t="shared" si="7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2</v>
      </c>
      <c r="H16" s="367" t="s">
        <v>9</v>
      </c>
      <c r="I16" s="440">
        <v>1</v>
      </c>
      <c r="J16" s="369">
        <f t="shared" si="0"/>
        <v>1</v>
      </c>
      <c r="K16" s="363">
        <f t="shared" si="1"/>
        <v>3</v>
      </c>
      <c r="L16" s="363">
        <f t="shared" si="2"/>
        <v>0</v>
      </c>
      <c r="O16" s="404" t="s">
        <v>14</v>
      </c>
      <c r="P16" s="399">
        <f>SUMIF($D$8:$D$55,$O16,$G$8:$G$55)+SUMIF($F$8:$F$55,$O16,$I$8:$I$55)</f>
        <v>4</v>
      </c>
      <c r="Q16" s="399">
        <f>SUMIF($D$8:$D$55,$O16,$I$8:$I$55)+SUMIF($F$8:$F$55,$O16,$G$8:$G$55)</f>
        <v>1</v>
      </c>
      <c r="R16" s="399">
        <f>P16-Q16</f>
        <v>3</v>
      </c>
      <c r="S16" s="400">
        <f>SUMIF($D$8:$D$55,$O16,$K$8:$K$55)+SUMIF($F$8:$F$55,$O16,$L$8:$L$55)</f>
        <v>7</v>
      </c>
      <c r="T16" s="445" t="s">
        <v>52</v>
      </c>
      <c r="U16" s="392"/>
      <c r="V16" s="392" t="str">
        <f>O16</f>
        <v>Nederland</v>
      </c>
      <c r="W16" s="392" t="s">
        <v>53</v>
      </c>
      <c r="Y16" s="109">
        <f t="shared" si="8"/>
        <v>10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10</v>
      </c>
      <c r="AG16" s="108">
        <f t="shared" si="3"/>
        <v>1</v>
      </c>
      <c r="AH16" s="108">
        <f t="shared" si="4"/>
        <v>1</v>
      </c>
      <c r="AI16" s="108">
        <f t="shared" si="10"/>
        <v>10</v>
      </c>
      <c r="AJ16" s="108">
        <f t="shared" si="5"/>
        <v>5</v>
      </c>
      <c r="AK16" s="108">
        <f t="shared" si="6"/>
        <v>0</v>
      </c>
      <c r="AL16" s="108">
        <f t="shared" si="7"/>
        <v>0</v>
      </c>
      <c r="AM16" s="120">
        <f>AO16</f>
        <v>10</v>
      </c>
      <c r="AN16" s="119" t="s">
        <v>14</v>
      </c>
      <c r="AO16" s="115">
        <f>IF(Uitslag!T16="",0,IF(T16=Uitslag!T16,10,0))</f>
        <v>10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1</v>
      </c>
      <c r="H17" s="373" t="s">
        <v>9</v>
      </c>
      <c r="I17" s="441">
        <v>2</v>
      </c>
      <c r="J17" s="375">
        <f t="shared" si="0"/>
        <v>2</v>
      </c>
      <c r="K17" s="363">
        <f t="shared" si="1"/>
        <v>0</v>
      </c>
      <c r="L17" s="363">
        <f t="shared" si="2"/>
        <v>3</v>
      </c>
      <c r="O17" s="398" t="s">
        <v>15</v>
      </c>
      <c r="P17" s="399">
        <f>SUMIF($D$8:$D$55,$O17,$G$8:$G$55)+SUMIF($F$8:$F$55,$O17,$I$8:$I$55)</f>
        <v>2</v>
      </c>
      <c r="Q17" s="399">
        <f>SUMIF($D$8:$D$55,$O17,$I$8:$I$55)+SUMIF($F$8:$F$55,$O17,$G$8:$G$55)</f>
        <v>5</v>
      </c>
      <c r="R17" s="399">
        <f>P17-Q17</f>
        <v>-3</v>
      </c>
      <c r="S17" s="400">
        <f>SUMIF($D$8:$D$55,$O17,$K$8:$K$55)+SUMIF($F$8:$F$55,$O17,$L$8:$L$55)</f>
        <v>1</v>
      </c>
      <c r="T17" s="445" t="s">
        <v>55</v>
      </c>
      <c r="U17" s="392"/>
      <c r="V17" s="392" t="str">
        <f>O17</f>
        <v>Chili</v>
      </c>
      <c r="W17" s="392" t="s">
        <v>54</v>
      </c>
      <c r="Y17" s="109">
        <f t="shared" si="8"/>
        <v>0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0</v>
      </c>
      <c r="AG17" s="108">
        <f t="shared" si="3"/>
        <v>0</v>
      </c>
      <c r="AH17" s="108">
        <f t="shared" si="4"/>
        <v>0</v>
      </c>
      <c r="AI17" s="108">
        <f t="shared" si="10"/>
        <v>0</v>
      </c>
      <c r="AJ17" s="108">
        <f t="shared" si="5"/>
        <v>0</v>
      </c>
      <c r="AK17" s="108">
        <f t="shared" si="6"/>
        <v>0</v>
      </c>
      <c r="AL17" s="108">
        <f t="shared" si="7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3</v>
      </c>
      <c r="H18" s="379" t="s">
        <v>9</v>
      </c>
      <c r="I18" s="442">
        <v>1</v>
      </c>
      <c r="J18" s="381">
        <f t="shared" si="0"/>
        <v>1</v>
      </c>
      <c r="K18" s="363">
        <f t="shared" si="1"/>
        <v>3</v>
      </c>
      <c r="L18" s="363">
        <f t="shared" si="2"/>
        <v>0</v>
      </c>
      <c r="O18" s="401" t="s">
        <v>16</v>
      </c>
      <c r="P18" s="402">
        <f>SUMIF($D$8:$D$55,$O18,$G$8:$G$55)+SUMIF($F$8:$F$55,$O18,$I$8:$I$55)</f>
        <v>2</v>
      </c>
      <c r="Q18" s="402">
        <f>SUMIF($D$8:$D$55,$O18,$I$8:$I$55)+SUMIF($F$8:$F$55,$O18,$G$8:$G$55)</f>
        <v>4</v>
      </c>
      <c r="R18" s="402">
        <f>P18-Q18</f>
        <v>-2</v>
      </c>
      <c r="S18" s="403">
        <f>SUMIF($D$8:$D$55,$O18,$K$8:$K$55)+SUMIF($F$8:$F$55,$O18,$L$8:$L$55)</f>
        <v>3</v>
      </c>
      <c r="T18" s="446" t="s">
        <v>54</v>
      </c>
      <c r="U18" s="392"/>
      <c r="V18" s="392" t="str">
        <f>O18</f>
        <v>Australië</v>
      </c>
      <c r="W18" s="392" t="s">
        <v>55</v>
      </c>
      <c r="Y18" s="109">
        <f t="shared" si="8"/>
        <v>6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6</v>
      </c>
      <c r="AG18" s="108">
        <f t="shared" si="3"/>
        <v>0</v>
      </c>
      <c r="AH18" s="108">
        <f t="shared" si="4"/>
        <v>1</v>
      </c>
      <c r="AI18" s="108">
        <f t="shared" si="10"/>
        <v>0</v>
      </c>
      <c r="AJ18" s="108">
        <f t="shared" si="5"/>
        <v>5</v>
      </c>
      <c r="AK18" s="108">
        <f t="shared" si="6"/>
        <v>0</v>
      </c>
      <c r="AL18" s="108">
        <f t="shared" si="7"/>
        <v>0</v>
      </c>
      <c r="AM18" s="120">
        <f>AO18</f>
        <v>0</v>
      </c>
      <c r="AN18" s="118" t="s">
        <v>16</v>
      </c>
      <c r="AO18" s="115">
        <f>IF(Uitslag!T18="",0,IF(T18=Uitslag!T18,10,0))</f>
        <v>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2</v>
      </c>
      <c r="H19" s="367" t="s">
        <v>9</v>
      </c>
      <c r="I19" s="440">
        <v>1</v>
      </c>
      <c r="J19" s="369">
        <f t="shared" si="0"/>
        <v>1</v>
      </c>
      <c r="K19" s="363">
        <f t="shared" si="1"/>
        <v>3</v>
      </c>
      <c r="L19" s="363">
        <f t="shared" si="2"/>
        <v>0</v>
      </c>
      <c r="O19" s="392"/>
      <c r="P19" s="393"/>
      <c r="Q19" s="393"/>
      <c r="R19" s="393"/>
      <c r="S19" s="393"/>
      <c r="T19" s="393"/>
      <c r="U19" s="392"/>
      <c r="V19" s="392"/>
      <c r="W19" s="392"/>
      <c r="Y19" s="109">
        <f t="shared" si="8"/>
        <v>5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5</v>
      </c>
      <c r="AG19" s="108">
        <f t="shared" si="3"/>
        <v>0</v>
      </c>
      <c r="AH19" s="108">
        <f t="shared" si="4"/>
        <v>0</v>
      </c>
      <c r="AI19" s="108">
        <f t="shared" si="10"/>
        <v>0</v>
      </c>
      <c r="AJ19" s="108">
        <f t="shared" si="5"/>
        <v>5</v>
      </c>
      <c r="AK19" s="108">
        <f t="shared" si="6"/>
        <v>0</v>
      </c>
      <c r="AL19" s="108">
        <f t="shared" si="7"/>
        <v>0</v>
      </c>
      <c r="AN19" s="392"/>
      <c r="AO19" s="393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0</v>
      </c>
      <c r="H20" s="373" t="s">
        <v>9</v>
      </c>
      <c r="I20" s="441">
        <v>1</v>
      </c>
      <c r="J20" s="375">
        <f t="shared" si="0"/>
        <v>2</v>
      </c>
      <c r="K20" s="363">
        <f t="shared" si="1"/>
        <v>0</v>
      </c>
      <c r="L20" s="363">
        <f t="shared" si="2"/>
        <v>3</v>
      </c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392"/>
      <c r="V20" s="392"/>
      <c r="W20" s="392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3"/>
        <v>1</v>
      </c>
      <c r="AH20" s="108">
        <f t="shared" si="4"/>
        <v>0</v>
      </c>
      <c r="AI20" s="108">
        <f t="shared" si="10"/>
        <v>0</v>
      </c>
      <c r="AJ20" s="108">
        <f t="shared" si="5"/>
        <v>0</v>
      </c>
      <c r="AK20" s="108">
        <f t="shared" si="6"/>
        <v>0</v>
      </c>
      <c r="AL20" s="108">
        <f t="shared" si="7"/>
        <v>0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2</v>
      </c>
      <c r="H21" s="379" t="s">
        <v>9</v>
      </c>
      <c r="I21" s="442">
        <v>1</v>
      </c>
      <c r="J21" s="381">
        <f t="shared" si="0"/>
        <v>1</v>
      </c>
      <c r="K21" s="363">
        <f t="shared" si="1"/>
        <v>3</v>
      </c>
      <c r="L21" s="363">
        <f t="shared" si="2"/>
        <v>0</v>
      </c>
      <c r="O21" s="394" t="s">
        <v>17</v>
      </c>
      <c r="P21" s="395">
        <f>SUMIF($D$8:$D$55,$O21,$G$8:$G$55)+SUMIF($F$8:$F$55,$O21,$I$8:$I$55)</f>
        <v>6</v>
      </c>
      <c r="Q21" s="395">
        <f>SUMIF($D$8:$D$55,$O21,$I$8:$I$55)+SUMIF($F$8:$F$55,$O21,$G$8:$G$55)</f>
        <v>2</v>
      </c>
      <c r="R21" s="396">
        <f>P21-Q21</f>
        <v>4</v>
      </c>
      <c r="S21" s="397">
        <f>SUMIF($D$8:$D$55,$O21,$K$8:$K$55)+SUMIF($F$8:$F$55,$O21,$L$8:$L$55)</f>
        <v>9</v>
      </c>
      <c r="T21" s="444" t="s">
        <v>57</v>
      </c>
      <c r="U21" s="392"/>
      <c r="V21" s="392" t="str">
        <f>O21</f>
        <v>Colombia</v>
      </c>
      <c r="W21" s="392" t="s">
        <v>57</v>
      </c>
      <c r="Y21" s="109">
        <f t="shared" si="8"/>
        <v>0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0</v>
      </c>
      <c r="AG21" s="108">
        <f t="shared" si="3"/>
        <v>0</v>
      </c>
      <c r="AH21" s="108">
        <f t="shared" si="4"/>
        <v>0</v>
      </c>
      <c r="AI21" s="108">
        <f t="shared" si="10"/>
        <v>0</v>
      </c>
      <c r="AJ21" s="108">
        <f t="shared" si="5"/>
        <v>0</v>
      </c>
      <c r="AK21" s="108">
        <f t="shared" si="6"/>
        <v>0</v>
      </c>
      <c r="AL21" s="108">
        <f t="shared" si="7"/>
        <v>0</v>
      </c>
      <c r="AM21" s="120">
        <f>AO21</f>
        <v>10</v>
      </c>
      <c r="AN21" s="116" t="s">
        <v>17</v>
      </c>
      <c r="AO21" s="115">
        <f>IF(Uitslag!T21="",0,IF(T21=Uitslag!T21,10,0))</f>
        <v>10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2</v>
      </c>
      <c r="H22" s="367" t="s">
        <v>9</v>
      </c>
      <c r="I22" s="440">
        <v>0</v>
      </c>
      <c r="J22" s="369">
        <f t="shared" si="0"/>
        <v>1</v>
      </c>
      <c r="K22" s="363">
        <f t="shared" si="1"/>
        <v>3</v>
      </c>
      <c r="L22" s="363">
        <f t="shared" si="2"/>
        <v>0</v>
      </c>
      <c r="O22" s="398" t="s">
        <v>18</v>
      </c>
      <c r="P22" s="399">
        <f>SUMIF($D$8:$D$55,$O22,$G$8:$G$55)+SUMIF($F$8:$F$55,$O22,$I$8:$I$55)</f>
        <v>2</v>
      </c>
      <c r="Q22" s="399">
        <f>SUMIF($D$8:$D$55,$O22,$I$8:$I$55)+SUMIF($F$8:$F$55,$O22,$G$8:$G$55)</f>
        <v>4</v>
      </c>
      <c r="R22" s="399">
        <f>P22-Q22</f>
        <v>-2</v>
      </c>
      <c r="S22" s="400">
        <f>SUMIF($D$8:$D$55,$O22,$K$8:$K$55)+SUMIF($F$8:$F$55,$O22,$L$8:$L$55)</f>
        <v>1</v>
      </c>
      <c r="T22" s="445" t="s">
        <v>60</v>
      </c>
      <c r="U22" s="392"/>
      <c r="V22" s="392" t="str">
        <f>O22</f>
        <v>Griekenland</v>
      </c>
      <c r="W22" s="392" t="s">
        <v>58</v>
      </c>
      <c r="Y22" s="109">
        <f t="shared" si="8"/>
        <v>6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6</v>
      </c>
      <c r="AG22" s="108">
        <f t="shared" si="3"/>
        <v>1</v>
      </c>
      <c r="AH22" s="108">
        <f t="shared" si="4"/>
        <v>0</v>
      </c>
      <c r="AI22" s="108">
        <f t="shared" si="10"/>
        <v>0</v>
      </c>
      <c r="AJ22" s="108">
        <f t="shared" si="5"/>
        <v>5</v>
      </c>
      <c r="AK22" s="108">
        <f t="shared" si="6"/>
        <v>0</v>
      </c>
      <c r="AL22" s="108">
        <f t="shared" si="7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1</v>
      </c>
      <c r="H23" s="373" t="s">
        <v>9</v>
      </c>
      <c r="I23" s="441">
        <v>1</v>
      </c>
      <c r="J23" s="375">
        <f t="shared" si="0"/>
        <v>3</v>
      </c>
      <c r="K23" s="363">
        <f t="shared" si="1"/>
        <v>1</v>
      </c>
      <c r="L23" s="363">
        <f t="shared" si="2"/>
        <v>1</v>
      </c>
      <c r="O23" s="398" t="s">
        <v>23</v>
      </c>
      <c r="P23" s="399">
        <f>SUMIF($D$8:$D$55,$O23,$G$8:$G$55)+SUMIF($F$8:$F$55,$O23,$I$8:$I$55)</f>
        <v>3</v>
      </c>
      <c r="Q23" s="399">
        <f>SUMIF($D$8:$D$55,$O23,$I$8:$I$55)+SUMIF($F$8:$F$55,$O23,$G$8:$G$55)</f>
        <v>3</v>
      </c>
      <c r="R23" s="399">
        <f>P23-Q23</f>
        <v>0</v>
      </c>
      <c r="S23" s="400">
        <f>SUMIF($D$8:$D$55,$O23,$K$8:$K$55)+SUMIF($F$8:$F$55,$O23,$L$8:$L$55)</f>
        <v>4</v>
      </c>
      <c r="T23" s="445" t="s">
        <v>59</v>
      </c>
      <c r="U23" s="392"/>
      <c r="V23" s="392" t="str">
        <f>O23</f>
        <v>Ivoorkust</v>
      </c>
      <c r="W23" s="392" t="s">
        <v>59</v>
      </c>
      <c r="Y23" s="109">
        <f t="shared" si="8"/>
        <v>5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5</v>
      </c>
      <c r="AG23" s="108">
        <f t="shared" si="3"/>
        <v>0</v>
      </c>
      <c r="AH23" s="108">
        <f t="shared" si="4"/>
        <v>0</v>
      </c>
      <c r="AI23" s="108">
        <f t="shared" si="10"/>
        <v>0</v>
      </c>
      <c r="AJ23" s="108">
        <f t="shared" si="5"/>
        <v>0</v>
      </c>
      <c r="AK23" s="108">
        <f t="shared" si="6"/>
        <v>0</v>
      </c>
      <c r="AL23" s="108">
        <f t="shared" si="7"/>
        <v>5</v>
      </c>
      <c r="AM23" s="120">
        <f>AO23</f>
        <v>10</v>
      </c>
      <c r="AN23" s="117" t="s">
        <v>23</v>
      </c>
      <c r="AO23" s="115">
        <f>IF(Uitslag!T23="",0,IF(T23=Uitslag!T23,10,0))</f>
        <v>10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1</v>
      </c>
      <c r="H24" s="379" t="s">
        <v>9</v>
      </c>
      <c r="I24" s="442">
        <v>0</v>
      </c>
      <c r="J24" s="381">
        <f t="shared" si="0"/>
        <v>1</v>
      </c>
      <c r="K24" s="363">
        <f t="shared" si="1"/>
        <v>3</v>
      </c>
      <c r="L24" s="363">
        <f t="shared" si="2"/>
        <v>0</v>
      </c>
      <c r="O24" s="401" t="s">
        <v>24</v>
      </c>
      <c r="P24" s="402">
        <f>SUMIF($D$8:$D$55,$O24,$G$8:$G$55)+SUMIF($F$8:$F$55,$O24,$I$8:$I$55)</f>
        <v>2</v>
      </c>
      <c r="Q24" s="402">
        <f>SUMIF($D$8:$D$55,$O24,$I$8:$I$55)+SUMIF($F$8:$F$55,$O24,$G$8:$G$55)</f>
        <v>4</v>
      </c>
      <c r="R24" s="402">
        <f>P24-Q24</f>
        <v>-2</v>
      </c>
      <c r="S24" s="403">
        <f>SUMIF($D$8:$D$55,$O24,$K$8:$K$55)+SUMIF($F$8:$F$55,$O24,$L$8:$L$55)</f>
        <v>2</v>
      </c>
      <c r="T24" s="446" t="s">
        <v>58</v>
      </c>
      <c r="U24" s="392"/>
      <c r="V24" s="392" t="str">
        <f>O24</f>
        <v>Japan</v>
      </c>
      <c r="W24" s="392" t="s">
        <v>60</v>
      </c>
      <c r="Y24" s="109">
        <f t="shared" si="8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</v>
      </c>
      <c r="AG24" s="108">
        <f t="shared" si="3"/>
        <v>1</v>
      </c>
      <c r="AH24" s="108">
        <f t="shared" si="4"/>
        <v>0</v>
      </c>
      <c r="AI24" s="108">
        <f t="shared" si="10"/>
        <v>0</v>
      </c>
      <c r="AJ24" s="108">
        <f t="shared" si="5"/>
        <v>0</v>
      </c>
      <c r="AK24" s="108">
        <f t="shared" si="6"/>
        <v>0</v>
      </c>
      <c r="AL24" s="108">
        <f t="shared" si="7"/>
        <v>0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0</v>
      </c>
      <c r="H25" s="367" t="s">
        <v>9</v>
      </c>
      <c r="I25" s="440">
        <v>1</v>
      </c>
      <c r="J25" s="369">
        <f t="shared" si="0"/>
        <v>2</v>
      </c>
      <c r="K25" s="363">
        <f t="shared" si="1"/>
        <v>0</v>
      </c>
      <c r="L25" s="363">
        <f t="shared" si="2"/>
        <v>3</v>
      </c>
      <c r="O25" s="392"/>
      <c r="P25" s="393"/>
      <c r="Q25" s="393"/>
      <c r="R25" s="393"/>
      <c r="S25" s="393"/>
      <c r="T25" s="393"/>
      <c r="U25" s="392"/>
      <c r="V25" s="392"/>
      <c r="W25" s="392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3"/>
        <v>0</v>
      </c>
      <c r="AH25" s="108">
        <f t="shared" si="4"/>
        <v>0</v>
      </c>
      <c r="AI25" s="108">
        <f t="shared" si="10"/>
        <v>0</v>
      </c>
      <c r="AJ25" s="108">
        <f t="shared" si="5"/>
        <v>0</v>
      </c>
      <c r="AK25" s="108">
        <f t="shared" si="6"/>
        <v>5</v>
      </c>
      <c r="AL25" s="108">
        <f t="shared" si="7"/>
        <v>0</v>
      </c>
      <c r="AN25" s="392"/>
      <c r="AO25" s="393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1</v>
      </c>
      <c r="H26" s="373" t="s">
        <v>9</v>
      </c>
      <c r="I26" s="441">
        <v>1</v>
      </c>
      <c r="J26" s="375">
        <f t="shared" si="0"/>
        <v>3</v>
      </c>
      <c r="K26" s="363">
        <f t="shared" si="1"/>
        <v>1</v>
      </c>
      <c r="L26" s="363">
        <f t="shared" si="2"/>
        <v>1</v>
      </c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392"/>
      <c r="V26" s="392"/>
      <c r="W26" s="392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3"/>
        <v>0</v>
      </c>
      <c r="AH26" s="108">
        <f t="shared" si="4"/>
        <v>0</v>
      </c>
      <c r="AI26" s="108">
        <f t="shared" si="10"/>
        <v>0</v>
      </c>
      <c r="AJ26" s="108">
        <f t="shared" si="5"/>
        <v>0</v>
      </c>
      <c r="AK26" s="108">
        <f t="shared" si="6"/>
        <v>0</v>
      </c>
      <c r="AL26" s="108">
        <f t="shared" si="7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2</v>
      </c>
      <c r="H27" s="379" t="s">
        <v>9</v>
      </c>
      <c r="I27" s="442">
        <v>1</v>
      </c>
      <c r="J27" s="381">
        <f t="shared" si="0"/>
        <v>1</v>
      </c>
      <c r="K27" s="363">
        <f t="shared" si="1"/>
        <v>3</v>
      </c>
      <c r="L27" s="363">
        <f t="shared" si="2"/>
        <v>0</v>
      </c>
      <c r="O27" s="394" t="s">
        <v>19</v>
      </c>
      <c r="P27" s="395">
        <f>SUMIF($D$8:$D$55,$O27,$G$8:$G$55)+SUMIF($F$8:$F$55,$O27,$I$8:$I$55)</f>
        <v>4</v>
      </c>
      <c r="Q27" s="395">
        <f>SUMIF($D$8:$D$55,$O27,$I$8:$I$55)+SUMIF($F$8:$F$55,$O27,$G$8:$G$55)</f>
        <v>5</v>
      </c>
      <c r="R27" s="396">
        <f>P27-Q27</f>
        <v>-1</v>
      </c>
      <c r="S27" s="397">
        <f>SUMIF($D$8:$D$55,$O27,$K$8:$K$55)+SUMIF($F$8:$F$55,$O27,$L$8:$L$55)</f>
        <v>3</v>
      </c>
      <c r="T27" s="444" t="s">
        <v>65</v>
      </c>
      <c r="U27" s="392"/>
      <c r="V27" s="392" t="str">
        <f>O27</f>
        <v>Uruguay</v>
      </c>
      <c r="W27" s="392" t="s">
        <v>62</v>
      </c>
      <c r="Y27" s="109">
        <f t="shared" si="8"/>
        <v>0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0</v>
      </c>
      <c r="AG27" s="108">
        <f t="shared" si="3"/>
        <v>0</v>
      </c>
      <c r="AH27" s="108">
        <f t="shared" si="4"/>
        <v>0</v>
      </c>
      <c r="AI27" s="108">
        <f t="shared" si="10"/>
        <v>0</v>
      </c>
      <c r="AJ27" s="108">
        <f t="shared" si="5"/>
        <v>0</v>
      </c>
      <c r="AK27" s="108">
        <f t="shared" si="6"/>
        <v>0</v>
      </c>
      <c r="AL27" s="108">
        <f t="shared" si="7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2</v>
      </c>
      <c r="H28" s="367" t="s">
        <v>9</v>
      </c>
      <c r="I28" s="440">
        <v>1</v>
      </c>
      <c r="J28" s="369">
        <f t="shared" si="0"/>
        <v>1</v>
      </c>
      <c r="K28" s="363">
        <f t="shared" si="1"/>
        <v>3</v>
      </c>
      <c r="L28" s="363">
        <f t="shared" si="2"/>
        <v>0</v>
      </c>
      <c r="O28" s="398" t="s">
        <v>20</v>
      </c>
      <c r="P28" s="399">
        <f>SUMIF($D$8:$D$55,$O28,$G$8:$G$55)+SUMIF($F$8:$F$55,$O28,$I$8:$I$55)</f>
        <v>2</v>
      </c>
      <c r="Q28" s="399">
        <f>SUMIF($D$8:$D$55,$O28,$I$8:$I$55)+SUMIF($F$8:$F$55,$O28,$G$8:$G$55)</f>
        <v>6</v>
      </c>
      <c r="R28" s="399">
        <f>P28-Q28</f>
        <v>-4</v>
      </c>
      <c r="S28" s="400">
        <f>SUMIF($D$8:$D$55,$O28,$K$8:$K$55)+SUMIF($F$8:$F$55,$O28,$L$8:$L$55)</f>
        <v>0</v>
      </c>
      <c r="T28" s="445" t="s">
        <v>64</v>
      </c>
      <c r="U28" s="392"/>
      <c r="V28" s="392" t="str">
        <f>O28</f>
        <v>Costa Rica</v>
      </c>
      <c r="W28" s="392" t="s">
        <v>63</v>
      </c>
      <c r="Y28" s="109">
        <f t="shared" si="8"/>
        <v>10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10</v>
      </c>
      <c r="AG28" s="108">
        <f t="shared" si="3"/>
        <v>1</v>
      </c>
      <c r="AH28" s="108">
        <f t="shared" si="4"/>
        <v>1</v>
      </c>
      <c r="AI28" s="108">
        <f t="shared" si="10"/>
        <v>10</v>
      </c>
      <c r="AJ28" s="108">
        <f t="shared" si="5"/>
        <v>5</v>
      </c>
      <c r="AK28" s="108">
        <f t="shared" si="6"/>
        <v>0</v>
      </c>
      <c r="AL28" s="108">
        <f t="shared" si="7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1</v>
      </c>
      <c r="H29" s="373" t="s">
        <v>9</v>
      </c>
      <c r="I29" s="441">
        <v>2</v>
      </c>
      <c r="J29" s="375">
        <f t="shared" si="0"/>
        <v>2</v>
      </c>
      <c r="K29" s="363">
        <f t="shared" si="1"/>
        <v>0</v>
      </c>
      <c r="L29" s="363">
        <f t="shared" si="2"/>
        <v>3</v>
      </c>
      <c r="O29" s="398" t="s">
        <v>21</v>
      </c>
      <c r="P29" s="399">
        <f>SUMIF($D$8:$D$55,$O29,$G$8:$G$55)+SUMIF($F$8:$F$55,$O29,$I$8:$I$55)</f>
        <v>5</v>
      </c>
      <c r="Q29" s="399">
        <f>SUMIF($D$8:$D$55,$O29,$I$8:$I$55)+SUMIF($F$8:$F$55,$O29,$G$8:$G$55)</f>
        <v>2</v>
      </c>
      <c r="R29" s="399">
        <f>P29-Q29</f>
        <v>3</v>
      </c>
      <c r="S29" s="400">
        <f>SUMIF($D$8:$D$55,$O29,$K$8:$K$55)+SUMIF($F$8:$F$55,$O29,$L$8:$L$55)</f>
        <v>7</v>
      </c>
      <c r="T29" s="445" t="s">
        <v>62</v>
      </c>
      <c r="U29" s="392"/>
      <c r="V29" s="392" t="str">
        <f>O29</f>
        <v>Engeland</v>
      </c>
      <c r="W29" s="392" t="s">
        <v>64</v>
      </c>
      <c r="Y29" s="109">
        <f t="shared" si="8"/>
        <v>0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0</v>
      </c>
      <c r="AG29" s="108">
        <f t="shared" si="3"/>
        <v>0</v>
      </c>
      <c r="AH29" s="108">
        <f t="shared" si="4"/>
        <v>0</v>
      </c>
      <c r="AI29" s="108">
        <f t="shared" si="10"/>
        <v>0</v>
      </c>
      <c r="AJ29" s="108">
        <f t="shared" si="5"/>
        <v>0</v>
      </c>
      <c r="AK29" s="108">
        <f t="shared" si="6"/>
        <v>0</v>
      </c>
      <c r="AL29" s="108">
        <f t="shared" si="7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1</v>
      </c>
      <c r="H30" s="379" t="s">
        <v>9</v>
      </c>
      <c r="I30" s="442">
        <v>1</v>
      </c>
      <c r="J30" s="381">
        <f t="shared" si="0"/>
        <v>3</v>
      </c>
      <c r="K30" s="363">
        <f t="shared" si="1"/>
        <v>1</v>
      </c>
      <c r="L30" s="363">
        <f t="shared" si="2"/>
        <v>1</v>
      </c>
      <c r="O30" s="401" t="s">
        <v>22</v>
      </c>
      <c r="P30" s="402">
        <f>SUMIF($D$8:$D$55,$O30,$G$8:$G$55)+SUMIF($F$8:$F$55,$O30,$I$8:$I$55)</f>
        <v>5</v>
      </c>
      <c r="Q30" s="402">
        <f>SUMIF($D$8:$D$55,$O30,$I$8:$I$55)+SUMIF($F$8:$F$55,$O30,$G$8:$G$55)</f>
        <v>3</v>
      </c>
      <c r="R30" s="402">
        <f>P30-Q30</f>
        <v>2</v>
      </c>
      <c r="S30" s="403">
        <f>SUMIF($D$8:$D$55,$O30,$K$8:$K$55)+SUMIF($F$8:$F$55,$O30,$L$8:$L$55)</f>
        <v>7</v>
      </c>
      <c r="T30" s="446" t="s">
        <v>63</v>
      </c>
      <c r="U30" s="392"/>
      <c r="V30" s="392" t="str">
        <f>O30</f>
        <v>Italië</v>
      </c>
      <c r="W30" s="392" t="s">
        <v>65</v>
      </c>
      <c r="Y30" s="109">
        <f t="shared" si="8"/>
        <v>5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5</v>
      </c>
      <c r="AG30" s="108">
        <f t="shared" si="3"/>
        <v>0</v>
      </c>
      <c r="AH30" s="108">
        <f t="shared" si="4"/>
        <v>0</v>
      </c>
      <c r="AI30" s="108">
        <f t="shared" si="10"/>
        <v>0</v>
      </c>
      <c r="AJ30" s="108">
        <f t="shared" si="5"/>
        <v>0</v>
      </c>
      <c r="AK30" s="108">
        <f t="shared" si="6"/>
        <v>0</v>
      </c>
      <c r="AL30" s="108">
        <f t="shared" si="7"/>
        <v>5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2</v>
      </c>
      <c r="H31" s="367" t="s">
        <v>9</v>
      </c>
      <c r="I31" s="440">
        <v>1</v>
      </c>
      <c r="J31" s="369">
        <f t="shared" si="0"/>
        <v>1</v>
      </c>
      <c r="K31" s="363">
        <f t="shared" si="1"/>
        <v>3</v>
      </c>
      <c r="L31" s="363">
        <f t="shared" si="2"/>
        <v>0</v>
      </c>
      <c r="O31" s="392"/>
      <c r="P31" s="393"/>
      <c r="Q31" s="393"/>
      <c r="R31" s="393"/>
      <c r="S31" s="393"/>
      <c r="T31" s="393"/>
      <c r="U31" s="392"/>
      <c r="V31" s="392"/>
      <c r="W31" s="392"/>
      <c r="Y31" s="109">
        <f t="shared" si="8"/>
        <v>1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1</v>
      </c>
      <c r="AG31" s="108">
        <f t="shared" si="3"/>
        <v>0</v>
      </c>
      <c r="AH31" s="108">
        <f t="shared" si="4"/>
        <v>1</v>
      </c>
      <c r="AI31" s="108">
        <f t="shared" si="10"/>
        <v>0</v>
      </c>
      <c r="AJ31" s="108">
        <f t="shared" si="5"/>
        <v>0</v>
      </c>
      <c r="AK31" s="108">
        <f t="shared" si="6"/>
        <v>0</v>
      </c>
      <c r="AL31" s="108">
        <f t="shared" si="7"/>
        <v>0</v>
      </c>
      <c r="AN31" s="392"/>
      <c r="AO31" s="393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1</v>
      </c>
      <c r="H32" s="373" t="s">
        <v>9</v>
      </c>
      <c r="I32" s="441">
        <v>1</v>
      </c>
      <c r="J32" s="375">
        <f t="shared" si="0"/>
        <v>3</v>
      </c>
      <c r="K32" s="363">
        <f t="shared" si="1"/>
        <v>1</v>
      </c>
      <c r="L32" s="363">
        <f t="shared" si="2"/>
        <v>1</v>
      </c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392"/>
      <c r="V32" s="392"/>
      <c r="W32" s="392"/>
      <c r="Y32" s="109">
        <f t="shared" si="8"/>
        <v>0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0</v>
      </c>
      <c r="AG32" s="108">
        <f t="shared" si="3"/>
        <v>0</v>
      </c>
      <c r="AH32" s="108">
        <f t="shared" si="4"/>
        <v>0</v>
      </c>
      <c r="AI32" s="108">
        <f t="shared" si="10"/>
        <v>0</v>
      </c>
      <c r="AJ32" s="108">
        <f t="shared" si="5"/>
        <v>0</v>
      </c>
      <c r="AK32" s="108">
        <f t="shared" si="6"/>
        <v>0</v>
      </c>
      <c r="AL32" s="108">
        <f t="shared" si="7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0</v>
      </c>
      <c r="H33" s="379" t="s">
        <v>9</v>
      </c>
      <c r="I33" s="442">
        <v>0</v>
      </c>
      <c r="J33" s="381">
        <f t="shared" si="0"/>
        <v>3</v>
      </c>
      <c r="K33" s="363">
        <f t="shared" si="1"/>
        <v>1</v>
      </c>
      <c r="L33" s="363">
        <f t="shared" si="2"/>
        <v>1</v>
      </c>
      <c r="O33" s="394" t="s">
        <v>25</v>
      </c>
      <c r="P33" s="395">
        <f>SUMIF($D$8:$D$55,$O33,$G$8:$G$55)+SUMIF($F$8:$F$55,$O33,$I$8:$I$55)</f>
        <v>4</v>
      </c>
      <c r="Q33" s="395">
        <f>SUMIF($D$8:$D$55,$O33,$I$8:$I$55)+SUMIF($F$8:$F$55,$O33,$G$8:$G$55)</f>
        <v>3</v>
      </c>
      <c r="R33" s="396">
        <f>P33-Q33</f>
        <v>1</v>
      </c>
      <c r="S33" s="397">
        <f>SUMIF($D$8:$D$55,$O33,$K$8:$K$55)+SUMIF($F$8:$F$55,$O33,$L$8:$L$55)</f>
        <v>5</v>
      </c>
      <c r="T33" s="444" t="s">
        <v>67</v>
      </c>
      <c r="U33" s="392"/>
      <c r="V33" s="392" t="str">
        <f>O33</f>
        <v>Zwitserland</v>
      </c>
      <c r="W33" s="392" t="s">
        <v>67</v>
      </c>
      <c r="Y33" s="109">
        <f t="shared" si="8"/>
        <v>0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0</v>
      </c>
      <c r="AG33" s="108">
        <f t="shared" si="3"/>
        <v>0</v>
      </c>
      <c r="AH33" s="108">
        <f t="shared" si="4"/>
        <v>0</v>
      </c>
      <c r="AI33" s="108">
        <f t="shared" si="10"/>
        <v>0</v>
      </c>
      <c r="AJ33" s="108">
        <f t="shared" si="5"/>
        <v>0</v>
      </c>
      <c r="AK33" s="108">
        <f t="shared" si="6"/>
        <v>0</v>
      </c>
      <c r="AL33" s="108">
        <f t="shared" si="7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3</v>
      </c>
      <c r="H34" s="367" t="s">
        <v>9</v>
      </c>
      <c r="I34" s="440">
        <v>0</v>
      </c>
      <c r="J34" s="369">
        <f t="shared" si="0"/>
        <v>1</v>
      </c>
      <c r="K34" s="363">
        <f t="shared" si="1"/>
        <v>3</v>
      </c>
      <c r="L34" s="363">
        <f t="shared" si="2"/>
        <v>0</v>
      </c>
      <c r="O34" s="398" t="s">
        <v>26</v>
      </c>
      <c r="P34" s="399">
        <f>SUMIF($D$8:$D$55,$O34,$G$8:$G$55)+SUMIF($F$8:$F$55,$O34,$I$8:$I$55)</f>
        <v>1</v>
      </c>
      <c r="Q34" s="399">
        <f>SUMIF($D$8:$D$55,$O34,$I$8:$I$55)+SUMIF($F$8:$F$55,$O34,$G$8:$G$55)</f>
        <v>4</v>
      </c>
      <c r="R34" s="399">
        <f>P34-Q34</f>
        <v>-3</v>
      </c>
      <c r="S34" s="400">
        <f>SUMIF($D$8:$D$55,$O34,$K$8:$K$55)+SUMIF($F$8:$F$55,$O34,$L$8:$L$55)</f>
        <v>1</v>
      </c>
      <c r="T34" s="445" t="s">
        <v>68</v>
      </c>
      <c r="U34" s="392"/>
      <c r="V34" s="392" t="str">
        <f>O34</f>
        <v>Ecuador</v>
      </c>
      <c r="W34" s="392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3"/>
        <v>0</v>
      </c>
      <c r="AH34" s="108">
        <f t="shared" si="4"/>
        <v>1</v>
      </c>
      <c r="AI34" s="108">
        <f t="shared" si="10"/>
        <v>0</v>
      </c>
      <c r="AJ34" s="108">
        <f t="shared" si="5"/>
        <v>5</v>
      </c>
      <c r="AK34" s="108">
        <f t="shared" si="6"/>
        <v>0</v>
      </c>
      <c r="AL34" s="108">
        <f t="shared" si="7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1</v>
      </c>
      <c r="H35" s="373" t="s">
        <v>9</v>
      </c>
      <c r="I35" s="441">
        <v>1</v>
      </c>
      <c r="J35" s="375">
        <f t="shared" si="0"/>
        <v>3</v>
      </c>
      <c r="K35" s="363">
        <f t="shared" si="1"/>
        <v>1</v>
      </c>
      <c r="L35" s="363">
        <f t="shared" si="2"/>
        <v>1</v>
      </c>
      <c r="O35" s="398" t="s">
        <v>27</v>
      </c>
      <c r="P35" s="399">
        <f>SUMIF($D$8:$D$55,$O35,$G$8:$G$55)+SUMIF($F$8:$F$55,$O35,$I$8:$I$55)</f>
        <v>4</v>
      </c>
      <c r="Q35" s="399">
        <f>SUMIF($D$8:$D$55,$O35,$I$8:$I$55)+SUMIF($F$8:$F$55,$O35,$G$8:$G$55)</f>
        <v>3</v>
      </c>
      <c r="R35" s="399">
        <f>P35-Q35</f>
        <v>1</v>
      </c>
      <c r="S35" s="400">
        <f>SUMIF($D$8:$D$55,$O35,$K$8:$K$55)+SUMIF($F$8:$F$55,$O35,$L$8:$L$55)</f>
        <v>4</v>
      </c>
      <c r="T35" s="445" t="s">
        <v>68</v>
      </c>
      <c r="U35" s="392"/>
      <c r="V35" s="392" t="str">
        <f>O35</f>
        <v>Frankrijk</v>
      </c>
      <c r="W35" s="392" t="s">
        <v>69</v>
      </c>
      <c r="Y35" s="109">
        <f t="shared" si="8"/>
        <v>5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5</v>
      </c>
      <c r="AG35" s="108">
        <f t="shared" si="3"/>
        <v>0</v>
      </c>
      <c r="AH35" s="108">
        <f t="shared" si="4"/>
        <v>0</v>
      </c>
      <c r="AI35" s="108">
        <f t="shared" si="10"/>
        <v>0</v>
      </c>
      <c r="AJ35" s="108">
        <f t="shared" si="5"/>
        <v>0</v>
      </c>
      <c r="AK35" s="108">
        <f t="shared" si="6"/>
        <v>0</v>
      </c>
      <c r="AL35" s="108">
        <f t="shared" si="7"/>
        <v>5</v>
      </c>
      <c r="AM35" s="120">
        <f>AO35</f>
        <v>0</v>
      </c>
      <c r="AN35" s="117" t="s">
        <v>27</v>
      </c>
      <c r="AO35" s="115">
        <f>IF(Uitslag!T35="",0,IF(T35=Uitslag!T35,10,0))</f>
        <v>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3</v>
      </c>
      <c r="H36" s="379" t="s">
        <v>9</v>
      </c>
      <c r="I36" s="442">
        <v>0</v>
      </c>
      <c r="J36" s="381">
        <f t="shared" si="0"/>
        <v>1</v>
      </c>
      <c r="K36" s="363">
        <f t="shared" si="1"/>
        <v>3</v>
      </c>
      <c r="L36" s="363">
        <f t="shared" si="2"/>
        <v>0</v>
      </c>
      <c r="O36" s="401" t="s">
        <v>28</v>
      </c>
      <c r="P36" s="402">
        <f>SUMIF($D$8:$D$55,$O36,$G$8:$G$55)+SUMIF($F$8:$F$55,$O36,$I$8:$I$55)</f>
        <v>3</v>
      </c>
      <c r="Q36" s="402">
        <f>SUMIF($D$8:$D$55,$O36,$I$8:$I$55)+SUMIF($F$8:$F$55,$O36,$G$8:$G$55)</f>
        <v>2</v>
      </c>
      <c r="R36" s="402">
        <f>P36-Q36</f>
        <v>1</v>
      </c>
      <c r="S36" s="403">
        <f>SUMIF($D$8:$D$55,$O36,$K$8:$K$55)+SUMIF($F$8:$F$55,$O36,$L$8:$L$55)</f>
        <v>5</v>
      </c>
      <c r="T36" s="446" t="s">
        <v>70</v>
      </c>
      <c r="U36" s="392"/>
      <c r="V36" s="392" t="str">
        <f>O36</f>
        <v>Honduras</v>
      </c>
      <c r="W36" s="392" t="s">
        <v>70</v>
      </c>
      <c r="Y36" s="109">
        <f t="shared" si="8"/>
        <v>6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6</v>
      </c>
      <c r="AG36" s="108">
        <f t="shared" si="3"/>
        <v>0</v>
      </c>
      <c r="AH36" s="108">
        <f t="shared" si="4"/>
        <v>1</v>
      </c>
      <c r="AI36" s="108">
        <f t="shared" si="10"/>
        <v>0</v>
      </c>
      <c r="AJ36" s="108">
        <f t="shared" si="5"/>
        <v>5</v>
      </c>
      <c r="AK36" s="108">
        <f t="shared" si="6"/>
        <v>0</v>
      </c>
      <c r="AL36" s="108">
        <f t="shared" si="7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2</v>
      </c>
      <c r="H37" s="367" t="s">
        <v>9</v>
      </c>
      <c r="I37" s="440">
        <v>1</v>
      </c>
      <c r="J37" s="369">
        <f t="shared" si="0"/>
        <v>1</v>
      </c>
      <c r="K37" s="363">
        <f t="shared" si="1"/>
        <v>3</v>
      </c>
      <c r="L37" s="363">
        <f t="shared" si="2"/>
        <v>0</v>
      </c>
      <c r="O37" s="392"/>
      <c r="P37" s="393"/>
      <c r="Q37" s="393"/>
      <c r="R37" s="393"/>
      <c r="S37" s="393"/>
      <c r="T37" s="393"/>
      <c r="U37" s="392"/>
      <c r="V37" s="392"/>
      <c r="W37" s="392"/>
      <c r="Y37" s="109">
        <f t="shared" si="8"/>
        <v>5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5</v>
      </c>
      <c r="AG37" s="108">
        <f t="shared" si="3"/>
        <v>0</v>
      </c>
      <c r="AH37" s="108">
        <f t="shared" si="4"/>
        <v>0</v>
      </c>
      <c r="AI37" s="108">
        <f t="shared" si="10"/>
        <v>0</v>
      </c>
      <c r="AJ37" s="108">
        <f t="shared" si="5"/>
        <v>5</v>
      </c>
      <c r="AK37" s="108">
        <f t="shared" si="6"/>
        <v>0</v>
      </c>
      <c r="AL37" s="108">
        <f t="shared" si="7"/>
        <v>0</v>
      </c>
      <c r="AN37" s="392"/>
      <c r="AO37" s="393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0</v>
      </c>
      <c r="H38" s="373" t="s">
        <v>9</v>
      </c>
      <c r="I38" s="441">
        <v>0</v>
      </c>
      <c r="J38" s="375">
        <f t="shared" si="0"/>
        <v>3</v>
      </c>
      <c r="K38" s="363">
        <f t="shared" si="1"/>
        <v>1</v>
      </c>
      <c r="L38" s="363">
        <f t="shared" si="2"/>
        <v>1</v>
      </c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392"/>
      <c r="V38" s="392"/>
      <c r="W38" s="392"/>
      <c r="Y38" s="109">
        <f t="shared" si="8"/>
        <v>0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0</v>
      </c>
      <c r="AG38" s="108">
        <f t="shared" si="3"/>
        <v>0</v>
      </c>
      <c r="AH38" s="108">
        <f t="shared" si="4"/>
        <v>0</v>
      </c>
      <c r="AI38" s="108">
        <f t="shared" si="10"/>
        <v>0</v>
      </c>
      <c r="AJ38" s="108">
        <f t="shared" si="5"/>
        <v>0</v>
      </c>
      <c r="AK38" s="108">
        <f t="shared" si="6"/>
        <v>0</v>
      </c>
      <c r="AL38" s="108">
        <f t="shared" si="7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0</v>
      </c>
      <c r="H39" s="379" t="s">
        <v>9</v>
      </c>
      <c r="I39" s="442">
        <v>1</v>
      </c>
      <c r="J39" s="381">
        <f t="shared" si="0"/>
        <v>2</v>
      </c>
      <c r="K39" s="363">
        <f t="shared" si="1"/>
        <v>0</v>
      </c>
      <c r="L39" s="363">
        <f t="shared" si="2"/>
        <v>3</v>
      </c>
      <c r="O39" s="394" t="s">
        <v>29</v>
      </c>
      <c r="P39" s="395">
        <f>SUMIF($D$8:$D$55,$O39,$G$8:$G$55)+SUMIF($F$8:$F$55,$O39,$I$8:$I$55)</f>
        <v>8</v>
      </c>
      <c r="Q39" s="395">
        <f>SUMIF($D$8:$D$55,$O39,$I$8:$I$55)+SUMIF($F$8:$F$55,$O39,$G$8:$G$55)</f>
        <v>2</v>
      </c>
      <c r="R39" s="396">
        <f>P39-Q39</f>
        <v>6</v>
      </c>
      <c r="S39" s="397">
        <f>SUMIF($D$8:$D$55,$O39,$K$8:$K$55)+SUMIF($F$8:$F$55,$O39,$L$8:$L$55)</f>
        <v>9</v>
      </c>
      <c r="T39" s="444" t="s">
        <v>72</v>
      </c>
      <c r="U39" s="392"/>
      <c r="V39" s="392" t="str">
        <f>O39</f>
        <v>Argentinië</v>
      </c>
      <c r="W39" s="392" t="s">
        <v>72</v>
      </c>
      <c r="Y39" s="109">
        <f t="shared" si="8"/>
        <v>0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0</v>
      </c>
      <c r="AG39" s="108">
        <f t="shared" si="3"/>
        <v>0</v>
      </c>
      <c r="AH39" s="108">
        <f t="shared" si="4"/>
        <v>0</v>
      </c>
      <c r="AI39" s="108">
        <f t="shared" si="10"/>
        <v>0</v>
      </c>
      <c r="AJ39" s="108">
        <f t="shared" si="5"/>
        <v>0</v>
      </c>
      <c r="AK39" s="108">
        <f t="shared" si="6"/>
        <v>0</v>
      </c>
      <c r="AL39" s="108">
        <f t="shared" si="7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0</v>
      </c>
      <c r="H40" s="367" t="s">
        <v>9</v>
      </c>
      <c r="I40" s="440">
        <v>2</v>
      </c>
      <c r="J40" s="369">
        <f t="shared" si="0"/>
        <v>2</v>
      </c>
      <c r="K40" s="363">
        <f t="shared" si="1"/>
        <v>0</v>
      </c>
      <c r="L40" s="363">
        <f t="shared" si="2"/>
        <v>3</v>
      </c>
      <c r="O40" s="398" t="s">
        <v>30</v>
      </c>
      <c r="P40" s="399">
        <f>SUMIF($D$8:$D$55,$O40,$G$8:$G$55)+SUMIF($F$8:$F$55,$O40,$I$8:$I$55)</f>
        <v>2</v>
      </c>
      <c r="Q40" s="399">
        <f>SUMIF($D$8:$D$55,$O40,$I$8:$I$55)+SUMIF($F$8:$F$55,$O40,$G$8:$G$55)</f>
        <v>6</v>
      </c>
      <c r="R40" s="399">
        <f>P40-Q40</f>
        <v>-4</v>
      </c>
      <c r="S40" s="400">
        <f>SUMIF($D$8:$D$55,$O40,$K$8:$K$55)+SUMIF($F$8:$F$55,$O40,$L$8:$L$55)</f>
        <v>3</v>
      </c>
      <c r="T40" s="445" t="s">
        <v>74</v>
      </c>
      <c r="U40" s="392"/>
      <c r="V40" s="392" t="str">
        <f>O40</f>
        <v>Bosnië H.</v>
      </c>
      <c r="W40" s="392" t="s">
        <v>73</v>
      </c>
      <c r="Y40" s="109">
        <f t="shared" si="8"/>
        <v>6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6</v>
      </c>
      <c r="AG40" s="108">
        <f t="shared" si="3"/>
        <v>1</v>
      </c>
      <c r="AH40" s="108">
        <f t="shared" si="4"/>
        <v>0</v>
      </c>
      <c r="AI40" s="108">
        <f t="shared" si="10"/>
        <v>0</v>
      </c>
      <c r="AJ40" s="108">
        <f t="shared" si="5"/>
        <v>0</v>
      </c>
      <c r="AK40" s="108">
        <f t="shared" si="6"/>
        <v>5</v>
      </c>
      <c r="AL40" s="108">
        <f t="shared" si="7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2</v>
      </c>
      <c r="H41" s="373" t="s">
        <v>9</v>
      </c>
      <c r="I41" s="441">
        <v>0</v>
      </c>
      <c r="J41" s="375">
        <f t="shared" si="0"/>
        <v>1</v>
      </c>
      <c r="K41" s="363">
        <f t="shared" si="1"/>
        <v>3</v>
      </c>
      <c r="L41" s="363">
        <f t="shared" si="2"/>
        <v>0</v>
      </c>
      <c r="O41" s="398" t="s">
        <v>33</v>
      </c>
      <c r="P41" s="399">
        <f>SUMIF($D$8:$D$55,$O41,$G$8:$G$55)+SUMIF($F$8:$F$55,$O41,$I$8:$I$55)</f>
        <v>0</v>
      </c>
      <c r="Q41" s="399">
        <f>SUMIF($D$8:$D$55,$O41,$I$8:$I$55)+SUMIF($F$8:$F$55,$O41,$G$8:$G$55)</f>
        <v>5</v>
      </c>
      <c r="R41" s="399">
        <f>P41-Q41</f>
        <v>-5</v>
      </c>
      <c r="S41" s="400">
        <f>SUMIF($D$8:$D$55,$O41,$K$8:$K$55)+SUMIF($F$8:$F$55,$O41,$L$8:$L$55)</f>
        <v>0</v>
      </c>
      <c r="T41" s="445" t="s">
        <v>75</v>
      </c>
      <c r="U41" s="392"/>
      <c r="V41" s="392" t="str">
        <f>O41</f>
        <v>Iran</v>
      </c>
      <c r="W41" s="392" t="s">
        <v>74</v>
      </c>
      <c r="Y41" s="109">
        <f t="shared" si="8"/>
        <v>10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10</v>
      </c>
      <c r="AG41" s="108">
        <f t="shared" si="3"/>
        <v>1</v>
      </c>
      <c r="AH41" s="108">
        <f t="shared" si="4"/>
        <v>1</v>
      </c>
      <c r="AI41" s="108">
        <f t="shared" si="10"/>
        <v>10</v>
      </c>
      <c r="AJ41" s="108">
        <f t="shared" si="5"/>
        <v>5</v>
      </c>
      <c r="AK41" s="108">
        <f t="shared" si="6"/>
        <v>0</v>
      </c>
      <c r="AL41" s="108">
        <f t="shared" si="7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1</v>
      </c>
      <c r="H42" s="373" t="s">
        <v>9</v>
      </c>
      <c r="I42" s="441">
        <v>1</v>
      </c>
      <c r="J42" s="375">
        <f t="shared" si="0"/>
        <v>3</v>
      </c>
      <c r="K42" s="363">
        <f t="shared" si="1"/>
        <v>1</v>
      </c>
      <c r="L42" s="363">
        <f t="shared" si="2"/>
        <v>1</v>
      </c>
      <c r="O42" s="401" t="s">
        <v>34</v>
      </c>
      <c r="P42" s="402">
        <f>SUMIF($D$8:$D$55,$O42,$G$8:$G$55)+SUMIF($F$8:$F$55,$O42,$I$8:$I$55)</f>
        <v>5</v>
      </c>
      <c r="Q42" s="402">
        <f>SUMIF($D$8:$D$55,$O42,$I$8:$I$55)+SUMIF($F$8:$F$55,$O42,$G$8:$G$55)</f>
        <v>2</v>
      </c>
      <c r="R42" s="402">
        <f>P42-Q42</f>
        <v>3</v>
      </c>
      <c r="S42" s="403">
        <f>SUMIF($D$8:$D$55,$O42,$K$8:$K$55)+SUMIF($F$8:$F$55,$O42,$L$8:$L$55)</f>
        <v>6</v>
      </c>
      <c r="T42" s="446" t="s">
        <v>73</v>
      </c>
      <c r="U42" s="392"/>
      <c r="V42" s="392" t="str">
        <f>O42</f>
        <v>Nigeria</v>
      </c>
      <c r="W42" s="392" t="s">
        <v>75</v>
      </c>
      <c r="Y42" s="109">
        <f t="shared" si="8"/>
        <v>1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1</v>
      </c>
      <c r="AG42" s="108">
        <f t="shared" si="3"/>
        <v>1</v>
      </c>
      <c r="AH42" s="108">
        <f t="shared" si="4"/>
        <v>0</v>
      </c>
      <c r="AI42" s="108">
        <f t="shared" si="10"/>
        <v>0</v>
      </c>
      <c r="AJ42" s="108">
        <f t="shared" si="5"/>
        <v>0</v>
      </c>
      <c r="AK42" s="108">
        <f t="shared" si="6"/>
        <v>0</v>
      </c>
      <c r="AL42" s="108">
        <f t="shared" si="7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0</v>
      </c>
      <c r="H43" s="379" t="s">
        <v>9</v>
      </c>
      <c r="I43" s="442">
        <v>1</v>
      </c>
      <c r="J43" s="381">
        <f t="shared" si="0"/>
        <v>2</v>
      </c>
      <c r="K43" s="363">
        <f t="shared" si="1"/>
        <v>0</v>
      </c>
      <c r="L43" s="363">
        <f t="shared" si="2"/>
        <v>3</v>
      </c>
      <c r="O43" s="392"/>
      <c r="P43" s="393"/>
      <c r="Q43" s="393"/>
      <c r="R43" s="393"/>
      <c r="S43" s="393"/>
      <c r="T43" s="393"/>
      <c r="U43" s="392"/>
      <c r="V43" s="392"/>
      <c r="W43" s="392"/>
      <c r="Y43" s="109">
        <f t="shared" si="8"/>
        <v>5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5</v>
      </c>
      <c r="AG43" s="108">
        <f t="shared" si="3"/>
        <v>0</v>
      </c>
      <c r="AH43" s="108">
        <f t="shared" si="4"/>
        <v>0</v>
      </c>
      <c r="AI43" s="108">
        <f t="shared" si="10"/>
        <v>0</v>
      </c>
      <c r="AJ43" s="108">
        <f t="shared" si="5"/>
        <v>0</v>
      </c>
      <c r="AK43" s="108">
        <f t="shared" si="6"/>
        <v>5</v>
      </c>
      <c r="AL43" s="108">
        <f t="shared" si="7"/>
        <v>0</v>
      </c>
      <c r="AN43" s="392"/>
      <c r="AO43" s="393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2</v>
      </c>
      <c r="H44" s="367" t="s">
        <v>9</v>
      </c>
      <c r="I44" s="440">
        <v>1</v>
      </c>
      <c r="J44" s="369">
        <f t="shared" si="0"/>
        <v>1</v>
      </c>
      <c r="K44" s="363">
        <f t="shared" si="1"/>
        <v>3</v>
      </c>
      <c r="L44" s="363">
        <f t="shared" si="2"/>
        <v>0</v>
      </c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392"/>
      <c r="V44" s="392"/>
      <c r="W44" s="392"/>
      <c r="Y44" s="109">
        <f t="shared" si="8"/>
        <v>1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1</v>
      </c>
      <c r="AG44" s="108">
        <f t="shared" si="3"/>
        <v>0</v>
      </c>
      <c r="AH44" s="108">
        <f t="shared" si="4"/>
        <v>1</v>
      </c>
      <c r="AI44" s="108">
        <f t="shared" si="10"/>
        <v>0</v>
      </c>
      <c r="AJ44" s="108">
        <f t="shared" si="5"/>
        <v>0</v>
      </c>
      <c r="AK44" s="108">
        <f t="shared" si="6"/>
        <v>0</v>
      </c>
      <c r="AL44" s="108">
        <f t="shared" si="7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0</v>
      </c>
      <c r="H45" s="373" t="s">
        <v>9</v>
      </c>
      <c r="I45" s="441">
        <v>2</v>
      </c>
      <c r="J45" s="375">
        <f t="shared" si="0"/>
        <v>2</v>
      </c>
      <c r="K45" s="363">
        <f t="shared" si="1"/>
        <v>0</v>
      </c>
      <c r="L45" s="363">
        <f t="shared" si="2"/>
        <v>3</v>
      </c>
      <c r="O45" s="394" t="s">
        <v>31</v>
      </c>
      <c r="P45" s="395">
        <f>SUMIF($D$8:$D$55,$O45,$G$8:$G$55)+SUMIF($F$8:$F$55,$O45,$I$8:$I$55)</f>
        <v>5</v>
      </c>
      <c r="Q45" s="395">
        <f>SUMIF($D$8:$D$55,$O45,$I$8:$I$55)+SUMIF($F$8:$F$55,$O45,$G$8:$G$55)</f>
        <v>3</v>
      </c>
      <c r="R45" s="396">
        <f>P45-Q45</f>
        <v>2</v>
      </c>
      <c r="S45" s="397">
        <f>SUMIF($D$8:$D$55,$O45,$K$8:$K$55)+SUMIF($F$8:$F$55,$O45,$L$8:$L$55)</f>
        <v>7</v>
      </c>
      <c r="T45" s="444" t="s">
        <v>77</v>
      </c>
      <c r="U45" s="392"/>
      <c r="V45" s="392" t="str">
        <f>O45</f>
        <v>Duitsland</v>
      </c>
      <c r="W45" s="392" t="s">
        <v>77</v>
      </c>
      <c r="Y45" s="109">
        <f t="shared" si="8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1</v>
      </c>
      <c r="AG45" s="108">
        <f t="shared" si="3"/>
        <v>1</v>
      </c>
      <c r="AH45" s="108">
        <f t="shared" si="4"/>
        <v>0</v>
      </c>
      <c r="AI45" s="108">
        <f t="shared" si="10"/>
        <v>0</v>
      </c>
      <c r="AJ45" s="108">
        <f t="shared" si="5"/>
        <v>0</v>
      </c>
      <c r="AK45" s="108">
        <f t="shared" si="6"/>
        <v>0</v>
      </c>
      <c r="AL45" s="108">
        <f t="shared" si="7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0</v>
      </c>
      <c r="H46" s="373" t="s">
        <v>9</v>
      </c>
      <c r="I46" s="441">
        <v>2</v>
      </c>
      <c r="J46" s="375">
        <f t="shared" si="0"/>
        <v>2</v>
      </c>
      <c r="K46" s="363">
        <f t="shared" si="1"/>
        <v>0</v>
      </c>
      <c r="L46" s="363">
        <f t="shared" si="2"/>
        <v>3</v>
      </c>
      <c r="O46" s="398" t="s">
        <v>32</v>
      </c>
      <c r="P46" s="399">
        <f>SUMIF($D$8:$D$55,$O46,$G$8:$G$55)+SUMIF($F$8:$F$55,$O46,$I$8:$I$55)</f>
        <v>3</v>
      </c>
      <c r="Q46" s="399">
        <f>SUMIF($D$8:$D$55,$O46,$I$8:$I$55)+SUMIF($F$8:$F$55,$O46,$G$8:$G$55)</f>
        <v>3</v>
      </c>
      <c r="R46" s="399">
        <f>P46-Q46</f>
        <v>0</v>
      </c>
      <c r="S46" s="400">
        <f>SUMIF($D$8:$D$55,$O46,$K$8:$K$55)+SUMIF($F$8:$F$55,$O46,$L$8:$L$55)</f>
        <v>4</v>
      </c>
      <c r="T46" s="445" t="s">
        <v>79</v>
      </c>
      <c r="U46" s="392"/>
      <c r="V46" s="392" t="str">
        <f>O46</f>
        <v>Portugal</v>
      </c>
      <c r="W46" s="392" t="s">
        <v>78</v>
      </c>
      <c r="Y46" s="109">
        <f t="shared" si="8"/>
        <v>5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5</v>
      </c>
      <c r="AG46" s="108">
        <f t="shared" si="3"/>
        <v>0</v>
      </c>
      <c r="AH46" s="108">
        <f t="shared" si="4"/>
        <v>0</v>
      </c>
      <c r="AI46" s="108">
        <f t="shared" si="10"/>
        <v>0</v>
      </c>
      <c r="AJ46" s="108">
        <f t="shared" si="5"/>
        <v>0</v>
      </c>
      <c r="AK46" s="108">
        <f t="shared" si="6"/>
        <v>5</v>
      </c>
      <c r="AL46" s="108">
        <f t="shared" si="7"/>
        <v>0</v>
      </c>
      <c r="AM46" s="120">
        <f>AO46</f>
        <v>10</v>
      </c>
      <c r="AN46" s="117" t="s">
        <v>32</v>
      </c>
      <c r="AO46" s="115">
        <f>IF(Uitslag!T46="",0,IF(T46=Uitslag!T46,10,0))</f>
        <v>10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0</v>
      </c>
      <c r="H47" s="379" t="s">
        <v>9</v>
      </c>
      <c r="I47" s="442">
        <v>1</v>
      </c>
      <c r="J47" s="381">
        <f t="shared" si="0"/>
        <v>2</v>
      </c>
      <c r="K47" s="363">
        <f t="shared" si="1"/>
        <v>0</v>
      </c>
      <c r="L47" s="363">
        <f t="shared" si="2"/>
        <v>3</v>
      </c>
      <c r="O47" s="398" t="s">
        <v>35</v>
      </c>
      <c r="P47" s="399">
        <f>SUMIF($D$8:$D$55,$O47,$G$8:$G$55)+SUMIF($F$8:$F$55,$O47,$I$8:$I$55)</f>
        <v>4</v>
      </c>
      <c r="Q47" s="399">
        <f>SUMIF($D$8:$D$55,$O47,$I$8:$I$55)+SUMIF($F$8:$F$55,$O47,$G$8:$G$55)</f>
        <v>3</v>
      </c>
      <c r="R47" s="399">
        <f>P47-Q47</f>
        <v>1</v>
      </c>
      <c r="S47" s="400">
        <f>SUMIF($D$8:$D$55,$O47,$K$8:$K$55)+SUMIF($F$8:$F$55,$O47,$L$8:$L$55)</f>
        <v>5</v>
      </c>
      <c r="T47" s="445" t="s">
        <v>78</v>
      </c>
      <c r="U47" s="392"/>
      <c r="V47" s="392" t="str">
        <f>O47</f>
        <v>Ghana</v>
      </c>
      <c r="W47" s="392" t="s">
        <v>79</v>
      </c>
      <c r="Y47" s="109">
        <f t="shared" si="8"/>
        <v>1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1</v>
      </c>
      <c r="AG47" s="108">
        <f t="shared" si="3"/>
        <v>0</v>
      </c>
      <c r="AH47" s="108">
        <f t="shared" si="4"/>
        <v>1</v>
      </c>
      <c r="AI47" s="108">
        <f t="shared" si="10"/>
        <v>0</v>
      </c>
      <c r="AJ47" s="108">
        <f t="shared" si="5"/>
        <v>0</v>
      </c>
      <c r="AK47" s="108">
        <f t="shared" si="6"/>
        <v>0</v>
      </c>
      <c r="AL47" s="108">
        <f t="shared" si="7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1</v>
      </c>
      <c r="H48" s="367" t="s">
        <v>9</v>
      </c>
      <c r="I48" s="440">
        <v>2</v>
      </c>
      <c r="J48" s="369">
        <f t="shared" si="0"/>
        <v>2</v>
      </c>
      <c r="K48" s="363">
        <f t="shared" si="1"/>
        <v>0</v>
      </c>
      <c r="L48" s="363">
        <f t="shared" si="2"/>
        <v>3</v>
      </c>
      <c r="O48" s="401" t="s">
        <v>36</v>
      </c>
      <c r="P48" s="402">
        <f>SUMIF($D$8:$D$55,$O48,$G$8:$G$55)+SUMIF($F$8:$F$55,$O48,$I$8:$I$55)</f>
        <v>2</v>
      </c>
      <c r="Q48" s="402">
        <f>SUMIF($D$8:$D$55,$O48,$I$8:$I$55)+SUMIF($F$8:$F$55,$O48,$G$8:$G$55)</f>
        <v>5</v>
      </c>
      <c r="R48" s="402">
        <f>P48-Q48</f>
        <v>-3</v>
      </c>
      <c r="S48" s="403">
        <f>SUMIF($D$8:$D$55,$O48,$K$8:$K$55)+SUMIF($F$8:$F$55,$O48,$L$8:$L$55)</f>
        <v>0</v>
      </c>
      <c r="T48" s="446" t="s">
        <v>80</v>
      </c>
      <c r="U48" s="392"/>
      <c r="V48" s="392" t="str">
        <f>O48</f>
        <v>Verenigde Staten</v>
      </c>
      <c r="W48" s="392" t="s">
        <v>80</v>
      </c>
      <c r="Y48" s="109">
        <f t="shared" si="8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5</v>
      </c>
      <c r="AG48" s="108">
        <f t="shared" si="3"/>
        <v>0</v>
      </c>
      <c r="AH48" s="108">
        <f t="shared" si="4"/>
        <v>0</v>
      </c>
      <c r="AI48" s="108">
        <f t="shared" si="10"/>
        <v>0</v>
      </c>
      <c r="AJ48" s="108">
        <f t="shared" si="5"/>
        <v>0</v>
      </c>
      <c r="AK48" s="108">
        <f t="shared" si="6"/>
        <v>5</v>
      </c>
      <c r="AL48" s="108">
        <f t="shared" si="7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1</v>
      </c>
      <c r="H49" s="373" t="s">
        <v>9</v>
      </c>
      <c r="I49" s="441">
        <v>0</v>
      </c>
      <c r="J49" s="375">
        <f t="shared" si="0"/>
        <v>1</v>
      </c>
      <c r="K49" s="363">
        <f t="shared" si="1"/>
        <v>3</v>
      </c>
      <c r="L49" s="363">
        <f t="shared" si="2"/>
        <v>0</v>
      </c>
      <c r="O49" s="392"/>
      <c r="P49" s="393"/>
      <c r="Q49" s="393"/>
      <c r="R49" s="393"/>
      <c r="S49" s="393"/>
      <c r="T49" s="393"/>
      <c r="U49" s="392"/>
      <c r="V49" s="392"/>
      <c r="W49" s="392"/>
      <c r="Y49" s="109">
        <f t="shared" si="8"/>
        <v>5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5</v>
      </c>
      <c r="AG49" s="108">
        <f t="shared" si="3"/>
        <v>0</v>
      </c>
      <c r="AH49" s="108">
        <f t="shared" si="4"/>
        <v>0</v>
      </c>
      <c r="AI49" s="108">
        <f t="shared" si="10"/>
        <v>0</v>
      </c>
      <c r="AJ49" s="108">
        <f t="shared" si="5"/>
        <v>5</v>
      </c>
      <c r="AK49" s="108">
        <f t="shared" si="6"/>
        <v>0</v>
      </c>
      <c r="AL49" s="108">
        <f t="shared" si="7"/>
        <v>0</v>
      </c>
      <c r="AN49" s="392"/>
      <c r="AO49" s="393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1</v>
      </c>
      <c r="H50" s="373" t="s">
        <v>9</v>
      </c>
      <c r="I50" s="441">
        <v>1</v>
      </c>
      <c r="J50" s="375">
        <f t="shared" si="0"/>
        <v>3</v>
      </c>
      <c r="K50" s="363">
        <f t="shared" si="1"/>
        <v>1</v>
      </c>
      <c r="L50" s="363">
        <f t="shared" si="2"/>
        <v>1</v>
      </c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392"/>
      <c r="V50" s="392"/>
      <c r="W50" s="392"/>
      <c r="Y50" s="109">
        <f t="shared" si="8"/>
        <v>0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0</v>
      </c>
      <c r="AG50" s="108">
        <f t="shared" si="3"/>
        <v>0</v>
      </c>
      <c r="AH50" s="108">
        <f t="shared" si="4"/>
        <v>0</v>
      </c>
      <c r="AI50" s="108">
        <f t="shared" si="10"/>
        <v>0</v>
      </c>
      <c r="AJ50" s="108">
        <f t="shared" si="5"/>
        <v>0</v>
      </c>
      <c r="AK50" s="108">
        <f t="shared" si="6"/>
        <v>0</v>
      </c>
      <c r="AL50" s="108">
        <f t="shared" si="7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0</v>
      </c>
      <c r="H51" s="379" t="s">
        <v>9</v>
      </c>
      <c r="I51" s="442">
        <v>2</v>
      </c>
      <c r="J51" s="381">
        <f t="shared" si="0"/>
        <v>2</v>
      </c>
      <c r="K51" s="363">
        <f t="shared" si="1"/>
        <v>0</v>
      </c>
      <c r="L51" s="363">
        <f t="shared" si="2"/>
        <v>3</v>
      </c>
      <c r="O51" s="394" t="s">
        <v>37</v>
      </c>
      <c r="P51" s="395">
        <f>SUMIF($D$8:$D$55,$O51,$G$8:$G$55)+SUMIF($F$8:$F$55,$O51,$I$8:$I$55)</f>
        <v>5</v>
      </c>
      <c r="Q51" s="395">
        <f>SUMIF($D$8:$D$55,$O51,$I$8:$I$55)+SUMIF($F$8:$F$55,$O51,$G$8:$G$55)</f>
        <v>1</v>
      </c>
      <c r="R51" s="396">
        <f>P51-Q51</f>
        <v>4</v>
      </c>
      <c r="S51" s="397">
        <f>SUMIF($D$8:$D$55,$O51,$K$8:$K$55)+SUMIF($F$8:$F$55,$O51,$L$8:$L$55)</f>
        <v>9</v>
      </c>
      <c r="T51" s="444" t="s">
        <v>82</v>
      </c>
      <c r="U51" s="392"/>
      <c r="V51" s="392" t="str">
        <f>O51</f>
        <v>België</v>
      </c>
      <c r="W51" s="392" t="s">
        <v>82</v>
      </c>
      <c r="Y51" s="109">
        <f t="shared" si="8"/>
        <v>1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1</v>
      </c>
      <c r="AG51" s="108">
        <f t="shared" si="3"/>
        <v>1</v>
      </c>
      <c r="AH51" s="108">
        <f t="shared" si="4"/>
        <v>0</v>
      </c>
      <c r="AI51" s="108">
        <f t="shared" si="10"/>
        <v>0</v>
      </c>
      <c r="AJ51" s="108">
        <f t="shared" si="5"/>
        <v>0</v>
      </c>
      <c r="AK51" s="108">
        <f t="shared" si="6"/>
        <v>0</v>
      </c>
      <c r="AL51" s="108">
        <f t="shared" si="7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1</v>
      </c>
      <c r="H52" s="373" t="s">
        <v>9</v>
      </c>
      <c r="I52" s="441">
        <v>2</v>
      </c>
      <c r="J52" s="369">
        <f t="shared" si="0"/>
        <v>2</v>
      </c>
      <c r="K52" s="363">
        <f t="shared" si="1"/>
        <v>0</v>
      </c>
      <c r="L52" s="363">
        <f t="shared" si="2"/>
        <v>3</v>
      </c>
      <c r="O52" s="398" t="s">
        <v>38</v>
      </c>
      <c r="P52" s="399">
        <f>SUMIF($D$8:$D$55,$O52,$G$8:$G$55)+SUMIF($F$8:$F$55,$O52,$I$8:$I$55)</f>
        <v>0</v>
      </c>
      <c r="Q52" s="399">
        <f>SUMIF($D$8:$D$55,$O52,$I$8:$I$55)+SUMIF($F$8:$F$55,$O52,$G$8:$G$55)</f>
        <v>3</v>
      </c>
      <c r="R52" s="399">
        <f>P52-Q52</f>
        <v>-3</v>
      </c>
      <c r="S52" s="400">
        <f>SUMIF($D$8:$D$55,$O52,$K$8:$K$55)+SUMIF($F$8:$F$55,$O52,$L$8:$L$55)</f>
        <v>1</v>
      </c>
      <c r="T52" s="445" t="s">
        <v>85</v>
      </c>
      <c r="U52" s="392"/>
      <c r="V52" s="392" t="str">
        <f>O52</f>
        <v>Algerije</v>
      </c>
      <c r="W52" s="392" t="s">
        <v>83</v>
      </c>
      <c r="Y52" s="109">
        <f t="shared" si="8"/>
        <v>5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5</v>
      </c>
      <c r="AG52" s="108">
        <f t="shared" si="3"/>
        <v>0</v>
      </c>
      <c r="AH52" s="108">
        <f t="shared" si="4"/>
        <v>0</v>
      </c>
      <c r="AI52" s="108">
        <f t="shared" si="10"/>
        <v>0</v>
      </c>
      <c r="AJ52" s="108">
        <f t="shared" si="5"/>
        <v>0</v>
      </c>
      <c r="AK52" s="108">
        <f t="shared" si="6"/>
        <v>5</v>
      </c>
      <c r="AL52" s="108">
        <f t="shared" si="7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1</v>
      </c>
      <c r="H53" s="373" t="s">
        <v>9</v>
      </c>
      <c r="I53" s="441">
        <v>1</v>
      </c>
      <c r="J53" s="375">
        <f t="shared" si="0"/>
        <v>3</v>
      </c>
      <c r="K53" s="363">
        <f t="shared" si="1"/>
        <v>1</v>
      </c>
      <c r="L53" s="363">
        <f t="shared" si="2"/>
        <v>1</v>
      </c>
      <c r="O53" s="398" t="s">
        <v>39</v>
      </c>
      <c r="P53" s="399">
        <f>SUMIF($D$8:$D$55,$O53,$G$8:$G$55)+SUMIF($F$8:$F$55,$O53,$I$8:$I$55)</f>
        <v>3</v>
      </c>
      <c r="Q53" s="399">
        <f>SUMIF($D$8:$D$55,$O53,$I$8:$I$55)+SUMIF($F$8:$F$55,$O53,$G$8:$G$55)</f>
        <v>2</v>
      </c>
      <c r="R53" s="399">
        <f>P53-Q53</f>
        <v>1</v>
      </c>
      <c r="S53" s="400">
        <f>SUMIF($D$8:$D$55,$O53,$K$8:$K$55)+SUMIF($F$8:$F$55,$O53,$L$8:$L$55)</f>
        <v>6</v>
      </c>
      <c r="T53" s="445" t="s">
        <v>83</v>
      </c>
      <c r="U53" s="392"/>
      <c r="V53" s="392" t="str">
        <f>O53</f>
        <v>Rusland</v>
      </c>
      <c r="W53" s="392" t="s">
        <v>84</v>
      </c>
      <c r="Y53" s="109">
        <f t="shared" si="8"/>
        <v>1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1</v>
      </c>
      <c r="AG53" s="108">
        <f t="shared" si="3"/>
        <v>0</v>
      </c>
      <c r="AH53" s="108">
        <f t="shared" si="4"/>
        <v>1</v>
      </c>
      <c r="AI53" s="108">
        <f t="shared" si="10"/>
        <v>0</v>
      </c>
      <c r="AJ53" s="108">
        <f t="shared" si="5"/>
        <v>0</v>
      </c>
      <c r="AK53" s="108">
        <f t="shared" si="6"/>
        <v>0</v>
      </c>
      <c r="AL53" s="108">
        <f t="shared" si="7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0</v>
      </c>
      <c r="H54" s="373" t="s">
        <v>9</v>
      </c>
      <c r="I54" s="441">
        <v>1</v>
      </c>
      <c r="J54" s="375">
        <f t="shared" si="0"/>
        <v>2</v>
      </c>
      <c r="K54" s="363">
        <f t="shared" si="1"/>
        <v>0</v>
      </c>
      <c r="L54" s="363">
        <f t="shared" si="2"/>
        <v>3</v>
      </c>
      <c r="O54" s="401" t="s">
        <v>40</v>
      </c>
      <c r="P54" s="402">
        <f>SUMIF($D$8:$D$55,$O54,$G$8:$G$55)+SUMIF($F$8:$F$55,$O54,$I$8:$I$55)</f>
        <v>0</v>
      </c>
      <c r="Q54" s="402">
        <f>SUMIF($D$8:$D$55,$O54,$I$8:$I$55)+SUMIF($F$8:$F$55,$O54,$G$8:$G$55)</f>
        <v>2</v>
      </c>
      <c r="R54" s="402">
        <f>P54-Q54</f>
        <v>-2</v>
      </c>
      <c r="S54" s="403">
        <f>SUMIF($D$8:$D$55,$O54,$K$8:$K$55)+SUMIF($F$8:$F$55,$O54,$L$8:$L$55)</f>
        <v>1</v>
      </c>
      <c r="T54" s="446" t="s">
        <v>84</v>
      </c>
      <c r="U54" s="392"/>
      <c r="V54" s="392" t="str">
        <f>O54</f>
        <v>Zuid Korea</v>
      </c>
      <c r="W54" s="392" t="s">
        <v>85</v>
      </c>
      <c r="Y54" s="109">
        <f t="shared" si="8"/>
        <v>10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10</v>
      </c>
      <c r="AG54" s="108">
        <f t="shared" si="3"/>
        <v>1</v>
      </c>
      <c r="AH54" s="108">
        <f t="shared" si="4"/>
        <v>1</v>
      </c>
      <c r="AI54" s="108">
        <f t="shared" si="10"/>
        <v>10</v>
      </c>
      <c r="AJ54" s="108">
        <f t="shared" si="5"/>
        <v>0</v>
      </c>
      <c r="AK54" s="108">
        <f t="shared" si="6"/>
        <v>5</v>
      </c>
      <c r="AL54" s="108">
        <f t="shared" si="7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0</v>
      </c>
      <c r="H55" s="388" t="s">
        <v>9</v>
      </c>
      <c r="I55" s="443">
        <v>1</v>
      </c>
      <c r="J55" s="390">
        <f t="shared" si="0"/>
        <v>2</v>
      </c>
      <c r="K55" s="363">
        <f t="shared" si="1"/>
        <v>0</v>
      </c>
      <c r="L55" s="363">
        <f t="shared" si="2"/>
        <v>3</v>
      </c>
      <c r="O55" s="392"/>
      <c r="P55" s="393"/>
      <c r="Q55" s="393"/>
      <c r="R55" s="393"/>
      <c r="S55" s="393"/>
      <c r="T55" s="393"/>
      <c r="U55" s="392"/>
      <c r="V55" s="392"/>
      <c r="W55" s="392"/>
      <c r="Y55" s="109">
        <f t="shared" si="8"/>
        <v>1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</v>
      </c>
      <c r="AG55" s="108">
        <f t="shared" si="3"/>
        <v>0</v>
      </c>
      <c r="AH55" s="108">
        <f t="shared" si="4"/>
        <v>1</v>
      </c>
      <c r="AI55" s="108">
        <f t="shared" si="10"/>
        <v>0</v>
      </c>
      <c r="AJ55" s="108">
        <f t="shared" si="5"/>
        <v>0</v>
      </c>
      <c r="AK55" s="108">
        <f t="shared" si="6"/>
        <v>0</v>
      </c>
      <c r="AL55" s="108">
        <f t="shared" si="7"/>
        <v>0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79"/>
      <c r="K57" s="353"/>
      <c r="L57" s="353"/>
      <c r="M57" s="353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77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O58" s="458">
        <v>1</v>
      </c>
      <c r="P58" s="877" t="s">
        <v>224</v>
      </c>
      <c r="Q58" s="877"/>
      <c r="R58" s="877"/>
      <c r="S58" s="877"/>
      <c r="T58" s="878"/>
      <c r="V58" s="352" t="s">
        <v>132</v>
      </c>
      <c r="W58" s="352" t="s">
        <v>124</v>
      </c>
      <c r="X58" s="352" t="str">
        <f t="shared" ref="X58:X98" si="11">CONCATENATE(W58," ",V58)</f>
        <v>Jeroen Zoet (k)</v>
      </c>
      <c r="Y58" s="113" t="s">
        <v>91</v>
      </c>
      <c r="Z58" s="352" t="str">
        <f>IF(K58=""," ",VLOOKUP(K58,$T$9:$V$54,3,FALSE))</f>
        <v xml:space="preserve"> </v>
      </c>
      <c r="AA58" s="352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 t="shared" ref="D59:D66" si="13">IF(ISERROR(Z59),K59,Z59)</f>
        <v>Brazilië</v>
      </c>
      <c r="E59" s="367" t="s">
        <v>9</v>
      </c>
      <c r="F59" s="406" t="str">
        <f t="shared" ref="F59:F66" si="14">IF(ISERROR(AA59),L59,AA59)</f>
        <v>Spanje</v>
      </c>
      <c r="G59" s="435">
        <v>2</v>
      </c>
      <c r="H59" s="367" t="s">
        <v>9</v>
      </c>
      <c r="I59" s="447">
        <v>1</v>
      </c>
      <c r="J59" s="448">
        <v>2</v>
      </c>
      <c r="K59" s="407" t="s">
        <v>48</v>
      </c>
      <c r="L59" s="407" t="s">
        <v>53</v>
      </c>
      <c r="M59" s="407">
        <v>1</v>
      </c>
      <c r="O59" s="458">
        <v>2</v>
      </c>
      <c r="P59" s="877" t="s">
        <v>212</v>
      </c>
      <c r="Q59" s="877"/>
      <c r="R59" s="877"/>
      <c r="S59" s="877"/>
      <c r="T59" s="878"/>
      <c r="V59" s="352" t="s">
        <v>132</v>
      </c>
      <c r="W59" s="352" t="s">
        <v>111</v>
      </c>
      <c r="X59" s="352" t="str">
        <f t="shared" si="11"/>
        <v>Jasper Cillessen (k)</v>
      </c>
      <c r="Y59" s="109">
        <f t="shared" ref="Y59:Y66" si="15">AF59</f>
        <v>1</v>
      </c>
      <c r="Z59" s="352" t="str">
        <f t="shared" ref="Z59:AA65" si="16">IF(K59=""," ",VLOOKUP(K59,$T$9:$V$54,3,FALSE))</f>
        <v>Brazilië</v>
      </c>
      <c r="AA59" s="352" t="str">
        <f t="shared" si="16"/>
        <v>Spanje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7">IF(OR(AC59="",AD59=""),0,(IF(SUM(AG59:AL59)&gt;10,10,SUM(AG59:AL59))))</f>
        <v>1</v>
      </c>
      <c r="AG59" s="108">
        <f t="shared" ref="AG59:AG66" si="18">IF(AC59="",0,(IF(G59=AC59,1,0)))</f>
        <v>0</v>
      </c>
      <c r="AH59" s="108">
        <f t="shared" ref="AH59:AH66" si="19">IF(AD59="",0,(IF(I59=AD59,1,0)))</f>
        <v>1</v>
      </c>
      <c r="AI59" s="108">
        <f t="shared" ref="AI59:AI66" si="20">IF(AND(AG59=1,AH59=1),10,0)</f>
        <v>0</v>
      </c>
      <c r="AJ59" s="108">
        <f t="shared" ref="AJ59:AJ66" si="21">IF(AND(G59&gt;I59,AC59&gt;AD59),5,0)</f>
        <v>0</v>
      </c>
      <c r="AK59" s="108">
        <f t="shared" ref="AK59:AK66" si="22">IF(AND(G59&lt;I59,AC59&lt;AD59),5,0)</f>
        <v>0</v>
      </c>
      <c r="AL59" s="108">
        <f t="shared" ref="AL59:AL66" si="23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4">BA59</f>
        <v>3</v>
      </c>
    </row>
    <row r="60" spans="2:54">
      <c r="B60" s="376">
        <v>50</v>
      </c>
      <c r="C60" s="466">
        <v>41818</v>
      </c>
      <c r="D60" s="460" t="str">
        <f t="shared" si="13"/>
        <v>Colombia</v>
      </c>
      <c r="E60" s="379" t="s">
        <v>9</v>
      </c>
      <c r="F60" s="409" t="str">
        <f t="shared" si="14"/>
        <v>Italië</v>
      </c>
      <c r="G60" s="437">
        <v>1</v>
      </c>
      <c r="H60" s="379" t="s">
        <v>9</v>
      </c>
      <c r="I60" s="449">
        <v>1</v>
      </c>
      <c r="J60" s="450">
        <v>2</v>
      </c>
      <c r="K60" s="407" t="s">
        <v>57</v>
      </c>
      <c r="L60" s="407" t="s">
        <v>63</v>
      </c>
      <c r="M60" s="407">
        <v>2</v>
      </c>
      <c r="O60" s="458">
        <v>3</v>
      </c>
      <c r="P60" s="877" t="s">
        <v>220</v>
      </c>
      <c r="Q60" s="877"/>
      <c r="R60" s="877"/>
      <c r="S60" s="877"/>
      <c r="T60" s="878"/>
      <c r="V60" s="352" t="s">
        <v>132</v>
      </c>
      <c r="W60" s="352" t="s">
        <v>110</v>
      </c>
      <c r="X60" s="352" t="str">
        <f t="shared" si="11"/>
        <v>Kenneth Vermeer (k)</v>
      </c>
      <c r="Y60" s="109">
        <f t="shared" si="15"/>
        <v>0</v>
      </c>
      <c r="Z60" s="352" t="str">
        <f t="shared" si="16"/>
        <v>Colombia</v>
      </c>
      <c r="AA60" s="352" t="str">
        <f t="shared" si="16"/>
        <v>Italië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7"/>
        <v>0</v>
      </c>
      <c r="AG60" s="108">
        <f t="shared" si="18"/>
        <v>0</v>
      </c>
      <c r="AH60" s="108">
        <f t="shared" si="19"/>
        <v>0</v>
      </c>
      <c r="AI60" s="108">
        <f t="shared" si="20"/>
        <v>0</v>
      </c>
      <c r="AJ60" s="108">
        <f t="shared" si="21"/>
        <v>0</v>
      </c>
      <c r="AK60" s="108">
        <f t="shared" si="22"/>
        <v>0</v>
      </c>
      <c r="AL60" s="108">
        <f t="shared" si="23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4"/>
        <v>3</v>
      </c>
    </row>
    <row r="61" spans="2:54">
      <c r="B61" s="364">
        <v>51</v>
      </c>
      <c r="C61" s="465">
        <v>41819</v>
      </c>
      <c r="D61" s="464" t="str">
        <f t="shared" si="13"/>
        <v>Nederland</v>
      </c>
      <c r="E61" s="367" t="s">
        <v>9</v>
      </c>
      <c r="F61" s="406" t="str">
        <f t="shared" si="14"/>
        <v>Mexico</v>
      </c>
      <c r="G61" s="435">
        <v>1</v>
      </c>
      <c r="H61" s="367" t="s">
        <v>9</v>
      </c>
      <c r="I61" s="447">
        <v>2</v>
      </c>
      <c r="J61" s="448">
        <v>2</v>
      </c>
      <c r="K61" s="407" t="s">
        <v>52</v>
      </c>
      <c r="L61" s="407" t="s">
        <v>49</v>
      </c>
      <c r="M61" s="407"/>
      <c r="O61" s="458">
        <v>4</v>
      </c>
      <c r="P61" s="877" t="s">
        <v>209</v>
      </c>
      <c r="Q61" s="877"/>
      <c r="R61" s="877"/>
      <c r="S61" s="877"/>
      <c r="T61" s="878"/>
      <c r="V61" s="352" t="s">
        <v>132</v>
      </c>
      <c r="W61" s="352" t="s">
        <v>191</v>
      </c>
      <c r="X61" s="352" t="str">
        <f t="shared" si="11"/>
        <v>Tim Krul (k)</v>
      </c>
      <c r="Y61" s="109">
        <f t="shared" si="15"/>
        <v>0</v>
      </c>
      <c r="Z61" s="352" t="str">
        <f t="shared" si="16"/>
        <v>Nederland</v>
      </c>
      <c r="AA61" s="352" t="str">
        <f t="shared" si="16"/>
        <v>Mexico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7"/>
        <v>0</v>
      </c>
      <c r="AG61" s="108">
        <f t="shared" si="18"/>
        <v>0</v>
      </c>
      <c r="AH61" s="108">
        <f t="shared" si="19"/>
        <v>0</v>
      </c>
      <c r="AI61" s="108">
        <f t="shared" si="20"/>
        <v>0</v>
      </c>
      <c r="AJ61" s="108">
        <f t="shared" si="21"/>
        <v>0</v>
      </c>
      <c r="AK61" s="108">
        <f t="shared" si="22"/>
        <v>0</v>
      </c>
      <c r="AL61" s="108">
        <f t="shared" si="23"/>
        <v>0</v>
      </c>
      <c r="AZ61" s="138" t="str">
        <f>Uitslag!P61</f>
        <v>Ron Vlaar (v)</v>
      </c>
      <c r="BA61" s="140">
        <f t="shared" si="12"/>
        <v>3</v>
      </c>
      <c r="BB61" s="139">
        <f t="shared" si="24"/>
        <v>3</v>
      </c>
    </row>
    <row r="62" spans="2:54">
      <c r="B62" s="376">
        <v>52</v>
      </c>
      <c r="C62" s="466">
        <v>41819</v>
      </c>
      <c r="D62" s="464" t="str">
        <f t="shared" si="13"/>
        <v>Engeland</v>
      </c>
      <c r="E62" s="379" t="s">
        <v>9</v>
      </c>
      <c r="F62" s="409" t="str">
        <f t="shared" si="14"/>
        <v>Japan</v>
      </c>
      <c r="G62" s="437">
        <v>1</v>
      </c>
      <c r="H62" s="379" t="s">
        <v>9</v>
      </c>
      <c r="I62" s="449">
        <v>0</v>
      </c>
      <c r="J62" s="450">
        <v>1</v>
      </c>
      <c r="K62" s="407" t="s">
        <v>62</v>
      </c>
      <c r="L62" s="407" t="s">
        <v>58</v>
      </c>
      <c r="M62" s="407"/>
      <c r="O62" s="458">
        <v>5</v>
      </c>
      <c r="P62" s="877" t="s">
        <v>225</v>
      </c>
      <c r="Q62" s="877"/>
      <c r="R62" s="877"/>
      <c r="S62" s="877"/>
      <c r="T62" s="878"/>
      <c r="V62" s="352" t="s">
        <v>132</v>
      </c>
      <c r="W62" s="352" t="s">
        <v>192</v>
      </c>
      <c r="X62" s="352" t="str">
        <f t="shared" si="11"/>
        <v>Maarten Stekelenburg (k)</v>
      </c>
      <c r="Y62" s="109">
        <f t="shared" si="15"/>
        <v>1</v>
      </c>
      <c r="Z62" s="352" t="str">
        <f t="shared" si="16"/>
        <v>Engeland</v>
      </c>
      <c r="AA62" s="352" t="str">
        <f t="shared" si="16"/>
        <v>Japan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7"/>
        <v>1</v>
      </c>
      <c r="AG62" s="108">
        <f t="shared" si="18"/>
        <v>1</v>
      </c>
      <c r="AH62" s="108">
        <f t="shared" si="19"/>
        <v>0</v>
      </c>
      <c r="AI62" s="108">
        <f t="shared" si="20"/>
        <v>0</v>
      </c>
      <c r="AJ62" s="108">
        <f t="shared" si="21"/>
        <v>0</v>
      </c>
      <c r="AK62" s="108">
        <f t="shared" si="22"/>
        <v>0</v>
      </c>
      <c r="AL62" s="108">
        <f t="shared" si="23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4"/>
        <v>3</v>
      </c>
    </row>
    <row r="63" spans="2:54">
      <c r="B63" s="364">
        <v>53</v>
      </c>
      <c r="C63" s="465">
        <v>41820</v>
      </c>
      <c r="D63" s="459" t="str">
        <f t="shared" si="13"/>
        <v>Zwitserland</v>
      </c>
      <c r="E63" s="367" t="s">
        <v>9</v>
      </c>
      <c r="F63" s="406" t="str">
        <f t="shared" si="14"/>
        <v>Nigeria</v>
      </c>
      <c r="G63" s="435">
        <v>1</v>
      </c>
      <c r="H63" s="367" t="s">
        <v>9</v>
      </c>
      <c r="I63" s="447">
        <v>1</v>
      </c>
      <c r="J63" s="448">
        <v>2</v>
      </c>
      <c r="K63" s="407" t="s">
        <v>67</v>
      </c>
      <c r="L63" s="407" t="s">
        <v>73</v>
      </c>
      <c r="M63" s="407"/>
      <c r="O63" s="458">
        <v>6</v>
      </c>
      <c r="P63" s="877" t="s">
        <v>213</v>
      </c>
      <c r="Q63" s="877"/>
      <c r="R63" s="877"/>
      <c r="S63" s="877"/>
      <c r="T63" s="878"/>
      <c r="V63" s="352" t="s">
        <v>132</v>
      </c>
      <c r="W63" s="352" t="s">
        <v>193</v>
      </c>
      <c r="X63" s="352" t="str">
        <f t="shared" si="11"/>
        <v>Michel Vorm (k)</v>
      </c>
      <c r="Y63" s="109">
        <f t="shared" si="15"/>
        <v>0</v>
      </c>
      <c r="Z63" s="352" t="str">
        <f t="shared" si="16"/>
        <v>Zwitserland</v>
      </c>
      <c r="AA63" s="352" t="str">
        <f t="shared" si="16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7"/>
        <v>0</v>
      </c>
      <c r="AG63" s="108">
        <f t="shared" si="18"/>
        <v>0</v>
      </c>
      <c r="AH63" s="108">
        <f t="shared" si="19"/>
        <v>0</v>
      </c>
      <c r="AI63" s="108">
        <f t="shared" si="20"/>
        <v>0</v>
      </c>
      <c r="AJ63" s="108">
        <f t="shared" si="21"/>
        <v>0</v>
      </c>
      <c r="AK63" s="108">
        <f t="shared" si="22"/>
        <v>0</v>
      </c>
      <c r="AL63" s="108">
        <f t="shared" si="23"/>
        <v>0</v>
      </c>
      <c r="AZ63" s="138" t="str">
        <f>Uitslag!P63</f>
        <v>Daley Blind (v)</v>
      </c>
      <c r="BA63" s="140">
        <f t="shared" si="12"/>
        <v>3</v>
      </c>
      <c r="BB63" s="139">
        <f t="shared" si="24"/>
        <v>3</v>
      </c>
    </row>
    <row r="64" spans="2:54">
      <c r="B64" s="376">
        <v>54</v>
      </c>
      <c r="C64" s="466">
        <v>41820</v>
      </c>
      <c r="D64" s="460" t="str">
        <f t="shared" si="13"/>
        <v>Duitsland</v>
      </c>
      <c r="E64" s="379" t="s">
        <v>9</v>
      </c>
      <c r="F64" s="409" t="str">
        <f t="shared" si="14"/>
        <v>Rusland</v>
      </c>
      <c r="G64" s="437">
        <v>2</v>
      </c>
      <c r="H64" s="379" t="s">
        <v>9</v>
      </c>
      <c r="I64" s="449">
        <v>1</v>
      </c>
      <c r="J64" s="450">
        <v>2</v>
      </c>
      <c r="K64" s="407" t="s">
        <v>77</v>
      </c>
      <c r="L64" s="407" t="s">
        <v>83</v>
      </c>
      <c r="M64" s="407"/>
      <c r="O64" s="458">
        <v>7</v>
      </c>
      <c r="P64" s="877" t="s">
        <v>226</v>
      </c>
      <c r="Q64" s="877"/>
      <c r="R64" s="877"/>
      <c r="S64" s="877"/>
      <c r="T64" s="878"/>
      <c r="V64" s="352" t="s">
        <v>133</v>
      </c>
      <c r="W64" s="352" t="s">
        <v>112</v>
      </c>
      <c r="X64" s="352" t="str">
        <f t="shared" si="11"/>
        <v>Joël Veltman (v)</v>
      </c>
      <c r="Y64" s="109">
        <f t="shared" si="15"/>
        <v>0</v>
      </c>
      <c r="Z64" s="352" t="str">
        <f t="shared" si="16"/>
        <v>Duitsland</v>
      </c>
      <c r="AA64" s="352" t="str">
        <f t="shared" si="16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7"/>
        <v>0</v>
      </c>
      <c r="AG64" s="108">
        <f t="shared" si="18"/>
        <v>0</v>
      </c>
      <c r="AH64" s="108">
        <f t="shared" si="19"/>
        <v>0</v>
      </c>
      <c r="AI64" s="108">
        <f t="shared" si="20"/>
        <v>0</v>
      </c>
      <c r="AJ64" s="108">
        <f t="shared" si="21"/>
        <v>0</v>
      </c>
      <c r="AK64" s="108">
        <f t="shared" si="22"/>
        <v>0</v>
      </c>
      <c r="AL64" s="108">
        <f t="shared" si="23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4"/>
        <v>3</v>
      </c>
    </row>
    <row r="65" spans="2:54">
      <c r="B65" s="370">
        <v>55</v>
      </c>
      <c r="C65" s="467">
        <v>41821</v>
      </c>
      <c r="D65" s="459" t="str">
        <f t="shared" si="13"/>
        <v>Argentinië</v>
      </c>
      <c r="E65" s="373" t="s">
        <v>9</v>
      </c>
      <c r="F65" s="410" t="str">
        <f t="shared" si="14"/>
        <v>Ecuador</v>
      </c>
      <c r="G65" s="436">
        <v>2</v>
      </c>
      <c r="H65" s="373" t="s">
        <v>9</v>
      </c>
      <c r="I65" s="451">
        <v>1</v>
      </c>
      <c r="J65" s="452">
        <v>2</v>
      </c>
      <c r="K65" s="407" t="s">
        <v>72</v>
      </c>
      <c r="L65" s="407" t="s">
        <v>68</v>
      </c>
      <c r="M65" s="407"/>
      <c r="O65" s="458">
        <v>8</v>
      </c>
      <c r="P65" s="877" t="s">
        <v>221</v>
      </c>
      <c r="Q65" s="877"/>
      <c r="R65" s="877"/>
      <c r="S65" s="877"/>
      <c r="T65" s="878"/>
      <c r="V65" s="352" t="s">
        <v>133</v>
      </c>
      <c r="W65" s="352" t="s">
        <v>109</v>
      </c>
      <c r="X65" s="352" t="str">
        <f t="shared" si="11"/>
        <v>Daley Blind (v)</v>
      </c>
      <c r="Y65" s="109">
        <f t="shared" si="15"/>
        <v>0</v>
      </c>
      <c r="Z65" s="352" t="str">
        <f t="shared" si="16"/>
        <v>Argentinië</v>
      </c>
      <c r="AA65" s="352" t="str">
        <f t="shared" si="16"/>
        <v>Ecuador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7"/>
        <v>0</v>
      </c>
      <c r="AG65" s="108">
        <f t="shared" si="18"/>
        <v>0</v>
      </c>
      <c r="AH65" s="108">
        <f t="shared" si="19"/>
        <v>0</v>
      </c>
      <c r="AI65" s="108">
        <f t="shared" si="20"/>
        <v>0</v>
      </c>
      <c r="AJ65" s="108">
        <f t="shared" si="21"/>
        <v>0</v>
      </c>
      <c r="AK65" s="108">
        <f t="shared" si="22"/>
        <v>0</v>
      </c>
      <c r="AL65" s="108">
        <f t="shared" si="23"/>
        <v>0</v>
      </c>
      <c r="AZ65" s="138" t="str">
        <f>Uitslag!P65</f>
        <v>Nigel de Jong (m)</v>
      </c>
      <c r="BA65" s="140">
        <f t="shared" si="12"/>
        <v>0</v>
      </c>
      <c r="BB65" s="139">
        <f t="shared" si="24"/>
        <v>0</v>
      </c>
    </row>
    <row r="66" spans="2:54" ht="15.75" thickBot="1">
      <c r="B66" s="385">
        <v>56</v>
      </c>
      <c r="C66" s="462">
        <v>41821</v>
      </c>
      <c r="D66" s="461" t="str">
        <f t="shared" si="13"/>
        <v>België</v>
      </c>
      <c r="E66" s="388" t="s">
        <v>9</v>
      </c>
      <c r="F66" s="412" t="str">
        <f t="shared" si="14"/>
        <v>Ghana</v>
      </c>
      <c r="G66" s="438">
        <v>2</v>
      </c>
      <c r="H66" s="388" t="s">
        <v>9</v>
      </c>
      <c r="I66" s="453">
        <v>1</v>
      </c>
      <c r="J66" s="454">
        <v>1</v>
      </c>
      <c r="K66" s="407" t="s">
        <v>82</v>
      </c>
      <c r="L66" s="407" t="s">
        <v>78</v>
      </c>
      <c r="M66" s="407"/>
      <c r="O66" s="458">
        <v>9</v>
      </c>
      <c r="P66" s="877" t="s">
        <v>216</v>
      </c>
      <c r="Q66" s="877"/>
      <c r="R66" s="877"/>
      <c r="S66" s="877"/>
      <c r="T66" s="878"/>
      <c r="V66" s="352" t="s">
        <v>133</v>
      </c>
      <c r="W66" s="352" t="s">
        <v>115</v>
      </c>
      <c r="X66" s="352" t="str">
        <f t="shared" si="11"/>
        <v>Daryl Janmaat (v)</v>
      </c>
      <c r="Y66" s="109">
        <f t="shared" si="15"/>
        <v>0</v>
      </c>
      <c r="Z66" s="352" t="str">
        <f>IF(K66=""," ",VLOOKUP(K66,$T$9:$V$54,3,FALSE))</f>
        <v>België</v>
      </c>
      <c r="AA66" s="352" t="str">
        <f>IF(L66=""," ",VLOOKUP(L66,$T$9:$V$54,3,FALSE))</f>
        <v>Ghana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7"/>
        <v>0</v>
      </c>
      <c r="AG66" s="108">
        <f t="shared" si="18"/>
        <v>0</v>
      </c>
      <c r="AH66" s="108">
        <f t="shared" si="19"/>
        <v>0</v>
      </c>
      <c r="AI66" s="108">
        <f t="shared" si="20"/>
        <v>0</v>
      </c>
      <c r="AJ66" s="108">
        <f t="shared" si="21"/>
        <v>0</v>
      </c>
      <c r="AK66" s="108">
        <f t="shared" si="22"/>
        <v>0</v>
      </c>
      <c r="AL66" s="108">
        <f t="shared" si="23"/>
        <v>0</v>
      </c>
      <c r="AZ66" s="138" t="str">
        <f>Uitslag!P66</f>
        <v>Jonathan de Guzman (m)</v>
      </c>
      <c r="BA66" s="140">
        <f t="shared" si="12"/>
        <v>3</v>
      </c>
      <c r="BB66" s="139">
        <f t="shared" si="24"/>
        <v>3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O67" s="458">
        <v>10</v>
      </c>
      <c r="P67" s="877" t="s">
        <v>214</v>
      </c>
      <c r="Q67" s="877"/>
      <c r="R67" s="877"/>
      <c r="S67" s="877"/>
      <c r="T67" s="878"/>
      <c r="V67" s="352" t="s">
        <v>133</v>
      </c>
      <c r="W67" s="352" t="s">
        <v>118</v>
      </c>
      <c r="X67" s="352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4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79"/>
      <c r="K68" s="353"/>
      <c r="L68" s="353"/>
      <c r="M68" s="353"/>
      <c r="O68" s="458">
        <v>11</v>
      </c>
      <c r="P68" s="877" t="s">
        <v>215</v>
      </c>
      <c r="Q68" s="877"/>
      <c r="R68" s="877"/>
      <c r="S68" s="877"/>
      <c r="T68" s="878"/>
      <c r="V68" s="352" t="s">
        <v>133</v>
      </c>
      <c r="W68" s="352" t="s">
        <v>119</v>
      </c>
      <c r="X68" s="352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4"/>
        <v>3</v>
      </c>
    </row>
    <row r="69" spans="2:54">
      <c r="B69" s="428" t="s">
        <v>1</v>
      </c>
      <c r="C69" s="429" t="s">
        <v>2</v>
      </c>
      <c r="D69" s="476" t="s">
        <v>3</v>
      </c>
      <c r="E69" s="431"/>
      <c r="F69" s="477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V69" s="352" t="s">
        <v>133</v>
      </c>
      <c r="W69" s="352" t="s">
        <v>121</v>
      </c>
      <c r="X69" s="352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30</v>
      </c>
      <c r="BB69" s="139" t="str">
        <f>IF(AND(BA69&lt;&gt;"",BA69=33),15,"nvt")</f>
        <v>nvt</v>
      </c>
    </row>
    <row r="70" spans="2:54">
      <c r="B70" s="364">
        <v>57</v>
      </c>
      <c r="C70" s="365">
        <v>41824</v>
      </c>
      <c r="D70" s="405" t="str">
        <f>IF(J63="","Winnaar 53",IF(J63=1,D63,F63))</f>
        <v>Nigeria</v>
      </c>
      <c r="E70" s="367" t="s">
        <v>9</v>
      </c>
      <c r="F70" s="406" t="str">
        <f>IF(J64="","Winnaar 54",IF(J64=1,D64,F64))</f>
        <v>Rusland</v>
      </c>
      <c r="G70" s="435">
        <v>2</v>
      </c>
      <c r="H70" s="367" t="s">
        <v>9</v>
      </c>
      <c r="I70" s="447">
        <v>1</v>
      </c>
      <c r="J70" s="448">
        <v>2</v>
      </c>
      <c r="K70" s="353"/>
      <c r="L70" s="353"/>
      <c r="M70" s="353"/>
      <c r="V70" s="352" t="s">
        <v>133</v>
      </c>
      <c r="W70" s="352" t="s">
        <v>126</v>
      </c>
      <c r="X70" s="352" t="str">
        <f t="shared" si="11"/>
        <v>Karim Rekik (v)</v>
      </c>
      <c r="Y70" s="109">
        <f>AF70</f>
        <v>1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1</v>
      </c>
      <c r="AG70" s="108">
        <f>IF(AC70="",0,(IF(G70=AC70,1,0)))</f>
        <v>0</v>
      </c>
      <c r="AH70" s="108">
        <f>IF(AD70="",0,(IF(I70=AD70,1,0)))</f>
        <v>1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0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Spanje</v>
      </c>
      <c r="E71" s="379" t="s">
        <v>9</v>
      </c>
      <c r="F71" s="409" t="str">
        <f>IF(J60="","Winnaar 50",IF(J60=1,D60,F60))</f>
        <v>Italië</v>
      </c>
      <c r="G71" s="437">
        <v>2</v>
      </c>
      <c r="H71" s="379" t="s">
        <v>9</v>
      </c>
      <c r="I71" s="449">
        <v>1</v>
      </c>
      <c r="J71" s="450">
        <v>2</v>
      </c>
      <c r="K71" s="353"/>
      <c r="L71" s="353"/>
      <c r="M71" s="353"/>
      <c r="V71" s="352" t="s">
        <v>133</v>
      </c>
      <c r="W71" s="352" t="s">
        <v>194</v>
      </c>
      <c r="X71" s="352" t="str">
        <f t="shared" si="11"/>
        <v>Ron Vlaar (v)</v>
      </c>
      <c r="Y71" s="109">
        <f>AF71</f>
        <v>10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10</v>
      </c>
      <c r="AG71" s="108">
        <f>IF(AC71="",0,(IF(G71=AC71,1,0)))</f>
        <v>1</v>
      </c>
      <c r="AH71" s="108">
        <f>IF(AD71="",0,(IF(I71=AD71,1,0)))</f>
        <v>1</v>
      </c>
      <c r="AI71" s="108">
        <f>IF(AND(AG71=1,AH71=1),10,0)</f>
        <v>10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Ecuador</v>
      </c>
      <c r="E72" s="367" t="s">
        <v>9</v>
      </c>
      <c r="F72" s="406" t="str">
        <f>IF(J66="","Winnaar 56",IF(J66=1,D66,F66))</f>
        <v>België</v>
      </c>
      <c r="G72" s="435">
        <v>1</v>
      </c>
      <c r="H72" s="367" t="s">
        <v>9</v>
      </c>
      <c r="I72" s="447">
        <v>2</v>
      </c>
      <c r="J72" s="448">
        <v>2</v>
      </c>
      <c r="K72" s="353"/>
      <c r="L72" s="353"/>
      <c r="M72" s="353"/>
      <c r="V72" s="352" t="s">
        <v>133</v>
      </c>
      <c r="W72" s="352" t="s">
        <v>195</v>
      </c>
      <c r="X72" s="352" t="str">
        <f t="shared" si="11"/>
        <v>John Heitinga (v)</v>
      </c>
      <c r="Y72" s="109">
        <f>AF72</f>
        <v>1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1</v>
      </c>
      <c r="AG72" s="108">
        <f>IF(AC72="",0,(IF(G72=AC72,1,0)))</f>
        <v>1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0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Mexico</v>
      </c>
      <c r="E73" s="388" t="s">
        <v>9</v>
      </c>
      <c r="F73" s="412" t="str">
        <f>IF(J62="","Winnaar 52",IF(J62=1,D62,F62))</f>
        <v>Engeland</v>
      </c>
      <c r="G73" s="438">
        <v>1</v>
      </c>
      <c r="H73" s="388" t="s">
        <v>9</v>
      </c>
      <c r="I73" s="453">
        <v>2</v>
      </c>
      <c r="J73" s="454">
        <v>2</v>
      </c>
      <c r="K73" s="353"/>
      <c r="L73" s="353"/>
      <c r="M73" s="353"/>
      <c r="V73" s="352" t="s">
        <v>133</v>
      </c>
      <c r="W73" s="352" t="s">
        <v>196</v>
      </c>
      <c r="X73" s="352" t="str">
        <f t="shared" si="11"/>
        <v>Urby Emanuelson (v)</v>
      </c>
      <c r="Y73" s="109">
        <f>AF73</f>
        <v>0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0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V74" s="352" t="s">
        <v>133</v>
      </c>
      <c r="W74" s="352" t="s">
        <v>197</v>
      </c>
      <c r="X74" s="352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79"/>
      <c r="K75" s="353"/>
      <c r="L75" s="353"/>
      <c r="M75" s="353"/>
      <c r="V75" s="352" t="s">
        <v>133</v>
      </c>
      <c r="W75" s="352" t="s">
        <v>198</v>
      </c>
      <c r="X75" s="352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76" t="s">
        <v>3</v>
      </c>
      <c r="E76" s="431"/>
      <c r="F76" s="477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V76" s="352" t="s">
        <v>133</v>
      </c>
      <c r="W76" s="352" t="s">
        <v>202</v>
      </c>
      <c r="X76" s="352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Rusland</v>
      </c>
      <c r="E77" s="367" t="s">
        <v>9</v>
      </c>
      <c r="F77" s="406" t="str">
        <f>IF(J71="","Winnaar 58",IF(J71=1,D71,F71))</f>
        <v>Italië</v>
      </c>
      <c r="G77" s="435">
        <v>0</v>
      </c>
      <c r="H77" s="367" t="s">
        <v>9</v>
      </c>
      <c r="I77" s="447">
        <v>1</v>
      </c>
      <c r="J77" s="448">
        <v>2</v>
      </c>
      <c r="K77" s="353"/>
      <c r="L77" s="353"/>
      <c r="M77" s="353"/>
      <c r="V77" s="352" t="s">
        <v>134</v>
      </c>
      <c r="W77" s="352" t="s">
        <v>203</v>
      </c>
      <c r="X77" s="352" t="str">
        <f t="shared" si="11"/>
        <v>Marco van Ginkel (m)</v>
      </c>
      <c r="Y77" s="109">
        <f>AF77</f>
        <v>1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1</v>
      </c>
      <c r="AG77" s="108">
        <f>IF(AC77="",0,(IF(G77=AC77,1,0)))</f>
        <v>0</v>
      </c>
      <c r="AH77" s="108">
        <f>IF(AD77="",0,(IF(I77=AD77,1,0)))</f>
        <v>1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België</v>
      </c>
      <c r="E78" s="388" t="s">
        <v>9</v>
      </c>
      <c r="F78" s="412" t="str">
        <f>IF(J73="","Winnaar 60",IF(J73=1,D73,F73))</f>
        <v>Engeland</v>
      </c>
      <c r="G78" s="438">
        <v>1</v>
      </c>
      <c r="H78" s="388" t="s">
        <v>9</v>
      </c>
      <c r="I78" s="453">
        <v>1</v>
      </c>
      <c r="J78" s="454">
        <v>2</v>
      </c>
      <c r="K78" s="353"/>
      <c r="L78" s="353"/>
      <c r="M78" s="353"/>
      <c r="V78" s="352" t="s">
        <v>134</v>
      </c>
      <c r="W78" s="352" t="s">
        <v>199</v>
      </c>
      <c r="X78" s="352" t="str">
        <f t="shared" si="11"/>
        <v>Leroy Fer (m)</v>
      </c>
      <c r="Y78" s="109">
        <f>AF78</f>
        <v>5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5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5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V79" s="352" t="s">
        <v>134</v>
      </c>
      <c r="W79" s="352" t="s">
        <v>114</v>
      </c>
      <c r="X79" s="352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79"/>
      <c r="K80" s="353"/>
      <c r="L80" s="353"/>
      <c r="M80" s="353"/>
      <c r="V80" s="352" t="s">
        <v>134</v>
      </c>
      <c r="W80" s="352" t="s">
        <v>117</v>
      </c>
      <c r="X80" s="352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76" t="s">
        <v>3</v>
      </c>
      <c r="E81" s="431"/>
      <c r="F81" s="477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V81" s="352" t="s">
        <v>134</v>
      </c>
      <c r="W81" s="352" t="s">
        <v>120</v>
      </c>
      <c r="X81" s="352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Rusland</v>
      </c>
      <c r="E82" s="355" t="s">
        <v>9</v>
      </c>
      <c r="F82" s="415" t="str">
        <f>IF(J78="","Verliezer 62",IF(J78=1,F78,D78))</f>
        <v>België</v>
      </c>
      <c r="G82" s="455">
        <v>0</v>
      </c>
      <c r="H82" s="355" t="s">
        <v>9</v>
      </c>
      <c r="I82" s="456">
        <v>1</v>
      </c>
      <c r="J82" s="457">
        <v>2</v>
      </c>
      <c r="K82" s="353"/>
      <c r="L82" s="353"/>
      <c r="M82" s="353"/>
      <c r="V82" s="352" t="s">
        <v>134</v>
      </c>
      <c r="W82" s="352" t="s">
        <v>125</v>
      </c>
      <c r="X82" s="352" t="str">
        <f t="shared" si="11"/>
        <v>Georginio Wijnaldum (m)</v>
      </c>
      <c r="Y82" s="109">
        <f>AF82</f>
        <v>6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6</v>
      </c>
      <c r="AG82" s="108">
        <f>IF(AC82="",0,(IF(G82=AC82,1,0)))</f>
        <v>1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5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V83" s="352" t="s">
        <v>134</v>
      </c>
      <c r="W83" s="352" t="s">
        <v>136</v>
      </c>
      <c r="X83" s="352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79"/>
      <c r="K84" s="353"/>
      <c r="L84" s="353"/>
      <c r="M84" s="353"/>
      <c r="V84" s="352" t="s">
        <v>134</v>
      </c>
      <c r="W84" s="352" t="s">
        <v>137</v>
      </c>
      <c r="X84" s="352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76" t="s">
        <v>3</v>
      </c>
      <c r="E85" s="431"/>
      <c r="F85" s="477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V85" s="352" t="s">
        <v>134</v>
      </c>
      <c r="W85" s="352" t="s">
        <v>138</v>
      </c>
      <c r="X85" s="352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Italië</v>
      </c>
      <c r="E86" s="355" t="s">
        <v>9</v>
      </c>
      <c r="F86" s="415" t="str">
        <f>IF(J78="","Winnaar 62",IF(J78=1,D78,F78))</f>
        <v>Engeland</v>
      </c>
      <c r="G86" s="455">
        <v>1</v>
      </c>
      <c r="H86" s="355" t="s">
        <v>9</v>
      </c>
      <c r="I86" s="456">
        <v>1</v>
      </c>
      <c r="J86" s="457">
        <v>2</v>
      </c>
      <c r="K86" s="353"/>
      <c r="L86" s="353"/>
      <c r="M86" s="353"/>
      <c r="V86" s="352" t="s">
        <v>134</v>
      </c>
      <c r="W86" s="352" t="s">
        <v>139</v>
      </c>
      <c r="X86" s="352" t="str">
        <f t="shared" si="11"/>
        <v>Nigel de Jong (m)</v>
      </c>
      <c r="Y86" s="109">
        <f>AF86</f>
        <v>5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5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5</v>
      </c>
    </row>
    <row r="87" spans="2:50">
      <c r="B87" s="353"/>
      <c r="C87" s="129"/>
      <c r="D87" s="392"/>
      <c r="E87" s="353"/>
      <c r="F87" s="392"/>
      <c r="G87" s="353"/>
      <c r="H87" s="353"/>
      <c r="I87" s="353"/>
      <c r="J87" s="353"/>
      <c r="K87" s="353"/>
      <c r="L87" s="353"/>
      <c r="M87" s="353"/>
      <c r="V87" s="352" t="s">
        <v>135</v>
      </c>
      <c r="W87" s="352" t="s">
        <v>205</v>
      </c>
      <c r="X87" s="352" t="str">
        <f t="shared" si="11"/>
        <v>Ricky van Wolfswinkel (a)</v>
      </c>
      <c r="AP87" s="136" t="s">
        <v>102</v>
      </c>
    </row>
    <row r="88" spans="2:50">
      <c r="B88" s="353"/>
      <c r="C88" s="129"/>
      <c r="D88" s="392"/>
      <c r="E88" s="353"/>
      <c r="F88" s="392"/>
      <c r="G88" s="353"/>
      <c r="H88" s="353"/>
      <c r="I88" s="353"/>
      <c r="J88" s="353"/>
      <c r="K88" s="353"/>
      <c r="L88" s="353"/>
      <c r="M88" s="353"/>
      <c r="V88" s="352" t="s">
        <v>135</v>
      </c>
      <c r="W88" s="352" t="s">
        <v>204</v>
      </c>
      <c r="X88" s="352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458"/>
    </row>
    <row r="89" spans="2:50" ht="20.25">
      <c r="C89" s="874" t="s">
        <v>101</v>
      </c>
      <c r="D89" s="871"/>
      <c r="E89" s="873" t="str">
        <f>IF(J86=1,D86,IF(J86=2,F86,"Wie zal het worden?"))</f>
        <v>Engeland</v>
      </c>
      <c r="F89" s="873"/>
      <c r="G89" s="873"/>
      <c r="H89" s="873"/>
      <c r="I89" s="873"/>
      <c r="J89" s="873"/>
      <c r="K89" s="353"/>
      <c r="L89" s="353"/>
      <c r="M89" s="353"/>
      <c r="V89" s="352" t="s">
        <v>135</v>
      </c>
      <c r="W89" s="352" t="s">
        <v>201</v>
      </c>
      <c r="X89" s="352" t="str">
        <f t="shared" si="11"/>
        <v>Jermain Lens (a)</v>
      </c>
      <c r="AP89" s="109">
        <f>AU89</f>
        <v>0</v>
      </c>
      <c r="AQ89" s="131">
        <v>1</v>
      </c>
      <c r="AR89" s="904" t="str">
        <f>Uitslag!E89</f>
        <v>Duitsland</v>
      </c>
      <c r="AS89" s="905"/>
      <c r="AT89" s="906"/>
      <c r="AU89" s="352">
        <f>SUM(AV89:AX89)</f>
        <v>0</v>
      </c>
      <c r="AV89" s="352">
        <f>IF(AR89=0,0,IF(E89=AR89,50,0))</f>
        <v>0</v>
      </c>
      <c r="AW89" s="352">
        <f>IF(E89=0,0,IF(OR(E89=AR90),15,0))</f>
        <v>0</v>
      </c>
      <c r="AX89" s="352">
        <f>IF(E89=0,0,IF(OR(E89=AR91,E89=AR92),5,0))</f>
        <v>0</v>
      </c>
    </row>
    <row r="90" spans="2:50">
      <c r="C90" s="870">
        <v>2</v>
      </c>
      <c r="D90" s="871"/>
      <c r="E90" s="872" t="str">
        <f>IF(J86=2,D86,IF(J86=1,F86,"Wie wordt 2de?"))</f>
        <v>Italië</v>
      </c>
      <c r="F90" s="872"/>
      <c r="G90" s="872"/>
      <c r="H90" s="872"/>
      <c r="I90" s="872"/>
      <c r="J90" s="872"/>
      <c r="V90" s="352" t="s">
        <v>135</v>
      </c>
      <c r="W90" s="352" t="s">
        <v>200</v>
      </c>
      <c r="X90" s="352" t="str">
        <f t="shared" si="11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 s="352">
        <f>SUM(AV90:AX90)</f>
        <v>0</v>
      </c>
      <c r="AV90" s="352">
        <f>IF(AR90=0,0,IF(AR90=E90,25,0))</f>
        <v>0</v>
      </c>
      <c r="AW90" s="352">
        <f>IF(E90=0,0,IF(OR(E90=AR89,),15,0))</f>
        <v>0</v>
      </c>
      <c r="AX90" s="352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België</v>
      </c>
      <c r="F91" s="872"/>
      <c r="G91" s="872"/>
      <c r="H91" s="872"/>
      <c r="I91" s="872"/>
      <c r="J91" s="872"/>
      <c r="V91" s="352" t="s">
        <v>135</v>
      </c>
      <c r="W91" s="352" t="s">
        <v>128</v>
      </c>
      <c r="X91" s="352" t="str">
        <f t="shared" si="11"/>
        <v>Jürgen Locadia (a)</v>
      </c>
      <c r="AP91" s="109">
        <f>AU91</f>
        <v>0</v>
      </c>
      <c r="AQ91" s="131">
        <v>3</v>
      </c>
      <c r="AR91" s="904" t="str">
        <f>Uitslag!E91</f>
        <v>Nederland</v>
      </c>
      <c r="AS91" s="905"/>
      <c r="AT91" s="906"/>
      <c r="AU91" s="352">
        <f>SUM(AV91:AX91)</f>
        <v>0</v>
      </c>
      <c r="AV91" s="352">
        <f>IF(AR91=0,0,IF(AR91=E91,15,0))</f>
        <v>0</v>
      </c>
      <c r="AW91" s="352">
        <f>IF(E91=0,0,IF(OR(E91=AR92),10,0))</f>
        <v>0</v>
      </c>
      <c r="AX91" s="352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Rusland</v>
      </c>
      <c r="F92" s="872"/>
      <c r="G92" s="872"/>
      <c r="H92" s="872"/>
      <c r="I92" s="872"/>
      <c r="J92" s="872"/>
      <c r="V92" s="352" t="s">
        <v>135</v>
      </c>
      <c r="W92" s="352" t="s">
        <v>127</v>
      </c>
      <c r="X92" s="35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 s="352">
        <f>SUM(AV92:AX92)</f>
        <v>0</v>
      </c>
      <c r="AV92" s="352">
        <f>IF(AR92=0,0,IF(AR92=E92,15,0))</f>
        <v>0</v>
      </c>
      <c r="AW92" s="352">
        <f>IF(E92=0,0,IF(OR(E92=AR91,),10,0))</f>
        <v>0</v>
      </c>
      <c r="AX92" s="352">
        <f>IF(E92=0,0,IF(OR(E92=AR89,E92=AR90),5,0))</f>
        <v>0</v>
      </c>
    </row>
    <row r="93" spans="2:50" ht="15.75" thickBot="1">
      <c r="V93" s="352" t="s">
        <v>135</v>
      </c>
      <c r="W93" s="352" t="s">
        <v>123</v>
      </c>
      <c r="X93" s="352" t="str">
        <f t="shared" si="11"/>
        <v>Quincy Promes (a)</v>
      </c>
      <c r="AS93" s="132"/>
      <c r="AU93" s="133">
        <f>SUM(AU89:AU92)</f>
        <v>0</v>
      </c>
    </row>
    <row r="94" spans="2:50" ht="15.75" thickTop="1">
      <c r="V94" s="352" t="s">
        <v>135</v>
      </c>
      <c r="W94" s="352" t="s">
        <v>122</v>
      </c>
      <c r="X94" s="352" t="str">
        <f t="shared" si="11"/>
        <v>Luc Castaignos (a)</v>
      </c>
    </row>
    <row r="95" spans="2:50">
      <c r="V95" s="352" t="s">
        <v>135</v>
      </c>
      <c r="W95" s="352" t="s">
        <v>113</v>
      </c>
      <c r="X95" s="352" t="str">
        <f t="shared" si="11"/>
        <v>Jean-Paul Boëtius (a)</v>
      </c>
    </row>
    <row r="96" spans="2:50">
      <c r="V96" s="352" t="s">
        <v>135</v>
      </c>
      <c r="W96" s="352" t="s">
        <v>129</v>
      </c>
      <c r="X96" s="352" t="str">
        <f t="shared" si="11"/>
        <v>Luciano Narsingh (a)</v>
      </c>
    </row>
    <row r="97" spans="22:24">
      <c r="V97" s="352" t="s">
        <v>135</v>
      </c>
      <c r="W97" s="352" t="s">
        <v>130</v>
      </c>
      <c r="X97" s="352" t="str">
        <f t="shared" si="11"/>
        <v>Robin van Persie (a)</v>
      </c>
    </row>
    <row r="98" spans="22:24">
      <c r="V98" s="352" t="s">
        <v>135</v>
      </c>
      <c r="W98" s="352" t="s">
        <v>131</v>
      </c>
      <c r="X98" s="352" t="str">
        <f t="shared" si="11"/>
        <v>Arjen Robben (a)</v>
      </c>
    </row>
  </sheetData>
  <mergeCells count="36">
    <mergeCell ref="C91:D91"/>
    <mergeCell ref="E91:J91"/>
    <mergeCell ref="AR91:AT91"/>
    <mergeCell ref="C92:D92"/>
    <mergeCell ref="E92:J92"/>
    <mergeCell ref="AR92:AT92"/>
    <mergeCell ref="C89:D89"/>
    <mergeCell ref="E89:J89"/>
    <mergeCell ref="AR89:AT89"/>
    <mergeCell ref="C90:D90"/>
    <mergeCell ref="E90:J90"/>
    <mergeCell ref="AR90:AT90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</mergeCells>
  <conditionalFormatting sqref="AO9:AO12 AO15:AO18 AO21:AO24 AO27:AO30 AO33:AO36 AO39:AO42 AO45:AO48 AO51:AO54">
    <cfRule type="cellIs" dxfId="59" priority="3" operator="equal">
      <formula>10</formula>
    </cfRule>
  </conditionalFormatting>
  <conditionalFormatting sqref="P58:T58">
    <cfRule type="duplicateValues" dxfId="58" priority="2"/>
  </conditionalFormatting>
  <conditionalFormatting sqref="P58:T68">
    <cfRule type="duplicateValues" dxfId="57" priority="1"/>
  </conditionalFormatting>
  <dataValidations count="10">
    <dataValidation type="list" allowBlank="1" showInputMessage="1" showErrorMessage="1" sqref="T51:T54">
      <formula1>$W$51:$W$54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P58:P68">
      <formula1>$X$58:$X$98</formula1>
    </dataValidation>
  </dataValidation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>
  <dimension ref="B1:BB98"/>
  <sheetViews>
    <sheetView zoomScale="70" zoomScaleNormal="70" workbookViewId="0">
      <selection activeCell="P58" sqref="P58:T68"/>
    </sheetView>
  </sheetViews>
  <sheetFormatPr defaultRowHeight="15" outlineLevelCol="2"/>
  <cols>
    <col min="1" max="1" width="3.42578125" style="352" customWidth="1"/>
    <col min="2" max="2" width="3.5703125" style="352" bestFit="1" customWidth="1"/>
    <col min="3" max="3" width="11.5703125" style="123" bestFit="1" customWidth="1"/>
    <col min="4" max="4" width="19.7109375" style="352" bestFit="1" customWidth="1"/>
    <col min="5" max="5" width="3.42578125" style="352" customWidth="1"/>
    <col min="6" max="6" width="19.7109375" style="352" bestFit="1" customWidth="1"/>
    <col min="7" max="7" width="6.7109375" style="352" customWidth="1"/>
    <col min="8" max="8" width="1.5703125" style="352" bestFit="1" customWidth="1"/>
    <col min="9" max="9" width="6.7109375" style="352" customWidth="1"/>
    <col min="10" max="10" width="6.85546875" style="352" bestFit="1" customWidth="1"/>
    <col min="11" max="13" width="9.140625" style="352" hidden="1" customWidth="1" outlineLevel="1"/>
    <col min="14" max="14" width="11.42578125" style="352" bestFit="1" customWidth="1" collapsed="1"/>
    <col min="15" max="15" width="14.7109375" style="352" bestFit="1" customWidth="1"/>
    <col min="16" max="16" width="12.28515625" style="352" bestFit="1" customWidth="1"/>
    <col min="17" max="17" width="8.140625" style="352" bestFit="1" customWidth="1"/>
    <col min="18" max="18" width="7.7109375" style="352" bestFit="1" customWidth="1"/>
    <col min="19" max="19" width="9.140625" style="352"/>
    <col min="20" max="20" width="8.5703125" style="352" bestFit="1" customWidth="1"/>
    <col min="21" max="21" width="9.140625" style="352"/>
    <col min="22" max="23" width="9.140625" style="352" hidden="1" customWidth="1" outlineLevel="1"/>
    <col min="24" max="24" width="2" style="352" hidden="1" customWidth="1" outlineLevel="1"/>
    <col min="25" max="25" width="12.28515625" style="352" bestFit="1" customWidth="1" collapsed="1"/>
    <col min="26" max="27" width="12.28515625" style="352" hidden="1" customWidth="1" outlineLevel="1"/>
    <col min="28" max="28" width="4.7109375" style="352" hidden="1" customWidth="1" outlineLevel="1"/>
    <col min="29" max="38" width="9.140625" style="352" hidden="1" customWidth="1" outlineLevel="1"/>
    <col min="39" max="39" width="7.42578125" style="352" bestFit="1" customWidth="1" collapsed="1"/>
    <col min="40" max="40" width="19.7109375" style="352" hidden="1" customWidth="1" outlineLevel="1"/>
    <col min="41" max="41" width="9.140625" style="352" hidden="1" customWidth="1" outlineLevel="1"/>
    <col min="42" max="42" width="9.140625" style="352" collapsed="1"/>
    <col min="43" max="49" width="9.140625" style="352" hidden="1" customWidth="1" outlineLevel="2"/>
    <col min="50" max="50" width="11.5703125" style="352" hidden="1" customWidth="1" outlineLevel="2"/>
    <col min="51" max="51" width="11.85546875" style="352" hidden="1" customWidth="1" outlineLevel="1" collapsed="1"/>
    <col min="52" max="52" width="9.42578125" style="352" hidden="1" customWidth="1" outlineLevel="1"/>
    <col min="53" max="53" width="10.5703125" style="352" hidden="1" customWidth="1" outlineLevel="1"/>
    <col min="54" max="54" width="9.140625" style="352" collapsed="1"/>
    <col min="55" max="55" width="11.85546875" style="352" bestFit="1" customWidth="1"/>
    <col min="56" max="16384" width="9.140625" style="352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303</v>
      </c>
      <c r="E3" s="335"/>
      <c r="F3" s="335"/>
      <c r="N3" s="352" t="str">
        <f>D3</f>
        <v>Yair S.</v>
      </c>
      <c r="O3" s="144">
        <f>SUM(P3:S3)</f>
        <v>309</v>
      </c>
      <c r="P3" s="109">
        <f>SUM(Y8:Y86)</f>
        <v>172</v>
      </c>
      <c r="Q3" s="109">
        <f>SUM(AM4:AM55)</f>
        <v>60</v>
      </c>
      <c r="R3" s="109">
        <f>SUM(AP89:AP92)</f>
        <v>65</v>
      </c>
      <c r="S3" s="109">
        <f>SUM(BB58:BB69)</f>
        <v>12</v>
      </c>
      <c r="T3" s="109">
        <f>COUNTIF(AF8:AF86,10)</f>
        <v>3</v>
      </c>
      <c r="U3" s="109" t="str">
        <f>E89</f>
        <v>Duitsland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O6" s="392"/>
      <c r="P6" s="393"/>
      <c r="Q6" s="393"/>
      <c r="R6" s="393"/>
      <c r="S6" s="393"/>
      <c r="T6" s="393"/>
      <c r="U6" s="392"/>
      <c r="V6" s="392"/>
      <c r="W6" s="392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80" t="s">
        <v>3</v>
      </c>
      <c r="E7" s="419"/>
      <c r="F7" s="481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O7" s="353"/>
      <c r="P7" s="393"/>
      <c r="Q7" s="393"/>
      <c r="R7" s="393"/>
      <c r="S7" s="393"/>
      <c r="T7" s="393"/>
      <c r="U7" s="353"/>
      <c r="V7" s="353"/>
      <c r="W7" s="353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458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2</v>
      </c>
      <c r="H8" s="360" t="s">
        <v>9</v>
      </c>
      <c r="I8" s="478">
        <v>1</v>
      </c>
      <c r="J8" s="362">
        <f t="shared" ref="J8:J55" si="0">IF(I8="","",IF(G8&gt;I8,1,IF(G8&lt;I8,2,3)))</f>
        <v>1</v>
      </c>
      <c r="K8" s="363">
        <f t="shared" ref="K8:K55" si="1">IF(I8="","",IF($G8&gt;$I8,3,IF($G8=$I8,1,0)))</f>
        <v>3</v>
      </c>
      <c r="L8" s="363">
        <f t="shared" ref="L8:L55" si="2">IF(I8="","",IF($G8&lt;$I8,3,IF($G8=$I8,1,0)))</f>
        <v>0</v>
      </c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392"/>
      <c r="V8" s="392"/>
      <c r="W8" s="392"/>
      <c r="Y8" s="109">
        <f>AF8</f>
        <v>6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6</v>
      </c>
      <c r="AG8" s="108">
        <f t="shared" ref="AG8:AG55" si="3">IF(AC8="",0,(IF(G8=AC8,1,0)))</f>
        <v>0</v>
      </c>
      <c r="AH8" s="108">
        <f t="shared" ref="AH8:AH55" si="4">IF(AD8="",0,(IF(I8=AD8,1,0)))</f>
        <v>1</v>
      </c>
      <c r="AI8" s="108">
        <f>IF(AND(AG8=1,AH8=1),10,0)</f>
        <v>0</v>
      </c>
      <c r="AJ8" s="108">
        <f t="shared" ref="AJ8:AJ55" si="5">IF(AND(G8&gt;I8,AC8&gt;AD8),5,0)</f>
        <v>5</v>
      </c>
      <c r="AK8" s="108">
        <f t="shared" ref="AK8:AK55" si="6">IF(AND(G8&lt;I8,AC8&lt;AD8),5,0)</f>
        <v>0</v>
      </c>
      <c r="AL8" s="108">
        <f t="shared" ref="AL8:AL55" si="7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3</v>
      </c>
      <c r="H9" s="367" t="s">
        <v>9</v>
      </c>
      <c r="I9" s="440">
        <v>2</v>
      </c>
      <c r="J9" s="369">
        <f t="shared" si="0"/>
        <v>1</v>
      </c>
      <c r="K9" s="363">
        <f t="shared" si="1"/>
        <v>3</v>
      </c>
      <c r="L9" s="363">
        <f t="shared" si="2"/>
        <v>0</v>
      </c>
      <c r="O9" s="394" t="s">
        <v>8</v>
      </c>
      <c r="P9" s="395">
        <f>SUMIF($D$8:$D$55,$O9,$G$8:$G$55)+SUMIF($F$8:$F$55,$O9,$I$8:$I$55)</f>
        <v>10</v>
      </c>
      <c r="Q9" s="395">
        <f>SUMIF($D$8:$D$55,$O9,$I$8:$I$55)+SUMIF($F$8:$F$55,$O9,$G$8:$G$55)</f>
        <v>3</v>
      </c>
      <c r="R9" s="396">
        <f>P9-Q9</f>
        <v>7</v>
      </c>
      <c r="S9" s="397">
        <f>SUMIF($D$8:$D$55,$O9,$K$8:$K$55)+SUMIF($F$8:$F$55,$O9,$L$8:$L$55)</f>
        <v>9</v>
      </c>
      <c r="T9" s="444" t="s">
        <v>48</v>
      </c>
      <c r="U9" s="392"/>
      <c r="V9" s="392" t="str">
        <f>O9</f>
        <v>Brazilië</v>
      </c>
      <c r="W9" s="392" t="s">
        <v>48</v>
      </c>
      <c r="Y9" s="109">
        <f t="shared" ref="Y9:Y55" si="8">AF9</f>
        <v>5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5</v>
      </c>
      <c r="AG9" s="108">
        <f t="shared" si="3"/>
        <v>0</v>
      </c>
      <c r="AH9" s="108">
        <f t="shared" si="4"/>
        <v>0</v>
      </c>
      <c r="AI9" s="108">
        <f t="shared" ref="AI9:AI55" si="10">IF(AND(AG9=1,AH9=1),10,0)</f>
        <v>0</v>
      </c>
      <c r="AJ9" s="108">
        <f t="shared" si="5"/>
        <v>5</v>
      </c>
      <c r="AK9" s="108">
        <f t="shared" si="6"/>
        <v>0</v>
      </c>
      <c r="AL9" s="108">
        <f t="shared" si="7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1</v>
      </c>
      <c r="H10" s="373" t="s">
        <v>9</v>
      </c>
      <c r="I10" s="441">
        <v>2</v>
      </c>
      <c r="J10" s="375">
        <f t="shared" si="0"/>
        <v>2</v>
      </c>
      <c r="K10" s="363">
        <f t="shared" si="1"/>
        <v>0</v>
      </c>
      <c r="L10" s="363">
        <f t="shared" si="2"/>
        <v>3</v>
      </c>
      <c r="O10" s="398" t="s">
        <v>10</v>
      </c>
      <c r="P10" s="399">
        <f>SUMIF($D$8:$D$55,$O10,$G$8:$G$55)+SUMIF($F$8:$F$55,$O10,$I$8:$I$55)</f>
        <v>3</v>
      </c>
      <c r="Q10" s="399">
        <f>SUMIF($D$8:$D$55,$O10,$I$8:$I$55)+SUMIF($F$8:$F$55,$O10,$G$8:$G$55)</f>
        <v>5</v>
      </c>
      <c r="R10" s="399">
        <f>P10-Q10</f>
        <v>-2</v>
      </c>
      <c r="S10" s="400">
        <f>SUMIF($D$8:$D$55,$O10,$K$8:$K$55)+SUMIF($F$8:$F$55,$O10,$L$8:$L$55)</f>
        <v>1</v>
      </c>
      <c r="T10" s="445" t="s">
        <v>47</v>
      </c>
      <c r="U10" s="392"/>
      <c r="V10" s="392" t="str">
        <f>O10</f>
        <v>Kroatië</v>
      </c>
      <c r="W10" s="392" t="s">
        <v>49</v>
      </c>
      <c r="Y10" s="109">
        <f t="shared" si="8"/>
        <v>6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6</v>
      </c>
      <c r="AG10" s="108">
        <f t="shared" si="3"/>
        <v>1</v>
      </c>
      <c r="AH10" s="108">
        <f t="shared" si="4"/>
        <v>0</v>
      </c>
      <c r="AI10" s="108">
        <f t="shared" si="10"/>
        <v>0</v>
      </c>
      <c r="AJ10" s="108">
        <f t="shared" si="5"/>
        <v>0</v>
      </c>
      <c r="AK10" s="108">
        <f t="shared" si="6"/>
        <v>5</v>
      </c>
      <c r="AL10" s="108">
        <f t="shared" si="7"/>
        <v>0</v>
      </c>
      <c r="AM10" s="120">
        <f>AO10</f>
        <v>10</v>
      </c>
      <c r="AN10" s="117" t="s">
        <v>10</v>
      </c>
      <c r="AO10" s="115">
        <f>IF(Uitslag!T10="",0,IF(T10=Uitslag!T10,10,0))</f>
        <v>10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2</v>
      </c>
      <c r="H11" s="379" t="s">
        <v>9</v>
      </c>
      <c r="I11" s="442">
        <v>2</v>
      </c>
      <c r="J11" s="381">
        <f t="shared" si="0"/>
        <v>3</v>
      </c>
      <c r="K11" s="363">
        <f t="shared" si="1"/>
        <v>1</v>
      </c>
      <c r="L11" s="363">
        <f t="shared" si="2"/>
        <v>1</v>
      </c>
      <c r="O11" s="398" t="s">
        <v>11</v>
      </c>
      <c r="P11" s="399">
        <f>SUMIF($D$8:$D$55,$O11,$G$8:$G$55)+SUMIF($F$8:$F$55,$O11,$I$8:$I$55)</f>
        <v>6</v>
      </c>
      <c r="Q11" s="399">
        <f>SUMIF($D$8:$D$55,$O11,$I$8:$I$55)+SUMIF($F$8:$F$55,$O11,$G$8:$G$55)</f>
        <v>8</v>
      </c>
      <c r="R11" s="399">
        <f>P11-Q11</f>
        <v>-2</v>
      </c>
      <c r="S11" s="400">
        <f>SUMIF($D$8:$D$55,$O11,$K$8:$K$55)+SUMIF($F$8:$F$55,$O11,$L$8:$L$55)</f>
        <v>4</v>
      </c>
      <c r="T11" s="445" t="s">
        <v>50</v>
      </c>
      <c r="U11" s="392"/>
      <c r="V11" s="392" t="str">
        <f>O11</f>
        <v>Mexico</v>
      </c>
      <c r="W11" s="392" t="s">
        <v>47</v>
      </c>
      <c r="Y11" s="109">
        <f t="shared" si="8"/>
        <v>0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0</v>
      </c>
      <c r="AG11" s="108">
        <f t="shared" si="3"/>
        <v>0</v>
      </c>
      <c r="AH11" s="108">
        <f t="shared" si="4"/>
        <v>0</v>
      </c>
      <c r="AI11" s="108">
        <f t="shared" si="10"/>
        <v>0</v>
      </c>
      <c r="AJ11" s="108">
        <f t="shared" si="5"/>
        <v>0</v>
      </c>
      <c r="AK11" s="108">
        <f t="shared" si="6"/>
        <v>0</v>
      </c>
      <c r="AL11" s="108">
        <f t="shared" si="7"/>
        <v>0</v>
      </c>
      <c r="AM11" s="120">
        <f>AO11</f>
        <v>0</v>
      </c>
      <c r="AN11" s="117" t="s">
        <v>11</v>
      </c>
      <c r="AO11" s="115">
        <f>IF(Uitslag!T11="",0,IF(T11=Uitslag!T11,10,0))</f>
        <v>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2</v>
      </c>
      <c r="H12" s="367" t="s">
        <v>9</v>
      </c>
      <c r="I12" s="440">
        <v>1</v>
      </c>
      <c r="J12" s="369">
        <f t="shared" si="0"/>
        <v>1</v>
      </c>
      <c r="K12" s="363">
        <f t="shared" si="1"/>
        <v>3</v>
      </c>
      <c r="L12" s="363">
        <f t="shared" si="2"/>
        <v>0</v>
      </c>
      <c r="O12" s="401" t="s">
        <v>12</v>
      </c>
      <c r="P12" s="402">
        <f>SUMIF($D$8:$D$55,$O12,$G$8:$G$55)+SUMIF($F$8:$F$55,$O12,$I$8:$I$55)</f>
        <v>4</v>
      </c>
      <c r="Q12" s="402">
        <f>SUMIF($D$8:$D$55,$O12,$I$8:$I$55)+SUMIF($F$8:$F$55,$O12,$G$8:$G$55)</f>
        <v>7</v>
      </c>
      <c r="R12" s="402">
        <f>P12-Q12</f>
        <v>-3</v>
      </c>
      <c r="S12" s="403">
        <f>SUMIF($D$8:$D$55,$O12,$K$8:$K$55)+SUMIF($F$8:$F$55,$O12,$L$8:$L$55)</f>
        <v>3</v>
      </c>
      <c r="T12" s="446" t="s">
        <v>49</v>
      </c>
      <c r="U12" s="392"/>
      <c r="V12" s="392" t="str">
        <f>O12</f>
        <v>Kameroen</v>
      </c>
      <c r="W12" s="392" t="s">
        <v>50</v>
      </c>
      <c r="Y12" s="109">
        <f t="shared" si="8"/>
        <v>5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5</v>
      </c>
      <c r="AG12" s="108">
        <f t="shared" si="3"/>
        <v>0</v>
      </c>
      <c r="AH12" s="108">
        <f t="shared" si="4"/>
        <v>0</v>
      </c>
      <c r="AI12" s="108">
        <f t="shared" si="10"/>
        <v>0</v>
      </c>
      <c r="AJ12" s="108">
        <f t="shared" si="5"/>
        <v>5</v>
      </c>
      <c r="AK12" s="108">
        <f t="shared" si="6"/>
        <v>0</v>
      </c>
      <c r="AL12" s="108">
        <f t="shared" si="7"/>
        <v>0</v>
      </c>
      <c r="AM12" s="120">
        <f>AO12</f>
        <v>0</v>
      </c>
      <c r="AN12" s="118" t="s">
        <v>12</v>
      </c>
      <c r="AO12" s="115">
        <f>IF(Uitslag!T12="",0,IF(T12=Uitslag!T12,10,0))</f>
        <v>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1</v>
      </c>
      <c r="H13" s="373" t="s">
        <v>9</v>
      </c>
      <c r="I13" s="441">
        <v>2</v>
      </c>
      <c r="J13" s="375">
        <f t="shared" si="0"/>
        <v>2</v>
      </c>
      <c r="K13" s="363">
        <f t="shared" si="1"/>
        <v>0</v>
      </c>
      <c r="L13" s="363">
        <f t="shared" si="2"/>
        <v>3</v>
      </c>
      <c r="O13" s="392"/>
      <c r="P13" s="393"/>
      <c r="Q13" s="393"/>
      <c r="R13" s="393"/>
      <c r="S13" s="393"/>
      <c r="T13" s="393"/>
      <c r="U13" s="392"/>
      <c r="V13" s="392"/>
      <c r="W13" s="392"/>
      <c r="Y13" s="109">
        <f t="shared" si="8"/>
        <v>6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6</v>
      </c>
      <c r="AG13" s="108">
        <f t="shared" si="3"/>
        <v>1</v>
      </c>
      <c r="AH13" s="108">
        <f t="shared" si="4"/>
        <v>0</v>
      </c>
      <c r="AI13" s="108">
        <f t="shared" si="10"/>
        <v>0</v>
      </c>
      <c r="AJ13" s="108">
        <f t="shared" si="5"/>
        <v>0</v>
      </c>
      <c r="AK13" s="108">
        <f t="shared" si="6"/>
        <v>5</v>
      </c>
      <c r="AL13" s="108">
        <f t="shared" si="7"/>
        <v>0</v>
      </c>
      <c r="AN13" s="392"/>
      <c r="AO13" s="393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4</v>
      </c>
      <c r="H14" s="373" t="s">
        <v>9</v>
      </c>
      <c r="I14" s="441">
        <v>2</v>
      </c>
      <c r="J14" s="375">
        <f t="shared" si="0"/>
        <v>1</v>
      </c>
      <c r="K14" s="363">
        <f t="shared" si="1"/>
        <v>3</v>
      </c>
      <c r="L14" s="363">
        <f t="shared" si="2"/>
        <v>0</v>
      </c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392"/>
      <c r="V14" s="392"/>
      <c r="W14" s="392"/>
      <c r="Y14" s="109">
        <f t="shared" si="8"/>
        <v>1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</v>
      </c>
      <c r="AG14" s="108">
        <f t="shared" si="3"/>
        <v>0</v>
      </c>
      <c r="AH14" s="108">
        <f t="shared" si="4"/>
        <v>1</v>
      </c>
      <c r="AI14" s="108">
        <f t="shared" si="10"/>
        <v>0</v>
      </c>
      <c r="AJ14" s="108">
        <f t="shared" si="5"/>
        <v>0</v>
      </c>
      <c r="AK14" s="108">
        <f t="shared" si="6"/>
        <v>0</v>
      </c>
      <c r="AL14" s="108">
        <f t="shared" si="7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0</v>
      </c>
      <c r="H15" s="379" t="s">
        <v>9</v>
      </c>
      <c r="I15" s="442">
        <v>2</v>
      </c>
      <c r="J15" s="381">
        <f t="shared" si="0"/>
        <v>2</v>
      </c>
      <c r="K15" s="363">
        <f t="shared" si="1"/>
        <v>0</v>
      </c>
      <c r="L15" s="363">
        <f t="shared" si="2"/>
        <v>3</v>
      </c>
      <c r="O15" s="394" t="s">
        <v>13</v>
      </c>
      <c r="P15" s="395">
        <f>SUMIF($D$8:$D$55,$O15,$G$8:$G$55)+SUMIF($F$8:$F$55,$O15,$I$8:$I$55)</f>
        <v>6</v>
      </c>
      <c r="Q15" s="395">
        <f>SUMIF($D$8:$D$55,$O15,$I$8:$I$55)+SUMIF($F$8:$F$55,$O15,$G$8:$G$55)</f>
        <v>4</v>
      </c>
      <c r="R15" s="396">
        <f>P15-Q15</f>
        <v>2</v>
      </c>
      <c r="S15" s="397">
        <f>SUMIF($D$8:$D$55,$O15,$K$8:$K$55)+SUMIF($F$8:$F$55,$O15,$L$8:$L$55)</f>
        <v>6</v>
      </c>
      <c r="T15" s="444" t="s">
        <v>52</v>
      </c>
      <c r="U15" s="392"/>
      <c r="V15" s="392" t="str">
        <f>O15</f>
        <v>Spanje</v>
      </c>
      <c r="W15" s="392" t="s">
        <v>52</v>
      </c>
      <c r="Y15" s="109">
        <f t="shared" si="8"/>
        <v>0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0</v>
      </c>
      <c r="AG15" s="108">
        <f t="shared" si="3"/>
        <v>0</v>
      </c>
      <c r="AH15" s="108">
        <f t="shared" si="4"/>
        <v>0</v>
      </c>
      <c r="AI15" s="108">
        <f t="shared" si="10"/>
        <v>0</v>
      </c>
      <c r="AJ15" s="108">
        <f t="shared" si="5"/>
        <v>0</v>
      </c>
      <c r="AK15" s="108">
        <f t="shared" si="6"/>
        <v>0</v>
      </c>
      <c r="AL15" s="108">
        <f t="shared" si="7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1</v>
      </c>
      <c r="H16" s="367" t="s">
        <v>9</v>
      </c>
      <c r="I16" s="440">
        <v>0</v>
      </c>
      <c r="J16" s="369">
        <f t="shared" si="0"/>
        <v>1</v>
      </c>
      <c r="K16" s="363">
        <f t="shared" si="1"/>
        <v>3</v>
      </c>
      <c r="L16" s="363">
        <f t="shared" si="2"/>
        <v>0</v>
      </c>
      <c r="O16" s="404" t="s">
        <v>14</v>
      </c>
      <c r="P16" s="399">
        <f>SUMIF($D$8:$D$55,$O16,$G$8:$G$55)+SUMIF($F$8:$F$55,$O16,$I$8:$I$55)</f>
        <v>8</v>
      </c>
      <c r="Q16" s="399">
        <f>SUMIF($D$8:$D$55,$O16,$I$8:$I$55)+SUMIF($F$8:$F$55,$O16,$G$8:$G$55)</f>
        <v>2</v>
      </c>
      <c r="R16" s="399">
        <f>P16-Q16</f>
        <v>6</v>
      </c>
      <c r="S16" s="400">
        <f>SUMIF($D$8:$D$55,$O16,$K$8:$K$55)+SUMIF($F$8:$F$55,$O16,$L$8:$L$55)</f>
        <v>9</v>
      </c>
      <c r="T16" s="445" t="s">
        <v>53</v>
      </c>
      <c r="U16" s="392"/>
      <c r="V16" s="392" t="str">
        <f>O16</f>
        <v>Nederland</v>
      </c>
      <c r="W16" s="392" t="s">
        <v>53</v>
      </c>
      <c r="Y16" s="109">
        <f t="shared" si="8"/>
        <v>5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5</v>
      </c>
      <c r="AG16" s="108">
        <f t="shared" si="3"/>
        <v>0</v>
      </c>
      <c r="AH16" s="108">
        <f t="shared" si="4"/>
        <v>0</v>
      </c>
      <c r="AI16" s="108">
        <f t="shared" si="10"/>
        <v>0</v>
      </c>
      <c r="AJ16" s="108">
        <f t="shared" si="5"/>
        <v>5</v>
      </c>
      <c r="AK16" s="108">
        <f t="shared" si="6"/>
        <v>0</v>
      </c>
      <c r="AL16" s="108">
        <f t="shared" si="7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4</v>
      </c>
      <c r="H17" s="373" t="s">
        <v>9</v>
      </c>
      <c r="I17" s="441">
        <v>0</v>
      </c>
      <c r="J17" s="375">
        <f t="shared" si="0"/>
        <v>1</v>
      </c>
      <c r="K17" s="363">
        <f t="shared" si="1"/>
        <v>3</v>
      </c>
      <c r="L17" s="363">
        <f t="shared" si="2"/>
        <v>0</v>
      </c>
      <c r="O17" s="398" t="s">
        <v>15</v>
      </c>
      <c r="P17" s="399">
        <f>SUMIF($D$8:$D$55,$O17,$G$8:$G$55)+SUMIF($F$8:$F$55,$O17,$I$8:$I$55)</f>
        <v>3</v>
      </c>
      <c r="Q17" s="399">
        <f>SUMIF($D$8:$D$55,$O17,$I$8:$I$55)+SUMIF($F$8:$F$55,$O17,$G$8:$G$55)</f>
        <v>8</v>
      </c>
      <c r="R17" s="399">
        <f>P17-Q17</f>
        <v>-5</v>
      </c>
      <c r="S17" s="400">
        <f>SUMIF($D$8:$D$55,$O17,$K$8:$K$55)+SUMIF($F$8:$F$55,$O17,$L$8:$L$55)</f>
        <v>1</v>
      </c>
      <c r="T17" s="445" t="s">
        <v>55</v>
      </c>
      <c r="U17" s="392"/>
      <c r="V17" s="392" t="str">
        <f>O17</f>
        <v>Chili</v>
      </c>
      <c r="W17" s="392" t="s">
        <v>54</v>
      </c>
      <c r="Y17" s="109">
        <f t="shared" si="8"/>
        <v>6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6</v>
      </c>
      <c r="AG17" s="108">
        <f t="shared" si="3"/>
        <v>0</v>
      </c>
      <c r="AH17" s="108">
        <f t="shared" si="4"/>
        <v>1</v>
      </c>
      <c r="AI17" s="108">
        <f t="shared" si="10"/>
        <v>0</v>
      </c>
      <c r="AJ17" s="108">
        <f t="shared" si="5"/>
        <v>5</v>
      </c>
      <c r="AK17" s="108">
        <f t="shared" si="6"/>
        <v>0</v>
      </c>
      <c r="AL17" s="108">
        <f t="shared" si="7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3</v>
      </c>
      <c r="H18" s="379" t="s">
        <v>9</v>
      </c>
      <c r="I18" s="442">
        <v>0</v>
      </c>
      <c r="J18" s="381">
        <f t="shared" si="0"/>
        <v>1</v>
      </c>
      <c r="K18" s="363">
        <f t="shared" si="1"/>
        <v>3</v>
      </c>
      <c r="L18" s="363">
        <f t="shared" si="2"/>
        <v>0</v>
      </c>
      <c r="O18" s="401" t="s">
        <v>16</v>
      </c>
      <c r="P18" s="402">
        <f>SUMIF($D$8:$D$55,$O18,$G$8:$G$55)+SUMIF($F$8:$F$55,$O18,$I$8:$I$55)</f>
        <v>4</v>
      </c>
      <c r="Q18" s="402">
        <f>SUMIF($D$8:$D$55,$O18,$I$8:$I$55)+SUMIF($F$8:$F$55,$O18,$G$8:$G$55)</f>
        <v>7</v>
      </c>
      <c r="R18" s="402">
        <f>P18-Q18</f>
        <v>-3</v>
      </c>
      <c r="S18" s="403">
        <f>SUMIF($D$8:$D$55,$O18,$K$8:$K$55)+SUMIF($F$8:$F$55,$O18,$L$8:$L$55)</f>
        <v>1</v>
      </c>
      <c r="T18" s="446" t="s">
        <v>54</v>
      </c>
      <c r="U18" s="392"/>
      <c r="V18" s="392" t="str">
        <f>O18</f>
        <v>Australië</v>
      </c>
      <c r="W18" s="392" t="s">
        <v>55</v>
      </c>
      <c r="Y18" s="109">
        <f t="shared" si="8"/>
        <v>5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5</v>
      </c>
      <c r="AG18" s="108">
        <f t="shared" si="3"/>
        <v>0</v>
      </c>
      <c r="AH18" s="108">
        <f t="shared" si="4"/>
        <v>0</v>
      </c>
      <c r="AI18" s="108">
        <f t="shared" si="10"/>
        <v>0</v>
      </c>
      <c r="AJ18" s="108">
        <f t="shared" si="5"/>
        <v>5</v>
      </c>
      <c r="AK18" s="108">
        <f t="shared" si="6"/>
        <v>0</v>
      </c>
      <c r="AL18" s="108">
        <f t="shared" si="7"/>
        <v>0</v>
      </c>
      <c r="AM18" s="120">
        <f>AO18</f>
        <v>0</v>
      </c>
      <c r="AN18" s="118" t="s">
        <v>16</v>
      </c>
      <c r="AO18" s="115">
        <f>IF(Uitslag!T18="",0,IF(T18=Uitslag!T18,10,0))</f>
        <v>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2</v>
      </c>
      <c r="H19" s="367" t="s">
        <v>9</v>
      </c>
      <c r="I19" s="440">
        <v>2</v>
      </c>
      <c r="J19" s="369">
        <f t="shared" si="0"/>
        <v>3</v>
      </c>
      <c r="K19" s="363">
        <f t="shared" si="1"/>
        <v>1</v>
      </c>
      <c r="L19" s="363">
        <f t="shared" si="2"/>
        <v>1</v>
      </c>
      <c r="O19" s="392"/>
      <c r="P19" s="393"/>
      <c r="Q19" s="393"/>
      <c r="R19" s="393"/>
      <c r="S19" s="393"/>
      <c r="T19" s="393"/>
      <c r="U19" s="392"/>
      <c r="V19" s="392"/>
      <c r="W19" s="392"/>
      <c r="Y19" s="109">
        <f t="shared" si="8"/>
        <v>0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0</v>
      </c>
      <c r="AG19" s="108">
        <f t="shared" si="3"/>
        <v>0</v>
      </c>
      <c r="AH19" s="108">
        <f t="shared" si="4"/>
        <v>0</v>
      </c>
      <c r="AI19" s="108">
        <f t="shared" si="10"/>
        <v>0</v>
      </c>
      <c r="AJ19" s="108">
        <f t="shared" si="5"/>
        <v>0</v>
      </c>
      <c r="AK19" s="108">
        <f t="shared" si="6"/>
        <v>0</v>
      </c>
      <c r="AL19" s="108">
        <f t="shared" si="7"/>
        <v>0</v>
      </c>
      <c r="AN19" s="392"/>
      <c r="AO19" s="393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1</v>
      </c>
      <c r="H20" s="373" t="s">
        <v>9</v>
      </c>
      <c r="I20" s="441">
        <v>2</v>
      </c>
      <c r="J20" s="375">
        <f t="shared" si="0"/>
        <v>2</v>
      </c>
      <c r="K20" s="363">
        <f t="shared" si="1"/>
        <v>0</v>
      </c>
      <c r="L20" s="363">
        <f t="shared" si="2"/>
        <v>3</v>
      </c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392"/>
      <c r="V20" s="392"/>
      <c r="W20" s="392"/>
      <c r="Y20" s="109">
        <f t="shared" si="8"/>
        <v>0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0</v>
      </c>
      <c r="AG20" s="108">
        <f t="shared" si="3"/>
        <v>0</v>
      </c>
      <c r="AH20" s="108">
        <f t="shared" si="4"/>
        <v>0</v>
      </c>
      <c r="AI20" s="108">
        <f t="shared" si="10"/>
        <v>0</v>
      </c>
      <c r="AJ20" s="108">
        <f t="shared" si="5"/>
        <v>0</v>
      </c>
      <c r="AK20" s="108">
        <f t="shared" si="6"/>
        <v>0</v>
      </c>
      <c r="AL20" s="108">
        <f t="shared" si="7"/>
        <v>0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3</v>
      </c>
      <c r="H21" s="379" t="s">
        <v>9</v>
      </c>
      <c r="I21" s="442">
        <v>2</v>
      </c>
      <c r="J21" s="381">
        <f t="shared" si="0"/>
        <v>1</v>
      </c>
      <c r="K21" s="363">
        <f t="shared" si="1"/>
        <v>3</v>
      </c>
      <c r="L21" s="363">
        <f t="shared" si="2"/>
        <v>0</v>
      </c>
      <c r="O21" s="394" t="s">
        <v>17</v>
      </c>
      <c r="P21" s="395">
        <f>SUMIF($D$8:$D$55,$O21,$G$8:$G$55)+SUMIF($F$8:$F$55,$O21,$I$8:$I$55)</f>
        <v>6</v>
      </c>
      <c r="Q21" s="395">
        <f>SUMIF($D$8:$D$55,$O21,$I$8:$I$55)+SUMIF($F$8:$F$55,$O21,$G$8:$G$55)</f>
        <v>6</v>
      </c>
      <c r="R21" s="396">
        <f>P21-Q21</f>
        <v>0</v>
      </c>
      <c r="S21" s="397">
        <f>SUMIF($D$8:$D$55,$O21,$K$8:$K$55)+SUMIF($F$8:$F$55,$O21,$L$8:$L$55)</f>
        <v>6</v>
      </c>
      <c r="T21" s="444" t="s">
        <v>59</v>
      </c>
      <c r="U21" s="392"/>
      <c r="V21" s="392" t="str">
        <f>O21</f>
        <v>Colombia</v>
      </c>
      <c r="W21" s="392" t="s">
        <v>57</v>
      </c>
      <c r="Y21" s="109">
        <f t="shared" si="8"/>
        <v>1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1</v>
      </c>
      <c r="AG21" s="108">
        <f t="shared" si="3"/>
        <v>0</v>
      </c>
      <c r="AH21" s="108">
        <f t="shared" si="4"/>
        <v>1</v>
      </c>
      <c r="AI21" s="108">
        <f t="shared" si="10"/>
        <v>0</v>
      </c>
      <c r="AJ21" s="108">
        <f t="shared" si="5"/>
        <v>0</v>
      </c>
      <c r="AK21" s="108">
        <f t="shared" si="6"/>
        <v>0</v>
      </c>
      <c r="AL21" s="108">
        <f t="shared" si="7"/>
        <v>0</v>
      </c>
      <c r="AM21" s="120">
        <f>AO21</f>
        <v>0</v>
      </c>
      <c r="AN21" s="116" t="s">
        <v>17</v>
      </c>
      <c r="AO21" s="115">
        <f>IF(Uitslag!T21="",0,IF(T21=Uitslag!T21,10,0))</f>
        <v>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1</v>
      </c>
      <c r="H22" s="367" t="s">
        <v>9</v>
      </c>
      <c r="I22" s="440">
        <v>0</v>
      </c>
      <c r="J22" s="369">
        <f t="shared" si="0"/>
        <v>1</v>
      </c>
      <c r="K22" s="363">
        <f t="shared" si="1"/>
        <v>3</v>
      </c>
      <c r="L22" s="363">
        <f t="shared" si="2"/>
        <v>0</v>
      </c>
      <c r="O22" s="398" t="s">
        <v>18</v>
      </c>
      <c r="P22" s="399">
        <f>SUMIF($D$8:$D$55,$O22,$G$8:$G$55)+SUMIF($F$8:$F$55,$O22,$I$8:$I$55)</f>
        <v>3</v>
      </c>
      <c r="Q22" s="399">
        <f>SUMIF($D$8:$D$55,$O22,$I$8:$I$55)+SUMIF($F$8:$F$55,$O22,$G$8:$G$55)</f>
        <v>4</v>
      </c>
      <c r="R22" s="399">
        <f>P22-Q22</f>
        <v>-1</v>
      </c>
      <c r="S22" s="400">
        <f>SUMIF($D$8:$D$55,$O22,$K$8:$K$55)+SUMIF($F$8:$F$55,$O22,$L$8:$L$55)</f>
        <v>2</v>
      </c>
      <c r="T22" s="445" t="s">
        <v>60</v>
      </c>
      <c r="U22" s="392"/>
      <c r="V22" s="392" t="str">
        <f>O22</f>
        <v>Griekenland</v>
      </c>
      <c r="W22" s="392" t="s">
        <v>58</v>
      </c>
      <c r="Y22" s="109">
        <f t="shared" si="8"/>
        <v>5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5</v>
      </c>
      <c r="AG22" s="108">
        <f t="shared" si="3"/>
        <v>0</v>
      </c>
      <c r="AH22" s="108">
        <f t="shared" si="4"/>
        <v>0</v>
      </c>
      <c r="AI22" s="108">
        <f t="shared" si="10"/>
        <v>0</v>
      </c>
      <c r="AJ22" s="108">
        <f t="shared" si="5"/>
        <v>5</v>
      </c>
      <c r="AK22" s="108">
        <f t="shared" si="6"/>
        <v>0</v>
      </c>
      <c r="AL22" s="108">
        <f t="shared" si="7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4</v>
      </c>
      <c r="H23" s="373" t="s">
        <v>9</v>
      </c>
      <c r="I23" s="441">
        <v>1</v>
      </c>
      <c r="J23" s="375">
        <f t="shared" si="0"/>
        <v>1</v>
      </c>
      <c r="K23" s="363">
        <f t="shared" si="1"/>
        <v>3</v>
      </c>
      <c r="L23" s="363">
        <f t="shared" si="2"/>
        <v>0</v>
      </c>
      <c r="O23" s="398" t="s">
        <v>23</v>
      </c>
      <c r="P23" s="399">
        <f>SUMIF($D$8:$D$55,$O23,$G$8:$G$55)+SUMIF($F$8:$F$55,$O23,$I$8:$I$55)</f>
        <v>3</v>
      </c>
      <c r="Q23" s="399">
        <f>SUMIF($D$8:$D$55,$O23,$I$8:$I$55)+SUMIF($F$8:$F$55,$O23,$G$8:$G$55)</f>
        <v>6</v>
      </c>
      <c r="R23" s="399">
        <f>P23-Q23</f>
        <v>-3</v>
      </c>
      <c r="S23" s="400">
        <f>SUMIF($D$8:$D$55,$O23,$K$8:$K$55)+SUMIF($F$8:$F$55,$O23,$L$8:$L$55)</f>
        <v>1</v>
      </c>
      <c r="T23" s="445" t="s">
        <v>58</v>
      </c>
      <c r="U23" s="392"/>
      <c r="V23" s="392" t="str">
        <f>O23</f>
        <v>Ivoorkust</v>
      </c>
      <c r="W23" s="392" t="s">
        <v>59</v>
      </c>
      <c r="Y23" s="109">
        <f t="shared" si="8"/>
        <v>0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0</v>
      </c>
      <c r="AG23" s="108">
        <f t="shared" si="3"/>
        <v>0</v>
      </c>
      <c r="AH23" s="108">
        <f t="shared" si="4"/>
        <v>0</v>
      </c>
      <c r="AI23" s="108">
        <f t="shared" si="10"/>
        <v>0</v>
      </c>
      <c r="AJ23" s="108">
        <f t="shared" si="5"/>
        <v>0</v>
      </c>
      <c r="AK23" s="108">
        <f t="shared" si="6"/>
        <v>0</v>
      </c>
      <c r="AL23" s="108">
        <f t="shared" si="7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1</v>
      </c>
      <c r="H24" s="379" t="s">
        <v>9</v>
      </c>
      <c r="I24" s="442">
        <v>2</v>
      </c>
      <c r="J24" s="381">
        <f t="shared" si="0"/>
        <v>2</v>
      </c>
      <c r="K24" s="363">
        <f t="shared" si="1"/>
        <v>0</v>
      </c>
      <c r="L24" s="363">
        <f t="shared" si="2"/>
        <v>3</v>
      </c>
      <c r="O24" s="401" t="s">
        <v>24</v>
      </c>
      <c r="P24" s="402">
        <f>SUMIF($D$8:$D$55,$O24,$G$8:$G$55)+SUMIF($F$8:$F$55,$O24,$I$8:$I$55)</f>
        <v>6</v>
      </c>
      <c r="Q24" s="402">
        <f>SUMIF($D$8:$D$55,$O24,$I$8:$I$55)+SUMIF($F$8:$F$55,$O24,$G$8:$G$55)</f>
        <v>2</v>
      </c>
      <c r="R24" s="402">
        <f>P24-Q24</f>
        <v>4</v>
      </c>
      <c r="S24" s="403">
        <f>SUMIF($D$8:$D$55,$O24,$K$8:$K$55)+SUMIF($F$8:$F$55,$O24,$L$8:$L$55)</f>
        <v>7</v>
      </c>
      <c r="T24" s="446" t="s">
        <v>57</v>
      </c>
      <c r="U24" s="392"/>
      <c r="V24" s="392" t="str">
        <f>O24</f>
        <v>Japan</v>
      </c>
      <c r="W24" s="392" t="s">
        <v>60</v>
      </c>
      <c r="Y24" s="109">
        <f t="shared" si="8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</v>
      </c>
      <c r="AG24" s="108">
        <f t="shared" si="3"/>
        <v>1</v>
      </c>
      <c r="AH24" s="108">
        <f t="shared" si="4"/>
        <v>0</v>
      </c>
      <c r="AI24" s="108">
        <f t="shared" si="10"/>
        <v>0</v>
      </c>
      <c r="AJ24" s="108">
        <f t="shared" si="5"/>
        <v>0</v>
      </c>
      <c r="AK24" s="108">
        <f t="shared" si="6"/>
        <v>0</v>
      </c>
      <c r="AL24" s="108">
        <f t="shared" si="7"/>
        <v>0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1</v>
      </c>
      <c r="H25" s="367" t="s">
        <v>9</v>
      </c>
      <c r="I25" s="440">
        <v>3</v>
      </c>
      <c r="J25" s="369">
        <f t="shared" si="0"/>
        <v>2</v>
      </c>
      <c r="K25" s="363">
        <f t="shared" si="1"/>
        <v>0</v>
      </c>
      <c r="L25" s="363">
        <f t="shared" si="2"/>
        <v>3</v>
      </c>
      <c r="O25" s="392"/>
      <c r="P25" s="393"/>
      <c r="Q25" s="393"/>
      <c r="R25" s="393"/>
      <c r="S25" s="393"/>
      <c r="T25" s="393"/>
      <c r="U25" s="392"/>
      <c r="V25" s="392"/>
      <c r="W25" s="392"/>
      <c r="Y25" s="109">
        <f t="shared" si="8"/>
        <v>6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6</v>
      </c>
      <c r="AG25" s="108">
        <f t="shared" si="3"/>
        <v>0</v>
      </c>
      <c r="AH25" s="108">
        <f t="shared" si="4"/>
        <v>1</v>
      </c>
      <c r="AI25" s="108">
        <f t="shared" si="10"/>
        <v>0</v>
      </c>
      <c r="AJ25" s="108">
        <f t="shared" si="5"/>
        <v>0</v>
      </c>
      <c r="AK25" s="108">
        <f t="shared" si="6"/>
        <v>5</v>
      </c>
      <c r="AL25" s="108">
        <f t="shared" si="7"/>
        <v>0</v>
      </c>
      <c r="AN25" s="392"/>
      <c r="AO25" s="393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3</v>
      </c>
      <c r="H26" s="373" t="s">
        <v>9</v>
      </c>
      <c r="I26" s="441">
        <v>1</v>
      </c>
      <c r="J26" s="375">
        <f t="shared" si="0"/>
        <v>1</v>
      </c>
      <c r="K26" s="363">
        <f t="shared" si="1"/>
        <v>3</v>
      </c>
      <c r="L26" s="363">
        <f t="shared" si="2"/>
        <v>0</v>
      </c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392"/>
      <c r="V26" s="392"/>
      <c r="W26" s="392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3"/>
        <v>0</v>
      </c>
      <c r="AH26" s="108">
        <f t="shared" si="4"/>
        <v>0</v>
      </c>
      <c r="AI26" s="108">
        <f t="shared" si="10"/>
        <v>0</v>
      </c>
      <c r="AJ26" s="108">
        <f t="shared" si="5"/>
        <v>0</v>
      </c>
      <c r="AK26" s="108">
        <f t="shared" si="6"/>
        <v>0</v>
      </c>
      <c r="AL26" s="108">
        <f t="shared" si="7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1</v>
      </c>
      <c r="H27" s="379" t="s">
        <v>9</v>
      </c>
      <c r="I27" s="442">
        <v>0</v>
      </c>
      <c r="J27" s="381">
        <f t="shared" si="0"/>
        <v>1</v>
      </c>
      <c r="K27" s="363">
        <f t="shared" si="1"/>
        <v>3</v>
      </c>
      <c r="L27" s="363">
        <f t="shared" si="2"/>
        <v>0</v>
      </c>
      <c r="O27" s="394" t="s">
        <v>19</v>
      </c>
      <c r="P27" s="395">
        <f>SUMIF($D$8:$D$55,$O27,$G$8:$G$55)+SUMIF($F$8:$F$55,$O27,$I$8:$I$55)</f>
        <v>2</v>
      </c>
      <c r="Q27" s="395">
        <f>SUMIF($D$8:$D$55,$O27,$I$8:$I$55)+SUMIF($F$8:$F$55,$O27,$G$8:$G$55)</f>
        <v>7</v>
      </c>
      <c r="R27" s="396">
        <f>P27-Q27</f>
        <v>-5</v>
      </c>
      <c r="S27" s="397">
        <f>SUMIF($D$8:$D$55,$O27,$K$8:$K$55)+SUMIF($F$8:$F$55,$O27,$L$8:$L$55)</f>
        <v>0</v>
      </c>
      <c r="T27" s="444" t="s">
        <v>65</v>
      </c>
      <c r="U27" s="392"/>
      <c r="V27" s="392" t="str">
        <f>O27</f>
        <v>Uruguay</v>
      </c>
      <c r="W27" s="392" t="s">
        <v>62</v>
      </c>
      <c r="Y27" s="109">
        <f t="shared" si="8"/>
        <v>0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0</v>
      </c>
      <c r="AG27" s="108">
        <f t="shared" si="3"/>
        <v>0</v>
      </c>
      <c r="AH27" s="108">
        <f t="shared" si="4"/>
        <v>0</v>
      </c>
      <c r="AI27" s="108">
        <f t="shared" si="10"/>
        <v>0</v>
      </c>
      <c r="AJ27" s="108">
        <f t="shared" si="5"/>
        <v>0</v>
      </c>
      <c r="AK27" s="108">
        <f t="shared" si="6"/>
        <v>0</v>
      </c>
      <c r="AL27" s="108">
        <f t="shared" si="7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3</v>
      </c>
      <c r="H28" s="367" t="s">
        <v>9</v>
      </c>
      <c r="I28" s="440">
        <v>2</v>
      </c>
      <c r="J28" s="369">
        <f t="shared" si="0"/>
        <v>1</v>
      </c>
      <c r="K28" s="363">
        <f t="shared" si="1"/>
        <v>3</v>
      </c>
      <c r="L28" s="363">
        <f t="shared" si="2"/>
        <v>0</v>
      </c>
      <c r="O28" s="398" t="s">
        <v>20</v>
      </c>
      <c r="P28" s="399">
        <f>SUMIF($D$8:$D$55,$O28,$G$8:$G$55)+SUMIF($F$8:$F$55,$O28,$I$8:$I$55)</f>
        <v>3</v>
      </c>
      <c r="Q28" s="399">
        <f>SUMIF($D$8:$D$55,$O28,$I$8:$I$55)+SUMIF($F$8:$F$55,$O28,$G$8:$G$55)</f>
        <v>6</v>
      </c>
      <c r="R28" s="399">
        <f>P28-Q28</f>
        <v>-3</v>
      </c>
      <c r="S28" s="400">
        <f>SUMIF($D$8:$D$55,$O28,$K$8:$K$55)+SUMIF($F$8:$F$55,$O28,$L$8:$L$55)</f>
        <v>3</v>
      </c>
      <c r="T28" s="445" t="s">
        <v>64</v>
      </c>
      <c r="U28" s="392"/>
      <c r="V28" s="392" t="str">
        <f>O28</f>
        <v>Costa Rica</v>
      </c>
      <c r="W28" s="392" t="s">
        <v>63</v>
      </c>
      <c r="Y28" s="109">
        <f t="shared" si="8"/>
        <v>5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5</v>
      </c>
      <c r="AG28" s="108">
        <f t="shared" si="3"/>
        <v>0</v>
      </c>
      <c r="AH28" s="108">
        <f t="shared" si="4"/>
        <v>0</v>
      </c>
      <c r="AI28" s="108">
        <f t="shared" si="10"/>
        <v>0</v>
      </c>
      <c r="AJ28" s="108">
        <f t="shared" si="5"/>
        <v>5</v>
      </c>
      <c r="AK28" s="108">
        <f t="shared" si="6"/>
        <v>0</v>
      </c>
      <c r="AL28" s="108">
        <f t="shared" si="7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0</v>
      </c>
      <c r="H29" s="373" t="s">
        <v>9</v>
      </c>
      <c r="I29" s="441">
        <v>2</v>
      </c>
      <c r="J29" s="375">
        <f t="shared" si="0"/>
        <v>2</v>
      </c>
      <c r="K29" s="363">
        <f t="shared" si="1"/>
        <v>0</v>
      </c>
      <c r="L29" s="363">
        <f t="shared" si="2"/>
        <v>3</v>
      </c>
      <c r="O29" s="398" t="s">
        <v>21</v>
      </c>
      <c r="P29" s="399">
        <f>SUMIF($D$8:$D$55,$O29,$G$8:$G$55)+SUMIF($F$8:$F$55,$O29,$I$8:$I$55)</f>
        <v>8</v>
      </c>
      <c r="Q29" s="399">
        <f>SUMIF($D$8:$D$55,$O29,$I$8:$I$55)+SUMIF($F$8:$F$55,$O29,$G$8:$G$55)</f>
        <v>3</v>
      </c>
      <c r="R29" s="399">
        <f>P29-Q29</f>
        <v>5</v>
      </c>
      <c r="S29" s="400">
        <f>SUMIF($D$8:$D$55,$O29,$K$8:$K$55)+SUMIF($F$8:$F$55,$O29,$L$8:$L$55)</f>
        <v>9</v>
      </c>
      <c r="T29" s="445" t="s">
        <v>62</v>
      </c>
      <c r="U29" s="392"/>
      <c r="V29" s="392" t="str">
        <f>O29</f>
        <v>Engeland</v>
      </c>
      <c r="W29" s="392" t="s">
        <v>64</v>
      </c>
      <c r="Y29" s="109">
        <f t="shared" si="8"/>
        <v>0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0</v>
      </c>
      <c r="AG29" s="108">
        <f t="shared" si="3"/>
        <v>0</v>
      </c>
      <c r="AH29" s="108">
        <f t="shared" si="4"/>
        <v>0</v>
      </c>
      <c r="AI29" s="108">
        <f t="shared" si="10"/>
        <v>0</v>
      </c>
      <c r="AJ29" s="108">
        <f t="shared" si="5"/>
        <v>0</v>
      </c>
      <c r="AK29" s="108">
        <f t="shared" si="6"/>
        <v>0</v>
      </c>
      <c r="AL29" s="108">
        <f t="shared" si="7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1</v>
      </c>
      <c r="H30" s="379" t="s">
        <v>9</v>
      </c>
      <c r="I30" s="442">
        <v>1</v>
      </c>
      <c r="J30" s="381">
        <f t="shared" si="0"/>
        <v>3</v>
      </c>
      <c r="K30" s="363">
        <f t="shared" si="1"/>
        <v>1</v>
      </c>
      <c r="L30" s="363">
        <f t="shared" si="2"/>
        <v>1</v>
      </c>
      <c r="O30" s="401" t="s">
        <v>22</v>
      </c>
      <c r="P30" s="402">
        <f>SUMIF($D$8:$D$55,$O30,$G$8:$G$55)+SUMIF($F$8:$F$55,$O30,$I$8:$I$55)</f>
        <v>8</v>
      </c>
      <c r="Q30" s="402">
        <f>SUMIF($D$8:$D$55,$O30,$I$8:$I$55)+SUMIF($F$8:$F$55,$O30,$G$8:$G$55)</f>
        <v>5</v>
      </c>
      <c r="R30" s="402">
        <f>P30-Q30</f>
        <v>3</v>
      </c>
      <c r="S30" s="403">
        <f>SUMIF($D$8:$D$55,$O30,$K$8:$K$55)+SUMIF($F$8:$F$55,$O30,$L$8:$L$55)</f>
        <v>6</v>
      </c>
      <c r="T30" s="446" t="s">
        <v>63</v>
      </c>
      <c r="U30" s="392"/>
      <c r="V30" s="392" t="str">
        <f>O30</f>
        <v>Italië</v>
      </c>
      <c r="W30" s="392" t="s">
        <v>65</v>
      </c>
      <c r="Y30" s="109">
        <f t="shared" si="8"/>
        <v>5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5</v>
      </c>
      <c r="AG30" s="108">
        <f t="shared" si="3"/>
        <v>0</v>
      </c>
      <c r="AH30" s="108">
        <f t="shared" si="4"/>
        <v>0</v>
      </c>
      <c r="AI30" s="108">
        <f t="shared" si="10"/>
        <v>0</v>
      </c>
      <c r="AJ30" s="108">
        <f t="shared" si="5"/>
        <v>0</v>
      </c>
      <c r="AK30" s="108">
        <f t="shared" si="6"/>
        <v>0</v>
      </c>
      <c r="AL30" s="108">
        <f t="shared" si="7"/>
        <v>5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3</v>
      </c>
      <c r="H31" s="367" t="s">
        <v>9</v>
      </c>
      <c r="I31" s="440">
        <v>0</v>
      </c>
      <c r="J31" s="369">
        <f t="shared" si="0"/>
        <v>1</v>
      </c>
      <c r="K31" s="363">
        <f t="shared" si="1"/>
        <v>3</v>
      </c>
      <c r="L31" s="363">
        <f t="shared" si="2"/>
        <v>0</v>
      </c>
      <c r="O31" s="392"/>
      <c r="P31" s="393"/>
      <c r="Q31" s="393"/>
      <c r="R31" s="393"/>
      <c r="S31" s="393"/>
      <c r="T31" s="393"/>
      <c r="U31" s="392"/>
      <c r="V31" s="392"/>
      <c r="W31" s="392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3"/>
        <v>0</v>
      </c>
      <c r="AH31" s="108">
        <f t="shared" si="4"/>
        <v>0</v>
      </c>
      <c r="AI31" s="108">
        <f t="shared" si="10"/>
        <v>0</v>
      </c>
      <c r="AJ31" s="108">
        <f t="shared" si="5"/>
        <v>0</v>
      </c>
      <c r="AK31" s="108">
        <f t="shared" si="6"/>
        <v>0</v>
      </c>
      <c r="AL31" s="108">
        <f t="shared" si="7"/>
        <v>0</v>
      </c>
      <c r="AN31" s="392"/>
      <c r="AO31" s="393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1</v>
      </c>
      <c r="H32" s="373" t="s">
        <v>9</v>
      </c>
      <c r="I32" s="441">
        <v>3</v>
      </c>
      <c r="J32" s="375">
        <f t="shared" si="0"/>
        <v>2</v>
      </c>
      <c r="K32" s="363">
        <f t="shared" si="1"/>
        <v>0</v>
      </c>
      <c r="L32" s="363">
        <f t="shared" si="2"/>
        <v>3</v>
      </c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392"/>
      <c r="V32" s="392"/>
      <c r="W32" s="392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3"/>
        <v>0</v>
      </c>
      <c r="AH32" s="108">
        <f t="shared" si="4"/>
        <v>0</v>
      </c>
      <c r="AI32" s="108">
        <f t="shared" si="10"/>
        <v>0</v>
      </c>
      <c r="AJ32" s="108">
        <f t="shared" si="5"/>
        <v>0</v>
      </c>
      <c r="AK32" s="108">
        <f t="shared" si="6"/>
        <v>5</v>
      </c>
      <c r="AL32" s="108">
        <f t="shared" si="7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3</v>
      </c>
      <c r="H33" s="379" t="s">
        <v>9</v>
      </c>
      <c r="I33" s="442">
        <v>2</v>
      </c>
      <c r="J33" s="381">
        <f t="shared" si="0"/>
        <v>1</v>
      </c>
      <c r="K33" s="363">
        <f t="shared" si="1"/>
        <v>3</v>
      </c>
      <c r="L33" s="363">
        <f t="shared" si="2"/>
        <v>0</v>
      </c>
      <c r="O33" s="394" t="s">
        <v>25</v>
      </c>
      <c r="P33" s="395">
        <f>SUMIF($D$8:$D$55,$O33,$G$8:$G$55)+SUMIF($F$8:$F$55,$O33,$I$8:$I$55)</f>
        <v>4</v>
      </c>
      <c r="Q33" s="395">
        <f>SUMIF($D$8:$D$55,$O33,$I$8:$I$55)+SUMIF($F$8:$F$55,$O33,$G$8:$G$55)</f>
        <v>3</v>
      </c>
      <c r="R33" s="396">
        <f>P33-Q33</f>
        <v>1</v>
      </c>
      <c r="S33" s="397">
        <f>SUMIF($D$8:$D$55,$O33,$K$8:$K$55)+SUMIF($F$8:$F$55,$O33,$L$8:$L$55)</f>
        <v>6</v>
      </c>
      <c r="T33" s="444" t="s">
        <v>69</v>
      </c>
      <c r="U33" s="392"/>
      <c r="V33" s="392" t="str">
        <f>O33</f>
        <v>Zwitserland</v>
      </c>
      <c r="W33" s="392" t="s">
        <v>67</v>
      </c>
      <c r="Y33" s="109">
        <f t="shared" si="8"/>
        <v>1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1</v>
      </c>
      <c r="AG33" s="108">
        <f t="shared" si="3"/>
        <v>0</v>
      </c>
      <c r="AH33" s="108">
        <f t="shared" si="4"/>
        <v>1</v>
      </c>
      <c r="AI33" s="108">
        <f t="shared" si="10"/>
        <v>0</v>
      </c>
      <c r="AJ33" s="108">
        <f t="shared" si="5"/>
        <v>0</v>
      </c>
      <c r="AK33" s="108">
        <f t="shared" si="6"/>
        <v>0</v>
      </c>
      <c r="AL33" s="108">
        <f t="shared" si="7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3</v>
      </c>
      <c r="H34" s="367" t="s">
        <v>9</v>
      </c>
      <c r="I34" s="440">
        <v>1</v>
      </c>
      <c r="J34" s="369">
        <f t="shared" si="0"/>
        <v>1</v>
      </c>
      <c r="K34" s="363">
        <f t="shared" si="1"/>
        <v>3</v>
      </c>
      <c r="L34" s="363">
        <f t="shared" si="2"/>
        <v>0</v>
      </c>
      <c r="O34" s="398" t="s">
        <v>26</v>
      </c>
      <c r="P34" s="399">
        <f>SUMIF($D$8:$D$55,$O34,$G$8:$G$55)+SUMIF($F$8:$F$55,$O34,$I$8:$I$55)</f>
        <v>2</v>
      </c>
      <c r="Q34" s="399">
        <f>SUMIF($D$8:$D$55,$O34,$I$8:$I$55)+SUMIF($F$8:$F$55,$O34,$G$8:$G$55)</f>
        <v>6</v>
      </c>
      <c r="R34" s="399">
        <f>P34-Q34</f>
        <v>-4</v>
      </c>
      <c r="S34" s="400">
        <f>SUMIF($D$8:$D$55,$O34,$K$8:$K$55)+SUMIF($F$8:$F$55,$O34,$L$8:$L$55)</f>
        <v>0</v>
      </c>
      <c r="T34" s="445" t="s">
        <v>68</v>
      </c>
      <c r="U34" s="392"/>
      <c r="V34" s="392" t="str">
        <f>O34</f>
        <v>Ecuador</v>
      </c>
      <c r="W34" s="392" t="s">
        <v>68</v>
      </c>
      <c r="Y34" s="109">
        <f t="shared" si="8"/>
        <v>5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5</v>
      </c>
      <c r="AG34" s="108">
        <f t="shared" si="3"/>
        <v>0</v>
      </c>
      <c r="AH34" s="108">
        <f t="shared" si="4"/>
        <v>0</v>
      </c>
      <c r="AI34" s="108">
        <f t="shared" si="10"/>
        <v>0</v>
      </c>
      <c r="AJ34" s="108">
        <f t="shared" si="5"/>
        <v>5</v>
      </c>
      <c r="AK34" s="108">
        <f t="shared" si="6"/>
        <v>0</v>
      </c>
      <c r="AL34" s="108">
        <f t="shared" si="7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4</v>
      </c>
      <c r="H35" s="373" t="s">
        <v>9</v>
      </c>
      <c r="I35" s="441">
        <v>1</v>
      </c>
      <c r="J35" s="375">
        <f t="shared" si="0"/>
        <v>1</v>
      </c>
      <c r="K35" s="363">
        <f t="shared" si="1"/>
        <v>3</v>
      </c>
      <c r="L35" s="363">
        <f t="shared" si="2"/>
        <v>0</v>
      </c>
      <c r="O35" s="398" t="s">
        <v>27</v>
      </c>
      <c r="P35" s="399">
        <f>SUMIF($D$8:$D$55,$O35,$G$8:$G$55)+SUMIF($F$8:$F$55,$O35,$I$8:$I$55)</f>
        <v>9</v>
      </c>
      <c r="Q35" s="399">
        <f>SUMIF($D$8:$D$55,$O35,$I$8:$I$55)+SUMIF($F$8:$F$55,$O35,$G$8:$G$55)</f>
        <v>1</v>
      </c>
      <c r="R35" s="399">
        <f>P35-Q35</f>
        <v>8</v>
      </c>
      <c r="S35" s="400">
        <f>SUMIF($D$8:$D$55,$O35,$K$8:$K$55)+SUMIF($F$8:$F$55,$O35,$L$8:$L$55)</f>
        <v>9</v>
      </c>
      <c r="T35" s="445" t="s">
        <v>67</v>
      </c>
      <c r="U35" s="392"/>
      <c r="V35" s="392" t="str">
        <f>O35</f>
        <v>Frankrijk</v>
      </c>
      <c r="W35" s="392" t="s">
        <v>69</v>
      </c>
      <c r="Y35" s="109">
        <f t="shared" si="8"/>
        <v>0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0</v>
      </c>
      <c r="AG35" s="108">
        <f t="shared" si="3"/>
        <v>0</v>
      </c>
      <c r="AH35" s="108">
        <f t="shared" si="4"/>
        <v>0</v>
      </c>
      <c r="AI35" s="108">
        <f t="shared" si="10"/>
        <v>0</v>
      </c>
      <c r="AJ35" s="108">
        <f t="shared" si="5"/>
        <v>0</v>
      </c>
      <c r="AK35" s="108">
        <f t="shared" si="6"/>
        <v>0</v>
      </c>
      <c r="AL35" s="108">
        <f t="shared" si="7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4</v>
      </c>
      <c r="H36" s="379" t="s">
        <v>9</v>
      </c>
      <c r="I36" s="442">
        <v>1</v>
      </c>
      <c r="J36" s="381">
        <f t="shared" si="0"/>
        <v>1</v>
      </c>
      <c r="K36" s="363">
        <f t="shared" si="1"/>
        <v>3</v>
      </c>
      <c r="L36" s="363">
        <f t="shared" si="2"/>
        <v>0</v>
      </c>
      <c r="O36" s="401" t="s">
        <v>28</v>
      </c>
      <c r="P36" s="402">
        <f>SUMIF($D$8:$D$55,$O36,$G$8:$G$55)+SUMIF($F$8:$F$55,$O36,$I$8:$I$55)</f>
        <v>3</v>
      </c>
      <c r="Q36" s="402">
        <f>SUMIF($D$8:$D$55,$O36,$I$8:$I$55)+SUMIF($F$8:$F$55,$O36,$G$8:$G$55)</f>
        <v>8</v>
      </c>
      <c r="R36" s="402">
        <f>P36-Q36</f>
        <v>-5</v>
      </c>
      <c r="S36" s="403">
        <f>SUMIF($D$8:$D$55,$O36,$K$8:$K$55)+SUMIF($F$8:$F$55,$O36,$L$8:$L$55)</f>
        <v>3</v>
      </c>
      <c r="T36" s="446" t="s">
        <v>70</v>
      </c>
      <c r="U36" s="392"/>
      <c r="V36" s="392" t="str">
        <f>O36</f>
        <v>Honduras</v>
      </c>
      <c r="W36" s="392" t="s">
        <v>70</v>
      </c>
      <c r="Y36" s="109">
        <f t="shared" si="8"/>
        <v>5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5</v>
      </c>
      <c r="AG36" s="108">
        <f t="shared" si="3"/>
        <v>0</v>
      </c>
      <c r="AH36" s="108">
        <f t="shared" si="4"/>
        <v>0</v>
      </c>
      <c r="AI36" s="108">
        <f t="shared" si="10"/>
        <v>0</v>
      </c>
      <c r="AJ36" s="108">
        <f t="shared" si="5"/>
        <v>5</v>
      </c>
      <c r="AK36" s="108">
        <f t="shared" si="6"/>
        <v>0</v>
      </c>
      <c r="AL36" s="108">
        <f t="shared" si="7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0</v>
      </c>
      <c r="H37" s="367" t="s">
        <v>9</v>
      </c>
      <c r="I37" s="440">
        <v>1</v>
      </c>
      <c r="J37" s="369">
        <f t="shared" si="0"/>
        <v>2</v>
      </c>
      <c r="K37" s="363">
        <f t="shared" si="1"/>
        <v>0</v>
      </c>
      <c r="L37" s="363">
        <f t="shared" si="2"/>
        <v>3</v>
      </c>
      <c r="O37" s="392"/>
      <c r="P37" s="393"/>
      <c r="Q37" s="393"/>
      <c r="R37" s="393"/>
      <c r="S37" s="393"/>
      <c r="T37" s="393"/>
      <c r="U37" s="392"/>
      <c r="V37" s="392"/>
      <c r="W37" s="392"/>
      <c r="Y37" s="109">
        <f t="shared" si="8"/>
        <v>0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0</v>
      </c>
      <c r="AG37" s="108">
        <f t="shared" si="3"/>
        <v>0</v>
      </c>
      <c r="AH37" s="108">
        <f t="shared" si="4"/>
        <v>0</v>
      </c>
      <c r="AI37" s="108">
        <f t="shared" si="10"/>
        <v>0</v>
      </c>
      <c r="AJ37" s="108">
        <f t="shared" si="5"/>
        <v>0</v>
      </c>
      <c r="AK37" s="108">
        <f t="shared" si="6"/>
        <v>0</v>
      </c>
      <c r="AL37" s="108">
        <f t="shared" si="7"/>
        <v>0</v>
      </c>
      <c r="AN37" s="392"/>
      <c r="AO37" s="393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2</v>
      </c>
      <c r="H38" s="373" t="s">
        <v>9</v>
      </c>
      <c r="I38" s="441">
        <v>0</v>
      </c>
      <c r="J38" s="375">
        <f t="shared" si="0"/>
        <v>1</v>
      </c>
      <c r="K38" s="363">
        <f t="shared" si="1"/>
        <v>3</v>
      </c>
      <c r="L38" s="363">
        <f t="shared" si="2"/>
        <v>0</v>
      </c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392"/>
      <c r="V38" s="392"/>
      <c r="W38" s="392"/>
      <c r="Y38" s="109">
        <f t="shared" si="8"/>
        <v>1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1</v>
      </c>
      <c r="AG38" s="108">
        <f t="shared" si="3"/>
        <v>1</v>
      </c>
      <c r="AH38" s="108">
        <f t="shared" si="4"/>
        <v>0</v>
      </c>
      <c r="AI38" s="108">
        <f t="shared" si="10"/>
        <v>0</v>
      </c>
      <c r="AJ38" s="108">
        <f t="shared" si="5"/>
        <v>0</v>
      </c>
      <c r="AK38" s="108">
        <f t="shared" si="6"/>
        <v>0</v>
      </c>
      <c r="AL38" s="108">
        <f t="shared" si="7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0</v>
      </c>
      <c r="H39" s="379" t="s">
        <v>9</v>
      </c>
      <c r="I39" s="442">
        <v>3</v>
      </c>
      <c r="J39" s="381">
        <f t="shared" si="0"/>
        <v>2</v>
      </c>
      <c r="K39" s="363">
        <f t="shared" si="1"/>
        <v>0</v>
      </c>
      <c r="L39" s="363">
        <f t="shared" si="2"/>
        <v>3</v>
      </c>
      <c r="O39" s="394" t="s">
        <v>29</v>
      </c>
      <c r="P39" s="395">
        <f>SUMIF($D$8:$D$55,$O39,$G$8:$G$55)+SUMIF($F$8:$F$55,$O39,$I$8:$I$55)</f>
        <v>8</v>
      </c>
      <c r="Q39" s="395">
        <f>SUMIF($D$8:$D$55,$O39,$I$8:$I$55)+SUMIF($F$8:$F$55,$O39,$G$8:$G$55)</f>
        <v>3</v>
      </c>
      <c r="R39" s="396">
        <f>P39-Q39</f>
        <v>5</v>
      </c>
      <c r="S39" s="397">
        <f>SUMIF($D$8:$D$55,$O39,$K$8:$K$55)+SUMIF($F$8:$F$55,$O39,$L$8:$L$55)</f>
        <v>7</v>
      </c>
      <c r="T39" s="444" t="s">
        <v>74</v>
      </c>
      <c r="U39" s="392"/>
      <c r="V39" s="392" t="str">
        <f>O39</f>
        <v>Argentinië</v>
      </c>
      <c r="W39" s="392" t="s">
        <v>72</v>
      </c>
      <c r="Y39" s="109">
        <f t="shared" si="8"/>
        <v>0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0</v>
      </c>
      <c r="AG39" s="108">
        <f t="shared" si="3"/>
        <v>0</v>
      </c>
      <c r="AH39" s="108">
        <f t="shared" si="4"/>
        <v>0</v>
      </c>
      <c r="AI39" s="108">
        <f t="shared" si="10"/>
        <v>0</v>
      </c>
      <c r="AJ39" s="108">
        <f t="shared" si="5"/>
        <v>0</v>
      </c>
      <c r="AK39" s="108">
        <f t="shared" si="6"/>
        <v>0</v>
      </c>
      <c r="AL39" s="108">
        <f t="shared" si="7"/>
        <v>0</v>
      </c>
      <c r="AM39" s="120">
        <f>AO39</f>
        <v>0</v>
      </c>
      <c r="AN39" s="116" t="s">
        <v>29</v>
      </c>
      <c r="AO39" s="115">
        <f>IF(Uitslag!T39="",0,IF(T39=Uitslag!T39,10,0))</f>
        <v>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1</v>
      </c>
      <c r="H40" s="367" t="s">
        <v>9</v>
      </c>
      <c r="I40" s="440">
        <v>2</v>
      </c>
      <c r="J40" s="369">
        <f t="shared" si="0"/>
        <v>2</v>
      </c>
      <c r="K40" s="363">
        <f t="shared" si="1"/>
        <v>0</v>
      </c>
      <c r="L40" s="363">
        <f t="shared" si="2"/>
        <v>3</v>
      </c>
      <c r="O40" s="398" t="s">
        <v>30</v>
      </c>
      <c r="P40" s="399">
        <f>SUMIF($D$8:$D$55,$O40,$G$8:$G$55)+SUMIF($F$8:$F$55,$O40,$I$8:$I$55)</f>
        <v>1</v>
      </c>
      <c r="Q40" s="399">
        <f>SUMIF($D$8:$D$55,$O40,$I$8:$I$55)+SUMIF($F$8:$F$55,$O40,$G$8:$G$55)</f>
        <v>10</v>
      </c>
      <c r="R40" s="399">
        <f>P40-Q40</f>
        <v>-9</v>
      </c>
      <c r="S40" s="400">
        <f>SUMIF($D$8:$D$55,$O40,$K$8:$K$55)+SUMIF($F$8:$F$55,$O40,$L$8:$L$55)</f>
        <v>0</v>
      </c>
      <c r="T40" s="445" t="s">
        <v>75</v>
      </c>
      <c r="U40" s="392"/>
      <c r="V40" s="392" t="str">
        <f>O40</f>
        <v>Bosnië H.</v>
      </c>
      <c r="W40" s="392" t="s">
        <v>73</v>
      </c>
      <c r="Y40" s="109">
        <f t="shared" si="8"/>
        <v>5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5</v>
      </c>
      <c r="AG40" s="108">
        <f t="shared" si="3"/>
        <v>0</v>
      </c>
      <c r="AH40" s="108">
        <f t="shared" si="4"/>
        <v>0</v>
      </c>
      <c r="AI40" s="108">
        <f t="shared" si="10"/>
        <v>0</v>
      </c>
      <c r="AJ40" s="108">
        <f t="shared" si="5"/>
        <v>0</v>
      </c>
      <c r="AK40" s="108">
        <f t="shared" si="6"/>
        <v>5</v>
      </c>
      <c r="AL40" s="108">
        <f t="shared" si="7"/>
        <v>0</v>
      </c>
      <c r="AM40" s="120">
        <f>AO40</f>
        <v>0</v>
      </c>
      <c r="AN40" s="117" t="s">
        <v>30</v>
      </c>
      <c r="AO40" s="115">
        <f>IF(Uitslag!T40="",0,IF(T40=Uitslag!T40,10,0))</f>
        <v>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3</v>
      </c>
      <c r="H41" s="373" t="s">
        <v>9</v>
      </c>
      <c r="I41" s="441">
        <v>0</v>
      </c>
      <c r="J41" s="375">
        <f t="shared" si="0"/>
        <v>1</v>
      </c>
      <c r="K41" s="363">
        <f t="shared" si="1"/>
        <v>3</v>
      </c>
      <c r="L41" s="363">
        <f t="shared" si="2"/>
        <v>0</v>
      </c>
      <c r="O41" s="398" t="s">
        <v>33</v>
      </c>
      <c r="P41" s="399">
        <f>SUMIF($D$8:$D$55,$O41,$G$8:$G$55)+SUMIF($F$8:$F$55,$O41,$I$8:$I$55)</f>
        <v>5</v>
      </c>
      <c r="Q41" s="399">
        <f>SUMIF($D$8:$D$55,$O41,$I$8:$I$55)+SUMIF($F$8:$F$55,$O41,$G$8:$G$55)</f>
        <v>5</v>
      </c>
      <c r="R41" s="399">
        <f>P41-Q41</f>
        <v>0</v>
      </c>
      <c r="S41" s="400">
        <f>SUMIF($D$8:$D$55,$O41,$K$8:$K$55)+SUMIF($F$8:$F$55,$O41,$L$8:$L$55)</f>
        <v>3</v>
      </c>
      <c r="T41" s="445" t="s">
        <v>73</v>
      </c>
      <c r="U41" s="392"/>
      <c r="V41" s="392" t="str">
        <f>O41</f>
        <v>Iran</v>
      </c>
      <c r="W41" s="392" t="s">
        <v>74</v>
      </c>
      <c r="Y41" s="109">
        <f t="shared" si="8"/>
        <v>6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6</v>
      </c>
      <c r="AG41" s="108">
        <f t="shared" si="3"/>
        <v>0</v>
      </c>
      <c r="AH41" s="108">
        <f t="shared" si="4"/>
        <v>1</v>
      </c>
      <c r="AI41" s="108">
        <f t="shared" si="10"/>
        <v>0</v>
      </c>
      <c r="AJ41" s="108">
        <f t="shared" si="5"/>
        <v>5</v>
      </c>
      <c r="AK41" s="108">
        <f t="shared" si="6"/>
        <v>0</v>
      </c>
      <c r="AL41" s="108">
        <f t="shared" si="7"/>
        <v>0</v>
      </c>
      <c r="AM41" s="120">
        <f>AO41</f>
        <v>0</v>
      </c>
      <c r="AN41" s="117" t="s">
        <v>33</v>
      </c>
      <c r="AO41" s="115">
        <f>IF(Uitslag!T41="",0,IF(T41=Uitslag!T41,10,0))</f>
        <v>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1</v>
      </c>
      <c r="H42" s="373" t="s">
        <v>9</v>
      </c>
      <c r="I42" s="441">
        <v>4</v>
      </c>
      <c r="J42" s="375">
        <f t="shared" si="0"/>
        <v>2</v>
      </c>
      <c r="K42" s="363">
        <f t="shared" si="1"/>
        <v>0</v>
      </c>
      <c r="L42" s="363">
        <f t="shared" si="2"/>
        <v>3</v>
      </c>
      <c r="O42" s="401" t="s">
        <v>34</v>
      </c>
      <c r="P42" s="402">
        <f>SUMIF($D$8:$D$55,$O42,$G$8:$G$55)+SUMIF($F$8:$F$55,$O42,$I$8:$I$55)</f>
        <v>8</v>
      </c>
      <c r="Q42" s="402">
        <f>SUMIF($D$8:$D$55,$O42,$I$8:$I$55)+SUMIF($F$8:$F$55,$O42,$G$8:$G$55)</f>
        <v>4</v>
      </c>
      <c r="R42" s="402">
        <f>P42-Q42</f>
        <v>4</v>
      </c>
      <c r="S42" s="403">
        <f>SUMIF($D$8:$D$55,$O42,$K$8:$K$55)+SUMIF($F$8:$F$55,$O42,$L$8:$L$55)</f>
        <v>7</v>
      </c>
      <c r="T42" s="446" t="s">
        <v>72</v>
      </c>
      <c r="U42" s="392"/>
      <c r="V42" s="392" t="str">
        <f>O42</f>
        <v>Nigeria</v>
      </c>
      <c r="W42" s="392" t="s">
        <v>75</v>
      </c>
      <c r="Y42" s="109">
        <f t="shared" si="8"/>
        <v>10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10</v>
      </c>
      <c r="AG42" s="108">
        <f t="shared" si="3"/>
        <v>1</v>
      </c>
      <c r="AH42" s="108">
        <f t="shared" si="4"/>
        <v>1</v>
      </c>
      <c r="AI42" s="108">
        <f t="shared" si="10"/>
        <v>10</v>
      </c>
      <c r="AJ42" s="108">
        <f t="shared" si="5"/>
        <v>0</v>
      </c>
      <c r="AK42" s="108">
        <f t="shared" si="6"/>
        <v>5</v>
      </c>
      <c r="AL42" s="108">
        <f t="shared" si="7"/>
        <v>0</v>
      </c>
      <c r="AM42" s="120">
        <f>AO42</f>
        <v>0</v>
      </c>
      <c r="AN42" s="118" t="s">
        <v>34</v>
      </c>
      <c r="AO42" s="115">
        <f>IF(Uitslag!T42="",0,IF(T42=Uitslag!T42,10,0))</f>
        <v>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2</v>
      </c>
      <c r="H43" s="379" t="s">
        <v>9</v>
      </c>
      <c r="I43" s="442">
        <v>2</v>
      </c>
      <c r="J43" s="381">
        <f t="shared" si="0"/>
        <v>3</v>
      </c>
      <c r="K43" s="363">
        <f t="shared" si="1"/>
        <v>1</v>
      </c>
      <c r="L43" s="363">
        <f t="shared" si="2"/>
        <v>1</v>
      </c>
      <c r="O43" s="392"/>
      <c r="P43" s="393"/>
      <c r="Q43" s="393"/>
      <c r="R43" s="393"/>
      <c r="S43" s="393"/>
      <c r="T43" s="393"/>
      <c r="U43" s="392"/>
      <c r="V43" s="392"/>
      <c r="W43" s="392"/>
      <c r="Y43" s="109">
        <f t="shared" si="8"/>
        <v>0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0</v>
      </c>
      <c r="AG43" s="108">
        <f t="shared" si="3"/>
        <v>0</v>
      </c>
      <c r="AH43" s="108">
        <f t="shared" si="4"/>
        <v>0</v>
      </c>
      <c r="AI43" s="108">
        <f t="shared" si="10"/>
        <v>0</v>
      </c>
      <c r="AJ43" s="108">
        <f t="shared" si="5"/>
        <v>0</v>
      </c>
      <c r="AK43" s="108">
        <f t="shared" si="6"/>
        <v>0</v>
      </c>
      <c r="AL43" s="108">
        <f t="shared" si="7"/>
        <v>0</v>
      </c>
      <c r="AN43" s="392"/>
      <c r="AO43" s="393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3</v>
      </c>
      <c r="H44" s="367" t="s">
        <v>9</v>
      </c>
      <c r="I44" s="440">
        <v>1</v>
      </c>
      <c r="J44" s="369">
        <f t="shared" si="0"/>
        <v>1</v>
      </c>
      <c r="K44" s="363">
        <f t="shared" si="1"/>
        <v>3</v>
      </c>
      <c r="L44" s="363">
        <f t="shared" si="2"/>
        <v>0</v>
      </c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392"/>
      <c r="V44" s="392"/>
      <c r="W44" s="392"/>
      <c r="Y44" s="109">
        <f t="shared" si="8"/>
        <v>1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1</v>
      </c>
      <c r="AG44" s="108">
        <f t="shared" si="3"/>
        <v>0</v>
      </c>
      <c r="AH44" s="108">
        <f t="shared" si="4"/>
        <v>1</v>
      </c>
      <c r="AI44" s="108">
        <f t="shared" si="10"/>
        <v>0</v>
      </c>
      <c r="AJ44" s="108">
        <f t="shared" si="5"/>
        <v>0</v>
      </c>
      <c r="AK44" s="108">
        <f t="shared" si="6"/>
        <v>0</v>
      </c>
      <c r="AL44" s="108">
        <f t="shared" si="7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1</v>
      </c>
      <c r="H45" s="373" t="s">
        <v>9</v>
      </c>
      <c r="I45" s="441">
        <v>2</v>
      </c>
      <c r="J45" s="375">
        <f t="shared" si="0"/>
        <v>2</v>
      </c>
      <c r="K45" s="363">
        <f t="shared" si="1"/>
        <v>0</v>
      </c>
      <c r="L45" s="363">
        <f t="shared" si="2"/>
        <v>3</v>
      </c>
      <c r="O45" s="394" t="s">
        <v>31</v>
      </c>
      <c r="P45" s="395">
        <f>SUMIF($D$8:$D$55,$O45,$G$8:$G$55)+SUMIF($F$8:$F$55,$O45,$I$8:$I$55)</f>
        <v>10</v>
      </c>
      <c r="Q45" s="395">
        <f>SUMIF($D$8:$D$55,$O45,$I$8:$I$55)+SUMIF($F$8:$F$55,$O45,$G$8:$G$55)</f>
        <v>3</v>
      </c>
      <c r="R45" s="396">
        <f>P45-Q45</f>
        <v>7</v>
      </c>
      <c r="S45" s="397">
        <f>SUMIF($D$8:$D$55,$O45,$K$8:$K$55)+SUMIF($F$8:$F$55,$O45,$L$8:$L$55)</f>
        <v>7</v>
      </c>
      <c r="T45" s="444" t="s">
        <v>77</v>
      </c>
      <c r="U45" s="392"/>
      <c r="V45" s="392" t="str">
        <f>O45</f>
        <v>Duitsland</v>
      </c>
      <c r="W45" s="392" t="s">
        <v>77</v>
      </c>
      <c r="Y45" s="109">
        <f t="shared" si="8"/>
        <v>0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0</v>
      </c>
      <c r="AG45" s="108">
        <f t="shared" si="3"/>
        <v>0</v>
      </c>
      <c r="AH45" s="108">
        <f t="shared" si="4"/>
        <v>0</v>
      </c>
      <c r="AI45" s="108">
        <f t="shared" si="10"/>
        <v>0</v>
      </c>
      <c r="AJ45" s="108">
        <f t="shared" si="5"/>
        <v>0</v>
      </c>
      <c r="AK45" s="108">
        <f t="shared" si="6"/>
        <v>0</v>
      </c>
      <c r="AL45" s="108">
        <f t="shared" si="7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3</v>
      </c>
      <c r="H46" s="373" t="s">
        <v>9</v>
      </c>
      <c r="I46" s="441">
        <v>1</v>
      </c>
      <c r="J46" s="375">
        <f t="shared" si="0"/>
        <v>1</v>
      </c>
      <c r="K46" s="363">
        <f t="shared" si="1"/>
        <v>3</v>
      </c>
      <c r="L46" s="363">
        <f t="shared" si="2"/>
        <v>0</v>
      </c>
      <c r="O46" s="398" t="s">
        <v>32</v>
      </c>
      <c r="P46" s="399">
        <f>SUMIF($D$8:$D$55,$O46,$G$8:$G$55)+SUMIF($F$8:$F$55,$O46,$I$8:$I$55)</f>
        <v>7</v>
      </c>
      <c r="Q46" s="399">
        <f>SUMIF($D$8:$D$55,$O46,$I$8:$I$55)+SUMIF($F$8:$F$55,$O46,$G$8:$G$55)</f>
        <v>3</v>
      </c>
      <c r="R46" s="399">
        <f>P46-Q46</f>
        <v>4</v>
      </c>
      <c r="S46" s="400">
        <f>SUMIF($D$8:$D$55,$O46,$K$8:$K$55)+SUMIF($F$8:$F$55,$O46,$L$8:$L$55)</f>
        <v>7</v>
      </c>
      <c r="T46" s="445" t="s">
        <v>78</v>
      </c>
      <c r="U46" s="392"/>
      <c r="V46" s="392" t="str">
        <f>O46</f>
        <v>Portugal</v>
      </c>
      <c r="W46" s="392" t="s">
        <v>78</v>
      </c>
      <c r="Y46" s="109">
        <f t="shared" si="8"/>
        <v>0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0</v>
      </c>
      <c r="AG46" s="108">
        <f t="shared" si="3"/>
        <v>0</v>
      </c>
      <c r="AH46" s="108">
        <f t="shared" si="4"/>
        <v>0</v>
      </c>
      <c r="AI46" s="108">
        <f t="shared" si="10"/>
        <v>0</v>
      </c>
      <c r="AJ46" s="108">
        <f t="shared" si="5"/>
        <v>0</v>
      </c>
      <c r="AK46" s="108">
        <f t="shared" si="6"/>
        <v>0</v>
      </c>
      <c r="AL46" s="108">
        <f t="shared" si="7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1</v>
      </c>
      <c r="H47" s="379" t="s">
        <v>9</v>
      </c>
      <c r="I47" s="442">
        <v>1</v>
      </c>
      <c r="J47" s="381">
        <f t="shared" si="0"/>
        <v>3</v>
      </c>
      <c r="K47" s="363">
        <f t="shared" si="1"/>
        <v>1</v>
      </c>
      <c r="L47" s="363">
        <f t="shared" si="2"/>
        <v>1</v>
      </c>
      <c r="O47" s="398" t="s">
        <v>35</v>
      </c>
      <c r="P47" s="399">
        <f>SUMIF($D$8:$D$55,$O47,$G$8:$G$55)+SUMIF($F$8:$F$55,$O47,$I$8:$I$55)</f>
        <v>5</v>
      </c>
      <c r="Q47" s="399">
        <f>SUMIF($D$8:$D$55,$O47,$I$8:$I$55)+SUMIF($F$8:$F$55,$O47,$G$8:$G$55)</f>
        <v>8</v>
      </c>
      <c r="R47" s="399">
        <f>P47-Q47</f>
        <v>-3</v>
      </c>
      <c r="S47" s="400">
        <f>SUMIF($D$8:$D$55,$O47,$K$8:$K$55)+SUMIF($F$8:$F$55,$O47,$L$8:$L$55)</f>
        <v>3</v>
      </c>
      <c r="T47" s="445" t="s">
        <v>80</v>
      </c>
      <c r="U47" s="392"/>
      <c r="V47" s="392" t="str">
        <f>O47</f>
        <v>Ghana</v>
      </c>
      <c r="W47" s="392" t="s">
        <v>79</v>
      </c>
      <c r="Y47" s="109">
        <f t="shared" si="8"/>
        <v>1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1</v>
      </c>
      <c r="AG47" s="108">
        <f t="shared" si="3"/>
        <v>0</v>
      </c>
      <c r="AH47" s="108">
        <f t="shared" si="4"/>
        <v>1</v>
      </c>
      <c r="AI47" s="108">
        <f t="shared" si="10"/>
        <v>0</v>
      </c>
      <c r="AJ47" s="108">
        <f t="shared" si="5"/>
        <v>0</v>
      </c>
      <c r="AK47" s="108">
        <f t="shared" si="6"/>
        <v>0</v>
      </c>
      <c r="AL47" s="108">
        <f t="shared" si="7"/>
        <v>0</v>
      </c>
      <c r="AM47" s="120">
        <f>AO47</f>
        <v>10</v>
      </c>
      <c r="AN47" s="117" t="s">
        <v>35</v>
      </c>
      <c r="AO47" s="115">
        <f>IF(Uitslag!T47="",0,IF(T47=Uitslag!T47,10,0))</f>
        <v>10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2</v>
      </c>
      <c r="H48" s="367" t="s">
        <v>9</v>
      </c>
      <c r="I48" s="440">
        <v>2</v>
      </c>
      <c r="J48" s="369">
        <f t="shared" si="0"/>
        <v>3</v>
      </c>
      <c r="K48" s="363">
        <f t="shared" si="1"/>
        <v>1</v>
      </c>
      <c r="L48" s="363">
        <f t="shared" si="2"/>
        <v>1</v>
      </c>
      <c r="O48" s="401" t="s">
        <v>36</v>
      </c>
      <c r="P48" s="402">
        <f>SUMIF($D$8:$D$55,$O48,$G$8:$G$55)+SUMIF($F$8:$F$55,$O48,$I$8:$I$55)</f>
        <v>2</v>
      </c>
      <c r="Q48" s="402">
        <f>SUMIF($D$8:$D$55,$O48,$I$8:$I$55)+SUMIF($F$8:$F$55,$O48,$G$8:$G$55)</f>
        <v>10</v>
      </c>
      <c r="R48" s="402">
        <f>P48-Q48</f>
        <v>-8</v>
      </c>
      <c r="S48" s="403">
        <f>SUMIF($D$8:$D$55,$O48,$K$8:$K$55)+SUMIF($F$8:$F$55,$O48,$L$8:$L$55)</f>
        <v>0</v>
      </c>
      <c r="T48" s="446" t="s">
        <v>79</v>
      </c>
      <c r="U48" s="392"/>
      <c r="V48" s="392" t="str">
        <f>O48</f>
        <v>Verenigde Staten</v>
      </c>
      <c r="W48" s="392" t="s">
        <v>80</v>
      </c>
      <c r="Y48" s="109">
        <f t="shared" si="8"/>
        <v>1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1</v>
      </c>
      <c r="AG48" s="108">
        <f t="shared" si="3"/>
        <v>1</v>
      </c>
      <c r="AH48" s="108">
        <f t="shared" si="4"/>
        <v>0</v>
      </c>
      <c r="AI48" s="108">
        <f t="shared" si="10"/>
        <v>0</v>
      </c>
      <c r="AJ48" s="108">
        <f t="shared" si="5"/>
        <v>0</v>
      </c>
      <c r="AK48" s="108">
        <f t="shared" si="6"/>
        <v>0</v>
      </c>
      <c r="AL48" s="108">
        <f t="shared" si="7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0</v>
      </c>
      <c r="H49" s="373" t="s">
        <v>9</v>
      </c>
      <c r="I49" s="441">
        <v>3</v>
      </c>
      <c r="J49" s="375">
        <f t="shared" si="0"/>
        <v>2</v>
      </c>
      <c r="K49" s="363">
        <f t="shared" si="1"/>
        <v>0</v>
      </c>
      <c r="L49" s="363">
        <f t="shared" si="2"/>
        <v>3</v>
      </c>
      <c r="O49" s="392"/>
      <c r="P49" s="393"/>
      <c r="Q49" s="393"/>
      <c r="R49" s="393"/>
      <c r="S49" s="393"/>
      <c r="T49" s="393"/>
      <c r="U49" s="392"/>
      <c r="V49" s="392"/>
      <c r="W49" s="392"/>
      <c r="Y49" s="109">
        <f t="shared" si="8"/>
        <v>0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0</v>
      </c>
      <c r="AG49" s="108">
        <f t="shared" si="3"/>
        <v>0</v>
      </c>
      <c r="AH49" s="108">
        <f t="shared" si="4"/>
        <v>0</v>
      </c>
      <c r="AI49" s="108">
        <f t="shared" si="10"/>
        <v>0</v>
      </c>
      <c r="AJ49" s="108">
        <f t="shared" si="5"/>
        <v>0</v>
      </c>
      <c r="AK49" s="108">
        <f t="shared" si="6"/>
        <v>0</v>
      </c>
      <c r="AL49" s="108">
        <f t="shared" si="7"/>
        <v>0</v>
      </c>
      <c r="AN49" s="392"/>
      <c r="AO49" s="393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0</v>
      </c>
      <c r="H50" s="373" t="s">
        <v>9</v>
      </c>
      <c r="I50" s="441">
        <v>2</v>
      </c>
      <c r="J50" s="375">
        <f t="shared" si="0"/>
        <v>2</v>
      </c>
      <c r="K50" s="363">
        <f t="shared" si="1"/>
        <v>0</v>
      </c>
      <c r="L50" s="363">
        <f t="shared" si="2"/>
        <v>3</v>
      </c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392"/>
      <c r="V50" s="392"/>
      <c r="W50" s="392"/>
      <c r="Y50" s="109">
        <f t="shared" si="8"/>
        <v>6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6</v>
      </c>
      <c r="AG50" s="108">
        <f t="shared" si="3"/>
        <v>1</v>
      </c>
      <c r="AH50" s="108">
        <f t="shared" si="4"/>
        <v>0</v>
      </c>
      <c r="AI50" s="108">
        <f t="shared" si="10"/>
        <v>0</v>
      </c>
      <c r="AJ50" s="108">
        <f t="shared" si="5"/>
        <v>0</v>
      </c>
      <c r="AK50" s="108">
        <f t="shared" si="6"/>
        <v>5</v>
      </c>
      <c r="AL50" s="108">
        <f t="shared" si="7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0</v>
      </c>
      <c r="H51" s="379" t="s">
        <v>9</v>
      </c>
      <c r="I51" s="442">
        <v>2</v>
      </c>
      <c r="J51" s="381">
        <f t="shared" si="0"/>
        <v>2</v>
      </c>
      <c r="K51" s="363">
        <f t="shared" si="1"/>
        <v>0</v>
      </c>
      <c r="L51" s="363">
        <f t="shared" si="2"/>
        <v>3</v>
      </c>
      <c r="O51" s="394" t="s">
        <v>37</v>
      </c>
      <c r="P51" s="395">
        <f>SUMIF($D$8:$D$55,$O51,$G$8:$G$55)+SUMIF($F$8:$F$55,$O51,$I$8:$I$55)</f>
        <v>3</v>
      </c>
      <c r="Q51" s="395">
        <f>SUMIF($D$8:$D$55,$O51,$I$8:$I$55)+SUMIF($F$8:$F$55,$O51,$G$8:$G$55)</f>
        <v>2</v>
      </c>
      <c r="R51" s="396">
        <f>P51-Q51</f>
        <v>1</v>
      </c>
      <c r="S51" s="397">
        <f>SUMIF($D$8:$D$55,$O51,$K$8:$K$55)+SUMIF($F$8:$F$55,$O51,$L$8:$L$55)</f>
        <v>6</v>
      </c>
      <c r="T51" s="444" t="s">
        <v>84</v>
      </c>
      <c r="U51" s="392"/>
      <c r="V51" s="392" t="str">
        <f>O51</f>
        <v>België</v>
      </c>
      <c r="W51" s="392" t="s">
        <v>82</v>
      </c>
      <c r="Y51" s="109">
        <f t="shared" si="8"/>
        <v>1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1</v>
      </c>
      <c r="AG51" s="108">
        <f t="shared" si="3"/>
        <v>1</v>
      </c>
      <c r="AH51" s="108">
        <f t="shared" si="4"/>
        <v>0</v>
      </c>
      <c r="AI51" s="108">
        <f t="shared" si="10"/>
        <v>0</v>
      </c>
      <c r="AJ51" s="108">
        <f t="shared" si="5"/>
        <v>0</v>
      </c>
      <c r="AK51" s="108">
        <f t="shared" si="6"/>
        <v>0</v>
      </c>
      <c r="AL51" s="108">
        <f t="shared" si="7"/>
        <v>0</v>
      </c>
      <c r="AM51" s="120">
        <f>AO51</f>
        <v>0</v>
      </c>
      <c r="AN51" s="116" t="s">
        <v>37</v>
      </c>
      <c r="AO51" s="115">
        <f>IF(Uitslag!T51="",0,IF(T51=Uitslag!T51,10,0))</f>
        <v>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0</v>
      </c>
      <c r="H52" s="373" t="s">
        <v>9</v>
      </c>
      <c r="I52" s="441">
        <v>4</v>
      </c>
      <c r="J52" s="369">
        <f t="shared" si="0"/>
        <v>2</v>
      </c>
      <c r="K52" s="363">
        <f t="shared" si="1"/>
        <v>0</v>
      </c>
      <c r="L52" s="363">
        <f t="shared" si="2"/>
        <v>3</v>
      </c>
      <c r="O52" s="398" t="s">
        <v>38</v>
      </c>
      <c r="P52" s="399">
        <f>SUMIF($D$8:$D$55,$O52,$G$8:$G$55)+SUMIF($F$8:$F$55,$O52,$I$8:$I$55)</f>
        <v>1</v>
      </c>
      <c r="Q52" s="399">
        <f>SUMIF($D$8:$D$55,$O52,$I$8:$I$55)+SUMIF($F$8:$F$55,$O52,$G$8:$G$55)</f>
        <v>5</v>
      </c>
      <c r="R52" s="399">
        <f>P52-Q52</f>
        <v>-4</v>
      </c>
      <c r="S52" s="400">
        <f>SUMIF($D$8:$D$55,$O52,$K$8:$K$55)+SUMIF($F$8:$F$55,$O52,$L$8:$L$55)</f>
        <v>0</v>
      </c>
      <c r="T52" s="445" t="s">
        <v>85</v>
      </c>
      <c r="U52" s="392"/>
      <c r="V52" s="392" t="str">
        <f>O52</f>
        <v>Algerije</v>
      </c>
      <c r="W52" s="392" t="s">
        <v>83</v>
      </c>
      <c r="Y52" s="109">
        <f t="shared" si="8"/>
        <v>6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6</v>
      </c>
      <c r="AG52" s="108">
        <f t="shared" si="3"/>
        <v>1</v>
      </c>
      <c r="AH52" s="108">
        <f t="shared" si="4"/>
        <v>0</v>
      </c>
      <c r="AI52" s="108">
        <f t="shared" si="10"/>
        <v>0</v>
      </c>
      <c r="AJ52" s="108">
        <f t="shared" si="5"/>
        <v>0</v>
      </c>
      <c r="AK52" s="108">
        <f t="shared" si="6"/>
        <v>5</v>
      </c>
      <c r="AL52" s="108">
        <f t="shared" si="7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2</v>
      </c>
      <c r="H53" s="373" t="s">
        <v>9</v>
      </c>
      <c r="I53" s="441">
        <v>1</v>
      </c>
      <c r="J53" s="375">
        <f t="shared" si="0"/>
        <v>1</v>
      </c>
      <c r="K53" s="363">
        <f t="shared" si="1"/>
        <v>3</v>
      </c>
      <c r="L53" s="363">
        <f t="shared" si="2"/>
        <v>0</v>
      </c>
      <c r="O53" s="398" t="s">
        <v>39</v>
      </c>
      <c r="P53" s="399">
        <f>SUMIF($D$8:$D$55,$O53,$G$8:$G$55)+SUMIF($F$8:$F$55,$O53,$I$8:$I$55)</f>
        <v>4</v>
      </c>
      <c r="Q53" s="399">
        <f>SUMIF($D$8:$D$55,$O53,$I$8:$I$55)+SUMIF($F$8:$F$55,$O53,$G$8:$G$55)</f>
        <v>3</v>
      </c>
      <c r="R53" s="399">
        <f>P53-Q53</f>
        <v>1</v>
      </c>
      <c r="S53" s="400">
        <f>SUMIF($D$8:$D$55,$O53,$K$8:$K$55)+SUMIF($F$8:$F$55,$O53,$L$8:$L$55)</f>
        <v>6</v>
      </c>
      <c r="T53" s="445" t="s">
        <v>83</v>
      </c>
      <c r="U53" s="392"/>
      <c r="V53" s="392" t="str">
        <f>O53</f>
        <v>Rusland</v>
      </c>
      <c r="W53" s="392" t="s">
        <v>84</v>
      </c>
      <c r="Y53" s="109">
        <f t="shared" si="8"/>
        <v>10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10</v>
      </c>
      <c r="AG53" s="108">
        <f t="shared" si="3"/>
        <v>1</v>
      </c>
      <c r="AH53" s="108">
        <f t="shared" si="4"/>
        <v>1</v>
      </c>
      <c r="AI53" s="108">
        <f t="shared" si="10"/>
        <v>10</v>
      </c>
      <c r="AJ53" s="108">
        <f t="shared" si="5"/>
        <v>5</v>
      </c>
      <c r="AK53" s="108">
        <f t="shared" si="6"/>
        <v>0</v>
      </c>
      <c r="AL53" s="108">
        <f t="shared" si="7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1</v>
      </c>
      <c r="H54" s="373" t="s">
        <v>9</v>
      </c>
      <c r="I54" s="441">
        <v>2</v>
      </c>
      <c r="J54" s="375">
        <f t="shared" si="0"/>
        <v>2</v>
      </c>
      <c r="K54" s="363">
        <f t="shared" si="1"/>
        <v>0</v>
      </c>
      <c r="L54" s="363">
        <f t="shared" si="2"/>
        <v>3</v>
      </c>
      <c r="O54" s="401" t="s">
        <v>40</v>
      </c>
      <c r="P54" s="402">
        <f>SUMIF($D$8:$D$55,$O54,$G$8:$G$55)+SUMIF($F$8:$F$55,$O54,$I$8:$I$55)</f>
        <v>5</v>
      </c>
      <c r="Q54" s="402">
        <f>SUMIF($D$8:$D$55,$O54,$I$8:$I$55)+SUMIF($F$8:$F$55,$O54,$G$8:$G$55)</f>
        <v>3</v>
      </c>
      <c r="R54" s="402">
        <f>P54-Q54</f>
        <v>2</v>
      </c>
      <c r="S54" s="403">
        <f>SUMIF($D$8:$D$55,$O54,$K$8:$K$55)+SUMIF($F$8:$F$55,$O54,$L$8:$L$55)</f>
        <v>6</v>
      </c>
      <c r="T54" s="446" t="s">
        <v>82</v>
      </c>
      <c r="U54" s="392"/>
      <c r="V54" s="392" t="str">
        <f>O54</f>
        <v>Zuid Korea</v>
      </c>
      <c r="W54" s="392" t="s">
        <v>85</v>
      </c>
      <c r="Y54" s="109">
        <f t="shared" si="8"/>
        <v>5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5</v>
      </c>
      <c r="AG54" s="108">
        <f t="shared" si="3"/>
        <v>0</v>
      </c>
      <c r="AH54" s="108">
        <f t="shared" si="4"/>
        <v>0</v>
      </c>
      <c r="AI54" s="108">
        <f t="shared" si="10"/>
        <v>0</v>
      </c>
      <c r="AJ54" s="108">
        <f t="shared" si="5"/>
        <v>0</v>
      </c>
      <c r="AK54" s="108">
        <f t="shared" si="6"/>
        <v>5</v>
      </c>
      <c r="AL54" s="108">
        <f t="shared" si="7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1</v>
      </c>
      <c r="H55" s="388" t="s">
        <v>9</v>
      </c>
      <c r="I55" s="443">
        <v>2</v>
      </c>
      <c r="J55" s="390">
        <f t="shared" si="0"/>
        <v>2</v>
      </c>
      <c r="K55" s="363">
        <f t="shared" si="1"/>
        <v>0</v>
      </c>
      <c r="L55" s="363">
        <f t="shared" si="2"/>
        <v>3</v>
      </c>
      <c r="O55" s="392"/>
      <c r="P55" s="393"/>
      <c r="Q55" s="393"/>
      <c r="R55" s="393"/>
      <c r="S55" s="393"/>
      <c r="T55" s="393"/>
      <c r="U55" s="392"/>
      <c r="V55" s="392"/>
      <c r="W55" s="392"/>
      <c r="Y55" s="109">
        <f t="shared" si="8"/>
        <v>1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</v>
      </c>
      <c r="AG55" s="108">
        <f t="shared" si="3"/>
        <v>1</v>
      </c>
      <c r="AH55" s="108">
        <f t="shared" si="4"/>
        <v>0</v>
      </c>
      <c r="AI55" s="108">
        <f t="shared" si="10"/>
        <v>0</v>
      </c>
      <c r="AJ55" s="108">
        <f t="shared" si="5"/>
        <v>0</v>
      </c>
      <c r="AK55" s="108">
        <f t="shared" si="6"/>
        <v>0</v>
      </c>
      <c r="AL55" s="108">
        <f t="shared" si="7"/>
        <v>0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79"/>
      <c r="K57" s="353"/>
      <c r="L57" s="353"/>
      <c r="M57" s="353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77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O58" s="458">
        <v>1</v>
      </c>
      <c r="P58" s="877" t="s">
        <v>215</v>
      </c>
      <c r="Q58" s="877"/>
      <c r="R58" s="877"/>
      <c r="S58" s="877"/>
      <c r="T58" s="878"/>
      <c r="V58" s="352" t="s">
        <v>132</v>
      </c>
      <c r="W58" s="352" t="s">
        <v>124</v>
      </c>
      <c r="X58" s="352" t="str">
        <f t="shared" ref="X58:X98" si="11">CONCATENATE(W58," ",V58)</f>
        <v>Jeroen Zoet (k)</v>
      </c>
      <c r="Y58" s="113" t="s">
        <v>91</v>
      </c>
      <c r="Z58" s="352" t="str">
        <f>IF(K58=""," ",VLOOKUP(K58,$T$9:$V$54,3,FALSE))</f>
        <v xml:space="preserve"> </v>
      </c>
      <c r="AA58" s="352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 t="shared" ref="D59:D66" si="13">IF(ISERROR(Z59),K59,Z59)</f>
        <v>Brazilië</v>
      </c>
      <c r="E59" s="367" t="s">
        <v>9</v>
      </c>
      <c r="F59" s="406" t="str">
        <f t="shared" ref="F59:F66" si="14">IF(ISERROR(AA59),L59,AA59)</f>
        <v>Nederland</v>
      </c>
      <c r="G59" s="435">
        <v>3</v>
      </c>
      <c r="H59" s="367" t="s">
        <v>9</v>
      </c>
      <c r="I59" s="447">
        <v>1</v>
      </c>
      <c r="J59" s="448">
        <v>1</v>
      </c>
      <c r="K59" s="407" t="s">
        <v>48</v>
      </c>
      <c r="L59" s="407" t="s">
        <v>53</v>
      </c>
      <c r="M59" s="407">
        <v>1</v>
      </c>
      <c r="O59" s="458">
        <v>2</v>
      </c>
      <c r="P59" s="877" t="s">
        <v>223</v>
      </c>
      <c r="Q59" s="877"/>
      <c r="R59" s="877"/>
      <c r="S59" s="877"/>
      <c r="T59" s="878"/>
      <c r="V59" s="352" t="s">
        <v>132</v>
      </c>
      <c r="W59" s="352" t="s">
        <v>111</v>
      </c>
      <c r="X59" s="352" t="str">
        <f t="shared" si="11"/>
        <v>Jasper Cillessen (k)</v>
      </c>
      <c r="Y59" s="109">
        <f t="shared" ref="Y59:Y66" si="15">AF59</f>
        <v>1</v>
      </c>
      <c r="Z59" s="352" t="str">
        <f t="shared" ref="Z59:AA65" si="16">IF(K59=""," ",VLOOKUP(K59,$T$9:$V$54,3,FALSE))</f>
        <v>Brazilië</v>
      </c>
      <c r="AA59" s="352" t="str">
        <f t="shared" si="16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7">IF(OR(AC59="",AD59=""),0,(IF(SUM(AG59:AL59)&gt;10,10,SUM(AG59:AL59))))</f>
        <v>1</v>
      </c>
      <c r="AG59" s="108">
        <f t="shared" ref="AG59:AG66" si="18">IF(AC59="",0,(IF(G59=AC59,1,0)))</f>
        <v>0</v>
      </c>
      <c r="AH59" s="108">
        <f t="shared" ref="AH59:AH66" si="19">IF(AD59="",0,(IF(I59=AD59,1,0)))</f>
        <v>1</v>
      </c>
      <c r="AI59" s="108">
        <f t="shared" ref="AI59:AI66" si="20">IF(AND(AG59=1,AH59=1),10,0)</f>
        <v>0</v>
      </c>
      <c r="AJ59" s="108">
        <f t="shared" ref="AJ59:AJ66" si="21">IF(AND(G59&gt;I59,AC59&gt;AD59),5,0)</f>
        <v>0</v>
      </c>
      <c r="AK59" s="108">
        <f t="shared" ref="AK59:AK66" si="22">IF(AND(G59&lt;I59,AC59&lt;AD59),5,0)</f>
        <v>0</v>
      </c>
      <c r="AL59" s="108">
        <f t="shared" ref="AL59:AL66" si="23">IF(AND(G59=I59,AC59=AD59),5,0)</f>
        <v>0</v>
      </c>
      <c r="AZ59" s="138" t="str">
        <f>Uitslag!P59</f>
        <v>Daryl Janmaat (v)</v>
      </c>
      <c r="BA59" s="140">
        <f t="shared" si="12"/>
        <v>0</v>
      </c>
      <c r="BB59" s="139">
        <f t="shared" ref="BB59:BB68" si="24">BA59</f>
        <v>0</v>
      </c>
    </row>
    <row r="60" spans="2:54">
      <c r="B60" s="376">
        <v>50</v>
      </c>
      <c r="C60" s="466">
        <v>41818</v>
      </c>
      <c r="D60" s="460" t="str">
        <f t="shared" si="13"/>
        <v>Japan</v>
      </c>
      <c r="E60" s="379" t="s">
        <v>9</v>
      </c>
      <c r="F60" s="409" t="str">
        <f t="shared" si="14"/>
        <v>Italië</v>
      </c>
      <c r="G60" s="437">
        <v>2</v>
      </c>
      <c r="H60" s="379" t="s">
        <v>9</v>
      </c>
      <c r="I60" s="449">
        <v>2</v>
      </c>
      <c r="J60" s="450">
        <v>1</v>
      </c>
      <c r="K60" s="407" t="s">
        <v>57</v>
      </c>
      <c r="L60" s="407" t="s">
        <v>63</v>
      </c>
      <c r="M60" s="407">
        <v>2</v>
      </c>
      <c r="O60" s="458">
        <v>3</v>
      </c>
      <c r="P60" s="877" t="s">
        <v>240</v>
      </c>
      <c r="Q60" s="877"/>
      <c r="R60" s="877"/>
      <c r="S60" s="877"/>
      <c r="T60" s="878"/>
      <c r="V60" s="352" t="s">
        <v>132</v>
      </c>
      <c r="W60" s="352" t="s">
        <v>110</v>
      </c>
      <c r="X60" s="352" t="str">
        <f t="shared" si="11"/>
        <v>Kenneth Vermeer (k)</v>
      </c>
      <c r="Y60" s="109">
        <f t="shared" si="15"/>
        <v>1</v>
      </c>
      <c r="Z60" s="352" t="str">
        <f t="shared" si="16"/>
        <v>Japan</v>
      </c>
      <c r="AA60" s="352" t="str">
        <f t="shared" si="16"/>
        <v>Italië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7"/>
        <v>1</v>
      </c>
      <c r="AG60" s="108">
        <f t="shared" si="18"/>
        <v>1</v>
      </c>
      <c r="AH60" s="108">
        <f t="shared" si="19"/>
        <v>0</v>
      </c>
      <c r="AI60" s="108">
        <f t="shared" si="20"/>
        <v>0</v>
      </c>
      <c r="AJ60" s="108">
        <f t="shared" si="21"/>
        <v>0</v>
      </c>
      <c r="AK60" s="108">
        <f t="shared" si="22"/>
        <v>0</v>
      </c>
      <c r="AL60" s="108">
        <f t="shared" si="23"/>
        <v>0</v>
      </c>
      <c r="AZ60" s="138" t="str">
        <f>Uitslag!P60</f>
        <v>Stefan de Vrij (v)</v>
      </c>
      <c r="BA60" s="140">
        <f t="shared" si="12"/>
        <v>0</v>
      </c>
      <c r="BB60" s="139">
        <f t="shared" si="24"/>
        <v>0</v>
      </c>
    </row>
    <row r="61" spans="2:54">
      <c r="B61" s="364">
        <v>51</v>
      </c>
      <c r="C61" s="465">
        <v>41819</v>
      </c>
      <c r="D61" s="464" t="str">
        <f t="shared" si="13"/>
        <v>Spanje</v>
      </c>
      <c r="E61" s="367" t="s">
        <v>9</v>
      </c>
      <c r="F61" s="406" t="str">
        <f t="shared" si="14"/>
        <v>Kameroen</v>
      </c>
      <c r="G61" s="435">
        <v>3</v>
      </c>
      <c r="H61" s="367" t="s">
        <v>9</v>
      </c>
      <c r="I61" s="447">
        <v>1</v>
      </c>
      <c r="J61" s="448">
        <v>1</v>
      </c>
      <c r="K61" s="407" t="s">
        <v>52</v>
      </c>
      <c r="L61" s="407" t="s">
        <v>49</v>
      </c>
      <c r="M61" s="407"/>
      <c r="O61" s="458">
        <v>4</v>
      </c>
      <c r="P61" s="877" t="s">
        <v>302</v>
      </c>
      <c r="Q61" s="877"/>
      <c r="R61" s="877"/>
      <c r="S61" s="877"/>
      <c r="T61" s="878"/>
      <c r="V61" s="352" t="s">
        <v>132</v>
      </c>
      <c r="W61" s="352" t="s">
        <v>191</v>
      </c>
      <c r="X61" s="352" t="str">
        <f t="shared" si="11"/>
        <v>Tim Krul (k)</v>
      </c>
      <c r="Y61" s="109">
        <f t="shared" si="15"/>
        <v>6</v>
      </c>
      <c r="Z61" s="352" t="str">
        <f t="shared" si="16"/>
        <v>Spanje</v>
      </c>
      <c r="AA61" s="352" t="str">
        <f t="shared" si="16"/>
        <v>Kameroen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7"/>
        <v>6</v>
      </c>
      <c r="AG61" s="108">
        <f t="shared" si="18"/>
        <v>0</v>
      </c>
      <c r="AH61" s="108">
        <f t="shared" si="19"/>
        <v>1</v>
      </c>
      <c r="AI61" s="108">
        <f t="shared" si="20"/>
        <v>0</v>
      </c>
      <c r="AJ61" s="108">
        <f t="shared" si="21"/>
        <v>5</v>
      </c>
      <c r="AK61" s="108">
        <f t="shared" si="22"/>
        <v>0</v>
      </c>
      <c r="AL61" s="108">
        <f t="shared" si="23"/>
        <v>0</v>
      </c>
      <c r="AZ61" s="138" t="str">
        <f>Uitslag!P61</f>
        <v>Ron Vlaar (v)</v>
      </c>
      <c r="BA61" s="140">
        <f t="shared" si="12"/>
        <v>0</v>
      </c>
      <c r="BB61" s="139">
        <f t="shared" si="24"/>
        <v>0</v>
      </c>
    </row>
    <row r="62" spans="2:54">
      <c r="B62" s="376">
        <v>52</v>
      </c>
      <c r="C62" s="466">
        <v>41819</v>
      </c>
      <c r="D62" s="464" t="str">
        <f t="shared" si="13"/>
        <v>Engeland</v>
      </c>
      <c r="E62" s="379" t="s">
        <v>9</v>
      </c>
      <c r="F62" s="409" t="str">
        <f t="shared" si="14"/>
        <v>Ivoorkust</v>
      </c>
      <c r="G62" s="437">
        <v>3</v>
      </c>
      <c r="H62" s="379" t="s">
        <v>9</v>
      </c>
      <c r="I62" s="449">
        <v>1</v>
      </c>
      <c r="J62" s="450">
        <v>2</v>
      </c>
      <c r="K62" s="407" t="s">
        <v>62</v>
      </c>
      <c r="L62" s="407" t="s">
        <v>58</v>
      </c>
      <c r="M62" s="407"/>
      <c r="O62" s="458">
        <v>5</v>
      </c>
      <c r="P62" s="877" t="s">
        <v>214</v>
      </c>
      <c r="Q62" s="877"/>
      <c r="R62" s="877"/>
      <c r="S62" s="877"/>
      <c r="T62" s="878"/>
      <c r="V62" s="352" t="s">
        <v>132</v>
      </c>
      <c r="W62" s="352" t="s">
        <v>192</v>
      </c>
      <c r="X62" s="352" t="str">
        <f t="shared" si="11"/>
        <v>Maarten Stekelenburg (k)</v>
      </c>
      <c r="Y62" s="109">
        <f t="shared" si="15"/>
        <v>1</v>
      </c>
      <c r="Z62" s="352" t="str">
        <f t="shared" si="16"/>
        <v>Engeland</v>
      </c>
      <c r="AA62" s="352" t="str">
        <f t="shared" si="16"/>
        <v>Ivoorkust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7"/>
        <v>1</v>
      </c>
      <c r="AG62" s="108">
        <f t="shared" si="18"/>
        <v>0</v>
      </c>
      <c r="AH62" s="108">
        <f t="shared" si="19"/>
        <v>1</v>
      </c>
      <c r="AI62" s="108">
        <f t="shared" si="20"/>
        <v>0</v>
      </c>
      <c r="AJ62" s="108">
        <f t="shared" si="21"/>
        <v>0</v>
      </c>
      <c r="AK62" s="108">
        <f t="shared" si="22"/>
        <v>0</v>
      </c>
      <c r="AL62" s="108">
        <f t="shared" si="23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4"/>
        <v>3</v>
      </c>
    </row>
    <row r="63" spans="2:54">
      <c r="B63" s="364">
        <v>53</v>
      </c>
      <c r="C63" s="465">
        <v>41820</v>
      </c>
      <c r="D63" s="459" t="str">
        <f t="shared" si="13"/>
        <v>Frankrijk</v>
      </c>
      <c r="E63" s="367" t="s">
        <v>9</v>
      </c>
      <c r="F63" s="406" t="str">
        <f t="shared" si="14"/>
        <v>Iran</v>
      </c>
      <c r="G63" s="435">
        <v>3</v>
      </c>
      <c r="H63" s="367" t="s">
        <v>9</v>
      </c>
      <c r="I63" s="447">
        <v>2</v>
      </c>
      <c r="J63" s="448">
        <v>1</v>
      </c>
      <c r="K63" s="407" t="s">
        <v>67</v>
      </c>
      <c r="L63" s="407" t="s">
        <v>73</v>
      </c>
      <c r="M63" s="407"/>
      <c r="O63" s="458">
        <v>6</v>
      </c>
      <c r="P63" s="877" t="s">
        <v>222</v>
      </c>
      <c r="Q63" s="877"/>
      <c r="R63" s="877"/>
      <c r="S63" s="877"/>
      <c r="T63" s="878"/>
      <c r="V63" s="352" t="s">
        <v>132</v>
      </c>
      <c r="W63" s="352" t="s">
        <v>193</v>
      </c>
      <c r="X63" s="352" t="str">
        <f t="shared" si="11"/>
        <v>Michel Vorm (k)</v>
      </c>
      <c r="Y63" s="109">
        <f t="shared" si="15"/>
        <v>5</v>
      </c>
      <c r="Z63" s="352" t="str">
        <f t="shared" si="16"/>
        <v>Frankrijk</v>
      </c>
      <c r="AA63" s="352" t="str">
        <f t="shared" si="16"/>
        <v>Iran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7"/>
        <v>5</v>
      </c>
      <c r="AG63" s="108">
        <f t="shared" si="18"/>
        <v>0</v>
      </c>
      <c r="AH63" s="108">
        <f t="shared" si="19"/>
        <v>0</v>
      </c>
      <c r="AI63" s="108">
        <f t="shared" si="20"/>
        <v>0</v>
      </c>
      <c r="AJ63" s="108">
        <f t="shared" si="21"/>
        <v>5</v>
      </c>
      <c r="AK63" s="108">
        <f t="shared" si="22"/>
        <v>0</v>
      </c>
      <c r="AL63" s="108">
        <f t="shared" si="23"/>
        <v>0</v>
      </c>
      <c r="AZ63" s="138" t="str">
        <f>Uitslag!P63</f>
        <v>Daley Blind (v)</v>
      </c>
      <c r="BA63" s="140">
        <f t="shared" si="12"/>
        <v>0</v>
      </c>
      <c r="BB63" s="139">
        <f t="shared" si="24"/>
        <v>0</v>
      </c>
    </row>
    <row r="64" spans="2:54">
      <c r="B64" s="376">
        <v>54</v>
      </c>
      <c r="C64" s="466">
        <v>41820</v>
      </c>
      <c r="D64" s="460" t="str">
        <f t="shared" si="13"/>
        <v>Duitsland</v>
      </c>
      <c r="E64" s="379" t="s">
        <v>9</v>
      </c>
      <c r="F64" s="409" t="str">
        <f t="shared" si="14"/>
        <v>Rusland</v>
      </c>
      <c r="G64" s="437">
        <v>2</v>
      </c>
      <c r="H64" s="379" t="s">
        <v>9</v>
      </c>
      <c r="I64" s="449">
        <v>0</v>
      </c>
      <c r="J64" s="450">
        <v>1</v>
      </c>
      <c r="K64" s="407" t="s">
        <v>77</v>
      </c>
      <c r="L64" s="407" t="s">
        <v>83</v>
      </c>
      <c r="M64" s="407"/>
      <c r="O64" s="458">
        <v>7</v>
      </c>
      <c r="P64" s="877" t="s">
        <v>213</v>
      </c>
      <c r="Q64" s="877"/>
      <c r="R64" s="877"/>
      <c r="S64" s="877"/>
      <c r="T64" s="878"/>
      <c r="V64" s="352" t="s">
        <v>133</v>
      </c>
      <c r="W64" s="352" t="s">
        <v>112</v>
      </c>
      <c r="X64" s="352" t="str">
        <f t="shared" si="11"/>
        <v>Joël Veltman (v)</v>
      </c>
      <c r="Y64" s="109">
        <f t="shared" si="15"/>
        <v>1</v>
      </c>
      <c r="Z64" s="352" t="str">
        <f t="shared" si="16"/>
        <v>Duitsland</v>
      </c>
      <c r="AA64" s="352" t="str">
        <f t="shared" si="16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7"/>
        <v>1</v>
      </c>
      <c r="AG64" s="108">
        <f t="shared" si="18"/>
        <v>0</v>
      </c>
      <c r="AH64" s="108">
        <f t="shared" si="19"/>
        <v>1</v>
      </c>
      <c r="AI64" s="108">
        <f t="shared" si="20"/>
        <v>0</v>
      </c>
      <c r="AJ64" s="108">
        <f t="shared" si="21"/>
        <v>0</v>
      </c>
      <c r="AK64" s="108">
        <f t="shared" si="22"/>
        <v>0</v>
      </c>
      <c r="AL64" s="108">
        <f t="shared" si="23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4"/>
        <v>3</v>
      </c>
    </row>
    <row r="65" spans="2:54">
      <c r="B65" s="370">
        <v>55</v>
      </c>
      <c r="C65" s="467">
        <v>41821</v>
      </c>
      <c r="D65" s="459" t="str">
        <f t="shared" si="13"/>
        <v>Nigeria</v>
      </c>
      <c r="E65" s="373" t="s">
        <v>9</v>
      </c>
      <c r="F65" s="410" t="str">
        <f t="shared" si="14"/>
        <v>Ecuador</v>
      </c>
      <c r="G65" s="436">
        <v>1</v>
      </c>
      <c r="H65" s="373" t="s">
        <v>9</v>
      </c>
      <c r="I65" s="451">
        <v>0</v>
      </c>
      <c r="J65" s="452">
        <v>1</v>
      </c>
      <c r="K65" s="407" t="s">
        <v>72</v>
      </c>
      <c r="L65" s="407" t="s">
        <v>68</v>
      </c>
      <c r="M65" s="407"/>
      <c r="O65" s="458">
        <v>8</v>
      </c>
      <c r="P65" s="877" t="s">
        <v>225</v>
      </c>
      <c r="Q65" s="877"/>
      <c r="R65" s="877"/>
      <c r="S65" s="877"/>
      <c r="T65" s="878"/>
      <c r="V65" s="352" t="s">
        <v>133</v>
      </c>
      <c r="W65" s="352" t="s">
        <v>109</v>
      </c>
      <c r="X65" s="352" t="str">
        <f t="shared" si="11"/>
        <v>Daley Blind (v)</v>
      </c>
      <c r="Y65" s="109">
        <f t="shared" si="15"/>
        <v>1</v>
      </c>
      <c r="Z65" s="352" t="str">
        <f t="shared" si="16"/>
        <v>Nigeria</v>
      </c>
      <c r="AA65" s="352" t="str">
        <f t="shared" si="16"/>
        <v>Ecuador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7"/>
        <v>1</v>
      </c>
      <c r="AG65" s="108">
        <f t="shared" si="18"/>
        <v>0</v>
      </c>
      <c r="AH65" s="108">
        <f t="shared" si="19"/>
        <v>1</v>
      </c>
      <c r="AI65" s="108">
        <f t="shared" si="20"/>
        <v>0</v>
      </c>
      <c r="AJ65" s="108">
        <f t="shared" si="21"/>
        <v>0</v>
      </c>
      <c r="AK65" s="108">
        <f t="shared" si="22"/>
        <v>0</v>
      </c>
      <c r="AL65" s="108">
        <f t="shared" si="23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4"/>
        <v>3</v>
      </c>
    </row>
    <row r="66" spans="2:54" ht="15.75" thickBot="1">
      <c r="B66" s="385">
        <v>56</v>
      </c>
      <c r="C66" s="462">
        <v>41821</v>
      </c>
      <c r="D66" s="461" t="str">
        <f t="shared" si="13"/>
        <v>Zuid Korea</v>
      </c>
      <c r="E66" s="388" t="s">
        <v>9</v>
      </c>
      <c r="F66" s="412" t="str">
        <f t="shared" si="14"/>
        <v>Portugal</v>
      </c>
      <c r="G66" s="438">
        <v>1</v>
      </c>
      <c r="H66" s="388" t="s">
        <v>9</v>
      </c>
      <c r="I66" s="453">
        <v>2</v>
      </c>
      <c r="J66" s="454">
        <v>1</v>
      </c>
      <c r="K66" s="407" t="s">
        <v>82</v>
      </c>
      <c r="L66" s="407" t="s">
        <v>78</v>
      </c>
      <c r="M66" s="407"/>
      <c r="O66" s="458">
        <v>9</v>
      </c>
      <c r="P66" s="877" t="s">
        <v>219</v>
      </c>
      <c r="Q66" s="877"/>
      <c r="R66" s="877"/>
      <c r="S66" s="877"/>
      <c r="T66" s="878"/>
      <c r="V66" s="352" t="s">
        <v>133</v>
      </c>
      <c r="W66" s="352" t="s">
        <v>115</v>
      </c>
      <c r="X66" s="352" t="str">
        <f t="shared" si="11"/>
        <v>Daryl Janmaat (v)</v>
      </c>
      <c r="Y66" s="109">
        <f t="shared" si="15"/>
        <v>0</v>
      </c>
      <c r="Z66" s="352" t="str">
        <f>IF(K66=""," ",VLOOKUP(K66,$T$9:$V$54,3,FALSE))</f>
        <v>Zuid Korea</v>
      </c>
      <c r="AA66" s="352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7"/>
        <v>0</v>
      </c>
      <c r="AG66" s="108">
        <f t="shared" si="18"/>
        <v>0</v>
      </c>
      <c r="AH66" s="108">
        <f t="shared" si="19"/>
        <v>0</v>
      </c>
      <c r="AI66" s="108">
        <f t="shared" si="20"/>
        <v>0</v>
      </c>
      <c r="AJ66" s="108">
        <f t="shared" si="21"/>
        <v>0</v>
      </c>
      <c r="AK66" s="108">
        <f t="shared" si="22"/>
        <v>0</v>
      </c>
      <c r="AL66" s="108">
        <f t="shared" si="23"/>
        <v>0</v>
      </c>
      <c r="AZ66" s="138" t="str">
        <f>Uitslag!P66</f>
        <v>Jonathan de Guzman (m)</v>
      </c>
      <c r="BA66" s="140">
        <f t="shared" si="12"/>
        <v>0</v>
      </c>
      <c r="BB66" s="139">
        <f t="shared" si="24"/>
        <v>0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O67" s="458">
        <v>10</v>
      </c>
      <c r="P67" s="877" t="s">
        <v>290</v>
      </c>
      <c r="Q67" s="877"/>
      <c r="R67" s="877"/>
      <c r="S67" s="877"/>
      <c r="T67" s="878"/>
      <c r="V67" s="352" t="s">
        <v>133</v>
      </c>
      <c r="W67" s="352" t="s">
        <v>118</v>
      </c>
      <c r="X67" s="352" t="str">
        <f t="shared" si="11"/>
        <v>Terence Kongolo (v)</v>
      </c>
      <c r="AZ67" s="138" t="str">
        <f>Uitslag!P67</f>
        <v>Robin van Persie (a)</v>
      </c>
      <c r="BA67" s="140">
        <f t="shared" si="12"/>
        <v>0</v>
      </c>
      <c r="BB67" s="139">
        <f t="shared" si="24"/>
        <v>0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79"/>
      <c r="K68" s="353"/>
      <c r="L68" s="353"/>
      <c r="M68" s="353"/>
      <c r="O68" s="458">
        <v>11</v>
      </c>
      <c r="P68" s="877" t="s">
        <v>218</v>
      </c>
      <c r="Q68" s="877"/>
      <c r="R68" s="877"/>
      <c r="S68" s="877"/>
      <c r="T68" s="878"/>
      <c r="V68" s="352" t="s">
        <v>133</v>
      </c>
      <c r="W68" s="352" t="s">
        <v>119</v>
      </c>
      <c r="X68" s="352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0</v>
      </c>
      <c r="BB68" s="139">
        <f t="shared" si="24"/>
        <v>0</v>
      </c>
    </row>
    <row r="69" spans="2:54">
      <c r="B69" s="428" t="s">
        <v>1</v>
      </c>
      <c r="C69" s="429" t="s">
        <v>2</v>
      </c>
      <c r="D69" s="476" t="s">
        <v>3</v>
      </c>
      <c r="E69" s="431"/>
      <c r="F69" s="477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V69" s="352" t="s">
        <v>133</v>
      </c>
      <c r="W69" s="352" t="s">
        <v>121</v>
      </c>
      <c r="X69" s="352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12</v>
      </c>
      <c r="BB69" s="139" t="str">
        <f>IF(AND(BA69&lt;&gt;"",BA69=33),15,"nvt")</f>
        <v>nvt</v>
      </c>
    </row>
    <row r="70" spans="2:54">
      <c r="B70" s="364">
        <v>57</v>
      </c>
      <c r="C70" s="365">
        <v>41824</v>
      </c>
      <c r="D70" s="405" t="str">
        <f>IF(J63="","Winnaar 53",IF(J63=1,D63,F63))</f>
        <v>Frankrijk</v>
      </c>
      <c r="E70" s="367" t="s">
        <v>9</v>
      </c>
      <c r="F70" s="406" t="str">
        <f>IF(J64="","Winnaar 54",IF(J64=1,D64,F64))</f>
        <v>Duitsland</v>
      </c>
      <c r="G70" s="435">
        <v>2</v>
      </c>
      <c r="H70" s="367" t="s">
        <v>9</v>
      </c>
      <c r="I70" s="447">
        <v>3</v>
      </c>
      <c r="J70" s="448">
        <v>2</v>
      </c>
      <c r="K70" s="353"/>
      <c r="L70" s="353"/>
      <c r="M70" s="353"/>
      <c r="V70" s="352" t="s">
        <v>133</v>
      </c>
      <c r="W70" s="352" t="s">
        <v>126</v>
      </c>
      <c r="X70" s="352" t="str">
        <f t="shared" si="11"/>
        <v>Karim Rekik (v)</v>
      </c>
      <c r="Y70" s="109">
        <f>AF70</f>
        <v>5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5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Brazilië</v>
      </c>
      <c r="E71" s="379" t="s">
        <v>9</v>
      </c>
      <c r="F71" s="409" t="str">
        <f>IF(J60="","Winnaar 50",IF(J60=1,D60,F60))</f>
        <v>Japan</v>
      </c>
      <c r="G71" s="437">
        <v>2</v>
      </c>
      <c r="H71" s="379" t="s">
        <v>9</v>
      </c>
      <c r="I71" s="449">
        <v>1</v>
      </c>
      <c r="J71" s="450">
        <v>1</v>
      </c>
      <c r="K71" s="353"/>
      <c r="L71" s="353"/>
      <c r="M71" s="353"/>
      <c r="V71" s="352" t="s">
        <v>133</v>
      </c>
      <c r="W71" s="352" t="s">
        <v>194</v>
      </c>
      <c r="X71" s="352" t="str">
        <f t="shared" si="11"/>
        <v>Ron Vlaar (v)</v>
      </c>
      <c r="Y71" s="109">
        <f>AF71</f>
        <v>10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10</v>
      </c>
      <c r="AG71" s="108">
        <f>IF(AC71="",0,(IF(G71=AC71,1,0)))</f>
        <v>1</v>
      </c>
      <c r="AH71" s="108">
        <f>IF(AD71="",0,(IF(I71=AD71,1,0)))</f>
        <v>1</v>
      </c>
      <c r="AI71" s="108">
        <f>IF(AND(AG71=1,AH71=1),10,0)</f>
        <v>10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Nigeria</v>
      </c>
      <c r="E72" s="367" t="s">
        <v>9</v>
      </c>
      <c r="F72" s="406" t="str">
        <f>IF(J66="","Winnaar 56",IF(J66=1,D66,F66))</f>
        <v>Zuid Korea</v>
      </c>
      <c r="G72" s="435">
        <v>1</v>
      </c>
      <c r="H72" s="367" t="s">
        <v>9</v>
      </c>
      <c r="I72" s="447">
        <v>2</v>
      </c>
      <c r="J72" s="448">
        <v>1</v>
      </c>
      <c r="K72" s="353"/>
      <c r="L72" s="353"/>
      <c r="M72" s="353"/>
      <c r="V72" s="352" t="s">
        <v>133</v>
      </c>
      <c r="W72" s="352" t="s">
        <v>195</v>
      </c>
      <c r="X72" s="352" t="str">
        <f t="shared" si="11"/>
        <v>John Heitinga (v)</v>
      </c>
      <c r="Y72" s="109">
        <f>AF72</f>
        <v>1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1</v>
      </c>
      <c r="AG72" s="108">
        <f>IF(AC72="",0,(IF(G72=AC72,1,0)))</f>
        <v>1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0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Spanje</v>
      </c>
      <c r="E73" s="388" t="s">
        <v>9</v>
      </c>
      <c r="F73" s="412" t="str">
        <f>IF(J62="","Winnaar 52",IF(J62=1,D62,F62))</f>
        <v>Ivoorkust</v>
      </c>
      <c r="G73" s="438">
        <v>3</v>
      </c>
      <c r="H73" s="388" t="s">
        <v>9</v>
      </c>
      <c r="I73" s="453">
        <v>0</v>
      </c>
      <c r="J73" s="454">
        <v>1</v>
      </c>
      <c r="K73" s="353"/>
      <c r="L73" s="353"/>
      <c r="M73" s="353"/>
      <c r="V73" s="352" t="s">
        <v>133</v>
      </c>
      <c r="W73" s="352" t="s">
        <v>196</v>
      </c>
      <c r="X73" s="352" t="str">
        <f t="shared" si="11"/>
        <v>Urby Emanuelson (v)</v>
      </c>
      <c r="Y73" s="109">
        <f>AF73</f>
        <v>1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1</v>
      </c>
      <c r="AG73" s="108">
        <f>IF(AC73="",0,(IF(G73=AC73,1,0)))</f>
        <v>0</v>
      </c>
      <c r="AH73" s="108">
        <f>IF(AD73="",0,(IF(I73=AD73,1,0)))</f>
        <v>1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V74" s="352" t="s">
        <v>133</v>
      </c>
      <c r="W74" s="352" t="s">
        <v>197</v>
      </c>
      <c r="X74" s="352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79"/>
      <c r="K75" s="353"/>
      <c r="L75" s="353"/>
      <c r="M75" s="353"/>
      <c r="V75" s="352" t="s">
        <v>133</v>
      </c>
      <c r="W75" s="352" t="s">
        <v>198</v>
      </c>
      <c r="X75" s="352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76" t="s">
        <v>3</v>
      </c>
      <c r="E76" s="431"/>
      <c r="F76" s="477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V76" s="352" t="s">
        <v>133</v>
      </c>
      <c r="W76" s="352" t="s">
        <v>202</v>
      </c>
      <c r="X76" s="352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Duitsland</v>
      </c>
      <c r="E77" s="367" t="s">
        <v>9</v>
      </c>
      <c r="F77" s="406" t="str">
        <f>IF(J71="","Winnaar 58",IF(J71=1,D71,F71))</f>
        <v>Brazilië</v>
      </c>
      <c r="G77" s="435">
        <v>1</v>
      </c>
      <c r="H77" s="367" t="s">
        <v>9</v>
      </c>
      <c r="I77" s="447">
        <v>2</v>
      </c>
      <c r="J77" s="448">
        <v>1</v>
      </c>
      <c r="K77" s="353"/>
      <c r="L77" s="353"/>
      <c r="M77" s="353"/>
      <c r="V77" s="352" t="s">
        <v>134</v>
      </c>
      <c r="W77" s="352" t="s">
        <v>203</v>
      </c>
      <c r="X77" s="352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Nigeria</v>
      </c>
      <c r="E78" s="388" t="s">
        <v>9</v>
      </c>
      <c r="F78" s="412" t="str">
        <f>IF(J73="","Winnaar 60",IF(J73=1,D73,F73))</f>
        <v>Spanje</v>
      </c>
      <c r="G78" s="438">
        <v>0</v>
      </c>
      <c r="H78" s="388" t="s">
        <v>9</v>
      </c>
      <c r="I78" s="453">
        <v>2</v>
      </c>
      <c r="J78" s="454">
        <v>2</v>
      </c>
      <c r="K78" s="353"/>
      <c r="L78" s="353"/>
      <c r="M78" s="353"/>
      <c r="V78" s="352" t="s">
        <v>134</v>
      </c>
      <c r="W78" s="352" t="s">
        <v>199</v>
      </c>
      <c r="X78" s="352" t="str">
        <f t="shared" si="11"/>
        <v>Leroy Fer (m)</v>
      </c>
      <c r="Y78" s="109">
        <f>AF78</f>
        <v>1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1</v>
      </c>
      <c r="AG78" s="108">
        <f>IF(AC78="",0,(IF(G78=AC78,1,0)))</f>
        <v>1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V79" s="352" t="s">
        <v>134</v>
      </c>
      <c r="W79" s="352" t="s">
        <v>114</v>
      </c>
      <c r="X79" s="352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79"/>
      <c r="K80" s="353"/>
      <c r="L80" s="353"/>
      <c r="M80" s="353"/>
      <c r="V80" s="352" t="s">
        <v>134</v>
      </c>
      <c r="W80" s="352" t="s">
        <v>117</v>
      </c>
      <c r="X80" s="352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76" t="s">
        <v>3</v>
      </c>
      <c r="E81" s="431"/>
      <c r="F81" s="477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V81" s="352" t="s">
        <v>134</v>
      </c>
      <c r="W81" s="352" t="s">
        <v>120</v>
      </c>
      <c r="X81" s="352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Brazilië</v>
      </c>
      <c r="E82" s="355" t="s">
        <v>9</v>
      </c>
      <c r="F82" s="415" t="str">
        <f>IF(J78="","Verliezer 62",IF(J78=1,F78,D78))</f>
        <v>Nigeria</v>
      </c>
      <c r="G82" s="455">
        <v>3</v>
      </c>
      <c r="H82" s="355" t="s">
        <v>9</v>
      </c>
      <c r="I82" s="456">
        <v>1</v>
      </c>
      <c r="J82" s="457">
        <v>2</v>
      </c>
      <c r="K82" s="353"/>
      <c r="L82" s="353"/>
      <c r="M82" s="353"/>
      <c r="V82" s="352" t="s">
        <v>134</v>
      </c>
      <c r="W82" s="352" t="s">
        <v>125</v>
      </c>
      <c r="X82" s="35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V83" s="352" t="s">
        <v>134</v>
      </c>
      <c r="W83" s="352" t="s">
        <v>136</v>
      </c>
      <c r="X83" s="352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79"/>
      <c r="K84" s="353"/>
      <c r="L84" s="353"/>
      <c r="M84" s="353"/>
      <c r="V84" s="352" t="s">
        <v>134</v>
      </c>
      <c r="W84" s="352" t="s">
        <v>137</v>
      </c>
      <c r="X84" s="352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76" t="s">
        <v>3</v>
      </c>
      <c r="E85" s="431"/>
      <c r="F85" s="477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V85" s="352" t="s">
        <v>134</v>
      </c>
      <c r="W85" s="352" t="s">
        <v>138</v>
      </c>
      <c r="X85" s="352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Duitsland</v>
      </c>
      <c r="E86" s="355" t="s">
        <v>9</v>
      </c>
      <c r="F86" s="415" t="str">
        <f>IF(J78="","Winnaar 62",IF(J78=1,D78,F78))</f>
        <v>Spanje</v>
      </c>
      <c r="G86" s="455">
        <v>2</v>
      </c>
      <c r="H86" s="355" t="s">
        <v>9</v>
      </c>
      <c r="I86" s="456">
        <v>1</v>
      </c>
      <c r="J86" s="457">
        <v>1</v>
      </c>
      <c r="K86" s="353"/>
      <c r="L86" s="353"/>
      <c r="M86" s="353"/>
      <c r="V86" s="352" t="s">
        <v>134</v>
      </c>
      <c r="W86" s="352" t="s">
        <v>139</v>
      </c>
      <c r="X86" s="352" t="str">
        <f t="shared" si="11"/>
        <v>Nigel de Jong (m)</v>
      </c>
      <c r="Y86" s="109">
        <f>AF86</f>
        <v>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0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353"/>
      <c r="C87" s="129"/>
      <c r="D87" s="392"/>
      <c r="E87" s="353"/>
      <c r="F87" s="392"/>
      <c r="G87" s="353"/>
      <c r="H87" s="353"/>
      <c r="I87" s="353"/>
      <c r="J87" s="353"/>
      <c r="K87" s="353"/>
      <c r="L87" s="353"/>
      <c r="M87" s="353"/>
      <c r="V87" s="352" t="s">
        <v>135</v>
      </c>
      <c r="W87" s="352" t="s">
        <v>205</v>
      </c>
      <c r="X87" s="352" t="str">
        <f t="shared" si="11"/>
        <v>Ricky van Wolfswinkel (a)</v>
      </c>
      <c r="AP87" s="136" t="s">
        <v>102</v>
      </c>
    </row>
    <row r="88" spans="2:50">
      <c r="B88" s="353"/>
      <c r="C88" s="129"/>
      <c r="D88" s="392"/>
      <c r="E88" s="353"/>
      <c r="F88" s="392"/>
      <c r="G88" s="353"/>
      <c r="H88" s="353"/>
      <c r="I88" s="353"/>
      <c r="J88" s="353"/>
      <c r="K88" s="353"/>
      <c r="L88" s="353"/>
      <c r="M88" s="353"/>
      <c r="V88" s="352" t="s">
        <v>135</v>
      </c>
      <c r="W88" s="352" t="s">
        <v>204</v>
      </c>
      <c r="X88" s="352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458"/>
    </row>
    <row r="89" spans="2:50" ht="20.25">
      <c r="C89" s="874" t="s">
        <v>101</v>
      </c>
      <c r="D89" s="871"/>
      <c r="E89" s="873" t="str">
        <f>IF(J86=1,D86,IF(J86=2,F86,"Wie zal het worden?"))</f>
        <v>Duitsland</v>
      </c>
      <c r="F89" s="873"/>
      <c r="G89" s="873"/>
      <c r="H89" s="873"/>
      <c r="I89" s="873"/>
      <c r="J89" s="873"/>
      <c r="K89" s="353"/>
      <c r="L89" s="353"/>
      <c r="M89" s="353"/>
      <c r="V89" s="352" t="s">
        <v>135</v>
      </c>
      <c r="W89" s="352" t="s">
        <v>201</v>
      </c>
      <c r="X89" s="352" t="str">
        <f t="shared" si="11"/>
        <v>Jermain Lens (a)</v>
      </c>
      <c r="AP89" s="109">
        <f>AU89</f>
        <v>50</v>
      </c>
      <c r="AQ89" s="131">
        <v>1</v>
      </c>
      <c r="AR89" s="904" t="str">
        <f>Uitslag!E89</f>
        <v>Duitsland</v>
      </c>
      <c r="AS89" s="905"/>
      <c r="AT89" s="906"/>
      <c r="AU89" s="352">
        <f>SUM(AV89:AX89)</f>
        <v>50</v>
      </c>
      <c r="AV89" s="352">
        <f>IF(AR89=0,0,IF(E89=AR89,50,0))</f>
        <v>50</v>
      </c>
      <c r="AW89" s="352">
        <f>IF(E89=0,0,IF(OR(E89=AR90),15,0))</f>
        <v>0</v>
      </c>
      <c r="AX89" s="352">
        <f>IF(E89=0,0,IF(OR(E89=AR91,E89=AR92),5,0))</f>
        <v>0</v>
      </c>
    </row>
    <row r="90" spans="2:50">
      <c r="C90" s="870">
        <v>2</v>
      </c>
      <c r="D90" s="871"/>
      <c r="E90" s="872" t="str">
        <f>IF(J86=2,D86,IF(J86=1,F86,"Wie wordt 2de?"))</f>
        <v>Spanje</v>
      </c>
      <c r="F90" s="872"/>
      <c r="G90" s="872"/>
      <c r="H90" s="872"/>
      <c r="I90" s="872"/>
      <c r="J90" s="872"/>
      <c r="V90" s="352" t="s">
        <v>135</v>
      </c>
      <c r="W90" s="352" t="s">
        <v>200</v>
      </c>
      <c r="X90" s="352" t="str">
        <f t="shared" si="11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 s="352">
        <f>SUM(AV90:AX90)</f>
        <v>0</v>
      </c>
      <c r="AV90" s="352">
        <f>IF(AR90=0,0,IF(AR90=E90,25,0))</f>
        <v>0</v>
      </c>
      <c r="AW90" s="352">
        <f>IF(E90=0,0,IF(OR(E90=AR89,),15,0))</f>
        <v>0</v>
      </c>
      <c r="AX90" s="352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Nigeria</v>
      </c>
      <c r="F91" s="872"/>
      <c r="G91" s="872"/>
      <c r="H91" s="872"/>
      <c r="I91" s="872"/>
      <c r="J91" s="872"/>
      <c r="V91" s="352" t="s">
        <v>135</v>
      </c>
      <c r="W91" s="352" t="s">
        <v>128</v>
      </c>
      <c r="X91" s="352" t="str">
        <f t="shared" si="11"/>
        <v>Jürgen Locadia (a)</v>
      </c>
      <c r="AP91" s="109">
        <f>AU91</f>
        <v>0</v>
      </c>
      <c r="AQ91" s="131">
        <v>3</v>
      </c>
      <c r="AR91" s="904" t="str">
        <f>Uitslag!E91</f>
        <v>Nederland</v>
      </c>
      <c r="AS91" s="905"/>
      <c r="AT91" s="906"/>
      <c r="AU91" s="352">
        <f>SUM(AV91:AX91)</f>
        <v>0</v>
      </c>
      <c r="AV91" s="352">
        <f>IF(AR91=0,0,IF(AR91=E91,15,0))</f>
        <v>0</v>
      </c>
      <c r="AW91" s="352">
        <f>IF(E91=0,0,IF(OR(E91=AR92),10,0))</f>
        <v>0</v>
      </c>
      <c r="AX91" s="352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Brazilië</v>
      </c>
      <c r="F92" s="872"/>
      <c r="G92" s="872"/>
      <c r="H92" s="872"/>
      <c r="I92" s="872"/>
      <c r="J92" s="872"/>
      <c r="V92" s="352" t="s">
        <v>135</v>
      </c>
      <c r="W92" s="352" t="s">
        <v>127</v>
      </c>
      <c r="X92" s="352" t="str">
        <f t="shared" si="11"/>
        <v>Memphis Depay (a)</v>
      </c>
      <c r="AP92" s="109">
        <f>AU92</f>
        <v>15</v>
      </c>
      <c r="AQ92" s="131">
        <v>4</v>
      </c>
      <c r="AR92" s="904" t="str">
        <f>Uitslag!E92</f>
        <v>Brazilië</v>
      </c>
      <c r="AS92" s="905"/>
      <c r="AT92" s="906"/>
      <c r="AU92" s="352">
        <f>SUM(AV92:AX92)</f>
        <v>15</v>
      </c>
      <c r="AV92" s="352">
        <f>IF(AR92=0,0,IF(AR92=E92,15,0))</f>
        <v>15</v>
      </c>
      <c r="AW92" s="352">
        <f>IF(E92=0,0,IF(OR(E92=AR91,),10,0))</f>
        <v>0</v>
      </c>
      <c r="AX92" s="352">
        <f>IF(E92=0,0,IF(OR(E92=AR89,E92=AR90),5,0))</f>
        <v>0</v>
      </c>
    </row>
    <row r="93" spans="2:50" ht="15.75" thickBot="1">
      <c r="V93" s="352" t="s">
        <v>135</v>
      </c>
      <c r="W93" s="352" t="s">
        <v>123</v>
      </c>
      <c r="X93" s="352" t="str">
        <f t="shared" si="11"/>
        <v>Quincy Promes (a)</v>
      </c>
      <c r="AS93" s="132"/>
      <c r="AU93" s="133">
        <f>SUM(AU89:AU92)</f>
        <v>65</v>
      </c>
    </row>
    <row r="94" spans="2:50" ht="15.75" thickTop="1">
      <c r="V94" s="352" t="s">
        <v>135</v>
      </c>
      <c r="W94" s="352" t="s">
        <v>122</v>
      </c>
      <c r="X94" s="352" t="str">
        <f t="shared" si="11"/>
        <v>Luc Castaignos (a)</v>
      </c>
    </row>
    <row r="95" spans="2:50">
      <c r="V95" s="352" t="s">
        <v>135</v>
      </c>
      <c r="W95" s="352" t="s">
        <v>113</v>
      </c>
      <c r="X95" s="352" t="str">
        <f t="shared" si="11"/>
        <v>Jean-Paul Boëtius (a)</v>
      </c>
    </row>
    <row r="96" spans="2:50">
      <c r="V96" s="352" t="s">
        <v>135</v>
      </c>
      <c r="W96" s="352" t="s">
        <v>129</v>
      </c>
      <c r="X96" s="352" t="str">
        <f t="shared" si="11"/>
        <v>Luciano Narsingh (a)</v>
      </c>
    </row>
    <row r="97" spans="22:24">
      <c r="V97" s="352" t="s">
        <v>135</v>
      </c>
      <c r="W97" s="352" t="s">
        <v>130</v>
      </c>
      <c r="X97" s="352" t="str">
        <f t="shared" si="11"/>
        <v>Robin van Persie (a)</v>
      </c>
    </row>
    <row r="98" spans="22:24">
      <c r="V98" s="352" t="s">
        <v>135</v>
      </c>
      <c r="W98" s="352" t="s">
        <v>131</v>
      </c>
      <c r="X98" s="352" t="str">
        <f t="shared" si="11"/>
        <v>Arjen Robben (a)</v>
      </c>
    </row>
  </sheetData>
  <mergeCells count="36">
    <mergeCell ref="C91:D91"/>
    <mergeCell ref="E91:J91"/>
    <mergeCell ref="AR91:AT91"/>
    <mergeCell ref="C92:D92"/>
    <mergeCell ref="E92:J92"/>
    <mergeCell ref="AR92:AT92"/>
    <mergeCell ref="C89:D89"/>
    <mergeCell ref="E89:J89"/>
    <mergeCell ref="AR89:AT89"/>
    <mergeCell ref="C90:D90"/>
    <mergeCell ref="E90:J90"/>
    <mergeCell ref="AR90:AT90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</mergeCells>
  <conditionalFormatting sqref="AO9:AO12 AO15:AO18 AO21:AO24 AO27:AO30 AO33:AO36 AO39:AO42 AO45:AO48 AO51:AO54">
    <cfRule type="cellIs" dxfId="56" priority="3" operator="equal">
      <formula>10</formula>
    </cfRule>
  </conditionalFormatting>
  <conditionalFormatting sqref="P58:T58">
    <cfRule type="duplicateValues" dxfId="55" priority="2"/>
  </conditionalFormatting>
  <conditionalFormatting sqref="P58:T68">
    <cfRule type="duplicateValues" dxfId="54" priority="1"/>
  </conditionalFormatting>
  <dataValidations count="10">
    <dataValidation type="list" allowBlank="1" showInputMessage="1" showErrorMessage="1" sqref="T51:T54">
      <formula1>$W$51:$W$54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P58:P68">
      <formula1>$X$58:$X$98</formula1>
    </dataValidation>
  </dataValidation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>
  <dimension ref="B1:BB98"/>
  <sheetViews>
    <sheetView topLeftCell="A43" zoomScale="70" zoomScaleNormal="70" workbookViewId="0">
      <selection activeCell="P58" sqref="P58:T68"/>
    </sheetView>
  </sheetViews>
  <sheetFormatPr defaultRowHeight="15" outlineLevelCol="2"/>
  <cols>
    <col min="1" max="1" width="3.42578125" style="352" customWidth="1"/>
    <col min="2" max="2" width="3.5703125" style="352" bestFit="1" customWidth="1"/>
    <col min="3" max="3" width="11.5703125" style="123" bestFit="1" customWidth="1"/>
    <col min="4" max="4" width="19.7109375" style="352" bestFit="1" customWidth="1"/>
    <col min="5" max="5" width="3.42578125" style="352" customWidth="1"/>
    <col min="6" max="6" width="19.7109375" style="352" bestFit="1" customWidth="1"/>
    <col min="7" max="7" width="6.7109375" style="352" customWidth="1"/>
    <col min="8" max="8" width="1.5703125" style="352" bestFit="1" customWidth="1"/>
    <col min="9" max="9" width="6.7109375" style="352" customWidth="1"/>
    <col min="10" max="10" width="6.85546875" style="352" bestFit="1" customWidth="1"/>
    <col min="11" max="13" width="9.140625" style="352" hidden="1" customWidth="1" outlineLevel="1"/>
    <col min="14" max="14" width="11.42578125" style="352" bestFit="1" customWidth="1" collapsed="1"/>
    <col min="15" max="15" width="14.7109375" style="352" bestFit="1" customWidth="1"/>
    <col min="16" max="16" width="12.28515625" style="352" bestFit="1" customWidth="1"/>
    <col min="17" max="17" width="8.140625" style="352" bestFit="1" customWidth="1"/>
    <col min="18" max="18" width="7.7109375" style="352" bestFit="1" customWidth="1"/>
    <col min="19" max="19" width="9.140625" style="352"/>
    <col min="20" max="20" width="8.5703125" style="352" bestFit="1" customWidth="1"/>
    <col min="21" max="21" width="9.140625" style="352"/>
    <col min="22" max="23" width="9.140625" style="352" hidden="1" customWidth="1" outlineLevel="1"/>
    <col min="24" max="24" width="2" style="352" hidden="1" customWidth="1" outlineLevel="1"/>
    <col min="25" max="25" width="12.28515625" style="352" bestFit="1" customWidth="1" collapsed="1"/>
    <col min="26" max="27" width="12.28515625" style="352" hidden="1" customWidth="1" outlineLevel="1"/>
    <col min="28" max="28" width="4.7109375" style="352" hidden="1" customWidth="1" outlineLevel="1"/>
    <col min="29" max="38" width="9.140625" style="352" hidden="1" customWidth="1" outlineLevel="1"/>
    <col min="39" max="39" width="7.42578125" style="352" bestFit="1" customWidth="1" collapsed="1"/>
    <col min="40" max="40" width="19.7109375" style="352" hidden="1" customWidth="1" outlineLevel="1"/>
    <col min="41" max="41" width="9.140625" style="352" hidden="1" customWidth="1" outlineLevel="1"/>
    <col min="42" max="42" width="9.140625" style="352" collapsed="1"/>
    <col min="43" max="49" width="9.140625" style="352" hidden="1" customWidth="1" outlineLevel="2"/>
    <col min="50" max="50" width="11.5703125" style="352" hidden="1" customWidth="1" outlineLevel="2"/>
    <col min="51" max="51" width="11.85546875" style="352" hidden="1" customWidth="1" outlineLevel="1" collapsed="1"/>
    <col min="52" max="52" width="9.42578125" style="352" hidden="1" customWidth="1" outlineLevel="1"/>
    <col min="53" max="53" width="10.5703125" style="352" hidden="1" customWidth="1" outlineLevel="1"/>
    <col min="54" max="54" width="9.140625" style="352" collapsed="1"/>
    <col min="55" max="55" width="11.85546875" style="352" bestFit="1" customWidth="1"/>
    <col min="56" max="16384" width="9.140625" style="352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304</v>
      </c>
      <c r="E3" s="335"/>
      <c r="F3" s="335"/>
      <c r="N3" s="352" t="str">
        <f>D3</f>
        <v>Foppe d. J.</v>
      </c>
      <c r="O3" s="144">
        <f>SUM(P3:S3)</f>
        <v>444</v>
      </c>
      <c r="P3" s="109">
        <f>SUM(Y8:Y86)</f>
        <v>219</v>
      </c>
      <c r="Q3" s="109">
        <f>SUM(AM4:AM55)</f>
        <v>180</v>
      </c>
      <c r="R3" s="109">
        <f>SUM(AP89:AP92)</f>
        <v>15</v>
      </c>
      <c r="S3" s="109">
        <f>SUM(BB58:BB69)</f>
        <v>30</v>
      </c>
      <c r="T3" s="109">
        <f>COUNTIF(AF8:AF86,10)</f>
        <v>5</v>
      </c>
      <c r="U3" s="109" t="str">
        <f>E89</f>
        <v>Brazilië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O6" s="392"/>
      <c r="P6" s="393"/>
      <c r="Q6" s="393"/>
      <c r="R6" s="393"/>
      <c r="S6" s="393"/>
      <c r="T6" s="393"/>
      <c r="U6" s="392"/>
      <c r="V6" s="392"/>
      <c r="W6" s="392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80" t="s">
        <v>3</v>
      </c>
      <c r="E7" s="419"/>
      <c r="F7" s="481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O7" s="353"/>
      <c r="P7" s="393"/>
      <c r="Q7" s="393"/>
      <c r="R7" s="393"/>
      <c r="S7" s="393"/>
      <c r="T7" s="393"/>
      <c r="U7" s="353"/>
      <c r="V7" s="353"/>
      <c r="W7" s="353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458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2</v>
      </c>
      <c r="H8" s="360" t="s">
        <v>9</v>
      </c>
      <c r="I8" s="478">
        <v>1</v>
      </c>
      <c r="J8" s="362">
        <f t="shared" ref="J8:J55" si="0">IF(I8="","",IF(G8&gt;I8,1,IF(G8&lt;I8,2,3)))</f>
        <v>1</v>
      </c>
      <c r="K8" s="363">
        <f t="shared" ref="K8:K55" si="1">IF(I8="","",IF($G8&gt;$I8,3,IF($G8=$I8,1,0)))</f>
        <v>3</v>
      </c>
      <c r="L8" s="363">
        <f t="shared" ref="L8:L55" si="2">IF(I8="","",IF($G8&lt;$I8,3,IF($G8=$I8,1,0)))</f>
        <v>0</v>
      </c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392"/>
      <c r="V8" s="392"/>
      <c r="W8" s="392"/>
      <c r="Y8" s="109">
        <f>AF8</f>
        <v>6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6</v>
      </c>
      <c r="AG8" s="108">
        <f t="shared" ref="AG8:AG55" si="3">IF(AC8="",0,(IF(G8=AC8,1,0)))</f>
        <v>0</v>
      </c>
      <c r="AH8" s="108">
        <f t="shared" ref="AH8:AH55" si="4">IF(AD8="",0,(IF(I8=AD8,1,0)))</f>
        <v>1</v>
      </c>
      <c r="AI8" s="108">
        <f>IF(AND(AG8=1,AH8=1),10,0)</f>
        <v>0</v>
      </c>
      <c r="AJ8" s="108">
        <f t="shared" ref="AJ8:AJ55" si="5">IF(AND(G8&gt;I8,AC8&gt;AD8),5,0)</f>
        <v>5</v>
      </c>
      <c r="AK8" s="108">
        <f t="shared" ref="AK8:AK55" si="6">IF(AND(G8&lt;I8,AC8&lt;AD8),5,0)</f>
        <v>0</v>
      </c>
      <c r="AL8" s="108">
        <f t="shared" ref="AL8:AL55" si="7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2</v>
      </c>
      <c r="H9" s="367" t="s">
        <v>9</v>
      </c>
      <c r="I9" s="440">
        <v>0</v>
      </c>
      <c r="J9" s="369">
        <f t="shared" si="0"/>
        <v>1</v>
      </c>
      <c r="K9" s="363">
        <f t="shared" si="1"/>
        <v>3</v>
      </c>
      <c r="L9" s="363">
        <f t="shared" si="2"/>
        <v>0</v>
      </c>
      <c r="O9" s="394" t="s">
        <v>8</v>
      </c>
      <c r="P9" s="395">
        <f>SUMIF($D$8:$D$55,$O9,$G$8:$G$55)+SUMIF($F$8:$F$55,$O9,$I$8:$I$55)</f>
        <v>6</v>
      </c>
      <c r="Q9" s="395">
        <f>SUMIF($D$8:$D$55,$O9,$I$8:$I$55)+SUMIF($F$8:$F$55,$O9,$G$8:$G$55)</f>
        <v>1</v>
      </c>
      <c r="R9" s="396">
        <f>P9-Q9</f>
        <v>5</v>
      </c>
      <c r="S9" s="397">
        <f>SUMIF($D$8:$D$55,$O9,$K$8:$K$55)+SUMIF($F$8:$F$55,$O9,$L$8:$L$55)</f>
        <v>9</v>
      </c>
      <c r="T9" s="444" t="s">
        <v>48</v>
      </c>
      <c r="U9" s="392"/>
      <c r="V9" s="392" t="str">
        <f>O9</f>
        <v>Brazilië</v>
      </c>
      <c r="W9" s="392" t="s">
        <v>48</v>
      </c>
      <c r="Y9" s="109">
        <f t="shared" ref="Y9:Y55" si="8">AF9</f>
        <v>6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6</v>
      </c>
      <c r="AG9" s="108">
        <f t="shared" si="3"/>
        <v>0</v>
      </c>
      <c r="AH9" s="108">
        <f t="shared" si="4"/>
        <v>1</v>
      </c>
      <c r="AI9" s="108">
        <f t="shared" ref="AI9:AI55" si="10">IF(AND(AG9=1,AH9=1),10,0)</f>
        <v>0</v>
      </c>
      <c r="AJ9" s="108">
        <f t="shared" si="5"/>
        <v>5</v>
      </c>
      <c r="AK9" s="108">
        <f t="shared" si="6"/>
        <v>0</v>
      </c>
      <c r="AL9" s="108">
        <f t="shared" si="7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2</v>
      </c>
      <c r="H10" s="373" t="s">
        <v>9</v>
      </c>
      <c r="I10" s="441">
        <v>0</v>
      </c>
      <c r="J10" s="375">
        <f t="shared" si="0"/>
        <v>1</v>
      </c>
      <c r="K10" s="363">
        <f t="shared" si="1"/>
        <v>3</v>
      </c>
      <c r="L10" s="363">
        <f t="shared" si="2"/>
        <v>0</v>
      </c>
      <c r="O10" s="398" t="s">
        <v>10</v>
      </c>
      <c r="P10" s="399">
        <f>SUMIF($D$8:$D$55,$O10,$G$8:$G$55)+SUMIF($F$8:$F$55,$O10,$I$8:$I$55)</f>
        <v>1</v>
      </c>
      <c r="Q10" s="399">
        <f>SUMIF($D$8:$D$55,$O10,$I$8:$I$55)+SUMIF($F$8:$F$55,$O10,$G$8:$G$55)</f>
        <v>3</v>
      </c>
      <c r="R10" s="399">
        <f>P10-Q10</f>
        <v>-2</v>
      </c>
      <c r="S10" s="400">
        <f>SUMIF($D$8:$D$55,$O10,$K$8:$K$55)+SUMIF($F$8:$F$55,$O10,$L$8:$L$55)</f>
        <v>1</v>
      </c>
      <c r="T10" s="445" t="s">
        <v>47</v>
      </c>
      <c r="U10" s="392"/>
      <c r="V10" s="392" t="str">
        <f>O10</f>
        <v>Kroatië</v>
      </c>
      <c r="W10" s="392" t="s">
        <v>49</v>
      </c>
      <c r="Y10" s="109">
        <f t="shared" si="8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0</v>
      </c>
      <c r="AG10" s="108">
        <f t="shared" si="3"/>
        <v>0</v>
      </c>
      <c r="AH10" s="108">
        <f t="shared" si="4"/>
        <v>0</v>
      </c>
      <c r="AI10" s="108">
        <f t="shared" si="10"/>
        <v>0</v>
      </c>
      <c r="AJ10" s="108">
        <f t="shared" si="5"/>
        <v>0</v>
      </c>
      <c r="AK10" s="108">
        <f t="shared" si="6"/>
        <v>0</v>
      </c>
      <c r="AL10" s="108">
        <f t="shared" si="7"/>
        <v>0</v>
      </c>
      <c r="AM10" s="120">
        <f>AO10</f>
        <v>10</v>
      </c>
      <c r="AN10" s="117" t="s">
        <v>10</v>
      </c>
      <c r="AO10" s="115">
        <f>IF(Uitslag!T10="",0,IF(T10=Uitslag!T10,10,0))</f>
        <v>10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1</v>
      </c>
      <c r="H11" s="379" t="s">
        <v>9</v>
      </c>
      <c r="I11" s="442">
        <v>0</v>
      </c>
      <c r="J11" s="381">
        <f t="shared" si="0"/>
        <v>1</v>
      </c>
      <c r="K11" s="363">
        <f t="shared" si="1"/>
        <v>3</v>
      </c>
      <c r="L11" s="363">
        <f t="shared" si="2"/>
        <v>0</v>
      </c>
      <c r="O11" s="398" t="s">
        <v>11</v>
      </c>
      <c r="P11" s="399">
        <f>SUMIF($D$8:$D$55,$O11,$G$8:$G$55)+SUMIF($F$8:$F$55,$O11,$I$8:$I$55)</f>
        <v>3</v>
      </c>
      <c r="Q11" s="399">
        <f>SUMIF($D$8:$D$55,$O11,$I$8:$I$55)+SUMIF($F$8:$F$55,$O11,$G$8:$G$55)</f>
        <v>2</v>
      </c>
      <c r="R11" s="399">
        <f>P11-Q11</f>
        <v>1</v>
      </c>
      <c r="S11" s="400">
        <f>SUMIF($D$8:$D$55,$O11,$K$8:$K$55)+SUMIF($F$8:$F$55,$O11,$L$8:$L$55)</f>
        <v>6</v>
      </c>
      <c r="T11" s="445" t="s">
        <v>49</v>
      </c>
      <c r="U11" s="392"/>
      <c r="V11" s="392" t="str">
        <f>O11</f>
        <v>Mexico</v>
      </c>
      <c r="W11" s="392" t="s">
        <v>47</v>
      </c>
      <c r="Y11" s="109">
        <f t="shared" si="8"/>
        <v>5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5</v>
      </c>
      <c r="AG11" s="108">
        <f t="shared" si="3"/>
        <v>0</v>
      </c>
      <c r="AH11" s="108">
        <f t="shared" si="4"/>
        <v>0</v>
      </c>
      <c r="AI11" s="108">
        <f t="shared" si="10"/>
        <v>0</v>
      </c>
      <c r="AJ11" s="108">
        <f t="shared" si="5"/>
        <v>5</v>
      </c>
      <c r="AK11" s="108">
        <f t="shared" si="6"/>
        <v>0</v>
      </c>
      <c r="AL11" s="108">
        <f t="shared" si="7"/>
        <v>0</v>
      </c>
      <c r="AM11" s="120">
        <f>AO11</f>
        <v>10</v>
      </c>
      <c r="AN11" s="117" t="s">
        <v>11</v>
      </c>
      <c r="AO11" s="115">
        <f>IF(Uitslag!T11="",0,IF(T11=Uitslag!T11,10,0))</f>
        <v>10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1</v>
      </c>
      <c r="H12" s="367" t="s">
        <v>9</v>
      </c>
      <c r="I12" s="440">
        <v>1</v>
      </c>
      <c r="J12" s="369">
        <f t="shared" si="0"/>
        <v>3</v>
      </c>
      <c r="K12" s="363">
        <f t="shared" si="1"/>
        <v>1</v>
      </c>
      <c r="L12" s="363">
        <f t="shared" si="2"/>
        <v>1</v>
      </c>
      <c r="O12" s="401" t="s">
        <v>12</v>
      </c>
      <c r="P12" s="402">
        <f>SUMIF($D$8:$D$55,$O12,$G$8:$G$55)+SUMIF($F$8:$F$55,$O12,$I$8:$I$55)</f>
        <v>0</v>
      </c>
      <c r="Q12" s="402">
        <f>SUMIF($D$8:$D$55,$O12,$I$8:$I$55)+SUMIF($F$8:$F$55,$O12,$G$8:$G$55)</f>
        <v>4</v>
      </c>
      <c r="R12" s="402">
        <f>P12-Q12</f>
        <v>-4</v>
      </c>
      <c r="S12" s="403">
        <f>SUMIF($D$8:$D$55,$O12,$K$8:$K$55)+SUMIF($F$8:$F$55,$O12,$L$8:$L$55)</f>
        <v>1</v>
      </c>
      <c r="T12" s="446" t="s">
        <v>50</v>
      </c>
      <c r="U12" s="392"/>
      <c r="V12" s="392" t="str">
        <f>O12</f>
        <v>Kameroen</v>
      </c>
      <c r="W12" s="392" t="s">
        <v>50</v>
      </c>
      <c r="Y12" s="109">
        <f t="shared" si="8"/>
        <v>0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0</v>
      </c>
      <c r="AG12" s="108">
        <f t="shared" si="3"/>
        <v>0</v>
      </c>
      <c r="AH12" s="108">
        <f t="shared" si="4"/>
        <v>0</v>
      </c>
      <c r="AI12" s="108">
        <f t="shared" si="10"/>
        <v>0</v>
      </c>
      <c r="AJ12" s="108">
        <f t="shared" si="5"/>
        <v>0</v>
      </c>
      <c r="AK12" s="108">
        <f t="shared" si="6"/>
        <v>0</v>
      </c>
      <c r="AL12" s="108">
        <f t="shared" si="7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1</v>
      </c>
      <c r="H13" s="373" t="s">
        <v>9</v>
      </c>
      <c r="I13" s="441">
        <v>0</v>
      </c>
      <c r="J13" s="375">
        <f t="shared" si="0"/>
        <v>1</v>
      </c>
      <c r="K13" s="363">
        <f t="shared" si="1"/>
        <v>3</v>
      </c>
      <c r="L13" s="363">
        <f t="shared" si="2"/>
        <v>0</v>
      </c>
      <c r="O13" s="392"/>
      <c r="P13" s="393"/>
      <c r="Q13" s="393"/>
      <c r="R13" s="393"/>
      <c r="S13" s="393"/>
      <c r="T13" s="393"/>
      <c r="U13" s="392"/>
      <c r="V13" s="392"/>
      <c r="W13" s="392"/>
      <c r="Y13" s="109">
        <f t="shared" si="8"/>
        <v>1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1</v>
      </c>
      <c r="AG13" s="108">
        <f t="shared" si="3"/>
        <v>1</v>
      </c>
      <c r="AH13" s="108">
        <f t="shared" si="4"/>
        <v>0</v>
      </c>
      <c r="AI13" s="108">
        <f t="shared" si="10"/>
        <v>0</v>
      </c>
      <c r="AJ13" s="108">
        <f t="shared" si="5"/>
        <v>0</v>
      </c>
      <c r="AK13" s="108">
        <f t="shared" si="6"/>
        <v>0</v>
      </c>
      <c r="AL13" s="108">
        <f t="shared" si="7"/>
        <v>0</v>
      </c>
      <c r="AN13" s="392"/>
      <c r="AO13" s="393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1</v>
      </c>
      <c r="H14" s="373" t="s">
        <v>9</v>
      </c>
      <c r="I14" s="441">
        <v>1</v>
      </c>
      <c r="J14" s="375">
        <f t="shared" si="0"/>
        <v>3</v>
      </c>
      <c r="K14" s="363">
        <f t="shared" si="1"/>
        <v>1</v>
      </c>
      <c r="L14" s="363">
        <f t="shared" si="2"/>
        <v>1</v>
      </c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392"/>
      <c r="V14" s="392"/>
      <c r="W14" s="392"/>
      <c r="Y14" s="109">
        <f t="shared" si="8"/>
        <v>1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</v>
      </c>
      <c r="AG14" s="108">
        <f t="shared" si="3"/>
        <v>1</v>
      </c>
      <c r="AH14" s="108">
        <f t="shared" si="4"/>
        <v>0</v>
      </c>
      <c r="AI14" s="108">
        <f t="shared" si="10"/>
        <v>0</v>
      </c>
      <c r="AJ14" s="108">
        <f t="shared" si="5"/>
        <v>0</v>
      </c>
      <c r="AK14" s="108">
        <f t="shared" si="6"/>
        <v>0</v>
      </c>
      <c r="AL14" s="108">
        <f t="shared" si="7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0</v>
      </c>
      <c r="H15" s="379" t="s">
        <v>9</v>
      </c>
      <c r="I15" s="442">
        <v>1</v>
      </c>
      <c r="J15" s="381">
        <f t="shared" si="0"/>
        <v>2</v>
      </c>
      <c r="K15" s="363">
        <f t="shared" si="1"/>
        <v>0</v>
      </c>
      <c r="L15" s="363">
        <f t="shared" si="2"/>
        <v>3</v>
      </c>
      <c r="O15" s="394" t="s">
        <v>13</v>
      </c>
      <c r="P15" s="395">
        <f>SUMIF($D$8:$D$55,$O15,$G$8:$G$55)+SUMIF($F$8:$F$55,$O15,$I$8:$I$55)</f>
        <v>6</v>
      </c>
      <c r="Q15" s="395">
        <f>SUMIF($D$8:$D$55,$O15,$I$8:$I$55)+SUMIF($F$8:$F$55,$O15,$G$8:$G$55)</f>
        <v>0</v>
      </c>
      <c r="R15" s="396">
        <f>P15-Q15</f>
        <v>6</v>
      </c>
      <c r="S15" s="397">
        <f>SUMIF($D$8:$D$55,$O15,$K$8:$K$55)+SUMIF($F$8:$F$55,$O15,$L$8:$L$55)</f>
        <v>9</v>
      </c>
      <c r="T15" s="444" t="s">
        <v>52</v>
      </c>
      <c r="U15" s="392"/>
      <c r="V15" s="392" t="str">
        <f>O15</f>
        <v>Spanje</v>
      </c>
      <c r="W15" s="392" t="s">
        <v>52</v>
      </c>
      <c r="Y15" s="109">
        <f t="shared" si="8"/>
        <v>1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1</v>
      </c>
      <c r="AG15" s="108">
        <f t="shared" si="3"/>
        <v>0</v>
      </c>
      <c r="AH15" s="108">
        <f t="shared" si="4"/>
        <v>1</v>
      </c>
      <c r="AI15" s="108">
        <f t="shared" si="10"/>
        <v>0</v>
      </c>
      <c r="AJ15" s="108">
        <f t="shared" si="5"/>
        <v>0</v>
      </c>
      <c r="AK15" s="108">
        <f t="shared" si="6"/>
        <v>0</v>
      </c>
      <c r="AL15" s="108">
        <f t="shared" si="7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1</v>
      </c>
      <c r="H16" s="367" t="s">
        <v>9</v>
      </c>
      <c r="I16" s="440">
        <v>1</v>
      </c>
      <c r="J16" s="369">
        <f t="shared" si="0"/>
        <v>3</v>
      </c>
      <c r="K16" s="363">
        <f t="shared" si="1"/>
        <v>1</v>
      </c>
      <c r="L16" s="363">
        <f t="shared" si="2"/>
        <v>1</v>
      </c>
      <c r="O16" s="404" t="s">
        <v>14</v>
      </c>
      <c r="P16" s="399">
        <f>SUMIF($D$8:$D$55,$O16,$G$8:$G$55)+SUMIF($F$8:$F$55,$O16,$I$8:$I$55)</f>
        <v>3</v>
      </c>
      <c r="Q16" s="399">
        <f>SUMIF($D$8:$D$55,$O16,$I$8:$I$55)+SUMIF($F$8:$F$55,$O16,$G$8:$G$55)</f>
        <v>3</v>
      </c>
      <c r="R16" s="399">
        <f>P16-Q16</f>
        <v>0</v>
      </c>
      <c r="S16" s="400">
        <f>SUMIF($D$8:$D$55,$O16,$K$8:$K$55)+SUMIF($F$8:$F$55,$O16,$L$8:$L$55)</f>
        <v>6</v>
      </c>
      <c r="T16" s="445" t="s">
        <v>53</v>
      </c>
      <c r="U16" s="392"/>
      <c r="V16" s="392" t="str">
        <f>O16</f>
        <v>Nederland</v>
      </c>
      <c r="W16" s="392" t="s">
        <v>53</v>
      </c>
      <c r="Y16" s="109">
        <f t="shared" si="8"/>
        <v>1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1</v>
      </c>
      <c r="AG16" s="108">
        <f t="shared" si="3"/>
        <v>0</v>
      </c>
      <c r="AH16" s="108">
        <f t="shared" si="4"/>
        <v>1</v>
      </c>
      <c r="AI16" s="108">
        <f t="shared" si="10"/>
        <v>0</v>
      </c>
      <c r="AJ16" s="108">
        <f t="shared" si="5"/>
        <v>0</v>
      </c>
      <c r="AK16" s="108">
        <f t="shared" si="6"/>
        <v>0</v>
      </c>
      <c r="AL16" s="108">
        <f t="shared" si="7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2</v>
      </c>
      <c r="H17" s="373" t="s">
        <v>9</v>
      </c>
      <c r="I17" s="441">
        <v>0</v>
      </c>
      <c r="J17" s="375">
        <f t="shared" si="0"/>
        <v>1</v>
      </c>
      <c r="K17" s="363">
        <f t="shared" si="1"/>
        <v>3</v>
      </c>
      <c r="L17" s="363">
        <f t="shared" si="2"/>
        <v>0</v>
      </c>
      <c r="O17" s="398" t="s">
        <v>15</v>
      </c>
      <c r="P17" s="399">
        <f>SUMIF($D$8:$D$55,$O17,$G$8:$G$55)+SUMIF($F$8:$F$55,$O17,$I$8:$I$55)</f>
        <v>1</v>
      </c>
      <c r="Q17" s="399">
        <f>SUMIF($D$8:$D$55,$O17,$I$8:$I$55)+SUMIF($F$8:$F$55,$O17,$G$8:$G$55)</f>
        <v>3</v>
      </c>
      <c r="R17" s="399">
        <f>P17-Q17</f>
        <v>-2</v>
      </c>
      <c r="S17" s="400">
        <f>SUMIF($D$8:$D$55,$O17,$K$8:$K$55)+SUMIF($F$8:$F$55,$O17,$L$8:$L$55)</f>
        <v>3</v>
      </c>
      <c r="T17" s="445" t="s">
        <v>54</v>
      </c>
      <c r="U17" s="392"/>
      <c r="V17" s="392" t="str">
        <f>O17</f>
        <v>Chili</v>
      </c>
      <c r="W17" s="392" t="s">
        <v>54</v>
      </c>
      <c r="Y17" s="109">
        <f t="shared" si="8"/>
        <v>6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6</v>
      </c>
      <c r="AG17" s="108">
        <f t="shared" si="3"/>
        <v>0</v>
      </c>
      <c r="AH17" s="108">
        <f t="shared" si="4"/>
        <v>1</v>
      </c>
      <c r="AI17" s="108">
        <f t="shared" si="10"/>
        <v>0</v>
      </c>
      <c r="AJ17" s="108">
        <f t="shared" si="5"/>
        <v>5</v>
      </c>
      <c r="AK17" s="108">
        <f t="shared" si="6"/>
        <v>0</v>
      </c>
      <c r="AL17" s="108">
        <f t="shared" si="7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2</v>
      </c>
      <c r="H18" s="379" t="s">
        <v>9</v>
      </c>
      <c r="I18" s="442">
        <v>0</v>
      </c>
      <c r="J18" s="381">
        <f t="shared" si="0"/>
        <v>1</v>
      </c>
      <c r="K18" s="363">
        <f t="shared" si="1"/>
        <v>3</v>
      </c>
      <c r="L18" s="363">
        <f t="shared" si="2"/>
        <v>0</v>
      </c>
      <c r="O18" s="401" t="s">
        <v>16</v>
      </c>
      <c r="P18" s="402">
        <f>SUMIF($D$8:$D$55,$O18,$G$8:$G$55)+SUMIF($F$8:$F$55,$O18,$I$8:$I$55)</f>
        <v>1</v>
      </c>
      <c r="Q18" s="402">
        <f>SUMIF($D$8:$D$55,$O18,$I$8:$I$55)+SUMIF($F$8:$F$55,$O18,$G$8:$G$55)</f>
        <v>5</v>
      </c>
      <c r="R18" s="402">
        <f>P18-Q18</f>
        <v>-4</v>
      </c>
      <c r="S18" s="403">
        <f>SUMIF($D$8:$D$55,$O18,$K$8:$K$55)+SUMIF($F$8:$F$55,$O18,$L$8:$L$55)</f>
        <v>0</v>
      </c>
      <c r="T18" s="446" t="s">
        <v>55</v>
      </c>
      <c r="U18" s="392"/>
      <c r="V18" s="392" t="str">
        <f>O18</f>
        <v>Australië</v>
      </c>
      <c r="W18" s="392" t="s">
        <v>55</v>
      </c>
      <c r="Y18" s="109">
        <f t="shared" si="8"/>
        <v>6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6</v>
      </c>
      <c r="AG18" s="108">
        <f t="shared" si="3"/>
        <v>1</v>
      </c>
      <c r="AH18" s="108">
        <f t="shared" si="4"/>
        <v>0</v>
      </c>
      <c r="AI18" s="108">
        <f t="shared" si="10"/>
        <v>0</v>
      </c>
      <c r="AJ18" s="108">
        <f t="shared" si="5"/>
        <v>5</v>
      </c>
      <c r="AK18" s="108">
        <f t="shared" si="6"/>
        <v>0</v>
      </c>
      <c r="AL18" s="108">
        <f t="shared" si="7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1</v>
      </c>
      <c r="H19" s="367" t="s">
        <v>9</v>
      </c>
      <c r="I19" s="440">
        <v>0</v>
      </c>
      <c r="J19" s="369">
        <f t="shared" si="0"/>
        <v>1</v>
      </c>
      <c r="K19" s="363">
        <f t="shared" si="1"/>
        <v>3</v>
      </c>
      <c r="L19" s="363">
        <f t="shared" si="2"/>
        <v>0</v>
      </c>
      <c r="O19" s="392"/>
      <c r="P19" s="393"/>
      <c r="Q19" s="393"/>
      <c r="R19" s="393"/>
      <c r="S19" s="393"/>
      <c r="T19" s="393"/>
      <c r="U19" s="392"/>
      <c r="V19" s="392"/>
      <c r="W19" s="392"/>
      <c r="Y19" s="109">
        <f t="shared" si="8"/>
        <v>6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6</v>
      </c>
      <c r="AG19" s="108">
        <f t="shared" si="3"/>
        <v>0</v>
      </c>
      <c r="AH19" s="108">
        <f t="shared" si="4"/>
        <v>1</v>
      </c>
      <c r="AI19" s="108">
        <f t="shared" si="10"/>
        <v>0</v>
      </c>
      <c r="AJ19" s="108">
        <f t="shared" si="5"/>
        <v>5</v>
      </c>
      <c r="AK19" s="108">
        <f t="shared" si="6"/>
        <v>0</v>
      </c>
      <c r="AL19" s="108">
        <f t="shared" si="7"/>
        <v>0</v>
      </c>
      <c r="AN19" s="392"/>
      <c r="AO19" s="393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0</v>
      </c>
      <c r="H20" s="373" t="s">
        <v>9</v>
      </c>
      <c r="I20" s="441">
        <v>1</v>
      </c>
      <c r="J20" s="375">
        <f t="shared" si="0"/>
        <v>2</v>
      </c>
      <c r="K20" s="363">
        <f t="shared" si="1"/>
        <v>0</v>
      </c>
      <c r="L20" s="363">
        <f t="shared" si="2"/>
        <v>3</v>
      </c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392"/>
      <c r="V20" s="392"/>
      <c r="W20" s="392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3"/>
        <v>1</v>
      </c>
      <c r="AH20" s="108">
        <f t="shared" si="4"/>
        <v>0</v>
      </c>
      <c r="AI20" s="108">
        <f t="shared" si="10"/>
        <v>0</v>
      </c>
      <c r="AJ20" s="108">
        <f t="shared" si="5"/>
        <v>0</v>
      </c>
      <c r="AK20" s="108">
        <f t="shared" si="6"/>
        <v>0</v>
      </c>
      <c r="AL20" s="108">
        <f t="shared" si="7"/>
        <v>0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0</v>
      </c>
      <c r="H21" s="379" t="s">
        <v>9</v>
      </c>
      <c r="I21" s="442">
        <v>1</v>
      </c>
      <c r="J21" s="381">
        <f t="shared" si="0"/>
        <v>2</v>
      </c>
      <c r="K21" s="363">
        <f t="shared" si="1"/>
        <v>0</v>
      </c>
      <c r="L21" s="363">
        <f t="shared" si="2"/>
        <v>3</v>
      </c>
      <c r="O21" s="394" t="s">
        <v>17</v>
      </c>
      <c r="P21" s="395">
        <f>SUMIF($D$8:$D$55,$O21,$G$8:$G$55)+SUMIF($F$8:$F$55,$O21,$I$8:$I$55)</f>
        <v>3</v>
      </c>
      <c r="Q21" s="395">
        <f>SUMIF($D$8:$D$55,$O21,$I$8:$I$55)+SUMIF($F$8:$F$55,$O21,$G$8:$G$55)</f>
        <v>2</v>
      </c>
      <c r="R21" s="396">
        <f>P21-Q21</f>
        <v>1</v>
      </c>
      <c r="S21" s="397">
        <f>SUMIF($D$8:$D$55,$O21,$K$8:$K$55)+SUMIF($F$8:$F$55,$O21,$L$8:$L$55)</f>
        <v>5</v>
      </c>
      <c r="T21" s="444" t="s">
        <v>57</v>
      </c>
      <c r="U21" s="392"/>
      <c r="V21" s="392" t="str">
        <f>O21</f>
        <v>Colombia</v>
      </c>
      <c r="W21" s="392" t="s">
        <v>57</v>
      </c>
      <c r="Y21" s="109">
        <f t="shared" si="8"/>
        <v>5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5</v>
      </c>
      <c r="AG21" s="108">
        <f t="shared" si="3"/>
        <v>0</v>
      </c>
      <c r="AH21" s="108">
        <f t="shared" si="4"/>
        <v>0</v>
      </c>
      <c r="AI21" s="108">
        <f t="shared" si="10"/>
        <v>0</v>
      </c>
      <c r="AJ21" s="108">
        <f t="shared" si="5"/>
        <v>0</v>
      </c>
      <c r="AK21" s="108">
        <f t="shared" si="6"/>
        <v>5</v>
      </c>
      <c r="AL21" s="108">
        <f t="shared" si="7"/>
        <v>0</v>
      </c>
      <c r="AM21" s="120">
        <f>AO21</f>
        <v>10</v>
      </c>
      <c r="AN21" s="116" t="s">
        <v>17</v>
      </c>
      <c r="AO21" s="115">
        <f>IF(Uitslag!T21="",0,IF(T21=Uitslag!T21,10,0))</f>
        <v>10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1</v>
      </c>
      <c r="H22" s="367" t="s">
        <v>9</v>
      </c>
      <c r="I22" s="440">
        <v>0</v>
      </c>
      <c r="J22" s="369">
        <f t="shared" si="0"/>
        <v>1</v>
      </c>
      <c r="K22" s="363">
        <f t="shared" si="1"/>
        <v>3</v>
      </c>
      <c r="L22" s="363">
        <f t="shared" si="2"/>
        <v>0</v>
      </c>
      <c r="O22" s="398" t="s">
        <v>18</v>
      </c>
      <c r="P22" s="399">
        <f>SUMIF($D$8:$D$55,$O22,$G$8:$G$55)+SUMIF($F$8:$F$55,$O22,$I$8:$I$55)</f>
        <v>3</v>
      </c>
      <c r="Q22" s="399">
        <f>SUMIF($D$8:$D$55,$O22,$I$8:$I$55)+SUMIF($F$8:$F$55,$O22,$G$8:$G$55)</f>
        <v>2</v>
      </c>
      <c r="R22" s="399">
        <f>P22-Q22</f>
        <v>1</v>
      </c>
      <c r="S22" s="400">
        <f>SUMIF($D$8:$D$55,$O22,$K$8:$K$55)+SUMIF($F$8:$F$55,$O22,$L$8:$L$55)</f>
        <v>5</v>
      </c>
      <c r="T22" s="445" t="s">
        <v>58</v>
      </c>
      <c r="U22" s="392"/>
      <c r="V22" s="392" t="str">
        <f>O22</f>
        <v>Griekenland</v>
      </c>
      <c r="W22" s="392" t="s">
        <v>58</v>
      </c>
      <c r="Y22" s="109">
        <f t="shared" si="8"/>
        <v>5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5</v>
      </c>
      <c r="AG22" s="108">
        <f t="shared" si="3"/>
        <v>0</v>
      </c>
      <c r="AH22" s="108">
        <f t="shared" si="4"/>
        <v>0</v>
      </c>
      <c r="AI22" s="108">
        <f t="shared" si="10"/>
        <v>0</v>
      </c>
      <c r="AJ22" s="108">
        <f t="shared" si="5"/>
        <v>5</v>
      </c>
      <c r="AK22" s="108">
        <f t="shared" si="6"/>
        <v>0</v>
      </c>
      <c r="AL22" s="108">
        <f t="shared" si="7"/>
        <v>0</v>
      </c>
      <c r="AM22" s="120">
        <f>AO22</f>
        <v>10</v>
      </c>
      <c r="AN22" s="117" t="s">
        <v>18</v>
      </c>
      <c r="AO22" s="115">
        <f>IF(Uitslag!T22="",0,IF(T22=Uitslag!T22,10,0))</f>
        <v>10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2</v>
      </c>
      <c r="H23" s="373" t="s">
        <v>9</v>
      </c>
      <c r="I23" s="441">
        <v>0</v>
      </c>
      <c r="J23" s="375">
        <f t="shared" si="0"/>
        <v>1</v>
      </c>
      <c r="K23" s="363">
        <f t="shared" si="1"/>
        <v>3</v>
      </c>
      <c r="L23" s="363">
        <f t="shared" si="2"/>
        <v>0</v>
      </c>
      <c r="O23" s="398" t="s">
        <v>23</v>
      </c>
      <c r="P23" s="399">
        <f>SUMIF($D$8:$D$55,$O23,$G$8:$G$55)+SUMIF($F$8:$F$55,$O23,$I$8:$I$55)</f>
        <v>0</v>
      </c>
      <c r="Q23" s="399">
        <f>SUMIF($D$8:$D$55,$O23,$I$8:$I$55)+SUMIF($F$8:$F$55,$O23,$G$8:$G$55)</f>
        <v>3</v>
      </c>
      <c r="R23" s="399">
        <f>P23-Q23</f>
        <v>-3</v>
      </c>
      <c r="S23" s="400">
        <f>SUMIF($D$8:$D$55,$O23,$K$8:$K$55)+SUMIF($F$8:$F$55,$O23,$L$8:$L$55)</f>
        <v>0</v>
      </c>
      <c r="T23" s="445" t="s">
        <v>60</v>
      </c>
      <c r="U23" s="392"/>
      <c r="V23" s="392" t="str">
        <f>O23</f>
        <v>Ivoorkust</v>
      </c>
      <c r="W23" s="392" t="s">
        <v>59</v>
      </c>
      <c r="Y23" s="109">
        <f t="shared" si="8"/>
        <v>1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1</v>
      </c>
      <c r="AG23" s="108">
        <f t="shared" si="3"/>
        <v>0</v>
      </c>
      <c r="AH23" s="108">
        <f t="shared" si="4"/>
        <v>1</v>
      </c>
      <c r="AI23" s="108">
        <f t="shared" si="10"/>
        <v>0</v>
      </c>
      <c r="AJ23" s="108">
        <f t="shared" si="5"/>
        <v>0</v>
      </c>
      <c r="AK23" s="108">
        <f t="shared" si="6"/>
        <v>0</v>
      </c>
      <c r="AL23" s="108">
        <f t="shared" si="7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1</v>
      </c>
      <c r="H24" s="379" t="s">
        <v>9</v>
      </c>
      <c r="I24" s="442">
        <v>1</v>
      </c>
      <c r="J24" s="381">
        <f t="shared" si="0"/>
        <v>3</v>
      </c>
      <c r="K24" s="363">
        <f t="shared" si="1"/>
        <v>1</v>
      </c>
      <c r="L24" s="363">
        <f t="shared" si="2"/>
        <v>1</v>
      </c>
      <c r="O24" s="401" t="s">
        <v>24</v>
      </c>
      <c r="P24" s="402">
        <f>SUMIF($D$8:$D$55,$O24,$G$8:$G$55)+SUMIF($F$8:$F$55,$O24,$I$8:$I$55)</f>
        <v>3</v>
      </c>
      <c r="Q24" s="402">
        <f>SUMIF($D$8:$D$55,$O24,$I$8:$I$55)+SUMIF($F$8:$F$55,$O24,$G$8:$G$55)</f>
        <v>2</v>
      </c>
      <c r="R24" s="402">
        <f>P24-Q24</f>
        <v>1</v>
      </c>
      <c r="S24" s="403">
        <f>SUMIF($D$8:$D$55,$O24,$K$8:$K$55)+SUMIF($F$8:$F$55,$O24,$L$8:$L$55)</f>
        <v>5</v>
      </c>
      <c r="T24" s="446" t="s">
        <v>59</v>
      </c>
      <c r="U24" s="392"/>
      <c r="V24" s="392" t="str">
        <f>O24</f>
        <v>Japan</v>
      </c>
      <c r="W24" s="392" t="s">
        <v>60</v>
      </c>
      <c r="Y24" s="109">
        <f t="shared" si="8"/>
        <v>10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10</v>
      </c>
      <c r="AG24" s="108">
        <f t="shared" si="3"/>
        <v>1</v>
      </c>
      <c r="AH24" s="108">
        <f t="shared" si="4"/>
        <v>1</v>
      </c>
      <c r="AI24" s="108">
        <f t="shared" si="10"/>
        <v>10</v>
      </c>
      <c r="AJ24" s="108">
        <f t="shared" si="5"/>
        <v>0</v>
      </c>
      <c r="AK24" s="108">
        <f t="shared" si="6"/>
        <v>0</v>
      </c>
      <c r="AL24" s="108">
        <f t="shared" si="7"/>
        <v>5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1</v>
      </c>
      <c r="H25" s="367" t="s">
        <v>9</v>
      </c>
      <c r="I25" s="440">
        <v>2</v>
      </c>
      <c r="J25" s="369">
        <f t="shared" si="0"/>
        <v>2</v>
      </c>
      <c r="K25" s="363">
        <f t="shared" si="1"/>
        <v>0</v>
      </c>
      <c r="L25" s="363">
        <f t="shared" si="2"/>
        <v>3</v>
      </c>
      <c r="O25" s="392"/>
      <c r="P25" s="393"/>
      <c r="Q25" s="393"/>
      <c r="R25" s="393"/>
      <c r="S25" s="393"/>
      <c r="T25" s="393"/>
      <c r="U25" s="392"/>
      <c r="V25" s="392"/>
      <c r="W25" s="392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3"/>
        <v>0</v>
      </c>
      <c r="AH25" s="108">
        <f t="shared" si="4"/>
        <v>0</v>
      </c>
      <c r="AI25" s="108">
        <f t="shared" si="10"/>
        <v>0</v>
      </c>
      <c r="AJ25" s="108">
        <f t="shared" si="5"/>
        <v>0</v>
      </c>
      <c r="AK25" s="108">
        <f t="shared" si="6"/>
        <v>5</v>
      </c>
      <c r="AL25" s="108">
        <f t="shared" si="7"/>
        <v>0</v>
      </c>
      <c r="AN25" s="392"/>
      <c r="AO25" s="393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2</v>
      </c>
      <c r="H26" s="373" t="s">
        <v>9</v>
      </c>
      <c r="I26" s="441">
        <v>0</v>
      </c>
      <c r="J26" s="375">
        <f t="shared" si="0"/>
        <v>1</v>
      </c>
      <c r="K26" s="363">
        <f t="shared" si="1"/>
        <v>3</v>
      </c>
      <c r="L26" s="363">
        <f t="shared" si="2"/>
        <v>0</v>
      </c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392"/>
      <c r="V26" s="392"/>
      <c r="W26" s="392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3"/>
        <v>0</v>
      </c>
      <c r="AH26" s="108">
        <f t="shared" si="4"/>
        <v>0</v>
      </c>
      <c r="AI26" s="108">
        <f t="shared" si="10"/>
        <v>0</v>
      </c>
      <c r="AJ26" s="108">
        <f t="shared" si="5"/>
        <v>0</v>
      </c>
      <c r="AK26" s="108">
        <f t="shared" si="6"/>
        <v>0</v>
      </c>
      <c r="AL26" s="108">
        <f t="shared" si="7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0</v>
      </c>
      <c r="H27" s="379" t="s">
        <v>9</v>
      </c>
      <c r="I27" s="442">
        <v>0</v>
      </c>
      <c r="J27" s="381">
        <f t="shared" si="0"/>
        <v>3</v>
      </c>
      <c r="K27" s="363">
        <f t="shared" si="1"/>
        <v>1</v>
      </c>
      <c r="L27" s="363">
        <f t="shared" si="2"/>
        <v>1</v>
      </c>
      <c r="O27" s="394" t="s">
        <v>19</v>
      </c>
      <c r="P27" s="395">
        <f>SUMIF($D$8:$D$55,$O27,$G$8:$G$55)+SUMIF($F$8:$F$55,$O27,$I$8:$I$55)</f>
        <v>2</v>
      </c>
      <c r="Q27" s="395">
        <f>SUMIF($D$8:$D$55,$O27,$I$8:$I$55)+SUMIF($F$8:$F$55,$O27,$G$8:$G$55)</f>
        <v>2</v>
      </c>
      <c r="R27" s="396">
        <f>P27-Q27</f>
        <v>0</v>
      </c>
      <c r="S27" s="397">
        <f>SUMIF($D$8:$D$55,$O27,$K$8:$K$55)+SUMIF($F$8:$F$55,$O27,$L$8:$L$55)</f>
        <v>4</v>
      </c>
      <c r="T27" s="444" t="s">
        <v>64</v>
      </c>
      <c r="U27" s="392"/>
      <c r="V27" s="392" t="str">
        <f>O27</f>
        <v>Uruguay</v>
      </c>
      <c r="W27" s="392" t="s">
        <v>62</v>
      </c>
      <c r="Y27" s="109">
        <f t="shared" si="8"/>
        <v>1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1</v>
      </c>
      <c r="AG27" s="108">
        <f t="shared" si="3"/>
        <v>1</v>
      </c>
      <c r="AH27" s="108">
        <f t="shared" si="4"/>
        <v>0</v>
      </c>
      <c r="AI27" s="108">
        <f t="shared" si="10"/>
        <v>0</v>
      </c>
      <c r="AJ27" s="108">
        <f t="shared" si="5"/>
        <v>0</v>
      </c>
      <c r="AK27" s="108">
        <f t="shared" si="6"/>
        <v>0</v>
      </c>
      <c r="AL27" s="108">
        <f t="shared" si="7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1</v>
      </c>
      <c r="H28" s="367" t="s">
        <v>9</v>
      </c>
      <c r="I28" s="440">
        <v>0</v>
      </c>
      <c r="J28" s="369">
        <f t="shared" si="0"/>
        <v>1</v>
      </c>
      <c r="K28" s="363">
        <f t="shared" si="1"/>
        <v>3</v>
      </c>
      <c r="L28" s="363">
        <f t="shared" si="2"/>
        <v>0</v>
      </c>
      <c r="O28" s="398" t="s">
        <v>20</v>
      </c>
      <c r="P28" s="399">
        <f>SUMIF($D$8:$D$55,$O28,$G$8:$G$55)+SUMIF($F$8:$F$55,$O28,$I$8:$I$55)</f>
        <v>0</v>
      </c>
      <c r="Q28" s="399">
        <f>SUMIF($D$8:$D$55,$O28,$I$8:$I$55)+SUMIF($F$8:$F$55,$O28,$G$8:$G$55)</f>
        <v>4</v>
      </c>
      <c r="R28" s="399">
        <f>P28-Q28</f>
        <v>-4</v>
      </c>
      <c r="S28" s="400">
        <f>SUMIF($D$8:$D$55,$O28,$K$8:$K$55)+SUMIF($F$8:$F$55,$O28,$L$8:$L$55)</f>
        <v>0</v>
      </c>
      <c r="T28" s="445" t="s">
        <v>65</v>
      </c>
      <c r="U28" s="392"/>
      <c r="V28" s="392" t="str">
        <f>O28</f>
        <v>Costa Rica</v>
      </c>
      <c r="W28" s="392" t="s">
        <v>63</v>
      </c>
      <c r="Y28" s="109">
        <f t="shared" si="8"/>
        <v>5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5</v>
      </c>
      <c r="AG28" s="108">
        <f t="shared" si="3"/>
        <v>0</v>
      </c>
      <c r="AH28" s="108">
        <f t="shared" si="4"/>
        <v>0</v>
      </c>
      <c r="AI28" s="108">
        <f t="shared" si="10"/>
        <v>0</v>
      </c>
      <c r="AJ28" s="108">
        <f t="shared" si="5"/>
        <v>5</v>
      </c>
      <c r="AK28" s="108">
        <f t="shared" si="6"/>
        <v>0</v>
      </c>
      <c r="AL28" s="108">
        <f t="shared" si="7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1</v>
      </c>
      <c r="H29" s="373" t="s">
        <v>9</v>
      </c>
      <c r="I29" s="441">
        <v>1</v>
      </c>
      <c r="J29" s="375">
        <f t="shared" si="0"/>
        <v>3</v>
      </c>
      <c r="K29" s="363">
        <f t="shared" si="1"/>
        <v>1</v>
      </c>
      <c r="L29" s="363">
        <f t="shared" si="2"/>
        <v>1</v>
      </c>
      <c r="O29" s="398" t="s">
        <v>21</v>
      </c>
      <c r="P29" s="399">
        <f>SUMIF($D$8:$D$55,$O29,$G$8:$G$55)+SUMIF($F$8:$F$55,$O29,$I$8:$I$55)</f>
        <v>3</v>
      </c>
      <c r="Q29" s="399">
        <f>SUMIF($D$8:$D$55,$O29,$I$8:$I$55)+SUMIF($F$8:$F$55,$O29,$G$8:$G$55)</f>
        <v>2</v>
      </c>
      <c r="R29" s="399">
        <f>P29-Q29</f>
        <v>1</v>
      </c>
      <c r="S29" s="400">
        <f>SUMIF($D$8:$D$55,$O29,$K$8:$K$55)+SUMIF($F$8:$F$55,$O29,$L$8:$L$55)</f>
        <v>5</v>
      </c>
      <c r="T29" s="445" t="s">
        <v>63</v>
      </c>
      <c r="U29" s="392"/>
      <c r="V29" s="392" t="str">
        <f>O29</f>
        <v>Engeland</v>
      </c>
      <c r="W29" s="392" t="s">
        <v>64</v>
      </c>
      <c r="Y29" s="109">
        <f t="shared" si="8"/>
        <v>1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1</v>
      </c>
      <c r="AG29" s="108">
        <f t="shared" si="3"/>
        <v>0</v>
      </c>
      <c r="AH29" s="108">
        <f t="shared" si="4"/>
        <v>1</v>
      </c>
      <c r="AI29" s="108">
        <f t="shared" si="10"/>
        <v>0</v>
      </c>
      <c r="AJ29" s="108">
        <f t="shared" si="5"/>
        <v>0</v>
      </c>
      <c r="AK29" s="108">
        <f t="shared" si="6"/>
        <v>0</v>
      </c>
      <c r="AL29" s="108">
        <f t="shared" si="7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1</v>
      </c>
      <c r="H30" s="379" t="s">
        <v>9</v>
      </c>
      <c r="I30" s="442">
        <v>1</v>
      </c>
      <c r="J30" s="381">
        <f t="shared" si="0"/>
        <v>3</v>
      </c>
      <c r="K30" s="363">
        <f t="shared" si="1"/>
        <v>1</v>
      </c>
      <c r="L30" s="363">
        <f t="shared" si="2"/>
        <v>1</v>
      </c>
      <c r="O30" s="401" t="s">
        <v>22</v>
      </c>
      <c r="P30" s="402">
        <f>SUMIF($D$8:$D$55,$O30,$G$8:$G$55)+SUMIF($F$8:$F$55,$O30,$I$8:$I$55)</f>
        <v>4</v>
      </c>
      <c r="Q30" s="402">
        <f>SUMIF($D$8:$D$55,$O30,$I$8:$I$55)+SUMIF($F$8:$F$55,$O30,$G$8:$G$55)</f>
        <v>1</v>
      </c>
      <c r="R30" s="402">
        <f>P30-Q30</f>
        <v>3</v>
      </c>
      <c r="S30" s="403">
        <f>SUMIF($D$8:$D$55,$O30,$K$8:$K$55)+SUMIF($F$8:$F$55,$O30,$L$8:$L$55)</f>
        <v>7</v>
      </c>
      <c r="T30" s="446" t="s">
        <v>62</v>
      </c>
      <c r="U30" s="392"/>
      <c r="V30" s="392" t="str">
        <f>O30</f>
        <v>Italië</v>
      </c>
      <c r="W30" s="392" t="s">
        <v>65</v>
      </c>
      <c r="Y30" s="109">
        <f t="shared" si="8"/>
        <v>5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5</v>
      </c>
      <c r="AG30" s="108">
        <f t="shared" si="3"/>
        <v>0</v>
      </c>
      <c r="AH30" s="108">
        <f t="shared" si="4"/>
        <v>0</v>
      </c>
      <c r="AI30" s="108">
        <f t="shared" si="10"/>
        <v>0</v>
      </c>
      <c r="AJ30" s="108">
        <f t="shared" si="5"/>
        <v>0</v>
      </c>
      <c r="AK30" s="108">
        <f t="shared" si="6"/>
        <v>0</v>
      </c>
      <c r="AL30" s="108">
        <f t="shared" si="7"/>
        <v>5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2</v>
      </c>
      <c r="H31" s="367" t="s">
        <v>9</v>
      </c>
      <c r="I31" s="440">
        <v>0</v>
      </c>
      <c r="J31" s="369">
        <f t="shared" si="0"/>
        <v>1</v>
      </c>
      <c r="K31" s="363">
        <f t="shared" si="1"/>
        <v>3</v>
      </c>
      <c r="L31" s="363">
        <f t="shared" si="2"/>
        <v>0</v>
      </c>
      <c r="O31" s="392"/>
      <c r="P31" s="393"/>
      <c r="Q31" s="393"/>
      <c r="R31" s="393"/>
      <c r="S31" s="393"/>
      <c r="T31" s="393"/>
      <c r="U31" s="392"/>
      <c r="V31" s="392"/>
      <c r="W31" s="392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3"/>
        <v>0</v>
      </c>
      <c r="AH31" s="108">
        <f t="shared" si="4"/>
        <v>0</v>
      </c>
      <c r="AI31" s="108">
        <f t="shared" si="10"/>
        <v>0</v>
      </c>
      <c r="AJ31" s="108">
        <f t="shared" si="5"/>
        <v>0</v>
      </c>
      <c r="AK31" s="108">
        <f t="shared" si="6"/>
        <v>0</v>
      </c>
      <c r="AL31" s="108">
        <f t="shared" si="7"/>
        <v>0</v>
      </c>
      <c r="AN31" s="392"/>
      <c r="AO31" s="393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0</v>
      </c>
      <c r="H32" s="373" t="s">
        <v>9</v>
      </c>
      <c r="I32" s="441">
        <v>1</v>
      </c>
      <c r="J32" s="375">
        <f t="shared" si="0"/>
        <v>2</v>
      </c>
      <c r="K32" s="363">
        <f t="shared" si="1"/>
        <v>0</v>
      </c>
      <c r="L32" s="363">
        <f t="shared" si="2"/>
        <v>3</v>
      </c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392"/>
      <c r="V32" s="392"/>
      <c r="W32" s="392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3"/>
        <v>0</v>
      </c>
      <c r="AH32" s="108">
        <f t="shared" si="4"/>
        <v>0</v>
      </c>
      <c r="AI32" s="108">
        <f t="shared" si="10"/>
        <v>0</v>
      </c>
      <c r="AJ32" s="108">
        <f t="shared" si="5"/>
        <v>0</v>
      </c>
      <c r="AK32" s="108">
        <f t="shared" si="6"/>
        <v>5</v>
      </c>
      <c r="AL32" s="108">
        <f t="shared" si="7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1</v>
      </c>
      <c r="H33" s="379" t="s">
        <v>9</v>
      </c>
      <c r="I33" s="442">
        <v>1</v>
      </c>
      <c r="J33" s="381">
        <f t="shared" si="0"/>
        <v>3</v>
      </c>
      <c r="K33" s="363">
        <f t="shared" si="1"/>
        <v>1</v>
      </c>
      <c r="L33" s="363">
        <f t="shared" si="2"/>
        <v>1</v>
      </c>
      <c r="O33" s="394" t="s">
        <v>25</v>
      </c>
      <c r="P33" s="395">
        <f>SUMIF($D$8:$D$55,$O33,$G$8:$G$55)+SUMIF($F$8:$F$55,$O33,$I$8:$I$55)</f>
        <v>2</v>
      </c>
      <c r="Q33" s="395">
        <f>SUMIF($D$8:$D$55,$O33,$I$8:$I$55)+SUMIF($F$8:$F$55,$O33,$G$8:$G$55)</f>
        <v>2</v>
      </c>
      <c r="R33" s="396">
        <f>P33-Q33</f>
        <v>0</v>
      </c>
      <c r="S33" s="397">
        <f>SUMIF($D$8:$D$55,$O33,$K$8:$K$55)+SUMIF($F$8:$F$55,$O33,$L$8:$L$55)</f>
        <v>4</v>
      </c>
      <c r="T33" s="444" t="s">
        <v>68</v>
      </c>
      <c r="U33" s="392"/>
      <c r="V33" s="392" t="str">
        <f>O33</f>
        <v>Zwitserland</v>
      </c>
      <c r="W33" s="392" t="s">
        <v>67</v>
      </c>
      <c r="Y33" s="109">
        <f t="shared" si="8"/>
        <v>1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1</v>
      </c>
      <c r="AG33" s="108">
        <f t="shared" si="3"/>
        <v>1</v>
      </c>
      <c r="AH33" s="108">
        <f t="shared" si="4"/>
        <v>0</v>
      </c>
      <c r="AI33" s="108">
        <f t="shared" si="10"/>
        <v>0</v>
      </c>
      <c r="AJ33" s="108">
        <f t="shared" si="5"/>
        <v>0</v>
      </c>
      <c r="AK33" s="108">
        <f t="shared" si="6"/>
        <v>0</v>
      </c>
      <c r="AL33" s="108">
        <f t="shared" si="7"/>
        <v>0</v>
      </c>
      <c r="AM33" s="120">
        <f>AO33</f>
        <v>10</v>
      </c>
      <c r="AN33" s="116" t="s">
        <v>25</v>
      </c>
      <c r="AO33" s="115">
        <f>IF(Uitslag!T33="",0,IF(T33=Uitslag!T33,10,0))</f>
        <v>10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2</v>
      </c>
      <c r="H34" s="367" t="s">
        <v>9</v>
      </c>
      <c r="I34" s="440">
        <v>0</v>
      </c>
      <c r="J34" s="369">
        <f t="shared" si="0"/>
        <v>1</v>
      </c>
      <c r="K34" s="363">
        <f t="shared" si="1"/>
        <v>3</v>
      </c>
      <c r="L34" s="363">
        <f t="shared" si="2"/>
        <v>0</v>
      </c>
      <c r="O34" s="398" t="s">
        <v>26</v>
      </c>
      <c r="P34" s="399">
        <f>SUMIF($D$8:$D$55,$O34,$G$8:$G$55)+SUMIF($F$8:$F$55,$O34,$I$8:$I$55)</f>
        <v>2</v>
      </c>
      <c r="Q34" s="399">
        <f>SUMIF($D$8:$D$55,$O34,$I$8:$I$55)+SUMIF($F$8:$F$55,$O34,$G$8:$G$55)</f>
        <v>3</v>
      </c>
      <c r="R34" s="399">
        <f>P34-Q34</f>
        <v>-1</v>
      </c>
      <c r="S34" s="400">
        <f>SUMIF($D$8:$D$55,$O34,$K$8:$K$55)+SUMIF($F$8:$F$55,$O34,$L$8:$L$55)</f>
        <v>2</v>
      </c>
      <c r="T34" s="445" t="s">
        <v>69</v>
      </c>
      <c r="U34" s="392"/>
      <c r="V34" s="392" t="str">
        <f>O34</f>
        <v>Ecuador</v>
      </c>
      <c r="W34" s="392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3"/>
        <v>0</v>
      </c>
      <c r="AH34" s="108">
        <f t="shared" si="4"/>
        <v>1</v>
      </c>
      <c r="AI34" s="108">
        <f t="shared" si="10"/>
        <v>0</v>
      </c>
      <c r="AJ34" s="108">
        <f t="shared" si="5"/>
        <v>5</v>
      </c>
      <c r="AK34" s="108">
        <f t="shared" si="6"/>
        <v>0</v>
      </c>
      <c r="AL34" s="108">
        <f t="shared" si="7"/>
        <v>0</v>
      </c>
      <c r="AM34" s="120">
        <f>AO34</f>
        <v>10</v>
      </c>
      <c r="AN34" s="117" t="s">
        <v>26</v>
      </c>
      <c r="AO34" s="115">
        <f>IF(Uitslag!T34="",0,IF(T34=Uitslag!T34,10,0))</f>
        <v>10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1</v>
      </c>
      <c r="H35" s="373" t="s">
        <v>9</v>
      </c>
      <c r="I35" s="441">
        <v>0</v>
      </c>
      <c r="J35" s="375">
        <f t="shared" si="0"/>
        <v>1</v>
      </c>
      <c r="K35" s="363">
        <f t="shared" si="1"/>
        <v>3</v>
      </c>
      <c r="L35" s="363">
        <f t="shared" si="2"/>
        <v>0</v>
      </c>
      <c r="O35" s="398" t="s">
        <v>27</v>
      </c>
      <c r="P35" s="399">
        <f>SUMIF($D$8:$D$55,$O35,$G$8:$G$55)+SUMIF($F$8:$F$55,$O35,$I$8:$I$55)</f>
        <v>4</v>
      </c>
      <c r="Q35" s="399">
        <f>SUMIF($D$8:$D$55,$O35,$I$8:$I$55)+SUMIF($F$8:$F$55,$O35,$G$8:$G$55)</f>
        <v>0</v>
      </c>
      <c r="R35" s="399">
        <f>P35-Q35</f>
        <v>4</v>
      </c>
      <c r="S35" s="400">
        <f>SUMIF($D$8:$D$55,$O35,$K$8:$K$55)+SUMIF($F$8:$F$55,$O35,$L$8:$L$55)</f>
        <v>9</v>
      </c>
      <c r="T35" s="445" t="s">
        <v>67</v>
      </c>
      <c r="U35" s="392"/>
      <c r="V35" s="392" t="str">
        <f>O35</f>
        <v>Frankrijk</v>
      </c>
      <c r="W35" s="392" t="s">
        <v>69</v>
      </c>
      <c r="Y35" s="109">
        <f t="shared" si="8"/>
        <v>0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0</v>
      </c>
      <c r="AG35" s="108">
        <f t="shared" si="3"/>
        <v>0</v>
      </c>
      <c r="AH35" s="108">
        <f t="shared" si="4"/>
        <v>0</v>
      </c>
      <c r="AI35" s="108">
        <f t="shared" si="10"/>
        <v>0</v>
      </c>
      <c r="AJ35" s="108">
        <f t="shared" si="5"/>
        <v>0</v>
      </c>
      <c r="AK35" s="108">
        <f t="shared" si="6"/>
        <v>0</v>
      </c>
      <c r="AL35" s="108">
        <f t="shared" si="7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0</v>
      </c>
      <c r="H36" s="379" t="s">
        <v>9</v>
      </c>
      <c r="I36" s="442">
        <v>0</v>
      </c>
      <c r="J36" s="381">
        <f t="shared" si="0"/>
        <v>3</v>
      </c>
      <c r="K36" s="363">
        <f t="shared" si="1"/>
        <v>1</v>
      </c>
      <c r="L36" s="363">
        <f t="shared" si="2"/>
        <v>1</v>
      </c>
      <c r="O36" s="401" t="s">
        <v>28</v>
      </c>
      <c r="P36" s="402">
        <f>SUMIF($D$8:$D$55,$O36,$G$8:$G$55)+SUMIF($F$8:$F$55,$O36,$I$8:$I$55)</f>
        <v>1</v>
      </c>
      <c r="Q36" s="402">
        <f>SUMIF($D$8:$D$55,$O36,$I$8:$I$55)+SUMIF($F$8:$F$55,$O36,$G$8:$G$55)</f>
        <v>4</v>
      </c>
      <c r="R36" s="402">
        <f>P36-Q36</f>
        <v>-3</v>
      </c>
      <c r="S36" s="403">
        <f>SUMIF($D$8:$D$55,$O36,$K$8:$K$55)+SUMIF($F$8:$F$55,$O36,$L$8:$L$55)</f>
        <v>1</v>
      </c>
      <c r="T36" s="446" t="s">
        <v>70</v>
      </c>
      <c r="U36" s="392"/>
      <c r="V36" s="392" t="str">
        <f>O36</f>
        <v>Honduras</v>
      </c>
      <c r="W36" s="392" t="s">
        <v>70</v>
      </c>
      <c r="Y36" s="109">
        <f t="shared" si="8"/>
        <v>1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1</v>
      </c>
      <c r="AG36" s="108">
        <f t="shared" si="3"/>
        <v>0</v>
      </c>
      <c r="AH36" s="108">
        <f t="shared" si="4"/>
        <v>1</v>
      </c>
      <c r="AI36" s="108">
        <f t="shared" si="10"/>
        <v>0</v>
      </c>
      <c r="AJ36" s="108">
        <f t="shared" si="5"/>
        <v>0</v>
      </c>
      <c r="AK36" s="108">
        <f t="shared" si="6"/>
        <v>0</v>
      </c>
      <c r="AL36" s="108">
        <f t="shared" si="7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1</v>
      </c>
      <c r="H37" s="367" t="s">
        <v>9</v>
      </c>
      <c r="I37" s="440">
        <v>1</v>
      </c>
      <c r="J37" s="369">
        <f t="shared" si="0"/>
        <v>3</v>
      </c>
      <c r="K37" s="363">
        <f t="shared" si="1"/>
        <v>1</v>
      </c>
      <c r="L37" s="363">
        <f t="shared" si="2"/>
        <v>1</v>
      </c>
      <c r="O37" s="392"/>
      <c r="P37" s="393"/>
      <c r="Q37" s="393"/>
      <c r="R37" s="393"/>
      <c r="S37" s="393"/>
      <c r="T37" s="393"/>
      <c r="U37" s="392"/>
      <c r="V37" s="392"/>
      <c r="W37" s="392"/>
      <c r="Y37" s="109">
        <f t="shared" si="8"/>
        <v>1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1</v>
      </c>
      <c r="AG37" s="108">
        <f t="shared" si="3"/>
        <v>1</v>
      </c>
      <c r="AH37" s="108">
        <f t="shared" si="4"/>
        <v>0</v>
      </c>
      <c r="AI37" s="108">
        <f t="shared" si="10"/>
        <v>0</v>
      </c>
      <c r="AJ37" s="108">
        <f t="shared" si="5"/>
        <v>0</v>
      </c>
      <c r="AK37" s="108">
        <f t="shared" si="6"/>
        <v>0</v>
      </c>
      <c r="AL37" s="108">
        <f t="shared" si="7"/>
        <v>0</v>
      </c>
      <c r="AN37" s="392"/>
      <c r="AO37" s="393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1</v>
      </c>
      <c r="H38" s="373" t="s">
        <v>9</v>
      </c>
      <c r="I38" s="441">
        <v>0</v>
      </c>
      <c r="J38" s="375">
        <f t="shared" si="0"/>
        <v>1</v>
      </c>
      <c r="K38" s="363">
        <f t="shared" si="1"/>
        <v>3</v>
      </c>
      <c r="L38" s="363">
        <f t="shared" si="2"/>
        <v>0</v>
      </c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392"/>
      <c r="V38" s="392"/>
      <c r="W38" s="392"/>
      <c r="Y38" s="109">
        <f t="shared" si="8"/>
        <v>0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0</v>
      </c>
      <c r="AG38" s="108">
        <f t="shared" si="3"/>
        <v>0</v>
      </c>
      <c r="AH38" s="108">
        <f t="shared" si="4"/>
        <v>0</v>
      </c>
      <c r="AI38" s="108">
        <f t="shared" si="10"/>
        <v>0</v>
      </c>
      <c r="AJ38" s="108">
        <f t="shared" si="5"/>
        <v>0</v>
      </c>
      <c r="AK38" s="108">
        <f t="shared" si="6"/>
        <v>0</v>
      </c>
      <c r="AL38" s="108">
        <f t="shared" si="7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0</v>
      </c>
      <c r="H39" s="379" t="s">
        <v>9</v>
      </c>
      <c r="I39" s="442">
        <v>1</v>
      </c>
      <c r="J39" s="381">
        <f t="shared" si="0"/>
        <v>2</v>
      </c>
      <c r="K39" s="363">
        <f t="shared" si="1"/>
        <v>0</v>
      </c>
      <c r="L39" s="363">
        <f t="shared" si="2"/>
        <v>3</v>
      </c>
      <c r="O39" s="394" t="s">
        <v>29</v>
      </c>
      <c r="P39" s="395">
        <f>SUMIF($D$8:$D$55,$O39,$G$8:$G$55)+SUMIF($F$8:$F$55,$O39,$I$8:$I$55)</f>
        <v>6</v>
      </c>
      <c r="Q39" s="395">
        <f>SUMIF($D$8:$D$55,$O39,$I$8:$I$55)+SUMIF($F$8:$F$55,$O39,$G$8:$G$55)</f>
        <v>0</v>
      </c>
      <c r="R39" s="396">
        <f>P39-Q39</f>
        <v>6</v>
      </c>
      <c r="S39" s="397">
        <f>SUMIF($D$8:$D$55,$O39,$K$8:$K$55)+SUMIF($F$8:$F$55,$O39,$L$8:$L$55)</f>
        <v>9</v>
      </c>
      <c r="T39" s="444" t="s">
        <v>72</v>
      </c>
      <c r="U39" s="392"/>
      <c r="V39" s="392" t="str">
        <f>O39</f>
        <v>Argentinië</v>
      </c>
      <c r="W39" s="392" t="s">
        <v>72</v>
      </c>
      <c r="Y39" s="109">
        <f t="shared" si="8"/>
        <v>0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0</v>
      </c>
      <c r="AG39" s="108">
        <f t="shared" si="3"/>
        <v>0</v>
      </c>
      <c r="AH39" s="108">
        <f t="shared" si="4"/>
        <v>0</v>
      </c>
      <c r="AI39" s="108">
        <f t="shared" si="10"/>
        <v>0</v>
      </c>
      <c r="AJ39" s="108">
        <f t="shared" si="5"/>
        <v>0</v>
      </c>
      <c r="AK39" s="108">
        <f t="shared" si="6"/>
        <v>0</v>
      </c>
      <c r="AL39" s="108">
        <f t="shared" si="7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0</v>
      </c>
      <c r="H40" s="367" t="s">
        <v>9</v>
      </c>
      <c r="I40" s="440">
        <v>2</v>
      </c>
      <c r="J40" s="369">
        <f t="shared" si="0"/>
        <v>2</v>
      </c>
      <c r="K40" s="363">
        <f t="shared" si="1"/>
        <v>0</v>
      </c>
      <c r="L40" s="363">
        <f t="shared" si="2"/>
        <v>3</v>
      </c>
      <c r="O40" s="398" t="s">
        <v>30</v>
      </c>
      <c r="P40" s="399">
        <f>SUMIF($D$8:$D$55,$O40,$G$8:$G$55)+SUMIF($F$8:$F$55,$O40,$I$8:$I$55)</f>
        <v>1</v>
      </c>
      <c r="Q40" s="399">
        <f>SUMIF($D$8:$D$55,$O40,$I$8:$I$55)+SUMIF($F$8:$F$55,$O40,$G$8:$G$55)</f>
        <v>3</v>
      </c>
      <c r="R40" s="399">
        <f>P40-Q40</f>
        <v>-2</v>
      </c>
      <c r="S40" s="400">
        <f>SUMIF($D$8:$D$55,$O40,$K$8:$K$55)+SUMIF($F$8:$F$55,$O40,$L$8:$L$55)</f>
        <v>2</v>
      </c>
      <c r="T40" s="445" t="s">
        <v>74</v>
      </c>
      <c r="U40" s="392"/>
      <c r="V40" s="392" t="str">
        <f>O40</f>
        <v>Bosnië H.</v>
      </c>
      <c r="W40" s="392" t="s">
        <v>73</v>
      </c>
      <c r="Y40" s="109">
        <f t="shared" si="8"/>
        <v>6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6</v>
      </c>
      <c r="AG40" s="108">
        <f t="shared" si="3"/>
        <v>1</v>
      </c>
      <c r="AH40" s="108">
        <f t="shared" si="4"/>
        <v>0</v>
      </c>
      <c r="AI40" s="108">
        <f t="shared" si="10"/>
        <v>0</v>
      </c>
      <c r="AJ40" s="108">
        <f t="shared" si="5"/>
        <v>0</v>
      </c>
      <c r="AK40" s="108">
        <f t="shared" si="6"/>
        <v>5</v>
      </c>
      <c r="AL40" s="108">
        <f t="shared" si="7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1</v>
      </c>
      <c r="H41" s="373" t="s">
        <v>9</v>
      </c>
      <c r="I41" s="441">
        <v>0</v>
      </c>
      <c r="J41" s="375">
        <f t="shared" si="0"/>
        <v>1</v>
      </c>
      <c r="K41" s="363">
        <f t="shared" si="1"/>
        <v>3</v>
      </c>
      <c r="L41" s="363">
        <f t="shared" si="2"/>
        <v>0</v>
      </c>
      <c r="O41" s="398" t="s">
        <v>33</v>
      </c>
      <c r="P41" s="399">
        <f>SUMIF($D$8:$D$55,$O41,$G$8:$G$55)+SUMIF($F$8:$F$55,$O41,$I$8:$I$55)</f>
        <v>1</v>
      </c>
      <c r="Q41" s="399">
        <f>SUMIF($D$8:$D$55,$O41,$I$8:$I$55)+SUMIF($F$8:$F$55,$O41,$G$8:$G$55)</f>
        <v>4</v>
      </c>
      <c r="R41" s="399">
        <f>P41-Q41</f>
        <v>-3</v>
      </c>
      <c r="S41" s="400">
        <f>SUMIF($D$8:$D$55,$O41,$K$8:$K$55)+SUMIF($F$8:$F$55,$O41,$L$8:$L$55)</f>
        <v>1</v>
      </c>
      <c r="T41" s="445" t="s">
        <v>75</v>
      </c>
      <c r="U41" s="392"/>
      <c r="V41" s="392" t="str">
        <f>O41</f>
        <v>Iran</v>
      </c>
      <c r="W41" s="392" t="s">
        <v>74</v>
      </c>
      <c r="Y41" s="109">
        <f t="shared" si="8"/>
        <v>6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6</v>
      </c>
      <c r="AG41" s="108">
        <f t="shared" si="3"/>
        <v>0</v>
      </c>
      <c r="AH41" s="108">
        <f t="shared" si="4"/>
        <v>1</v>
      </c>
      <c r="AI41" s="108">
        <f t="shared" si="10"/>
        <v>0</v>
      </c>
      <c r="AJ41" s="108">
        <f t="shared" si="5"/>
        <v>5</v>
      </c>
      <c r="AK41" s="108">
        <f t="shared" si="6"/>
        <v>0</v>
      </c>
      <c r="AL41" s="108">
        <f t="shared" si="7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0</v>
      </c>
      <c r="H42" s="373" t="s">
        <v>9</v>
      </c>
      <c r="I42" s="441">
        <v>2</v>
      </c>
      <c r="J42" s="375">
        <f t="shared" si="0"/>
        <v>2</v>
      </c>
      <c r="K42" s="363">
        <f t="shared" si="1"/>
        <v>0</v>
      </c>
      <c r="L42" s="363">
        <f t="shared" si="2"/>
        <v>3</v>
      </c>
      <c r="O42" s="401" t="s">
        <v>34</v>
      </c>
      <c r="P42" s="402">
        <f>SUMIF($D$8:$D$55,$O42,$G$8:$G$55)+SUMIF($F$8:$F$55,$O42,$I$8:$I$55)</f>
        <v>1</v>
      </c>
      <c r="Q42" s="402">
        <f>SUMIF($D$8:$D$55,$O42,$I$8:$I$55)+SUMIF($F$8:$F$55,$O42,$G$8:$G$55)</f>
        <v>2</v>
      </c>
      <c r="R42" s="402">
        <f>P42-Q42</f>
        <v>-1</v>
      </c>
      <c r="S42" s="403">
        <f>SUMIF($D$8:$D$55,$O42,$K$8:$K$55)+SUMIF($F$8:$F$55,$O42,$L$8:$L$55)</f>
        <v>4</v>
      </c>
      <c r="T42" s="446" t="s">
        <v>73</v>
      </c>
      <c r="U42" s="392"/>
      <c r="V42" s="392" t="str">
        <f>O42</f>
        <v>Nigeria</v>
      </c>
      <c r="W42" s="392" t="s">
        <v>75</v>
      </c>
      <c r="Y42" s="109">
        <f t="shared" si="8"/>
        <v>5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5</v>
      </c>
      <c r="AG42" s="108">
        <f t="shared" si="3"/>
        <v>0</v>
      </c>
      <c r="AH42" s="108">
        <f t="shared" si="4"/>
        <v>0</v>
      </c>
      <c r="AI42" s="108">
        <f t="shared" si="10"/>
        <v>0</v>
      </c>
      <c r="AJ42" s="108">
        <f t="shared" si="5"/>
        <v>0</v>
      </c>
      <c r="AK42" s="108">
        <f t="shared" si="6"/>
        <v>5</v>
      </c>
      <c r="AL42" s="108">
        <f t="shared" si="7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0</v>
      </c>
      <c r="H43" s="379" t="s">
        <v>9</v>
      </c>
      <c r="I43" s="442">
        <v>1</v>
      </c>
      <c r="J43" s="381">
        <f t="shared" si="0"/>
        <v>2</v>
      </c>
      <c r="K43" s="363">
        <f t="shared" si="1"/>
        <v>0</v>
      </c>
      <c r="L43" s="363">
        <f t="shared" si="2"/>
        <v>3</v>
      </c>
      <c r="O43" s="392"/>
      <c r="P43" s="393"/>
      <c r="Q43" s="393"/>
      <c r="R43" s="393"/>
      <c r="S43" s="393"/>
      <c r="T43" s="393"/>
      <c r="U43" s="392"/>
      <c r="V43" s="392"/>
      <c r="W43" s="392"/>
      <c r="Y43" s="109">
        <f t="shared" si="8"/>
        <v>5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5</v>
      </c>
      <c r="AG43" s="108">
        <f t="shared" si="3"/>
        <v>0</v>
      </c>
      <c r="AH43" s="108">
        <f t="shared" si="4"/>
        <v>0</v>
      </c>
      <c r="AI43" s="108">
        <f t="shared" si="10"/>
        <v>0</v>
      </c>
      <c r="AJ43" s="108">
        <f t="shared" si="5"/>
        <v>0</v>
      </c>
      <c r="AK43" s="108">
        <f t="shared" si="6"/>
        <v>5</v>
      </c>
      <c r="AL43" s="108">
        <f t="shared" si="7"/>
        <v>0</v>
      </c>
      <c r="AN43" s="392"/>
      <c r="AO43" s="393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1</v>
      </c>
      <c r="H44" s="367" t="s">
        <v>9</v>
      </c>
      <c r="I44" s="440">
        <v>0</v>
      </c>
      <c r="J44" s="369">
        <f t="shared" si="0"/>
        <v>1</v>
      </c>
      <c r="K44" s="363">
        <f t="shared" si="1"/>
        <v>3</v>
      </c>
      <c r="L44" s="363">
        <f t="shared" si="2"/>
        <v>0</v>
      </c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392"/>
      <c r="V44" s="392"/>
      <c r="W44" s="392"/>
      <c r="Y44" s="109">
        <f t="shared" si="8"/>
        <v>0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0</v>
      </c>
      <c r="AG44" s="108">
        <f t="shared" si="3"/>
        <v>0</v>
      </c>
      <c r="AH44" s="108">
        <f t="shared" si="4"/>
        <v>0</v>
      </c>
      <c r="AI44" s="108">
        <f t="shared" si="10"/>
        <v>0</v>
      </c>
      <c r="AJ44" s="108">
        <f t="shared" si="5"/>
        <v>0</v>
      </c>
      <c r="AK44" s="108">
        <f t="shared" si="6"/>
        <v>0</v>
      </c>
      <c r="AL44" s="108">
        <f t="shared" si="7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0</v>
      </c>
      <c r="H45" s="373" t="s">
        <v>9</v>
      </c>
      <c r="I45" s="441">
        <v>1</v>
      </c>
      <c r="J45" s="375">
        <f t="shared" si="0"/>
        <v>2</v>
      </c>
      <c r="K45" s="363">
        <f t="shared" si="1"/>
        <v>0</v>
      </c>
      <c r="L45" s="363">
        <f t="shared" si="2"/>
        <v>3</v>
      </c>
      <c r="O45" s="394" t="s">
        <v>31</v>
      </c>
      <c r="P45" s="395">
        <f>SUMIF($D$8:$D$55,$O45,$G$8:$G$55)+SUMIF($F$8:$F$55,$O45,$I$8:$I$55)</f>
        <v>3</v>
      </c>
      <c r="Q45" s="395">
        <f>SUMIF($D$8:$D$55,$O45,$I$8:$I$55)+SUMIF($F$8:$F$55,$O45,$G$8:$G$55)</f>
        <v>0</v>
      </c>
      <c r="R45" s="396">
        <f>P45-Q45</f>
        <v>3</v>
      </c>
      <c r="S45" s="397">
        <f>SUMIF($D$8:$D$55,$O45,$K$8:$K$55)+SUMIF($F$8:$F$55,$O45,$L$8:$L$55)</f>
        <v>9</v>
      </c>
      <c r="T45" s="444" t="s">
        <v>77</v>
      </c>
      <c r="U45" s="392"/>
      <c r="V45" s="392" t="str">
        <f>O45</f>
        <v>Duitsland</v>
      </c>
      <c r="W45" s="392" t="s">
        <v>77</v>
      </c>
      <c r="Y45" s="109">
        <f t="shared" si="8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1</v>
      </c>
      <c r="AG45" s="108">
        <f t="shared" si="3"/>
        <v>1</v>
      </c>
      <c r="AH45" s="108">
        <f t="shared" si="4"/>
        <v>0</v>
      </c>
      <c r="AI45" s="108">
        <f t="shared" si="10"/>
        <v>0</v>
      </c>
      <c r="AJ45" s="108">
        <f t="shared" si="5"/>
        <v>0</v>
      </c>
      <c r="AK45" s="108">
        <f t="shared" si="6"/>
        <v>0</v>
      </c>
      <c r="AL45" s="108">
        <f t="shared" si="7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1</v>
      </c>
      <c r="H46" s="373" t="s">
        <v>9</v>
      </c>
      <c r="I46" s="441">
        <v>1</v>
      </c>
      <c r="J46" s="375">
        <f t="shared" si="0"/>
        <v>3</v>
      </c>
      <c r="K46" s="363">
        <f t="shared" si="1"/>
        <v>1</v>
      </c>
      <c r="L46" s="363">
        <f t="shared" si="2"/>
        <v>1</v>
      </c>
      <c r="O46" s="398" t="s">
        <v>32</v>
      </c>
      <c r="P46" s="399">
        <f>SUMIF($D$8:$D$55,$O46,$G$8:$G$55)+SUMIF($F$8:$F$55,$O46,$I$8:$I$55)</f>
        <v>3</v>
      </c>
      <c r="Q46" s="399">
        <f>SUMIF($D$8:$D$55,$O46,$I$8:$I$55)+SUMIF($F$8:$F$55,$O46,$G$8:$G$55)</f>
        <v>1</v>
      </c>
      <c r="R46" s="399">
        <f>P46-Q46</f>
        <v>2</v>
      </c>
      <c r="S46" s="400">
        <f>SUMIF($D$8:$D$55,$O46,$K$8:$K$55)+SUMIF($F$8:$F$55,$O46,$L$8:$L$55)</f>
        <v>6</v>
      </c>
      <c r="T46" s="445" t="s">
        <v>78</v>
      </c>
      <c r="U46" s="392"/>
      <c r="V46" s="392" t="str">
        <f>O46</f>
        <v>Portugal</v>
      </c>
      <c r="W46" s="392" t="s">
        <v>78</v>
      </c>
      <c r="Y46" s="109">
        <f t="shared" si="8"/>
        <v>1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1</v>
      </c>
      <c r="AG46" s="108">
        <f t="shared" si="3"/>
        <v>1</v>
      </c>
      <c r="AH46" s="108">
        <f t="shared" si="4"/>
        <v>0</v>
      </c>
      <c r="AI46" s="108">
        <f t="shared" si="10"/>
        <v>0</v>
      </c>
      <c r="AJ46" s="108">
        <f t="shared" si="5"/>
        <v>0</v>
      </c>
      <c r="AK46" s="108">
        <f t="shared" si="6"/>
        <v>0</v>
      </c>
      <c r="AL46" s="108">
        <f t="shared" si="7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1</v>
      </c>
      <c r="H47" s="379" t="s">
        <v>9</v>
      </c>
      <c r="I47" s="442">
        <v>0</v>
      </c>
      <c r="J47" s="381">
        <f t="shared" si="0"/>
        <v>1</v>
      </c>
      <c r="K47" s="363">
        <f t="shared" si="1"/>
        <v>3</v>
      </c>
      <c r="L47" s="363">
        <f t="shared" si="2"/>
        <v>0</v>
      </c>
      <c r="O47" s="398" t="s">
        <v>35</v>
      </c>
      <c r="P47" s="399">
        <f>SUMIF($D$8:$D$55,$O47,$G$8:$G$55)+SUMIF($F$8:$F$55,$O47,$I$8:$I$55)</f>
        <v>0</v>
      </c>
      <c r="Q47" s="399">
        <f>SUMIF($D$8:$D$55,$O47,$I$8:$I$55)+SUMIF($F$8:$F$55,$O47,$G$8:$G$55)</f>
        <v>4</v>
      </c>
      <c r="R47" s="399">
        <f>P47-Q47</f>
        <v>-4</v>
      </c>
      <c r="S47" s="400">
        <f>SUMIF($D$8:$D$55,$O47,$K$8:$K$55)+SUMIF($F$8:$F$55,$O47,$L$8:$L$55)</f>
        <v>0</v>
      </c>
      <c r="T47" s="445" t="s">
        <v>80</v>
      </c>
      <c r="U47" s="392"/>
      <c r="V47" s="392" t="str">
        <f>O47</f>
        <v>Ghana</v>
      </c>
      <c r="W47" s="392" t="s">
        <v>79</v>
      </c>
      <c r="Y47" s="109">
        <f t="shared" si="8"/>
        <v>5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5</v>
      </c>
      <c r="AG47" s="108">
        <f t="shared" si="3"/>
        <v>0</v>
      </c>
      <c r="AH47" s="108">
        <f t="shared" si="4"/>
        <v>0</v>
      </c>
      <c r="AI47" s="108">
        <f t="shared" si="10"/>
        <v>0</v>
      </c>
      <c r="AJ47" s="108">
        <f t="shared" si="5"/>
        <v>5</v>
      </c>
      <c r="AK47" s="108">
        <f t="shared" si="6"/>
        <v>0</v>
      </c>
      <c r="AL47" s="108">
        <f t="shared" si="7"/>
        <v>0</v>
      </c>
      <c r="AM47" s="120">
        <f>AO47</f>
        <v>10</v>
      </c>
      <c r="AN47" s="117" t="s">
        <v>35</v>
      </c>
      <c r="AO47" s="115">
        <f>IF(Uitslag!T47="",0,IF(T47=Uitslag!T47,10,0))</f>
        <v>10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0</v>
      </c>
      <c r="H48" s="367" t="s">
        <v>9</v>
      </c>
      <c r="I48" s="440">
        <v>2</v>
      </c>
      <c r="J48" s="369">
        <f t="shared" si="0"/>
        <v>2</v>
      </c>
      <c r="K48" s="363">
        <f t="shared" si="1"/>
        <v>0</v>
      </c>
      <c r="L48" s="363">
        <f t="shared" si="2"/>
        <v>3</v>
      </c>
      <c r="O48" s="401" t="s">
        <v>36</v>
      </c>
      <c r="P48" s="402">
        <f>SUMIF($D$8:$D$55,$O48,$G$8:$G$55)+SUMIF($F$8:$F$55,$O48,$I$8:$I$55)</f>
        <v>1</v>
      </c>
      <c r="Q48" s="402">
        <f>SUMIF($D$8:$D$55,$O48,$I$8:$I$55)+SUMIF($F$8:$F$55,$O48,$G$8:$G$55)</f>
        <v>2</v>
      </c>
      <c r="R48" s="402">
        <f>P48-Q48</f>
        <v>-1</v>
      </c>
      <c r="S48" s="403">
        <f>SUMIF($D$8:$D$55,$O48,$K$8:$K$55)+SUMIF($F$8:$F$55,$O48,$L$8:$L$55)</f>
        <v>3</v>
      </c>
      <c r="T48" s="446" t="s">
        <v>79</v>
      </c>
      <c r="U48" s="392"/>
      <c r="V48" s="392" t="str">
        <f>O48</f>
        <v>Verenigde Staten</v>
      </c>
      <c r="W48" s="392" t="s">
        <v>80</v>
      </c>
      <c r="Y48" s="109">
        <f t="shared" si="8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5</v>
      </c>
      <c r="AG48" s="108">
        <f t="shared" si="3"/>
        <v>0</v>
      </c>
      <c r="AH48" s="108">
        <f t="shared" si="4"/>
        <v>0</v>
      </c>
      <c r="AI48" s="108">
        <f t="shared" si="10"/>
        <v>0</v>
      </c>
      <c r="AJ48" s="108">
        <f t="shared" si="5"/>
        <v>0</v>
      </c>
      <c r="AK48" s="108">
        <f t="shared" si="6"/>
        <v>5</v>
      </c>
      <c r="AL48" s="108">
        <f t="shared" si="7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1</v>
      </c>
      <c r="H49" s="373" t="s">
        <v>9</v>
      </c>
      <c r="I49" s="441">
        <v>1</v>
      </c>
      <c r="J49" s="375">
        <f t="shared" si="0"/>
        <v>3</v>
      </c>
      <c r="K49" s="363">
        <f t="shared" si="1"/>
        <v>1</v>
      </c>
      <c r="L49" s="363">
        <f t="shared" si="2"/>
        <v>1</v>
      </c>
      <c r="O49" s="392"/>
      <c r="P49" s="393"/>
      <c r="Q49" s="393"/>
      <c r="R49" s="393"/>
      <c r="S49" s="393"/>
      <c r="T49" s="393"/>
      <c r="U49" s="392"/>
      <c r="V49" s="392"/>
      <c r="W49" s="392"/>
      <c r="Y49" s="109">
        <f t="shared" si="8"/>
        <v>1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1</v>
      </c>
      <c r="AG49" s="108">
        <f t="shared" si="3"/>
        <v>0</v>
      </c>
      <c r="AH49" s="108">
        <f t="shared" si="4"/>
        <v>1</v>
      </c>
      <c r="AI49" s="108">
        <f t="shared" si="10"/>
        <v>0</v>
      </c>
      <c r="AJ49" s="108">
        <f t="shared" si="5"/>
        <v>0</v>
      </c>
      <c r="AK49" s="108">
        <f t="shared" si="6"/>
        <v>0</v>
      </c>
      <c r="AL49" s="108">
        <f t="shared" si="7"/>
        <v>0</v>
      </c>
      <c r="AN49" s="392"/>
      <c r="AO49" s="393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0</v>
      </c>
      <c r="H50" s="373" t="s">
        <v>9</v>
      </c>
      <c r="I50" s="441">
        <v>1</v>
      </c>
      <c r="J50" s="375">
        <f t="shared" si="0"/>
        <v>2</v>
      </c>
      <c r="K50" s="363">
        <f t="shared" si="1"/>
        <v>0</v>
      </c>
      <c r="L50" s="363">
        <f t="shared" si="2"/>
        <v>3</v>
      </c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392"/>
      <c r="V50" s="392"/>
      <c r="W50" s="392"/>
      <c r="Y50" s="109">
        <f t="shared" si="8"/>
        <v>6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6</v>
      </c>
      <c r="AG50" s="108">
        <f t="shared" si="3"/>
        <v>1</v>
      </c>
      <c r="AH50" s="108">
        <f t="shared" si="4"/>
        <v>0</v>
      </c>
      <c r="AI50" s="108">
        <f t="shared" si="10"/>
        <v>0</v>
      </c>
      <c r="AJ50" s="108">
        <f t="shared" si="5"/>
        <v>0</v>
      </c>
      <c r="AK50" s="108">
        <f t="shared" si="6"/>
        <v>5</v>
      </c>
      <c r="AL50" s="108">
        <f t="shared" si="7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0</v>
      </c>
      <c r="H51" s="379" t="s">
        <v>9</v>
      </c>
      <c r="I51" s="442">
        <v>1</v>
      </c>
      <c r="J51" s="381">
        <f t="shared" si="0"/>
        <v>2</v>
      </c>
      <c r="K51" s="363">
        <f t="shared" si="1"/>
        <v>0</v>
      </c>
      <c r="L51" s="363">
        <f t="shared" si="2"/>
        <v>3</v>
      </c>
      <c r="O51" s="394" t="s">
        <v>37</v>
      </c>
      <c r="P51" s="395">
        <f>SUMIF($D$8:$D$55,$O51,$G$8:$G$55)+SUMIF($F$8:$F$55,$O51,$I$8:$I$55)</f>
        <v>3</v>
      </c>
      <c r="Q51" s="395">
        <f>SUMIF($D$8:$D$55,$O51,$I$8:$I$55)+SUMIF($F$8:$F$55,$O51,$G$8:$G$55)</f>
        <v>1</v>
      </c>
      <c r="R51" s="396">
        <f>P51-Q51</f>
        <v>2</v>
      </c>
      <c r="S51" s="397">
        <f>SUMIF($D$8:$D$55,$O51,$K$8:$K$55)+SUMIF($F$8:$F$55,$O51,$L$8:$L$55)</f>
        <v>7</v>
      </c>
      <c r="T51" s="444" t="s">
        <v>82</v>
      </c>
      <c r="U51" s="392"/>
      <c r="V51" s="392" t="str">
        <f>O51</f>
        <v>België</v>
      </c>
      <c r="W51" s="392" t="s">
        <v>82</v>
      </c>
      <c r="Y51" s="109">
        <f t="shared" si="8"/>
        <v>1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1</v>
      </c>
      <c r="AG51" s="108">
        <f t="shared" si="3"/>
        <v>1</v>
      </c>
      <c r="AH51" s="108">
        <f t="shared" si="4"/>
        <v>0</v>
      </c>
      <c r="AI51" s="108">
        <f t="shared" si="10"/>
        <v>0</v>
      </c>
      <c r="AJ51" s="108">
        <f t="shared" si="5"/>
        <v>0</v>
      </c>
      <c r="AK51" s="108">
        <f t="shared" si="6"/>
        <v>0</v>
      </c>
      <c r="AL51" s="108">
        <f t="shared" si="7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0</v>
      </c>
      <c r="H52" s="373" t="s">
        <v>9</v>
      </c>
      <c r="I52" s="441">
        <v>1</v>
      </c>
      <c r="J52" s="369">
        <f t="shared" si="0"/>
        <v>2</v>
      </c>
      <c r="K52" s="363">
        <f t="shared" si="1"/>
        <v>0</v>
      </c>
      <c r="L52" s="363">
        <f t="shared" si="2"/>
        <v>3</v>
      </c>
      <c r="O52" s="398" t="s">
        <v>38</v>
      </c>
      <c r="P52" s="399">
        <f>SUMIF($D$8:$D$55,$O52,$G$8:$G$55)+SUMIF($F$8:$F$55,$O52,$I$8:$I$55)</f>
        <v>0</v>
      </c>
      <c r="Q52" s="399">
        <f>SUMIF($D$8:$D$55,$O52,$I$8:$I$55)+SUMIF($F$8:$F$55,$O52,$G$8:$G$55)</f>
        <v>3</v>
      </c>
      <c r="R52" s="399">
        <f>P52-Q52</f>
        <v>-3</v>
      </c>
      <c r="S52" s="400">
        <f>SUMIF($D$8:$D$55,$O52,$K$8:$K$55)+SUMIF($F$8:$F$55,$O52,$L$8:$L$55)</f>
        <v>0</v>
      </c>
      <c r="T52" s="445" t="s">
        <v>85</v>
      </c>
      <c r="U52" s="392"/>
      <c r="V52" s="392" t="str">
        <f>O52</f>
        <v>Algerije</v>
      </c>
      <c r="W52" s="392" t="s">
        <v>83</v>
      </c>
      <c r="Y52" s="109">
        <f t="shared" si="8"/>
        <v>10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10</v>
      </c>
      <c r="AG52" s="108">
        <f t="shared" si="3"/>
        <v>1</v>
      </c>
      <c r="AH52" s="108">
        <f t="shared" si="4"/>
        <v>1</v>
      </c>
      <c r="AI52" s="108">
        <f t="shared" si="10"/>
        <v>10</v>
      </c>
      <c r="AJ52" s="108">
        <f t="shared" si="5"/>
        <v>0</v>
      </c>
      <c r="AK52" s="108">
        <f t="shared" si="6"/>
        <v>5</v>
      </c>
      <c r="AL52" s="108">
        <f t="shared" si="7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2</v>
      </c>
      <c r="H53" s="373" t="s">
        <v>9</v>
      </c>
      <c r="I53" s="441">
        <v>0</v>
      </c>
      <c r="J53" s="375">
        <f t="shared" si="0"/>
        <v>1</v>
      </c>
      <c r="K53" s="363">
        <f t="shared" si="1"/>
        <v>3</v>
      </c>
      <c r="L53" s="363">
        <f t="shared" si="2"/>
        <v>0</v>
      </c>
      <c r="O53" s="398" t="s">
        <v>39</v>
      </c>
      <c r="P53" s="399">
        <f>SUMIF($D$8:$D$55,$O53,$G$8:$G$55)+SUMIF($F$8:$F$55,$O53,$I$8:$I$55)</f>
        <v>3</v>
      </c>
      <c r="Q53" s="399">
        <f>SUMIF($D$8:$D$55,$O53,$I$8:$I$55)+SUMIF($F$8:$F$55,$O53,$G$8:$G$55)</f>
        <v>2</v>
      </c>
      <c r="R53" s="399">
        <f>P53-Q53</f>
        <v>1</v>
      </c>
      <c r="S53" s="400">
        <f>SUMIF($D$8:$D$55,$O53,$K$8:$K$55)+SUMIF($F$8:$F$55,$O53,$L$8:$L$55)</f>
        <v>5</v>
      </c>
      <c r="T53" s="445" t="s">
        <v>83</v>
      </c>
      <c r="U53" s="392"/>
      <c r="V53" s="392" t="str">
        <f>O53</f>
        <v>Rusland</v>
      </c>
      <c r="W53" s="392" t="s">
        <v>84</v>
      </c>
      <c r="Y53" s="109">
        <f t="shared" si="8"/>
        <v>6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6</v>
      </c>
      <c r="AG53" s="108">
        <f t="shared" si="3"/>
        <v>1</v>
      </c>
      <c r="AH53" s="108">
        <f t="shared" si="4"/>
        <v>0</v>
      </c>
      <c r="AI53" s="108">
        <f t="shared" si="10"/>
        <v>0</v>
      </c>
      <c r="AJ53" s="108">
        <f t="shared" si="5"/>
        <v>5</v>
      </c>
      <c r="AK53" s="108">
        <f t="shared" si="6"/>
        <v>0</v>
      </c>
      <c r="AL53" s="108">
        <f t="shared" si="7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0</v>
      </c>
      <c r="H54" s="373" t="s">
        <v>9</v>
      </c>
      <c r="I54" s="441">
        <v>1</v>
      </c>
      <c r="J54" s="375">
        <f t="shared" si="0"/>
        <v>2</v>
      </c>
      <c r="K54" s="363">
        <f t="shared" si="1"/>
        <v>0</v>
      </c>
      <c r="L54" s="363">
        <f t="shared" si="2"/>
        <v>3</v>
      </c>
      <c r="O54" s="401" t="s">
        <v>40</v>
      </c>
      <c r="P54" s="402">
        <f>SUMIF($D$8:$D$55,$O54,$G$8:$G$55)+SUMIF($F$8:$F$55,$O54,$I$8:$I$55)</f>
        <v>2</v>
      </c>
      <c r="Q54" s="402">
        <f>SUMIF($D$8:$D$55,$O54,$I$8:$I$55)+SUMIF($F$8:$F$55,$O54,$G$8:$G$55)</f>
        <v>2</v>
      </c>
      <c r="R54" s="402">
        <f>P54-Q54</f>
        <v>0</v>
      </c>
      <c r="S54" s="403">
        <f>SUMIF($D$8:$D$55,$O54,$K$8:$K$55)+SUMIF($F$8:$F$55,$O54,$L$8:$L$55)</f>
        <v>4</v>
      </c>
      <c r="T54" s="446" t="s">
        <v>84</v>
      </c>
      <c r="U54" s="392"/>
      <c r="V54" s="392" t="str">
        <f>O54</f>
        <v>Zuid Korea</v>
      </c>
      <c r="W54" s="392" t="s">
        <v>85</v>
      </c>
      <c r="Y54" s="109">
        <f t="shared" si="8"/>
        <v>10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10</v>
      </c>
      <c r="AG54" s="108">
        <f t="shared" si="3"/>
        <v>1</v>
      </c>
      <c r="AH54" s="108">
        <f t="shared" si="4"/>
        <v>1</v>
      </c>
      <c r="AI54" s="108">
        <f t="shared" si="10"/>
        <v>10</v>
      </c>
      <c r="AJ54" s="108">
        <f t="shared" si="5"/>
        <v>0</v>
      </c>
      <c r="AK54" s="108">
        <f t="shared" si="6"/>
        <v>5</v>
      </c>
      <c r="AL54" s="108">
        <f t="shared" si="7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0</v>
      </c>
      <c r="H55" s="388" t="s">
        <v>9</v>
      </c>
      <c r="I55" s="443">
        <v>1</v>
      </c>
      <c r="J55" s="390">
        <f t="shared" si="0"/>
        <v>2</v>
      </c>
      <c r="K55" s="363">
        <f t="shared" si="1"/>
        <v>0</v>
      </c>
      <c r="L55" s="363">
        <f t="shared" si="2"/>
        <v>3</v>
      </c>
      <c r="O55" s="392"/>
      <c r="P55" s="393"/>
      <c r="Q55" s="393"/>
      <c r="R55" s="393"/>
      <c r="S55" s="393"/>
      <c r="T55" s="393"/>
      <c r="U55" s="392"/>
      <c r="V55" s="392"/>
      <c r="W55" s="392"/>
      <c r="Y55" s="109">
        <f t="shared" si="8"/>
        <v>1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</v>
      </c>
      <c r="AG55" s="108">
        <f t="shared" si="3"/>
        <v>0</v>
      </c>
      <c r="AH55" s="108">
        <f t="shared" si="4"/>
        <v>1</v>
      </c>
      <c r="AI55" s="108">
        <f t="shared" si="10"/>
        <v>0</v>
      </c>
      <c r="AJ55" s="108">
        <f t="shared" si="5"/>
        <v>0</v>
      </c>
      <c r="AK55" s="108">
        <f t="shared" si="6"/>
        <v>0</v>
      </c>
      <c r="AL55" s="108">
        <f t="shared" si="7"/>
        <v>0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79"/>
      <c r="K57" s="353"/>
      <c r="L57" s="353"/>
      <c r="M57" s="353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77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O58" s="458">
        <v>1</v>
      </c>
      <c r="P58" s="877" t="s">
        <v>215</v>
      </c>
      <c r="Q58" s="877"/>
      <c r="R58" s="877"/>
      <c r="S58" s="877"/>
      <c r="T58" s="878"/>
      <c r="V58" s="352" t="s">
        <v>132</v>
      </c>
      <c r="W58" s="352" t="s">
        <v>124</v>
      </c>
      <c r="X58" s="352" t="str">
        <f t="shared" ref="X58:X98" si="11">CONCATENATE(W58," ",V58)</f>
        <v>Jeroen Zoet (k)</v>
      </c>
      <c r="Y58" s="113" t="s">
        <v>91</v>
      </c>
      <c r="Z58" s="352" t="str">
        <f>IF(K58=""," ",VLOOKUP(K58,$T$9:$V$54,3,FALSE))</f>
        <v xml:space="preserve"> </v>
      </c>
      <c r="AA58" s="352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 t="shared" ref="D59:D66" si="13">IF(ISERROR(Z59),K59,Z59)</f>
        <v>Brazilië</v>
      </c>
      <c r="E59" s="367" t="s">
        <v>9</v>
      </c>
      <c r="F59" s="406" t="str">
        <f t="shared" ref="F59:F66" si="14">IF(ISERROR(AA59),L59,AA59)</f>
        <v>Nederland</v>
      </c>
      <c r="G59" s="435">
        <v>2</v>
      </c>
      <c r="H59" s="367" t="s">
        <v>9</v>
      </c>
      <c r="I59" s="447">
        <v>0</v>
      </c>
      <c r="J59" s="448">
        <v>1</v>
      </c>
      <c r="K59" s="407" t="s">
        <v>48</v>
      </c>
      <c r="L59" s="407" t="s">
        <v>53</v>
      </c>
      <c r="M59" s="407">
        <v>1</v>
      </c>
      <c r="O59" s="458">
        <v>2</v>
      </c>
      <c r="P59" s="877" t="s">
        <v>216</v>
      </c>
      <c r="Q59" s="877"/>
      <c r="R59" s="877"/>
      <c r="S59" s="877"/>
      <c r="T59" s="878"/>
      <c r="V59" s="352" t="s">
        <v>132</v>
      </c>
      <c r="W59" s="352" t="s">
        <v>111</v>
      </c>
      <c r="X59" s="352" t="str">
        <f t="shared" si="11"/>
        <v>Jasper Cillessen (k)</v>
      </c>
      <c r="Y59" s="109">
        <f t="shared" ref="Y59:Y66" si="15">AF59</f>
        <v>0</v>
      </c>
      <c r="Z59" s="352" t="str">
        <f t="shared" ref="Z59:AA65" si="16">IF(K59=""," ",VLOOKUP(K59,$T$9:$V$54,3,FALSE))</f>
        <v>Brazilië</v>
      </c>
      <c r="AA59" s="352" t="str">
        <f t="shared" si="16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7">IF(OR(AC59="",AD59=""),0,(IF(SUM(AG59:AL59)&gt;10,10,SUM(AG59:AL59))))</f>
        <v>0</v>
      </c>
      <c r="AG59" s="108">
        <f t="shared" ref="AG59:AG66" si="18">IF(AC59="",0,(IF(G59=AC59,1,0)))</f>
        <v>0</v>
      </c>
      <c r="AH59" s="108">
        <f t="shared" ref="AH59:AH66" si="19">IF(AD59="",0,(IF(I59=AD59,1,0)))</f>
        <v>0</v>
      </c>
      <c r="AI59" s="108">
        <f t="shared" ref="AI59:AI66" si="20">IF(AND(AG59=1,AH59=1),10,0)</f>
        <v>0</v>
      </c>
      <c r="AJ59" s="108">
        <f t="shared" ref="AJ59:AJ66" si="21">IF(AND(G59&gt;I59,AC59&gt;AD59),5,0)</f>
        <v>0</v>
      </c>
      <c r="AK59" s="108">
        <f t="shared" ref="AK59:AK66" si="22">IF(AND(G59&lt;I59,AC59&lt;AD59),5,0)</f>
        <v>0</v>
      </c>
      <c r="AL59" s="108">
        <f t="shared" ref="AL59:AL66" si="23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4">BA59</f>
        <v>3</v>
      </c>
    </row>
    <row r="60" spans="2:54">
      <c r="B60" s="376">
        <v>50</v>
      </c>
      <c r="C60" s="466">
        <v>41818</v>
      </c>
      <c r="D60" s="460" t="str">
        <f t="shared" si="13"/>
        <v>Colombia</v>
      </c>
      <c r="E60" s="379" t="s">
        <v>9</v>
      </c>
      <c r="F60" s="409" t="str">
        <f t="shared" si="14"/>
        <v>Engeland</v>
      </c>
      <c r="G60" s="437">
        <v>1</v>
      </c>
      <c r="H60" s="379" t="s">
        <v>9</v>
      </c>
      <c r="I60" s="449">
        <v>1</v>
      </c>
      <c r="J60" s="450">
        <v>2</v>
      </c>
      <c r="K60" s="407" t="s">
        <v>57</v>
      </c>
      <c r="L60" s="407" t="s">
        <v>63</v>
      </c>
      <c r="M60" s="407">
        <v>2</v>
      </c>
      <c r="O60" s="458">
        <v>3</v>
      </c>
      <c r="P60" s="877" t="s">
        <v>213</v>
      </c>
      <c r="Q60" s="877"/>
      <c r="R60" s="877"/>
      <c r="S60" s="877"/>
      <c r="T60" s="878"/>
      <c r="V60" s="352" t="s">
        <v>132</v>
      </c>
      <c r="W60" s="352" t="s">
        <v>110</v>
      </c>
      <c r="X60" s="352" t="str">
        <f t="shared" si="11"/>
        <v>Kenneth Vermeer (k)</v>
      </c>
      <c r="Y60" s="109">
        <f t="shared" si="15"/>
        <v>0</v>
      </c>
      <c r="Z60" s="352" t="str">
        <f t="shared" si="16"/>
        <v>Colombia</v>
      </c>
      <c r="AA60" s="352" t="str">
        <f t="shared" si="16"/>
        <v>Engeland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7"/>
        <v>0</v>
      </c>
      <c r="AG60" s="108">
        <f t="shared" si="18"/>
        <v>0</v>
      </c>
      <c r="AH60" s="108">
        <f t="shared" si="19"/>
        <v>0</v>
      </c>
      <c r="AI60" s="108">
        <f t="shared" si="20"/>
        <v>0</v>
      </c>
      <c r="AJ60" s="108">
        <f t="shared" si="21"/>
        <v>0</v>
      </c>
      <c r="AK60" s="108">
        <f t="shared" si="22"/>
        <v>0</v>
      </c>
      <c r="AL60" s="108">
        <f t="shared" si="23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4"/>
        <v>3</v>
      </c>
    </row>
    <row r="61" spans="2:54">
      <c r="B61" s="364">
        <v>51</v>
      </c>
      <c r="C61" s="465">
        <v>41819</v>
      </c>
      <c r="D61" s="464" t="str">
        <f t="shared" si="13"/>
        <v>Spanje</v>
      </c>
      <c r="E61" s="367" t="s">
        <v>9</v>
      </c>
      <c r="F61" s="406" t="str">
        <f t="shared" si="14"/>
        <v>Mexico</v>
      </c>
      <c r="G61" s="435">
        <v>2</v>
      </c>
      <c r="H61" s="367" t="s">
        <v>9</v>
      </c>
      <c r="I61" s="447">
        <v>0</v>
      </c>
      <c r="J61" s="448">
        <v>1</v>
      </c>
      <c r="K61" s="407" t="s">
        <v>52</v>
      </c>
      <c r="L61" s="407" t="s">
        <v>49</v>
      </c>
      <c r="M61" s="407"/>
      <c r="O61" s="458">
        <v>4</v>
      </c>
      <c r="P61" s="877" t="s">
        <v>212</v>
      </c>
      <c r="Q61" s="877"/>
      <c r="R61" s="877"/>
      <c r="S61" s="877"/>
      <c r="T61" s="878"/>
      <c r="V61" s="352" t="s">
        <v>132</v>
      </c>
      <c r="W61" s="352" t="s">
        <v>191</v>
      </c>
      <c r="X61" s="352" t="str">
        <f t="shared" si="11"/>
        <v>Tim Krul (k)</v>
      </c>
      <c r="Y61" s="109">
        <f t="shared" si="15"/>
        <v>6</v>
      </c>
      <c r="Z61" s="352" t="str">
        <f t="shared" si="16"/>
        <v>Spanje</v>
      </c>
      <c r="AA61" s="352" t="str">
        <f t="shared" si="16"/>
        <v>Mexico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7"/>
        <v>6</v>
      </c>
      <c r="AG61" s="108">
        <f t="shared" si="18"/>
        <v>1</v>
      </c>
      <c r="AH61" s="108">
        <f t="shared" si="19"/>
        <v>0</v>
      </c>
      <c r="AI61" s="108">
        <f t="shared" si="20"/>
        <v>0</v>
      </c>
      <c r="AJ61" s="108">
        <f t="shared" si="21"/>
        <v>5</v>
      </c>
      <c r="AK61" s="108">
        <f t="shared" si="22"/>
        <v>0</v>
      </c>
      <c r="AL61" s="108">
        <f t="shared" si="23"/>
        <v>0</v>
      </c>
      <c r="AZ61" s="138" t="str">
        <f>Uitslag!P61</f>
        <v>Ron Vlaar (v)</v>
      </c>
      <c r="BA61" s="140">
        <f t="shared" si="12"/>
        <v>3</v>
      </c>
      <c r="BB61" s="139">
        <f t="shared" si="24"/>
        <v>3</v>
      </c>
    </row>
    <row r="62" spans="2:54">
      <c r="B62" s="376">
        <v>52</v>
      </c>
      <c r="C62" s="466">
        <v>41819</v>
      </c>
      <c r="D62" s="464" t="str">
        <f t="shared" si="13"/>
        <v>Italië</v>
      </c>
      <c r="E62" s="379" t="s">
        <v>9</v>
      </c>
      <c r="F62" s="409" t="str">
        <f t="shared" si="14"/>
        <v>Griekenland</v>
      </c>
      <c r="G62" s="437">
        <v>1</v>
      </c>
      <c r="H62" s="379" t="s">
        <v>9</v>
      </c>
      <c r="I62" s="449">
        <v>0</v>
      </c>
      <c r="J62" s="450">
        <v>1</v>
      </c>
      <c r="K62" s="407" t="s">
        <v>62</v>
      </c>
      <c r="L62" s="407" t="s">
        <v>58</v>
      </c>
      <c r="M62" s="407"/>
      <c r="O62" s="458">
        <v>5</v>
      </c>
      <c r="P62" s="877" t="s">
        <v>221</v>
      </c>
      <c r="Q62" s="877"/>
      <c r="R62" s="877"/>
      <c r="S62" s="877"/>
      <c r="T62" s="878"/>
      <c r="V62" s="352" t="s">
        <v>132</v>
      </c>
      <c r="W62" s="352" t="s">
        <v>192</v>
      </c>
      <c r="X62" s="352" t="str">
        <f t="shared" si="11"/>
        <v>Maarten Stekelenburg (k)</v>
      </c>
      <c r="Y62" s="109">
        <f t="shared" si="15"/>
        <v>1</v>
      </c>
      <c r="Z62" s="352" t="str">
        <f t="shared" si="16"/>
        <v>Italië</v>
      </c>
      <c r="AA62" s="352" t="str">
        <f t="shared" si="16"/>
        <v>Griekenland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7"/>
        <v>1</v>
      </c>
      <c r="AG62" s="108">
        <f t="shared" si="18"/>
        <v>1</v>
      </c>
      <c r="AH62" s="108">
        <f t="shared" si="19"/>
        <v>0</v>
      </c>
      <c r="AI62" s="108">
        <f t="shared" si="20"/>
        <v>0</v>
      </c>
      <c r="AJ62" s="108">
        <f t="shared" si="21"/>
        <v>0</v>
      </c>
      <c r="AK62" s="108">
        <f t="shared" si="22"/>
        <v>0</v>
      </c>
      <c r="AL62" s="108">
        <f t="shared" si="23"/>
        <v>0</v>
      </c>
      <c r="AZ62" s="138" t="str">
        <f>Uitslag!P62</f>
        <v>Bruno Martins Indi (v)</v>
      </c>
      <c r="BA62" s="140">
        <f t="shared" si="12"/>
        <v>0</v>
      </c>
      <c r="BB62" s="139">
        <f t="shared" si="24"/>
        <v>0</v>
      </c>
    </row>
    <row r="63" spans="2:54">
      <c r="B63" s="364">
        <v>53</v>
      </c>
      <c r="C63" s="465">
        <v>41820</v>
      </c>
      <c r="D63" s="459" t="str">
        <f t="shared" si="13"/>
        <v>Frankrijk</v>
      </c>
      <c r="E63" s="367" t="s">
        <v>9</v>
      </c>
      <c r="F63" s="406" t="str">
        <f t="shared" si="14"/>
        <v>Nigeria</v>
      </c>
      <c r="G63" s="435">
        <v>2</v>
      </c>
      <c r="H63" s="367" t="s">
        <v>9</v>
      </c>
      <c r="I63" s="447">
        <v>0</v>
      </c>
      <c r="J63" s="448">
        <v>1</v>
      </c>
      <c r="K63" s="407" t="s">
        <v>67</v>
      </c>
      <c r="L63" s="407" t="s">
        <v>73</v>
      </c>
      <c r="M63" s="407"/>
      <c r="O63" s="458">
        <v>6</v>
      </c>
      <c r="P63" s="877" t="s">
        <v>220</v>
      </c>
      <c r="Q63" s="877"/>
      <c r="R63" s="877"/>
      <c r="S63" s="877"/>
      <c r="T63" s="878"/>
      <c r="V63" s="352" t="s">
        <v>132</v>
      </c>
      <c r="W63" s="352" t="s">
        <v>193</v>
      </c>
      <c r="X63" s="352" t="str">
        <f t="shared" si="11"/>
        <v>Michel Vorm (k)</v>
      </c>
      <c r="Y63" s="109">
        <f t="shared" si="15"/>
        <v>10</v>
      </c>
      <c r="Z63" s="352" t="str">
        <f t="shared" si="16"/>
        <v>Frankrijk</v>
      </c>
      <c r="AA63" s="352" t="str">
        <f t="shared" si="16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7"/>
        <v>10</v>
      </c>
      <c r="AG63" s="108">
        <f t="shared" si="18"/>
        <v>1</v>
      </c>
      <c r="AH63" s="108">
        <f t="shared" si="19"/>
        <v>1</v>
      </c>
      <c r="AI63" s="108">
        <f t="shared" si="20"/>
        <v>10</v>
      </c>
      <c r="AJ63" s="108">
        <f t="shared" si="21"/>
        <v>5</v>
      </c>
      <c r="AK63" s="108">
        <f t="shared" si="22"/>
        <v>0</v>
      </c>
      <c r="AL63" s="108">
        <f t="shared" si="23"/>
        <v>0</v>
      </c>
      <c r="AZ63" s="138" t="str">
        <f>Uitslag!P63</f>
        <v>Daley Blind (v)</v>
      </c>
      <c r="BA63" s="140">
        <f t="shared" si="12"/>
        <v>3</v>
      </c>
      <c r="BB63" s="139">
        <f t="shared" si="24"/>
        <v>3</v>
      </c>
    </row>
    <row r="64" spans="2:54">
      <c r="B64" s="376">
        <v>54</v>
      </c>
      <c r="C64" s="466">
        <v>41820</v>
      </c>
      <c r="D64" s="460" t="str">
        <f t="shared" si="13"/>
        <v>Duitsland</v>
      </c>
      <c r="E64" s="379" t="s">
        <v>9</v>
      </c>
      <c r="F64" s="409" t="str">
        <f t="shared" si="14"/>
        <v>Rusland</v>
      </c>
      <c r="G64" s="437">
        <v>2</v>
      </c>
      <c r="H64" s="379" t="s">
        <v>9</v>
      </c>
      <c r="I64" s="449">
        <v>0</v>
      </c>
      <c r="J64" s="450">
        <v>1</v>
      </c>
      <c r="K64" s="407" t="s">
        <v>77</v>
      </c>
      <c r="L64" s="407" t="s">
        <v>83</v>
      </c>
      <c r="M64" s="407"/>
      <c r="O64" s="458">
        <v>7</v>
      </c>
      <c r="P64" s="877" t="s">
        <v>225</v>
      </c>
      <c r="Q64" s="877"/>
      <c r="R64" s="877"/>
      <c r="S64" s="877"/>
      <c r="T64" s="878"/>
      <c r="V64" s="352" t="s">
        <v>133</v>
      </c>
      <c r="W64" s="352" t="s">
        <v>112</v>
      </c>
      <c r="X64" s="352" t="str">
        <f t="shared" si="11"/>
        <v>Joël Veltman (v)</v>
      </c>
      <c r="Y64" s="109">
        <f t="shared" si="15"/>
        <v>1</v>
      </c>
      <c r="Z64" s="352" t="str">
        <f t="shared" si="16"/>
        <v>Duitsland</v>
      </c>
      <c r="AA64" s="352" t="str">
        <f t="shared" si="16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7"/>
        <v>1</v>
      </c>
      <c r="AG64" s="108">
        <f t="shared" si="18"/>
        <v>0</v>
      </c>
      <c r="AH64" s="108">
        <f t="shared" si="19"/>
        <v>1</v>
      </c>
      <c r="AI64" s="108">
        <f t="shared" si="20"/>
        <v>0</v>
      </c>
      <c r="AJ64" s="108">
        <f t="shared" si="21"/>
        <v>0</v>
      </c>
      <c r="AK64" s="108">
        <f t="shared" si="22"/>
        <v>0</v>
      </c>
      <c r="AL64" s="108">
        <f t="shared" si="23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4"/>
        <v>3</v>
      </c>
    </row>
    <row r="65" spans="2:54">
      <c r="B65" s="370">
        <v>55</v>
      </c>
      <c r="C65" s="467">
        <v>41821</v>
      </c>
      <c r="D65" s="459" t="str">
        <f t="shared" si="13"/>
        <v>Argentinië</v>
      </c>
      <c r="E65" s="373" t="s">
        <v>9</v>
      </c>
      <c r="F65" s="410" t="str">
        <f t="shared" si="14"/>
        <v>Zwitserland</v>
      </c>
      <c r="G65" s="436">
        <v>1</v>
      </c>
      <c r="H65" s="373" t="s">
        <v>9</v>
      </c>
      <c r="I65" s="451">
        <v>0</v>
      </c>
      <c r="J65" s="452">
        <v>1</v>
      </c>
      <c r="K65" s="407" t="s">
        <v>72</v>
      </c>
      <c r="L65" s="407" t="s">
        <v>68</v>
      </c>
      <c r="M65" s="407"/>
      <c r="O65" s="458">
        <v>8</v>
      </c>
      <c r="P65" s="877" t="s">
        <v>209</v>
      </c>
      <c r="Q65" s="877"/>
      <c r="R65" s="877"/>
      <c r="S65" s="877"/>
      <c r="T65" s="878"/>
      <c r="V65" s="352" t="s">
        <v>133</v>
      </c>
      <c r="W65" s="352" t="s">
        <v>109</v>
      </c>
      <c r="X65" s="352" t="str">
        <f t="shared" si="11"/>
        <v>Daley Blind (v)</v>
      </c>
      <c r="Y65" s="109">
        <f t="shared" si="15"/>
        <v>1</v>
      </c>
      <c r="Z65" s="352" t="str">
        <f t="shared" si="16"/>
        <v>Argentinië</v>
      </c>
      <c r="AA65" s="352" t="str">
        <f t="shared" si="16"/>
        <v>Zwitserland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7"/>
        <v>1</v>
      </c>
      <c r="AG65" s="108">
        <f t="shared" si="18"/>
        <v>0</v>
      </c>
      <c r="AH65" s="108">
        <f t="shared" si="19"/>
        <v>1</v>
      </c>
      <c r="AI65" s="108">
        <f t="shared" si="20"/>
        <v>0</v>
      </c>
      <c r="AJ65" s="108">
        <f t="shared" si="21"/>
        <v>0</v>
      </c>
      <c r="AK65" s="108">
        <f t="shared" si="22"/>
        <v>0</v>
      </c>
      <c r="AL65" s="108">
        <f t="shared" si="23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4"/>
        <v>3</v>
      </c>
    </row>
    <row r="66" spans="2:54" ht="15.75" thickBot="1">
      <c r="B66" s="385">
        <v>56</v>
      </c>
      <c r="C66" s="462">
        <v>41821</v>
      </c>
      <c r="D66" s="461" t="str">
        <f t="shared" si="13"/>
        <v>België</v>
      </c>
      <c r="E66" s="388" t="s">
        <v>9</v>
      </c>
      <c r="F66" s="412" t="str">
        <f t="shared" si="14"/>
        <v>Portugal</v>
      </c>
      <c r="G66" s="438">
        <v>1</v>
      </c>
      <c r="H66" s="388" t="s">
        <v>9</v>
      </c>
      <c r="I66" s="453">
        <v>1</v>
      </c>
      <c r="J66" s="454">
        <v>2</v>
      </c>
      <c r="K66" s="407" t="s">
        <v>82</v>
      </c>
      <c r="L66" s="407" t="s">
        <v>78</v>
      </c>
      <c r="M66" s="407"/>
      <c r="O66" s="458">
        <v>9</v>
      </c>
      <c r="P66" s="877" t="s">
        <v>224</v>
      </c>
      <c r="Q66" s="877"/>
      <c r="R66" s="877"/>
      <c r="S66" s="877"/>
      <c r="T66" s="878"/>
      <c r="V66" s="352" t="s">
        <v>133</v>
      </c>
      <c r="W66" s="352" t="s">
        <v>115</v>
      </c>
      <c r="X66" s="352" t="str">
        <f t="shared" si="11"/>
        <v>Daryl Janmaat (v)</v>
      </c>
      <c r="Y66" s="109">
        <f t="shared" si="15"/>
        <v>5</v>
      </c>
      <c r="Z66" s="352" t="str">
        <f>IF(K66=""," ",VLOOKUP(K66,$T$9:$V$54,3,FALSE))</f>
        <v>België</v>
      </c>
      <c r="AA66" s="352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7"/>
        <v>5</v>
      </c>
      <c r="AG66" s="108">
        <f t="shared" si="18"/>
        <v>0</v>
      </c>
      <c r="AH66" s="108">
        <f t="shared" si="19"/>
        <v>0</v>
      </c>
      <c r="AI66" s="108">
        <f t="shared" si="20"/>
        <v>0</v>
      </c>
      <c r="AJ66" s="108">
        <f t="shared" si="21"/>
        <v>0</v>
      </c>
      <c r="AK66" s="108">
        <f t="shared" si="22"/>
        <v>0</v>
      </c>
      <c r="AL66" s="108">
        <f t="shared" si="23"/>
        <v>5</v>
      </c>
      <c r="AZ66" s="138" t="str">
        <f>Uitslag!P66</f>
        <v>Jonathan de Guzman (m)</v>
      </c>
      <c r="BA66" s="140">
        <f t="shared" si="12"/>
        <v>3</v>
      </c>
      <c r="BB66" s="139">
        <f t="shared" si="24"/>
        <v>3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O67" s="458">
        <v>10</v>
      </c>
      <c r="P67" s="877" t="s">
        <v>211</v>
      </c>
      <c r="Q67" s="877"/>
      <c r="R67" s="877"/>
      <c r="S67" s="877"/>
      <c r="T67" s="878"/>
      <c r="V67" s="352" t="s">
        <v>133</v>
      </c>
      <c r="W67" s="352" t="s">
        <v>118</v>
      </c>
      <c r="X67" s="352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4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79"/>
      <c r="K68" s="353"/>
      <c r="L68" s="353"/>
      <c r="M68" s="353"/>
      <c r="O68" s="458">
        <v>11</v>
      </c>
      <c r="P68" s="877" t="s">
        <v>214</v>
      </c>
      <c r="Q68" s="877"/>
      <c r="R68" s="877"/>
      <c r="S68" s="877"/>
      <c r="T68" s="878"/>
      <c r="V68" s="352" t="s">
        <v>133</v>
      </c>
      <c r="W68" s="352" t="s">
        <v>119</v>
      </c>
      <c r="X68" s="352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4"/>
        <v>3</v>
      </c>
    </row>
    <row r="69" spans="2:54">
      <c r="B69" s="428" t="s">
        <v>1</v>
      </c>
      <c r="C69" s="429" t="s">
        <v>2</v>
      </c>
      <c r="D69" s="476" t="s">
        <v>3</v>
      </c>
      <c r="E69" s="431"/>
      <c r="F69" s="477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V69" s="352" t="s">
        <v>133</v>
      </c>
      <c r="W69" s="352" t="s">
        <v>121</v>
      </c>
      <c r="X69" s="352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30</v>
      </c>
      <c r="BB69" s="139" t="str">
        <f>IF(AND(BA69&lt;&gt;"",BA69=33),15,"nvt")</f>
        <v>nvt</v>
      </c>
    </row>
    <row r="70" spans="2:54">
      <c r="B70" s="364">
        <v>57</v>
      </c>
      <c r="C70" s="365">
        <v>41824</v>
      </c>
      <c r="D70" s="405" t="str">
        <f>IF(J63="","Winnaar 53",IF(J63=1,D63,F63))</f>
        <v>Frankrijk</v>
      </c>
      <c r="E70" s="367" t="s">
        <v>9</v>
      </c>
      <c r="F70" s="406" t="str">
        <f>IF(J64="","Winnaar 54",IF(J64=1,D64,F64))</f>
        <v>Duitsland</v>
      </c>
      <c r="G70" s="435">
        <v>1</v>
      </c>
      <c r="H70" s="367" t="s">
        <v>9</v>
      </c>
      <c r="I70" s="447">
        <v>1</v>
      </c>
      <c r="J70" s="448">
        <v>2</v>
      </c>
      <c r="K70" s="353"/>
      <c r="L70" s="353"/>
      <c r="M70" s="353"/>
      <c r="V70" s="352" t="s">
        <v>133</v>
      </c>
      <c r="W70" s="352" t="s">
        <v>126</v>
      </c>
      <c r="X70" s="352" t="str">
        <f t="shared" si="11"/>
        <v>Karim Rekik (v)</v>
      </c>
      <c r="Y70" s="109">
        <f>AF70</f>
        <v>1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1</v>
      </c>
      <c r="AG70" s="108">
        <f>IF(AC70="",0,(IF(G70=AC70,1,0)))</f>
        <v>0</v>
      </c>
      <c r="AH70" s="108">
        <f>IF(AD70="",0,(IF(I70=AD70,1,0)))</f>
        <v>1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0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Brazilië</v>
      </c>
      <c r="E71" s="379" t="s">
        <v>9</v>
      </c>
      <c r="F71" s="409" t="str">
        <f>IF(J60="","Winnaar 50",IF(J60=1,D60,F60))</f>
        <v>Engeland</v>
      </c>
      <c r="G71" s="437">
        <v>1</v>
      </c>
      <c r="H71" s="379" t="s">
        <v>9</v>
      </c>
      <c r="I71" s="449">
        <v>0</v>
      </c>
      <c r="J71" s="450">
        <v>1</v>
      </c>
      <c r="K71" s="353"/>
      <c r="L71" s="353"/>
      <c r="M71" s="353"/>
      <c r="V71" s="352" t="s">
        <v>133</v>
      </c>
      <c r="W71" s="352" t="s">
        <v>194</v>
      </c>
      <c r="X71" s="352" t="str">
        <f t="shared" si="11"/>
        <v>Ron Vlaar (v)</v>
      </c>
      <c r="Y71" s="109">
        <f>AF71</f>
        <v>5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5</v>
      </c>
      <c r="AG71" s="108">
        <f>IF(AC71="",0,(IF(G71=AC71,1,0)))</f>
        <v>0</v>
      </c>
      <c r="AH71" s="108">
        <f>IF(AD71="",0,(IF(I71=AD71,1,0)))</f>
        <v>0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Argentinië</v>
      </c>
      <c r="E72" s="367" t="s">
        <v>9</v>
      </c>
      <c r="F72" s="406" t="str">
        <f>IF(J66="","Winnaar 56",IF(J66=1,D66,F66))</f>
        <v>Portugal</v>
      </c>
      <c r="G72" s="435">
        <v>1</v>
      </c>
      <c r="H72" s="367" t="s">
        <v>9</v>
      </c>
      <c r="I72" s="447">
        <v>0</v>
      </c>
      <c r="J72" s="448">
        <v>1</v>
      </c>
      <c r="K72" s="353"/>
      <c r="L72" s="353"/>
      <c r="M72" s="353"/>
      <c r="V72" s="352" t="s">
        <v>133</v>
      </c>
      <c r="W72" s="352" t="s">
        <v>195</v>
      </c>
      <c r="X72" s="352" t="str">
        <f t="shared" si="11"/>
        <v>John Heitinga (v)</v>
      </c>
      <c r="Y72" s="109">
        <f>AF72</f>
        <v>10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10</v>
      </c>
      <c r="AG72" s="108">
        <f>IF(AC72="",0,(IF(G72=AC72,1,0)))</f>
        <v>1</v>
      </c>
      <c r="AH72" s="108">
        <f>IF(AD72="",0,(IF(I72=AD72,1,0)))</f>
        <v>1</v>
      </c>
      <c r="AI72" s="108">
        <f>IF(AND(AG72=1,AH72=1),10,0)</f>
        <v>10</v>
      </c>
      <c r="AJ72" s="108">
        <f>IF(AND(G72&gt;I72,AC72&gt;AD72),5,0)</f>
        <v>5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Spanje</v>
      </c>
      <c r="E73" s="388" t="s">
        <v>9</v>
      </c>
      <c r="F73" s="412" t="str">
        <f>IF(J62="","Winnaar 52",IF(J62=1,D62,F62))</f>
        <v>Italië</v>
      </c>
      <c r="G73" s="438">
        <v>2</v>
      </c>
      <c r="H73" s="388" t="s">
        <v>9</v>
      </c>
      <c r="I73" s="453">
        <v>0</v>
      </c>
      <c r="J73" s="454">
        <v>1</v>
      </c>
      <c r="K73" s="353"/>
      <c r="L73" s="353"/>
      <c r="M73" s="353"/>
      <c r="V73" s="352" t="s">
        <v>133</v>
      </c>
      <c r="W73" s="352" t="s">
        <v>196</v>
      </c>
      <c r="X73" s="352" t="str">
        <f t="shared" si="11"/>
        <v>Urby Emanuelson (v)</v>
      </c>
      <c r="Y73" s="109">
        <f>AF73</f>
        <v>1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1</v>
      </c>
      <c r="AG73" s="108">
        <f>IF(AC73="",0,(IF(G73=AC73,1,0)))</f>
        <v>0</v>
      </c>
      <c r="AH73" s="108">
        <f>IF(AD73="",0,(IF(I73=AD73,1,0)))</f>
        <v>1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V74" s="352" t="s">
        <v>133</v>
      </c>
      <c r="W74" s="352" t="s">
        <v>197</v>
      </c>
      <c r="X74" s="352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79"/>
      <c r="K75" s="353"/>
      <c r="L75" s="353"/>
      <c r="M75" s="353"/>
      <c r="V75" s="352" t="s">
        <v>133</v>
      </c>
      <c r="W75" s="352" t="s">
        <v>198</v>
      </c>
      <c r="X75" s="352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76" t="s">
        <v>3</v>
      </c>
      <c r="E76" s="431"/>
      <c r="F76" s="477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V76" s="352" t="s">
        <v>133</v>
      </c>
      <c r="W76" s="352" t="s">
        <v>202</v>
      </c>
      <c r="X76" s="352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Duitsland</v>
      </c>
      <c r="E77" s="367" t="s">
        <v>9</v>
      </c>
      <c r="F77" s="406" t="str">
        <f>IF(J71="","Winnaar 58",IF(J71=1,D71,F71))</f>
        <v>Brazilië</v>
      </c>
      <c r="G77" s="435">
        <v>1</v>
      </c>
      <c r="H77" s="367" t="s">
        <v>9</v>
      </c>
      <c r="I77" s="447">
        <v>1</v>
      </c>
      <c r="J77" s="448">
        <v>2</v>
      </c>
      <c r="K77" s="353"/>
      <c r="L77" s="353"/>
      <c r="M77" s="353"/>
      <c r="V77" s="352" t="s">
        <v>134</v>
      </c>
      <c r="W77" s="352" t="s">
        <v>203</v>
      </c>
      <c r="X77" s="352" t="str">
        <f t="shared" si="11"/>
        <v>Marco van Ginkel (m)</v>
      </c>
      <c r="Y77" s="109">
        <f>AF77</f>
        <v>1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1</v>
      </c>
      <c r="AG77" s="108">
        <f>IF(AC77="",0,(IF(G77=AC77,1,0)))</f>
        <v>0</v>
      </c>
      <c r="AH77" s="108">
        <f>IF(AD77="",0,(IF(I77=AD77,1,0)))</f>
        <v>1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Argentinië</v>
      </c>
      <c r="E78" s="388" t="s">
        <v>9</v>
      </c>
      <c r="F78" s="412" t="str">
        <f>IF(J73="","Winnaar 60",IF(J73=1,D73,F73))</f>
        <v>Spanje</v>
      </c>
      <c r="G78" s="438">
        <v>1</v>
      </c>
      <c r="H78" s="388" t="s">
        <v>9</v>
      </c>
      <c r="I78" s="453">
        <v>1</v>
      </c>
      <c r="J78" s="454">
        <v>2</v>
      </c>
      <c r="K78" s="353"/>
      <c r="L78" s="353"/>
      <c r="M78" s="353"/>
      <c r="V78" s="352" t="s">
        <v>134</v>
      </c>
      <c r="W78" s="352" t="s">
        <v>199</v>
      </c>
      <c r="X78" s="352" t="str">
        <f t="shared" si="11"/>
        <v>Leroy Fer (m)</v>
      </c>
      <c r="Y78" s="109">
        <f>AF78</f>
        <v>5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5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5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V79" s="352" t="s">
        <v>134</v>
      </c>
      <c r="W79" s="352" t="s">
        <v>114</v>
      </c>
      <c r="X79" s="352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79"/>
      <c r="K80" s="353"/>
      <c r="L80" s="353"/>
      <c r="M80" s="353"/>
      <c r="V80" s="352" t="s">
        <v>134</v>
      </c>
      <c r="W80" s="352" t="s">
        <v>117</v>
      </c>
      <c r="X80" s="352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76" t="s">
        <v>3</v>
      </c>
      <c r="E81" s="431"/>
      <c r="F81" s="477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V81" s="352" t="s">
        <v>134</v>
      </c>
      <c r="W81" s="352" t="s">
        <v>120</v>
      </c>
      <c r="X81" s="352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Duitsland</v>
      </c>
      <c r="E82" s="355" t="s">
        <v>9</v>
      </c>
      <c r="F82" s="415" t="str">
        <f>IF(J78="","Verliezer 62",IF(J78=1,F78,D78))</f>
        <v>Argentinië</v>
      </c>
      <c r="G82" s="455">
        <v>0</v>
      </c>
      <c r="H82" s="355" t="s">
        <v>9</v>
      </c>
      <c r="I82" s="456">
        <v>1</v>
      </c>
      <c r="J82" s="457">
        <v>2</v>
      </c>
      <c r="K82" s="353"/>
      <c r="L82" s="353"/>
      <c r="M82" s="353"/>
      <c r="V82" s="352" t="s">
        <v>134</v>
      </c>
      <c r="W82" s="352" t="s">
        <v>125</v>
      </c>
      <c r="X82" s="352" t="str">
        <f t="shared" si="11"/>
        <v>Georginio Wijnaldum (m)</v>
      </c>
      <c r="Y82" s="109">
        <f>AF82</f>
        <v>6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6</v>
      </c>
      <c r="AG82" s="108">
        <f>IF(AC82="",0,(IF(G82=AC82,1,0)))</f>
        <v>1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5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V83" s="352" t="s">
        <v>134</v>
      </c>
      <c r="W83" s="352" t="s">
        <v>136</v>
      </c>
      <c r="X83" s="352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79"/>
      <c r="K84" s="353"/>
      <c r="L84" s="353"/>
      <c r="M84" s="353"/>
      <c r="V84" s="352" t="s">
        <v>134</v>
      </c>
      <c r="W84" s="352" t="s">
        <v>137</v>
      </c>
      <c r="X84" s="352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76" t="s">
        <v>3</v>
      </c>
      <c r="E85" s="431"/>
      <c r="F85" s="477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V85" s="352" t="s">
        <v>134</v>
      </c>
      <c r="W85" s="352" t="s">
        <v>138</v>
      </c>
      <c r="X85" s="352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Brazilië</v>
      </c>
      <c r="E86" s="355" t="s">
        <v>9</v>
      </c>
      <c r="F86" s="415" t="str">
        <f>IF(J78="","Winnaar 62",IF(J78=1,D78,F78))</f>
        <v>Spanje</v>
      </c>
      <c r="G86" s="455">
        <v>1</v>
      </c>
      <c r="H86" s="355" t="s">
        <v>9</v>
      </c>
      <c r="I86" s="456">
        <v>1</v>
      </c>
      <c r="J86" s="457">
        <v>1</v>
      </c>
      <c r="K86" s="353"/>
      <c r="L86" s="353"/>
      <c r="M86" s="353"/>
      <c r="V86" s="352" t="s">
        <v>134</v>
      </c>
      <c r="W86" s="352" t="s">
        <v>139</v>
      </c>
      <c r="X86" s="352" t="str">
        <f t="shared" si="11"/>
        <v>Nigel de Jong (m)</v>
      </c>
      <c r="Y86" s="109">
        <f>AF86</f>
        <v>5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5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5</v>
      </c>
    </row>
    <row r="87" spans="2:50">
      <c r="B87" s="353"/>
      <c r="C87" s="129"/>
      <c r="D87" s="392"/>
      <c r="E87" s="353"/>
      <c r="F87" s="392"/>
      <c r="G87" s="353"/>
      <c r="H87" s="353"/>
      <c r="I87" s="353"/>
      <c r="J87" s="353"/>
      <c r="K87" s="353"/>
      <c r="L87" s="353"/>
      <c r="M87" s="353"/>
      <c r="V87" s="352" t="s">
        <v>135</v>
      </c>
      <c r="W87" s="352" t="s">
        <v>205</v>
      </c>
      <c r="X87" s="352" t="str">
        <f t="shared" si="11"/>
        <v>Ricky van Wolfswinkel (a)</v>
      </c>
      <c r="AP87" s="136" t="s">
        <v>102</v>
      </c>
    </row>
    <row r="88" spans="2:50">
      <c r="B88" s="353"/>
      <c r="C88" s="129"/>
      <c r="D88" s="392"/>
      <c r="E88" s="353"/>
      <c r="F88" s="392"/>
      <c r="G88" s="353"/>
      <c r="H88" s="353"/>
      <c r="I88" s="353"/>
      <c r="J88" s="353"/>
      <c r="K88" s="353"/>
      <c r="L88" s="353"/>
      <c r="M88" s="353"/>
      <c r="V88" s="352" t="s">
        <v>135</v>
      </c>
      <c r="W88" s="352" t="s">
        <v>204</v>
      </c>
      <c r="X88" s="352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458"/>
    </row>
    <row r="89" spans="2:50" ht="20.25">
      <c r="C89" s="874" t="s">
        <v>101</v>
      </c>
      <c r="D89" s="871"/>
      <c r="E89" s="873" t="str">
        <f>IF(J86=1,D86,IF(J86=2,F86,"Wie zal het worden?"))</f>
        <v>Brazilië</v>
      </c>
      <c r="F89" s="873"/>
      <c r="G89" s="873"/>
      <c r="H89" s="873"/>
      <c r="I89" s="873"/>
      <c r="J89" s="873"/>
      <c r="K89" s="353"/>
      <c r="L89" s="353"/>
      <c r="M89" s="353"/>
      <c r="V89" s="352" t="s">
        <v>135</v>
      </c>
      <c r="W89" s="352" t="s">
        <v>201</v>
      </c>
      <c r="X89" s="352" t="str">
        <f t="shared" si="11"/>
        <v>Jermain Lens (a)</v>
      </c>
      <c r="AP89" s="109">
        <f>AU89</f>
        <v>5</v>
      </c>
      <c r="AQ89" s="131">
        <v>1</v>
      </c>
      <c r="AR89" s="904" t="str">
        <f>Uitslag!E89</f>
        <v>Duitsland</v>
      </c>
      <c r="AS89" s="905"/>
      <c r="AT89" s="906"/>
      <c r="AU89" s="352">
        <f>SUM(AV89:AX89)</f>
        <v>5</v>
      </c>
      <c r="AV89" s="352">
        <f>IF(AR89=0,0,IF(E89=AR89,50,0))</f>
        <v>0</v>
      </c>
      <c r="AW89" s="352">
        <f>IF(E89=0,0,IF(OR(E89=AR90),15,0))</f>
        <v>0</v>
      </c>
      <c r="AX89" s="352">
        <f>IF(E89=0,0,IF(OR(E89=AR91,E89=AR92),5,0))</f>
        <v>5</v>
      </c>
    </row>
    <row r="90" spans="2:50">
      <c r="C90" s="870">
        <v>2</v>
      </c>
      <c r="D90" s="871"/>
      <c r="E90" s="872" t="str">
        <f>IF(J86=2,D86,IF(J86=1,F86,"Wie wordt 2de?"))</f>
        <v>Spanje</v>
      </c>
      <c r="F90" s="872"/>
      <c r="G90" s="872"/>
      <c r="H90" s="872"/>
      <c r="I90" s="872"/>
      <c r="J90" s="872"/>
      <c r="V90" s="352" t="s">
        <v>135</v>
      </c>
      <c r="W90" s="352" t="s">
        <v>200</v>
      </c>
      <c r="X90" s="352" t="str">
        <f t="shared" si="11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 s="352">
        <f>SUM(AV90:AX90)</f>
        <v>0</v>
      </c>
      <c r="AV90" s="352">
        <f>IF(AR90=0,0,IF(AR90=E90,25,0))</f>
        <v>0</v>
      </c>
      <c r="AW90" s="352">
        <f>IF(E90=0,0,IF(OR(E90=AR89,),15,0))</f>
        <v>0</v>
      </c>
      <c r="AX90" s="352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Argentinië</v>
      </c>
      <c r="F91" s="872"/>
      <c r="G91" s="872"/>
      <c r="H91" s="872"/>
      <c r="I91" s="872"/>
      <c r="J91" s="872"/>
      <c r="V91" s="352" t="s">
        <v>135</v>
      </c>
      <c r="W91" s="352" t="s">
        <v>128</v>
      </c>
      <c r="X91" s="352" t="str">
        <f t="shared" si="11"/>
        <v>Jürgen Locadia (a)</v>
      </c>
      <c r="AP91" s="109">
        <f>AU91</f>
        <v>5</v>
      </c>
      <c r="AQ91" s="131">
        <v>3</v>
      </c>
      <c r="AR91" s="904" t="str">
        <f>Uitslag!E91</f>
        <v>Nederland</v>
      </c>
      <c r="AS91" s="905"/>
      <c r="AT91" s="906"/>
      <c r="AU91" s="352">
        <f>SUM(AV91:AX91)</f>
        <v>5</v>
      </c>
      <c r="AV91" s="352">
        <f>IF(AR91=0,0,IF(AR91=E91,15,0))</f>
        <v>0</v>
      </c>
      <c r="AW91" s="352">
        <f>IF(E91=0,0,IF(OR(E91=AR92),10,0))</f>
        <v>0</v>
      </c>
      <c r="AX91" s="352">
        <f>IF(E91=0,0,IF(OR(E91=AR89,E91=AR90),5,0))</f>
        <v>5</v>
      </c>
    </row>
    <row r="92" spans="2:50">
      <c r="C92" s="870">
        <v>4</v>
      </c>
      <c r="D92" s="871"/>
      <c r="E92" s="872" t="str">
        <f>IF(J82=2,D82,IF(J82=1,F82,"Wie wordt 4de?"))</f>
        <v>Duitsland</v>
      </c>
      <c r="F92" s="872"/>
      <c r="G92" s="872"/>
      <c r="H92" s="872"/>
      <c r="I92" s="872"/>
      <c r="J92" s="872"/>
      <c r="V92" s="352" t="s">
        <v>135</v>
      </c>
      <c r="W92" s="352" t="s">
        <v>127</v>
      </c>
      <c r="X92" s="352" t="str">
        <f t="shared" si="11"/>
        <v>Memphis Depay (a)</v>
      </c>
      <c r="AP92" s="109">
        <f>AU92</f>
        <v>5</v>
      </c>
      <c r="AQ92" s="131">
        <v>4</v>
      </c>
      <c r="AR92" s="904" t="str">
        <f>Uitslag!E92</f>
        <v>Brazilië</v>
      </c>
      <c r="AS92" s="905"/>
      <c r="AT92" s="906"/>
      <c r="AU92" s="352">
        <f>SUM(AV92:AX92)</f>
        <v>5</v>
      </c>
      <c r="AV92" s="352">
        <f>IF(AR92=0,0,IF(AR92=E92,15,0))</f>
        <v>0</v>
      </c>
      <c r="AW92" s="352">
        <f>IF(E92=0,0,IF(OR(E92=AR91,),10,0))</f>
        <v>0</v>
      </c>
      <c r="AX92" s="352">
        <f>IF(E92=0,0,IF(OR(E92=AR89,E92=AR90),5,0))</f>
        <v>5</v>
      </c>
    </row>
    <row r="93" spans="2:50" ht="15.75" thickBot="1">
      <c r="V93" s="352" t="s">
        <v>135</v>
      </c>
      <c r="W93" s="352" t="s">
        <v>123</v>
      </c>
      <c r="X93" s="352" t="str">
        <f t="shared" si="11"/>
        <v>Quincy Promes (a)</v>
      </c>
      <c r="AS93" s="132"/>
      <c r="AU93" s="133">
        <f>SUM(AU89:AU92)</f>
        <v>15</v>
      </c>
    </row>
    <row r="94" spans="2:50" ht="15.75" thickTop="1">
      <c r="V94" s="352" t="s">
        <v>135</v>
      </c>
      <c r="W94" s="352" t="s">
        <v>122</v>
      </c>
      <c r="X94" s="352" t="str">
        <f t="shared" si="11"/>
        <v>Luc Castaignos (a)</v>
      </c>
    </row>
    <row r="95" spans="2:50">
      <c r="V95" s="352" t="s">
        <v>135</v>
      </c>
      <c r="W95" s="352" t="s">
        <v>113</v>
      </c>
      <c r="X95" s="352" t="str">
        <f t="shared" si="11"/>
        <v>Jean-Paul Boëtius (a)</v>
      </c>
    </row>
    <row r="96" spans="2:50">
      <c r="V96" s="352" t="s">
        <v>135</v>
      </c>
      <c r="W96" s="352" t="s">
        <v>129</v>
      </c>
      <c r="X96" s="352" t="str">
        <f t="shared" si="11"/>
        <v>Luciano Narsingh (a)</v>
      </c>
    </row>
    <row r="97" spans="22:24">
      <c r="V97" s="352" t="s">
        <v>135</v>
      </c>
      <c r="W97" s="352" t="s">
        <v>130</v>
      </c>
      <c r="X97" s="352" t="str">
        <f t="shared" si="11"/>
        <v>Robin van Persie (a)</v>
      </c>
    </row>
    <row r="98" spans="22:24">
      <c r="V98" s="352" t="s">
        <v>135</v>
      </c>
      <c r="W98" s="352" t="s">
        <v>131</v>
      </c>
      <c r="X98" s="352" t="str">
        <f t="shared" si="11"/>
        <v>Arjen Robben (a)</v>
      </c>
    </row>
  </sheetData>
  <mergeCells count="36">
    <mergeCell ref="C91:D91"/>
    <mergeCell ref="E91:J91"/>
    <mergeCell ref="AR91:AT91"/>
    <mergeCell ref="C92:D92"/>
    <mergeCell ref="E92:J92"/>
    <mergeCell ref="AR92:AT92"/>
    <mergeCell ref="C89:D89"/>
    <mergeCell ref="E89:J89"/>
    <mergeCell ref="AR89:AT89"/>
    <mergeCell ref="C90:D90"/>
    <mergeCell ref="E90:J90"/>
    <mergeCell ref="AR90:AT90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</mergeCells>
  <conditionalFormatting sqref="AO9:AO12 AO15:AO18 AO21:AO24 AO27:AO30 AO33:AO36 AO39:AO42 AO45:AO48 AO51:AO54">
    <cfRule type="cellIs" dxfId="53" priority="3" operator="equal">
      <formula>10</formula>
    </cfRule>
  </conditionalFormatting>
  <conditionalFormatting sqref="P58:T58">
    <cfRule type="duplicateValues" dxfId="52" priority="2"/>
  </conditionalFormatting>
  <conditionalFormatting sqref="P58:T68">
    <cfRule type="duplicateValues" dxfId="51" priority="1"/>
  </conditionalFormatting>
  <dataValidations count="10">
    <dataValidation type="list" allowBlank="1" showInputMessage="1" showErrorMessage="1" sqref="P58:P68">
      <formula1>$X$58:$X$98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51:T54">
      <formula1>$W$51:$W$54</formula1>
    </dataValidation>
  </dataValidation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>
  <dimension ref="B1:BB98"/>
  <sheetViews>
    <sheetView topLeftCell="A46" zoomScale="70" zoomScaleNormal="70" workbookViewId="0">
      <selection activeCell="P58" sqref="P58:T68"/>
    </sheetView>
  </sheetViews>
  <sheetFormatPr defaultRowHeight="15" outlineLevelCol="2"/>
  <cols>
    <col min="1" max="1" width="3.42578125" style="352" customWidth="1"/>
    <col min="2" max="2" width="3.5703125" style="352" bestFit="1" customWidth="1"/>
    <col min="3" max="3" width="11.5703125" style="123" bestFit="1" customWidth="1"/>
    <col min="4" max="4" width="19.7109375" style="352" bestFit="1" customWidth="1"/>
    <col min="5" max="5" width="3.42578125" style="352" customWidth="1"/>
    <col min="6" max="6" width="19.7109375" style="352" bestFit="1" customWidth="1"/>
    <col min="7" max="7" width="6.7109375" style="352" customWidth="1"/>
    <col min="8" max="8" width="1.5703125" style="352" bestFit="1" customWidth="1"/>
    <col min="9" max="9" width="6.7109375" style="352" customWidth="1"/>
    <col min="10" max="10" width="6.85546875" style="352" bestFit="1" customWidth="1"/>
    <col min="11" max="13" width="9.140625" style="352" hidden="1" customWidth="1" outlineLevel="1"/>
    <col min="14" max="14" width="11.42578125" style="352" bestFit="1" customWidth="1" collapsed="1"/>
    <col min="15" max="15" width="14.7109375" style="352" bestFit="1" customWidth="1"/>
    <col min="16" max="16" width="12.28515625" style="352" bestFit="1" customWidth="1"/>
    <col min="17" max="17" width="8.140625" style="352" bestFit="1" customWidth="1"/>
    <col min="18" max="18" width="7.7109375" style="352" bestFit="1" customWidth="1"/>
    <col min="19" max="19" width="9.140625" style="352"/>
    <col min="20" max="20" width="8.5703125" style="352" bestFit="1" customWidth="1"/>
    <col min="21" max="21" width="9.140625" style="352"/>
    <col min="22" max="23" width="9.140625" style="352" hidden="1" customWidth="1" outlineLevel="1"/>
    <col min="24" max="24" width="2" style="352" hidden="1" customWidth="1" outlineLevel="1"/>
    <col min="25" max="25" width="12.28515625" style="352" bestFit="1" customWidth="1" collapsed="1"/>
    <col min="26" max="27" width="12.28515625" style="352" hidden="1" customWidth="1" outlineLevel="1"/>
    <col min="28" max="28" width="4.7109375" style="352" hidden="1" customWidth="1" outlineLevel="1"/>
    <col min="29" max="38" width="9.140625" style="352" hidden="1" customWidth="1" outlineLevel="1"/>
    <col min="39" max="39" width="7.42578125" style="352" bestFit="1" customWidth="1" collapsed="1"/>
    <col min="40" max="40" width="19.7109375" style="352" hidden="1" customWidth="1" outlineLevel="1"/>
    <col min="41" max="41" width="9.140625" style="352" hidden="1" customWidth="1" outlineLevel="1"/>
    <col min="42" max="42" width="9.140625" style="352" collapsed="1"/>
    <col min="43" max="49" width="9.140625" style="352" hidden="1" customWidth="1" outlineLevel="2"/>
    <col min="50" max="50" width="11.5703125" style="352" hidden="1" customWidth="1" outlineLevel="2"/>
    <col min="51" max="51" width="11.85546875" style="352" hidden="1" customWidth="1" outlineLevel="1" collapsed="1"/>
    <col min="52" max="52" width="9.42578125" style="352" hidden="1" customWidth="1" outlineLevel="1"/>
    <col min="53" max="53" width="10.5703125" style="352" hidden="1" customWidth="1" outlineLevel="1"/>
    <col min="54" max="54" width="9.140625" style="352" collapsed="1"/>
    <col min="55" max="55" width="11.85546875" style="352" bestFit="1" customWidth="1"/>
    <col min="56" max="16384" width="9.140625" style="352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305</v>
      </c>
      <c r="E3" s="335"/>
      <c r="F3" s="335"/>
      <c r="N3" s="352" t="str">
        <f>D3</f>
        <v>Patricia U.</v>
      </c>
      <c r="O3" s="144">
        <f>SUM(P3:S3)</f>
        <v>358</v>
      </c>
      <c r="P3" s="109">
        <f>SUM(Y8:Y86)</f>
        <v>194</v>
      </c>
      <c r="Q3" s="109">
        <f>SUM(AM4:AM55)</f>
        <v>130</v>
      </c>
      <c r="R3" s="109">
        <f>SUM(AP89:AP92)</f>
        <v>10</v>
      </c>
      <c r="S3" s="109">
        <f>SUM(BB58:BB69)</f>
        <v>24</v>
      </c>
      <c r="T3" s="109">
        <f>COUNTIF(AF8:AF86,10)</f>
        <v>8</v>
      </c>
      <c r="U3" s="109" t="str">
        <f>E89</f>
        <v>Nederland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O6" s="392"/>
      <c r="P6" s="393"/>
      <c r="Q6" s="393"/>
      <c r="R6" s="393"/>
      <c r="S6" s="393"/>
      <c r="T6" s="393"/>
      <c r="U6" s="392"/>
      <c r="V6" s="392"/>
      <c r="W6" s="392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80" t="s">
        <v>3</v>
      </c>
      <c r="E7" s="419"/>
      <c r="F7" s="481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O7" s="353"/>
      <c r="P7" s="393"/>
      <c r="Q7" s="393"/>
      <c r="R7" s="393"/>
      <c r="S7" s="393"/>
      <c r="T7" s="393"/>
      <c r="U7" s="353"/>
      <c r="V7" s="353"/>
      <c r="W7" s="353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458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2</v>
      </c>
      <c r="H8" s="360" t="s">
        <v>9</v>
      </c>
      <c r="I8" s="478">
        <v>1</v>
      </c>
      <c r="J8" s="362">
        <f t="shared" ref="J8:J55" si="0">IF(I8="","",IF(G8&gt;I8,1,IF(G8&lt;I8,2,3)))</f>
        <v>1</v>
      </c>
      <c r="K8" s="363">
        <f t="shared" ref="K8:K55" si="1">IF(I8="","",IF($G8&gt;$I8,3,IF($G8=$I8,1,0)))</f>
        <v>3</v>
      </c>
      <c r="L8" s="363">
        <f t="shared" ref="L8:L55" si="2">IF(I8="","",IF($G8&lt;$I8,3,IF($G8=$I8,1,0)))</f>
        <v>0</v>
      </c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392"/>
      <c r="V8" s="392"/>
      <c r="W8" s="392"/>
      <c r="Y8" s="109">
        <f>AF8</f>
        <v>6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6</v>
      </c>
      <c r="AG8" s="108">
        <f t="shared" ref="AG8:AG55" si="3">IF(AC8="",0,(IF(G8=AC8,1,0)))</f>
        <v>0</v>
      </c>
      <c r="AH8" s="108">
        <f t="shared" ref="AH8:AH55" si="4">IF(AD8="",0,(IF(I8=AD8,1,0)))</f>
        <v>1</v>
      </c>
      <c r="AI8" s="108">
        <f>IF(AND(AG8=1,AH8=1),10,0)</f>
        <v>0</v>
      </c>
      <c r="AJ8" s="108">
        <f t="shared" ref="AJ8:AJ55" si="5">IF(AND(G8&gt;I8,AC8&gt;AD8),5,0)</f>
        <v>5</v>
      </c>
      <c r="AK8" s="108">
        <f t="shared" ref="AK8:AK55" si="6">IF(AND(G8&lt;I8,AC8&lt;AD8),5,0)</f>
        <v>0</v>
      </c>
      <c r="AL8" s="108">
        <f t="shared" ref="AL8:AL55" si="7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1</v>
      </c>
      <c r="H9" s="367" t="s">
        <v>9</v>
      </c>
      <c r="I9" s="440">
        <v>2</v>
      </c>
      <c r="J9" s="369">
        <f t="shared" si="0"/>
        <v>2</v>
      </c>
      <c r="K9" s="363">
        <f t="shared" si="1"/>
        <v>0</v>
      </c>
      <c r="L9" s="363">
        <f t="shared" si="2"/>
        <v>3</v>
      </c>
      <c r="O9" s="394" t="s">
        <v>8</v>
      </c>
      <c r="P9" s="395">
        <f>SUMIF($D$8:$D$55,$O9,$G$8:$G$55)+SUMIF($F$8:$F$55,$O9,$I$8:$I$55)</f>
        <v>4</v>
      </c>
      <c r="Q9" s="395">
        <f>SUMIF($D$8:$D$55,$O9,$I$8:$I$55)+SUMIF($F$8:$F$55,$O9,$G$8:$G$55)</f>
        <v>4</v>
      </c>
      <c r="R9" s="396">
        <f>P9-Q9</f>
        <v>0</v>
      </c>
      <c r="S9" s="397">
        <f>SUMIF($D$8:$D$55,$O9,$K$8:$K$55)+SUMIF($F$8:$F$55,$O9,$L$8:$L$55)</f>
        <v>4</v>
      </c>
      <c r="T9" s="444" t="s">
        <v>48</v>
      </c>
      <c r="U9" s="392"/>
      <c r="V9" s="392" t="str">
        <f>O9</f>
        <v>Brazilië</v>
      </c>
      <c r="W9" s="392" t="s">
        <v>48</v>
      </c>
      <c r="Y9" s="109">
        <f t="shared" ref="Y9:Y55" si="8">AF9</f>
        <v>1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1</v>
      </c>
      <c r="AG9" s="108">
        <f t="shared" si="3"/>
        <v>1</v>
      </c>
      <c r="AH9" s="108">
        <f t="shared" si="4"/>
        <v>0</v>
      </c>
      <c r="AI9" s="108">
        <f t="shared" ref="AI9:AI55" si="10">IF(AND(AG9=1,AH9=1),10,0)</f>
        <v>0</v>
      </c>
      <c r="AJ9" s="108">
        <f t="shared" si="5"/>
        <v>0</v>
      </c>
      <c r="AK9" s="108">
        <f t="shared" si="6"/>
        <v>0</v>
      </c>
      <c r="AL9" s="108">
        <f t="shared" si="7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1</v>
      </c>
      <c r="H10" s="373" t="s">
        <v>9</v>
      </c>
      <c r="I10" s="441">
        <v>2</v>
      </c>
      <c r="J10" s="375">
        <f t="shared" si="0"/>
        <v>2</v>
      </c>
      <c r="K10" s="363">
        <f t="shared" si="1"/>
        <v>0</v>
      </c>
      <c r="L10" s="363">
        <f t="shared" si="2"/>
        <v>3</v>
      </c>
      <c r="O10" s="398" t="s">
        <v>10</v>
      </c>
      <c r="P10" s="399">
        <f>SUMIF($D$8:$D$55,$O10,$G$8:$G$55)+SUMIF($F$8:$F$55,$O10,$I$8:$I$55)</f>
        <v>2</v>
      </c>
      <c r="Q10" s="399">
        <f>SUMIF($D$8:$D$55,$O10,$I$8:$I$55)+SUMIF($F$8:$F$55,$O10,$G$8:$G$55)</f>
        <v>3</v>
      </c>
      <c r="R10" s="399">
        <f>P10-Q10</f>
        <v>-1</v>
      </c>
      <c r="S10" s="400">
        <f>SUMIF($D$8:$D$55,$O10,$K$8:$K$55)+SUMIF($F$8:$F$55,$O10,$L$8:$L$55)</f>
        <v>3</v>
      </c>
      <c r="T10" s="445" t="s">
        <v>47</v>
      </c>
      <c r="U10" s="392"/>
      <c r="V10" s="392" t="str">
        <f>O10</f>
        <v>Kroatië</v>
      </c>
      <c r="W10" s="392" t="s">
        <v>49</v>
      </c>
      <c r="Y10" s="109">
        <f t="shared" si="8"/>
        <v>6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6</v>
      </c>
      <c r="AG10" s="108">
        <f t="shared" si="3"/>
        <v>1</v>
      </c>
      <c r="AH10" s="108">
        <f t="shared" si="4"/>
        <v>0</v>
      </c>
      <c r="AI10" s="108">
        <f t="shared" si="10"/>
        <v>0</v>
      </c>
      <c r="AJ10" s="108">
        <f t="shared" si="5"/>
        <v>0</v>
      </c>
      <c r="AK10" s="108">
        <f t="shared" si="6"/>
        <v>5</v>
      </c>
      <c r="AL10" s="108">
        <f t="shared" si="7"/>
        <v>0</v>
      </c>
      <c r="AM10" s="120">
        <f>AO10</f>
        <v>10</v>
      </c>
      <c r="AN10" s="117" t="s">
        <v>10</v>
      </c>
      <c r="AO10" s="115">
        <f>IF(Uitslag!T10="",0,IF(T10=Uitslag!T10,10,0))</f>
        <v>10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0</v>
      </c>
      <c r="H11" s="379" t="s">
        <v>9</v>
      </c>
      <c r="I11" s="442">
        <v>1</v>
      </c>
      <c r="J11" s="381">
        <f t="shared" si="0"/>
        <v>2</v>
      </c>
      <c r="K11" s="363">
        <f t="shared" si="1"/>
        <v>0</v>
      </c>
      <c r="L11" s="363">
        <f t="shared" si="2"/>
        <v>3</v>
      </c>
      <c r="O11" s="398" t="s">
        <v>11</v>
      </c>
      <c r="P11" s="399">
        <f>SUMIF($D$8:$D$55,$O11,$G$8:$G$55)+SUMIF($F$8:$F$55,$O11,$I$8:$I$55)</f>
        <v>3</v>
      </c>
      <c r="Q11" s="399">
        <f>SUMIF($D$8:$D$55,$O11,$I$8:$I$55)+SUMIF($F$8:$F$55,$O11,$G$8:$G$55)</f>
        <v>5</v>
      </c>
      <c r="R11" s="399">
        <f>P11-Q11</f>
        <v>-2</v>
      </c>
      <c r="S11" s="400">
        <f>SUMIF($D$8:$D$55,$O11,$K$8:$K$55)+SUMIF($F$8:$F$55,$O11,$L$8:$L$55)</f>
        <v>1</v>
      </c>
      <c r="T11" s="445" t="s">
        <v>49</v>
      </c>
      <c r="U11" s="392"/>
      <c r="V11" s="392" t="str">
        <f>O11</f>
        <v>Mexico</v>
      </c>
      <c r="W11" s="392" t="s">
        <v>47</v>
      </c>
      <c r="Y11" s="109">
        <f t="shared" si="8"/>
        <v>1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1</v>
      </c>
      <c r="AG11" s="108">
        <f t="shared" si="3"/>
        <v>0</v>
      </c>
      <c r="AH11" s="108">
        <f t="shared" si="4"/>
        <v>1</v>
      </c>
      <c r="AI11" s="108">
        <f t="shared" si="10"/>
        <v>0</v>
      </c>
      <c r="AJ11" s="108">
        <f t="shared" si="5"/>
        <v>0</v>
      </c>
      <c r="AK11" s="108">
        <f t="shared" si="6"/>
        <v>0</v>
      </c>
      <c r="AL11" s="108">
        <f t="shared" si="7"/>
        <v>0</v>
      </c>
      <c r="AM11" s="120">
        <f>AO11</f>
        <v>10</v>
      </c>
      <c r="AN11" s="117" t="s">
        <v>11</v>
      </c>
      <c r="AO11" s="115">
        <f>IF(Uitslag!T11="",0,IF(T11=Uitslag!T11,10,0))</f>
        <v>10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1</v>
      </c>
      <c r="H12" s="367" t="s">
        <v>9</v>
      </c>
      <c r="I12" s="440">
        <v>1</v>
      </c>
      <c r="J12" s="369">
        <f t="shared" si="0"/>
        <v>3</v>
      </c>
      <c r="K12" s="363">
        <f t="shared" si="1"/>
        <v>1</v>
      </c>
      <c r="L12" s="363">
        <f t="shared" si="2"/>
        <v>1</v>
      </c>
      <c r="O12" s="401" t="s">
        <v>12</v>
      </c>
      <c r="P12" s="402">
        <f>SUMIF($D$8:$D$55,$O12,$G$8:$G$55)+SUMIF($F$8:$F$55,$O12,$I$8:$I$55)</f>
        <v>4</v>
      </c>
      <c r="Q12" s="402">
        <f>SUMIF($D$8:$D$55,$O12,$I$8:$I$55)+SUMIF($F$8:$F$55,$O12,$G$8:$G$55)</f>
        <v>1</v>
      </c>
      <c r="R12" s="402">
        <f>P12-Q12</f>
        <v>3</v>
      </c>
      <c r="S12" s="403">
        <f>SUMIF($D$8:$D$55,$O12,$K$8:$K$55)+SUMIF($F$8:$F$55,$O12,$L$8:$L$55)</f>
        <v>9</v>
      </c>
      <c r="T12" s="446" t="s">
        <v>50</v>
      </c>
      <c r="U12" s="392"/>
      <c r="V12" s="392" t="str">
        <f>O12</f>
        <v>Kameroen</v>
      </c>
      <c r="W12" s="392" t="s">
        <v>50</v>
      </c>
      <c r="Y12" s="109">
        <f t="shared" si="8"/>
        <v>0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0</v>
      </c>
      <c r="AG12" s="108">
        <f t="shared" si="3"/>
        <v>0</v>
      </c>
      <c r="AH12" s="108">
        <f t="shared" si="4"/>
        <v>0</v>
      </c>
      <c r="AI12" s="108">
        <f t="shared" si="10"/>
        <v>0</v>
      </c>
      <c r="AJ12" s="108">
        <f t="shared" si="5"/>
        <v>0</v>
      </c>
      <c r="AK12" s="108">
        <f t="shared" si="6"/>
        <v>0</v>
      </c>
      <c r="AL12" s="108">
        <f t="shared" si="7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1</v>
      </c>
      <c r="H13" s="373" t="s">
        <v>9</v>
      </c>
      <c r="I13" s="441">
        <v>0</v>
      </c>
      <c r="J13" s="375">
        <f t="shared" si="0"/>
        <v>1</v>
      </c>
      <c r="K13" s="363">
        <f t="shared" si="1"/>
        <v>3</v>
      </c>
      <c r="L13" s="363">
        <f t="shared" si="2"/>
        <v>0</v>
      </c>
      <c r="O13" s="392"/>
      <c r="P13" s="393"/>
      <c r="Q13" s="393"/>
      <c r="R13" s="393"/>
      <c r="S13" s="393"/>
      <c r="T13" s="393"/>
      <c r="U13" s="392"/>
      <c r="V13" s="392"/>
      <c r="W13" s="392"/>
      <c r="Y13" s="109">
        <f t="shared" si="8"/>
        <v>1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1</v>
      </c>
      <c r="AG13" s="108">
        <f t="shared" si="3"/>
        <v>1</v>
      </c>
      <c r="AH13" s="108">
        <f t="shared" si="4"/>
        <v>0</v>
      </c>
      <c r="AI13" s="108">
        <f t="shared" si="10"/>
        <v>0</v>
      </c>
      <c r="AJ13" s="108">
        <f t="shared" si="5"/>
        <v>0</v>
      </c>
      <c r="AK13" s="108">
        <f t="shared" si="6"/>
        <v>0</v>
      </c>
      <c r="AL13" s="108">
        <f t="shared" si="7"/>
        <v>0</v>
      </c>
      <c r="AN13" s="392"/>
      <c r="AO13" s="393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1</v>
      </c>
      <c r="H14" s="373" t="s">
        <v>9</v>
      </c>
      <c r="I14" s="441">
        <v>2</v>
      </c>
      <c r="J14" s="375">
        <f t="shared" si="0"/>
        <v>2</v>
      </c>
      <c r="K14" s="363">
        <f t="shared" si="1"/>
        <v>0</v>
      </c>
      <c r="L14" s="363">
        <f t="shared" si="2"/>
        <v>3</v>
      </c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392"/>
      <c r="V14" s="392"/>
      <c r="W14" s="392"/>
      <c r="Y14" s="109">
        <f t="shared" si="8"/>
        <v>10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10</v>
      </c>
      <c r="AG14" s="108">
        <f t="shared" si="3"/>
        <v>1</v>
      </c>
      <c r="AH14" s="108">
        <f t="shared" si="4"/>
        <v>1</v>
      </c>
      <c r="AI14" s="108">
        <f t="shared" si="10"/>
        <v>10</v>
      </c>
      <c r="AJ14" s="108">
        <f t="shared" si="5"/>
        <v>0</v>
      </c>
      <c r="AK14" s="108">
        <f t="shared" si="6"/>
        <v>5</v>
      </c>
      <c r="AL14" s="108">
        <f t="shared" si="7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1</v>
      </c>
      <c r="H15" s="379" t="s">
        <v>9</v>
      </c>
      <c r="I15" s="442">
        <v>2</v>
      </c>
      <c r="J15" s="381">
        <f t="shared" si="0"/>
        <v>2</v>
      </c>
      <c r="K15" s="363">
        <f t="shared" si="1"/>
        <v>0</v>
      </c>
      <c r="L15" s="363">
        <f t="shared" si="2"/>
        <v>3</v>
      </c>
      <c r="O15" s="394" t="s">
        <v>13</v>
      </c>
      <c r="P15" s="395">
        <f>SUMIF($D$8:$D$55,$O15,$G$8:$G$55)+SUMIF($F$8:$F$55,$O15,$I$8:$I$55)</f>
        <v>2</v>
      </c>
      <c r="Q15" s="395">
        <f>SUMIF($D$8:$D$55,$O15,$I$8:$I$55)+SUMIF($F$8:$F$55,$O15,$G$8:$G$55)</f>
        <v>4</v>
      </c>
      <c r="R15" s="396">
        <f>P15-Q15</f>
        <v>-2</v>
      </c>
      <c r="S15" s="397">
        <f>SUMIF($D$8:$D$55,$O15,$K$8:$K$55)+SUMIF($F$8:$F$55,$O15,$L$8:$L$55)</f>
        <v>1</v>
      </c>
      <c r="T15" s="444" t="s">
        <v>53</v>
      </c>
      <c r="U15" s="392"/>
      <c r="V15" s="392" t="str">
        <f>O15</f>
        <v>Spanje</v>
      </c>
      <c r="W15" s="392" t="s">
        <v>52</v>
      </c>
      <c r="Y15" s="109">
        <f t="shared" si="8"/>
        <v>0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0</v>
      </c>
      <c r="AG15" s="108">
        <f t="shared" si="3"/>
        <v>0</v>
      </c>
      <c r="AH15" s="108">
        <f t="shared" si="4"/>
        <v>0</v>
      </c>
      <c r="AI15" s="108">
        <f t="shared" si="10"/>
        <v>0</v>
      </c>
      <c r="AJ15" s="108">
        <f t="shared" si="5"/>
        <v>0</v>
      </c>
      <c r="AK15" s="108">
        <f t="shared" si="6"/>
        <v>0</v>
      </c>
      <c r="AL15" s="108">
        <f t="shared" si="7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0</v>
      </c>
      <c r="H16" s="367" t="s">
        <v>9</v>
      </c>
      <c r="I16" s="440">
        <v>2</v>
      </c>
      <c r="J16" s="369">
        <f t="shared" si="0"/>
        <v>2</v>
      </c>
      <c r="K16" s="363">
        <f t="shared" si="1"/>
        <v>0</v>
      </c>
      <c r="L16" s="363">
        <f t="shared" si="2"/>
        <v>3</v>
      </c>
      <c r="O16" s="404" t="s">
        <v>14</v>
      </c>
      <c r="P16" s="399">
        <f>SUMIF($D$8:$D$55,$O16,$G$8:$G$55)+SUMIF($F$8:$F$55,$O16,$I$8:$I$55)</f>
        <v>5</v>
      </c>
      <c r="Q16" s="399">
        <f>SUMIF($D$8:$D$55,$O16,$I$8:$I$55)+SUMIF($F$8:$F$55,$O16,$G$8:$G$55)</f>
        <v>1</v>
      </c>
      <c r="R16" s="399">
        <f>P16-Q16</f>
        <v>4</v>
      </c>
      <c r="S16" s="400">
        <f>SUMIF($D$8:$D$55,$O16,$K$8:$K$55)+SUMIF($F$8:$F$55,$O16,$L$8:$L$55)</f>
        <v>9</v>
      </c>
      <c r="T16" s="445" t="s">
        <v>52</v>
      </c>
      <c r="U16" s="392"/>
      <c r="V16" s="392" t="str">
        <f>O16</f>
        <v>Nederland</v>
      </c>
      <c r="W16" s="392" t="s">
        <v>53</v>
      </c>
      <c r="Y16" s="109">
        <f t="shared" si="8"/>
        <v>0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0</v>
      </c>
      <c r="AG16" s="108">
        <f t="shared" si="3"/>
        <v>0</v>
      </c>
      <c r="AH16" s="108">
        <f t="shared" si="4"/>
        <v>0</v>
      </c>
      <c r="AI16" s="108">
        <f t="shared" si="10"/>
        <v>0</v>
      </c>
      <c r="AJ16" s="108">
        <f t="shared" si="5"/>
        <v>0</v>
      </c>
      <c r="AK16" s="108">
        <f t="shared" si="6"/>
        <v>0</v>
      </c>
      <c r="AL16" s="108">
        <f t="shared" si="7"/>
        <v>0</v>
      </c>
      <c r="AM16" s="120">
        <f>AO16</f>
        <v>10</v>
      </c>
      <c r="AN16" s="119" t="s">
        <v>14</v>
      </c>
      <c r="AO16" s="115">
        <f>IF(Uitslag!T16="",0,IF(T16=Uitslag!T16,10,0))</f>
        <v>10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2</v>
      </c>
      <c r="H17" s="373" t="s">
        <v>9</v>
      </c>
      <c r="I17" s="441">
        <v>1</v>
      </c>
      <c r="J17" s="375">
        <f t="shared" si="0"/>
        <v>1</v>
      </c>
      <c r="K17" s="363">
        <f t="shared" si="1"/>
        <v>3</v>
      </c>
      <c r="L17" s="363">
        <f t="shared" si="2"/>
        <v>0</v>
      </c>
      <c r="O17" s="398" t="s">
        <v>15</v>
      </c>
      <c r="P17" s="399">
        <f>SUMIF($D$8:$D$55,$O17,$G$8:$G$55)+SUMIF($F$8:$F$55,$O17,$I$8:$I$55)</f>
        <v>1</v>
      </c>
      <c r="Q17" s="399">
        <f>SUMIF($D$8:$D$55,$O17,$I$8:$I$55)+SUMIF($F$8:$F$55,$O17,$G$8:$G$55)</f>
        <v>4</v>
      </c>
      <c r="R17" s="399">
        <f>P17-Q17</f>
        <v>-3</v>
      </c>
      <c r="S17" s="400">
        <f>SUMIF($D$8:$D$55,$O17,$K$8:$K$55)+SUMIF($F$8:$F$55,$O17,$L$8:$L$55)</f>
        <v>1</v>
      </c>
      <c r="T17" s="445" t="s">
        <v>55</v>
      </c>
      <c r="U17" s="392"/>
      <c r="V17" s="392" t="str">
        <f>O17</f>
        <v>Chili</v>
      </c>
      <c r="W17" s="392" t="s">
        <v>54</v>
      </c>
      <c r="Y17" s="109">
        <f t="shared" si="8"/>
        <v>5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5</v>
      </c>
      <c r="AG17" s="108">
        <f t="shared" si="3"/>
        <v>0</v>
      </c>
      <c r="AH17" s="108">
        <f t="shared" si="4"/>
        <v>0</v>
      </c>
      <c r="AI17" s="108">
        <f t="shared" si="10"/>
        <v>0</v>
      </c>
      <c r="AJ17" s="108">
        <f t="shared" si="5"/>
        <v>5</v>
      </c>
      <c r="AK17" s="108">
        <f t="shared" si="6"/>
        <v>0</v>
      </c>
      <c r="AL17" s="108">
        <f t="shared" si="7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1</v>
      </c>
      <c r="H18" s="379" t="s">
        <v>9</v>
      </c>
      <c r="I18" s="442">
        <v>1</v>
      </c>
      <c r="J18" s="381">
        <f t="shared" si="0"/>
        <v>3</v>
      </c>
      <c r="K18" s="363">
        <f t="shared" si="1"/>
        <v>1</v>
      </c>
      <c r="L18" s="363">
        <f t="shared" si="2"/>
        <v>1</v>
      </c>
      <c r="O18" s="401" t="s">
        <v>16</v>
      </c>
      <c r="P18" s="402">
        <f>SUMIF($D$8:$D$55,$O18,$G$8:$G$55)+SUMIF($F$8:$F$55,$O18,$I$8:$I$55)</f>
        <v>2</v>
      </c>
      <c r="Q18" s="402">
        <f>SUMIF($D$8:$D$55,$O18,$I$8:$I$55)+SUMIF($F$8:$F$55,$O18,$G$8:$G$55)</f>
        <v>1</v>
      </c>
      <c r="R18" s="402">
        <f>P18-Q18</f>
        <v>1</v>
      </c>
      <c r="S18" s="403">
        <f>SUMIF($D$8:$D$55,$O18,$K$8:$K$55)+SUMIF($F$8:$F$55,$O18,$L$8:$L$55)</f>
        <v>6</v>
      </c>
      <c r="T18" s="446" t="s">
        <v>54</v>
      </c>
      <c r="U18" s="392"/>
      <c r="V18" s="392" t="str">
        <f>O18</f>
        <v>Australië</v>
      </c>
      <c r="W18" s="392" t="s">
        <v>55</v>
      </c>
      <c r="Y18" s="109">
        <f t="shared" si="8"/>
        <v>1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1</v>
      </c>
      <c r="AG18" s="108">
        <f t="shared" si="3"/>
        <v>0</v>
      </c>
      <c r="AH18" s="108">
        <f t="shared" si="4"/>
        <v>1</v>
      </c>
      <c r="AI18" s="108">
        <f t="shared" si="10"/>
        <v>0</v>
      </c>
      <c r="AJ18" s="108">
        <f t="shared" si="5"/>
        <v>0</v>
      </c>
      <c r="AK18" s="108">
        <f t="shared" si="6"/>
        <v>0</v>
      </c>
      <c r="AL18" s="108">
        <f t="shared" si="7"/>
        <v>0</v>
      </c>
      <c r="AM18" s="120">
        <f>AO18</f>
        <v>0</v>
      </c>
      <c r="AN18" s="118" t="s">
        <v>16</v>
      </c>
      <c r="AO18" s="115">
        <f>IF(Uitslag!T18="",0,IF(T18=Uitslag!T18,10,0))</f>
        <v>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2</v>
      </c>
      <c r="H19" s="367" t="s">
        <v>9</v>
      </c>
      <c r="I19" s="440">
        <v>0</v>
      </c>
      <c r="J19" s="369">
        <f t="shared" si="0"/>
        <v>1</v>
      </c>
      <c r="K19" s="363">
        <f t="shared" si="1"/>
        <v>3</v>
      </c>
      <c r="L19" s="363">
        <f t="shared" si="2"/>
        <v>0</v>
      </c>
      <c r="O19" s="392"/>
      <c r="P19" s="393"/>
      <c r="Q19" s="393"/>
      <c r="R19" s="393"/>
      <c r="S19" s="393"/>
      <c r="T19" s="393"/>
      <c r="U19" s="392"/>
      <c r="V19" s="392"/>
      <c r="W19" s="392"/>
      <c r="Y19" s="109">
        <f t="shared" si="8"/>
        <v>6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6</v>
      </c>
      <c r="AG19" s="108">
        <f t="shared" si="3"/>
        <v>0</v>
      </c>
      <c r="AH19" s="108">
        <f t="shared" si="4"/>
        <v>1</v>
      </c>
      <c r="AI19" s="108">
        <f t="shared" si="10"/>
        <v>0</v>
      </c>
      <c r="AJ19" s="108">
        <f t="shared" si="5"/>
        <v>5</v>
      </c>
      <c r="AK19" s="108">
        <f t="shared" si="6"/>
        <v>0</v>
      </c>
      <c r="AL19" s="108">
        <f t="shared" si="7"/>
        <v>0</v>
      </c>
      <c r="AN19" s="392"/>
      <c r="AO19" s="393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1</v>
      </c>
      <c r="H20" s="373" t="s">
        <v>9</v>
      </c>
      <c r="I20" s="441">
        <v>0</v>
      </c>
      <c r="J20" s="375">
        <f t="shared" si="0"/>
        <v>1</v>
      </c>
      <c r="K20" s="363">
        <f t="shared" si="1"/>
        <v>3</v>
      </c>
      <c r="L20" s="363">
        <f t="shared" si="2"/>
        <v>0</v>
      </c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392"/>
      <c r="V20" s="392"/>
      <c r="W20" s="392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3"/>
        <v>0</v>
      </c>
      <c r="AH20" s="108">
        <f t="shared" si="4"/>
        <v>1</v>
      </c>
      <c r="AI20" s="108">
        <f t="shared" si="10"/>
        <v>0</v>
      </c>
      <c r="AJ20" s="108">
        <f t="shared" si="5"/>
        <v>0</v>
      </c>
      <c r="AK20" s="108">
        <f t="shared" si="6"/>
        <v>0</v>
      </c>
      <c r="AL20" s="108">
        <f t="shared" si="7"/>
        <v>0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1</v>
      </c>
      <c r="H21" s="379" t="s">
        <v>9</v>
      </c>
      <c r="I21" s="442">
        <v>2</v>
      </c>
      <c r="J21" s="381">
        <f t="shared" si="0"/>
        <v>2</v>
      </c>
      <c r="K21" s="363">
        <f t="shared" si="1"/>
        <v>0</v>
      </c>
      <c r="L21" s="363">
        <f t="shared" si="2"/>
        <v>3</v>
      </c>
      <c r="O21" s="394" t="s">
        <v>17</v>
      </c>
      <c r="P21" s="395">
        <f>SUMIF($D$8:$D$55,$O21,$G$8:$G$55)+SUMIF($F$8:$F$55,$O21,$I$8:$I$55)</f>
        <v>1</v>
      </c>
      <c r="Q21" s="395">
        <f>SUMIF($D$8:$D$55,$O21,$I$8:$I$55)+SUMIF($F$8:$F$55,$O21,$G$8:$G$55)</f>
        <v>2</v>
      </c>
      <c r="R21" s="396">
        <f>P21-Q21</f>
        <v>-1</v>
      </c>
      <c r="S21" s="397">
        <f>SUMIF($D$8:$D$55,$O21,$K$8:$K$55)+SUMIF($F$8:$F$55,$O21,$L$8:$L$55)</f>
        <v>2</v>
      </c>
      <c r="T21" s="444" t="s">
        <v>60</v>
      </c>
      <c r="U21" s="392"/>
      <c r="V21" s="392" t="str">
        <f>O21</f>
        <v>Colombia</v>
      </c>
      <c r="W21" s="392" t="s">
        <v>57</v>
      </c>
      <c r="Y21" s="109">
        <f t="shared" si="8"/>
        <v>10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10</v>
      </c>
      <c r="AG21" s="108">
        <f t="shared" si="3"/>
        <v>1</v>
      </c>
      <c r="AH21" s="108">
        <f t="shared" si="4"/>
        <v>1</v>
      </c>
      <c r="AI21" s="108">
        <f t="shared" si="10"/>
        <v>10</v>
      </c>
      <c r="AJ21" s="108">
        <f t="shared" si="5"/>
        <v>0</v>
      </c>
      <c r="AK21" s="108">
        <f t="shared" si="6"/>
        <v>5</v>
      </c>
      <c r="AL21" s="108">
        <f t="shared" si="7"/>
        <v>0</v>
      </c>
      <c r="AM21" s="120">
        <f>AO21</f>
        <v>0</v>
      </c>
      <c r="AN21" s="116" t="s">
        <v>17</v>
      </c>
      <c r="AO21" s="115">
        <f>IF(Uitslag!T21="",0,IF(T21=Uitslag!T21,10,0))</f>
        <v>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2</v>
      </c>
      <c r="H22" s="367" t="s">
        <v>9</v>
      </c>
      <c r="I22" s="440">
        <v>0</v>
      </c>
      <c r="J22" s="369">
        <f t="shared" si="0"/>
        <v>1</v>
      </c>
      <c r="K22" s="363">
        <f t="shared" si="1"/>
        <v>3</v>
      </c>
      <c r="L22" s="363">
        <f t="shared" si="2"/>
        <v>0</v>
      </c>
      <c r="O22" s="398" t="s">
        <v>18</v>
      </c>
      <c r="P22" s="399">
        <f>SUMIF($D$8:$D$55,$O22,$G$8:$G$55)+SUMIF($F$8:$F$55,$O22,$I$8:$I$55)</f>
        <v>1</v>
      </c>
      <c r="Q22" s="399">
        <f>SUMIF($D$8:$D$55,$O22,$I$8:$I$55)+SUMIF($F$8:$F$55,$O22,$G$8:$G$55)</f>
        <v>3</v>
      </c>
      <c r="R22" s="399">
        <f>P22-Q22</f>
        <v>-2</v>
      </c>
      <c r="S22" s="400">
        <f>SUMIF($D$8:$D$55,$O22,$K$8:$K$55)+SUMIF($F$8:$F$55,$O22,$L$8:$L$55)</f>
        <v>1</v>
      </c>
      <c r="T22" s="445" t="s">
        <v>58</v>
      </c>
      <c r="U22" s="392"/>
      <c r="V22" s="392" t="str">
        <f>O22</f>
        <v>Griekenland</v>
      </c>
      <c r="W22" s="392" t="s">
        <v>58</v>
      </c>
      <c r="Y22" s="109">
        <f t="shared" si="8"/>
        <v>6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6</v>
      </c>
      <c r="AG22" s="108">
        <f t="shared" si="3"/>
        <v>1</v>
      </c>
      <c r="AH22" s="108">
        <f t="shared" si="4"/>
        <v>0</v>
      </c>
      <c r="AI22" s="108">
        <f t="shared" si="10"/>
        <v>0</v>
      </c>
      <c r="AJ22" s="108">
        <f t="shared" si="5"/>
        <v>5</v>
      </c>
      <c r="AK22" s="108">
        <f t="shared" si="6"/>
        <v>0</v>
      </c>
      <c r="AL22" s="108">
        <f t="shared" si="7"/>
        <v>0</v>
      </c>
      <c r="AM22" s="120">
        <f>AO22</f>
        <v>10</v>
      </c>
      <c r="AN22" s="117" t="s">
        <v>18</v>
      </c>
      <c r="AO22" s="115">
        <f>IF(Uitslag!T22="",0,IF(T22=Uitslag!T22,10,0))</f>
        <v>10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2</v>
      </c>
      <c r="H23" s="373" t="s">
        <v>9</v>
      </c>
      <c r="I23" s="441">
        <v>2</v>
      </c>
      <c r="J23" s="375">
        <f t="shared" si="0"/>
        <v>3</v>
      </c>
      <c r="K23" s="363">
        <f t="shared" si="1"/>
        <v>1</v>
      </c>
      <c r="L23" s="363">
        <f t="shared" si="2"/>
        <v>1</v>
      </c>
      <c r="O23" s="398" t="s">
        <v>23</v>
      </c>
      <c r="P23" s="399">
        <f>SUMIF($D$8:$D$55,$O23,$G$8:$G$55)+SUMIF($F$8:$F$55,$O23,$I$8:$I$55)</f>
        <v>2</v>
      </c>
      <c r="Q23" s="399">
        <f>SUMIF($D$8:$D$55,$O23,$I$8:$I$55)+SUMIF($F$8:$F$55,$O23,$G$8:$G$55)</f>
        <v>2</v>
      </c>
      <c r="R23" s="399">
        <f>P23-Q23</f>
        <v>0</v>
      </c>
      <c r="S23" s="400">
        <f>SUMIF($D$8:$D$55,$O23,$K$8:$K$55)+SUMIF($F$8:$F$55,$O23,$L$8:$L$55)</f>
        <v>4</v>
      </c>
      <c r="T23" s="445" t="s">
        <v>57</v>
      </c>
      <c r="U23" s="392"/>
      <c r="V23" s="392" t="str">
        <f>O23</f>
        <v>Ivoorkust</v>
      </c>
      <c r="W23" s="392" t="s">
        <v>59</v>
      </c>
      <c r="Y23" s="109">
        <f t="shared" si="8"/>
        <v>5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5</v>
      </c>
      <c r="AG23" s="108">
        <f t="shared" si="3"/>
        <v>0</v>
      </c>
      <c r="AH23" s="108">
        <f t="shared" si="4"/>
        <v>0</v>
      </c>
      <c r="AI23" s="108">
        <f t="shared" si="10"/>
        <v>0</v>
      </c>
      <c r="AJ23" s="108">
        <f t="shared" si="5"/>
        <v>0</v>
      </c>
      <c r="AK23" s="108">
        <f t="shared" si="6"/>
        <v>0</v>
      </c>
      <c r="AL23" s="108">
        <f t="shared" si="7"/>
        <v>5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2</v>
      </c>
      <c r="H24" s="379" t="s">
        <v>9</v>
      </c>
      <c r="I24" s="442">
        <v>1</v>
      </c>
      <c r="J24" s="381">
        <f t="shared" si="0"/>
        <v>1</v>
      </c>
      <c r="K24" s="363">
        <f t="shared" si="1"/>
        <v>3</v>
      </c>
      <c r="L24" s="363">
        <f t="shared" si="2"/>
        <v>0</v>
      </c>
      <c r="O24" s="401" t="s">
        <v>24</v>
      </c>
      <c r="P24" s="402">
        <f>SUMIF($D$8:$D$55,$O24,$G$8:$G$55)+SUMIF($F$8:$F$55,$O24,$I$8:$I$55)</f>
        <v>4</v>
      </c>
      <c r="Q24" s="402">
        <f>SUMIF($D$8:$D$55,$O24,$I$8:$I$55)+SUMIF($F$8:$F$55,$O24,$G$8:$G$55)</f>
        <v>1</v>
      </c>
      <c r="R24" s="402">
        <f>P24-Q24</f>
        <v>3</v>
      </c>
      <c r="S24" s="403">
        <f>SUMIF($D$8:$D$55,$O24,$K$8:$K$55)+SUMIF($F$8:$F$55,$O24,$L$8:$L$55)</f>
        <v>9</v>
      </c>
      <c r="T24" s="446" t="s">
        <v>59</v>
      </c>
      <c r="U24" s="392"/>
      <c r="V24" s="392" t="str">
        <f>O24</f>
        <v>Japan</v>
      </c>
      <c r="W24" s="392" t="s">
        <v>60</v>
      </c>
      <c r="Y24" s="109">
        <f t="shared" si="8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</v>
      </c>
      <c r="AG24" s="108">
        <f t="shared" si="3"/>
        <v>0</v>
      </c>
      <c r="AH24" s="108">
        <f t="shared" si="4"/>
        <v>1</v>
      </c>
      <c r="AI24" s="108">
        <f t="shared" si="10"/>
        <v>0</v>
      </c>
      <c r="AJ24" s="108">
        <f t="shared" si="5"/>
        <v>0</v>
      </c>
      <c r="AK24" s="108">
        <f t="shared" si="6"/>
        <v>0</v>
      </c>
      <c r="AL24" s="108">
        <f t="shared" si="7"/>
        <v>0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0</v>
      </c>
      <c r="H25" s="367" t="s">
        <v>9</v>
      </c>
      <c r="I25" s="440">
        <v>1</v>
      </c>
      <c r="J25" s="369">
        <f t="shared" si="0"/>
        <v>2</v>
      </c>
      <c r="K25" s="363">
        <f t="shared" si="1"/>
        <v>0</v>
      </c>
      <c r="L25" s="363">
        <f t="shared" si="2"/>
        <v>3</v>
      </c>
      <c r="O25" s="392"/>
      <c r="P25" s="393"/>
      <c r="Q25" s="393"/>
      <c r="R25" s="393"/>
      <c r="S25" s="393"/>
      <c r="T25" s="393"/>
      <c r="U25" s="392"/>
      <c r="V25" s="392"/>
      <c r="W25" s="392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3"/>
        <v>0</v>
      </c>
      <c r="AH25" s="108">
        <f t="shared" si="4"/>
        <v>0</v>
      </c>
      <c r="AI25" s="108">
        <f t="shared" si="10"/>
        <v>0</v>
      </c>
      <c r="AJ25" s="108">
        <f t="shared" si="5"/>
        <v>0</v>
      </c>
      <c r="AK25" s="108">
        <f t="shared" si="6"/>
        <v>5</v>
      </c>
      <c r="AL25" s="108">
        <f t="shared" si="7"/>
        <v>0</v>
      </c>
      <c r="AN25" s="392"/>
      <c r="AO25" s="393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1</v>
      </c>
      <c r="H26" s="373" t="s">
        <v>9</v>
      </c>
      <c r="I26" s="441">
        <v>1</v>
      </c>
      <c r="J26" s="375">
        <f t="shared" si="0"/>
        <v>3</v>
      </c>
      <c r="K26" s="363">
        <f t="shared" si="1"/>
        <v>1</v>
      </c>
      <c r="L26" s="363">
        <f t="shared" si="2"/>
        <v>1</v>
      </c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392"/>
      <c r="V26" s="392"/>
      <c r="W26" s="392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3"/>
        <v>0</v>
      </c>
      <c r="AH26" s="108">
        <f t="shared" si="4"/>
        <v>0</v>
      </c>
      <c r="AI26" s="108">
        <f t="shared" si="10"/>
        <v>0</v>
      </c>
      <c r="AJ26" s="108">
        <f t="shared" si="5"/>
        <v>0</v>
      </c>
      <c r="AK26" s="108">
        <f t="shared" si="6"/>
        <v>0</v>
      </c>
      <c r="AL26" s="108">
        <f t="shared" si="7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1</v>
      </c>
      <c r="H27" s="379" t="s">
        <v>9</v>
      </c>
      <c r="I27" s="442">
        <v>0</v>
      </c>
      <c r="J27" s="381">
        <f t="shared" si="0"/>
        <v>1</v>
      </c>
      <c r="K27" s="363">
        <f t="shared" si="1"/>
        <v>3</v>
      </c>
      <c r="L27" s="363">
        <f t="shared" si="2"/>
        <v>0</v>
      </c>
      <c r="O27" s="394" t="s">
        <v>19</v>
      </c>
      <c r="P27" s="395">
        <f>SUMIF($D$8:$D$55,$O27,$G$8:$G$55)+SUMIF($F$8:$F$55,$O27,$I$8:$I$55)</f>
        <v>3</v>
      </c>
      <c r="Q27" s="395">
        <f>SUMIF($D$8:$D$55,$O27,$I$8:$I$55)+SUMIF($F$8:$F$55,$O27,$G$8:$G$55)</f>
        <v>3</v>
      </c>
      <c r="R27" s="396">
        <f>P27-Q27</f>
        <v>0</v>
      </c>
      <c r="S27" s="397">
        <f>SUMIF($D$8:$D$55,$O27,$K$8:$K$55)+SUMIF($F$8:$F$55,$O27,$L$8:$L$55)</f>
        <v>4</v>
      </c>
      <c r="T27" s="444" t="s">
        <v>63</v>
      </c>
      <c r="U27" s="392"/>
      <c r="V27" s="392" t="str">
        <f>O27</f>
        <v>Uruguay</v>
      </c>
      <c r="W27" s="392" t="s">
        <v>62</v>
      </c>
      <c r="Y27" s="109">
        <f t="shared" si="8"/>
        <v>0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0</v>
      </c>
      <c r="AG27" s="108">
        <f t="shared" si="3"/>
        <v>0</v>
      </c>
      <c r="AH27" s="108">
        <f t="shared" si="4"/>
        <v>0</v>
      </c>
      <c r="AI27" s="108">
        <f t="shared" si="10"/>
        <v>0</v>
      </c>
      <c r="AJ27" s="108">
        <f t="shared" si="5"/>
        <v>0</v>
      </c>
      <c r="AK27" s="108">
        <f t="shared" si="6"/>
        <v>0</v>
      </c>
      <c r="AL27" s="108">
        <f t="shared" si="7"/>
        <v>0</v>
      </c>
      <c r="AM27" s="120">
        <f>AO27</f>
        <v>10</v>
      </c>
      <c r="AN27" s="116" t="s">
        <v>19</v>
      </c>
      <c r="AO27" s="115">
        <f>IF(Uitslag!T27="",0,IF(T27=Uitslag!T27,10,0))</f>
        <v>10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0</v>
      </c>
      <c r="H28" s="367" t="s">
        <v>9</v>
      </c>
      <c r="I28" s="440">
        <v>0</v>
      </c>
      <c r="J28" s="369">
        <f t="shared" si="0"/>
        <v>3</v>
      </c>
      <c r="K28" s="363">
        <f t="shared" si="1"/>
        <v>1</v>
      </c>
      <c r="L28" s="363">
        <f t="shared" si="2"/>
        <v>1</v>
      </c>
      <c r="O28" s="398" t="s">
        <v>20</v>
      </c>
      <c r="P28" s="399">
        <f>SUMIF($D$8:$D$55,$O28,$G$8:$G$55)+SUMIF($F$8:$F$55,$O28,$I$8:$I$55)</f>
        <v>2</v>
      </c>
      <c r="Q28" s="399">
        <f>SUMIF($D$8:$D$55,$O28,$I$8:$I$55)+SUMIF($F$8:$F$55,$O28,$G$8:$G$55)</f>
        <v>2</v>
      </c>
      <c r="R28" s="399">
        <f>P28-Q28</f>
        <v>0</v>
      </c>
      <c r="S28" s="400">
        <f>SUMIF($D$8:$D$55,$O28,$K$8:$K$55)+SUMIF($F$8:$F$55,$O28,$L$8:$L$55)</f>
        <v>4</v>
      </c>
      <c r="T28" s="445" t="s">
        <v>64</v>
      </c>
      <c r="U28" s="392"/>
      <c r="V28" s="392" t="str">
        <f>O28</f>
        <v>Costa Rica</v>
      </c>
      <c r="W28" s="392" t="s">
        <v>63</v>
      </c>
      <c r="Y28" s="109">
        <f t="shared" si="8"/>
        <v>0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0</v>
      </c>
      <c r="AG28" s="108">
        <f t="shared" si="3"/>
        <v>0</v>
      </c>
      <c r="AH28" s="108">
        <f t="shared" si="4"/>
        <v>0</v>
      </c>
      <c r="AI28" s="108">
        <f t="shared" si="10"/>
        <v>0</v>
      </c>
      <c r="AJ28" s="108">
        <f t="shared" si="5"/>
        <v>0</v>
      </c>
      <c r="AK28" s="108">
        <f t="shared" si="6"/>
        <v>0</v>
      </c>
      <c r="AL28" s="108">
        <f t="shared" si="7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1</v>
      </c>
      <c r="H29" s="373" t="s">
        <v>9</v>
      </c>
      <c r="I29" s="441">
        <v>2</v>
      </c>
      <c r="J29" s="375">
        <f t="shared" si="0"/>
        <v>2</v>
      </c>
      <c r="K29" s="363">
        <f t="shared" si="1"/>
        <v>0</v>
      </c>
      <c r="L29" s="363">
        <f t="shared" si="2"/>
        <v>3</v>
      </c>
      <c r="O29" s="398" t="s">
        <v>21</v>
      </c>
      <c r="P29" s="399">
        <f>SUMIF($D$8:$D$55,$O29,$G$8:$G$55)+SUMIF($F$8:$F$55,$O29,$I$8:$I$55)</f>
        <v>3</v>
      </c>
      <c r="Q29" s="399">
        <f>SUMIF($D$8:$D$55,$O29,$I$8:$I$55)+SUMIF($F$8:$F$55,$O29,$G$8:$G$55)</f>
        <v>4</v>
      </c>
      <c r="R29" s="399">
        <f>P29-Q29</f>
        <v>-1</v>
      </c>
      <c r="S29" s="400">
        <f>SUMIF($D$8:$D$55,$O29,$K$8:$K$55)+SUMIF($F$8:$F$55,$O29,$L$8:$L$55)</f>
        <v>3</v>
      </c>
      <c r="T29" s="445" t="s">
        <v>65</v>
      </c>
      <c r="U29" s="392"/>
      <c r="V29" s="392" t="str">
        <f>O29</f>
        <v>Engeland</v>
      </c>
      <c r="W29" s="392" t="s">
        <v>64</v>
      </c>
      <c r="Y29" s="109">
        <f t="shared" si="8"/>
        <v>0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0</v>
      </c>
      <c r="AG29" s="108">
        <f t="shared" si="3"/>
        <v>0</v>
      </c>
      <c r="AH29" s="108">
        <f t="shared" si="4"/>
        <v>0</v>
      </c>
      <c r="AI29" s="108">
        <f t="shared" si="10"/>
        <v>0</v>
      </c>
      <c r="AJ29" s="108">
        <f t="shared" si="5"/>
        <v>0</v>
      </c>
      <c r="AK29" s="108">
        <f t="shared" si="6"/>
        <v>0</v>
      </c>
      <c r="AL29" s="108">
        <f t="shared" si="7"/>
        <v>0</v>
      </c>
      <c r="AM29" s="120">
        <f>AO29</f>
        <v>10</v>
      </c>
      <c r="AN29" s="117" t="s">
        <v>21</v>
      </c>
      <c r="AO29" s="115">
        <f>IF(Uitslag!T29="",0,IF(T29=Uitslag!T29,10,0))</f>
        <v>10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1</v>
      </c>
      <c r="H30" s="379" t="s">
        <v>9</v>
      </c>
      <c r="I30" s="442">
        <v>0</v>
      </c>
      <c r="J30" s="381">
        <f t="shared" si="0"/>
        <v>1</v>
      </c>
      <c r="K30" s="363">
        <f t="shared" si="1"/>
        <v>3</v>
      </c>
      <c r="L30" s="363">
        <f t="shared" si="2"/>
        <v>0</v>
      </c>
      <c r="O30" s="401" t="s">
        <v>22</v>
      </c>
      <c r="P30" s="402">
        <f>SUMIF($D$8:$D$55,$O30,$G$8:$G$55)+SUMIF($F$8:$F$55,$O30,$I$8:$I$55)</f>
        <v>4</v>
      </c>
      <c r="Q30" s="402">
        <f>SUMIF($D$8:$D$55,$O30,$I$8:$I$55)+SUMIF($F$8:$F$55,$O30,$G$8:$G$55)</f>
        <v>3</v>
      </c>
      <c r="R30" s="402">
        <f>P30-Q30</f>
        <v>1</v>
      </c>
      <c r="S30" s="403">
        <f>SUMIF($D$8:$D$55,$O30,$K$8:$K$55)+SUMIF($F$8:$F$55,$O30,$L$8:$L$55)</f>
        <v>5</v>
      </c>
      <c r="T30" s="446" t="s">
        <v>62</v>
      </c>
      <c r="U30" s="392"/>
      <c r="V30" s="392" t="str">
        <f>O30</f>
        <v>Italië</v>
      </c>
      <c r="W30" s="392" t="s">
        <v>65</v>
      </c>
      <c r="Y30" s="109">
        <f t="shared" si="8"/>
        <v>1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1</v>
      </c>
      <c r="AG30" s="108">
        <f t="shared" si="3"/>
        <v>0</v>
      </c>
      <c r="AH30" s="108">
        <f t="shared" si="4"/>
        <v>1</v>
      </c>
      <c r="AI30" s="108">
        <f t="shared" si="10"/>
        <v>0</v>
      </c>
      <c r="AJ30" s="108">
        <f t="shared" si="5"/>
        <v>0</v>
      </c>
      <c r="AK30" s="108">
        <f t="shared" si="6"/>
        <v>0</v>
      </c>
      <c r="AL30" s="108">
        <f t="shared" si="7"/>
        <v>0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1</v>
      </c>
      <c r="H31" s="367" t="s">
        <v>9</v>
      </c>
      <c r="I31" s="440">
        <v>1</v>
      </c>
      <c r="J31" s="369">
        <f t="shared" si="0"/>
        <v>3</v>
      </c>
      <c r="K31" s="363">
        <f t="shared" si="1"/>
        <v>1</v>
      </c>
      <c r="L31" s="363">
        <f t="shared" si="2"/>
        <v>1</v>
      </c>
      <c r="O31" s="392"/>
      <c r="P31" s="393"/>
      <c r="Q31" s="393"/>
      <c r="R31" s="393"/>
      <c r="S31" s="393"/>
      <c r="T31" s="393"/>
      <c r="U31" s="392"/>
      <c r="V31" s="392"/>
      <c r="W31" s="392"/>
      <c r="Y31" s="109">
        <f t="shared" si="8"/>
        <v>1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1</v>
      </c>
      <c r="AG31" s="108">
        <f t="shared" si="3"/>
        <v>0</v>
      </c>
      <c r="AH31" s="108">
        <f t="shared" si="4"/>
        <v>1</v>
      </c>
      <c r="AI31" s="108">
        <f t="shared" si="10"/>
        <v>0</v>
      </c>
      <c r="AJ31" s="108">
        <f t="shared" si="5"/>
        <v>0</v>
      </c>
      <c r="AK31" s="108">
        <f t="shared" si="6"/>
        <v>0</v>
      </c>
      <c r="AL31" s="108">
        <f t="shared" si="7"/>
        <v>0</v>
      </c>
      <c r="AN31" s="392"/>
      <c r="AO31" s="393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0</v>
      </c>
      <c r="H32" s="373" t="s">
        <v>9</v>
      </c>
      <c r="I32" s="441">
        <v>2</v>
      </c>
      <c r="J32" s="375">
        <f t="shared" si="0"/>
        <v>2</v>
      </c>
      <c r="K32" s="363">
        <f t="shared" si="1"/>
        <v>0</v>
      </c>
      <c r="L32" s="363">
        <f t="shared" si="2"/>
        <v>3</v>
      </c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392"/>
      <c r="V32" s="392"/>
      <c r="W32" s="392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3"/>
        <v>0</v>
      </c>
      <c r="AH32" s="108">
        <f t="shared" si="4"/>
        <v>0</v>
      </c>
      <c r="AI32" s="108">
        <f t="shared" si="10"/>
        <v>0</v>
      </c>
      <c r="AJ32" s="108">
        <f t="shared" si="5"/>
        <v>0</v>
      </c>
      <c r="AK32" s="108">
        <f t="shared" si="6"/>
        <v>5</v>
      </c>
      <c r="AL32" s="108">
        <f t="shared" si="7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1</v>
      </c>
      <c r="H33" s="379" t="s">
        <v>9</v>
      </c>
      <c r="I33" s="442">
        <v>0</v>
      </c>
      <c r="J33" s="381">
        <f t="shared" si="0"/>
        <v>1</v>
      </c>
      <c r="K33" s="363">
        <f t="shared" si="1"/>
        <v>3</v>
      </c>
      <c r="L33" s="363">
        <f t="shared" si="2"/>
        <v>0</v>
      </c>
      <c r="O33" s="394" t="s">
        <v>25</v>
      </c>
      <c r="P33" s="395">
        <f>SUMIF($D$8:$D$55,$O33,$G$8:$G$55)+SUMIF($F$8:$F$55,$O33,$I$8:$I$55)</f>
        <v>0</v>
      </c>
      <c r="Q33" s="395">
        <f>SUMIF($D$8:$D$55,$O33,$I$8:$I$55)+SUMIF($F$8:$F$55,$O33,$G$8:$G$55)</f>
        <v>5</v>
      </c>
      <c r="R33" s="396">
        <f>P33-Q33</f>
        <v>-5</v>
      </c>
      <c r="S33" s="397">
        <f>SUMIF($D$8:$D$55,$O33,$K$8:$K$55)+SUMIF($F$8:$F$55,$O33,$L$8:$L$55)</f>
        <v>0</v>
      </c>
      <c r="T33" s="444" t="s">
        <v>69</v>
      </c>
      <c r="U33" s="392"/>
      <c r="V33" s="392" t="str">
        <f>O33</f>
        <v>Zwitserland</v>
      </c>
      <c r="W33" s="392" t="s">
        <v>67</v>
      </c>
      <c r="Y33" s="109">
        <f t="shared" si="8"/>
        <v>1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1</v>
      </c>
      <c r="AG33" s="108">
        <f t="shared" si="3"/>
        <v>1</v>
      </c>
      <c r="AH33" s="108">
        <f t="shared" si="4"/>
        <v>0</v>
      </c>
      <c r="AI33" s="108">
        <f t="shared" si="10"/>
        <v>0</v>
      </c>
      <c r="AJ33" s="108">
        <f t="shared" si="5"/>
        <v>0</v>
      </c>
      <c r="AK33" s="108">
        <f t="shared" si="6"/>
        <v>0</v>
      </c>
      <c r="AL33" s="108">
        <f t="shared" si="7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1</v>
      </c>
      <c r="H34" s="367" t="s">
        <v>9</v>
      </c>
      <c r="I34" s="440">
        <v>1</v>
      </c>
      <c r="J34" s="369">
        <f t="shared" si="0"/>
        <v>3</v>
      </c>
      <c r="K34" s="363">
        <f t="shared" si="1"/>
        <v>1</v>
      </c>
      <c r="L34" s="363">
        <f t="shared" si="2"/>
        <v>1</v>
      </c>
      <c r="O34" s="398" t="s">
        <v>26</v>
      </c>
      <c r="P34" s="399">
        <f>SUMIF($D$8:$D$55,$O34,$G$8:$G$55)+SUMIF($F$8:$F$55,$O34,$I$8:$I$55)</f>
        <v>3</v>
      </c>
      <c r="Q34" s="399">
        <f>SUMIF($D$8:$D$55,$O34,$I$8:$I$55)+SUMIF($F$8:$F$55,$O34,$G$8:$G$55)</f>
        <v>3</v>
      </c>
      <c r="R34" s="399">
        <f>P34-Q34</f>
        <v>0</v>
      </c>
      <c r="S34" s="400">
        <f>SUMIF($D$8:$D$55,$O34,$K$8:$K$55)+SUMIF($F$8:$F$55,$O34,$L$8:$L$55)</f>
        <v>3</v>
      </c>
      <c r="T34" s="445" t="s">
        <v>70</v>
      </c>
      <c r="U34" s="392"/>
      <c r="V34" s="392" t="str">
        <f>O34</f>
        <v>Ecuador</v>
      </c>
      <c r="W34" s="392" t="s">
        <v>68</v>
      </c>
      <c r="Y34" s="109">
        <f t="shared" si="8"/>
        <v>1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1</v>
      </c>
      <c r="AG34" s="108">
        <f t="shared" si="3"/>
        <v>1</v>
      </c>
      <c r="AH34" s="108">
        <f t="shared" si="4"/>
        <v>0</v>
      </c>
      <c r="AI34" s="108">
        <f t="shared" si="10"/>
        <v>0</v>
      </c>
      <c r="AJ34" s="108">
        <f t="shared" si="5"/>
        <v>0</v>
      </c>
      <c r="AK34" s="108">
        <f t="shared" si="6"/>
        <v>0</v>
      </c>
      <c r="AL34" s="108">
        <f t="shared" si="7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2</v>
      </c>
      <c r="H35" s="373" t="s">
        <v>9</v>
      </c>
      <c r="I35" s="441">
        <v>0</v>
      </c>
      <c r="J35" s="375">
        <f t="shared" si="0"/>
        <v>1</v>
      </c>
      <c r="K35" s="363">
        <f t="shared" si="1"/>
        <v>3</v>
      </c>
      <c r="L35" s="363">
        <f t="shared" si="2"/>
        <v>0</v>
      </c>
      <c r="O35" s="398" t="s">
        <v>27</v>
      </c>
      <c r="P35" s="399">
        <f>SUMIF($D$8:$D$55,$O35,$G$8:$G$55)+SUMIF($F$8:$F$55,$O35,$I$8:$I$55)</f>
        <v>6</v>
      </c>
      <c r="Q35" s="399">
        <f>SUMIF($D$8:$D$55,$O35,$I$8:$I$55)+SUMIF($F$8:$F$55,$O35,$G$8:$G$55)</f>
        <v>2</v>
      </c>
      <c r="R35" s="399">
        <f>P35-Q35</f>
        <v>4</v>
      </c>
      <c r="S35" s="400">
        <f>SUMIF($D$8:$D$55,$O35,$K$8:$K$55)+SUMIF($F$8:$F$55,$O35,$L$8:$L$55)</f>
        <v>9</v>
      </c>
      <c r="T35" s="445" t="s">
        <v>67</v>
      </c>
      <c r="U35" s="392"/>
      <c r="V35" s="392" t="str">
        <f>O35</f>
        <v>Frankrijk</v>
      </c>
      <c r="W35" s="392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3"/>
        <v>1</v>
      </c>
      <c r="AH35" s="108">
        <f t="shared" si="4"/>
        <v>0</v>
      </c>
      <c r="AI35" s="108">
        <f t="shared" si="10"/>
        <v>0</v>
      </c>
      <c r="AJ35" s="108">
        <f t="shared" si="5"/>
        <v>0</v>
      </c>
      <c r="AK35" s="108">
        <f t="shared" si="6"/>
        <v>0</v>
      </c>
      <c r="AL35" s="108">
        <f t="shared" si="7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0</v>
      </c>
      <c r="H36" s="379" t="s">
        <v>9</v>
      </c>
      <c r="I36" s="442">
        <v>0</v>
      </c>
      <c r="J36" s="381">
        <f t="shared" si="0"/>
        <v>3</v>
      </c>
      <c r="K36" s="363">
        <f t="shared" si="1"/>
        <v>1</v>
      </c>
      <c r="L36" s="363">
        <f t="shared" si="2"/>
        <v>1</v>
      </c>
      <c r="O36" s="401" t="s">
        <v>28</v>
      </c>
      <c r="P36" s="402">
        <f>SUMIF($D$8:$D$55,$O36,$G$8:$G$55)+SUMIF($F$8:$F$55,$O36,$I$8:$I$55)</f>
        <v>3</v>
      </c>
      <c r="Q36" s="402">
        <f>SUMIF($D$8:$D$55,$O36,$I$8:$I$55)+SUMIF($F$8:$F$55,$O36,$G$8:$G$55)</f>
        <v>2</v>
      </c>
      <c r="R36" s="402">
        <f>P36-Q36</f>
        <v>1</v>
      </c>
      <c r="S36" s="403">
        <f>SUMIF($D$8:$D$55,$O36,$K$8:$K$55)+SUMIF($F$8:$F$55,$O36,$L$8:$L$55)</f>
        <v>6</v>
      </c>
      <c r="T36" s="446" t="s">
        <v>68</v>
      </c>
      <c r="U36" s="392"/>
      <c r="V36" s="392" t="str">
        <f>O36</f>
        <v>Honduras</v>
      </c>
      <c r="W36" s="392" t="s">
        <v>70</v>
      </c>
      <c r="Y36" s="109">
        <f t="shared" si="8"/>
        <v>1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1</v>
      </c>
      <c r="AG36" s="108">
        <f t="shared" si="3"/>
        <v>0</v>
      </c>
      <c r="AH36" s="108">
        <f t="shared" si="4"/>
        <v>1</v>
      </c>
      <c r="AI36" s="108">
        <f t="shared" si="10"/>
        <v>0</v>
      </c>
      <c r="AJ36" s="108">
        <f t="shared" si="5"/>
        <v>0</v>
      </c>
      <c r="AK36" s="108">
        <f t="shared" si="6"/>
        <v>0</v>
      </c>
      <c r="AL36" s="108">
        <f t="shared" si="7"/>
        <v>0</v>
      </c>
      <c r="AM36" s="120">
        <f>AO36</f>
        <v>0</v>
      </c>
      <c r="AN36" s="118" t="s">
        <v>28</v>
      </c>
      <c r="AO36" s="115">
        <f>IF(Uitslag!T36="",0,IF(T36=Uitslag!T36,10,0))</f>
        <v>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1</v>
      </c>
      <c r="H37" s="367" t="s">
        <v>9</v>
      </c>
      <c r="I37" s="440">
        <v>3</v>
      </c>
      <c r="J37" s="369">
        <f t="shared" si="0"/>
        <v>2</v>
      </c>
      <c r="K37" s="363">
        <f t="shared" si="1"/>
        <v>0</v>
      </c>
      <c r="L37" s="363">
        <f t="shared" si="2"/>
        <v>3</v>
      </c>
      <c r="O37" s="392"/>
      <c r="P37" s="393"/>
      <c r="Q37" s="393"/>
      <c r="R37" s="393"/>
      <c r="S37" s="393"/>
      <c r="T37" s="393"/>
      <c r="U37" s="392"/>
      <c r="V37" s="392"/>
      <c r="W37" s="392"/>
      <c r="Y37" s="109">
        <f t="shared" si="8"/>
        <v>1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1</v>
      </c>
      <c r="AG37" s="108">
        <f t="shared" si="3"/>
        <v>1</v>
      </c>
      <c r="AH37" s="108">
        <f t="shared" si="4"/>
        <v>0</v>
      </c>
      <c r="AI37" s="108">
        <f t="shared" si="10"/>
        <v>0</v>
      </c>
      <c r="AJ37" s="108">
        <f t="shared" si="5"/>
        <v>0</v>
      </c>
      <c r="AK37" s="108">
        <f t="shared" si="6"/>
        <v>0</v>
      </c>
      <c r="AL37" s="108">
        <f t="shared" si="7"/>
        <v>0</v>
      </c>
      <c r="AN37" s="392"/>
      <c r="AO37" s="393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2</v>
      </c>
      <c r="H38" s="373" t="s">
        <v>9</v>
      </c>
      <c r="I38" s="441">
        <v>1</v>
      </c>
      <c r="J38" s="375">
        <f t="shared" si="0"/>
        <v>1</v>
      </c>
      <c r="K38" s="363">
        <f t="shared" si="1"/>
        <v>3</v>
      </c>
      <c r="L38" s="363">
        <f t="shared" si="2"/>
        <v>0</v>
      </c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392"/>
      <c r="V38" s="392"/>
      <c r="W38" s="392"/>
      <c r="Y38" s="109">
        <f t="shared" si="8"/>
        <v>1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1</v>
      </c>
      <c r="AG38" s="108">
        <f t="shared" si="3"/>
        <v>1</v>
      </c>
      <c r="AH38" s="108">
        <f t="shared" si="4"/>
        <v>0</v>
      </c>
      <c r="AI38" s="108">
        <f t="shared" si="10"/>
        <v>0</v>
      </c>
      <c r="AJ38" s="108">
        <f t="shared" si="5"/>
        <v>0</v>
      </c>
      <c r="AK38" s="108">
        <f t="shared" si="6"/>
        <v>0</v>
      </c>
      <c r="AL38" s="108">
        <f t="shared" si="7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2</v>
      </c>
      <c r="H39" s="379" t="s">
        <v>9</v>
      </c>
      <c r="I39" s="442">
        <v>2</v>
      </c>
      <c r="J39" s="381">
        <f t="shared" si="0"/>
        <v>3</v>
      </c>
      <c r="K39" s="363">
        <f t="shared" si="1"/>
        <v>1</v>
      </c>
      <c r="L39" s="363">
        <f t="shared" si="2"/>
        <v>1</v>
      </c>
      <c r="O39" s="394" t="s">
        <v>29</v>
      </c>
      <c r="P39" s="395">
        <f>SUMIF($D$8:$D$55,$O39,$G$8:$G$55)+SUMIF($F$8:$F$55,$O39,$I$8:$I$55)</f>
        <v>3</v>
      </c>
      <c r="Q39" s="395">
        <f>SUMIF($D$8:$D$55,$O39,$I$8:$I$55)+SUMIF($F$8:$F$55,$O39,$G$8:$G$55)</f>
        <v>2</v>
      </c>
      <c r="R39" s="396">
        <f>P39-Q39</f>
        <v>1</v>
      </c>
      <c r="S39" s="397">
        <f>SUMIF($D$8:$D$55,$O39,$K$8:$K$55)+SUMIF($F$8:$F$55,$O39,$L$8:$L$55)</f>
        <v>5</v>
      </c>
      <c r="T39" s="444" t="s">
        <v>72</v>
      </c>
      <c r="U39" s="392"/>
      <c r="V39" s="392" t="str">
        <f>O39</f>
        <v>Argentinië</v>
      </c>
      <c r="W39" s="392" t="s">
        <v>72</v>
      </c>
      <c r="Y39" s="109">
        <f t="shared" si="8"/>
        <v>10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10</v>
      </c>
      <c r="AG39" s="108">
        <f t="shared" si="3"/>
        <v>1</v>
      </c>
      <c r="AH39" s="108">
        <f t="shared" si="4"/>
        <v>1</v>
      </c>
      <c r="AI39" s="108">
        <f t="shared" si="10"/>
        <v>10</v>
      </c>
      <c r="AJ39" s="108">
        <f t="shared" si="5"/>
        <v>0</v>
      </c>
      <c r="AK39" s="108">
        <f t="shared" si="6"/>
        <v>0</v>
      </c>
      <c r="AL39" s="108">
        <f t="shared" si="7"/>
        <v>5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1</v>
      </c>
      <c r="H40" s="367" t="s">
        <v>9</v>
      </c>
      <c r="I40" s="440">
        <v>0</v>
      </c>
      <c r="J40" s="369">
        <f t="shared" si="0"/>
        <v>1</v>
      </c>
      <c r="K40" s="363">
        <f t="shared" si="1"/>
        <v>3</v>
      </c>
      <c r="L40" s="363">
        <f t="shared" si="2"/>
        <v>0</v>
      </c>
      <c r="O40" s="398" t="s">
        <v>30</v>
      </c>
      <c r="P40" s="399">
        <f>SUMIF($D$8:$D$55,$O40,$G$8:$G$55)+SUMIF($F$8:$F$55,$O40,$I$8:$I$55)</f>
        <v>1</v>
      </c>
      <c r="Q40" s="399">
        <f>SUMIF($D$8:$D$55,$O40,$I$8:$I$55)+SUMIF($F$8:$F$55,$O40,$G$8:$G$55)</f>
        <v>1</v>
      </c>
      <c r="R40" s="399">
        <f>P40-Q40</f>
        <v>0</v>
      </c>
      <c r="S40" s="400">
        <f>SUMIF($D$8:$D$55,$O40,$K$8:$K$55)+SUMIF($F$8:$F$55,$O40,$L$8:$L$55)</f>
        <v>3</v>
      </c>
      <c r="T40" s="445" t="s">
        <v>75</v>
      </c>
      <c r="U40" s="392"/>
      <c r="V40" s="392" t="str">
        <f>O40</f>
        <v>Bosnië H.</v>
      </c>
      <c r="W40" s="392" t="s">
        <v>73</v>
      </c>
      <c r="Y40" s="109">
        <f t="shared" si="8"/>
        <v>0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0</v>
      </c>
      <c r="AG40" s="108">
        <f t="shared" si="3"/>
        <v>0</v>
      </c>
      <c r="AH40" s="108">
        <f t="shared" si="4"/>
        <v>0</v>
      </c>
      <c r="AI40" s="108">
        <f t="shared" si="10"/>
        <v>0</v>
      </c>
      <c r="AJ40" s="108">
        <f t="shared" si="5"/>
        <v>0</v>
      </c>
      <c r="AK40" s="108">
        <f t="shared" si="6"/>
        <v>0</v>
      </c>
      <c r="AL40" s="108">
        <f t="shared" si="7"/>
        <v>0</v>
      </c>
      <c r="AM40" s="120">
        <f>AO40</f>
        <v>0</v>
      </c>
      <c r="AN40" s="117" t="s">
        <v>30</v>
      </c>
      <c r="AO40" s="115">
        <f>IF(Uitslag!T40="",0,IF(T40=Uitslag!T40,10,0))</f>
        <v>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2</v>
      </c>
      <c r="H41" s="373" t="s">
        <v>9</v>
      </c>
      <c r="I41" s="441">
        <v>0</v>
      </c>
      <c r="J41" s="375">
        <f t="shared" si="0"/>
        <v>1</v>
      </c>
      <c r="K41" s="363">
        <f t="shared" si="1"/>
        <v>3</v>
      </c>
      <c r="L41" s="363">
        <f t="shared" si="2"/>
        <v>0</v>
      </c>
      <c r="O41" s="398" t="s">
        <v>33</v>
      </c>
      <c r="P41" s="399">
        <f>SUMIF($D$8:$D$55,$O41,$G$8:$G$55)+SUMIF($F$8:$F$55,$O41,$I$8:$I$55)</f>
        <v>2</v>
      </c>
      <c r="Q41" s="399">
        <f>SUMIF($D$8:$D$55,$O41,$I$8:$I$55)+SUMIF($F$8:$F$55,$O41,$G$8:$G$55)</f>
        <v>1</v>
      </c>
      <c r="R41" s="399">
        <f>P41-Q41</f>
        <v>1</v>
      </c>
      <c r="S41" s="400">
        <f>SUMIF($D$8:$D$55,$O41,$K$8:$K$55)+SUMIF($F$8:$F$55,$O41,$L$8:$L$55)</f>
        <v>5</v>
      </c>
      <c r="T41" s="445" t="s">
        <v>74</v>
      </c>
      <c r="U41" s="392"/>
      <c r="V41" s="392" t="str">
        <f>O41</f>
        <v>Iran</v>
      </c>
      <c r="W41" s="392" t="s">
        <v>74</v>
      </c>
      <c r="Y41" s="109">
        <f t="shared" si="8"/>
        <v>10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10</v>
      </c>
      <c r="AG41" s="108">
        <f t="shared" si="3"/>
        <v>1</v>
      </c>
      <c r="AH41" s="108">
        <f t="shared" si="4"/>
        <v>1</v>
      </c>
      <c r="AI41" s="108">
        <f t="shared" si="10"/>
        <v>10</v>
      </c>
      <c r="AJ41" s="108">
        <f t="shared" si="5"/>
        <v>5</v>
      </c>
      <c r="AK41" s="108">
        <f t="shared" si="6"/>
        <v>0</v>
      </c>
      <c r="AL41" s="108">
        <f t="shared" si="7"/>
        <v>0</v>
      </c>
      <c r="AM41" s="120">
        <f>AO41</f>
        <v>0</v>
      </c>
      <c r="AN41" s="117" t="s">
        <v>33</v>
      </c>
      <c r="AO41" s="115">
        <f>IF(Uitslag!T41="",0,IF(T41=Uitslag!T41,10,0))</f>
        <v>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1</v>
      </c>
      <c r="H42" s="373" t="s">
        <v>9</v>
      </c>
      <c r="I42" s="441">
        <v>0</v>
      </c>
      <c r="J42" s="375">
        <f t="shared" si="0"/>
        <v>1</v>
      </c>
      <c r="K42" s="363">
        <f t="shared" si="1"/>
        <v>3</v>
      </c>
      <c r="L42" s="363">
        <f t="shared" si="2"/>
        <v>0</v>
      </c>
      <c r="O42" s="401" t="s">
        <v>34</v>
      </c>
      <c r="P42" s="402">
        <f>SUMIF($D$8:$D$55,$O42,$G$8:$G$55)+SUMIF($F$8:$F$55,$O42,$I$8:$I$55)</f>
        <v>0</v>
      </c>
      <c r="Q42" s="402">
        <f>SUMIF($D$8:$D$55,$O42,$I$8:$I$55)+SUMIF($F$8:$F$55,$O42,$G$8:$G$55)</f>
        <v>2</v>
      </c>
      <c r="R42" s="402">
        <f>P42-Q42</f>
        <v>-2</v>
      </c>
      <c r="S42" s="403">
        <f>SUMIF($D$8:$D$55,$O42,$K$8:$K$55)+SUMIF($F$8:$F$55,$O42,$L$8:$L$55)</f>
        <v>1</v>
      </c>
      <c r="T42" s="446" t="s">
        <v>73</v>
      </c>
      <c r="U42" s="392"/>
      <c r="V42" s="392" t="str">
        <f>O42</f>
        <v>Nigeria</v>
      </c>
      <c r="W42" s="392" t="s">
        <v>75</v>
      </c>
      <c r="Y42" s="109">
        <f t="shared" si="8"/>
        <v>1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1</v>
      </c>
      <c r="AG42" s="108">
        <f t="shared" si="3"/>
        <v>1</v>
      </c>
      <c r="AH42" s="108">
        <f t="shared" si="4"/>
        <v>0</v>
      </c>
      <c r="AI42" s="108">
        <f t="shared" si="10"/>
        <v>0</v>
      </c>
      <c r="AJ42" s="108">
        <f t="shared" si="5"/>
        <v>0</v>
      </c>
      <c r="AK42" s="108">
        <f t="shared" si="6"/>
        <v>0</v>
      </c>
      <c r="AL42" s="108">
        <f t="shared" si="7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1</v>
      </c>
      <c r="H43" s="379" t="s">
        <v>9</v>
      </c>
      <c r="I43" s="442">
        <v>0</v>
      </c>
      <c r="J43" s="381">
        <f t="shared" si="0"/>
        <v>1</v>
      </c>
      <c r="K43" s="363">
        <f t="shared" si="1"/>
        <v>3</v>
      </c>
      <c r="L43" s="363">
        <f t="shared" si="2"/>
        <v>0</v>
      </c>
      <c r="O43" s="392"/>
      <c r="P43" s="393"/>
      <c r="Q43" s="393"/>
      <c r="R43" s="393"/>
      <c r="S43" s="393"/>
      <c r="T43" s="393"/>
      <c r="U43" s="392"/>
      <c r="V43" s="392"/>
      <c r="W43" s="392"/>
      <c r="Y43" s="109">
        <f t="shared" si="8"/>
        <v>1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1</v>
      </c>
      <c r="AG43" s="108">
        <f t="shared" si="3"/>
        <v>1</v>
      </c>
      <c r="AH43" s="108">
        <f t="shared" si="4"/>
        <v>0</v>
      </c>
      <c r="AI43" s="108">
        <f t="shared" si="10"/>
        <v>0</v>
      </c>
      <c r="AJ43" s="108">
        <f t="shared" si="5"/>
        <v>0</v>
      </c>
      <c r="AK43" s="108">
        <f t="shared" si="6"/>
        <v>0</v>
      </c>
      <c r="AL43" s="108">
        <f t="shared" si="7"/>
        <v>0</v>
      </c>
      <c r="AN43" s="392"/>
      <c r="AO43" s="393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1</v>
      </c>
      <c r="H44" s="367" t="s">
        <v>9</v>
      </c>
      <c r="I44" s="440">
        <v>1</v>
      </c>
      <c r="J44" s="369">
        <f t="shared" si="0"/>
        <v>3</v>
      </c>
      <c r="K44" s="363">
        <f t="shared" si="1"/>
        <v>1</v>
      </c>
      <c r="L44" s="363">
        <f t="shared" si="2"/>
        <v>1</v>
      </c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392"/>
      <c r="V44" s="392"/>
      <c r="W44" s="392"/>
      <c r="Y44" s="109">
        <f t="shared" si="8"/>
        <v>1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1</v>
      </c>
      <c r="AG44" s="108">
        <f t="shared" si="3"/>
        <v>0</v>
      </c>
      <c r="AH44" s="108">
        <f t="shared" si="4"/>
        <v>1</v>
      </c>
      <c r="AI44" s="108">
        <f t="shared" si="10"/>
        <v>0</v>
      </c>
      <c r="AJ44" s="108">
        <f t="shared" si="5"/>
        <v>0</v>
      </c>
      <c r="AK44" s="108">
        <f t="shared" si="6"/>
        <v>0</v>
      </c>
      <c r="AL44" s="108">
        <f t="shared" si="7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1</v>
      </c>
      <c r="H45" s="373" t="s">
        <v>9</v>
      </c>
      <c r="I45" s="441">
        <v>0</v>
      </c>
      <c r="J45" s="375">
        <f t="shared" si="0"/>
        <v>1</v>
      </c>
      <c r="K45" s="363">
        <f t="shared" si="1"/>
        <v>3</v>
      </c>
      <c r="L45" s="363">
        <f t="shared" si="2"/>
        <v>0</v>
      </c>
      <c r="O45" s="394" t="s">
        <v>31</v>
      </c>
      <c r="P45" s="395">
        <f>SUMIF($D$8:$D$55,$O45,$G$8:$G$55)+SUMIF($F$8:$F$55,$O45,$I$8:$I$55)</f>
        <v>6</v>
      </c>
      <c r="Q45" s="395">
        <f>SUMIF($D$8:$D$55,$O45,$I$8:$I$55)+SUMIF($F$8:$F$55,$O45,$G$8:$G$55)</f>
        <v>2</v>
      </c>
      <c r="R45" s="396">
        <f>P45-Q45</f>
        <v>4</v>
      </c>
      <c r="S45" s="397">
        <f>SUMIF($D$8:$D$55,$O45,$K$8:$K$55)+SUMIF($F$8:$F$55,$O45,$L$8:$L$55)</f>
        <v>7</v>
      </c>
      <c r="T45" s="444" t="s">
        <v>77</v>
      </c>
      <c r="U45" s="392"/>
      <c r="V45" s="392" t="str">
        <f>O45</f>
        <v>Duitsland</v>
      </c>
      <c r="W45" s="392" t="s">
        <v>77</v>
      </c>
      <c r="Y45" s="109">
        <f t="shared" si="8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1</v>
      </c>
      <c r="AG45" s="108">
        <f t="shared" si="3"/>
        <v>0</v>
      </c>
      <c r="AH45" s="108">
        <f t="shared" si="4"/>
        <v>1</v>
      </c>
      <c r="AI45" s="108">
        <f t="shared" si="10"/>
        <v>0</v>
      </c>
      <c r="AJ45" s="108">
        <f t="shared" si="5"/>
        <v>0</v>
      </c>
      <c r="AK45" s="108">
        <f t="shared" si="6"/>
        <v>0</v>
      </c>
      <c r="AL45" s="108">
        <f t="shared" si="7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1</v>
      </c>
      <c r="H46" s="373" t="s">
        <v>9</v>
      </c>
      <c r="I46" s="441">
        <v>0</v>
      </c>
      <c r="J46" s="375">
        <f t="shared" si="0"/>
        <v>1</v>
      </c>
      <c r="K46" s="363">
        <f t="shared" si="1"/>
        <v>3</v>
      </c>
      <c r="L46" s="363">
        <f t="shared" si="2"/>
        <v>0</v>
      </c>
      <c r="O46" s="398" t="s">
        <v>32</v>
      </c>
      <c r="P46" s="399">
        <f>SUMIF($D$8:$D$55,$O46,$G$8:$G$55)+SUMIF($F$8:$F$55,$O46,$I$8:$I$55)</f>
        <v>3</v>
      </c>
      <c r="Q46" s="399">
        <f>SUMIF($D$8:$D$55,$O46,$I$8:$I$55)+SUMIF($F$8:$F$55,$O46,$G$8:$G$55)</f>
        <v>4</v>
      </c>
      <c r="R46" s="399">
        <f>P46-Q46</f>
        <v>-1</v>
      </c>
      <c r="S46" s="400">
        <f>SUMIF($D$8:$D$55,$O46,$K$8:$K$55)+SUMIF($F$8:$F$55,$O46,$L$8:$L$55)</f>
        <v>4</v>
      </c>
      <c r="T46" s="445" t="s">
        <v>80</v>
      </c>
      <c r="U46" s="392"/>
      <c r="V46" s="392" t="str">
        <f>O46</f>
        <v>Portugal</v>
      </c>
      <c r="W46" s="392" t="s">
        <v>78</v>
      </c>
      <c r="Y46" s="109">
        <f t="shared" si="8"/>
        <v>1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1</v>
      </c>
      <c r="AG46" s="108">
        <f t="shared" si="3"/>
        <v>1</v>
      </c>
      <c r="AH46" s="108">
        <f t="shared" si="4"/>
        <v>0</v>
      </c>
      <c r="AI46" s="108">
        <f t="shared" si="10"/>
        <v>0</v>
      </c>
      <c r="AJ46" s="108">
        <f t="shared" si="5"/>
        <v>0</v>
      </c>
      <c r="AK46" s="108">
        <f t="shared" si="6"/>
        <v>0</v>
      </c>
      <c r="AL46" s="108">
        <f t="shared" si="7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0</v>
      </c>
      <c r="H47" s="379" t="s">
        <v>9</v>
      </c>
      <c r="I47" s="442">
        <v>1</v>
      </c>
      <c r="J47" s="381">
        <f t="shared" si="0"/>
        <v>2</v>
      </c>
      <c r="K47" s="363">
        <f t="shared" si="1"/>
        <v>0</v>
      </c>
      <c r="L47" s="363">
        <f t="shared" si="2"/>
        <v>3</v>
      </c>
      <c r="O47" s="398" t="s">
        <v>35</v>
      </c>
      <c r="P47" s="399">
        <f>SUMIF($D$8:$D$55,$O47,$G$8:$G$55)+SUMIF($F$8:$F$55,$O47,$I$8:$I$55)</f>
        <v>1</v>
      </c>
      <c r="Q47" s="399">
        <f>SUMIF($D$8:$D$55,$O47,$I$8:$I$55)+SUMIF($F$8:$F$55,$O47,$G$8:$G$55)</f>
        <v>5</v>
      </c>
      <c r="R47" s="399">
        <f>P47-Q47</f>
        <v>-4</v>
      </c>
      <c r="S47" s="400">
        <f>SUMIF($D$8:$D$55,$O47,$K$8:$K$55)+SUMIF($F$8:$F$55,$O47,$L$8:$L$55)</f>
        <v>0</v>
      </c>
      <c r="T47" s="445" t="s">
        <v>79</v>
      </c>
      <c r="U47" s="392"/>
      <c r="V47" s="392" t="str">
        <f>O47</f>
        <v>Ghana</v>
      </c>
      <c r="W47" s="392" t="s">
        <v>79</v>
      </c>
      <c r="Y47" s="109">
        <f t="shared" si="8"/>
        <v>1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1</v>
      </c>
      <c r="AG47" s="108">
        <f t="shared" si="3"/>
        <v>0</v>
      </c>
      <c r="AH47" s="108">
        <f t="shared" si="4"/>
        <v>1</v>
      </c>
      <c r="AI47" s="108">
        <f t="shared" si="10"/>
        <v>0</v>
      </c>
      <c r="AJ47" s="108">
        <f t="shared" si="5"/>
        <v>0</v>
      </c>
      <c r="AK47" s="108">
        <f t="shared" si="6"/>
        <v>0</v>
      </c>
      <c r="AL47" s="108">
        <f t="shared" si="7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0</v>
      </c>
      <c r="H48" s="367" t="s">
        <v>9</v>
      </c>
      <c r="I48" s="440">
        <v>1</v>
      </c>
      <c r="J48" s="369">
        <f t="shared" si="0"/>
        <v>2</v>
      </c>
      <c r="K48" s="363">
        <f t="shared" si="1"/>
        <v>0</v>
      </c>
      <c r="L48" s="363">
        <f t="shared" si="2"/>
        <v>3</v>
      </c>
      <c r="O48" s="401" t="s">
        <v>36</v>
      </c>
      <c r="P48" s="402">
        <f>SUMIF($D$8:$D$55,$O48,$G$8:$G$55)+SUMIF($F$8:$F$55,$O48,$I$8:$I$55)</f>
        <v>6</v>
      </c>
      <c r="Q48" s="402">
        <f>SUMIF($D$8:$D$55,$O48,$I$8:$I$55)+SUMIF($F$8:$F$55,$O48,$G$8:$G$55)</f>
        <v>5</v>
      </c>
      <c r="R48" s="402">
        <f>P48-Q48</f>
        <v>1</v>
      </c>
      <c r="S48" s="403">
        <f>SUMIF($D$8:$D$55,$O48,$K$8:$K$55)+SUMIF($F$8:$F$55,$O48,$L$8:$L$55)</f>
        <v>5</v>
      </c>
      <c r="T48" s="446" t="s">
        <v>78</v>
      </c>
      <c r="U48" s="392"/>
      <c r="V48" s="392" t="str">
        <f>O48</f>
        <v>Verenigde Staten</v>
      </c>
      <c r="W48" s="392" t="s">
        <v>80</v>
      </c>
      <c r="Y48" s="109">
        <f t="shared" si="8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5</v>
      </c>
      <c r="AG48" s="108">
        <f t="shared" si="3"/>
        <v>0</v>
      </c>
      <c r="AH48" s="108">
        <f t="shared" si="4"/>
        <v>0</v>
      </c>
      <c r="AI48" s="108">
        <f t="shared" si="10"/>
        <v>0</v>
      </c>
      <c r="AJ48" s="108">
        <f t="shared" si="5"/>
        <v>0</v>
      </c>
      <c r="AK48" s="108">
        <f t="shared" si="6"/>
        <v>5</v>
      </c>
      <c r="AL48" s="108">
        <f t="shared" si="7"/>
        <v>0</v>
      </c>
      <c r="AM48" s="120">
        <f>AO48</f>
        <v>10</v>
      </c>
      <c r="AN48" s="118" t="s">
        <v>36</v>
      </c>
      <c r="AO48" s="115">
        <f>IF(Uitslag!T48="",0,IF(T48=Uitslag!T48,10,0))</f>
        <v>10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0</v>
      </c>
      <c r="H49" s="373" t="s">
        <v>9</v>
      </c>
      <c r="I49" s="441">
        <v>0</v>
      </c>
      <c r="J49" s="375">
        <f t="shared" si="0"/>
        <v>3</v>
      </c>
      <c r="K49" s="363">
        <f t="shared" si="1"/>
        <v>1</v>
      </c>
      <c r="L49" s="363">
        <f t="shared" si="2"/>
        <v>1</v>
      </c>
      <c r="O49" s="392"/>
      <c r="P49" s="393"/>
      <c r="Q49" s="393"/>
      <c r="R49" s="393"/>
      <c r="S49" s="393"/>
      <c r="T49" s="393"/>
      <c r="U49" s="392"/>
      <c r="V49" s="392"/>
      <c r="W49" s="392"/>
      <c r="Y49" s="109">
        <f t="shared" si="8"/>
        <v>0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0</v>
      </c>
      <c r="AG49" s="108">
        <f t="shared" si="3"/>
        <v>0</v>
      </c>
      <c r="AH49" s="108">
        <f t="shared" si="4"/>
        <v>0</v>
      </c>
      <c r="AI49" s="108">
        <f t="shared" si="10"/>
        <v>0</v>
      </c>
      <c r="AJ49" s="108">
        <f t="shared" si="5"/>
        <v>0</v>
      </c>
      <c r="AK49" s="108">
        <f t="shared" si="6"/>
        <v>0</v>
      </c>
      <c r="AL49" s="108">
        <f t="shared" si="7"/>
        <v>0</v>
      </c>
      <c r="AN49" s="392"/>
      <c r="AO49" s="393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1</v>
      </c>
      <c r="H50" s="373" t="s">
        <v>9</v>
      </c>
      <c r="I50" s="441">
        <v>0</v>
      </c>
      <c r="J50" s="375">
        <f t="shared" si="0"/>
        <v>1</v>
      </c>
      <c r="K50" s="363">
        <f t="shared" si="1"/>
        <v>3</v>
      </c>
      <c r="L50" s="363">
        <f t="shared" si="2"/>
        <v>0</v>
      </c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392"/>
      <c r="V50" s="392"/>
      <c r="W50" s="392"/>
      <c r="Y50" s="109">
        <f t="shared" si="8"/>
        <v>0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0</v>
      </c>
      <c r="AG50" s="108">
        <f t="shared" si="3"/>
        <v>0</v>
      </c>
      <c r="AH50" s="108">
        <f t="shared" si="4"/>
        <v>0</v>
      </c>
      <c r="AI50" s="108">
        <f t="shared" si="10"/>
        <v>0</v>
      </c>
      <c r="AJ50" s="108">
        <f t="shared" si="5"/>
        <v>0</v>
      </c>
      <c r="AK50" s="108">
        <f t="shared" si="6"/>
        <v>0</v>
      </c>
      <c r="AL50" s="108">
        <f t="shared" si="7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1</v>
      </c>
      <c r="H51" s="379" t="s">
        <v>9</v>
      </c>
      <c r="I51" s="442">
        <v>2</v>
      </c>
      <c r="J51" s="381">
        <f t="shared" si="0"/>
        <v>2</v>
      </c>
      <c r="K51" s="363">
        <f t="shared" si="1"/>
        <v>0</v>
      </c>
      <c r="L51" s="363">
        <f t="shared" si="2"/>
        <v>3</v>
      </c>
      <c r="O51" s="394" t="s">
        <v>37</v>
      </c>
      <c r="P51" s="395">
        <f>SUMIF($D$8:$D$55,$O51,$G$8:$G$55)+SUMIF($F$8:$F$55,$O51,$I$8:$I$55)</f>
        <v>3</v>
      </c>
      <c r="Q51" s="395">
        <f>SUMIF($D$8:$D$55,$O51,$I$8:$I$55)+SUMIF($F$8:$F$55,$O51,$G$8:$G$55)</f>
        <v>3</v>
      </c>
      <c r="R51" s="396">
        <f>P51-Q51</f>
        <v>0</v>
      </c>
      <c r="S51" s="397">
        <f>SUMIF($D$8:$D$55,$O51,$K$8:$K$55)+SUMIF($F$8:$F$55,$O51,$L$8:$L$55)</f>
        <v>4</v>
      </c>
      <c r="T51" s="444" t="s">
        <v>85</v>
      </c>
      <c r="U51" s="392"/>
      <c r="V51" s="392" t="str">
        <f>O51</f>
        <v>België</v>
      </c>
      <c r="W51" s="392" t="s">
        <v>82</v>
      </c>
      <c r="Y51" s="109">
        <f t="shared" si="8"/>
        <v>0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0</v>
      </c>
      <c r="AG51" s="108">
        <f t="shared" si="3"/>
        <v>0</v>
      </c>
      <c r="AH51" s="108">
        <f t="shared" si="4"/>
        <v>0</v>
      </c>
      <c r="AI51" s="108">
        <f t="shared" si="10"/>
        <v>0</v>
      </c>
      <c r="AJ51" s="108">
        <f t="shared" si="5"/>
        <v>0</v>
      </c>
      <c r="AK51" s="108">
        <f t="shared" si="6"/>
        <v>0</v>
      </c>
      <c r="AL51" s="108">
        <f t="shared" si="7"/>
        <v>0</v>
      </c>
      <c r="AM51" s="120">
        <f>AO51</f>
        <v>0</v>
      </c>
      <c r="AN51" s="116" t="s">
        <v>37</v>
      </c>
      <c r="AO51" s="115">
        <f>IF(Uitslag!T51="",0,IF(T51=Uitslag!T51,10,0))</f>
        <v>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2</v>
      </c>
      <c r="H52" s="373" t="s">
        <v>9</v>
      </c>
      <c r="I52" s="441">
        <v>2</v>
      </c>
      <c r="J52" s="369">
        <f t="shared" si="0"/>
        <v>3</v>
      </c>
      <c r="K52" s="363">
        <f t="shared" si="1"/>
        <v>1</v>
      </c>
      <c r="L52" s="363">
        <f t="shared" si="2"/>
        <v>1</v>
      </c>
      <c r="O52" s="398" t="s">
        <v>38</v>
      </c>
      <c r="P52" s="399">
        <f>SUMIF($D$8:$D$55,$O52,$G$8:$G$55)+SUMIF($F$8:$F$55,$O52,$I$8:$I$55)</f>
        <v>2</v>
      </c>
      <c r="Q52" s="399">
        <f>SUMIF($D$8:$D$55,$O52,$I$8:$I$55)+SUMIF($F$8:$F$55,$O52,$G$8:$G$55)</f>
        <v>5</v>
      </c>
      <c r="R52" s="399">
        <f>P52-Q52</f>
        <v>-3</v>
      </c>
      <c r="S52" s="400">
        <f>SUMIF($D$8:$D$55,$O52,$K$8:$K$55)+SUMIF($F$8:$F$55,$O52,$L$8:$L$55)</f>
        <v>1</v>
      </c>
      <c r="T52" s="445" t="s">
        <v>84</v>
      </c>
      <c r="U52" s="392"/>
      <c r="V52" s="392" t="str">
        <f>O52</f>
        <v>Algerije</v>
      </c>
      <c r="W52" s="392" t="s">
        <v>83</v>
      </c>
      <c r="Y52" s="109">
        <f t="shared" si="8"/>
        <v>0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0</v>
      </c>
      <c r="AG52" s="108">
        <f t="shared" si="3"/>
        <v>0</v>
      </c>
      <c r="AH52" s="108">
        <f t="shared" si="4"/>
        <v>0</v>
      </c>
      <c r="AI52" s="108">
        <f t="shared" si="10"/>
        <v>0</v>
      </c>
      <c r="AJ52" s="108">
        <f t="shared" si="5"/>
        <v>0</v>
      </c>
      <c r="AK52" s="108">
        <f t="shared" si="6"/>
        <v>0</v>
      </c>
      <c r="AL52" s="108">
        <f t="shared" si="7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1</v>
      </c>
      <c r="H53" s="373" t="s">
        <v>9</v>
      </c>
      <c r="I53" s="441">
        <v>0</v>
      </c>
      <c r="J53" s="375">
        <f t="shared" si="0"/>
        <v>1</v>
      </c>
      <c r="K53" s="363">
        <f t="shared" si="1"/>
        <v>3</v>
      </c>
      <c r="L53" s="363">
        <f t="shared" si="2"/>
        <v>0</v>
      </c>
      <c r="O53" s="398" t="s">
        <v>39</v>
      </c>
      <c r="P53" s="399">
        <f>SUMIF($D$8:$D$55,$O53,$G$8:$G$55)+SUMIF($F$8:$F$55,$O53,$I$8:$I$55)</f>
        <v>6</v>
      </c>
      <c r="Q53" s="399">
        <f>SUMIF($D$8:$D$55,$O53,$I$8:$I$55)+SUMIF($F$8:$F$55,$O53,$G$8:$G$55)</f>
        <v>3</v>
      </c>
      <c r="R53" s="399">
        <f>P53-Q53</f>
        <v>3</v>
      </c>
      <c r="S53" s="400">
        <f>SUMIF($D$8:$D$55,$O53,$K$8:$K$55)+SUMIF($F$8:$F$55,$O53,$L$8:$L$55)</f>
        <v>7</v>
      </c>
      <c r="T53" s="445" t="s">
        <v>82</v>
      </c>
      <c r="U53" s="392"/>
      <c r="V53" s="392" t="str">
        <f>O53</f>
        <v>Rusland</v>
      </c>
      <c r="W53" s="392" t="s">
        <v>84</v>
      </c>
      <c r="Y53" s="109">
        <f t="shared" si="8"/>
        <v>5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5</v>
      </c>
      <c r="AG53" s="108">
        <f t="shared" si="3"/>
        <v>0</v>
      </c>
      <c r="AH53" s="108">
        <f t="shared" si="4"/>
        <v>0</v>
      </c>
      <c r="AI53" s="108">
        <f t="shared" si="10"/>
        <v>0</v>
      </c>
      <c r="AJ53" s="108">
        <f t="shared" si="5"/>
        <v>5</v>
      </c>
      <c r="AK53" s="108">
        <f t="shared" si="6"/>
        <v>0</v>
      </c>
      <c r="AL53" s="108">
        <f t="shared" si="7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0</v>
      </c>
      <c r="H54" s="373" t="s">
        <v>9</v>
      </c>
      <c r="I54" s="441">
        <v>0</v>
      </c>
      <c r="J54" s="375">
        <f t="shared" si="0"/>
        <v>3</v>
      </c>
      <c r="K54" s="363">
        <f t="shared" si="1"/>
        <v>1</v>
      </c>
      <c r="L54" s="363">
        <f t="shared" si="2"/>
        <v>1</v>
      </c>
      <c r="O54" s="401" t="s">
        <v>40</v>
      </c>
      <c r="P54" s="402">
        <f>SUMIF($D$8:$D$55,$O54,$G$8:$G$55)+SUMIF($F$8:$F$55,$O54,$I$8:$I$55)</f>
        <v>3</v>
      </c>
      <c r="Q54" s="402">
        <f>SUMIF($D$8:$D$55,$O54,$I$8:$I$55)+SUMIF($F$8:$F$55,$O54,$G$8:$G$55)</f>
        <v>3</v>
      </c>
      <c r="R54" s="402">
        <f>P54-Q54</f>
        <v>0</v>
      </c>
      <c r="S54" s="403">
        <f>SUMIF($D$8:$D$55,$O54,$K$8:$K$55)+SUMIF($F$8:$F$55,$O54,$L$8:$L$55)</f>
        <v>4</v>
      </c>
      <c r="T54" s="446" t="s">
        <v>83</v>
      </c>
      <c r="U54" s="392"/>
      <c r="V54" s="392" t="str">
        <f>O54</f>
        <v>Zuid Korea</v>
      </c>
      <c r="W54" s="392" t="s">
        <v>85</v>
      </c>
      <c r="Y54" s="109">
        <f t="shared" si="8"/>
        <v>1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1</v>
      </c>
      <c r="AG54" s="108">
        <f t="shared" si="3"/>
        <v>1</v>
      </c>
      <c r="AH54" s="108">
        <f t="shared" si="4"/>
        <v>0</v>
      </c>
      <c r="AI54" s="108">
        <f t="shared" si="10"/>
        <v>0</v>
      </c>
      <c r="AJ54" s="108">
        <f t="shared" si="5"/>
        <v>0</v>
      </c>
      <c r="AK54" s="108">
        <f t="shared" si="6"/>
        <v>0</v>
      </c>
      <c r="AL54" s="108">
        <f t="shared" si="7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1</v>
      </c>
      <c r="H55" s="388" t="s">
        <v>9</v>
      </c>
      <c r="I55" s="443">
        <v>1</v>
      </c>
      <c r="J55" s="390">
        <f t="shared" si="0"/>
        <v>3</v>
      </c>
      <c r="K55" s="363">
        <f t="shared" si="1"/>
        <v>1</v>
      </c>
      <c r="L55" s="363">
        <f t="shared" si="2"/>
        <v>1</v>
      </c>
      <c r="O55" s="392"/>
      <c r="P55" s="393"/>
      <c r="Q55" s="393"/>
      <c r="R55" s="393"/>
      <c r="S55" s="393"/>
      <c r="T55" s="393"/>
      <c r="U55" s="392"/>
      <c r="V55" s="392"/>
      <c r="W55" s="392"/>
      <c r="Y55" s="109">
        <f t="shared" si="8"/>
        <v>10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10</v>
      </c>
      <c r="AG55" s="108">
        <f t="shared" si="3"/>
        <v>1</v>
      </c>
      <c r="AH55" s="108">
        <f t="shared" si="4"/>
        <v>1</v>
      </c>
      <c r="AI55" s="108">
        <f t="shared" si="10"/>
        <v>10</v>
      </c>
      <c r="AJ55" s="108">
        <f t="shared" si="5"/>
        <v>0</v>
      </c>
      <c r="AK55" s="108">
        <f t="shared" si="6"/>
        <v>0</v>
      </c>
      <c r="AL55" s="108">
        <f t="shared" si="7"/>
        <v>5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837"/>
      <c r="K57" s="353"/>
      <c r="L57" s="353"/>
      <c r="M57" s="353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836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O58" s="458">
        <v>1</v>
      </c>
      <c r="P58" s="877" t="s">
        <v>224</v>
      </c>
      <c r="Q58" s="877"/>
      <c r="R58" s="877"/>
      <c r="S58" s="877"/>
      <c r="T58" s="878"/>
      <c r="V58" s="352" t="s">
        <v>132</v>
      </c>
      <c r="W58" s="352" t="s">
        <v>124</v>
      </c>
      <c r="X58" s="352" t="str">
        <f t="shared" ref="X58:X98" si="11">CONCATENATE(W58," ",V58)</f>
        <v>Jeroen Zoet (k)</v>
      </c>
      <c r="Y58" s="113" t="s">
        <v>91</v>
      </c>
      <c r="Z58" s="352" t="str">
        <f>IF(K58=""," ",VLOOKUP(K58,$T$9:$V$54,3,FALSE))</f>
        <v xml:space="preserve"> </v>
      </c>
      <c r="AA58" s="352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 t="shared" ref="D59:D66" si="13">IF(ISERROR(Z59),K59,Z59)</f>
        <v>Brazilië</v>
      </c>
      <c r="E59" s="367" t="s">
        <v>9</v>
      </c>
      <c r="F59" s="406" t="str">
        <f t="shared" ref="F59:F66" si="14">IF(ISERROR(AA59),L59,AA59)</f>
        <v>Spanje</v>
      </c>
      <c r="G59" s="435">
        <v>2</v>
      </c>
      <c r="H59" s="367" t="s">
        <v>9</v>
      </c>
      <c r="I59" s="447">
        <v>1</v>
      </c>
      <c r="J59" s="448">
        <v>1</v>
      </c>
      <c r="K59" s="407" t="s">
        <v>48</v>
      </c>
      <c r="L59" s="407" t="s">
        <v>53</v>
      </c>
      <c r="M59" s="407">
        <v>1</v>
      </c>
      <c r="O59" s="458">
        <v>2</v>
      </c>
      <c r="P59" s="877" t="s">
        <v>220</v>
      </c>
      <c r="Q59" s="877"/>
      <c r="R59" s="877"/>
      <c r="S59" s="877"/>
      <c r="T59" s="878"/>
      <c r="V59" s="352" t="s">
        <v>132</v>
      </c>
      <c r="W59" s="352" t="s">
        <v>111</v>
      </c>
      <c r="X59" s="352" t="str">
        <f t="shared" si="11"/>
        <v>Jasper Cillessen (k)</v>
      </c>
      <c r="Y59" s="109">
        <f t="shared" ref="Y59:Y66" si="15">AF59</f>
        <v>1</v>
      </c>
      <c r="Z59" s="352" t="str">
        <f t="shared" ref="Z59:AA65" si="16">IF(K59=""," ",VLOOKUP(K59,$T$9:$V$54,3,FALSE))</f>
        <v>Brazilië</v>
      </c>
      <c r="AA59" s="352" t="str">
        <f t="shared" si="16"/>
        <v>Spanje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7">IF(OR(AC59="",AD59=""),0,(IF(SUM(AG59:AL59)&gt;10,10,SUM(AG59:AL59))))</f>
        <v>1</v>
      </c>
      <c r="AG59" s="108">
        <f t="shared" ref="AG59:AG66" si="18">IF(AC59="",0,(IF(G59=AC59,1,0)))</f>
        <v>0</v>
      </c>
      <c r="AH59" s="108">
        <f t="shared" ref="AH59:AH66" si="19">IF(AD59="",0,(IF(I59=AD59,1,0)))</f>
        <v>1</v>
      </c>
      <c r="AI59" s="108">
        <f t="shared" ref="AI59:AI66" si="20">IF(AND(AG59=1,AH59=1),10,0)</f>
        <v>0</v>
      </c>
      <c r="AJ59" s="108">
        <f t="shared" ref="AJ59:AJ66" si="21">IF(AND(G59&gt;I59,AC59&gt;AD59),5,0)</f>
        <v>0</v>
      </c>
      <c r="AK59" s="108">
        <f t="shared" ref="AK59:AK66" si="22">IF(AND(G59&lt;I59,AC59&lt;AD59),5,0)</f>
        <v>0</v>
      </c>
      <c r="AL59" s="108">
        <f t="shared" ref="AL59:AL66" si="23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4">BA59</f>
        <v>3</v>
      </c>
    </row>
    <row r="60" spans="2:54">
      <c r="B60" s="376">
        <v>50</v>
      </c>
      <c r="C60" s="466">
        <v>41818</v>
      </c>
      <c r="D60" s="460" t="str">
        <f t="shared" si="13"/>
        <v>Ivoorkust</v>
      </c>
      <c r="E60" s="379" t="s">
        <v>9</v>
      </c>
      <c r="F60" s="409" t="str">
        <f t="shared" si="14"/>
        <v>Uruguay</v>
      </c>
      <c r="G60" s="437">
        <v>1</v>
      </c>
      <c r="H60" s="379" t="s">
        <v>9</v>
      </c>
      <c r="I60" s="449">
        <v>0</v>
      </c>
      <c r="J60" s="450">
        <v>1</v>
      </c>
      <c r="K60" s="407" t="s">
        <v>57</v>
      </c>
      <c r="L60" s="407" t="s">
        <v>63</v>
      </c>
      <c r="M60" s="407">
        <v>2</v>
      </c>
      <c r="O60" s="458">
        <v>3</v>
      </c>
      <c r="P60" s="877" t="s">
        <v>212</v>
      </c>
      <c r="Q60" s="877"/>
      <c r="R60" s="877"/>
      <c r="S60" s="877"/>
      <c r="T60" s="878"/>
      <c r="V60" s="352" t="s">
        <v>132</v>
      </c>
      <c r="W60" s="352" t="s">
        <v>110</v>
      </c>
      <c r="X60" s="352" t="str">
        <f t="shared" si="11"/>
        <v>Kenneth Vermeer (k)</v>
      </c>
      <c r="Y60" s="109">
        <f t="shared" si="15"/>
        <v>6</v>
      </c>
      <c r="Z60" s="352" t="str">
        <f t="shared" si="16"/>
        <v>Ivoorkust</v>
      </c>
      <c r="AA60" s="352" t="str">
        <f t="shared" si="16"/>
        <v>Uruguay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7"/>
        <v>6</v>
      </c>
      <c r="AG60" s="108">
        <f t="shared" si="18"/>
        <v>0</v>
      </c>
      <c r="AH60" s="108">
        <f t="shared" si="19"/>
        <v>1</v>
      </c>
      <c r="AI60" s="108">
        <f t="shared" si="20"/>
        <v>0</v>
      </c>
      <c r="AJ60" s="108">
        <f t="shared" si="21"/>
        <v>5</v>
      </c>
      <c r="AK60" s="108">
        <f t="shared" si="22"/>
        <v>0</v>
      </c>
      <c r="AL60" s="108">
        <f t="shared" si="23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4"/>
        <v>3</v>
      </c>
    </row>
    <row r="61" spans="2:54">
      <c r="B61" s="364">
        <v>51</v>
      </c>
      <c r="C61" s="465">
        <v>41819</v>
      </c>
      <c r="D61" s="464" t="str">
        <f t="shared" si="13"/>
        <v>Nederland</v>
      </c>
      <c r="E61" s="367" t="s">
        <v>9</v>
      </c>
      <c r="F61" s="406" t="str">
        <f t="shared" si="14"/>
        <v>Mexico</v>
      </c>
      <c r="G61" s="435">
        <v>2</v>
      </c>
      <c r="H61" s="367" t="s">
        <v>9</v>
      </c>
      <c r="I61" s="447">
        <v>1</v>
      </c>
      <c r="J61" s="448">
        <v>1</v>
      </c>
      <c r="K61" s="407" t="s">
        <v>52</v>
      </c>
      <c r="L61" s="407" t="s">
        <v>49</v>
      </c>
      <c r="M61" s="407"/>
      <c r="O61" s="458">
        <v>4</v>
      </c>
      <c r="P61" s="877" t="s">
        <v>209</v>
      </c>
      <c r="Q61" s="877"/>
      <c r="R61" s="877"/>
      <c r="S61" s="877"/>
      <c r="T61" s="878"/>
      <c r="V61" s="352" t="s">
        <v>132</v>
      </c>
      <c r="W61" s="352" t="s">
        <v>191</v>
      </c>
      <c r="X61" s="352" t="str">
        <f t="shared" si="11"/>
        <v>Tim Krul (k)</v>
      </c>
      <c r="Y61" s="109">
        <f t="shared" si="15"/>
        <v>10</v>
      </c>
      <c r="Z61" s="352" t="str">
        <f t="shared" si="16"/>
        <v>Nederland</v>
      </c>
      <c r="AA61" s="352" t="str">
        <f t="shared" si="16"/>
        <v>Mexico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7"/>
        <v>10</v>
      </c>
      <c r="AG61" s="108">
        <f t="shared" si="18"/>
        <v>1</v>
      </c>
      <c r="AH61" s="108">
        <f t="shared" si="19"/>
        <v>1</v>
      </c>
      <c r="AI61" s="108">
        <f t="shared" si="20"/>
        <v>10</v>
      </c>
      <c r="AJ61" s="108">
        <f t="shared" si="21"/>
        <v>5</v>
      </c>
      <c r="AK61" s="108">
        <f t="shared" si="22"/>
        <v>0</v>
      </c>
      <c r="AL61" s="108">
        <f t="shared" si="23"/>
        <v>0</v>
      </c>
      <c r="AZ61" s="138" t="str">
        <f>Uitslag!P61</f>
        <v>Ron Vlaar (v)</v>
      </c>
      <c r="BA61" s="140">
        <f t="shared" si="12"/>
        <v>3</v>
      </c>
      <c r="BB61" s="139">
        <f t="shared" si="24"/>
        <v>3</v>
      </c>
    </row>
    <row r="62" spans="2:54">
      <c r="B62" s="376">
        <v>52</v>
      </c>
      <c r="C62" s="466">
        <v>41819</v>
      </c>
      <c r="D62" s="464" t="str">
        <f t="shared" si="13"/>
        <v>Italië</v>
      </c>
      <c r="E62" s="379" t="s">
        <v>9</v>
      </c>
      <c r="F62" s="409" t="str">
        <f t="shared" si="14"/>
        <v>Griekenland</v>
      </c>
      <c r="G62" s="437">
        <v>1</v>
      </c>
      <c r="H62" s="379" t="s">
        <v>9</v>
      </c>
      <c r="I62" s="449">
        <v>1</v>
      </c>
      <c r="J62" s="450">
        <v>2</v>
      </c>
      <c r="K62" s="407" t="s">
        <v>62</v>
      </c>
      <c r="L62" s="407" t="s">
        <v>58</v>
      </c>
      <c r="M62" s="407"/>
      <c r="O62" s="458">
        <v>5</v>
      </c>
      <c r="P62" s="877" t="s">
        <v>214</v>
      </c>
      <c r="Q62" s="877"/>
      <c r="R62" s="877"/>
      <c r="S62" s="877"/>
      <c r="T62" s="878"/>
      <c r="V62" s="352" t="s">
        <v>132</v>
      </c>
      <c r="W62" s="352" t="s">
        <v>192</v>
      </c>
      <c r="X62" s="352" t="str">
        <f t="shared" si="11"/>
        <v>Maarten Stekelenburg (k)</v>
      </c>
      <c r="Y62" s="109">
        <f t="shared" si="15"/>
        <v>10</v>
      </c>
      <c r="Z62" s="352" t="str">
        <f t="shared" si="16"/>
        <v>Italië</v>
      </c>
      <c r="AA62" s="352" t="str">
        <f t="shared" si="16"/>
        <v>Griekenland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7"/>
        <v>10</v>
      </c>
      <c r="AG62" s="108">
        <f t="shared" si="18"/>
        <v>1</v>
      </c>
      <c r="AH62" s="108">
        <f t="shared" si="19"/>
        <v>1</v>
      </c>
      <c r="AI62" s="108">
        <f t="shared" si="20"/>
        <v>10</v>
      </c>
      <c r="AJ62" s="108">
        <f t="shared" si="21"/>
        <v>0</v>
      </c>
      <c r="AK62" s="108">
        <f t="shared" si="22"/>
        <v>0</v>
      </c>
      <c r="AL62" s="108">
        <f t="shared" si="23"/>
        <v>5</v>
      </c>
      <c r="AZ62" s="138" t="str">
        <f>Uitslag!P62</f>
        <v>Bruno Martins Indi (v)</v>
      </c>
      <c r="BA62" s="140">
        <f t="shared" si="12"/>
        <v>3</v>
      </c>
      <c r="BB62" s="139">
        <f t="shared" si="24"/>
        <v>3</v>
      </c>
    </row>
    <row r="63" spans="2:54">
      <c r="B63" s="364">
        <v>53</v>
      </c>
      <c r="C63" s="465">
        <v>41820</v>
      </c>
      <c r="D63" s="459" t="str">
        <f t="shared" si="13"/>
        <v>Frankrijk</v>
      </c>
      <c r="E63" s="367" t="s">
        <v>9</v>
      </c>
      <c r="F63" s="406" t="str">
        <f t="shared" si="14"/>
        <v>Nigeria</v>
      </c>
      <c r="G63" s="435">
        <v>1</v>
      </c>
      <c r="H63" s="367" t="s">
        <v>9</v>
      </c>
      <c r="I63" s="447">
        <v>0</v>
      </c>
      <c r="J63" s="448">
        <v>1</v>
      </c>
      <c r="K63" s="407" t="s">
        <v>67</v>
      </c>
      <c r="L63" s="407" t="s">
        <v>73</v>
      </c>
      <c r="M63" s="407"/>
      <c r="O63" s="458">
        <v>6</v>
      </c>
      <c r="P63" s="877" t="s">
        <v>221</v>
      </c>
      <c r="Q63" s="877"/>
      <c r="R63" s="877"/>
      <c r="S63" s="877"/>
      <c r="T63" s="878"/>
      <c r="V63" s="352" t="s">
        <v>132</v>
      </c>
      <c r="W63" s="352" t="s">
        <v>193</v>
      </c>
      <c r="X63" s="352" t="str">
        <f t="shared" si="11"/>
        <v>Michel Vorm (k)</v>
      </c>
      <c r="Y63" s="109">
        <f t="shared" si="15"/>
        <v>6</v>
      </c>
      <c r="Z63" s="352" t="str">
        <f t="shared" si="16"/>
        <v>Frankrijk</v>
      </c>
      <c r="AA63" s="352" t="str">
        <f t="shared" si="16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7"/>
        <v>6</v>
      </c>
      <c r="AG63" s="108">
        <f t="shared" si="18"/>
        <v>0</v>
      </c>
      <c r="AH63" s="108">
        <f t="shared" si="19"/>
        <v>1</v>
      </c>
      <c r="AI63" s="108">
        <f t="shared" si="20"/>
        <v>0</v>
      </c>
      <c r="AJ63" s="108">
        <f t="shared" si="21"/>
        <v>5</v>
      </c>
      <c r="AK63" s="108">
        <f t="shared" si="22"/>
        <v>0</v>
      </c>
      <c r="AL63" s="108">
        <f t="shared" si="23"/>
        <v>0</v>
      </c>
      <c r="AZ63" s="138" t="str">
        <f>Uitslag!P63</f>
        <v>Daley Blind (v)</v>
      </c>
      <c r="BA63" s="140">
        <f t="shared" si="12"/>
        <v>0</v>
      </c>
      <c r="BB63" s="139">
        <f t="shared" si="24"/>
        <v>0</v>
      </c>
    </row>
    <row r="64" spans="2:54">
      <c r="B64" s="376">
        <v>54</v>
      </c>
      <c r="C64" s="466">
        <v>41820</v>
      </c>
      <c r="D64" s="460" t="str">
        <f t="shared" si="13"/>
        <v>Duitsland</v>
      </c>
      <c r="E64" s="379" t="s">
        <v>9</v>
      </c>
      <c r="F64" s="409" t="str">
        <f t="shared" si="14"/>
        <v>Zuid Korea</v>
      </c>
      <c r="G64" s="437">
        <v>2</v>
      </c>
      <c r="H64" s="379" t="s">
        <v>9</v>
      </c>
      <c r="I64" s="449">
        <v>1</v>
      </c>
      <c r="J64" s="450">
        <v>1</v>
      </c>
      <c r="K64" s="407" t="s">
        <v>77</v>
      </c>
      <c r="L64" s="407" t="s">
        <v>83</v>
      </c>
      <c r="M64" s="407"/>
      <c r="O64" s="458">
        <v>7</v>
      </c>
      <c r="P64" s="877" t="s">
        <v>213</v>
      </c>
      <c r="Q64" s="877"/>
      <c r="R64" s="877"/>
      <c r="S64" s="877"/>
      <c r="T64" s="878"/>
      <c r="V64" s="352" t="s">
        <v>133</v>
      </c>
      <c r="W64" s="352" t="s">
        <v>112</v>
      </c>
      <c r="X64" s="352" t="str">
        <f t="shared" si="11"/>
        <v>Joël Veltman (v)</v>
      </c>
      <c r="Y64" s="109">
        <f t="shared" si="15"/>
        <v>0</v>
      </c>
      <c r="Z64" s="352" t="str">
        <f t="shared" si="16"/>
        <v>Duitsland</v>
      </c>
      <c r="AA64" s="352" t="str">
        <f t="shared" si="16"/>
        <v>Zuid Korea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7"/>
        <v>0</v>
      </c>
      <c r="AG64" s="108">
        <f t="shared" si="18"/>
        <v>0</v>
      </c>
      <c r="AH64" s="108">
        <f t="shared" si="19"/>
        <v>0</v>
      </c>
      <c r="AI64" s="108">
        <f t="shared" si="20"/>
        <v>0</v>
      </c>
      <c r="AJ64" s="108">
        <f t="shared" si="21"/>
        <v>0</v>
      </c>
      <c r="AK64" s="108">
        <f t="shared" si="22"/>
        <v>0</v>
      </c>
      <c r="AL64" s="108">
        <f t="shared" si="23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4"/>
        <v>3</v>
      </c>
    </row>
    <row r="65" spans="2:54">
      <c r="B65" s="370">
        <v>55</v>
      </c>
      <c r="C65" s="467">
        <v>41821</v>
      </c>
      <c r="D65" s="459" t="str">
        <f t="shared" si="13"/>
        <v>Argentinië</v>
      </c>
      <c r="E65" s="373" t="s">
        <v>9</v>
      </c>
      <c r="F65" s="410" t="str">
        <f t="shared" si="14"/>
        <v>Honduras</v>
      </c>
      <c r="G65" s="436">
        <v>0</v>
      </c>
      <c r="H65" s="373" t="s">
        <v>9</v>
      </c>
      <c r="I65" s="451">
        <v>0</v>
      </c>
      <c r="J65" s="452">
        <v>1</v>
      </c>
      <c r="K65" s="407" t="s">
        <v>72</v>
      </c>
      <c r="L65" s="407" t="s">
        <v>68</v>
      </c>
      <c r="M65" s="407"/>
      <c r="O65" s="458">
        <v>8</v>
      </c>
      <c r="P65" s="877" t="s">
        <v>240</v>
      </c>
      <c r="Q65" s="877"/>
      <c r="R65" s="877"/>
      <c r="S65" s="877"/>
      <c r="T65" s="878"/>
      <c r="V65" s="352" t="s">
        <v>133</v>
      </c>
      <c r="W65" s="352" t="s">
        <v>109</v>
      </c>
      <c r="X65" s="352" t="str">
        <f t="shared" si="11"/>
        <v>Daley Blind (v)</v>
      </c>
      <c r="Y65" s="109">
        <f t="shared" si="15"/>
        <v>10</v>
      </c>
      <c r="Z65" s="352" t="str">
        <f t="shared" si="16"/>
        <v>Argentinië</v>
      </c>
      <c r="AA65" s="352" t="str">
        <f t="shared" si="16"/>
        <v>Honduras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7"/>
        <v>10</v>
      </c>
      <c r="AG65" s="108">
        <f t="shared" si="18"/>
        <v>1</v>
      </c>
      <c r="AH65" s="108">
        <f t="shared" si="19"/>
        <v>1</v>
      </c>
      <c r="AI65" s="108">
        <f t="shared" si="20"/>
        <v>10</v>
      </c>
      <c r="AJ65" s="108">
        <f t="shared" si="21"/>
        <v>0</v>
      </c>
      <c r="AK65" s="108">
        <f t="shared" si="22"/>
        <v>0</v>
      </c>
      <c r="AL65" s="108">
        <f t="shared" si="23"/>
        <v>5</v>
      </c>
      <c r="AZ65" s="138" t="str">
        <f>Uitslag!P65</f>
        <v>Nigel de Jong (m)</v>
      </c>
      <c r="BA65" s="140">
        <f t="shared" si="12"/>
        <v>0</v>
      </c>
      <c r="BB65" s="139">
        <f t="shared" si="24"/>
        <v>0</v>
      </c>
    </row>
    <row r="66" spans="2:54" ht="15.75" thickBot="1">
      <c r="B66" s="385">
        <v>56</v>
      </c>
      <c r="C66" s="462">
        <v>41821</v>
      </c>
      <c r="D66" s="461" t="str">
        <f t="shared" si="13"/>
        <v>Rusland</v>
      </c>
      <c r="E66" s="388" t="s">
        <v>9</v>
      </c>
      <c r="F66" s="412" t="str">
        <f t="shared" si="14"/>
        <v>Verenigde Staten</v>
      </c>
      <c r="G66" s="438">
        <v>1</v>
      </c>
      <c r="H66" s="388" t="s">
        <v>9</v>
      </c>
      <c r="I66" s="453">
        <v>1</v>
      </c>
      <c r="J66" s="454">
        <v>2</v>
      </c>
      <c r="K66" s="407" t="s">
        <v>82</v>
      </c>
      <c r="L66" s="407" t="s">
        <v>78</v>
      </c>
      <c r="M66" s="407"/>
      <c r="O66" s="458">
        <v>9</v>
      </c>
      <c r="P66" s="877" t="s">
        <v>215</v>
      </c>
      <c r="Q66" s="877"/>
      <c r="R66" s="877"/>
      <c r="S66" s="877"/>
      <c r="T66" s="878"/>
      <c r="V66" s="352" t="s">
        <v>133</v>
      </c>
      <c r="W66" s="352" t="s">
        <v>115</v>
      </c>
      <c r="X66" s="352" t="str">
        <f t="shared" si="11"/>
        <v>Daryl Janmaat (v)</v>
      </c>
      <c r="Y66" s="109">
        <f t="shared" si="15"/>
        <v>5</v>
      </c>
      <c r="Z66" s="352" t="str">
        <f>IF(K66=""," ",VLOOKUP(K66,$T$9:$V$54,3,FALSE))</f>
        <v>Rusland</v>
      </c>
      <c r="AA66" s="352" t="str">
        <f>IF(L66=""," ",VLOOKUP(L66,$T$9:$V$54,3,FALSE))</f>
        <v>Verenigde Staten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7"/>
        <v>5</v>
      </c>
      <c r="AG66" s="108">
        <f t="shared" si="18"/>
        <v>0</v>
      </c>
      <c r="AH66" s="108">
        <f t="shared" si="19"/>
        <v>0</v>
      </c>
      <c r="AI66" s="108">
        <f t="shared" si="20"/>
        <v>0</v>
      </c>
      <c r="AJ66" s="108">
        <f t="shared" si="21"/>
        <v>0</v>
      </c>
      <c r="AK66" s="108">
        <f t="shared" si="22"/>
        <v>0</v>
      </c>
      <c r="AL66" s="108">
        <f t="shared" si="23"/>
        <v>5</v>
      </c>
      <c r="AZ66" s="138" t="str">
        <f>Uitslag!P66</f>
        <v>Jonathan de Guzman (m)</v>
      </c>
      <c r="BA66" s="140">
        <f t="shared" si="12"/>
        <v>3</v>
      </c>
      <c r="BB66" s="139">
        <f t="shared" si="24"/>
        <v>3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O67" s="458">
        <v>10</v>
      </c>
      <c r="P67" s="877" t="s">
        <v>216</v>
      </c>
      <c r="Q67" s="877"/>
      <c r="R67" s="877"/>
      <c r="S67" s="877"/>
      <c r="T67" s="878"/>
      <c r="V67" s="352" t="s">
        <v>133</v>
      </c>
      <c r="W67" s="352" t="s">
        <v>118</v>
      </c>
      <c r="X67" s="352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4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837"/>
      <c r="K68" s="353"/>
      <c r="L68" s="353"/>
      <c r="M68" s="353"/>
      <c r="O68" s="458">
        <v>11</v>
      </c>
      <c r="P68" s="877" t="s">
        <v>223</v>
      </c>
      <c r="Q68" s="877"/>
      <c r="R68" s="877"/>
      <c r="S68" s="877"/>
      <c r="T68" s="878"/>
      <c r="V68" s="352" t="s">
        <v>133</v>
      </c>
      <c r="W68" s="352" t="s">
        <v>119</v>
      </c>
      <c r="X68" s="352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0</v>
      </c>
      <c r="BB68" s="139">
        <f t="shared" si="24"/>
        <v>0</v>
      </c>
    </row>
    <row r="69" spans="2:54">
      <c r="B69" s="428" t="s">
        <v>1</v>
      </c>
      <c r="C69" s="429" t="s">
        <v>2</v>
      </c>
      <c r="D69" s="835" t="s">
        <v>3</v>
      </c>
      <c r="E69" s="431"/>
      <c r="F69" s="836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V69" s="352" t="s">
        <v>133</v>
      </c>
      <c r="W69" s="352" t="s">
        <v>121</v>
      </c>
      <c r="X69" s="352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24</v>
      </c>
      <c r="BB69" s="139" t="str">
        <f>IF(AND(BA69&lt;&gt;"",BA69=33),15,"nvt")</f>
        <v>nvt</v>
      </c>
    </row>
    <row r="70" spans="2:54">
      <c r="B70" s="364">
        <v>57</v>
      </c>
      <c r="C70" s="365">
        <v>41824</v>
      </c>
      <c r="D70" s="405" t="str">
        <f>IF(J63="","Winnaar 53",IF(J63=1,D63,F63))</f>
        <v>Frankrijk</v>
      </c>
      <c r="E70" s="367" t="s">
        <v>9</v>
      </c>
      <c r="F70" s="406" t="str">
        <f>IF(J64="","Winnaar 54",IF(J64=1,D64,F64))</f>
        <v>Duitsland</v>
      </c>
      <c r="G70" s="435">
        <v>1</v>
      </c>
      <c r="H70" s="367" t="s">
        <v>9</v>
      </c>
      <c r="I70" s="447">
        <v>0</v>
      </c>
      <c r="J70" s="448">
        <v>1</v>
      </c>
      <c r="K70" s="353"/>
      <c r="L70" s="353"/>
      <c r="M70" s="353"/>
      <c r="V70" s="352" t="s">
        <v>133</v>
      </c>
      <c r="W70" s="352" t="s">
        <v>126</v>
      </c>
      <c r="X70" s="352" t="str">
        <f t="shared" si="11"/>
        <v>Karim Rekik (v)</v>
      </c>
      <c r="Y70" s="109">
        <f>AF70</f>
        <v>0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0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0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Brazilië</v>
      </c>
      <c r="E71" s="379" t="s">
        <v>9</v>
      </c>
      <c r="F71" s="409" t="str">
        <f>IF(J60="","Winnaar 50",IF(J60=1,D60,F60))</f>
        <v>Ivoorkust</v>
      </c>
      <c r="G71" s="437">
        <v>1</v>
      </c>
      <c r="H71" s="379" t="s">
        <v>9</v>
      </c>
      <c r="I71" s="449">
        <v>2</v>
      </c>
      <c r="J71" s="450">
        <v>2</v>
      </c>
      <c r="K71" s="353"/>
      <c r="L71" s="353"/>
      <c r="M71" s="353"/>
      <c r="V71" s="352" t="s">
        <v>133</v>
      </c>
      <c r="W71" s="352" t="s">
        <v>194</v>
      </c>
      <c r="X71" s="352" t="str">
        <f t="shared" si="11"/>
        <v>Ron Vlaar (v)</v>
      </c>
      <c r="Y71" s="109">
        <f>AF71</f>
        <v>0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0</v>
      </c>
      <c r="AG71" s="108">
        <f>IF(AC71="",0,(IF(G71=AC71,1,0)))</f>
        <v>0</v>
      </c>
      <c r="AH71" s="108">
        <f>IF(AD71="",0,(IF(I71=AD71,1,0)))</f>
        <v>0</v>
      </c>
      <c r="AI71" s="108">
        <f>IF(AND(AG71=1,AH71=1),10,0)</f>
        <v>0</v>
      </c>
      <c r="AJ71" s="108">
        <f>IF(AND(G71&gt;I71,AC71&gt;AD71),5,0)</f>
        <v>0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Argentinië</v>
      </c>
      <c r="E72" s="367" t="s">
        <v>9</v>
      </c>
      <c r="F72" s="406" t="str">
        <f>IF(J66="","Winnaar 56",IF(J66=1,D66,F66))</f>
        <v>Verenigde Staten</v>
      </c>
      <c r="G72" s="435">
        <v>2</v>
      </c>
      <c r="H72" s="367" t="s">
        <v>9</v>
      </c>
      <c r="I72" s="447">
        <v>0</v>
      </c>
      <c r="J72" s="448">
        <v>1</v>
      </c>
      <c r="K72" s="353"/>
      <c r="L72" s="353"/>
      <c r="M72" s="353"/>
      <c r="V72" s="352" t="s">
        <v>133</v>
      </c>
      <c r="W72" s="352" t="s">
        <v>195</v>
      </c>
      <c r="X72" s="352" t="str">
        <f t="shared" si="11"/>
        <v>John Heitinga (v)</v>
      </c>
      <c r="Y72" s="109">
        <f>AF72</f>
        <v>6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6</v>
      </c>
      <c r="AG72" s="108">
        <f>IF(AC72="",0,(IF(G72=AC72,1,0)))</f>
        <v>0</v>
      </c>
      <c r="AH72" s="108">
        <f>IF(AD72="",0,(IF(I72=AD72,1,0)))</f>
        <v>1</v>
      </c>
      <c r="AI72" s="108">
        <f>IF(AND(AG72=1,AH72=1),10,0)</f>
        <v>0</v>
      </c>
      <c r="AJ72" s="108">
        <f>IF(AND(G72&gt;I72,AC72&gt;AD72),5,0)</f>
        <v>5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Nederland</v>
      </c>
      <c r="E73" s="388" t="s">
        <v>9</v>
      </c>
      <c r="F73" s="412" t="str">
        <f>IF(J62="","Winnaar 52",IF(J62=1,D62,F62))</f>
        <v>Griekenland</v>
      </c>
      <c r="G73" s="438">
        <v>1</v>
      </c>
      <c r="H73" s="388" t="s">
        <v>9</v>
      </c>
      <c r="I73" s="453">
        <v>1</v>
      </c>
      <c r="J73" s="454">
        <v>1</v>
      </c>
      <c r="K73" s="353"/>
      <c r="L73" s="353"/>
      <c r="M73" s="353"/>
      <c r="V73" s="352" t="s">
        <v>133</v>
      </c>
      <c r="W73" s="352" t="s">
        <v>196</v>
      </c>
      <c r="X73" s="352" t="str">
        <f t="shared" si="11"/>
        <v>Urby Emanuelson (v)</v>
      </c>
      <c r="Y73" s="109">
        <f>AF73</f>
        <v>5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5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5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V74" s="352" t="s">
        <v>133</v>
      </c>
      <c r="W74" s="352" t="s">
        <v>197</v>
      </c>
      <c r="X74" s="352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837"/>
      <c r="K75" s="353"/>
      <c r="L75" s="353"/>
      <c r="M75" s="353"/>
      <c r="V75" s="352" t="s">
        <v>133</v>
      </c>
      <c r="W75" s="352" t="s">
        <v>198</v>
      </c>
      <c r="X75" s="352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835" t="s">
        <v>3</v>
      </c>
      <c r="E76" s="431"/>
      <c r="F76" s="836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V76" s="352" t="s">
        <v>133</v>
      </c>
      <c r="W76" s="352" t="s">
        <v>202</v>
      </c>
      <c r="X76" s="352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Frankrijk</v>
      </c>
      <c r="E77" s="367" t="s">
        <v>9</v>
      </c>
      <c r="F77" s="406" t="str">
        <f>IF(J71="","Winnaar 58",IF(J71=1,D71,F71))</f>
        <v>Ivoorkust</v>
      </c>
      <c r="G77" s="435">
        <v>2</v>
      </c>
      <c r="H77" s="367" t="s">
        <v>9</v>
      </c>
      <c r="I77" s="447">
        <v>0</v>
      </c>
      <c r="J77" s="448">
        <v>1</v>
      </c>
      <c r="K77" s="353"/>
      <c r="L77" s="353"/>
      <c r="M77" s="353"/>
      <c r="V77" s="352" t="s">
        <v>134</v>
      </c>
      <c r="W77" s="352" t="s">
        <v>203</v>
      </c>
      <c r="X77" s="352" t="str">
        <f t="shared" si="11"/>
        <v>Marco van Ginkel (m)</v>
      </c>
      <c r="Y77" s="109">
        <f>AF77</f>
        <v>5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5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5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Argentinië</v>
      </c>
      <c r="E78" s="388" t="s">
        <v>9</v>
      </c>
      <c r="F78" s="412" t="str">
        <f>IF(J73="","Winnaar 60",IF(J73=1,D73,F73))</f>
        <v>Nederland</v>
      </c>
      <c r="G78" s="438">
        <v>1</v>
      </c>
      <c r="H78" s="388" t="s">
        <v>9</v>
      </c>
      <c r="I78" s="453">
        <v>1</v>
      </c>
      <c r="J78" s="454">
        <v>2</v>
      </c>
      <c r="K78" s="353"/>
      <c r="L78" s="353"/>
      <c r="M78" s="353"/>
      <c r="V78" s="352" t="s">
        <v>134</v>
      </c>
      <c r="W78" s="352" t="s">
        <v>199</v>
      </c>
      <c r="X78" s="352" t="str">
        <f t="shared" si="11"/>
        <v>Leroy Fer (m)</v>
      </c>
      <c r="Y78" s="109">
        <f>AF78</f>
        <v>5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5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5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V79" s="352" t="s">
        <v>134</v>
      </c>
      <c r="W79" s="352" t="s">
        <v>114</v>
      </c>
      <c r="X79" s="352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837"/>
      <c r="K80" s="353"/>
      <c r="L80" s="353"/>
      <c r="M80" s="353"/>
      <c r="V80" s="352" t="s">
        <v>134</v>
      </c>
      <c r="W80" s="352" t="s">
        <v>117</v>
      </c>
      <c r="X80" s="352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835" t="s">
        <v>3</v>
      </c>
      <c r="E81" s="431"/>
      <c r="F81" s="836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V81" s="352" t="s">
        <v>134</v>
      </c>
      <c r="W81" s="352" t="s">
        <v>120</v>
      </c>
      <c r="X81" s="352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Ivoorkust</v>
      </c>
      <c r="E82" s="355" t="s">
        <v>9</v>
      </c>
      <c r="F82" s="415" t="str">
        <f>IF(J78="","Verliezer 62",IF(J78=1,F78,D78))</f>
        <v>Argentinië</v>
      </c>
      <c r="G82" s="455">
        <v>1</v>
      </c>
      <c r="H82" s="355" t="s">
        <v>9</v>
      </c>
      <c r="I82" s="456">
        <v>1</v>
      </c>
      <c r="J82" s="457">
        <v>2</v>
      </c>
      <c r="K82" s="353"/>
      <c r="L82" s="353"/>
      <c r="M82" s="353"/>
      <c r="V82" s="352" t="s">
        <v>134</v>
      </c>
      <c r="W82" s="352" t="s">
        <v>125</v>
      </c>
      <c r="X82" s="35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V83" s="352" t="s">
        <v>134</v>
      </c>
      <c r="W83" s="352" t="s">
        <v>136</v>
      </c>
      <c r="X83" s="352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837"/>
      <c r="K84" s="353"/>
      <c r="L84" s="353"/>
      <c r="M84" s="353"/>
      <c r="V84" s="352" t="s">
        <v>134</v>
      </c>
      <c r="W84" s="352" t="s">
        <v>137</v>
      </c>
      <c r="X84" s="352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835" t="s">
        <v>3</v>
      </c>
      <c r="E85" s="431"/>
      <c r="F85" s="836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V85" s="352" t="s">
        <v>134</v>
      </c>
      <c r="W85" s="352" t="s">
        <v>138</v>
      </c>
      <c r="X85" s="352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Frankrijk</v>
      </c>
      <c r="E86" s="355" t="s">
        <v>9</v>
      </c>
      <c r="F86" s="415" t="str">
        <f>IF(J78="","Winnaar 62",IF(J78=1,D78,F78))</f>
        <v>Nederland</v>
      </c>
      <c r="G86" s="455">
        <v>2</v>
      </c>
      <c r="H86" s="355" t="s">
        <v>9</v>
      </c>
      <c r="I86" s="456">
        <v>1</v>
      </c>
      <c r="J86" s="457">
        <v>2</v>
      </c>
      <c r="K86" s="353"/>
      <c r="L86" s="353"/>
      <c r="M86" s="353"/>
      <c r="V86" s="352" t="s">
        <v>134</v>
      </c>
      <c r="W86" s="352" t="s">
        <v>139</v>
      </c>
      <c r="X86" s="352" t="str">
        <f t="shared" si="11"/>
        <v>Nigel de Jong (m)</v>
      </c>
      <c r="Y86" s="109">
        <f>AF86</f>
        <v>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0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353"/>
      <c r="C87" s="129"/>
      <c r="D87" s="392"/>
      <c r="E87" s="353"/>
      <c r="F87" s="392"/>
      <c r="G87" s="353"/>
      <c r="H87" s="353"/>
      <c r="I87" s="353"/>
      <c r="J87" s="353"/>
      <c r="K87" s="353"/>
      <c r="L87" s="353"/>
      <c r="M87" s="353"/>
      <c r="V87" s="352" t="s">
        <v>135</v>
      </c>
      <c r="W87" s="352" t="s">
        <v>205</v>
      </c>
      <c r="X87" s="352" t="str">
        <f t="shared" si="11"/>
        <v>Ricky van Wolfswinkel (a)</v>
      </c>
      <c r="AP87" s="136" t="s">
        <v>102</v>
      </c>
    </row>
    <row r="88" spans="2:50">
      <c r="B88" s="353"/>
      <c r="C88" s="129"/>
      <c r="D88" s="392"/>
      <c r="E88" s="353"/>
      <c r="F88" s="392"/>
      <c r="G88" s="353"/>
      <c r="H88" s="353"/>
      <c r="I88" s="353"/>
      <c r="J88" s="353"/>
      <c r="K88" s="353"/>
      <c r="L88" s="353"/>
      <c r="M88" s="353"/>
      <c r="V88" s="352" t="s">
        <v>135</v>
      </c>
      <c r="W88" s="352" t="s">
        <v>204</v>
      </c>
      <c r="X88" s="352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458"/>
    </row>
    <row r="89" spans="2:50" ht="20.25">
      <c r="C89" s="874" t="s">
        <v>101</v>
      </c>
      <c r="D89" s="871"/>
      <c r="E89" s="873" t="str">
        <f>IF(J86=1,D86,IF(J86=2,F86,"Wie zal het worden?"))</f>
        <v>Nederland</v>
      </c>
      <c r="F89" s="873"/>
      <c r="G89" s="873"/>
      <c r="H89" s="873"/>
      <c r="I89" s="873"/>
      <c r="J89" s="873"/>
      <c r="K89" s="353"/>
      <c r="L89" s="353"/>
      <c r="M89" s="353"/>
      <c r="V89" s="352" t="s">
        <v>135</v>
      </c>
      <c r="W89" s="352" t="s">
        <v>201</v>
      </c>
      <c r="X89" s="352" t="str">
        <f t="shared" si="11"/>
        <v>Jermain Lens (a)</v>
      </c>
      <c r="AP89" s="109">
        <f>AU89</f>
        <v>5</v>
      </c>
      <c r="AQ89" s="131">
        <v>1</v>
      </c>
      <c r="AR89" s="904" t="str">
        <f>Uitslag!E89</f>
        <v>Duitsland</v>
      </c>
      <c r="AS89" s="905"/>
      <c r="AT89" s="906"/>
      <c r="AU89" s="352">
        <f>SUM(AV89:AX89)</f>
        <v>5</v>
      </c>
      <c r="AV89" s="352">
        <f>IF(AR89=0,0,IF(E89=AR89,50,0))</f>
        <v>0</v>
      </c>
      <c r="AW89" s="352">
        <f>IF(E89=0,0,IF(OR(E89=AR90),15,0))</f>
        <v>0</v>
      </c>
      <c r="AX89" s="352">
        <f>IF(E89=0,0,IF(OR(E89=AR91,E89=AR92),5,0))</f>
        <v>5</v>
      </c>
    </row>
    <row r="90" spans="2:50">
      <c r="C90" s="870">
        <v>2</v>
      </c>
      <c r="D90" s="871"/>
      <c r="E90" s="872" t="str">
        <f>IF(J86=2,D86,IF(J86=1,F86,"Wie wordt 2de?"))</f>
        <v>Frankrijk</v>
      </c>
      <c r="F90" s="872"/>
      <c r="G90" s="872"/>
      <c r="H90" s="872"/>
      <c r="I90" s="872"/>
      <c r="J90" s="872"/>
      <c r="V90" s="352" t="s">
        <v>135</v>
      </c>
      <c r="W90" s="352" t="s">
        <v>200</v>
      </c>
      <c r="X90" s="352" t="str">
        <f t="shared" si="11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 s="352">
        <f>SUM(AV90:AX90)</f>
        <v>0</v>
      </c>
      <c r="AV90" s="352">
        <f>IF(AR90=0,0,IF(AR90=E90,25,0))</f>
        <v>0</v>
      </c>
      <c r="AW90" s="352">
        <f>IF(E90=0,0,IF(OR(E90=AR89,),15,0))</f>
        <v>0</v>
      </c>
      <c r="AX90" s="352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Argentinië</v>
      </c>
      <c r="F91" s="872"/>
      <c r="G91" s="872"/>
      <c r="H91" s="872"/>
      <c r="I91" s="872"/>
      <c r="J91" s="872"/>
      <c r="V91" s="352" t="s">
        <v>135</v>
      </c>
      <c r="W91" s="352" t="s">
        <v>128</v>
      </c>
      <c r="X91" s="352" t="str">
        <f t="shared" si="11"/>
        <v>Jürgen Locadia (a)</v>
      </c>
      <c r="AP91" s="109">
        <f>AU91</f>
        <v>5</v>
      </c>
      <c r="AQ91" s="131">
        <v>3</v>
      </c>
      <c r="AR91" s="904" t="str">
        <f>Uitslag!E91</f>
        <v>Nederland</v>
      </c>
      <c r="AS91" s="905"/>
      <c r="AT91" s="906"/>
      <c r="AU91" s="352">
        <f>SUM(AV91:AX91)</f>
        <v>5</v>
      </c>
      <c r="AV91" s="352">
        <f>IF(AR91=0,0,IF(AR91=E91,15,0))</f>
        <v>0</v>
      </c>
      <c r="AW91" s="352">
        <f>IF(E91=0,0,IF(OR(E91=AR92),10,0))</f>
        <v>0</v>
      </c>
      <c r="AX91" s="352">
        <f>IF(E91=0,0,IF(OR(E91=AR89,E91=AR90),5,0))</f>
        <v>5</v>
      </c>
    </row>
    <row r="92" spans="2:50">
      <c r="C92" s="870">
        <v>4</v>
      </c>
      <c r="D92" s="871"/>
      <c r="E92" s="872" t="str">
        <f>IF(J82=2,D82,IF(J82=1,F82,"Wie wordt 4de?"))</f>
        <v>Ivoorkust</v>
      </c>
      <c r="F92" s="872"/>
      <c r="G92" s="872"/>
      <c r="H92" s="872"/>
      <c r="I92" s="872"/>
      <c r="J92" s="872"/>
      <c r="V92" s="352" t="s">
        <v>135</v>
      </c>
      <c r="W92" s="352" t="s">
        <v>127</v>
      </c>
      <c r="X92" s="35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 s="352">
        <f>SUM(AV92:AX92)</f>
        <v>0</v>
      </c>
      <c r="AV92" s="352">
        <f>IF(AR92=0,0,IF(AR92=E92,15,0))</f>
        <v>0</v>
      </c>
      <c r="AW92" s="352">
        <f>IF(E92=0,0,IF(OR(E92=AR91,),10,0))</f>
        <v>0</v>
      </c>
      <c r="AX92" s="352">
        <f>IF(E92=0,0,IF(OR(E92=AR89,E92=AR90),5,0))</f>
        <v>0</v>
      </c>
    </row>
    <row r="93" spans="2:50" ht="15.75" thickBot="1">
      <c r="V93" s="352" t="s">
        <v>135</v>
      </c>
      <c r="W93" s="352" t="s">
        <v>123</v>
      </c>
      <c r="X93" s="352" t="str">
        <f t="shared" si="11"/>
        <v>Quincy Promes (a)</v>
      </c>
      <c r="AS93" s="132"/>
      <c r="AU93" s="133">
        <f>SUM(AU89:AU92)</f>
        <v>10</v>
      </c>
    </row>
    <row r="94" spans="2:50" ht="15.75" thickTop="1">
      <c r="V94" s="352" t="s">
        <v>135</v>
      </c>
      <c r="W94" s="352" t="s">
        <v>122</v>
      </c>
      <c r="X94" s="352" t="str">
        <f t="shared" si="11"/>
        <v>Luc Castaignos (a)</v>
      </c>
    </row>
    <row r="95" spans="2:50">
      <c r="V95" s="352" t="s">
        <v>135</v>
      </c>
      <c r="W95" s="352" t="s">
        <v>113</v>
      </c>
      <c r="X95" s="352" t="str">
        <f t="shared" si="11"/>
        <v>Jean-Paul Boëtius (a)</v>
      </c>
    </row>
    <row r="96" spans="2:50">
      <c r="V96" s="352" t="s">
        <v>135</v>
      </c>
      <c r="W96" s="352" t="s">
        <v>129</v>
      </c>
      <c r="X96" s="352" t="str">
        <f t="shared" si="11"/>
        <v>Luciano Narsingh (a)</v>
      </c>
    </row>
    <row r="97" spans="22:24">
      <c r="V97" s="352" t="s">
        <v>135</v>
      </c>
      <c r="W97" s="352" t="s">
        <v>130</v>
      </c>
      <c r="X97" s="352" t="str">
        <f t="shared" si="11"/>
        <v>Robin van Persie (a)</v>
      </c>
    </row>
    <row r="98" spans="22:24">
      <c r="V98" s="352" t="s">
        <v>135</v>
      </c>
      <c r="W98" s="352" t="s">
        <v>131</v>
      </c>
      <c r="X98" s="352" t="str">
        <f t="shared" si="11"/>
        <v>Arjen Robben (a)</v>
      </c>
    </row>
  </sheetData>
  <mergeCells count="36">
    <mergeCell ref="C91:D91"/>
    <mergeCell ref="E91:J91"/>
    <mergeCell ref="AR91:AT91"/>
    <mergeCell ref="C92:D92"/>
    <mergeCell ref="E92:J92"/>
    <mergeCell ref="AR92:AT92"/>
    <mergeCell ref="C89:D89"/>
    <mergeCell ref="E89:J89"/>
    <mergeCell ref="AR89:AT89"/>
    <mergeCell ref="C90:D90"/>
    <mergeCell ref="E90:J90"/>
    <mergeCell ref="AR90:AT90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</mergeCells>
  <conditionalFormatting sqref="AO9:AO12 AO15:AO18 AO21:AO24 AO27:AO30 AO33:AO36 AO39:AO42 AO45:AO48 AO51:AO54">
    <cfRule type="cellIs" dxfId="50" priority="3" operator="equal">
      <formula>10</formula>
    </cfRule>
  </conditionalFormatting>
  <conditionalFormatting sqref="P58:T58">
    <cfRule type="duplicateValues" dxfId="49" priority="2"/>
  </conditionalFormatting>
  <conditionalFormatting sqref="P58:T68">
    <cfRule type="duplicateValues" dxfId="48" priority="1"/>
  </conditionalFormatting>
  <dataValidations count="10">
    <dataValidation type="list" allowBlank="1" showInputMessage="1" showErrorMessage="1" sqref="T51:T54">
      <formula1>$W$51:$W$54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P58:P68">
      <formula1>$X$58:$X$98</formula1>
    </dataValidation>
  </dataValidation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>
  <dimension ref="B1:BB98"/>
  <sheetViews>
    <sheetView topLeftCell="A46" zoomScale="70" zoomScaleNormal="70" workbookViewId="0">
      <selection activeCell="P58" sqref="P58:T68"/>
    </sheetView>
  </sheetViews>
  <sheetFormatPr defaultRowHeight="15" outlineLevelCol="2"/>
  <cols>
    <col min="1" max="1" width="3.42578125" style="352" customWidth="1"/>
    <col min="2" max="2" width="3.5703125" style="352" bestFit="1" customWidth="1"/>
    <col min="3" max="3" width="11.5703125" style="123" bestFit="1" customWidth="1"/>
    <col min="4" max="4" width="19.7109375" style="352" bestFit="1" customWidth="1"/>
    <col min="5" max="5" width="3.42578125" style="352" customWidth="1"/>
    <col min="6" max="6" width="19.7109375" style="352" bestFit="1" customWidth="1"/>
    <col min="7" max="7" width="6.7109375" style="352" customWidth="1"/>
    <col min="8" max="8" width="1.5703125" style="352" bestFit="1" customWidth="1"/>
    <col min="9" max="9" width="6.7109375" style="352" customWidth="1"/>
    <col min="10" max="10" width="6.85546875" style="352" bestFit="1" customWidth="1"/>
    <col min="11" max="13" width="9.140625" style="352" hidden="1" customWidth="1" outlineLevel="1"/>
    <col min="14" max="14" width="11.42578125" style="352" bestFit="1" customWidth="1" collapsed="1"/>
    <col min="15" max="15" width="14.7109375" style="352" bestFit="1" customWidth="1"/>
    <col min="16" max="16" width="12.28515625" style="352" bestFit="1" customWidth="1"/>
    <col min="17" max="17" width="8.140625" style="352" bestFit="1" customWidth="1"/>
    <col min="18" max="18" width="7.7109375" style="352" bestFit="1" customWidth="1"/>
    <col min="19" max="19" width="9.140625" style="352"/>
    <col min="20" max="20" width="8.5703125" style="352" bestFit="1" customWidth="1"/>
    <col min="21" max="21" width="9.140625" style="352"/>
    <col min="22" max="23" width="9.140625" style="352" hidden="1" customWidth="1" outlineLevel="1"/>
    <col min="24" max="24" width="2" style="352" hidden="1" customWidth="1" outlineLevel="1"/>
    <col min="25" max="25" width="12.28515625" style="352" bestFit="1" customWidth="1" collapsed="1"/>
    <col min="26" max="27" width="12.28515625" style="352" hidden="1" customWidth="1" outlineLevel="1"/>
    <col min="28" max="28" width="4.7109375" style="352" hidden="1" customWidth="1" outlineLevel="1"/>
    <col min="29" max="38" width="9.140625" style="352" hidden="1" customWidth="1" outlineLevel="1"/>
    <col min="39" max="39" width="7.42578125" style="352" bestFit="1" customWidth="1" collapsed="1"/>
    <col min="40" max="40" width="19.7109375" style="352" hidden="1" customWidth="1" outlineLevel="1"/>
    <col min="41" max="41" width="9.140625" style="352" hidden="1" customWidth="1" outlineLevel="1"/>
    <col min="42" max="42" width="9.140625" style="352" collapsed="1"/>
    <col min="43" max="49" width="9.140625" style="352" hidden="1" customWidth="1" outlineLevel="2"/>
    <col min="50" max="50" width="11.5703125" style="352" hidden="1" customWidth="1" outlineLevel="2"/>
    <col min="51" max="51" width="11.85546875" style="352" hidden="1" customWidth="1" outlineLevel="1" collapsed="1"/>
    <col min="52" max="52" width="9.42578125" style="352" hidden="1" customWidth="1" outlineLevel="1"/>
    <col min="53" max="53" width="10.5703125" style="352" hidden="1" customWidth="1" outlineLevel="1"/>
    <col min="54" max="54" width="9.140625" style="352" collapsed="1"/>
    <col min="55" max="55" width="11.85546875" style="352" bestFit="1" customWidth="1"/>
    <col min="56" max="16384" width="9.140625" style="352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306</v>
      </c>
      <c r="E3" s="335"/>
      <c r="F3" s="335"/>
      <c r="N3" s="352" t="str">
        <f>D3</f>
        <v>Ronald v. E.</v>
      </c>
      <c r="O3" s="144">
        <f>SUM(P3:S3)</f>
        <v>340</v>
      </c>
      <c r="P3" s="109">
        <f>SUM(Y8:Y86)</f>
        <v>188</v>
      </c>
      <c r="Q3" s="109">
        <f>SUM(AM4:AM55)</f>
        <v>110</v>
      </c>
      <c r="R3" s="109">
        <f>SUM(AP89:AP92)</f>
        <v>15</v>
      </c>
      <c r="S3" s="109">
        <f>SUM(BB58:BB69)</f>
        <v>27</v>
      </c>
      <c r="T3" s="109">
        <f>COUNTIF(AF8:AF86,10)</f>
        <v>2</v>
      </c>
      <c r="U3" s="109" t="str">
        <f>E89</f>
        <v>Italië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O6" s="392"/>
      <c r="P6" s="393"/>
      <c r="Q6" s="393"/>
      <c r="R6" s="393"/>
      <c r="S6" s="393"/>
      <c r="T6" s="393"/>
      <c r="U6" s="392"/>
      <c r="V6" s="392"/>
      <c r="W6" s="392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80" t="s">
        <v>3</v>
      </c>
      <c r="E7" s="419"/>
      <c r="F7" s="481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O7" s="353"/>
      <c r="P7" s="393"/>
      <c r="Q7" s="393"/>
      <c r="R7" s="393"/>
      <c r="S7" s="393"/>
      <c r="T7" s="393"/>
      <c r="U7" s="353"/>
      <c r="V7" s="353"/>
      <c r="W7" s="353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458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2</v>
      </c>
      <c r="H8" s="360" t="s">
        <v>9</v>
      </c>
      <c r="I8" s="478">
        <v>1</v>
      </c>
      <c r="J8" s="362">
        <f>IF(I8="","",IF(G8&gt;I8,1,IF(G8&lt;I8,2,3)))</f>
        <v>1</v>
      </c>
      <c r="K8" s="363">
        <f>IF(I8="","",IF($G8&gt;$I8,3,IF($G8=$I8,1,0)))</f>
        <v>3</v>
      </c>
      <c r="L8" s="363">
        <f>IF(I8="","",IF($G8&lt;$I8,3,IF($G8=$I8,1,0)))</f>
        <v>0</v>
      </c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392"/>
      <c r="V8" s="392"/>
      <c r="W8" s="392"/>
      <c r="Y8" s="109">
        <f>AF8</f>
        <v>6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6</v>
      </c>
      <c r="AG8" s="108">
        <f t="shared" ref="AG8:AG55" si="0">IF(AC8="",0,(IF(G8=AC8,1,0)))</f>
        <v>0</v>
      </c>
      <c r="AH8" s="108">
        <f t="shared" ref="AH8:AH55" si="1">IF(AD8="",0,(IF(I8=AD8,1,0)))</f>
        <v>1</v>
      </c>
      <c r="AI8" s="108">
        <f>IF(AND(AG8=1,AH8=1),10,0)</f>
        <v>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2</v>
      </c>
      <c r="H9" s="367" t="s">
        <v>9</v>
      </c>
      <c r="I9" s="440">
        <v>1</v>
      </c>
      <c r="J9" s="369">
        <f t="shared" ref="J9:J55" si="5">IF(I9="","",IF(G9&gt;I9,1,IF(G9&lt;I9,2,3)))</f>
        <v>1</v>
      </c>
      <c r="K9" s="363">
        <f t="shared" ref="K9:K55" si="6">IF(I9="","",IF($G9&gt;$I9,3,IF($G9=$I9,1,0)))</f>
        <v>3</v>
      </c>
      <c r="L9" s="363">
        <f t="shared" ref="L9:L55" si="7">IF(I9="","",IF($G9&lt;$I9,3,IF($G9=$I9,1,0)))</f>
        <v>0</v>
      </c>
      <c r="O9" s="394" t="s">
        <v>8</v>
      </c>
      <c r="P9" s="395">
        <f>SUMIF($D$8:$D$55,$O9,$G$8:$G$55)+SUMIF($F$8:$F$55,$O9,$I$8:$I$55)</f>
        <v>6</v>
      </c>
      <c r="Q9" s="395">
        <f>SUMIF($D$8:$D$55,$O9,$I$8:$I$55)+SUMIF($F$8:$F$55,$O9,$G$8:$G$55)</f>
        <v>2</v>
      </c>
      <c r="R9" s="396">
        <f>P9-Q9</f>
        <v>4</v>
      </c>
      <c r="S9" s="397">
        <f>SUMIF($D$8:$D$55,$O9,$K$8:$K$55)+SUMIF($F$8:$F$55,$O9,$L$8:$L$55)</f>
        <v>9</v>
      </c>
      <c r="T9" s="444" t="s">
        <v>48</v>
      </c>
      <c r="U9" s="392"/>
      <c r="V9" s="392" t="str">
        <f>O9</f>
        <v>Brazilië</v>
      </c>
      <c r="W9" s="392" t="s">
        <v>48</v>
      </c>
      <c r="Y9" s="109">
        <f t="shared" ref="Y9:Y55" si="8">AF9</f>
        <v>5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5</v>
      </c>
      <c r="AG9" s="108">
        <f t="shared" si="0"/>
        <v>0</v>
      </c>
      <c r="AH9" s="108">
        <f t="shared" si="1"/>
        <v>0</v>
      </c>
      <c r="AI9" s="108">
        <f t="shared" ref="AI9:AI55" si="10">IF(AND(AG9=1,AH9=1),10,0)</f>
        <v>0</v>
      </c>
      <c r="AJ9" s="108">
        <f t="shared" si="2"/>
        <v>5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2</v>
      </c>
      <c r="H10" s="373" t="s">
        <v>9</v>
      </c>
      <c r="I10" s="441">
        <v>1</v>
      </c>
      <c r="J10" s="375">
        <f t="shared" si="5"/>
        <v>1</v>
      </c>
      <c r="K10" s="363">
        <f t="shared" si="6"/>
        <v>3</v>
      </c>
      <c r="L10" s="363">
        <f t="shared" si="7"/>
        <v>0</v>
      </c>
      <c r="O10" s="398" t="s">
        <v>10</v>
      </c>
      <c r="P10" s="399">
        <f>SUMIF($D$8:$D$55,$O10,$G$8:$G$55)+SUMIF($F$8:$F$55,$O10,$I$8:$I$55)</f>
        <v>3</v>
      </c>
      <c r="Q10" s="399">
        <f>SUMIF($D$8:$D$55,$O10,$I$8:$I$55)+SUMIF($F$8:$F$55,$O10,$G$8:$G$55)</f>
        <v>5</v>
      </c>
      <c r="R10" s="399">
        <f>P10-Q10</f>
        <v>-2</v>
      </c>
      <c r="S10" s="400">
        <f>SUMIF($D$8:$D$55,$O10,$K$8:$K$55)+SUMIF($F$8:$F$55,$O10,$L$8:$L$55)</f>
        <v>1</v>
      </c>
      <c r="T10" s="445" t="s">
        <v>50</v>
      </c>
      <c r="U10" s="392"/>
      <c r="V10" s="392" t="str">
        <f>O10</f>
        <v>Kroatië</v>
      </c>
      <c r="W10" s="392" t="s">
        <v>49</v>
      </c>
      <c r="Y10" s="109">
        <f t="shared" si="8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0</v>
      </c>
      <c r="AG10" s="108">
        <f t="shared" si="0"/>
        <v>0</v>
      </c>
      <c r="AH10" s="108">
        <f t="shared" si="1"/>
        <v>0</v>
      </c>
      <c r="AI10" s="108">
        <f t="shared" si="10"/>
        <v>0</v>
      </c>
      <c r="AJ10" s="108">
        <f t="shared" si="2"/>
        <v>0</v>
      </c>
      <c r="AK10" s="108">
        <f t="shared" si="3"/>
        <v>0</v>
      </c>
      <c r="AL10" s="108">
        <f t="shared" si="4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0</v>
      </c>
      <c r="H11" s="379" t="s">
        <v>9</v>
      </c>
      <c r="I11" s="442">
        <v>1</v>
      </c>
      <c r="J11" s="381">
        <f t="shared" si="5"/>
        <v>2</v>
      </c>
      <c r="K11" s="363">
        <f t="shared" si="6"/>
        <v>0</v>
      </c>
      <c r="L11" s="363">
        <f t="shared" si="7"/>
        <v>3</v>
      </c>
      <c r="O11" s="398" t="s">
        <v>11</v>
      </c>
      <c r="P11" s="399">
        <f>SUMIF($D$8:$D$55,$O11,$G$8:$G$55)+SUMIF($F$8:$F$55,$O11,$I$8:$I$55)</f>
        <v>5</v>
      </c>
      <c r="Q11" s="399">
        <f>SUMIF($D$8:$D$55,$O11,$I$8:$I$55)+SUMIF($F$8:$F$55,$O11,$G$8:$G$55)</f>
        <v>4</v>
      </c>
      <c r="R11" s="399">
        <f>P11-Q11</f>
        <v>1</v>
      </c>
      <c r="S11" s="400">
        <f>SUMIF($D$8:$D$55,$O11,$K$8:$K$55)+SUMIF($F$8:$F$55,$O11,$L$8:$L$55)</f>
        <v>6</v>
      </c>
      <c r="T11" s="445" t="s">
        <v>49</v>
      </c>
      <c r="U11" s="392"/>
      <c r="V11" s="392" t="str">
        <f>O11</f>
        <v>Mexico</v>
      </c>
      <c r="W11" s="392" t="s">
        <v>47</v>
      </c>
      <c r="Y11" s="109">
        <f t="shared" si="8"/>
        <v>1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1</v>
      </c>
      <c r="AG11" s="108">
        <f t="shared" si="0"/>
        <v>0</v>
      </c>
      <c r="AH11" s="108">
        <f t="shared" si="1"/>
        <v>1</v>
      </c>
      <c r="AI11" s="108">
        <f t="shared" si="10"/>
        <v>0</v>
      </c>
      <c r="AJ11" s="108">
        <f t="shared" si="2"/>
        <v>0</v>
      </c>
      <c r="AK11" s="108">
        <f t="shared" si="3"/>
        <v>0</v>
      </c>
      <c r="AL11" s="108">
        <f t="shared" si="4"/>
        <v>0</v>
      </c>
      <c r="AM11" s="120">
        <f>AO11</f>
        <v>10</v>
      </c>
      <c r="AN11" s="117" t="s">
        <v>11</v>
      </c>
      <c r="AO11" s="115">
        <f>IF(Uitslag!T11="",0,IF(T11=Uitslag!T11,10,0))</f>
        <v>10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2</v>
      </c>
      <c r="H12" s="367" t="s">
        <v>9</v>
      </c>
      <c r="I12" s="440">
        <v>1</v>
      </c>
      <c r="J12" s="369">
        <f t="shared" si="5"/>
        <v>1</v>
      </c>
      <c r="K12" s="363">
        <f t="shared" si="6"/>
        <v>3</v>
      </c>
      <c r="L12" s="363">
        <f t="shared" si="7"/>
        <v>0</v>
      </c>
      <c r="O12" s="401" t="s">
        <v>12</v>
      </c>
      <c r="P12" s="402">
        <f>SUMIF($D$8:$D$55,$O12,$G$8:$G$55)+SUMIF($F$8:$F$55,$O12,$I$8:$I$55)</f>
        <v>2</v>
      </c>
      <c r="Q12" s="402">
        <f>SUMIF($D$8:$D$55,$O12,$I$8:$I$55)+SUMIF($F$8:$F$55,$O12,$G$8:$G$55)</f>
        <v>5</v>
      </c>
      <c r="R12" s="402">
        <f>P12-Q12</f>
        <v>-3</v>
      </c>
      <c r="S12" s="403">
        <f>SUMIF($D$8:$D$55,$O12,$K$8:$K$55)+SUMIF($F$8:$F$55,$O12,$L$8:$L$55)</f>
        <v>1</v>
      </c>
      <c r="T12" s="446" t="s">
        <v>47</v>
      </c>
      <c r="U12" s="392"/>
      <c r="V12" s="392" t="str">
        <f>O12</f>
        <v>Kameroen</v>
      </c>
      <c r="W12" s="392" t="s">
        <v>50</v>
      </c>
      <c r="Y12" s="109">
        <f t="shared" si="8"/>
        <v>5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5</v>
      </c>
      <c r="AG12" s="108">
        <f t="shared" si="0"/>
        <v>0</v>
      </c>
      <c r="AH12" s="108">
        <f t="shared" si="1"/>
        <v>0</v>
      </c>
      <c r="AI12" s="108">
        <f t="shared" si="10"/>
        <v>0</v>
      </c>
      <c r="AJ12" s="108">
        <f t="shared" si="2"/>
        <v>5</v>
      </c>
      <c r="AK12" s="108">
        <f t="shared" si="3"/>
        <v>0</v>
      </c>
      <c r="AL12" s="108">
        <f t="shared" si="4"/>
        <v>0</v>
      </c>
      <c r="AM12" s="120">
        <f>AO12</f>
        <v>0</v>
      </c>
      <c r="AN12" s="118" t="s">
        <v>12</v>
      </c>
      <c r="AO12" s="115">
        <f>IF(Uitslag!T12="",0,IF(T12=Uitslag!T12,10,0))</f>
        <v>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0</v>
      </c>
      <c r="H13" s="373" t="s">
        <v>9</v>
      </c>
      <c r="I13" s="441">
        <v>2</v>
      </c>
      <c r="J13" s="375">
        <f t="shared" si="5"/>
        <v>2</v>
      </c>
      <c r="K13" s="363">
        <f t="shared" si="6"/>
        <v>0</v>
      </c>
      <c r="L13" s="363">
        <f t="shared" si="7"/>
        <v>3</v>
      </c>
      <c r="O13" s="392"/>
      <c r="P13" s="393"/>
      <c r="Q13" s="393"/>
      <c r="R13" s="393"/>
      <c r="S13" s="393"/>
      <c r="T13" s="393"/>
      <c r="U13" s="392"/>
      <c r="V13" s="392"/>
      <c r="W13" s="392"/>
      <c r="Y13" s="109">
        <f t="shared" si="8"/>
        <v>5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5</v>
      </c>
      <c r="AG13" s="108">
        <f t="shared" si="0"/>
        <v>0</v>
      </c>
      <c r="AH13" s="108">
        <f t="shared" si="1"/>
        <v>0</v>
      </c>
      <c r="AI13" s="108">
        <f t="shared" si="10"/>
        <v>0</v>
      </c>
      <c r="AJ13" s="108">
        <f t="shared" si="2"/>
        <v>0</v>
      </c>
      <c r="AK13" s="108">
        <f t="shared" si="3"/>
        <v>5</v>
      </c>
      <c r="AL13" s="108">
        <f t="shared" si="4"/>
        <v>0</v>
      </c>
      <c r="AN13" s="392"/>
      <c r="AO13" s="393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1</v>
      </c>
      <c r="H14" s="373" t="s">
        <v>9</v>
      </c>
      <c r="I14" s="441">
        <v>3</v>
      </c>
      <c r="J14" s="375">
        <f t="shared" si="5"/>
        <v>2</v>
      </c>
      <c r="K14" s="363">
        <f t="shared" si="6"/>
        <v>0</v>
      </c>
      <c r="L14" s="363">
        <f t="shared" si="7"/>
        <v>3</v>
      </c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392"/>
      <c r="V14" s="392"/>
      <c r="W14" s="392"/>
      <c r="Y14" s="109">
        <f t="shared" si="8"/>
        <v>6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6</v>
      </c>
      <c r="AG14" s="108">
        <f t="shared" si="0"/>
        <v>1</v>
      </c>
      <c r="AH14" s="108">
        <f t="shared" si="1"/>
        <v>0</v>
      </c>
      <c r="AI14" s="108">
        <f t="shared" si="10"/>
        <v>0</v>
      </c>
      <c r="AJ14" s="108">
        <f t="shared" si="2"/>
        <v>0</v>
      </c>
      <c r="AK14" s="108">
        <f t="shared" si="3"/>
        <v>5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0</v>
      </c>
      <c r="H15" s="379" t="s">
        <v>9</v>
      </c>
      <c r="I15" s="442">
        <v>2</v>
      </c>
      <c r="J15" s="381">
        <f t="shared" si="5"/>
        <v>2</v>
      </c>
      <c r="K15" s="363">
        <f t="shared" si="6"/>
        <v>0</v>
      </c>
      <c r="L15" s="363">
        <f t="shared" si="7"/>
        <v>3</v>
      </c>
      <c r="O15" s="394" t="s">
        <v>13</v>
      </c>
      <c r="P15" s="395">
        <f>SUMIF($D$8:$D$55,$O15,$G$8:$G$55)+SUMIF($F$8:$F$55,$O15,$I$8:$I$55)</f>
        <v>7</v>
      </c>
      <c r="Q15" s="395">
        <f>SUMIF($D$8:$D$55,$O15,$I$8:$I$55)+SUMIF($F$8:$F$55,$O15,$G$8:$G$55)</f>
        <v>2</v>
      </c>
      <c r="R15" s="396">
        <f>P15-Q15</f>
        <v>5</v>
      </c>
      <c r="S15" s="397">
        <f>SUMIF($D$8:$D$55,$O15,$K$8:$K$55)+SUMIF($F$8:$F$55,$O15,$L$8:$L$55)</f>
        <v>9</v>
      </c>
      <c r="T15" s="444" t="s">
        <v>52</v>
      </c>
      <c r="U15" s="392"/>
      <c r="V15" s="392" t="str">
        <f>O15</f>
        <v>Spanje</v>
      </c>
      <c r="W15" s="392" t="s">
        <v>52</v>
      </c>
      <c r="Y15" s="109">
        <f t="shared" si="8"/>
        <v>0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0</v>
      </c>
      <c r="AG15" s="108">
        <f t="shared" si="0"/>
        <v>0</v>
      </c>
      <c r="AH15" s="108">
        <f t="shared" si="1"/>
        <v>0</v>
      </c>
      <c r="AI15" s="108">
        <f t="shared" si="10"/>
        <v>0</v>
      </c>
      <c r="AJ15" s="108">
        <f t="shared" si="2"/>
        <v>0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1</v>
      </c>
      <c r="H16" s="367" t="s">
        <v>9</v>
      </c>
      <c r="I16" s="440">
        <v>2</v>
      </c>
      <c r="J16" s="369">
        <f t="shared" si="5"/>
        <v>2</v>
      </c>
      <c r="K16" s="363">
        <f t="shared" si="6"/>
        <v>0</v>
      </c>
      <c r="L16" s="363">
        <f t="shared" si="7"/>
        <v>3</v>
      </c>
      <c r="O16" s="404" t="s">
        <v>14</v>
      </c>
      <c r="P16" s="399">
        <f>SUMIF($D$8:$D$55,$O16,$G$8:$G$55)+SUMIF($F$8:$F$55,$O16,$I$8:$I$55)</f>
        <v>4</v>
      </c>
      <c r="Q16" s="399">
        <f>SUMIF($D$8:$D$55,$O16,$I$8:$I$55)+SUMIF($F$8:$F$55,$O16,$G$8:$G$55)</f>
        <v>4</v>
      </c>
      <c r="R16" s="399">
        <f>P16-Q16</f>
        <v>0</v>
      </c>
      <c r="S16" s="400">
        <f>SUMIF($D$8:$D$55,$O16,$K$8:$K$55)+SUMIF($F$8:$F$55,$O16,$L$8:$L$55)</f>
        <v>4</v>
      </c>
      <c r="T16" s="445" t="s">
        <v>53</v>
      </c>
      <c r="U16" s="392"/>
      <c r="V16" s="392" t="str">
        <f>O16</f>
        <v>Nederland</v>
      </c>
      <c r="W16" s="392" t="s">
        <v>53</v>
      </c>
      <c r="Y16" s="109">
        <f t="shared" si="8"/>
        <v>0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0</v>
      </c>
      <c r="AG16" s="108">
        <f t="shared" si="0"/>
        <v>0</v>
      </c>
      <c r="AH16" s="108">
        <f t="shared" si="1"/>
        <v>0</v>
      </c>
      <c r="AI16" s="108">
        <f t="shared" si="10"/>
        <v>0</v>
      </c>
      <c r="AJ16" s="108">
        <f t="shared" si="2"/>
        <v>0</v>
      </c>
      <c r="AK16" s="108">
        <f t="shared" si="3"/>
        <v>0</v>
      </c>
      <c r="AL16" s="108">
        <f t="shared" si="4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2</v>
      </c>
      <c r="H17" s="373" t="s">
        <v>9</v>
      </c>
      <c r="I17" s="441">
        <v>0</v>
      </c>
      <c r="J17" s="375">
        <f t="shared" si="5"/>
        <v>1</v>
      </c>
      <c r="K17" s="363">
        <f t="shared" si="6"/>
        <v>3</v>
      </c>
      <c r="L17" s="363">
        <f t="shared" si="7"/>
        <v>0</v>
      </c>
      <c r="O17" s="398" t="s">
        <v>15</v>
      </c>
      <c r="P17" s="399">
        <f>SUMIF($D$8:$D$55,$O17,$G$8:$G$55)+SUMIF($F$8:$F$55,$O17,$I$8:$I$55)</f>
        <v>1</v>
      </c>
      <c r="Q17" s="399">
        <f>SUMIF($D$8:$D$55,$O17,$I$8:$I$55)+SUMIF($F$8:$F$55,$O17,$G$8:$G$55)</f>
        <v>4</v>
      </c>
      <c r="R17" s="399">
        <f>P17-Q17</f>
        <v>-3</v>
      </c>
      <c r="S17" s="400">
        <f>SUMIF($D$8:$D$55,$O17,$K$8:$K$55)+SUMIF($F$8:$F$55,$O17,$L$8:$L$55)</f>
        <v>1</v>
      </c>
      <c r="T17" s="445" t="s">
        <v>55</v>
      </c>
      <c r="U17" s="392"/>
      <c r="V17" s="392" t="str">
        <f>O17</f>
        <v>Chili</v>
      </c>
      <c r="W17" s="392" t="s">
        <v>54</v>
      </c>
      <c r="Y17" s="109">
        <f t="shared" si="8"/>
        <v>6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6</v>
      </c>
      <c r="AG17" s="108">
        <f t="shared" si="0"/>
        <v>0</v>
      </c>
      <c r="AH17" s="108">
        <f t="shared" si="1"/>
        <v>1</v>
      </c>
      <c r="AI17" s="108">
        <f t="shared" si="10"/>
        <v>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3</v>
      </c>
      <c r="H18" s="379" t="s">
        <v>9</v>
      </c>
      <c r="I18" s="442">
        <v>0</v>
      </c>
      <c r="J18" s="381">
        <f t="shared" si="5"/>
        <v>1</v>
      </c>
      <c r="K18" s="363">
        <f t="shared" si="6"/>
        <v>3</v>
      </c>
      <c r="L18" s="363">
        <f t="shared" si="7"/>
        <v>0</v>
      </c>
      <c r="O18" s="401" t="s">
        <v>16</v>
      </c>
      <c r="P18" s="402">
        <f>SUMIF($D$8:$D$55,$O18,$G$8:$G$55)+SUMIF($F$8:$F$55,$O18,$I$8:$I$55)</f>
        <v>3</v>
      </c>
      <c r="Q18" s="402">
        <f>SUMIF($D$8:$D$55,$O18,$I$8:$I$55)+SUMIF($F$8:$F$55,$O18,$G$8:$G$55)</f>
        <v>5</v>
      </c>
      <c r="R18" s="402">
        <f>P18-Q18</f>
        <v>-2</v>
      </c>
      <c r="S18" s="403">
        <f>SUMIF($D$8:$D$55,$O18,$K$8:$K$55)+SUMIF($F$8:$F$55,$O18,$L$8:$L$55)</f>
        <v>3</v>
      </c>
      <c r="T18" s="446" t="s">
        <v>54</v>
      </c>
      <c r="U18" s="392"/>
      <c r="V18" s="392" t="str">
        <f>O18</f>
        <v>Australië</v>
      </c>
      <c r="W18" s="392" t="s">
        <v>55</v>
      </c>
      <c r="Y18" s="109">
        <f t="shared" si="8"/>
        <v>5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5</v>
      </c>
      <c r="AG18" s="108">
        <f t="shared" si="0"/>
        <v>0</v>
      </c>
      <c r="AH18" s="108">
        <f t="shared" si="1"/>
        <v>0</v>
      </c>
      <c r="AI18" s="108">
        <f t="shared" si="10"/>
        <v>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0</v>
      </c>
      <c r="AN18" s="118" t="s">
        <v>16</v>
      </c>
      <c r="AO18" s="115">
        <f>IF(Uitslag!T18="",0,IF(T18=Uitslag!T18,10,0))</f>
        <v>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1</v>
      </c>
      <c r="H19" s="367" t="s">
        <v>9</v>
      </c>
      <c r="I19" s="440">
        <v>2</v>
      </c>
      <c r="J19" s="369">
        <f t="shared" si="5"/>
        <v>2</v>
      </c>
      <c r="K19" s="363">
        <f t="shared" si="6"/>
        <v>0</v>
      </c>
      <c r="L19" s="363">
        <f t="shared" si="7"/>
        <v>3</v>
      </c>
      <c r="O19" s="392"/>
      <c r="P19" s="393"/>
      <c r="Q19" s="393"/>
      <c r="R19" s="393"/>
      <c r="S19" s="393"/>
      <c r="T19" s="393"/>
      <c r="U19" s="392"/>
      <c r="V19" s="392"/>
      <c r="W19" s="392"/>
      <c r="Y19" s="109">
        <f t="shared" si="8"/>
        <v>0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0</v>
      </c>
      <c r="AG19" s="108">
        <f t="shared" si="0"/>
        <v>0</v>
      </c>
      <c r="AH19" s="108">
        <f t="shared" si="1"/>
        <v>0</v>
      </c>
      <c r="AI19" s="108">
        <f t="shared" si="10"/>
        <v>0</v>
      </c>
      <c r="AJ19" s="108">
        <f t="shared" si="2"/>
        <v>0</v>
      </c>
      <c r="AK19" s="108">
        <f t="shared" si="3"/>
        <v>0</v>
      </c>
      <c r="AL19" s="108">
        <f t="shared" si="4"/>
        <v>0</v>
      </c>
      <c r="AN19" s="392"/>
      <c r="AO19" s="393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0</v>
      </c>
      <c r="H20" s="373" t="s">
        <v>9</v>
      </c>
      <c r="I20" s="441">
        <v>1</v>
      </c>
      <c r="J20" s="375">
        <f t="shared" si="5"/>
        <v>2</v>
      </c>
      <c r="K20" s="363">
        <f t="shared" si="6"/>
        <v>0</v>
      </c>
      <c r="L20" s="363">
        <f t="shared" si="7"/>
        <v>3</v>
      </c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392"/>
      <c r="V20" s="392"/>
      <c r="W20" s="392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0"/>
        <v>1</v>
      </c>
      <c r="AH20" s="108">
        <f t="shared" si="1"/>
        <v>0</v>
      </c>
      <c r="AI20" s="108">
        <f t="shared" si="10"/>
        <v>0</v>
      </c>
      <c r="AJ20" s="108">
        <f t="shared" si="2"/>
        <v>0</v>
      </c>
      <c r="AK20" s="108">
        <f t="shared" si="3"/>
        <v>0</v>
      </c>
      <c r="AL20" s="108">
        <f t="shared" si="4"/>
        <v>0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1</v>
      </c>
      <c r="H21" s="379" t="s">
        <v>9</v>
      </c>
      <c r="I21" s="442">
        <v>3</v>
      </c>
      <c r="J21" s="381">
        <f t="shared" si="5"/>
        <v>2</v>
      </c>
      <c r="K21" s="363">
        <f t="shared" si="6"/>
        <v>0</v>
      </c>
      <c r="L21" s="363">
        <f t="shared" si="7"/>
        <v>3</v>
      </c>
      <c r="O21" s="394" t="s">
        <v>17</v>
      </c>
      <c r="P21" s="395">
        <f>SUMIF($D$8:$D$55,$O21,$G$8:$G$55)+SUMIF($F$8:$F$55,$O21,$I$8:$I$55)</f>
        <v>7</v>
      </c>
      <c r="Q21" s="395">
        <f>SUMIF($D$8:$D$55,$O21,$I$8:$I$55)+SUMIF($F$8:$F$55,$O21,$G$8:$G$55)</f>
        <v>3</v>
      </c>
      <c r="R21" s="396">
        <f>P21-Q21</f>
        <v>4</v>
      </c>
      <c r="S21" s="397">
        <f>SUMIF($D$8:$D$55,$O21,$K$8:$K$55)+SUMIF($F$8:$F$55,$O21,$L$8:$L$55)</f>
        <v>9</v>
      </c>
      <c r="T21" s="444" t="s">
        <v>57</v>
      </c>
      <c r="U21" s="392"/>
      <c r="V21" s="392" t="str">
        <f>O21</f>
        <v>Colombia</v>
      </c>
      <c r="W21" s="392" t="s">
        <v>57</v>
      </c>
      <c r="Y21" s="109">
        <f t="shared" si="8"/>
        <v>6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6</v>
      </c>
      <c r="AG21" s="108">
        <f t="shared" si="0"/>
        <v>1</v>
      </c>
      <c r="AH21" s="108">
        <f t="shared" si="1"/>
        <v>0</v>
      </c>
      <c r="AI21" s="108">
        <f t="shared" si="10"/>
        <v>0</v>
      </c>
      <c r="AJ21" s="108">
        <f t="shared" si="2"/>
        <v>0</v>
      </c>
      <c r="AK21" s="108">
        <f t="shared" si="3"/>
        <v>5</v>
      </c>
      <c r="AL21" s="108">
        <f t="shared" si="4"/>
        <v>0</v>
      </c>
      <c r="AM21" s="120">
        <f>AO21</f>
        <v>10</v>
      </c>
      <c r="AN21" s="116" t="s">
        <v>17</v>
      </c>
      <c r="AO21" s="115">
        <f>IF(Uitslag!T21="",0,IF(T21=Uitslag!T21,10,0))</f>
        <v>10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2</v>
      </c>
      <c r="H22" s="367" t="s">
        <v>9</v>
      </c>
      <c r="I22" s="440">
        <v>0</v>
      </c>
      <c r="J22" s="369">
        <f t="shared" si="5"/>
        <v>1</v>
      </c>
      <c r="K22" s="363">
        <f t="shared" si="6"/>
        <v>3</v>
      </c>
      <c r="L22" s="363">
        <f t="shared" si="7"/>
        <v>0</v>
      </c>
      <c r="O22" s="398" t="s">
        <v>18</v>
      </c>
      <c r="P22" s="399">
        <f>SUMIF($D$8:$D$55,$O22,$G$8:$G$55)+SUMIF($F$8:$F$55,$O22,$I$8:$I$55)</f>
        <v>3</v>
      </c>
      <c r="Q22" s="399">
        <f>SUMIF($D$8:$D$55,$O22,$I$8:$I$55)+SUMIF($F$8:$F$55,$O22,$G$8:$G$55)</f>
        <v>3</v>
      </c>
      <c r="R22" s="399">
        <f>P22-Q22</f>
        <v>0</v>
      </c>
      <c r="S22" s="400">
        <f>SUMIF($D$8:$D$55,$O22,$K$8:$K$55)+SUMIF($F$8:$F$55,$O22,$L$8:$L$55)</f>
        <v>4</v>
      </c>
      <c r="T22" s="445" t="s">
        <v>59</v>
      </c>
      <c r="U22" s="392"/>
      <c r="V22" s="392" t="str">
        <f>O22</f>
        <v>Griekenland</v>
      </c>
      <c r="W22" s="392" t="s">
        <v>58</v>
      </c>
      <c r="Y22" s="109">
        <f t="shared" si="8"/>
        <v>6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6</v>
      </c>
      <c r="AG22" s="108">
        <f t="shared" si="0"/>
        <v>1</v>
      </c>
      <c r="AH22" s="108">
        <f t="shared" si="1"/>
        <v>0</v>
      </c>
      <c r="AI22" s="108">
        <f t="shared" si="10"/>
        <v>0</v>
      </c>
      <c r="AJ22" s="108">
        <f t="shared" si="2"/>
        <v>5</v>
      </c>
      <c r="AK22" s="108">
        <f t="shared" si="3"/>
        <v>0</v>
      </c>
      <c r="AL22" s="108">
        <f t="shared" si="4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2</v>
      </c>
      <c r="H23" s="373" t="s">
        <v>9</v>
      </c>
      <c r="I23" s="441">
        <v>1</v>
      </c>
      <c r="J23" s="375">
        <f t="shared" si="5"/>
        <v>1</v>
      </c>
      <c r="K23" s="363">
        <f t="shared" si="6"/>
        <v>3</v>
      </c>
      <c r="L23" s="363">
        <f t="shared" si="7"/>
        <v>0</v>
      </c>
      <c r="O23" s="398" t="s">
        <v>23</v>
      </c>
      <c r="P23" s="399">
        <f>SUMIF($D$8:$D$55,$O23,$G$8:$G$55)+SUMIF($F$8:$F$55,$O23,$I$8:$I$55)</f>
        <v>1</v>
      </c>
      <c r="Q23" s="399">
        <f>SUMIF($D$8:$D$55,$O23,$I$8:$I$55)+SUMIF($F$8:$F$55,$O23,$G$8:$G$55)</f>
        <v>5</v>
      </c>
      <c r="R23" s="399">
        <f>P23-Q23</f>
        <v>-4</v>
      </c>
      <c r="S23" s="400">
        <f>SUMIF($D$8:$D$55,$O23,$K$8:$K$55)+SUMIF($F$8:$F$55,$O23,$L$8:$L$55)</f>
        <v>0</v>
      </c>
      <c r="T23" s="445" t="s">
        <v>60</v>
      </c>
      <c r="U23" s="392"/>
      <c r="V23" s="392" t="str">
        <f>O23</f>
        <v>Ivoorkust</v>
      </c>
      <c r="W23" s="392" t="s">
        <v>59</v>
      </c>
      <c r="Y23" s="109">
        <f t="shared" si="8"/>
        <v>0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0</v>
      </c>
      <c r="AG23" s="108">
        <f t="shared" si="0"/>
        <v>0</v>
      </c>
      <c r="AH23" s="108">
        <f t="shared" si="1"/>
        <v>0</v>
      </c>
      <c r="AI23" s="108">
        <f t="shared" si="10"/>
        <v>0</v>
      </c>
      <c r="AJ23" s="108">
        <f t="shared" si="2"/>
        <v>0</v>
      </c>
      <c r="AK23" s="108">
        <f t="shared" si="3"/>
        <v>0</v>
      </c>
      <c r="AL23" s="108">
        <f t="shared" si="4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2</v>
      </c>
      <c r="H24" s="379" t="s">
        <v>9</v>
      </c>
      <c r="I24" s="442">
        <v>1</v>
      </c>
      <c r="J24" s="381">
        <f t="shared" si="5"/>
        <v>1</v>
      </c>
      <c r="K24" s="363">
        <f t="shared" si="6"/>
        <v>3</v>
      </c>
      <c r="L24" s="363">
        <f t="shared" si="7"/>
        <v>0</v>
      </c>
      <c r="O24" s="401" t="s">
        <v>24</v>
      </c>
      <c r="P24" s="402">
        <f>SUMIF($D$8:$D$55,$O24,$G$8:$G$55)+SUMIF($F$8:$F$55,$O24,$I$8:$I$55)</f>
        <v>4</v>
      </c>
      <c r="Q24" s="402">
        <f>SUMIF($D$8:$D$55,$O24,$I$8:$I$55)+SUMIF($F$8:$F$55,$O24,$G$8:$G$55)</f>
        <v>4</v>
      </c>
      <c r="R24" s="402">
        <f>P24-Q24</f>
        <v>0</v>
      </c>
      <c r="S24" s="403">
        <f>SUMIF($D$8:$D$55,$O24,$K$8:$K$55)+SUMIF($F$8:$F$55,$O24,$L$8:$L$55)</f>
        <v>4</v>
      </c>
      <c r="T24" s="446" t="s">
        <v>58</v>
      </c>
      <c r="U24" s="392"/>
      <c r="V24" s="392" t="str">
        <f>O24</f>
        <v>Japan</v>
      </c>
      <c r="W24" s="392" t="s">
        <v>60</v>
      </c>
      <c r="Y24" s="109">
        <f t="shared" si="8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</v>
      </c>
      <c r="AG24" s="108">
        <f t="shared" si="0"/>
        <v>0</v>
      </c>
      <c r="AH24" s="108">
        <f t="shared" si="1"/>
        <v>1</v>
      </c>
      <c r="AI24" s="108">
        <f t="shared" si="10"/>
        <v>0</v>
      </c>
      <c r="AJ24" s="108">
        <f t="shared" si="2"/>
        <v>0</v>
      </c>
      <c r="AK24" s="108">
        <f t="shared" si="3"/>
        <v>0</v>
      </c>
      <c r="AL24" s="108">
        <f t="shared" si="4"/>
        <v>0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1</v>
      </c>
      <c r="H25" s="367" t="s">
        <v>9</v>
      </c>
      <c r="I25" s="440">
        <v>2</v>
      </c>
      <c r="J25" s="369">
        <f t="shared" si="5"/>
        <v>2</v>
      </c>
      <c r="K25" s="363">
        <f t="shared" si="6"/>
        <v>0</v>
      </c>
      <c r="L25" s="363">
        <f t="shared" si="7"/>
        <v>3</v>
      </c>
      <c r="O25" s="392"/>
      <c r="P25" s="393"/>
      <c r="Q25" s="393"/>
      <c r="R25" s="393"/>
      <c r="S25" s="393"/>
      <c r="T25" s="393"/>
      <c r="U25" s="392"/>
      <c r="V25" s="392"/>
      <c r="W25" s="392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0"/>
        <v>0</v>
      </c>
      <c r="AH25" s="108">
        <f t="shared" si="1"/>
        <v>0</v>
      </c>
      <c r="AI25" s="108">
        <f t="shared" si="10"/>
        <v>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392"/>
      <c r="AO25" s="393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2</v>
      </c>
      <c r="H26" s="373" t="s">
        <v>9</v>
      </c>
      <c r="I26" s="441">
        <v>0</v>
      </c>
      <c r="J26" s="375">
        <f t="shared" si="5"/>
        <v>1</v>
      </c>
      <c r="K26" s="363">
        <f t="shared" si="6"/>
        <v>3</v>
      </c>
      <c r="L26" s="363">
        <f t="shared" si="7"/>
        <v>0</v>
      </c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392"/>
      <c r="V26" s="392"/>
      <c r="W26" s="392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0"/>
        <v>0</v>
      </c>
      <c r="AH26" s="108">
        <f t="shared" si="1"/>
        <v>0</v>
      </c>
      <c r="AI26" s="108">
        <f t="shared" si="10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1</v>
      </c>
      <c r="H27" s="379" t="s">
        <v>9</v>
      </c>
      <c r="I27" s="442">
        <v>1</v>
      </c>
      <c r="J27" s="381">
        <f t="shared" si="5"/>
        <v>3</v>
      </c>
      <c r="K27" s="363">
        <f t="shared" si="6"/>
        <v>1</v>
      </c>
      <c r="L27" s="363">
        <f t="shared" si="7"/>
        <v>1</v>
      </c>
      <c r="O27" s="394" t="s">
        <v>19</v>
      </c>
      <c r="P27" s="395">
        <f>SUMIF($D$8:$D$55,$O27,$G$8:$G$55)+SUMIF($F$8:$F$55,$O27,$I$8:$I$55)</f>
        <v>1</v>
      </c>
      <c r="Q27" s="395">
        <f>SUMIF($D$8:$D$55,$O27,$I$8:$I$55)+SUMIF($F$8:$F$55,$O27,$G$8:$G$55)</f>
        <v>7</v>
      </c>
      <c r="R27" s="396">
        <f>P27-Q27</f>
        <v>-6</v>
      </c>
      <c r="S27" s="397">
        <f>SUMIF($D$8:$D$55,$O27,$K$8:$K$55)+SUMIF($F$8:$F$55,$O27,$L$8:$L$55)</f>
        <v>0</v>
      </c>
      <c r="T27" s="444" t="s">
        <v>65</v>
      </c>
      <c r="U27" s="392"/>
      <c r="V27" s="392" t="str">
        <f>O27</f>
        <v>Uruguay</v>
      </c>
      <c r="W27" s="392" t="s">
        <v>62</v>
      </c>
      <c r="Y27" s="109">
        <f t="shared" si="8"/>
        <v>0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0</v>
      </c>
      <c r="AG27" s="108">
        <f t="shared" si="0"/>
        <v>0</v>
      </c>
      <c r="AH27" s="108">
        <f t="shared" si="1"/>
        <v>0</v>
      </c>
      <c r="AI27" s="108">
        <f t="shared" si="10"/>
        <v>0</v>
      </c>
      <c r="AJ27" s="108">
        <f t="shared" si="2"/>
        <v>0</v>
      </c>
      <c r="AK27" s="108">
        <f t="shared" si="3"/>
        <v>0</v>
      </c>
      <c r="AL27" s="108">
        <f t="shared" si="4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2</v>
      </c>
      <c r="H28" s="367" t="s">
        <v>9</v>
      </c>
      <c r="I28" s="440">
        <v>1</v>
      </c>
      <c r="J28" s="369">
        <f t="shared" si="5"/>
        <v>1</v>
      </c>
      <c r="K28" s="363">
        <f t="shared" si="6"/>
        <v>3</v>
      </c>
      <c r="L28" s="363">
        <f t="shared" si="7"/>
        <v>0</v>
      </c>
      <c r="O28" s="398" t="s">
        <v>20</v>
      </c>
      <c r="P28" s="399">
        <f>SUMIF($D$8:$D$55,$O28,$G$8:$G$55)+SUMIF($F$8:$F$55,$O28,$I$8:$I$55)</f>
        <v>3</v>
      </c>
      <c r="Q28" s="399">
        <f>SUMIF($D$8:$D$55,$O28,$I$8:$I$55)+SUMIF($F$8:$F$55,$O28,$G$8:$G$55)</f>
        <v>4</v>
      </c>
      <c r="R28" s="399">
        <f>P28-Q28</f>
        <v>-1</v>
      </c>
      <c r="S28" s="400">
        <f>SUMIF($D$8:$D$55,$O28,$K$8:$K$55)+SUMIF($F$8:$F$55,$O28,$L$8:$L$55)</f>
        <v>3</v>
      </c>
      <c r="T28" s="445" t="s">
        <v>64</v>
      </c>
      <c r="U28" s="392"/>
      <c r="V28" s="392" t="str">
        <f>O28</f>
        <v>Costa Rica</v>
      </c>
      <c r="W28" s="392" t="s">
        <v>63</v>
      </c>
      <c r="Y28" s="109">
        <f t="shared" si="8"/>
        <v>10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10</v>
      </c>
      <c r="AG28" s="108">
        <f t="shared" si="0"/>
        <v>1</v>
      </c>
      <c r="AH28" s="108">
        <f t="shared" si="1"/>
        <v>1</v>
      </c>
      <c r="AI28" s="108">
        <f t="shared" si="10"/>
        <v>10</v>
      </c>
      <c r="AJ28" s="108">
        <f t="shared" si="2"/>
        <v>5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0</v>
      </c>
      <c r="H29" s="373" t="s">
        <v>9</v>
      </c>
      <c r="I29" s="441">
        <v>2</v>
      </c>
      <c r="J29" s="375">
        <f t="shared" si="5"/>
        <v>2</v>
      </c>
      <c r="K29" s="363">
        <f t="shared" si="6"/>
        <v>0</v>
      </c>
      <c r="L29" s="363">
        <f t="shared" si="7"/>
        <v>3</v>
      </c>
      <c r="O29" s="398" t="s">
        <v>21</v>
      </c>
      <c r="P29" s="399">
        <f>SUMIF($D$8:$D$55,$O29,$G$8:$G$55)+SUMIF($F$8:$F$55,$O29,$I$8:$I$55)</f>
        <v>5</v>
      </c>
      <c r="Q29" s="399">
        <f>SUMIF($D$8:$D$55,$O29,$I$8:$I$55)+SUMIF($F$8:$F$55,$O29,$G$8:$G$55)</f>
        <v>4</v>
      </c>
      <c r="R29" s="399">
        <f>P29-Q29</f>
        <v>1</v>
      </c>
      <c r="S29" s="400">
        <f>SUMIF($D$8:$D$55,$O29,$K$8:$K$55)+SUMIF($F$8:$F$55,$O29,$L$8:$L$55)</f>
        <v>6</v>
      </c>
      <c r="T29" s="445" t="s">
        <v>63</v>
      </c>
      <c r="U29" s="392"/>
      <c r="V29" s="392" t="str">
        <f>O29</f>
        <v>Engeland</v>
      </c>
      <c r="W29" s="392" t="s">
        <v>64</v>
      </c>
      <c r="Y29" s="109">
        <f t="shared" si="8"/>
        <v>0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0</v>
      </c>
      <c r="AG29" s="108">
        <f t="shared" si="0"/>
        <v>0</v>
      </c>
      <c r="AH29" s="108">
        <f t="shared" si="1"/>
        <v>0</v>
      </c>
      <c r="AI29" s="108">
        <f t="shared" si="10"/>
        <v>0</v>
      </c>
      <c r="AJ29" s="108">
        <f t="shared" si="2"/>
        <v>0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1</v>
      </c>
      <c r="H30" s="379" t="s">
        <v>9</v>
      </c>
      <c r="I30" s="442">
        <v>1</v>
      </c>
      <c r="J30" s="381">
        <f t="shared" si="5"/>
        <v>3</v>
      </c>
      <c r="K30" s="363">
        <f t="shared" si="6"/>
        <v>1</v>
      </c>
      <c r="L30" s="363">
        <f t="shared" si="7"/>
        <v>1</v>
      </c>
      <c r="O30" s="401" t="s">
        <v>22</v>
      </c>
      <c r="P30" s="402">
        <f>SUMIF($D$8:$D$55,$O30,$G$8:$G$55)+SUMIF($F$8:$F$55,$O30,$I$8:$I$55)</f>
        <v>8</v>
      </c>
      <c r="Q30" s="402">
        <f>SUMIF($D$8:$D$55,$O30,$I$8:$I$55)+SUMIF($F$8:$F$55,$O30,$G$8:$G$55)</f>
        <v>2</v>
      </c>
      <c r="R30" s="402">
        <f>P30-Q30</f>
        <v>6</v>
      </c>
      <c r="S30" s="403">
        <f>SUMIF($D$8:$D$55,$O30,$K$8:$K$55)+SUMIF($F$8:$F$55,$O30,$L$8:$L$55)</f>
        <v>9</v>
      </c>
      <c r="T30" s="446" t="s">
        <v>62</v>
      </c>
      <c r="U30" s="392"/>
      <c r="V30" s="392" t="str">
        <f>O30</f>
        <v>Italië</v>
      </c>
      <c r="W30" s="392" t="s">
        <v>65</v>
      </c>
      <c r="Y30" s="109">
        <f t="shared" si="8"/>
        <v>5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5</v>
      </c>
      <c r="AG30" s="108">
        <f t="shared" si="0"/>
        <v>0</v>
      </c>
      <c r="AH30" s="108">
        <f t="shared" si="1"/>
        <v>0</v>
      </c>
      <c r="AI30" s="108">
        <f t="shared" si="10"/>
        <v>0</v>
      </c>
      <c r="AJ30" s="108">
        <f t="shared" si="2"/>
        <v>0</v>
      </c>
      <c r="AK30" s="108">
        <f t="shared" si="3"/>
        <v>0</v>
      </c>
      <c r="AL30" s="108">
        <f t="shared" si="4"/>
        <v>5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2</v>
      </c>
      <c r="H31" s="367" t="s">
        <v>9</v>
      </c>
      <c r="I31" s="440">
        <v>0</v>
      </c>
      <c r="J31" s="369">
        <f t="shared" si="5"/>
        <v>1</v>
      </c>
      <c r="K31" s="363">
        <f t="shared" si="6"/>
        <v>3</v>
      </c>
      <c r="L31" s="363">
        <f t="shared" si="7"/>
        <v>0</v>
      </c>
      <c r="O31" s="392"/>
      <c r="P31" s="393"/>
      <c r="Q31" s="393"/>
      <c r="R31" s="393"/>
      <c r="S31" s="393"/>
      <c r="T31" s="393"/>
      <c r="U31" s="392"/>
      <c r="V31" s="392"/>
      <c r="W31" s="392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0"/>
        <v>0</v>
      </c>
      <c r="AH31" s="108">
        <f t="shared" si="1"/>
        <v>0</v>
      </c>
      <c r="AI31" s="108">
        <f t="shared" si="10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392"/>
      <c r="AO31" s="393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1</v>
      </c>
      <c r="H32" s="373" t="s">
        <v>9</v>
      </c>
      <c r="I32" s="441">
        <v>2</v>
      </c>
      <c r="J32" s="375">
        <f t="shared" si="5"/>
        <v>2</v>
      </c>
      <c r="K32" s="363">
        <f t="shared" si="6"/>
        <v>0</v>
      </c>
      <c r="L32" s="363">
        <f t="shared" si="7"/>
        <v>3</v>
      </c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392"/>
      <c r="V32" s="392"/>
      <c r="W32" s="392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0"/>
        <v>0</v>
      </c>
      <c r="AH32" s="108">
        <f t="shared" si="1"/>
        <v>0</v>
      </c>
      <c r="AI32" s="108">
        <f t="shared" si="10"/>
        <v>0</v>
      </c>
      <c r="AJ32" s="108">
        <f t="shared" si="2"/>
        <v>0</v>
      </c>
      <c r="AK32" s="108">
        <f t="shared" si="3"/>
        <v>5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0</v>
      </c>
      <c r="H33" s="379" t="s">
        <v>9</v>
      </c>
      <c r="I33" s="442">
        <v>1</v>
      </c>
      <c r="J33" s="381">
        <f t="shared" si="5"/>
        <v>2</v>
      </c>
      <c r="K33" s="363">
        <f t="shared" si="6"/>
        <v>0</v>
      </c>
      <c r="L33" s="363">
        <f t="shared" si="7"/>
        <v>3</v>
      </c>
      <c r="O33" s="394" t="s">
        <v>25</v>
      </c>
      <c r="P33" s="395">
        <f>SUMIF($D$8:$D$55,$O33,$G$8:$G$55)+SUMIF($F$8:$F$55,$O33,$I$8:$I$55)</f>
        <v>3</v>
      </c>
      <c r="Q33" s="395">
        <f>SUMIF($D$8:$D$55,$O33,$I$8:$I$55)+SUMIF($F$8:$F$55,$O33,$G$8:$G$55)</f>
        <v>5</v>
      </c>
      <c r="R33" s="396">
        <f>P33-Q33</f>
        <v>-2</v>
      </c>
      <c r="S33" s="397">
        <f>SUMIF($D$8:$D$55,$O33,$K$8:$K$55)+SUMIF($F$8:$F$55,$O33,$L$8:$L$55)</f>
        <v>1</v>
      </c>
      <c r="T33" s="444" t="s">
        <v>70</v>
      </c>
      <c r="U33" s="392"/>
      <c r="V33" s="392" t="str">
        <f>O33</f>
        <v>Zwitserland</v>
      </c>
      <c r="W33" s="392" t="s">
        <v>67</v>
      </c>
      <c r="Y33" s="109">
        <f t="shared" si="8"/>
        <v>5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5</v>
      </c>
      <c r="AG33" s="108">
        <f t="shared" si="0"/>
        <v>0</v>
      </c>
      <c r="AH33" s="108">
        <f t="shared" si="1"/>
        <v>0</v>
      </c>
      <c r="AI33" s="108">
        <f t="shared" si="10"/>
        <v>0</v>
      </c>
      <c r="AJ33" s="108">
        <f t="shared" si="2"/>
        <v>0</v>
      </c>
      <c r="AK33" s="108">
        <f t="shared" si="3"/>
        <v>5</v>
      </c>
      <c r="AL33" s="108">
        <f t="shared" si="4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3</v>
      </c>
      <c r="H34" s="367" t="s">
        <v>9</v>
      </c>
      <c r="I34" s="440">
        <v>0</v>
      </c>
      <c r="J34" s="369">
        <f t="shared" si="5"/>
        <v>1</v>
      </c>
      <c r="K34" s="363">
        <f t="shared" si="6"/>
        <v>3</v>
      </c>
      <c r="L34" s="363">
        <f t="shared" si="7"/>
        <v>0</v>
      </c>
      <c r="O34" s="398" t="s">
        <v>26</v>
      </c>
      <c r="P34" s="399">
        <f>SUMIF($D$8:$D$55,$O34,$G$8:$G$55)+SUMIF($F$8:$F$55,$O34,$I$8:$I$55)</f>
        <v>4</v>
      </c>
      <c r="Q34" s="399">
        <f>SUMIF($D$8:$D$55,$O34,$I$8:$I$55)+SUMIF($F$8:$F$55,$O34,$G$8:$G$55)</f>
        <v>3</v>
      </c>
      <c r="R34" s="399">
        <f>P34-Q34</f>
        <v>1</v>
      </c>
      <c r="S34" s="400">
        <f>SUMIF($D$8:$D$55,$O34,$K$8:$K$55)+SUMIF($F$8:$F$55,$O34,$L$8:$L$55)</f>
        <v>6</v>
      </c>
      <c r="T34" s="445" t="s">
        <v>68</v>
      </c>
      <c r="U34" s="392"/>
      <c r="V34" s="392" t="str">
        <f>O34</f>
        <v>Ecuador</v>
      </c>
      <c r="W34" s="392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0"/>
        <v>0</v>
      </c>
      <c r="AH34" s="108">
        <f t="shared" si="1"/>
        <v>1</v>
      </c>
      <c r="AI34" s="108">
        <f t="shared" si="10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3</v>
      </c>
      <c r="H35" s="373" t="s">
        <v>9</v>
      </c>
      <c r="I35" s="441">
        <v>1</v>
      </c>
      <c r="J35" s="375">
        <f t="shared" si="5"/>
        <v>1</v>
      </c>
      <c r="K35" s="363">
        <f t="shared" si="6"/>
        <v>3</v>
      </c>
      <c r="L35" s="363">
        <f t="shared" si="7"/>
        <v>0</v>
      </c>
      <c r="O35" s="398" t="s">
        <v>27</v>
      </c>
      <c r="P35" s="399">
        <f>SUMIF($D$8:$D$55,$O35,$G$8:$G$55)+SUMIF($F$8:$F$55,$O35,$I$8:$I$55)</f>
        <v>6</v>
      </c>
      <c r="Q35" s="399">
        <f>SUMIF($D$8:$D$55,$O35,$I$8:$I$55)+SUMIF($F$8:$F$55,$O35,$G$8:$G$55)</f>
        <v>2</v>
      </c>
      <c r="R35" s="399">
        <f>P35-Q35</f>
        <v>4</v>
      </c>
      <c r="S35" s="400">
        <f>SUMIF($D$8:$D$55,$O35,$K$8:$K$55)+SUMIF($F$8:$F$55,$O35,$L$8:$L$55)</f>
        <v>9</v>
      </c>
      <c r="T35" s="445" t="s">
        <v>67</v>
      </c>
      <c r="U35" s="392"/>
      <c r="V35" s="392" t="str">
        <f>O35</f>
        <v>Frankrijk</v>
      </c>
      <c r="W35" s="392" t="s">
        <v>69</v>
      </c>
      <c r="Y35" s="109">
        <f t="shared" si="8"/>
        <v>0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0</v>
      </c>
      <c r="AG35" s="108">
        <f t="shared" si="0"/>
        <v>0</v>
      </c>
      <c r="AH35" s="108">
        <f t="shared" si="1"/>
        <v>0</v>
      </c>
      <c r="AI35" s="108">
        <f t="shared" si="10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1</v>
      </c>
      <c r="H36" s="379" t="s">
        <v>9</v>
      </c>
      <c r="I36" s="442">
        <v>1</v>
      </c>
      <c r="J36" s="381">
        <f t="shared" si="5"/>
        <v>3</v>
      </c>
      <c r="K36" s="363">
        <f t="shared" si="6"/>
        <v>1</v>
      </c>
      <c r="L36" s="363">
        <f t="shared" si="7"/>
        <v>1</v>
      </c>
      <c r="O36" s="401" t="s">
        <v>28</v>
      </c>
      <c r="P36" s="402">
        <f>SUMIF($D$8:$D$55,$O36,$G$8:$G$55)+SUMIF($F$8:$F$55,$O36,$I$8:$I$55)</f>
        <v>1</v>
      </c>
      <c r="Q36" s="402">
        <f>SUMIF($D$8:$D$55,$O36,$I$8:$I$55)+SUMIF($F$8:$F$55,$O36,$G$8:$G$55)</f>
        <v>4</v>
      </c>
      <c r="R36" s="402">
        <f>P36-Q36</f>
        <v>-3</v>
      </c>
      <c r="S36" s="403">
        <f>SUMIF($D$8:$D$55,$O36,$K$8:$K$55)+SUMIF($F$8:$F$55,$O36,$L$8:$L$55)</f>
        <v>1</v>
      </c>
      <c r="T36" s="446" t="s">
        <v>69</v>
      </c>
      <c r="U36" s="392"/>
      <c r="V36" s="392" t="str">
        <f>O36</f>
        <v>Honduras</v>
      </c>
      <c r="W36" s="392" t="s">
        <v>70</v>
      </c>
      <c r="Y36" s="109">
        <f t="shared" si="8"/>
        <v>1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1</v>
      </c>
      <c r="AG36" s="108">
        <f t="shared" si="0"/>
        <v>1</v>
      </c>
      <c r="AH36" s="108">
        <f t="shared" si="1"/>
        <v>0</v>
      </c>
      <c r="AI36" s="108">
        <f t="shared" si="10"/>
        <v>0</v>
      </c>
      <c r="AJ36" s="108">
        <f t="shared" si="2"/>
        <v>0</v>
      </c>
      <c r="AK36" s="108">
        <f t="shared" si="3"/>
        <v>0</v>
      </c>
      <c r="AL36" s="108">
        <f t="shared" si="4"/>
        <v>0</v>
      </c>
      <c r="AM36" s="120">
        <f>AO36</f>
        <v>0</v>
      </c>
      <c r="AN36" s="118" t="s">
        <v>28</v>
      </c>
      <c r="AO36" s="115">
        <f>IF(Uitslag!T36="",0,IF(T36=Uitslag!T36,10,0))</f>
        <v>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2</v>
      </c>
      <c r="H37" s="367" t="s">
        <v>9</v>
      </c>
      <c r="I37" s="440">
        <v>0</v>
      </c>
      <c r="J37" s="369">
        <f t="shared" si="5"/>
        <v>1</v>
      </c>
      <c r="K37" s="363">
        <f t="shared" si="6"/>
        <v>3</v>
      </c>
      <c r="L37" s="363">
        <f t="shared" si="7"/>
        <v>0</v>
      </c>
      <c r="O37" s="392"/>
      <c r="P37" s="393"/>
      <c r="Q37" s="393"/>
      <c r="R37" s="393"/>
      <c r="S37" s="393"/>
      <c r="T37" s="393"/>
      <c r="U37" s="392"/>
      <c r="V37" s="392"/>
      <c r="W37" s="392"/>
      <c r="Y37" s="109">
        <f t="shared" si="8"/>
        <v>6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6</v>
      </c>
      <c r="AG37" s="108">
        <f t="shared" si="0"/>
        <v>0</v>
      </c>
      <c r="AH37" s="108">
        <f t="shared" si="1"/>
        <v>1</v>
      </c>
      <c r="AI37" s="108">
        <f t="shared" si="10"/>
        <v>0</v>
      </c>
      <c r="AJ37" s="108">
        <f t="shared" si="2"/>
        <v>5</v>
      </c>
      <c r="AK37" s="108">
        <f t="shared" si="3"/>
        <v>0</v>
      </c>
      <c r="AL37" s="108">
        <f t="shared" si="4"/>
        <v>0</v>
      </c>
      <c r="AN37" s="392"/>
      <c r="AO37" s="393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1</v>
      </c>
      <c r="H38" s="373" t="s">
        <v>9</v>
      </c>
      <c r="I38" s="441">
        <v>0</v>
      </c>
      <c r="J38" s="375">
        <f t="shared" si="5"/>
        <v>1</v>
      </c>
      <c r="K38" s="363">
        <f t="shared" si="6"/>
        <v>3</v>
      </c>
      <c r="L38" s="363">
        <f t="shared" si="7"/>
        <v>0</v>
      </c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392"/>
      <c r="V38" s="392"/>
      <c r="W38" s="392"/>
      <c r="Y38" s="109">
        <f t="shared" si="8"/>
        <v>0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0</v>
      </c>
      <c r="AG38" s="108">
        <f t="shared" si="0"/>
        <v>0</v>
      </c>
      <c r="AH38" s="108">
        <f t="shared" si="1"/>
        <v>0</v>
      </c>
      <c r="AI38" s="108">
        <f t="shared" si="10"/>
        <v>0</v>
      </c>
      <c r="AJ38" s="108">
        <f t="shared" si="2"/>
        <v>0</v>
      </c>
      <c r="AK38" s="108">
        <f t="shared" si="3"/>
        <v>0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1</v>
      </c>
      <c r="H39" s="379" t="s">
        <v>9</v>
      </c>
      <c r="I39" s="442">
        <v>2</v>
      </c>
      <c r="J39" s="381">
        <f t="shared" si="5"/>
        <v>2</v>
      </c>
      <c r="K39" s="363">
        <f t="shared" si="6"/>
        <v>0</v>
      </c>
      <c r="L39" s="363">
        <f t="shared" si="7"/>
        <v>3</v>
      </c>
      <c r="O39" s="394" t="s">
        <v>29</v>
      </c>
      <c r="P39" s="395">
        <f>SUMIF($D$8:$D$55,$O39,$G$8:$G$55)+SUMIF($F$8:$F$55,$O39,$I$8:$I$55)</f>
        <v>8</v>
      </c>
      <c r="Q39" s="395">
        <f>SUMIF($D$8:$D$55,$O39,$I$8:$I$55)+SUMIF($F$8:$F$55,$O39,$G$8:$G$55)</f>
        <v>1</v>
      </c>
      <c r="R39" s="396">
        <f>P39-Q39</f>
        <v>7</v>
      </c>
      <c r="S39" s="397">
        <f>SUMIF($D$8:$D$55,$O39,$K$8:$K$55)+SUMIF($F$8:$F$55,$O39,$L$8:$L$55)</f>
        <v>9</v>
      </c>
      <c r="T39" s="444" t="s">
        <v>72</v>
      </c>
      <c r="U39" s="392"/>
      <c r="V39" s="392" t="str">
        <f>O39</f>
        <v>Argentinië</v>
      </c>
      <c r="W39" s="392" t="s">
        <v>72</v>
      </c>
      <c r="Y39" s="109">
        <f t="shared" si="8"/>
        <v>1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1</v>
      </c>
      <c r="AG39" s="108">
        <f t="shared" si="0"/>
        <v>0</v>
      </c>
      <c r="AH39" s="108">
        <f t="shared" si="1"/>
        <v>1</v>
      </c>
      <c r="AI39" s="108">
        <f t="shared" si="10"/>
        <v>0</v>
      </c>
      <c r="AJ39" s="108">
        <f t="shared" si="2"/>
        <v>0</v>
      </c>
      <c r="AK39" s="108">
        <f t="shared" si="3"/>
        <v>0</v>
      </c>
      <c r="AL39" s="108">
        <f t="shared" si="4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1</v>
      </c>
      <c r="H40" s="367" t="s">
        <v>9</v>
      </c>
      <c r="I40" s="440">
        <v>3</v>
      </c>
      <c r="J40" s="369">
        <f t="shared" si="5"/>
        <v>2</v>
      </c>
      <c r="K40" s="363">
        <f t="shared" si="6"/>
        <v>0</v>
      </c>
      <c r="L40" s="363">
        <f t="shared" si="7"/>
        <v>3</v>
      </c>
      <c r="O40" s="398" t="s">
        <v>30</v>
      </c>
      <c r="P40" s="399">
        <f>SUMIF($D$8:$D$55,$O40,$G$8:$G$55)+SUMIF($F$8:$F$55,$O40,$I$8:$I$55)</f>
        <v>2</v>
      </c>
      <c r="Q40" s="399">
        <f>SUMIF($D$8:$D$55,$O40,$I$8:$I$55)+SUMIF($F$8:$F$55,$O40,$G$8:$G$55)</f>
        <v>4</v>
      </c>
      <c r="R40" s="399">
        <f>P40-Q40</f>
        <v>-2</v>
      </c>
      <c r="S40" s="400">
        <f>SUMIF($D$8:$D$55,$O40,$K$8:$K$55)+SUMIF($F$8:$F$55,$O40,$L$8:$L$55)</f>
        <v>4</v>
      </c>
      <c r="T40" s="445" t="s">
        <v>74</v>
      </c>
      <c r="U40" s="392"/>
      <c r="V40" s="392" t="str">
        <f>O40</f>
        <v>Bosnië H.</v>
      </c>
      <c r="W40" s="392" t="s">
        <v>73</v>
      </c>
      <c r="Y40" s="109">
        <f t="shared" si="8"/>
        <v>6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6</v>
      </c>
      <c r="AG40" s="108">
        <f t="shared" si="0"/>
        <v>0</v>
      </c>
      <c r="AH40" s="108">
        <f t="shared" si="1"/>
        <v>1</v>
      </c>
      <c r="AI40" s="108">
        <f t="shared" si="10"/>
        <v>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1</v>
      </c>
      <c r="H41" s="373" t="s">
        <v>9</v>
      </c>
      <c r="I41" s="441">
        <v>1</v>
      </c>
      <c r="J41" s="375">
        <f t="shared" si="5"/>
        <v>3</v>
      </c>
      <c r="K41" s="363">
        <f t="shared" si="6"/>
        <v>1</v>
      </c>
      <c r="L41" s="363">
        <f t="shared" si="7"/>
        <v>1</v>
      </c>
      <c r="O41" s="398" t="s">
        <v>33</v>
      </c>
      <c r="P41" s="399">
        <f>SUMIF($D$8:$D$55,$O41,$G$8:$G$55)+SUMIF($F$8:$F$55,$O41,$I$8:$I$55)</f>
        <v>0</v>
      </c>
      <c r="Q41" s="399">
        <f>SUMIF($D$8:$D$55,$O41,$I$8:$I$55)+SUMIF($F$8:$F$55,$O41,$G$8:$G$55)</f>
        <v>5</v>
      </c>
      <c r="R41" s="399">
        <f>P41-Q41</f>
        <v>-5</v>
      </c>
      <c r="S41" s="400">
        <f>SUMIF($D$8:$D$55,$O41,$K$8:$K$55)+SUMIF($F$8:$F$55,$O41,$L$8:$L$55)</f>
        <v>0</v>
      </c>
      <c r="T41" s="445" t="s">
        <v>75</v>
      </c>
      <c r="U41" s="392"/>
      <c r="V41" s="392" t="str">
        <f>O41</f>
        <v>Iran</v>
      </c>
      <c r="W41" s="392" t="s">
        <v>74</v>
      </c>
      <c r="Y41" s="109">
        <f t="shared" si="8"/>
        <v>0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0</v>
      </c>
      <c r="AG41" s="108">
        <f t="shared" si="0"/>
        <v>0</v>
      </c>
      <c r="AH41" s="108">
        <f t="shared" si="1"/>
        <v>0</v>
      </c>
      <c r="AI41" s="108">
        <f t="shared" si="10"/>
        <v>0</v>
      </c>
      <c r="AJ41" s="108">
        <f t="shared" si="2"/>
        <v>0</v>
      </c>
      <c r="AK41" s="108">
        <f t="shared" si="3"/>
        <v>0</v>
      </c>
      <c r="AL41" s="108">
        <f t="shared" si="4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0</v>
      </c>
      <c r="H42" s="373" t="s">
        <v>9</v>
      </c>
      <c r="I42" s="441">
        <v>2</v>
      </c>
      <c r="J42" s="375">
        <f t="shared" si="5"/>
        <v>2</v>
      </c>
      <c r="K42" s="363">
        <f t="shared" si="6"/>
        <v>0</v>
      </c>
      <c r="L42" s="363">
        <f t="shared" si="7"/>
        <v>3</v>
      </c>
      <c r="O42" s="401" t="s">
        <v>34</v>
      </c>
      <c r="P42" s="402">
        <f>SUMIF($D$8:$D$55,$O42,$G$8:$G$55)+SUMIF($F$8:$F$55,$O42,$I$8:$I$55)</f>
        <v>3</v>
      </c>
      <c r="Q42" s="402">
        <f>SUMIF($D$8:$D$55,$O42,$I$8:$I$55)+SUMIF($F$8:$F$55,$O42,$G$8:$G$55)</f>
        <v>3</v>
      </c>
      <c r="R42" s="402">
        <f>P42-Q42</f>
        <v>0</v>
      </c>
      <c r="S42" s="403">
        <f>SUMIF($D$8:$D$55,$O42,$K$8:$K$55)+SUMIF($F$8:$F$55,$O42,$L$8:$L$55)</f>
        <v>4</v>
      </c>
      <c r="T42" s="446" t="s">
        <v>73</v>
      </c>
      <c r="U42" s="392"/>
      <c r="V42" s="392" t="str">
        <f>O42</f>
        <v>Nigeria</v>
      </c>
      <c r="W42" s="392" t="s">
        <v>75</v>
      </c>
      <c r="Y42" s="109">
        <f t="shared" si="8"/>
        <v>5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5</v>
      </c>
      <c r="AG42" s="108">
        <f t="shared" si="0"/>
        <v>0</v>
      </c>
      <c r="AH42" s="108">
        <f t="shared" si="1"/>
        <v>0</v>
      </c>
      <c r="AI42" s="108">
        <f t="shared" si="10"/>
        <v>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1</v>
      </c>
      <c r="H43" s="379" t="s">
        <v>9</v>
      </c>
      <c r="I43" s="442">
        <v>2</v>
      </c>
      <c r="J43" s="381">
        <f t="shared" si="5"/>
        <v>2</v>
      </c>
      <c r="K43" s="363">
        <f t="shared" si="6"/>
        <v>0</v>
      </c>
      <c r="L43" s="363">
        <f t="shared" si="7"/>
        <v>3</v>
      </c>
      <c r="O43" s="392"/>
      <c r="P43" s="393"/>
      <c r="Q43" s="393"/>
      <c r="R43" s="393"/>
      <c r="S43" s="393"/>
      <c r="T43" s="393"/>
      <c r="U43" s="392"/>
      <c r="V43" s="392"/>
      <c r="W43" s="392"/>
      <c r="Y43" s="109">
        <f t="shared" si="8"/>
        <v>6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6</v>
      </c>
      <c r="AG43" s="108">
        <f t="shared" si="0"/>
        <v>1</v>
      </c>
      <c r="AH43" s="108">
        <f t="shared" si="1"/>
        <v>0</v>
      </c>
      <c r="AI43" s="108">
        <f t="shared" si="10"/>
        <v>0</v>
      </c>
      <c r="AJ43" s="108">
        <f t="shared" si="2"/>
        <v>0</v>
      </c>
      <c r="AK43" s="108">
        <f t="shared" si="3"/>
        <v>5</v>
      </c>
      <c r="AL43" s="108">
        <f t="shared" si="4"/>
        <v>0</v>
      </c>
      <c r="AN43" s="392"/>
      <c r="AO43" s="393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3</v>
      </c>
      <c r="H44" s="367" t="s">
        <v>9</v>
      </c>
      <c r="I44" s="440">
        <v>1</v>
      </c>
      <c r="J44" s="369">
        <f t="shared" si="5"/>
        <v>1</v>
      </c>
      <c r="K44" s="363">
        <f t="shared" si="6"/>
        <v>3</v>
      </c>
      <c r="L44" s="363">
        <f t="shared" si="7"/>
        <v>0</v>
      </c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392"/>
      <c r="V44" s="392"/>
      <c r="W44" s="392"/>
      <c r="Y44" s="109">
        <f t="shared" si="8"/>
        <v>1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1</v>
      </c>
      <c r="AG44" s="108">
        <f t="shared" si="0"/>
        <v>0</v>
      </c>
      <c r="AH44" s="108">
        <f t="shared" si="1"/>
        <v>1</v>
      </c>
      <c r="AI44" s="108">
        <f t="shared" si="10"/>
        <v>0</v>
      </c>
      <c r="AJ44" s="108">
        <f t="shared" si="2"/>
        <v>0</v>
      </c>
      <c r="AK44" s="108">
        <f t="shared" si="3"/>
        <v>0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1</v>
      </c>
      <c r="H45" s="373" t="s">
        <v>9</v>
      </c>
      <c r="I45" s="441">
        <v>2</v>
      </c>
      <c r="J45" s="375">
        <f t="shared" si="5"/>
        <v>2</v>
      </c>
      <c r="K45" s="363">
        <f t="shared" si="6"/>
        <v>0</v>
      </c>
      <c r="L45" s="363">
        <f t="shared" si="7"/>
        <v>3</v>
      </c>
      <c r="O45" s="394" t="s">
        <v>31</v>
      </c>
      <c r="P45" s="395">
        <f>SUMIF($D$8:$D$55,$O45,$G$8:$G$55)+SUMIF($F$8:$F$55,$O45,$I$8:$I$55)</f>
        <v>6</v>
      </c>
      <c r="Q45" s="395">
        <f>SUMIF($D$8:$D$55,$O45,$I$8:$I$55)+SUMIF($F$8:$F$55,$O45,$G$8:$G$55)</f>
        <v>6</v>
      </c>
      <c r="R45" s="396">
        <f>P45-Q45</f>
        <v>0</v>
      </c>
      <c r="S45" s="397">
        <f>SUMIF($D$8:$D$55,$O45,$K$8:$K$55)+SUMIF($F$8:$F$55,$O45,$L$8:$L$55)</f>
        <v>3</v>
      </c>
      <c r="T45" s="444" t="s">
        <v>79</v>
      </c>
      <c r="U45" s="392"/>
      <c r="V45" s="392" t="str">
        <f>O45</f>
        <v>Duitsland</v>
      </c>
      <c r="W45" s="392" t="s">
        <v>77</v>
      </c>
      <c r="Y45" s="109">
        <f t="shared" si="8"/>
        <v>0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0</v>
      </c>
      <c r="AG45" s="108">
        <f t="shared" si="0"/>
        <v>0</v>
      </c>
      <c r="AH45" s="108">
        <f t="shared" si="1"/>
        <v>0</v>
      </c>
      <c r="AI45" s="108">
        <f t="shared" si="10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0</v>
      </c>
      <c r="AN45" s="116" t="s">
        <v>31</v>
      </c>
      <c r="AO45" s="115">
        <f>IF(Uitslag!T45="",0,IF(T45=Uitslag!T45,10,0))</f>
        <v>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1</v>
      </c>
      <c r="H46" s="373" t="s">
        <v>9</v>
      </c>
      <c r="I46" s="441">
        <v>3</v>
      </c>
      <c r="J46" s="375">
        <f t="shared" si="5"/>
        <v>2</v>
      </c>
      <c r="K46" s="363">
        <f t="shared" si="6"/>
        <v>0</v>
      </c>
      <c r="L46" s="363">
        <f t="shared" si="7"/>
        <v>3</v>
      </c>
      <c r="O46" s="398" t="s">
        <v>32</v>
      </c>
      <c r="P46" s="399">
        <f>SUMIF($D$8:$D$55,$O46,$G$8:$G$55)+SUMIF($F$8:$F$55,$O46,$I$8:$I$55)</f>
        <v>7</v>
      </c>
      <c r="Q46" s="399">
        <f>SUMIF($D$8:$D$55,$O46,$I$8:$I$55)+SUMIF($F$8:$F$55,$O46,$G$8:$G$55)</f>
        <v>3</v>
      </c>
      <c r="R46" s="399">
        <f>P46-Q46</f>
        <v>4</v>
      </c>
      <c r="S46" s="400">
        <f>SUMIF($D$8:$D$55,$O46,$K$8:$K$55)+SUMIF($F$8:$F$55,$O46,$L$8:$L$55)</f>
        <v>9</v>
      </c>
      <c r="T46" s="445" t="s">
        <v>77</v>
      </c>
      <c r="U46" s="392"/>
      <c r="V46" s="392" t="str">
        <f>O46</f>
        <v>Portugal</v>
      </c>
      <c r="W46" s="392" t="s">
        <v>78</v>
      </c>
      <c r="Y46" s="109">
        <f t="shared" si="8"/>
        <v>6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6</v>
      </c>
      <c r="AG46" s="108">
        <f t="shared" si="0"/>
        <v>1</v>
      </c>
      <c r="AH46" s="108">
        <f t="shared" si="1"/>
        <v>0</v>
      </c>
      <c r="AI46" s="108">
        <f t="shared" si="10"/>
        <v>0</v>
      </c>
      <c r="AJ46" s="108">
        <f t="shared" si="2"/>
        <v>0</v>
      </c>
      <c r="AK46" s="108">
        <f t="shared" si="3"/>
        <v>5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1</v>
      </c>
      <c r="H47" s="379" t="s">
        <v>9</v>
      </c>
      <c r="I47" s="442">
        <v>0</v>
      </c>
      <c r="J47" s="381">
        <f t="shared" si="5"/>
        <v>1</v>
      </c>
      <c r="K47" s="363">
        <f t="shared" si="6"/>
        <v>3</v>
      </c>
      <c r="L47" s="363">
        <f t="shared" si="7"/>
        <v>0</v>
      </c>
      <c r="O47" s="398" t="s">
        <v>35</v>
      </c>
      <c r="P47" s="399">
        <f>SUMIF($D$8:$D$55,$O47,$G$8:$G$55)+SUMIF($F$8:$F$55,$O47,$I$8:$I$55)</f>
        <v>3</v>
      </c>
      <c r="Q47" s="399">
        <f>SUMIF($D$8:$D$55,$O47,$I$8:$I$55)+SUMIF($F$8:$F$55,$O47,$G$8:$G$55)</f>
        <v>9</v>
      </c>
      <c r="R47" s="399">
        <f>P47-Q47</f>
        <v>-6</v>
      </c>
      <c r="S47" s="400">
        <f>SUMIF($D$8:$D$55,$O47,$K$8:$K$55)+SUMIF($F$8:$F$55,$O47,$L$8:$L$55)</f>
        <v>0</v>
      </c>
      <c r="T47" s="445" t="s">
        <v>80</v>
      </c>
      <c r="U47" s="392"/>
      <c r="V47" s="392" t="str">
        <f>O47</f>
        <v>Ghana</v>
      </c>
      <c r="W47" s="392" t="s">
        <v>79</v>
      </c>
      <c r="Y47" s="109">
        <f t="shared" si="8"/>
        <v>5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5</v>
      </c>
      <c r="AG47" s="108">
        <f t="shared" si="0"/>
        <v>0</v>
      </c>
      <c r="AH47" s="108">
        <f t="shared" si="1"/>
        <v>0</v>
      </c>
      <c r="AI47" s="108">
        <f t="shared" si="10"/>
        <v>0</v>
      </c>
      <c r="AJ47" s="108">
        <f t="shared" si="2"/>
        <v>5</v>
      </c>
      <c r="AK47" s="108">
        <f t="shared" si="3"/>
        <v>0</v>
      </c>
      <c r="AL47" s="108">
        <f t="shared" si="4"/>
        <v>0</v>
      </c>
      <c r="AM47" s="120">
        <f>AO47</f>
        <v>10</v>
      </c>
      <c r="AN47" s="117" t="s">
        <v>35</v>
      </c>
      <c r="AO47" s="115">
        <f>IF(Uitslag!T47="",0,IF(T47=Uitslag!T47,10,0))</f>
        <v>10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1</v>
      </c>
      <c r="H48" s="367" t="s">
        <v>9</v>
      </c>
      <c r="I48" s="440">
        <v>2</v>
      </c>
      <c r="J48" s="369">
        <f t="shared" si="5"/>
        <v>2</v>
      </c>
      <c r="K48" s="363">
        <f t="shared" si="6"/>
        <v>0</v>
      </c>
      <c r="L48" s="363">
        <f t="shared" si="7"/>
        <v>3</v>
      </c>
      <c r="O48" s="401" t="s">
        <v>36</v>
      </c>
      <c r="P48" s="402">
        <f>SUMIF($D$8:$D$55,$O48,$G$8:$G$55)+SUMIF($F$8:$F$55,$O48,$I$8:$I$55)</f>
        <v>7</v>
      </c>
      <c r="Q48" s="402">
        <f>SUMIF($D$8:$D$55,$O48,$I$8:$I$55)+SUMIF($F$8:$F$55,$O48,$G$8:$G$55)</f>
        <v>5</v>
      </c>
      <c r="R48" s="402">
        <f>P48-Q48</f>
        <v>2</v>
      </c>
      <c r="S48" s="403">
        <f>SUMIF($D$8:$D$55,$O48,$K$8:$K$55)+SUMIF($F$8:$F$55,$O48,$L$8:$L$55)</f>
        <v>6</v>
      </c>
      <c r="T48" s="446" t="s">
        <v>78</v>
      </c>
      <c r="U48" s="392"/>
      <c r="V48" s="392" t="str">
        <f>O48</f>
        <v>Verenigde Staten</v>
      </c>
      <c r="W48" s="392" t="s">
        <v>80</v>
      </c>
      <c r="Y48" s="109">
        <f t="shared" si="8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5</v>
      </c>
      <c r="AG48" s="108">
        <f t="shared" si="0"/>
        <v>0</v>
      </c>
      <c r="AH48" s="108">
        <f t="shared" si="1"/>
        <v>0</v>
      </c>
      <c r="AI48" s="108">
        <f t="shared" si="10"/>
        <v>0</v>
      </c>
      <c r="AJ48" s="108">
        <f t="shared" si="2"/>
        <v>0</v>
      </c>
      <c r="AK48" s="108">
        <f t="shared" si="3"/>
        <v>5</v>
      </c>
      <c r="AL48" s="108">
        <f t="shared" si="4"/>
        <v>0</v>
      </c>
      <c r="AM48" s="120">
        <f>AO48</f>
        <v>10</v>
      </c>
      <c r="AN48" s="118" t="s">
        <v>36</v>
      </c>
      <c r="AO48" s="115">
        <f>IF(Uitslag!T48="",0,IF(T48=Uitslag!T48,10,0))</f>
        <v>10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1</v>
      </c>
      <c r="H49" s="373" t="s">
        <v>9</v>
      </c>
      <c r="I49" s="441">
        <v>0</v>
      </c>
      <c r="J49" s="375">
        <f t="shared" si="5"/>
        <v>1</v>
      </c>
      <c r="K49" s="363">
        <f t="shared" si="6"/>
        <v>3</v>
      </c>
      <c r="L49" s="363">
        <f t="shared" si="7"/>
        <v>0</v>
      </c>
      <c r="O49" s="392"/>
      <c r="P49" s="393"/>
      <c r="Q49" s="393"/>
      <c r="R49" s="393"/>
      <c r="S49" s="393"/>
      <c r="T49" s="393"/>
      <c r="U49" s="392"/>
      <c r="V49" s="392"/>
      <c r="W49" s="392"/>
      <c r="Y49" s="109">
        <f t="shared" si="8"/>
        <v>5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5</v>
      </c>
      <c r="AG49" s="108">
        <f t="shared" si="0"/>
        <v>0</v>
      </c>
      <c r="AH49" s="108">
        <f t="shared" si="1"/>
        <v>0</v>
      </c>
      <c r="AI49" s="108">
        <f t="shared" si="10"/>
        <v>0</v>
      </c>
      <c r="AJ49" s="108">
        <f t="shared" si="2"/>
        <v>5</v>
      </c>
      <c r="AK49" s="108">
        <f t="shared" si="3"/>
        <v>0</v>
      </c>
      <c r="AL49" s="108">
        <f t="shared" si="4"/>
        <v>0</v>
      </c>
      <c r="AN49" s="392"/>
      <c r="AO49" s="393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1</v>
      </c>
      <c r="H50" s="373" t="s">
        <v>9</v>
      </c>
      <c r="I50" s="441">
        <v>1</v>
      </c>
      <c r="J50" s="375">
        <f t="shared" si="5"/>
        <v>3</v>
      </c>
      <c r="K50" s="363">
        <f t="shared" si="6"/>
        <v>1</v>
      </c>
      <c r="L50" s="363">
        <f t="shared" si="7"/>
        <v>1</v>
      </c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392"/>
      <c r="V50" s="392"/>
      <c r="W50" s="392"/>
      <c r="Y50" s="109">
        <f t="shared" si="8"/>
        <v>0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0</v>
      </c>
      <c r="AG50" s="108">
        <f t="shared" si="0"/>
        <v>0</v>
      </c>
      <c r="AH50" s="108">
        <f t="shared" si="1"/>
        <v>0</v>
      </c>
      <c r="AI50" s="108">
        <f t="shared" si="10"/>
        <v>0</v>
      </c>
      <c r="AJ50" s="108">
        <f t="shared" si="2"/>
        <v>0</v>
      </c>
      <c r="AK50" s="108">
        <f t="shared" si="3"/>
        <v>0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1</v>
      </c>
      <c r="H51" s="379" t="s">
        <v>9</v>
      </c>
      <c r="I51" s="442">
        <v>2</v>
      </c>
      <c r="J51" s="381">
        <f t="shared" si="5"/>
        <v>2</v>
      </c>
      <c r="K51" s="363">
        <f t="shared" si="6"/>
        <v>0</v>
      </c>
      <c r="L51" s="363">
        <f>IF(I51="","",IF($G51&lt;$I51,3,IF($G51=$I51,1,0)))</f>
        <v>3</v>
      </c>
      <c r="O51" s="394" t="s">
        <v>37</v>
      </c>
      <c r="P51" s="395">
        <f>SUMIF($D$8:$D$55,$O51,$G$8:$G$55)+SUMIF($F$8:$F$55,$O51,$I$8:$I$55)</f>
        <v>6</v>
      </c>
      <c r="Q51" s="395">
        <f>SUMIF($D$8:$D$55,$O51,$I$8:$I$55)+SUMIF($F$8:$F$55,$O51,$G$8:$G$55)</f>
        <v>1</v>
      </c>
      <c r="R51" s="396">
        <f>P51-Q51</f>
        <v>5</v>
      </c>
      <c r="S51" s="397">
        <f>SUMIF($D$8:$D$55,$O51,$K$8:$K$55)+SUMIF($F$8:$F$55,$O51,$L$8:$L$55)</f>
        <v>9</v>
      </c>
      <c r="T51" s="444" t="s">
        <v>82</v>
      </c>
      <c r="U51" s="392"/>
      <c r="V51" s="392" t="str">
        <f>O51</f>
        <v>België</v>
      </c>
      <c r="W51" s="392" t="s">
        <v>82</v>
      </c>
      <c r="Y51" s="109">
        <f t="shared" si="8"/>
        <v>0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0</v>
      </c>
      <c r="AG51" s="108">
        <f t="shared" si="0"/>
        <v>0</v>
      </c>
      <c r="AH51" s="108">
        <f t="shared" si="1"/>
        <v>0</v>
      </c>
      <c r="AI51" s="108">
        <f t="shared" si="10"/>
        <v>0</v>
      </c>
      <c r="AJ51" s="108">
        <f t="shared" si="2"/>
        <v>0</v>
      </c>
      <c r="AK51" s="108">
        <f t="shared" si="3"/>
        <v>0</v>
      </c>
      <c r="AL51" s="108">
        <f t="shared" si="4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3</v>
      </c>
      <c r="H52" s="373" t="s">
        <v>9</v>
      </c>
      <c r="I52" s="441">
        <v>2</v>
      </c>
      <c r="J52" s="369">
        <f t="shared" si="5"/>
        <v>1</v>
      </c>
      <c r="K52" s="363">
        <f t="shared" si="6"/>
        <v>3</v>
      </c>
      <c r="L52" s="363">
        <f t="shared" si="7"/>
        <v>0</v>
      </c>
      <c r="O52" s="398" t="s">
        <v>38</v>
      </c>
      <c r="P52" s="399">
        <f>SUMIF($D$8:$D$55,$O52,$G$8:$G$55)+SUMIF($F$8:$F$55,$O52,$I$8:$I$55)</f>
        <v>2</v>
      </c>
      <c r="Q52" s="399">
        <f>SUMIF($D$8:$D$55,$O52,$I$8:$I$55)+SUMIF($F$8:$F$55,$O52,$G$8:$G$55)</f>
        <v>6</v>
      </c>
      <c r="R52" s="399">
        <f>P52-Q52</f>
        <v>-4</v>
      </c>
      <c r="S52" s="400">
        <f>SUMIF($D$8:$D$55,$O52,$K$8:$K$55)+SUMIF($F$8:$F$55,$O52,$L$8:$L$55)</f>
        <v>0</v>
      </c>
      <c r="T52" s="445" t="s">
        <v>85</v>
      </c>
      <c r="U52" s="392"/>
      <c r="V52" s="392" t="str">
        <f>O52</f>
        <v>Algerije</v>
      </c>
      <c r="W52" s="392" t="s">
        <v>83</v>
      </c>
      <c r="Y52" s="109">
        <f t="shared" si="8"/>
        <v>0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0</v>
      </c>
      <c r="AG52" s="108">
        <f t="shared" si="0"/>
        <v>0</v>
      </c>
      <c r="AH52" s="108">
        <f t="shared" si="1"/>
        <v>0</v>
      </c>
      <c r="AI52" s="108">
        <f t="shared" si="10"/>
        <v>0</v>
      </c>
      <c r="AJ52" s="108">
        <f t="shared" si="2"/>
        <v>0</v>
      </c>
      <c r="AK52" s="108">
        <f t="shared" si="3"/>
        <v>0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3</v>
      </c>
      <c r="H53" s="373" t="s">
        <v>9</v>
      </c>
      <c r="I53" s="441">
        <v>1</v>
      </c>
      <c r="J53" s="375">
        <f t="shared" si="5"/>
        <v>1</v>
      </c>
      <c r="K53" s="363">
        <f t="shared" si="6"/>
        <v>3</v>
      </c>
      <c r="L53" s="363">
        <f t="shared" si="7"/>
        <v>0</v>
      </c>
      <c r="O53" s="398" t="s">
        <v>39</v>
      </c>
      <c r="P53" s="399">
        <f>SUMIF($D$8:$D$55,$O53,$G$8:$G$55)+SUMIF($F$8:$F$55,$O53,$I$8:$I$55)</f>
        <v>5</v>
      </c>
      <c r="Q53" s="399">
        <f>SUMIF($D$8:$D$55,$O53,$I$8:$I$55)+SUMIF($F$8:$F$55,$O53,$G$8:$G$55)</f>
        <v>5</v>
      </c>
      <c r="R53" s="399">
        <f>P53-Q53</f>
        <v>0</v>
      </c>
      <c r="S53" s="400">
        <f>SUMIF($D$8:$D$55,$O53,$K$8:$K$55)+SUMIF($F$8:$F$55,$O53,$L$8:$L$55)</f>
        <v>6</v>
      </c>
      <c r="T53" s="445" t="s">
        <v>83</v>
      </c>
      <c r="U53" s="392"/>
      <c r="V53" s="392" t="str">
        <f>O53</f>
        <v>Rusland</v>
      </c>
      <c r="W53" s="392" t="s">
        <v>84</v>
      </c>
      <c r="Y53" s="109">
        <f t="shared" si="8"/>
        <v>6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6</v>
      </c>
      <c r="AG53" s="108">
        <f t="shared" si="0"/>
        <v>0</v>
      </c>
      <c r="AH53" s="108">
        <f t="shared" si="1"/>
        <v>1</v>
      </c>
      <c r="AI53" s="108">
        <f t="shared" si="10"/>
        <v>0</v>
      </c>
      <c r="AJ53" s="108">
        <f t="shared" si="2"/>
        <v>5</v>
      </c>
      <c r="AK53" s="108">
        <f t="shared" si="3"/>
        <v>0</v>
      </c>
      <c r="AL53" s="108">
        <f t="shared" si="4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1</v>
      </c>
      <c r="H54" s="373" t="s">
        <v>9</v>
      </c>
      <c r="I54" s="441">
        <v>2</v>
      </c>
      <c r="J54" s="375">
        <f t="shared" si="5"/>
        <v>2</v>
      </c>
      <c r="K54" s="363">
        <f t="shared" si="6"/>
        <v>0</v>
      </c>
      <c r="L54" s="363">
        <f t="shared" si="7"/>
        <v>3</v>
      </c>
      <c r="O54" s="401" t="s">
        <v>40</v>
      </c>
      <c r="P54" s="402">
        <f>SUMIF($D$8:$D$55,$O54,$G$8:$G$55)+SUMIF($F$8:$F$55,$O54,$I$8:$I$55)</f>
        <v>3</v>
      </c>
      <c r="Q54" s="402">
        <f>SUMIF($D$8:$D$55,$O54,$I$8:$I$55)+SUMIF($F$8:$F$55,$O54,$G$8:$G$55)</f>
        <v>4</v>
      </c>
      <c r="R54" s="402">
        <f>P54-Q54</f>
        <v>-1</v>
      </c>
      <c r="S54" s="403">
        <f>SUMIF($D$8:$D$55,$O54,$K$8:$K$55)+SUMIF($F$8:$F$55,$O54,$L$8:$L$55)</f>
        <v>3</v>
      </c>
      <c r="T54" s="446" t="s">
        <v>84</v>
      </c>
      <c r="U54" s="392"/>
      <c r="V54" s="392" t="str">
        <f>O54</f>
        <v>Zuid Korea</v>
      </c>
      <c r="W54" s="392" t="s">
        <v>85</v>
      </c>
      <c r="Y54" s="109">
        <f t="shared" si="8"/>
        <v>5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5</v>
      </c>
      <c r="AG54" s="108">
        <f t="shared" si="0"/>
        <v>0</v>
      </c>
      <c r="AH54" s="108">
        <f t="shared" si="1"/>
        <v>0</v>
      </c>
      <c r="AI54" s="108">
        <f t="shared" si="10"/>
        <v>0</v>
      </c>
      <c r="AJ54" s="108">
        <f t="shared" si="2"/>
        <v>0</v>
      </c>
      <c r="AK54" s="108">
        <f t="shared" si="3"/>
        <v>5</v>
      </c>
      <c r="AL54" s="108">
        <f t="shared" si="4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2</v>
      </c>
      <c r="H55" s="388" t="s">
        <v>9</v>
      </c>
      <c r="I55" s="443">
        <v>3</v>
      </c>
      <c r="J55" s="390">
        <f t="shared" si="5"/>
        <v>2</v>
      </c>
      <c r="K55" s="363">
        <f t="shared" si="6"/>
        <v>0</v>
      </c>
      <c r="L55" s="363">
        <f t="shared" si="7"/>
        <v>3</v>
      </c>
      <c r="O55" s="392"/>
      <c r="P55" s="393"/>
      <c r="Q55" s="393"/>
      <c r="R55" s="393"/>
      <c r="S55" s="393"/>
      <c r="T55" s="393"/>
      <c r="U55" s="392"/>
      <c r="V55" s="392"/>
      <c r="W55" s="392"/>
      <c r="Y55" s="109">
        <f t="shared" si="8"/>
        <v>0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0</v>
      </c>
      <c r="AG55" s="108">
        <f t="shared" si="0"/>
        <v>0</v>
      </c>
      <c r="AH55" s="108">
        <f t="shared" si="1"/>
        <v>0</v>
      </c>
      <c r="AI55" s="108">
        <f t="shared" si="10"/>
        <v>0</v>
      </c>
      <c r="AJ55" s="108">
        <f t="shared" si="2"/>
        <v>0</v>
      </c>
      <c r="AK55" s="108">
        <f t="shared" si="3"/>
        <v>0</v>
      </c>
      <c r="AL55" s="108">
        <f t="shared" si="4"/>
        <v>0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79"/>
      <c r="K57" s="353"/>
      <c r="L57" s="353"/>
      <c r="M57" s="353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77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O58" s="458">
        <v>1</v>
      </c>
      <c r="P58" s="877" t="s">
        <v>224</v>
      </c>
      <c r="Q58" s="877"/>
      <c r="R58" s="877"/>
      <c r="S58" s="877"/>
      <c r="T58" s="878"/>
      <c r="V58" s="352" t="s">
        <v>132</v>
      </c>
      <c r="W58" s="352" t="s">
        <v>124</v>
      </c>
      <c r="X58" s="352" t="str">
        <f t="shared" ref="X58:X98" si="11">CONCATENATE(W58," ",V58)</f>
        <v>Jeroen Zoet (k)</v>
      </c>
      <c r="Y58" s="113" t="s">
        <v>91</v>
      </c>
      <c r="Z58" s="352" t="str">
        <f>IF(K58=""," ",VLOOKUP(K58,$T$9:$V$54,3,FALSE))</f>
        <v xml:space="preserve"> </v>
      </c>
      <c r="AA58" s="352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>IF(ISERROR(Z59),K59,Z59)</f>
        <v>Brazilië</v>
      </c>
      <c r="E59" s="367" t="s">
        <v>9</v>
      </c>
      <c r="F59" s="406" t="str">
        <f>IF(ISERROR(AA59),L59,AA59)</f>
        <v>Nederland</v>
      </c>
      <c r="G59" s="435">
        <v>2</v>
      </c>
      <c r="H59" s="367" t="s">
        <v>9</v>
      </c>
      <c r="I59" s="447">
        <v>1</v>
      </c>
      <c r="J59" s="448">
        <v>1</v>
      </c>
      <c r="K59" s="407" t="s">
        <v>48</v>
      </c>
      <c r="L59" s="407" t="s">
        <v>53</v>
      </c>
      <c r="M59" s="407">
        <v>1</v>
      </c>
      <c r="O59" s="458">
        <v>2</v>
      </c>
      <c r="P59" s="877" t="s">
        <v>212</v>
      </c>
      <c r="Q59" s="877"/>
      <c r="R59" s="877"/>
      <c r="S59" s="877"/>
      <c r="T59" s="878"/>
      <c r="V59" s="352" t="s">
        <v>132</v>
      </c>
      <c r="W59" s="352" t="s">
        <v>111</v>
      </c>
      <c r="X59" s="352" t="str">
        <f t="shared" si="11"/>
        <v>Jasper Cillessen (k)</v>
      </c>
      <c r="Y59" s="109">
        <f t="shared" ref="Y59:Y66" si="13">AF59</f>
        <v>1</v>
      </c>
      <c r="Z59" s="352" t="str">
        <f t="shared" ref="Z59:AA65" si="14">IF(K59=""," ",VLOOKUP(K59,$T$9:$V$54,3,FALSE))</f>
        <v>Brazilië</v>
      </c>
      <c r="AA59" s="352" t="str">
        <f t="shared" si="14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1</v>
      </c>
      <c r="AG59" s="108">
        <f t="shared" ref="AG59:AG66" si="16">IF(AC59="",0,(IF(G59=AC59,1,0)))</f>
        <v>0</v>
      </c>
      <c r="AH59" s="108">
        <f t="shared" ref="AH59:AH66" si="17">IF(AD59="",0,(IF(I59=AD59,1,0)))</f>
        <v>1</v>
      </c>
      <c r="AI59" s="108">
        <f t="shared" ref="AI59:AI66" si="18">IF(AND(AG59=1,AH59=1),10,0)</f>
        <v>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376">
        <v>50</v>
      </c>
      <c r="C60" s="466">
        <v>41818</v>
      </c>
      <c r="D60" s="460" t="str">
        <f t="shared" ref="D60:D66" si="23">IF(ISERROR(Z60),K60,Z60)</f>
        <v>Colombia</v>
      </c>
      <c r="E60" s="379" t="s">
        <v>9</v>
      </c>
      <c r="F60" s="409" t="str">
        <f t="shared" ref="F60:F66" si="24">IF(ISERROR(AA60),L60,AA60)</f>
        <v>Engeland</v>
      </c>
      <c r="G60" s="437">
        <v>1</v>
      </c>
      <c r="H60" s="379" t="s">
        <v>9</v>
      </c>
      <c r="I60" s="449">
        <v>2</v>
      </c>
      <c r="J60" s="450">
        <v>2</v>
      </c>
      <c r="K60" s="407" t="s">
        <v>57</v>
      </c>
      <c r="L60" s="407" t="s">
        <v>63</v>
      </c>
      <c r="M60" s="407">
        <v>2</v>
      </c>
      <c r="O60" s="458">
        <v>3</v>
      </c>
      <c r="P60" s="877" t="s">
        <v>209</v>
      </c>
      <c r="Q60" s="877"/>
      <c r="R60" s="877"/>
      <c r="S60" s="877"/>
      <c r="T60" s="878"/>
      <c r="V60" s="352" t="s">
        <v>132</v>
      </c>
      <c r="W60" s="352" t="s">
        <v>110</v>
      </c>
      <c r="X60" s="352" t="str">
        <f t="shared" si="11"/>
        <v>Kenneth Vermeer (k)</v>
      </c>
      <c r="Y60" s="109">
        <f t="shared" si="13"/>
        <v>0</v>
      </c>
      <c r="Z60" s="352" t="str">
        <f t="shared" si="14"/>
        <v>Colombia</v>
      </c>
      <c r="AA60" s="352" t="str">
        <f t="shared" si="14"/>
        <v>Engeland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0</v>
      </c>
      <c r="AG60" s="108">
        <f t="shared" si="16"/>
        <v>0</v>
      </c>
      <c r="AH60" s="108">
        <f t="shared" si="17"/>
        <v>0</v>
      </c>
      <c r="AI60" s="108">
        <f t="shared" si="18"/>
        <v>0</v>
      </c>
      <c r="AJ60" s="108">
        <f t="shared" si="19"/>
        <v>0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2"/>
        <v>3</v>
      </c>
    </row>
    <row r="61" spans="2:54">
      <c r="B61" s="364">
        <v>51</v>
      </c>
      <c r="C61" s="465">
        <v>41819</v>
      </c>
      <c r="D61" s="464" t="str">
        <f t="shared" si="23"/>
        <v>Spanje</v>
      </c>
      <c r="E61" s="367" t="s">
        <v>9</v>
      </c>
      <c r="F61" s="406" t="str">
        <f t="shared" si="24"/>
        <v>Mexico</v>
      </c>
      <c r="G61" s="435">
        <v>2</v>
      </c>
      <c r="H61" s="367" t="s">
        <v>9</v>
      </c>
      <c r="I61" s="447">
        <v>1</v>
      </c>
      <c r="J61" s="448">
        <v>1</v>
      </c>
      <c r="K61" s="407" t="s">
        <v>52</v>
      </c>
      <c r="L61" s="407" t="s">
        <v>49</v>
      </c>
      <c r="M61" s="407"/>
      <c r="O61" s="458">
        <v>4</v>
      </c>
      <c r="P61" s="877" t="s">
        <v>221</v>
      </c>
      <c r="Q61" s="877"/>
      <c r="R61" s="877"/>
      <c r="S61" s="877"/>
      <c r="T61" s="878"/>
      <c r="V61" s="352" t="s">
        <v>132</v>
      </c>
      <c r="W61" s="352" t="s">
        <v>191</v>
      </c>
      <c r="X61" s="352" t="str">
        <f t="shared" si="11"/>
        <v>Tim Krul (k)</v>
      </c>
      <c r="Y61" s="109">
        <f t="shared" si="13"/>
        <v>10</v>
      </c>
      <c r="Z61" s="352" t="str">
        <f t="shared" si="14"/>
        <v>Spanje</v>
      </c>
      <c r="AA61" s="352" t="str">
        <f t="shared" si="14"/>
        <v>Mexico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10</v>
      </c>
      <c r="AG61" s="108">
        <f t="shared" si="16"/>
        <v>1</v>
      </c>
      <c r="AH61" s="108">
        <f t="shared" si="17"/>
        <v>1</v>
      </c>
      <c r="AI61" s="108">
        <f t="shared" si="18"/>
        <v>10</v>
      </c>
      <c r="AJ61" s="108">
        <f t="shared" si="19"/>
        <v>5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0</v>
      </c>
      <c r="BB61" s="139">
        <f t="shared" si="22"/>
        <v>0</v>
      </c>
    </row>
    <row r="62" spans="2:54">
      <c r="B62" s="376">
        <v>52</v>
      </c>
      <c r="C62" s="466">
        <v>41819</v>
      </c>
      <c r="D62" s="464" t="str">
        <f t="shared" si="23"/>
        <v>Italië</v>
      </c>
      <c r="E62" s="379" t="s">
        <v>9</v>
      </c>
      <c r="F62" s="409" t="str">
        <f t="shared" si="24"/>
        <v>Japan</v>
      </c>
      <c r="G62" s="437">
        <v>2</v>
      </c>
      <c r="H62" s="379" t="s">
        <v>9</v>
      </c>
      <c r="I62" s="449">
        <v>0</v>
      </c>
      <c r="J62" s="450">
        <v>1</v>
      </c>
      <c r="K62" s="407" t="s">
        <v>62</v>
      </c>
      <c r="L62" s="407" t="s">
        <v>58</v>
      </c>
      <c r="M62" s="407"/>
      <c r="O62" s="458">
        <v>5</v>
      </c>
      <c r="P62" s="877" t="s">
        <v>213</v>
      </c>
      <c r="Q62" s="877"/>
      <c r="R62" s="877"/>
      <c r="S62" s="877"/>
      <c r="T62" s="878"/>
      <c r="V62" s="352" t="s">
        <v>132</v>
      </c>
      <c r="W62" s="352" t="s">
        <v>192</v>
      </c>
      <c r="X62" s="352" t="str">
        <f t="shared" si="11"/>
        <v>Maarten Stekelenburg (k)</v>
      </c>
      <c r="Y62" s="109">
        <f t="shared" si="13"/>
        <v>0</v>
      </c>
      <c r="Z62" s="352" t="str">
        <f t="shared" si="14"/>
        <v>Italië</v>
      </c>
      <c r="AA62" s="352" t="str">
        <f t="shared" si="14"/>
        <v>Japan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0</v>
      </c>
      <c r="AG62" s="108">
        <f t="shared" si="16"/>
        <v>0</v>
      </c>
      <c r="AH62" s="108">
        <f t="shared" si="17"/>
        <v>0</v>
      </c>
      <c r="AI62" s="108">
        <f t="shared" si="18"/>
        <v>0</v>
      </c>
      <c r="AJ62" s="108">
        <f t="shared" si="19"/>
        <v>0</v>
      </c>
      <c r="AK62" s="108">
        <f t="shared" si="20"/>
        <v>0</v>
      </c>
      <c r="AL62" s="108">
        <f t="shared" si="21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2"/>
        <v>3</v>
      </c>
    </row>
    <row r="63" spans="2:54">
      <c r="B63" s="364">
        <v>53</v>
      </c>
      <c r="C63" s="465">
        <v>41820</v>
      </c>
      <c r="D63" s="459" t="str">
        <f t="shared" si="23"/>
        <v>Frankrijk</v>
      </c>
      <c r="E63" s="367" t="s">
        <v>9</v>
      </c>
      <c r="F63" s="406" t="str">
        <f t="shared" si="24"/>
        <v>Nigeria</v>
      </c>
      <c r="G63" s="435">
        <v>1</v>
      </c>
      <c r="H63" s="367" t="s">
        <v>9</v>
      </c>
      <c r="I63" s="447">
        <v>0</v>
      </c>
      <c r="J63" s="448">
        <v>1</v>
      </c>
      <c r="K63" s="407" t="s">
        <v>67</v>
      </c>
      <c r="L63" s="407" t="s">
        <v>73</v>
      </c>
      <c r="M63" s="407"/>
      <c r="O63" s="458">
        <v>6</v>
      </c>
      <c r="P63" s="877" t="s">
        <v>214</v>
      </c>
      <c r="Q63" s="877"/>
      <c r="R63" s="877"/>
      <c r="S63" s="877"/>
      <c r="T63" s="878"/>
      <c r="V63" s="352" t="s">
        <v>132</v>
      </c>
      <c r="W63" s="352" t="s">
        <v>193</v>
      </c>
      <c r="X63" s="352" t="str">
        <f t="shared" si="11"/>
        <v>Michel Vorm (k)</v>
      </c>
      <c r="Y63" s="109">
        <f t="shared" si="13"/>
        <v>6</v>
      </c>
      <c r="Z63" s="352" t="str">
        <f t="shared" si="14"/>
        <v>Frankrijk</v>
      </c>
      <c r="AA63" s="352" t="str">
        <f t="shared" si="14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6</v>
      </c>
      <c r="AG63" s="108">
        <f t="shared" si="16"/>
        <v>0</v>
      </c>
      <c r="AH63" s="108">
        <f t="shared" si="17"/>
        <v>1</v>
      </c>
      <c r="AI63" s="108">
        <f t="shared" si="18"/>
        <v>0</v>
      </c>
      <c r="AJ63" s="108">
        <f t="shared" si="19"/>
        <v>5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3</v>
      </c>
      <c r="BB63" s="139">
        <f t="shared" si="22"/>
        <v>3</v>
      </c>
    </row>
    <row r="64" spans="2:54">
      <c r="B64" s="376">
        <v>54</v>
      </c>
      <c r="C64" s="466">
        <v>41820</v>
      </c>
      <c r="D64" s="460" t="str">
        <f t="shared" si="23"/>
        <v>Portugal</v>
      </c>
      <c r="E64" s="379" t="s">
        <v>9</v>
      </c>
      <c r="F64" s="409" t="str">
        <f t="shared" si="24"/>
        <v>Rusland</v>
      </c>
      <c r="G64" s="437">
        <v>2</v>
      </c>
      <c r="H64" s="379" t="s">
        <v>9</v>
      </c>
      <c r="I64" s="449">
        <v>0</v>
      </c>
      <c r="J64" s="450">
        <v>1</v>
      </c>
      <c r="K64" s="407" t="s">
        <v>77</v>
      </c>
      <c r="L64" s="407" t="s">
        <v>83</v>
      </c>
      <c r="M64" s="407"/>
      <c r="O64" s="458">
        <v>7</v>
      </c>
      <c r="P64" s="877" t="s">
        <v>220</v>
      </c>
      <c r="Q64" s="877"/>
      <c r="R64" s="877"/>
      <c r="S64" s="877"/>
      <c r="T64" s="878"/>
      <c r="V64" s="352" t="s">
        <v>133</v>
      </c>
      <c r="W64" s="352" t="s">
        <v>112</v>
      </c>
      <c r="X64" s="352" t="str">
        <f t="shared" si="11"/>
        <v>Joël Veltman (v)</v>
      </c>
      <c r="Y64" s="109">
        <f t="shared" si="13"/>
        <v>1</v>
      </c>
      <c r="Z64" s="352" t="str">
        <f t="shared" si="14"/>
        <v>Portugal</v>
      </c>
      <c r="AA64" s="352" t="str">
        <f t="shared" si="14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1</v>
      </c>
      <c r="AG64" s="108">
        <f t="shared" si="16"/>
        <v>0</v>
      </c>
      <c r="AH64" s="108">
        <f t="shared" si="17"/>
        <v>1</v>
      </c>
      <c r="AI64" s="108">
        <f t="shared" si="18"/>
        <v>0</v>
      </c>
      <c r="AJ64" s="108">
        <f t="shared" si="19"/>
        <v>0</v>
      </c>
      <c r="AK64" s="108">
        <f t="shared" si="20"/>
        <v>0</v>
      </c>
      <c r="AL64" s="108">
        <f t="shared" si="21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2"/>
        <v>3</v>
      </c>
    </row>
    <row r="65" spans="2:54">
      <c r="B65" s="370">
        <v>55</v>
      </c>
      <c r="C65" s="467">
        <v>41821</v>
      </c>
      <c r="D65" s="459" t="str">
        <f t="shared" si="23"/>
        <v>Argentinië</v>
      </c>
      <c r="E65" s="373" t="s">
        <v>9</v>
      </c>
      <c r="F65" s="410" t="str">
        <f t="shared" si="24"/>
        <v>Ecuador</v>
      </c>
      <c r="G65" s="436">
        <v>2</v>
      </c>
      <c r="H65" s="373" t="s">
        <v>9</v>
      </c>
      <c r="I65" s="451">
        <v>0</v>
      </c>
      <c r="J65" s="452">
        <v>1</v>
      </c>
      <c r="K65" s="407" t="s">
        <v>72</v>
      </c>
      <c r="L65" s="407" t="s">
        <v>68</v>
      </c>
      <c r="M65" s="407"/>
      <c r="O65" s="458">
        <v>8</v>
      </c>
      <c r="P65" s="877" t="s">
        <v>216</v>
      </c>
      <c r="Q65" s="877"/>
      <c r="R65" s="877"/>
      <c r="S65" s="877"/>
      <c r="T65" s="878"/>
      <c r="V65" s="352" t="s">
        <v>133</v>
      </c>
      <c r="W65" s="352" t="s">
        <v>109</v>
      </c>
      <c r="X65" s="352" t="str">
        <f t="shared" si="11"/>
        <v>Daley Blind (v)</v>
      </c>
      <c r="Y65" s="109">
        <f t="shared" si="13"/>
        <v>1</v>
      </c>
      <c r="Z65" s="352" t="str">
        <f t="shared" si="14"/>
        <v>Argentinië</v>
      </c>
      <c r="AA65" s="352" t="str">
        <f t="shared" si="14"/>
        <v>Ecuador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1</v>
      </c>
      <c r="AG65" s="108">
        <f t="shared" si="16"/>
        <v>0</v>
      </c>
      <c r="AH65" s="108">
        <f t="shared" si="17"/>
        <v>1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2"/>
        <v>3</v>
      </c>
    </row>
    <row r="66" spans="2:54" ht="15.75" thickBot="1">
      <c r="B66" s="385">
        <v>56</v>
      </c>
      <c r="C66" s="462">
        <v>41821</v>
      </c>
      <c r="D66" s="461" t="str">
        <f t="shared" si="23"/>
        <v>België</v>
      </c>
      <c r="E66" s="388" t="s">
        <v>9</v>
      </c>
      <c r="F66" s="412" t="str">
        <f t="shared" si="24"/>
        <v>Verenigde Staten</v>
      </c>
      <c r="G66" s="438">
        <v>1</v>
      </c>
      <c r="H66" s="388" t="s">
        <v>9</v>
      </c>
      <c r="I66" s="453">
        <v>3</v>
      </c>
      <c r="J66" s="454">
        <v>2</v>
      </c>
      <c r="K66" s="407" t="s">
        <v>82</v>
      </c>
      <c r="L66" s="407" t="s">
        <v>78</v>
      </c>
      <c r="M66" s="407"/>
      <c r="O66" s="458">
        <v>9</v>
      </c>
      <c r="P66" s="877" t="s">
        <v>215</v>
      </c>
      <c r="Q66" s="877"/>
      <c r="R66" s="877"/>
      <c r="S66" s="877"/>
      <c r="T66" s="878"/>
      <c r="V66" s="352" t="s">
        <v>133</v>
      </c>
      <c r="W66" s="352" t="s">
        <v>115</v>
      </c>
      <c r="X66" s="352" t="str">
        <f t="shared" si="11"/>
        <v>Daryl Janmaat (v)</v>
      </c>
      <c r="Y66" s="109">
        <f t="shared" si="13"/>
        <v>0</v>
      </c>
      <c r="Z66" s="352" t="str">
        <f>IF(K66=""," ",VLOOKUP(K66,$T$9:$V$54,3,FALSE))</f>
        <v>België</v>
      </c>
      <c r="AA66" s="352" t="str">
        <f>IF(L66=""," ",VLOOKUP(L66,$T$9:$V$54,3,FALSE))</f>
        <v>Verenigde Staten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0</v>
      </c>
      <c r="AG66" s="108">
        <f t="shared" si="16"/>
        <v>0</v>
      </c>
      <c r="AH66" s="108">
        <f t="shared" si="17"/>
        <v>0</v>
      </c>
      <c r="AI66" s="108">
        <f t="shared" si="18"/>
        <v>0</v>
      </c>
      <c r="AJ66" s="108">
        <f t="shared" si="19"/>
        <v>0</v>
      </c>
      <c r="AK66" s="108">
        <f t="shared" si="20"/>
        <v>0</v>
      </c>
      <c r="AL66" s="108">
        <f t="shared" si="21"/>
        <v>0</v>
      </c>
      <c r="AZ66" s="138" t="str">
        <f>Uitslag!P66</f>
        <v>Jonathan de Guzman (m)</v>
      </c>
      <c r="BA66" s="140">
        <f t="shared" si="12"/>
        <v>3</v>
      </c>
      <c r="BB66" s="139">
        <f t="shared" si="22"/>
        <v>3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O67" s="458">
        <v>10</v>
      </c>
      <c r="P67" s="877" t="s">
        <v>211</v>
      </c>
      <c r="Q67" s="877"/>
      <c r="R67" s="877"/>
      <c r="S67" s="877"/>
      <c r="T67" s="878"/>
      <c r="V67" s="352" t="s">
        <v>133</v>
      </c>
      <c r="W67" s="352" t="s">
        <v>118</v>
      </c>
      <c r="X67" s="352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2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79"/>
      <c r="K68" s="353"/>
      <c r="L68" s="353"/>
      <c r="M68" s="353"/>
      <c r="O68" s="458">
        <v>11</v>
      </c>
      <c r="P68" s="877" t="s">
        <v>235</v>
      </c>
      <c r="Q68" s="877"/>
      <c r="R68" s="877"/>
      <c r="S68" s="877"/>
      <c r="T68" s="878"/>
      <c r="V68" s="352" t="s">
        <v>133</v>
      </c>
      <c r="W68" s="352" t="s">
        <v>119</v>
      </c>
      <c r="X68" s="352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0</v>
      </c>
      <c r="BB68" s="139">
        <f t="shared" si="22"/>
        <v>0</v>
      </c>
    </row>
    <row r="69" spans="2:54">
      <c r="B69" s="428" t="s">
        <v>1</v>
      </c>
      <c r="C69" s="429" t="s">
        <v>2</v>
      </c>
      <c r="D69" s="476" t="s">
        <v>3</v>
      </c>
      <c r="E69" s="431"/>
      <c r="F69" s="477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V69" s="352" t="s">
        <v>133</v>
      </c>
      <c r="W69" s="352" t="s">
        <v>121</v>
      </c>
      <c r="X69" s="352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27</v>
      </c>
      <c r="BB69" s="139" t="str">
        <f>IF(AND(BA69&lt;&gt;"",BA69=33),15,"nvt")</f>
        <v>nvt</v>
      </c>
    </row>
    <row r="70" spans="2:54">
      <c r="B70" s="364">
        <v>57</v>
      </c>
      <c r="C70" s="365">
        <v>41824</v>
      </c>
      <c r="D70" s="405" t="str">
        <f>IF(J63="","Winnaar 53",IF(J63=1,D63,F63))</f>
        <v>Frankrijk</v>
      </c>
      <c r="E70" s="367" t="s">
        <v>9</v>
      </c>
      <c r="F70" s="406" t="str">
        <f>IF(J64="","Winnaar 54",IF(J64=1,D64,F64))</f>
        <v>Portugal</v>
      </c>
      <c r="G70" s="435">
        <v>1</v>
      </c>
      <c r="H70" s="367" t="s">
        <v>9</v>
      </c>
      <c r="I70" s="447">
        <v>2</v>
      </c>
      <c r="J70" s="448">
        <v>2</v>
      </c>
      <c r="K70" s="353"/>
      <c r="L70" s="353"/>
      <c r="M70" s="353"/>
      <c r="V70" s="352" t="s">
        <v>133</v>
      </c>
      <c r="W70" s="352" t="s">
        <v>126</v>
      </c>
      <c r="X70" s="352" t="str">
        <f t="shared" si="11"/>
        <v>Karim Rekik (v)</v>
      </c>
      <c r="Y70" s="109">
        <f>AF70</f>
        <v>5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5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Brazilië</v>
      </c>
      <c r="E71" s="379" t="s">
        <v>9</v>
      </c>
      <c r="F71" s="409" t="str">
        <f>IF(J60="","Winnaar 50",IF(J60=1,D60,F60))</f>
        <v>Engeland</v>
      </c>
      <c r="G71" s="437">
        <v>3</v>
      </c>
      <c r="H71" s="379" t="s">
        <v>9</v>
      </c>
      <c r="I71" s="449">
        <v>2</v>
      </c>
      <c r="J71" s="450">
        <v>1</v>
      </c>
      <c r="K71" s="353"/>
      <c r="L71" s="353"/>
      <c r="M71" s="353"/>
      <c r="V71" s="352" t="s">
        <v>133</v>
      </c>
      <c r="W71" s="352" t="s">
        <v>194</v>
      </c>
      <c r="X71" s="352" t="str">
        <f t="shared" si="11"/>
        <v>Ron Vlaar (v)</v>
      </c>
      <c r="Y71" s="109">
        <f>AF71</f>
        <v>5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5</v>
      </c>
      <c r="AG71" s="108">
        <f>IF(AC71="",0,(IF(G71=AC71,1,0)))</f>
        <v>0</v>
      </c>
      <c r="AH71" s="108">
        <f>IF(AD71="",0,(IF(I71=AD71,1,0)))</f>
        <v>0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Argentinië</v>
      </c>
      <c r="E72" s="367" t="s">
        <v>9</v>
      </c>
      <c r="F72" s="406" t="str">
        <f>IF(J66="","Winnaar 56",IF(J66=1,D66,F66))</f>
        <v>Verenigde Staten</v>
      </c>
      <c r="G72" s="435">
        <v>1</v>
      </c>
      <c r="H72" s="367" t="s">
        <v>9</v>
      </c>
      <c r="I72" s="447">
        <v>2</v>
      </c>
      <c r="J72" s="448">
        <v>2</v>
      </c>
      <c r="K72" s="353"/>
      <c r="L72" s="353"/>
      <c r="M72" s="353"/>
      <c r="V72" s="352" t="s">
        <v>133</v>
      </c>
      <c r="W72" s="352" t="s">
        <v>195</v>
      </c>
      <c r="X72" s="352" t="str">
        <f t="shared" si="11"/>
        <v>John Heitinga (v)</v>
      </c>
      <c r="Y72" s="109">
        <f>AF72</f>
        <v>1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1</v>
      </c>
      <c r="AG72" s="108">
        <f>IF(AC72="",0,(IF(G72=AC72,1,0)))</f>
        <v>1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0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Spanje</v>
      </c>
      <c r="E73" s="388" t="s">
        <v>9</v>
      </c>
      <c r="F73" s="412" t="str">
        <f>IF(J62="","Winnaar 52",IF(J62=1,D62,F62))</f>
        <v>Italië</v>
      </c>
      <c r="G73" s="438">
        <v>1</v>
      </c>
      <c r="H73" s="388" t="s">
        <v>9</v>
      </c>
      <c r="I73" s="453">
        <v>2</v>
      </c>
      <c r="J73" s="454">
        <v>2</v>
      </c>
      <c r="K73" s="353"/>
      <c r="L73" s="353"/>
      <c r="M73" s="353"/>
      <c r="V73" s="352" t="s">
        <v>133</v>
      </c>
      <c r="W73" s="352" t="s">
        <v>196</v>
      </c>
      <c r="X73" s="352" t="str">
        <f t="shared" si="11"/>
        <v>Urby Emanuelson (v)</v>
      </c>
      <c r="Y73" s="109">
        <f>AF73</f>
        <v>0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0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V74" s="352" t="s">
        <v>133</v>
      </c>
      <c r="W74" s="352" t="s">
        <v>197</v>
      </c>
      <c r="X74" s="352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79"/>
      <c r="K75" s="353"/>
      <c r="L75" s="353"/>
      <c r="M75" s="353"/>
      <c r="V75" s="352" t="s">
        <v>133</v>
      </c>
      <c r="W75" s="352" t="s">
        <v>198</v>
      </c>
      <c r="X75" s="352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76" t="s">
        <v>3</v>
      </c>
      <c r="E76" s="431"/>
      <c r="F76" s="477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V76" s="352" t="s">
        <v>133</v>
      </c>
      <c r="W76" s="352" t="s">
        <v>202</v>
      </c>
      <c r="X76" s="352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Portugal</v>
      </c>
      <c r="E77" s="367" t="s">
        <v>9</v>
      </c>
      <c r="F77" s="406" t="str">
        <f>IF(J71="","Winnaar 58",IF(J71=1,D71,F71))</f>
        <v>Brazilië</v>
      </c>
      <c r="G77" s="435">
        <v>3</v>
      </c>
      <c r="H77" s="367" t="s">
        <v>9</v>
      </c>
      <c r="I77" s="447">
        <v>2</v>
      </c>
      <c r="J77" s="448">
        <v>1</v>
      </c>
      <c r="K77" s="353"/>
      <c r="L77" s="353"/>
      <c r="M77" s="353"/>
      <c r="V77" s="352" t="s">
        <v>134</v>
      </c>
      <c r="W77" s="352" t="s">
        <v>203</v>
      </c>
      <c r="X77" s="352" t="str">
        <f t="shared" si="11"/>
        <v>Marco van Ginkel (m)</v>
      </c>
      <c r="Y77" s="109">
        <f>AF77</f>
        <v>5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5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5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Verenigde Staten</v>
      </c>
      <c r="E78" s="388" t="s">
        <v>9</v>
      </c>
      <c r="F78" s="412" t="str">
        <f>IF(J73="","Winnaar 60",IF(J73=1,D73,F73))</f>
        <v>Italië</v>
      </c>
      <c r="G78" s="438">
        <v>1</v>
      </c>
      <c r="H78" s="388" t="s">
        <v>9</v>
      </c>
      <c r="I78" s="453">
        <v>2</v>
      </c>
      <c r="J78" s="454">
        <v>2</v>
      </c>
      <c r="K78" s="353"/>
      <c r="L78" s="353"/>
      <c r="M78" s="353"/>
      <c r="V78" s="352" t="s">
        <v>134</v>
      </c>
      <c r="W78" s="352" t="s">
        <v>199</v>
      </c>
      <c r="X78" s="352" t="str">
        <f t="shared" si="11"/>
        <v>Leroy Fer (m)</v>
      </c>
      <c r="Y78" s="109">
        <f>AF78</f>
        <v>0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0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V79" s="352" t="s">
        <v>134</v>
      </c>
      <c r="W79" s="352" t="s">
        <v>114</v>
      </c>
      <c r="X79" s="352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79"/>
      <c r="K80" s="353"/>
      <c r="L80" s="353"/>
      <c r="M80" s="353"/>
      <c r="V80" s="352" t="s">
        <v>134</v>
      </c>
      <c r="W80" s="352" t="s">
        <v>117</v>
      </c>
      <c r="X80" s="352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76" t="s">
        <v>3</v>
      </c>
      <c r="E81" s="431"/>
      <c r="F81" s="477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V81" s="352" t="s">
        <v>134</v>
      </c>
      <c r="W81" s="352" t="s">
        <v>120</v>
      </c>
      <c r="X81" s="352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Brazilië</v>
      </c>
      <c r="E82" s="355" t="s">
        <v>9</v>
      </c>
      <c r="F82" s="415" t="str">
        <f>IF(J78="","Verliezer 62",IF(J78=1,F78,D78))</f>
        <v>Verenigde Staten</v>
      </c>
      <c r="G82" s="455">
        <v>2</v>
      </c>
      <c r="H82" s="355" t="s">
        <v>9</v>
      </c>
      <c r="I82" s="456">
        <v>3</v>
      </c>
      <c r="J82" s="457">
        <v>2</v>
      </c>
      <c r="K82" s="353"/>
      <c r="L82" s="353"/>
      <c r="M82" s="353"/>
      <c r="V82" s="352" t="s">
        <v>134</v>
      </c>
      <c r="W82" s="352" t="s">
        <v>125</v>
      </c>
      <c r="X82" s="352" t="str">
        <f t="shared" si="11"/>
        <v>Georginio Wijnaldum (m)</v>
      </c>
      <c r="Y82" s="109">
        <f>AF82</f>
        <v>6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6</v>
      </c>
      <c r="AG82" s="108">
        <f>IF(AC82="",0,(IF(G82=AC82,1,0)))</f>
        <v>0</v>
      </c>
      <c r="AH82" s="108">
        <f>IF(AD82="",0,(IF(I82=AD82,1,0)))</f>
        <v>1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5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V83" s="352" t="s">
        <v>134</v>
      </c>
      <c r="W83" s="352" t="s">
        <v>136</v>
      </c>
      <c r="X83" s="352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79"/>
      <c r="K84" s="353"/>
      <c r="L84" s="353"/>
      <c r="M84" s="353"/>
      <c r="V84" s="352" t="s">
        <v>134</v>
      </c>
      <c r="W84" s="352" t="s">
        <v>137</v>
      </c>
      <c r="X84" s="352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76" t="s">
        <v>3</v>
      </c>
      <c r="E85" s="431"/>
      <c r="F85" s="477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V85" s="352" t="s">
        <v>134</v>
      </c>
      <c r="W85" s="352" t="s">
        <v>138</v>
      </c>
      <c r="X85" s="352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Portugal</v>
      </c>
      <c r="E86" s="355" t="s">
        <v>9</v>
      </c>
      <c r="F86" s="415" t="str">
        <f>IF(J78="","Winnaar 62",IF(J78=1,D78,F78))</f>
        <v>Italië</v>
      </c>
      <c r="G86" s="455">
        <v>1</v>
      </c>
      <c r="H86" s="355" t="s">
        <v>9</v>
      </c>
      <c r="I86" s="456">
        <v>2</v>
      </c>
      <c r="J86" s="457">
        <v>2</v>
      </c>
      <c r="K86" s="353"/>
      <c r="L86" s="353"/>
      <c r="M86" s="353"/>
      <c r="V86" s="352" t="s">
        <v>134</v>
      </c>
      <c r="W86" s="352" t="s">
        <v>139</v>
      </c>
      <c r="X86" s="352" t="str">
        <f t="shared" si="11"/>
        <v>Nigel de Jong (m)</v>
      </c>
      <c r="Y86" s="109">
        <f>AF86</f>
        <v>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0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353"/>
      <c r="C87" s="129"/>
      <c r="D87" s="392"/>
      <c r="E87" s="353"/>
      <c r="F87" s="392"/>
      <c r="G87" s="353"/>
      <c r="H87" s="353"/>
      <c r="I87" s="353"/>
      <c r="J87" s="353"/>
      <c r="K87" s="353"/>
      <c r="L87" s="353"/>
      <c r="M87" s="353"/>
      <c r="V87" s="352" t="s">
        <v>135</v>
      </c>
      <c r="W87" s="352" t="s">
        <v>205</v>
      </c>
      <c r="X87" s="352" t="str">
        <f t="shared" si="11"/>
        <v>Ricky van Wolfswinkel (a)</v>
      </c>
      <c r="AP87" s="136" t="s">
        <v>102</v>
      </c>
    </row>
    <row r="88" spans="2:50">
      <c r="B88" s="353"/>
      <c r="C88" s="129"/>
      <c r="D88" s="392"/>
      <c r="E88" s="353"/>
      <c r="F88" s="392"/>
      <c r="G88" s="353"/>
      <c r="H88" s="353"/>
      <c r="I88" s="353"/>
      <c r="J88" s="353"/>
      <c r="K88" s="353"/>
      <c r="L88" s="353"/>
      <c r="M88" s="353"/>
      <c r="V88" s="352" t="s">
        <v>135</v>
      </c>
      <c r="W88" s="352" t="s">
        <v>204</v>
      </c>
      <c r="X88" s="352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458"/>
    </row>
    <row r="89" spans="2:50" ht="20.25">
      <c r="C89" s="874" t="s">
        <v>101</v>
      </c>
      <c r="D89" s="871"/>
      <c r="E89" s="873" t="str">
        <f>IF(J86=1,D86,IF(J86=2,F86,"Wie zal het worden?"))</f>
        <v>Italië</v>
      </c>
      <c r="F89" s="873"/>
      <c r="G89" s="873"/>
      <c r="H89" s="873"/>
      <c r="I89" s="873"/>
      <c r="J89" s="873"/>
      <c r="K89" s="353"/>
      <c r="L89" s="353"/>
      <c r="M89" s="353"/>
      <c r="V89" s="352" t="s">
        <v>135</v>
      </c>
      <c r="W89" s="352" t="s">
        <v>201</v>
      </c>
      <c r="X89" s="352" t="str">
        <f t="shared" si="11"/>
        <v>Jermain Lens (a)</v>
      </c>
      <c r="AP89" s="109">
        <f>AU89</f>
        <v>0</v>
      </c>
      <c r="AQ89" s="131">
        <v>1</v>
      </c>
      <c r="AR89" s="904" t="str">
        <f>Uitslag!E89</f>
        <v>Duitsland</v>
      </c>
      <c r="AS89" s="905"/>
      <c r="AT89" s="906"/>
      <c r="AU89" s="352">
        <f>SUM(AV89:AX89)</f>
        <v>0</v>
      </c>
      <c r="AV89" s="352">
        <f>IF(AR89=0,0,IF(E89=AR89,50,0))</f>
        <v>0</v>
      </c>
      <c r="AW89" s="352">
        <f>IF(E89=0,0,IF(OR(E89=AR90),15,0))</f>
        <v>0</v>
      </c>
      <c r="AX89" s="352">
        <f>IF(E89=0,0,IF(OR(E89=AR91,E89=AR92),5,0))</f>
        <v>0</v>
      </c>
    </row>
    <row r="90" spans="2:50">
      <c r="C90" s="870">
        <v>2</v>
      </c>
      <c r="D90" s="871"/>
      <c r="E90" s="872" t="str">
        <f>IF(J86=2,D86,IF(J86=1,F86,"Wie wordt 2de?"))</f>
        <v>Portugal</v>
      </c>
      <c r="F90" s="872"/>
      <c r="G90" s="872"/>
      <c r="H90" s="872"/>
      <c r="I90" s="872"/>
      <c r="J90" s="872"/>
      <c r="V90" s="352" t="s">
        <v>135</v>
      </c>
      <c r="W90" s="352" t="s">
        <v>200</v>
      </c>
      <c r="X90" s="352" t="str">
        <f t="shared" si="11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 s="352">
        <f>SUM(AV90:AX90)</f>
        <v>0</v>
      </c>
      <c r="AV90" s="352">
        <f>IF(AR90=0,0,IF(AR90=E90,25,0))</f>
        <v>0</v>
      </c>
      <c r="AW90" s="352">
        <f>IF(E90=0,0,IF(OR(E90=AR89,),15,0))</f>
        <v>0</v>
      </c>
      <c r="AX90" s="352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Verenigde Staten</v>
      </c>
      <c r="F91" s="872"/>
      <c r="G91" s="872"/>
      <c r="H91" s="872"/>
      <c r="I91" s="872"/>
      <c r="J91" s="872"/>
      <c r="V91" s="352" t="s">
        <v>135</v>
      </c>
      <c r="W91" s="352" t="s">
        <v>128</v>
      </c>
      <c r="X91" s="352" t="str">
        <f t="shared" si="11"/>
        <v>Jürgen Locadia (a)</v>
      </c>
      <c r="AP91" s="109">
        <f>AU91</f>
        <v>0</v>
      </c>
      <c r="AQ91" s="131">
        <v>3</v>
      </c>
      <c r="AR91" s="904" t="str">
        <f>Uitslag!E91</f>
        <v>Nederland</v>
      </c>
      <c r="AS91" s="905"/>
      <c r="AT91" s="906"/>
      <c r="AU91" s="352">
        <f>SUM(AV91:AX91)</f>
        <v>0</v>
      </c>
      <c r="AV91" s="352">
        <f>IF(AR91=0,0,IF(AR91=E91,15,0))</f>
        <v>0</v>
      </c>
      <c r="AW91" s="352">
        <f>IF(E91=0,0,IF(OR(E91=AR92),10,0))</f>
        <v>0</v>
      </c>
      <c r="AX91" s="352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Brazilië</v>
      </c>
      <c r="F92" s="872"/>
      <c r="G92" s="872"/>
      <c r="H92" s="872"/>
      <c r="I92" s="872"/>
      <c r="J92" s="872"/>
      <c r="V92" s="352" t="s">
        <v>135</v>
      </c>
      <c r="W92" s="352" t="s">
        <v>127</v>
      </c>
      <c r="X92" s="352" t="str">
        <f t="shared" si="11"/>
        <v>Memphis Depay (a)</v>
      </c>
      <c r="AP92" s="109">
        <f>AU92</f>
        <v>15</v>
      </c>
      <c r="AQ92" s="131">
        <v>4</v>
      </c>
      <c r="AR92" s="904" t="str">
        <f>Uitslag!E92</f>
        <v>Brazilië</v>
      </c>
      <c r="AS92" s="905"/>
      <c r="AT92" s="906"/>
      <c r="AU92" s="352">
        <f>SUM(AV92:AX92)</f>
        <v>15</v>
      </c>
      <c r="AV92" s="352">
        <f>IF(AR92=0,0,IF(AR92=E92,15,0))</f>
        <v>15</v>
      </c>
      <c r="AW92" s="352">
        <f>IF(E92=0,0,IF(OR(E92=AR91,),10,0))</f>
        <v>0</v>
      </c>
      <c r="AX92" s="352">
        <f>IF(E92=0,0,IF(OR(E92=AR89,E92=AR90),5,0))</f>
        <v>0</v>
      </c>
    </row>
    <row r="93" spans="2:50" ht="15.75" thickBot="1">
      <c r="V93" s="352" t="s">
        <v>135</v>
      </c>
      <c r="W93" s="352" t="s">
        <v>123</v>
      </c>
      <c r="X93" s="352" t="str">
        <f t="shared" si="11"/>
        <v>Quincy Promes (a)</v>
      </c>
      <c r="AS93" s="132"/>
      <c r="AU93" s="133">
        <f>SUM(AU89:AU92)</f>
        <v>15</v>
      </c>
    </row>
    <row r="94" spans="2:50" ht="15.75" thickTop="1">
      <c r="V94" s="352" t="s">
        <v>135</v>
      </c>
      <c r="W94" s="352" t="s">
        <v>122</v>
      </c>
      <c r="X94" s="352" t="str">
        <f t="shared" si="11"/>
        <v>Luc Castaignos (a)</v>
      </c>
    </row>
    <row r="95" spans="2:50">
      <c r="V95" s="352" t="s">
        <v>135</v>
      </c>
      <c r="W95" s="352" t="s">
        <v>113</v>
      </c>
      <c r="X95" s="352" t="str">
        <f t="shared" si="11"/>
        <v>Jean-Paul Boëtius (a)</v>
      </c>
    </row>
    <row r="96" spans="2:50">
      <c r="V96" s="352" t="s">
        <v>135</v>
      </c>
      <c r="W96" s="352" t="s">
        <v>129</v>
      </c>
      <c r="X96" s="352" t="str">
        <f t="shared" si="11"/>
        <v>Luciano Narsingh (a)</v>
      </c>
    </row>
    <row r="97" spans="22:24">
      <c r="V97" s="352" t="s">
        <v>135</v>
      </c>
      <c r="W97" s="352" t="s">
        <v>130</v>
      </c>
      <c r="X97" s="352" t="str">
        <f t="shared" si="11"/>
        <v>Robin van Persie (a)</v>
      </c>
    </row>
    <row r="98" spans="22:24">
      <c r="V98" s="352" t="s">
        <v>135</v>
      </c>
      <c r="W98" s="352" t="s">
        <v>131</v>
      </c>
      <c r="X98" s="352" t="str">
        <f t="shared" si="11"/>
        <v>Arjen Robben (a)</v>
      </c>
    </row>
  </sheetData>
  <mergeCells count="36">
    <mergeCell ref="C91:D91"/>
    <mergeCell ref="E91:J91"/>
    <mergeCell ref="AR91:AT91"/>
    <mergeCell ref="C92:D92"/>
    <mergeCell ref="E92:J92"/>
    <mergeCell ref="AR92:AT92"/>
    <mergeCell ref="C89:D89"/>
    <mergeCell ref="E89:J89"/>
    <mergeCell ref="AR89:AT89"/>
    <mergeCell ref="C90:D90"/>
    <mergeCell ref="E90:J90"/>
    <mergeCell ref="AR90:AT90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</mergeCells>
  <conditionalFormatting sqref="AO9:AO12 AO15:AO18 AO21:AO24 AO27:AO30 AO33:AO36 AO39:AO42 AO45:AO48 AO51:AO54">
    <cfRule type="cellIs" dxfId="47" priority="3" operator="equal">
      <formula>10</formula>
    </cfRule>
  </conditionalFormatting>
  <conditionalFormatting sqref="P58:T58">
    <cfRule type="duplicateValues" dxfId="46" priority="2"/>
  </conditionalFormatting>
  <conditionalFormatting sqref="P58:T68">
    <cfRule type="duplicateValues" dxfId="45" priority="1"/>
  </conditionalFormatting>
  <dataValidations count="10">
    <dataValidation type="list" allowBlank="1" showInputMessage="1" showErrorMessage="1" sqref="T51:T54">
      <formula1>$W$51:$W$54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P58:P68">
      <formula1>$X$58:$X$98</formula1>
    </dataValidation>
  </dataValidation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>
  <dimension ref="B1:BB98"/>
  <sheetViews>
    <sheetView topLeftCell="A40" zoomScale="70" zoomScaleNormal="70" workbookViewId="0">
      <selection activeCell="P58" sqref="P58:T68"/>
    </sheetView>
  </sheetViews>
  <sheetFormatPr defaultRowHeight="15" outlineLevelCol="2"/>
  <cols>
    <col min="1" max="1" width="3.42578125" style="352" customWidth="1"/>
    <col min="2" max="2" width="3.5703125" style="352" bestFit="1" customWidth="1"/>
    <col min="3" max="3" width="11.5703125" style="123" bestFit="1" customWidth="1"/>
    <col min="4" max="4" width="19.7109375" style="352" bestFit="1" customWidth="1"/>
    <col min="5" max="5" width="3.42578125" style="352" customWidth="1"/>
    <col min="6" max="6" width="19.7109375" style="352" bestFit="1" customWidth="1"/>
    <col min="7" max="7" width="6.7109375" style="352" customWidth="1"/>
    <col min="8" max="8" width="1.5703125" style="352" bestFit="1" customWidth="1"/>
    <col min="9" max="9" width="6.7109375" style="352" customWidth="1"/>
    <col min="10" max="10" width="6.85546875" style="352" bestFit="1" customWidth="1"/>
    <col min="11" max="13" width="9.140625" style="352" hidden="1" customWidth="1" outlineLevel="1"/>
    <col min="14" max="14" width="11.42578125" style="352" bestFit="1" customWidth="1" collapsed="1"/>
    <col min="15" max="15" width="14.7109375" style="352" bestFit="1" customWidth="1"/>
    <col min="16" max="16" width="12.28515625" style="352" bestFit="1" customWidth="1"/>
    <col min="17" max="17" width="8.140625" style="352" bestFit="1" customWidth="1"/>
    <col min="18" max="18" width="7.7109375" style="352" bestFit="1" customWidth="1"/>
    <col min="19" max="19" width="9.140625" style="352"/>
    <col min="20" max="20" width="8.5703125" style="352" bestFit="1" customWidth="1"/>
    <col min="21" max="21" width="9.140625" style="352"/>
    <col min="22" max="23" width="9.140625" style="352" hidden="1" customWidth="1" outlineLevel="1"/>
    <col min="24" max="24" width="2" style="352" hidden="1" customWidth="1" outlineLevel="1"/>
    <col min="25" max="25" width="12.28515625" style="352" bestFit="1" customWidth="1" collapsed="1"/>
    <col min="26" max="27" width="12.28515625" style="352" hidden="1" customWidth="1" outlineLevel="1"/>
    <col min="28" max="28" width="4.7109375" style="352" hidden="1" customWidth="1" outlineLevel="1"/>
    <col min="29" max="38" width="9.140625" style="352" hidden="1" customWidth="1" outlineLevel="1"/>
    <col min="39" max="39" width="7.42578125" style="352" bestFit="1" customWidth="1" collapsed="1"/>
    <col min="40" max="40" width="19.7109375" style="352" hidden="1" customWidth="1" outlineLevel="1"/>
    <col min="41" max="41" width="9.140625" style="352" hidden="1" customWidth="1" outlineLevel="1"/>
    <col min="42" max="42" width="9.140625" style="352" collapsed="1"/>
    <col min="43" max="49" width="9.140625" style="352" hidden="1" customWidth="1" outlineLevel="2"/>
    <col min="50" max="50" width="11.5703125" style="352" hidden="1" customWidth="1" outlineLevel="2"/>
    <col min="51" max="51" width="11.85546875" style="352" hidden="1" customWidth="1" outlineLevel="1" collapsed="1"/>
    <col min="52" max="52" width="9.42578125" style="352" hidden="1" customWidth="1" outlineLevel="1"/>
    <col min="53" max="53" width="10.5703125" style="352" hidden="1" customWidth="1" outlineLevel="1"/>
    <col min="54" max="54" width="9.140625" style="352" collapsed="1"/>
    <col min="55" max="55" width="11.85546875" style="352" bestFit="1" customWidth="1"/>
    <col min="56" max="16384" width="9.140625" style="352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307</v>
      </c>
      <c r="E3" s="335"/>
      <c r="F3" s="335"/>
      <c r="N3" s="352" t="str">
        <f>D3</f>
        <v>Stijn v. D.</v>
      </c>
      <c r="O3" s="144">
        <f>SUM(P3:S3)</f>
        <v>352</v>
      </c>
      <c r="P3" s="109">
        <f>SUM(Y8:Y86)</f>
        <v>180</v>
      </c>
      <c r="Q3" s="109">
        <f>SUM(AM4:AM55)</f>
        <v>110</v>
      </c>
      <c r="R3" s="109">
        <f>SUM(AP89:AP92)</f>
        <v>35</v>
      </c>
      <c r="S3" s="109">
        <f>SUM(BB58:BB69)</f>
        <v>27</v>
      </c>
      <c r="T3" s="109">
        <f>COUNTIF(AF8:AF86,10)</f>
        <v>4</v>
      </c>
      <c r="U3" s="109" t="str">
        <f>E89</f>
        <v>Brazilië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O6" s="392"/>
      <c r="P6" s="393"/>
      <c r="Q6" s="393"/>
      <c r="R6" s="393"/>
      <c r="S6" s="393"/>
      <c r="T6" s="393"/>
      <c r="U6" s="392"/>
      <c r="V6" s="392"/>
      <c r="W6" s="392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80" t="s">
        <v>3</v>
      </c>
      <c r="E7" s="419"/>
      <c r="F7" s="481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O7" s="353"/>
      <c r="P7" s="393"/>
      <c r="Q7" s="393"/>
      <c r="R7" s="393"/>
      <c r="S7" s="393"/>
      <c r="T7" s="393"/>
      <c r="U7" s="353"/>
      <c r="V7" s="353"/>
      <c r="W7" s="353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458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2</v>
      </c>
      <c r="H8" s="360" t="s">
        <v>9</v>
      </c>
      <c r="I8" s="478">
        <v>0</v>
      </c>
      <c r="J8" s="362">
        <f>IF(I8="","",IF(G8&gt;I8,1,IF(G8&lt;I8,2,3)))</f>
        <v>1</v>
      </c>
      <c r="K8" s="363">
        <f>IF(I8="","",IF($G8&gt;$I8,3,IF($G8=$I8,1,0)))</f>
        <v>3</v>
      </c>
      <c r="L8" s="363">
        <f>IF(I8="","",IF($G8&lt;$I8,3,IF($G8=$I8,1,0)))</f>
        <v>0</v>
      </c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392"/>
      <c r="V8" s="392"/>
      <c r="W8" s="392"/>
      <c r="Y8" s="109">
        <f>AF8</f>
        <v>5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5</v>
      </c>
      <c r="AG8" s="108">
        <f t="shared" ref="AG8:AG55" si="0">IF(AC8="",0,(IF(G8=AC8,1,0)))</f>
        <v>0</v>
      </c>
      <c r="AH8" s="108">
        <f t="shared" ref="AH8:AH55" si="1">IF(AD8="",0,(IF(I8=AD8,1,0)))</f>
        <v>0</v>
      </c>
      <c r="AI8" s="108">
        <f>IF(AND(AG8=1,AH8=1),10,0)</f>
        <v>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1</v>
      </c>
      <c r="H9" s="367" t="s">
        <v>9</v>
      </c>
      <c r="I9" s="440">
        <v>1</v>
      </c>
      <c r="J9" s="369">
        <f t="shared" ref="J9:J55" si="5">IF(I9="","",IF(G9&gt;I9,1,IF(G9&lt;I9,2,3)))</f>
        <v>3</v>
      </c>
      <c r="K9" s="363">
        <f t="shared" ref="K9:K55" si="6">IF(I9="","",IF($G9&gt;$I9,3,IF($G9=$I9,1,0)))</f>
        <v>1</v>
      </c>
      <c r="L9" s="363">
        <f t="shared" ref="L9:L55" si="7">IF(I9="","",IF($G9&lt;$I9,3,IF($G9=$I9,1,0)))</f>
        <v>1</v>
      </c>
      <c r="O9" s="394" t="s">
        <v>8</v>
      </c>
      <c r="P9" s="395">
        <f>SUMIF($D$8:$D$55,$O9,$G$8:$G$55)+SUMIF($F$8:$F$55,$O9,$I$8:$I$55)</f>
        <v>6</v>
      </c>
      <c r="Q9" s="395">
        <f>SUMIF($D$8:$D$55,$O9,$I$8:$I$55)+SUMIF($F$8:$F$55,$O9,$G$8:$G$55)</f>
        <v>2</v>
      </c>
      <c r="R9" s="396">
        <f>P9-Q9</f>
        <v>4</v>
      </c>
      <c r="S9" s="397">
        <f>SUMIF($D$8:$D$55,$O9,$K$8:$K$55)+SUMIF($F$8:$F$55,$O9,$L$8:$L$55)</f>
        <v>9</v>
      </c>
      <c r="T9" s="444" t="s">
        <v>48</v>
      </c>
      <c r="U9" s="392"/>
      <c r="V9" s="392" t="str">
        <f>O9</f>
        <v>Brazilië</v>
      </c>
      <c r="W9" s="392" t="s">
        <v>48</v>
      </c>
      <c r="Y9" s="109">
        <f t="shared" ref="Y9:Y55" si="8">AF9</f>
        <v>1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1</v>
      </c>
      <c r="AG9" s="108">
        <f t="shared" si="0"/>
        <v>1</v>
      </c>
      <c r="AH9" s="108">
        <f t="shared" si="1"/>
        <v>0</v>
      </c>
      <c r="AI9" s="108">
        <f t="shared" ref="AI9:AI55" si="10">IF(AND(AG9=1,AH9=1),10,0)</f>
        <v>0</v>
      </c>
      <c r="AJ9" s="108">
        <f t="shared" si="2"/>
        <v>0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2</v>
      </c>
      <c r="H10" s="373" t="s">
        <v>9</v>
      </c>
      <c r="I10" s="441">
        <v>1</v>
      </c>
      <c r="J10" s="375">
        <f t="shared" si="5"/>
        <v>1</v>
      </c>
      <c r="K10" s="363">
        <f t="shared" si="6"/>
        <v>3</v>
      </c>
      <c r="L10" s="363">
        <f t="shared" si="7"/>
        <v>0</v>
      </c>
      <c r="O10" s="398" t="s">
        <v>10</v>
      </c>
      <c r="P10" s="399">
        <f>SUMIF($D$8:$D$55,$O10,$G$8:$G$55)+SUMIF($F$8:$F$55,$O10,$I$8:$I$55)</f>
        <v>0</v>
      </c>
      <c r="Q10" s="399">
        <f>SUMIF($D$8:$D$55,$O10,$I$8:$I$55)+SUMIF($F$8:$F$55,$O10,$G$8:$G$55)</f>
        <v>2</v>
      </c>
      <c r="R10" s="399">
        <f>P10-Q10</f>
        <v>-2</v>
      </c>
      <c r="S10" s="400">
        <f>SUMIF($D$8:$D$55,$O10,$K$8:$K$55)+SUMIF($F$8:$F$55,$O10,$L$8:$L$55)</f>
        <v>2</v>
      </c>
      <c r="T10" s="445" t="s">
        <v>49</v>
      </c>
      <c r="U10" s="392"/>
      <c r="V10" s="392" t="str">
        <f>O10</f>
        <v>Kroatië</v>
      </c>
      <c r="W10" s="392" t="s">
        <v>49</v>
      </c>
      <c r="Y10" s="109">
        <f t="shared" si="8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0</v>
      </c>
      <c r="AG10" s="108">
        <f t="shared" si="0"/>
        <v>0</v>
      </c>
      <c r="AH10" s="108">
        <f t="shared" si="1"/>
        <v>0</v>
      </c>
      <c r="AI10" s="108">
        <f t="shared" si="10"/>
        <v>0</v>
      </c>
      <c r="AJ10" s="108">
        <f t="shared" si="2"/>
        <v>0</v>
      </c>
      <c r="AK10" s="108">
        <f t="shared" si="3"/>
        <v>0</v>
      </c>
      <c r="AL10" s="108">
        <f t="shared" si="4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0</v>
      </c>
      <c r="H11" s="379" t="s">
        <v>9</v>
      </c>
      <c r="I11" s="442">
        <v>0</v>
      </c>
      <c r="J11" s="381">
        <f t="shared" si="5"/>
        <v>3</v>
      </c>
      <c r="K11" s="363">
        <f t="shared" si="6"/>
        <v>1</v>
      </c>
      <c r="L11" s="363">
        <f t="shared" si="7"/>
        <v>1</v>
      </c>
      <c r="O11" s="398" t="s">
        <v>11</v>
      </c>
      <c r="P11" s="399">
        <f>SUMIF($D$8:$D$55,$O11,$G$8:$G$55)+SUMIF($F$8:$F$55,$O11,$I$8:$I$55)</f>
        <v>2</v>
      </c>
      <c r="Q11" s="399">
        <f>SUMIF($D$8:$D$55,$O11,$I$8:$I$55)+SUMIF($F$8:$F$55,$O11,$G$8:$G$55)</f>
        <v>3</v>
      </c>
      <c r="R11" s="399">
        <f>P11-Q11</f>
        <v>-1</v>
      </c>
      <c r="S11" s="400">
        <f>SUMIF($D$8:$D$55,$O11,$K$8:$K$55)+SUMIF($F$8:$F$55,$O11,$L$8:$L$55)</f>
        <v>2</v>
      </c>
      <c r="T11" s="445" t="s">
        <v>47</v>
      </c>
      <c r="U11" s="392"/>
      <c r="V11" s="392" t="str">
        <f>O11</f>
        <v>Mexico</v>
      </c>
      <c r="W11" s="392" t="s">
        <v>47</v>
      </c>
      <c r="Y11" s="109">
        <f t="shared" si="8"/>
        <v>0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0</v>
      </c>
      <c r="AG11" s="108">
        <f t="shared" si="0"/>
        <v>0</v>
      </c>
      <c r="AH11" s="108">
        <f t="shared" si="1"/>
        <v>0</v>
      </c>
      <c r="AI11" s="108">
        <f t="shared" si="10"/>
        <v>0</v>
      </c>
      <c r="AJ11" s="108">
        <f t="shared" si="2"/>
        <v>0</v>
      </c>
      <c r="AK11" s="108">
        <f t="shared" si="3"/>
        <v>0</v>
      </c>
      <c r="AL11" s="108">
        <f t="shared" si="4"/>
        <v>0</v>
      </c>
      <c r="AM11" s="120">
        <f>AO11</f>
        <v>0</v>
      </c>
      <c r="AN11" s="117" t="s">
        <v>11</v>
      </c>
      <c r="AO11" s="115">
        <f>IF(Uitslag!T11="",0,IF(T11=Uitslag!T11,10,0))</f>
        <v>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1</v>
      </c>
      <c r="H12" s="367" t="s">
        <v>9</v>
      </c>
      <c r="I12" s="440">
        <v>0</v>
      </c>
      <c r="J12" s="369">
        <f t="shared" si="5"/>
        <v>1</v>
      </c>
      <c r="K12" s="363">
        <f t="shared" si="6"/>
        <v>3</v>
      </c>
      <c r="L12" s="363">
        <f t="shared" si="7"/>
        <v>0</v>
      </c>
      <c r="O12" s="401" t="s">
        <v>12</v>
      </c>
      <c r="P12" s="402">
        <f>SUMIF($D$8:$D$55,$O12,$G$8:$G$55)+SUMIF($F$8:$F$55,$O12,$I$8:$I$55)</f>
        <v>2</v>
      </c>
      <c r="Q12" s="402">
        <f>SUMIF($D$8:$D$55,$O12,$I$8:$I$55)+SUMIF($F$8:$F$55,$O12,$G$8:$G$55)</f>
        <v>3</v>
      </c>
      <c r="R12" s="402">
        <f>P12-Q12</f>
        <v>-1</v>
      </c>
      <c r="S12" s="403">
        <f>SUMIF($D$8:$D$55,$O12,$K$8:$K$55)+SUMIF($F$8:$F$55,$O12,$L$8:$L$55)</f>
        <v>2</v>
      </c>
      <c r="T12" s="446" t="s">
        <v>50</v>
      </c>
      <c r="U12" s="392"/>
      <c r="V12" s="392" t="str">
        <f>O12</f>
        <v>Kameroen</v>
      </c>
      <c r="W12" s="392" t="s">
        <v>50</v>
      </c>
      <c r="Y12" s="109">
        <f t="shared" si="8"/>
        <v>6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6</v>
      </c>
      <c r="AG12" s="108">
        <f t="shared" si="0"/>
        <v>0</v>
      </c>
      <c r="AH12" s="108">
        <f t="shared" si="1"/>
        <v>1</v>
      </c>
      <c r="AI12" s="108">
        <f t="shared" si="10"/>
        <v>0</v>
      </c>
      <c r="AJ12" s="108">
        <f t="shared" si="2"/>
        <v>5</v>
      </c>
      <c r="AK12" s="108">
        <f t="shared" si="3"/>
        <v>0</v>
      </c>
      <c r="AL12" s="108">
        <f t="shared" si="4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2</v>
      </c>
      <c r="H13" s="373" t="s">
        <v>9</v>
      </c>
      <c r="I13" s="441">
        <v>0</v>
      </c>
      <c r="J13" s="375">
        <f t="shared" si="5"/>
        <v>1</v>
      </c>
      <c r="K13" s="363">
        <f t="shared" si="6"/>
        <v>3</v>
      </c>
      <c r="L13" s="363">
        <f t="shared" si="7"/>
        <v>0</v>
      </c>
      <c r="O13" s="392"/>
      <c r="P13" s="393"/>
      <c r="Q13" s="393"/>
      <c r="R13" s="393"/>
      <c r="S13" s="393"/>
      <c r="T13" s="393"/>
      <c r="U13" s="392"/>
      <c r="V13" s="392"/>
      <c r="W13" s="392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0"/>
        <v>0</v>
      </c>
      <c r="AH13" s="108">
        <f t="shared" si="1"/>
        <v>0</v>
      </c>
      <c r="AI13" s="108">
        <f t="shared" si="10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392"/>
      <c r="AO13" s="393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1</v>
      </c>
      <c r="H14" s="373" t="s">
        <v>9</v>
      </c>
      <c r="I14" s="441">
        <v>2</v>
      </c>
      <c r="J14" s="375">
        <f t="shared" si="5"/>
        <v>2</v>
      </c>
      <c r="K14" s="363">
        <f t="shared" si="6"/>
        <v>0</v>
      </c>
      <c r="L14" s="363">
        <f t="shared" si="7"/>
        <v>3</v>
      </c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392"/>
      <c r="V14" s="392"/>
      <c r="W14" s="392"/>
      <c r="Y14" s="109">
        <f t="shared" si="8"/>
        <v>10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10</v>
      </c>
      <c r="AG14" s="108">
        <f t="shared" si="0"/>
        <v>1</v>
      </c>
      <c r="AH14" s="108">
        <f t="shared" si="1"/>
        <v>1</v>
      </c>
      <c r="AI14" s="108">
        <f t="shared" si="10"/>
        <v>10</v>
      </c>
      <c r="AJ14" s="108">
        <f t="shared" si="2"/>
        <v>0</v>
      </c>
      <c r="AK14" s="108">
        <f t="shared" si="3"/>
        <v>5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1</v>
      </c>
      <c r="H15" s="379" t="s">
        <v>9</v>
      </c>
      <c r="I15" s="442">
        <v>1</v>
      </c>
      <c r="J15" s="381">
        <f t="shared" si="5"/>
        <v>3</v>
      </c>
      <c r="K15" s="363">
        <f t="shared" si="6"/>
        <v>1</v>
      </c>
      <c r="L15" s="363">
        <f t="shared" si="7"/>
        <v>1</v>
      </c>
      <c r="O15" s="394" t="s">
        <v>13</v>
      </c>
      <c r="P15" s="395">
        <f>SUMIF($D$8:$D$55,$O15,$G$8:$G$55)+SUMIF($F$8:$F$55,$O15,$I$8:$I$55)</f>
        <v>6</v>
      </c>
      <c r="Q15" s="395">
        <f>SUMIF($D$8:$D$55,$O15,$I$8:$I$55)+SUMIF($F$8:$F$55,$O15,$G$8:$G$55)</f>
        <v>2</v>
      </c>
      <c r="R15" s="396">
        <f>P15-Q15</f>
        <v>4</v>
      </c>
      <c r="S15" s="397">
        <f>SUMIF($D$8:$D$55,$O15,$K$8:$K$55)+SUMIF($F$8:$F$55,$O15,$L$8:$L$55)</f>
        <v>9</v>
      </c>
      <c r="T15" s="444" t="s">
        <v>52</v>
      </c>
      <c r="U15" s="392"/>
      <c r="V15" s="392" t="str">
        <f>O15</f>
        <v>Spanje</v>
      </c>
      <c r="W15" s="392" t="s">
        <v>52</v>
      </c>
      <c r="Y15" s="109">
        <f t="shared" si="8"/>
        <v>1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1</v>
      </c>
      <c r="AG15" s="108">
        <f t="shared" si="0"/>
        <v>0</v>
      </c>
      <c r="AH15" s="108">
        <f t="shared" si="1"/>
        <v>1</v>
      </c>
      <c r="AI15" s="108">
        <f t="shared" si="10"/>
        <v>0</v>
      </c>
      <c r="AJ15" s="108">
        <f t="shared" si="2"/>
        <v>0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2</v>
      </c>
      <c r="H16" s="367" t="s">
        <v>9</v>
      </c>
      <c r="I16" s="440">
        <v>1</v>
      </c>
      <c r="J16" s="369">
        <f t="shared" si="5"/>
        <v>1</v>
      </c>
      <c r="K16" s="363">
        <f t="shared" si="6"/>
        <v>3</v>
      </c>
      <c r="L16" s="363">
        <f t="shared" si="7"/>
        <v>0</v>
      </c>
      <c r="O16" s="404" t="s">
        <v>14</v>
      </c>
      <c r="P16" s="399">
        <f>SUMIF($D$8:$D$55,$O16,$G$8:$G$55)+SUMIF($F$8:$F$55,$O16,$I$8:$I$55)</f>
        <v>6</v>
      </c>
      <c r="Q16" s="399">
        <f>SUMIF($D$8:$D$55,$O16,$I$8:$I$55)+SUMIF($F$8:$F$55,$O16,$G$8:$G$55)</f>
        <v>4</v>
      </c>
      <c r="R16" s="399">
        <f>P16-Q16</f>
        <v>2</v>
      </c>
      <c r="S16" s="400">
        <f>SUMIF($D$8:$D$55,$O16,$K$8:$K$55)+SUMIF($F$8:$F$55,$O16,$L$8:$L$55)</f>
        <v>6</v>
      </c>
      <c r="T16" s="445" t="s">
        <v>53</v>
      </c>
      <c r="U16" s="392"/>
      <c r="V16" s="392" t="str">
        <f>O16</f>
        <v>Nederland</v>
      </c>
      <c r="W16" s="392" t="s">
        <v>53</v>
      </c>
      <c r="Y16" s="109">
        <f t="shared" si="8"/>
        <v>10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10</v>
      </c>
      <c r="AG16" s="108">
        <f t="shared" si="0"/>
        <v>1</v>
      </c>
      <c r="AH16" s="108">
        <f t="shared" si="1"/>
        <v>1</v>
      </c>
      <c r="AI16" s="108">
        <f t="shared" si="10"/>
        <v>10</v>
      </c>
      <c r="AJ16" s="108">
        <f t="shared" si="2"/>
        <v>5</v>
      </c>
      <c r="AK16" s="108">
        <f t="shared" si="3"/>
        <v>0</v>
      </c>
      <c r="AL16" s="108">
        <f t="shared" si="4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2</v>
      </c>
      <c r="H17" s="373" t="s">
        <v>9</v>
      </c>
      <c r="I17" s="441">
        <v>0</v>
      </c>
      <c r="J17" s="375">
        <f t="shared" si="5"/>
        <v>1</v>
      </c>
      <c r="K17" s="363">
        <f t="shared" si="6"/>
        <v>3</v>
      </c>
      <c r="L17" s="363">
        <f t="shared" si="7"/>
        <v>0</v>
      </c>
      <c r="O17" s="398" t="s">
        <v>15</v>
      </c>
      <c r="P17" s="399">
        <f>SUMIF($D$8:$D$55,$O17,$G$8:$G$55)+SUMIF($F$8:$F$55,$O17,$I$8:$I$55)</f>
        <v>1</v>
      </c>
      <c r="Q17" s="399">
        <f>SUMIF($D$8:$D$55,$O17,$I$8:$I$55)+SUMIF($F$8:$F$55,$O17,$G$8:$G$55)</f>
        <v>4</v>
      </c>
      <c r="R17" s="399">
        <f>P17-Q17</f>
        <v>-3</v>
      </c>
      <c r="S17" s="400">
        <f>SUMIF($D$8:$D$55,$O17,$K$8:$K$55)+SUMIF($F$8:$F$55,$O17,$L$8:$L$55)</f>
        <v>1</v>
      </c>
      <c r="T17" s="445" t="s">
        <v>55</v>
      </c>
      <c r="U17" s="392"/>
      <c r="V17" s="392" t="str">
        <f>O17</f>
        <v>Chili</v>
      </c>
      <c r="W17" s="392" t="s">
        <v>54</v>
      </c>
      <c r="Y17" s="109">
        <f t="shared" si="8"/>
        <v>6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6</v>
      </c>
      <c r="AG17" s="108">
        <f t="shared" si="0"/>
        <v>0</v>
      </c>
      <c r="AH17" s="108">
        <f t="shared" si="1"/>
        <v>1</v>
      </c>
      <c r="AI17" s="108">
        <f t="shared" si="10"/>
        <v>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2</v>
      </c>
      <c r="H18" s="379" t="s">
        <v>9</v>
      </c>
      <c r="I18" s="442">
        <v>0</v>
      </c>
      <c r="J18" s="381">
        <f t="shared" si="5"/>
        <v>1</v>
      </c>
      <c r="K18" s="363">
        <f t="shared" si="6"/>
        <v>3</v>
      </c>
      <c r="L18" s="363">
        <f t="shared" si="7"/>
        <v>0</v>
      </c>
      <c r="O18" s="401" t="s">
        <v>16</v>
      </c>
      <c r="P18" s="402">
        <f>SUMIF($D$8:$D$55,$O18,$G$8:$G$55)+SUMIF($F$8:$F$55,$O18,$I$8:$I$55)</f>
        <v>2</v>
      </c>
      <c r="Q18" s="402">
        <f>SUMIF($D$8:$D$55,$O18,$I$8:$I$55)+SUMIF($F$8:$F$55,$O18,$G$8:$G$55)</f>
        <v>5</v>
      </c>
      <c r="R18" s="402">
        <f>P18-Q18</f>
        <v>-3</v>
      </c>
      <c r="S18" s="403">
        <f>SUMIF($D$8:$D$55,$O18,$K$8:$K$55)+SUMIF($F$8:$F$55,$O18,$L$8:$L$55)</f>
        <v>1</v>
      </c>
      <c r="T18" s="446" t="s">
        <v>54</v>
      </c>
      <c r="U18" s="392"/>
      <c r="V18" s="392" t="str">
        <f>O18</f>
        <v>Australië</v>
      </c>
      <c r="W18" s="392" t="s">
        <v>55</v>
      </c>
      <c r="Y18" s="109">
        <f t="shared" si="8"/>
        <v>6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6</v>
      </c>
      <c r="AG18" s="108">
        <f t="shared" si="0"/>
        <v>1</v>
      </c>
      <c r="AH18" s="108">
        <f t="shared" si="1"/>
        <v>0</v>
      </c>
      <c r="AI18" s="108">
        <f t="shared" si="10"/>
        <v>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0</v>
      </c>
      <c r="AN18" s="118" t="s">
        <v>16</v>
      </c>
      <c r="AO18" s="115">
        <f>IF(Uitslag!T18="",0,IF(T18=Uitslag!T18,10,0))</f>
        <v>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3</v>
      </c>
      <c r="H19" s="367" t="s">
        <v>9</v>
      </c>
      <c r="I19" s="440">
        <v>2</v>
      </c>
      <c r="J19" s="369">
        <f t="shared" si="5"/>
        <v>1</v>
      </c>
      <c r="K19" s="363">
        <f t="shared" si="6"/>
        <v>3</v>
      </c>
      <c r="L19" s="363">
        <f t="shared" si="7"/>
        <v>0</v>
      </c>
      <c r="O19" s="392"/>
      <c r="P19" s="393"/>
      <c r="Q19" s="393"/>
      <c r="R19" s="393"/>
      <c r="S19" s="393"/>
      <c r="T19" s="393"/>
      <c r="U19" s="392"/>
      <c r="V19" s="392"/>
      <c r="W19" s="392"/>
      <c r="Y19" s="109">
        <f t="shared" si="8"/>
        <v>5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5</v>
      </c>
      <c r="AG19" s="108">
        <f t="shared" si="0"/>
        <v>0</v>
      </c>
      <c r="AH19" s="108">
        <f t="shared" si="1"/>
        <v>0</v>
      </c>
      <c r="AI19" s="108">
        <f t="shared" si="10"/>
        <v>0</v>
      </c>
      <c r="AJ19" s="108">
        <f t="shared" si="2"/>
        <v>5</v>
      </c>
      <c r="AK19" s="108">
        <f t="shared" si="3"/>
        <v>0</v>
      </c>
      <c r="AL19" s="108">
        <f t="shared" si="4"/>
        <v>0</v>
      </c>
      <c r="AN19" s="392"/>
      <c r="AO19" s="393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0</v>
      </c>
      <c r="H20" s="373" t="s">
        <v>9</v>
      </c>
      <c r="I20" s="441">
        <v>2</v>
      </c>
      <c r="J20" s="375">
        <f t="shared" si="5"/>
        <v>2</v>
      </c>
      <c r="K20" s="363">
        <f t="shared" si="6"/>
        <v>0</v>
      </c>
      <c r="L20" s="363">
        <f t="shared" si="7"/>
        <v>3</v>
      </c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392"/>
      <c r="V20" s="392"/>
      <c r="W20" s="392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0"/>
        <v>1</v>
      </c>
      <c r="AH20" s="108">
        <f t="shared" si="1"/>
        <v>0</v>
      </c>
      <c r="AI20" s="108">
        <f t="shared" si="10"/>
        <v>0</v>
      </c>
      <c r="AJ20" s="108">
        <f t="shared" si="2"/>
        <v>0</v>
      </c>
      <c r="AK20" s="108">
        <f t="shared" si="3"/>
        <v>0</v>
      </c>
      <c r="AL20" s="108">
        <f t="shared" si="4"/>
        <v>0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0</v>
      </c>
      <c r="H21" s="379" t="s">
        <v>9</v>
      </c>
      <c r="I21" s="442">
        <v>1</v>
      </c>
      <c r="J21" s="381">
        <f t="shared" si="5"/>
        <v>2</v>
      </c>
      <c r="K21" s="363">
        <f t="shared" si="6"/>
        <v>0</v>
      </c>
      <c r="L21" s="363">
        <f t="shared" si="7"/>
        <v>3</v>
      </c>
      <c r="O21" s="394" t="s">
        <v>17</v>
      </c>
      <c r="P21" s="395">
        <f>SUMIF($D$8:$D$55,$O21,$G$8:$G$55)+SUMIF($F$8:$F$55,$O21,$I$8:$I$55)</f>
        <v>3</v>
      </c>
      <c r="Q21" s="395">
        <f>SUMIF($D$8:$D$55,$O21,$I$8:$I$55)+SUMIF($F$8:$F$55,$O21,$G$8:$G$55)</f>
        <v>3</v>
      </c>
      <c r="R21" s="396">
        <f>P21-Q21</f>
        <v>0</v>
      </c>
      <c r="S21" s="397">
        <f>SUMIF($D$8:$D$55,$O21,$K$8:$K$55)+SUMIF($F$8:$F$55,$O21,$L$8:$L$55)</f>
        <v>4</v>
      </c>
      <c r="T21" s="444" t="s">
        <v>58</v>
      </c>
      <c r="U21" s="392"/>
      <c r="V21" s="392" t="str">
        <f>O21</f>
        <v>Colombia</v>
      </c>
      <c r="W21" s="392" t="s">
        <v>57</v>
      </c>
      <c r="Y21" s="109">
        <f t="shared" si="8"/>
        <v>5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5</v>
      </c>
      <c r="AG21" s="108">
        <f t="shared" si="0"/>
        <v>0</v>
      </c>
      <c r="AH21" s="108">
        <f t="shared" si="1"/>
        <v>0</v>
      </c>
      <c r="AI21" s="108">
        <f t="shared" si="10"/>
        <v>0</v>
      </c>
      <c r="AJ21" s="108">
        <f t="shared" si="2"/>
        <v>0</v>
      </c>
      <c r="AK21" s="108">
        <f t="shared" si="3"/>
        <v>5</v>
      </c>
      <c r="AL21" s="108">
        <f t="shared" si="4"/>
        <v>0</v>
      </c>
      <c r="AM21" s="120">
        <f>AO21</f>
        <v>0</v>
      </c>
      <c r="AN21" s="116" t="s">
        <v>17</v>
      </c>
      <c r="AO21" s="115">
        <f>IF(Uitslag!T21="",0,IF(T21=Uitslag!T21,10,0))</f>
        <v>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3</v>
      </c>
      <c r="H22" s="367" t="s">
        <v>9</v>
      </c>
      <c r="I22" s="440">
        <v>1</v>
      </c>
      <c r="J22" s="369">
        <f t="shared" si="5"/>
        <v>1</v>
      </c>
      <c r="K22" s="363">
        <f t="shared" si="6"/>
        <v>3</v>
      </c>
      <c r="L22" s="363">
        <f t="shared" si="7"/>
        <v>0</v>
      </c>
      <c r="O22" s="398" t="s">
        <v>18</v>
      </c>
      <c r="P22" s="399">
        <f>SUMIF($D$8:$D$55,$O22,$G$8:$G$55)+SUMIF($F$8:$F$55,$O22,$I$8:$I$55)</f>
        <v>1</v>
      </c>
      <c r="Q22" s="399">
        <f>SUMIF($D$8:$D$55,$O22,$I$8:$I$55)+SUMIF($F$8:$F$55,$O22,$G$8:$G$55)</f>
        <v>4</v>
      </c>
      <c r="R22" s="399">
        <f>P22-Q22</f>
        <v>-3</v>
      </c>
      <c r="S22" s="400">
        <f>SUMIF($D$8:$D$55,$O22,$K$8:$K$55)+SUMIF($F$8:$F$55,$O22,$L$8:$L$55)</f>
        <v>1</v>
      </c>
      <c r="T22" s="445" t="s">
        <v>60</v>
      </c>
      <c r="U22" s="392"/>
      <c r="V22" s="392" t="str">
        <f>O22</f>
        <v>Griekenland</v>
      </c>
      <c r="W22" s="392" t="s">
        <v>58</v>
      </c>
      <c r="Y22" s="109">
        <f t="shared" si="8"/>
        <v>6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6</v>
      </c>
      <c r="AG22" s="108">
        <f t="shared" si="0"/>
        <v>0</v>
      </c>
      <c r="AH22" s="108">
        <f t="shared" si="1"/>
        <v>1</v>
      </c>
      <c r="AI22" s="108">
        <f t="shared" si="10"/>
        <v>0</v>
      </c>
      <c r="AJ22" s="108">
        <f t="shared" si="2"/>
        <v>5</v>
      </c>
      <c r="AK22" s="108">
        <f t="shared" si="3"/>
        <v>0</v>
      </c>
      <c r="AL22" s="108">
        <f t="shared" si="4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2</v>
      </c>
      <c r="H23" s="373" t="s">
        <v>9</v>
      </c>
      <c r="I23" s="441">
        <v>1</v>
      </c>
      <c r="J23" s="375">
        <f t="shared" si="5"/>
        <v>1</v>
      </c>
      <c r="K23" s="363">
        <f t="shared" si="6"/>
        <v>3</v>
      </c>
      <c r="L23" s="363">
        <f t="shared" si="7"/>
        <v>0</v>
      </c>
      <c r="O23" s="398" t="s">
        <v>23</v>
      </c>
      <c r="P23" s="399">
        <f>SUMIF($D$8:$D$55,$O23,$G$8:$G$55)+SUMIF($F$8:$F$55,$O23,$I$8:$I$55)</f>
        <v>5</v>
      </c>
      <c r="Q23" s="399">
        <f>SUMIF($D$8:$D$55,$O23,$I$8:$I$55)+SUMIF($F$8:$F$55,$O23,$G$8:$G$55)</f>
        <v>2</v>
      </c>
      <c r="R23" s="399">
        <f>P23-Q23</f>
        <v>3</v>
      </c>
      <c r="S23" s="400">
        <f>SUMIF($D$8:$D$55,$O23,$K$8:$K$55)+SUMIF($F$8:$F$55,$O23,$L$8:$L$55)</f>
        <v>7</v>
      </c>
      <c r="T23" s="445" t="s">
        <v>57</v>
      </c>
      <c r="U23" s="392"/>
      <c r="V23" s="392" t="str">
        <f>O23</f>
        <v>Ivoorkust</v>
      </c>
      <c r="W23" s="392" t="s">
        <v>59</v>
      </c>
      <c r="Y23" s="109">
        <f t="shared" si="8"/>
        <v>0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0</v>
      </c>
      <c r="AG23" s="108">
        <f t="shared" si="0"/>
        <v>0</v>
      </c>
      <c r="AH23" s="108">
        <f t="shared" si="1"/>
        <v>0</v>
      </c>
      <c r="AI23" s="108">
        <f t="shared" si="10"/>
        <v>0</v>
      </c>
      <c r="AJ23" s="108">
        <f t="shared" si="2"/>
        <v>0</v>
      </c>
      <c r="AK23" s="108">
        <f t="shared" si="3"/>
        <v>0</v>
      </c>
      <c r="AL23" s="108">
        <f t="shared" si="4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0</v>
      </c>
      <c r="H24" s="379" t="s">
        <v>9</v>
      </c>
      <c r="I24" s="442">
        <v>0</v>
      </c>
      <c r="J24" s="381">
        <f t="shared" si="5"/>
        <v>3</v>
      </c>
      <c r="K24" s="363">
        <f t="shared" si="6"/>
        <v>1</v>
      </c>
      <c r="L24" s="363">
        <f t="shared" si="7"/>
        <v>1</v>
      </c>
      <c r="O24" s="401" t="s">
        <v>24</v>
      </c>
      <c r="P24" s="402">
        <f>SUMIF($D$8:$D$55,$O24,$G$8:$G$55)+SUMIF($F$8:$F$55,$O24,$I$8:$I$55)</f>
        <v>3</v>
      </c>
      <c r="Q24" s="402">
        <f>SUMIF($D$8:$D$55,$O24,$I$8:$I$55)+SUMIF($F$8:$F$55,$O24,$G$8:$G$55)</f>
        <v>3</v>
      </c>
      <c r="R24" s="402">
        <f>P24-Q24</f>
        <v>0</v>
      </c>
      <c r="S24" s="403">
        <f>SUMIF($D$8:$D$55,$O24,$K$8:$K$55)+SUMIF($F$8:$F$55,$O24,$L$8:$L$55)</f>
        <v>3</v>
      </c>
      <c r="T24" s="446" t="s">
        <v>59</v>
      </c>
      <c r="U24" s="392"/>
      <c r="V24" s="392" t="str">
        <f>O24</f>
        <v>Japan</v>
      </c>
      <c r="W24" s="392" t="s">
        <v>60</v>
      </c>
      <c r="Y24" s="109">
        <f t="shared" si="8"/>
        <v>5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5</v>
      </c>
      <c r="AG24" s="108">
        <f t="shared" si="0"/>
        <v>0</v>
      </c>
      <c r="AH24" s="108">
        <f t="shared" si="1"/>
        <v>0</v>
      </c>
      <c r="AI24" s="108">
        <f t="shared" si="10"/>
        <v>0</v>
      </c>
      <c r="AJ24" s="108">
        <f t="shared" si="2"/>
        <v>0</v>
      </c>
      <c r="AK24" s="108">
        <f t="shared" si="3"/>
        <v>0</v>
      </c>
      <c r="AL24" s="108">
        <f t="shared" si="4"/>
        <v>5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1</v>
      </c>
      <c r="H25" s="367" t="s">
        <v>9</v>
      </c>
      <c r="I25" s="440">
        <v>3</v>
      </c>
      <c r="J25" s="369">
        <f t="shared" si="5"/>
        <v>2</v>
      </c>
      <c r="K25" s="363">
        <f t="shared" si="6"/>
        <v>0</v>
      </c>
      <c r="L25" s="363">
        <f t="shared" si="7"/>
        <v>3</v>
      </c>
      <c r="O25" s="392"/>
      <c r="P25" s="393"/>
      <c r="Q25" s="393"/>
      <c r="R25" s="393"/>
      <c r="S25" s="393"/>
      <c r="T25" s="393"/>
      <c r="U25" s="392"/>
      <c r="V25" s="392"/>
      <c r="W25" s="392"/>
      <c r="Y25" s="109">
        <f t="shared" si="8"/>
        <v>6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6</v>
      </c>
      <c r="AG25" s="108">
        <f t="shared" si="0"/>
        <v>0</v>
      </c>
      <c r="AH25" s="108">
        <f t="shared" si="1"/>
        <v>1</v>
      </c>
      <c r="AI25" s="108">
        <f t="shared" si="10"/>
        <v>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392"/>
      <c r="AO25" s="393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2</v>
      </c>
      <c r="H26" s="373" t="s">
        <v>9</v>
      </c>
      <c r="I26" s="441">
        <v>0</v>
      </c>
      <c r="J26" s="375">
        <f t="shared" si="5"/>
        <v>1</v>
      </c>
      <c r="K26" s="363">
        <f t="shared" si="6"/>
        <v>3</v>
      </c>
      <c r="L26" s="363">
        <f t="shared" si="7"/>
        <v>0</v>
      </c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392"/>
      <c r="V26" s="392"/>
      <c r="W26" s="392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0"/>
        <v>0</v>
      </c>
      <c r="AH26" s="108">
        <f t="shared" si="1"/>
        <v>0</v>
      </c>
      <c r="AI26" s="108">
        <f t="shared" si="10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0</v>
      </c>
      <c r="H27" s="379" t="s">
        <v>9</v>
      </c>
      <c r="I27" s="442">
        <v>0</v>
      </c>
      <c r="J27" s="381">
        <f t="shared" si="5"/>
        <v>3</v>
      </c>
      <c r="K27" s="363">
        <f t="shared" si="6"/>
        <v>1</v>
      </c>
      <c r="L27" s="363">
        <f t="shared" si="7"/>
        <v>1</v>
      </c>
      <c r="O27" s="394" t="s">
        <v>19</v>
      </c>
      <c r="P27" s="395">
        <f>SUMIF($D$8:$D$55,$O27,$G$8:$G$55)+SUMIF($F$8:$F$55,$O27,$I$8:$I$55)</f>
        <v>3</v>
      </c>
      <c r="Q27" s="395">
        <f>SUMIF($D$8:$D$55,$O27,$I$8:$I$55)+SUMIF($F$8:$F$55,$O27,$G$8:$G$55)</f>
        <v>3</v>
      </c>
      <c r="R27" s="396">
        <f>P27-Q27</f>
        <v>0</v>
      </c>
      <c r="S27" s="397">
        <f>SUMIF($D$8:$D$55,$O27,$K$8:$K$55)+SUMIF($F$8:$F$55,$O27,$L$8:$L$55)</f>
        <v>3</v>
      </c>
      <c r="T27" s="444" t="s">
        <v>64</v>
      </c>
      <c r="U27" s="392"/>
      <c r="V27" s="392" t="str">
        <f>O27</f>
        <v>Uruguay</v>
      </c>
      <c r="W27" s="392" t="s">
        <v>62</v>
      </c>
      <c r="Y27" s="109">
        <f t="shared" si="8"/>
        <v>1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1</v>
      </c>
      <c r="AG27" s="108">
        <f t="shared" si="0"/>
        <v>1</v>
      </c>
      <c r="AH27" s="108">
        <f t="shared" si="1"/>
        <v>0</v>
      </c>
      <c r="AI27" s="108">
        <f t="shared" si="10"/>
        <v>0</v>
      </c>
      <c r="AJ27" s="108">
        <f t="shared" si="2"/>
        <v>0</v>
      </c>
      <c r="AK27" s="108">
        <f t="shared" si="3"/>
        <v>0</v>
      </c>
      <c r="AL27" s="108">
        <f t="shared" si="4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1</v>
      </c>
      <c r="H28" s="367" t="s">
        <v>9</v>
      </c>
      <c r="I28" s="440">
        <v>2</v>
      </c>
      <c r="J28" s="369">
        <f t="shared" si="5"/>
        <v>2</v>
      </c>
      <c r="K28" s="363">
        <f t="shared" si="6"/>
        <v>0</v>
      </c>
      <c r="L28" s="363">
        <f t="shared" si="7"/>
        <v>3</v>
      </c>
      <c r="O28" s="398" t="s">
        <v>20</v>
      </c>
      <c r="P28" s="399">
        <f>SUMIF($D$8:$D$55,$O28,$G$8:$G$55)+SUMIF($F$8:$F$55,$O28,$I$8:$I$55)</f>
        <v>0</v>
      </c>
      <c r="Q28" s="399">
        <f>SUMIF($D$8:$D$55,$O28,$I$8:$I$55)+SUMIF($F$8:$F$55,$O28,$G$8:$G$55)</f>
        <v>5</v>
      </c>
      <c r="R28" s="399">
        <f>P28-Q28</f>
        <v>-5</v>
      </c>
      <c r="S28" s="400">
        <f>SUMIF($D$8:$D$55,$O28,$K$8:$K$55)+SUMIF($F$8:$F$55,$O28,$L$8:$L$55)</f>
        <v>0</v>
      </c>
      <c r="T28" s="445" t="s">
        <v>65</v>
      </c>
      <c r="U28" s="392"/>
      <c r="V28" s="392" t="str">
        <f>O28</f>
        <v>Costa Rica</v>
      </c>
      <c r="W28" s="392" t="s">
        <v>63</v>
      </c>
      <c r="Y28" s="109">
        <f t="shared" si="8"/>
        <v>0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0</v>
      </c>
      <c r="AG28" s="108">
        <f t="shared" si="0"/>
        <v>0</v>
      </c>
      <c r="AH28" s="108">
        <f t="shared" si="1"/>
        <v>0</v>
      </c>
      <c r="AI28" s="108">
        <f t="shared" si="10"/>
        <v>0</v>
      </c>
      <c r="AJ28" s="108">
        <f t="shared" si="2"/>
        <v>0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1</v>
      </c>
      <c r="H29" s="373" t="s">
        <v>9</v>
      </c>
      <c r="I29" s="441">
        <v>2</v>
      </c>
      <c r="J29" s="375">
        <f t="shared" si="5"/>
        <v>2</v>
      </c>
      <c r="K29" s="363">
        <f t="shared" si="6"/>
        <v>0</v>
      </c>
      <c r="L29" s="363">
        <f t="shared" si="7"/>
        <v>3</v>
      </c>
      <c r="O29" s="398" t="s">
        <v>21</v>
      </c>
      <c r="P29" s="399">
        <f>SUMIF($D$8:$D$55,$O29,$G$8:$G$55)+SUMIF($F$8:$F$55,$O29,$I$8:$I$55)</f>
        <v>4</v>
      </c>
      <c r="Q29" s="399">
        <f>SUMIF($D$8:$D$55,$O29,$I$8:$I$55)+SUMIF($F$8:$F$55,$O29,$G$8:$G$55)</f>
        <v>3</v>
      </c>
      <c r="R29" s="399">
        <f>P29-Q29</f>
        <v>1</v>
      </c>
      <c r="S29" s="400">
        <f>SUMIF($D$8:$D$55,$O29,$K$8:$K$55)+SUMIF($F$8:$F$55,$O29,$L$8:$L$55)</f>
        <v>6</v>
      </c>
      <c r="T29" s="445" t="s">
        <v>63</v>
      </c>
      <c r="U29" s="392"/>
      <c r="V29" s="392" t="str">
        <f>O29</f>
        <v>Engeland</v>
      </c>
      <c r="W29" s="392" t="s">
        <v>64</v>
      </c>
      <c r="Y29" s="109">
        <f t="shared" si="8"/>
        <v>0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0</v>
      </c>
      <c r="AG29" s="108">
        <f t="shared" si="0"/>
        <v>0</v>
      </c>
      <c r="AH29" s="108">
        <f t="shared" si="1"/>
        <v>0</v>
      </c>
      <c r="AI29" s="108">
        <f t="shared" si="10"/>
        <v>0</v>
      </c>
      <c r="AJ29" s="108">
        <f t="shared" si="2"/>
        <v>0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1</v>
      </c>
      <c r="H30" s="379" t="s">
        <v>9</v>
      </c>
      <c r="I30" s="442">
        <v>1</v>
      </c>
      <c r="J30" s="381">
        <f t="shared" si="5"/>
        <v>3</v>
      </c>
      <c r="K30" s="363">
        <f t="shared" si="6"/>
        <v>1</v>
      </c>
      <c r="L30" s="363">
        <f t="shared" si="7"/>
        <v>1</v>
      </c>
      <c r="O30" s="401" t="s">
        <v>22</v>
      </c>
      <c r="P30" s="402">
        <f>SUMIF($D$8:$D$55,$O30,$G$8:$G$55)+SUMIF($F$8:$F$55,$O30,$I$8:$I$55)</f>
        <v>5</v>
      </c>
      <c r="Q30" s="402">
        <f>SUMIF($D$8:$D$55,$O30,$I$8:$I$55)+SUMIF($F$8:$F$55,$O30,$G$8:$G$55)</f>
        <v>1</v>
      </c>
      <c r="R30" s="402">
        <f>P30-Q30</f>
        <v>4</v>
      </c>
      <c r="S30" s="403">
        <f>SUMIF($D$8:$D$55,$O30,$K$8:$K$55)+SUMIF($F$8:$F$55,$O30,$L$8:$L$55)</f>
        <v>9</v>
      </c>
      <c r="T30" s="446" t="s">
        <v>62</v>
      </c>
      <c r="U30" s="392"/>
      <c r="V30" s="392" t="str">
        <f>O30</f>
        <v>Italië</v>
      </c>
      <c r="W30" s="392" t="s">
        <v>65</v>
      </c>
      <c r="Y30" s="109">
        <f t="shared" si="8"/>
        <v>5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5</v>
      </c>
      <c r="AG30" s="108">
        <f t="shared" si="0"/>
        <v>0</v>
      </c>
      <c r="AH30" s="108">
        <f t="shared" si="1"/>
        <v>0</v>
      </c>
      <c r="AI30" s="108">
        <f t="shared" si="10"/>
        <v>0</v>
      </c>
      <c r="AJ30" s="108">
        <f t="shared" si="2"/>
        <v>0</v>
      </c>
      <c r="AK30" s="108">
        <f t="shared" si="3"/>
        <v>0</v>
      </c>
      <c r="AL30" s="108">
        <f t="shared" si="4"/>
        <v>5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2</v>
      </c>
      <c r="H31" s="367" t="s">
        <v>9</v>
      </c>
      <c r="I31" s="440">
        <v>0</v>
      </c>
      <c r="J31" s="369">
        <f t="shared" si="5"/>
        <v>1</v>
      </c>
      <c r="K31" s="363">
        <f t="shared" si="6"/>
        <v>3</v>
      </c>
      <c r="L31" s="363">
        <f t="shared" si="7"/>
        <v>0</v>
      </c>
      <c r="O31" s="392"/>
      <c r="P31" s="393"/>
      <c r="Q31" s="393"/>
      <c r="R31" s="393"/>
      <c r="S31" s="393"/>
      <c r="T31" s="393"/>
      <c r="U31" s="392"/>
      <c r="V31" s="392"/>
      <c r="W31" s="392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0"/>
        <v>0</v>
      </c>
      <c r="AH31" s="108">
        <f t="shared" si="1"/>
        <v>0</v>
      </c>
      <c r="AI31" s="108">
        <f t="shared" si="10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392"/>
      <c r="AO31" s="393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1</v>
      </c>
      <c r="H32" s="373" t="s">
        <v>9</v>
      </c>
      <c r="I32" s="441">
        <v>1</v>
      </c>
      <c r="J32" s="375">
        <f t="shared" si="5"/>
        <v>3</v>
      </c>
      <c r="K32" s="363">
        <f t="shared" si="6"/>
        <v>1</v>
      </c>
      <c r="L32" s="363">
        <f t="shared" si="7"/>
        <v>1</v>
      </c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392"/>
      <c r="V32" s="392"/>
      <c r="W32" s="392"/>
      <c r="Y32" s="109">
        <f t="shared" si="8"/>
        <v>0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0</v>
      </c>
      <c r="AG32" s="108">
        <f t="shared" si="0"/>
        <v>0</v>
      </c>
      <c r="AH32" s="108">
        <f t="shared" si="1"/>
        <v>0</v>
      </c>
      <c r="AI32" s="108">
        <f t="shared" si="10"/>
        <v>0</v>
      </c>
      <c r="AJ32" s="108">
        <f t="shared" si="2"/>
        <v>0</v>
      </c>
      <c r="AK32" s="108">
        <f t="shared" si="3"/>
        <v>0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1</v>
      </c>
      <c r="H33" s="379" t="s">
        <v>9</v>
      </c>
      <c r="I33" s="442">
        <v>1</v>
      </c>
      <c r="J33" s="381">
        <f t="shared" si="5"/>
        <v>3</v>
      </c>
      <c r="K33" s="363">
        <f t="shared" si="6"/>
        <v>1</v>
      </c>
      <c r="L33" s="363">
        <f t="shared" si="7"/>
        <v>1</v>
      </c>
      <c r="O33" s="394" t="s">
        <v>25</v>
      </c>
      <c r="P33" s="395">
        <f>SUMIF($D$8:$D$55,$O33,$G$8:$G$55)+SUMIF($F$8:$F$55,$O33,$I$8:$I$55)</f>
        <v>5</v>
      </c>
      <c r="Q33" s="395">
        <f>SUMIF($D$8:$D$55,$O33,$I$8:$I$55)+SUMIF($F$8:$F$55,$O33,$G$8:$G$55)</f>
        <v>2</v>
      </c>
      <c r="R33" s="396">
        <f>P33-Q33</f>
        <v>3</v>
      </c>
      <c r="S33" s="397">
        <f>SUMIF($D$8:$D$55,$O33,$K$8:$K$55)+SUMIF($F$8:$F$55,$O33,$L$8:$L$55)</f>
        <v>7</v>
      </c>
      <c r="T33" s="444" t="s">
        <v>67</v>
      </c>
      <c r="U33" s="392"/>
      <c r="V33" s="392" t="str">
        <f>O33</f>
        <v>Zwitserland</v>
      </c>
      <c r="W33" s="392" t="s">
        <v>67</v>
      </c>
      <c r="Y33" s="109">
        <f t="shared" si="8"/>
        <v>1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1</v>
      </c>
      <c r="AG33" s="108">
        <f t="shared" si="0"/>
        <v>1</v>
      </c>
      <c r="AH33" s="108">
        <f t="shared" si="1"/>
        <v>0</v>
      </c>
      <c r="AI33" s="108">
        <f t="shared" si="10"/>
        <v>0</v>
      </c>
      <c r="AJ33" s="108">
        <f t="shared" si="2"/>
        <v>0</v>
      </c>
      <c r="AK33" s="108">
        <f t="shared" si="3"/>
        <v>0</v>
      </c>
      <c r="AL33" s="108">
        <f t="shared" si="4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3</v>
      </c>
      <c r="H34" s="367" t="s">
        <v>9</v>
      </c>
      <c r="I34" s="440">
        <v>0</v>
      </c>
      <c r="J34" s="369">
        <f t="shared" si="5"/>
        <v>1</v>
      </c>
      <c r="K34" s="363">
        <f t="shared" si="6"/>
        <v>3</v>
      </c>
      <c r="L34" s="363">
        <f t="shared" si="7"/>
        <v>0</v>
      </c>
      <c r="O34" s="398" t="s">
        <v>26</v>
      </c>
      <c r="P34" s="399">
        <f>SUMIF($D$8:$D$55,$O34,$G$8:$G$55)+SUMIF($F$8:$F$55,$O34,$I$8:$I$55)</f>
        <v>3</v>
      </c>
      <c r="Q34" s="399">
        <f>SUMIF($D$8:$D$55,$O34,$I$8:$I$55)+SUMIF($F$8:$F$55,$O34,$G$8:$G$55)</f>
        <v>5</v>
      </c>
      <c r="R34" s="399">
        <f>P34-Q34</f>
        <v>-2</v>
      </c>
      <c r="S34" s="400">
        <f>SUMIF($D$8:$D$55,$O34,$K$8:$K$55)+SUMIF($F$8:$F$55,$O34,$L$8:$L$55)</f>
        <v>1</v>
      </c>
      <c r="T34" s="445" t="s">
        <v>69</v>
      </c>
      <c r="U34" s="392"/>
      <c r="V34" s="392" t="str">
        <f>O34</f>
        <v>Ecuador</v>
      </c>
      <c r="W34" s="392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0"/>
        <v>0</v>
      </c>
      <c r="AH34" s="108">
        <f t="shared" si="1"/>
        <v>1</v>
      </c>
      <c r="AI34" s="108">
        <f t="shared" si="10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10</v>
      </c>
      <c r="AN34" s="117" t="s">
        <v>26</v>
      </c>
      <c r="AO34" s="115">
        <f>IF(Uitslag!T34="",0,IF(T34=Uitslag!T34,10,0))</f>
        <v>10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2</v>
      </c>
      <c r="H35" s="373" t="s">
        <v>9</v>
      </c>
      <c r="I35" s="441">
        <v>0</v>
      </c>
      <c r="J35" s="375">
        <f t="shared" si="5"/>
        <v>1</v>
      </c>
      <c r="K35" s="363">
        <f t="shared" si="6"/>
        <v>3</v>
      </c>
      <c r="L35" s="363">
        <f t="shared" si="7"/>
        <v>0</v>
      </c>
      <c r="O35" s="398" t="s">
        <v>27</v>
      </c>
      <c r="P35" s="399">
        <f>SUMIF($D$8:$D$55,$O35,$G$8:$G$55)+SUMIF($F$8:$F$55,$O35,$I$8:$I$55)</f>
        <v>5</v>
      </c>
      <c r="Q35" s="399">
        <f>SUMIF($D$8:$D$55,$O35,$I$8:$I$55)+SUMIF($F$8:$F$55,$O35,$G$8:$G$55)</f>
        <v>2</v>
      </c>
      <c r="R35" s="399">
        <f>P35-Q35</f>
        <v>3</v>
      </c>
      <c r="S35" s="400">
        <f>SUMIF($D$8:$D$55,$O35,$K$8:$K$55)+SUMIF($F$8:$F$55,$O35,$L$8:$L$55)</f>
        <v>7</v>
      </c>
      <c r="T35" s="445" t="s">
        <v>68</v>
      </c>
      <c r="U35" s="392"/>
      <c r="V35" s="392" t="str">
        <f>O35</f>
        <v>Frankrijk</v>
      </c>
      <c r="W35" s="392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0"/>
        <v>1</v>
      </c>
      <c r="AH35" s="108">
        <f t="shared" si="1"/>
        <v>0</v>
      </c>
      <c r="AI35" s="108">
        <f t="shared" si="10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0</v>
      </c>
      <c r="AN35" s="117" t="s">
        <v>27</v>
      </c>
      <c r="AO35" s="115">
        <f>IF(Uitslag!T35="",0,IF(T35=Uitslag!T35,10,0))</f>
        <v>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1</v>
      </c>
      <c r="H36" s="379" t="s">
        <v>9</v>
      </c>
      <c r="I36" s="442">
        <v>0</v>
      </c>
      <c r="J36" s="381">
        <f t="shared" si="5"/>
        <v>1</v>
      </c>
      <c r="K36" s="363">
        <f t="shared" si="6"/>
        <v>3</v>
      </c>
      <c r="L36" s="363">
        <f t="shared" si="7"/>
        <v>0</v>
      </c>
      <c r="O36" s="401" t="s">
        <v>28</v>
      </c>
      <c r="P36" s="402">
        <f>SUMIF($D$8:$D$55,$O36,$G$8:$G$55)+SUMIF($F$8:$F$55,$O36,$I$8:$I$55)</f>
        <v>1</v>
      </c>
      <c r="Q36" s="402">
        <f>SUMIF($D$8:$D$55,$O36,$I$8:$I$55)+SUMIF($F$8:$F$55,$O36,$G$8:$G$55)</f>
        <v>5</v>
      </c>
      <c r="R36" s="402">
        <f>P36-Q36</f>
        <v>-4</v>
      </c>
      <c r="S36" s="403">
        <f>SUMIF($D$8:$D$55,$O36,$K$8:$K$55)+SUMIF($F$8:$F$55,$O36,$L$8:$L$55)</f>
        <v>1</v>
      </c>
      <c r="T36" s="446" t="s">
        <v>70</v>
      </c>
      <c r="U36" s="392"/>
      <c r="V36" s="392" t="str">
        <f>O36</f>
        <v>Honduras</v>
      </c>
      <c r="W36" s="392" t="s">
        <v>70</v>
      </c>
      <c r="Y36" s="109">
        <f t="shared" si="8"/>
        <v>10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10</v>
      </c>
      <c r="AG36" s="108">
        <f t="shared" si="0"/>
        <v>1</v>
      </c>
      <c r="AH36" s="108">
        <f t="shared" si="1"/>
        <v>1</v>
      </c>
      <c r="AI36" s="108">
        <f t="shared" si="10"/>
        <v>10</v>
      </c>
      <c r="AJ36" s="108">
        <f t="shared" si="2"/>
        <v>5</v>
      </c>
      <c r="AK36" s="108">
        <f t="shared" si="3"/>
        <v>0</v>
      </c>
      <c r="AL36" s="108">
        <f t="shared" si="4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1</v>
      </c>
      <c r="H37" s="367" t="s">
        <v>9</v>
      </c>
      <c r="I37" s="440">
        <v>1</v>
      </c>
      <c r="J37" s="369">
        <f t="shared" si="5"/>
        <v>3</v>
      </c>
      <c r="K37" s="363">
        <f t="shared" si="6"/>
        <v>1</v>
      </c>
      <c r="L37" s="363">
        <f t="shared" si="7"/>
        <v>1</v>
      </c>
      <c r="O37" s="392"/>
      <c r="P37" s="393"/>
      <c r="Q37" s="393"/>
      <c r="R37" s="393"/>
      <c r="S37" s="393"/>
      <c r="T37" s="393"/>
      <c r="U37" s="392"/>
      <c r="V37" s="392"/>
      <c r="W37" s="392"/>
      <c r="Y37" s="109">
        <f t="shared" si="8"/>
        <v>1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1</v>
      </c>
      <c r="AG37" s="108">
        <f t="shared" si="0"/>
        <v>1</v>
      </c>
      <c r="AH37" s="108">
        <f t="shared" si="1"/>
        <v>0</v>
      </c>
      <c r="AI37" s="108">
        <f t="shared" si="10"/>
        <v>0</v>
      </c>
      <c r="AJ37" s="108">
        <f t="shared" si="2"/>
        <v>0</v>
      </c>
      <c r="AK37" s="108">
        <f t="shared" si="3"/>
        <v>0</v>
      </c>
      <c r="AL37" s="108">
        <f t="shared" si="4"/>
        <v>0</v>
      </c>
      <c r="AN37" s="392"/>
      <c r="AO37" s="393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1</v>
      </c>
      <c r="H38" s="373" t="s">
        <v>9</v>
      </c>
      <c r="I38" s="441">
        <v>0</v>
      </c>
      <c r="J38" s="375">
        <f t="shared" si="5"/>
        <v>1</v>
      </c>
      <c r="K38" s="363">
        <f t="shared" si="6"/>
        <v>3</v>
      </c>
      <c r="L38" s="363">
        <f t="shared" si="7"/>
        <v>0</v>
      </c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392"/>
      <c r="V38" s="392"/>
      <c r="W38" s="392"/>
      <c r="Y38" s="109">
        <f t="shared" si="8"/>
        <v>0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0</v>
      </c>
      <c r="AG38" s="108">
        <f t="shared" si="0"/>
        <v>0</v>
      </c>
      <c r="AH38" s="108">
        <f t="shared" si="1"/>
        <v>0</v>
      </c>
      <c r="AI38" s="108">
        <f t="shared" si="10"/>
        <v>0</v>
      </c>
      <c r="AJ38" s="108">
        <f t="shared" si="2"/>
        <v>0</v>
      </c>
      <c r="AK38" s="108">
        <f t="shared" si="3"/>
        <v>0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0</v>
      </c>
      <c r="H39" s="379" t="s">
        <v>9</v>
      </c>
      <c r="I39" s="442">
        <v>2</v>
      </c>
      <c r="J39" s="381">
        <f t="shared" si="5"/>
        <v>2</v>
      </c>
      <c r="K39" s="363">
        <f t="shared" si="6"/>
        <v>0</v>
      </c>
      <c r="L39" s="363">
        <f t="shared" si="7"/>
        <v>3</v>
      </c>
      <c r="O39" s="394" t="s">
        <v>29</v>
      </c>
      <c r="P39" s="395">
        <f>SUMIF($D$8:$D$55,$O39,$G$8:$G$55)+SUMIF($F$8:$F$55,$O39,$I$8:$I$55)</f>
        <v>8</v>
      </c>
      <c r="Q39" s="395">
        <f>SUMIF($D$8:$D$55,$O39,$I$8:$I$55)+SUMIF($F$8:$F$55,$O39,$G$8:$G$55)</f>
        <v>1</v>
      </c>
      <c r="R39" s="396">
        <f>P39-Q39</f>
        <v>7</v>
      </c>
      <c r="S39" s="397">
        <f>SUMIF($D$8:$D$55,$O39,$K$8:$K$55)+SUMIF($F$8:$F$55,$O39,$L$8:$L$55)</f>
        <v>9</v>
      </c>
      <c r="T39" s="444" t="s">
        <v>72</v>
      </c>
      <c r="U39" s="392"/>
      <c r="V39" s="392" t="str">
        <f>O39</f>
        <v>Argentinië</v>
      </c>
      <c r="W39" s="392" t="s">
        <v>72</v>
      </c>
      <c r="Y39" s="109">
        <f t="shared" si="8"/>
        <v>1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1</v>
      </c>
      <c r="AG39" s="108">
        <f t="shared" si="0"/>
        <v>0</v>
      </c>
      <c r="AH39" s="108">
        <f t="shared" si="1"/>
        <v>1</v>
      </c>
      <c r="AI39" s="108">
        <f t="shared" si="10"/>
        <v>0</v>
      </c>
      <c r="AJ39" s="108">
        <f t="shared" si="2"/>
        <v>0</v>
      </c>
      <c r="AK39" s="108">
        <f t="shared" si="3"/>
        <v>0</v>
      </c>
      <c r="AL39" s="108">
        <f t="shared" si="4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1</v>
      </c>
      <c r="H40" s="367" t="s">
        <v>9</v>
      </c>
      <c r="I40" s="440">
        <v>2</v>
      </c>
      <c r="J40" s="369">
        <f t="shared" si="5"/>
        <v>2</v>
      </c>
      <c r="K40" s="363">
        <f t="shared" si="6"/>
        <v>0</v>
      </c>
      <c r="L40" s="363">
        <f t="shared" si="7"/>
        <v>3</v>
      </c>
      <c r="O40" s="398" t="s">
        <v>30</v>
      </c>
      <c r="P40" s="399">
        <f>SUMIF($D$8:$D$55,$O40,$G$8:$G$55)+SUMIF($F$8:$F$55,$O40,$I$8:$I$55)</f>
        <v>1</v>
      </c>
      <c r="Q40" s="399">
        <f>SUMIF($D$8:$D$55,$O40,$I$8:$I$55)+SUMIF($F$8:$F$55,$O40,$G$8:$G$55)</f>
        <v>3</v>
      </c>
      <c r="R40" s="399">
        <f>P40-Q40</f>
        <v>-2</v>
      </c>
      <c r="S40" s="400">
        <f>SUMIF($D$8:$D$55,$O40,$K$8:$K$55)+SUMIF($F$8:$F$55,$O40,$L$8:$L$55)</f>
        <v>3</v>
      </c>
      <c r="T40" s="445" t="s">
        <v>74</v>
      </c>
      <c r="U40" s="392"/>
      <c r="V40" s="392" t="str">
        <f>O40</f>
        <v>Bosnië H.</v>
      </c>
      <c r="W40" s="392" t="s">
        <v>73</v>
      </c>
      <c r="Y40" s="109">
        <f t="shared" si="8"/>
        <v>5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5</v>
      </c>
      <c r="AG40" s="108">
        <f t="shared" si="0"/>
        <v>0</v>
      </c>
      <c r="AH40" s="108">
        <f t="shared" si="1"/>
        <v>0</v>
      </c>
      <c r="AI40" s="108">
        <f t="shared" si="10"/>
        <v>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2</v>
      </c>
      <c r="H41" s="373" t="s">
        <v>9</v>
      </c>
      <c r="I41" s="441">
        <v>1</v>
      </c>
      <c r="J41" s="375">
        <f t="shared" si="5"/>
        <v>1</v>
      </c>
      <c r="K41" s="363">
        <f t="shared" si="6"/>
        <v>3</v>
      </c>
      <c r="L41" s="363">
        <f t="shared" si="7"/>
        <v>0</v>
      </c>
      <c r="O41" s="398" t="s">
        <v>33</v>
      </c>
      <c r="P41" s="399">
        <f>SUMIF($D$8:$D$55,$O41,$G$8:$G$55)+SUMIF($F$8:$F$55,$O41,$I$8:$I$55)</f>
        <v>0</v>
      </c>
      <c r="Q41" s="399">
        <f>SUMIF($D$8:$D$55,$O41,$I$8:$I$55)+SUMIF($F$8:$F$55,$O41,$G$8:$G$55)</f>
        <v>6</v>
      </c>
      <c r="R41" s="399">
        <f>P41-Q41</f>
        <v>-6</v>
      </c>
      <c r="S41" s="400">
        <f>SUMIF($D$8:$D$55,$O41,$K$8:$K$55)+SUMIF($F$8:$F$55,$O41,$L$8:$L$55)</f>
        <v>0</v>
      </c>
      <c r="T41" s="445" t="s">
        <v>75</v>
      </c>
      <c r="U41" s="392"/>
      <c r="V41" s="392" t="str">
        <f>O41</f>
        <v>Iran</v>
      </c>
      <c r="W41" s="392" t="s">
        <v>74</v>
      </c>
      <c r="Y41" s="109">
        <f t="shared" si="8"/>
        <v>6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6</v>
      </c>
      <c r="AG41" s="108">
        <f t="shared" si="0"/>
        <v>1</v>
      </c>
      <c r="AH41" s="108">
        <f t="shared" si="1"/>
        <v>0</v>
      </c>
      <c r="AI41" s="108">
        <f t="shared" si="10"/>
        <v>0</v>
      </c>
      <c r="AJ41" s="108">
        <f t="shared" si="2"/>
        <v>5</v>
      </c>
      <c r="AK41" s="108">
        <f t="shared" si="3"/>
        <v>0</v>
      </c>
      <c r="AL41" s="108">
        <f t="shared" si="4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1</v>
      </c>
      <c r="H42" s="373" t="s">
        <v>9</v>
      </c>
      <c r="I42" s="441">
        <v>2</v>
      </c>
      <c r="J42" s="375">
        <f t="shared" si="5"/>
        <v>2</v>
      </c>
      <c r="K42" s="363">
        <f t="shared" si="6"/>
        <v>0</v>
      </c>
      <c r="L42" s="363">
        <f t="shared" si="7"/>
        <v>3</v>
      </c>
      <c r="O42" s="401" t="s">
        <v>34</v>
      </c>
      <c r="P42" s="402">
        <f>SUMIF($D$8:$D$55,$O42,$G$8:$G$55)+SUMIF($F$8:$F$55,$O42,$I$8:$I$55)</f>
        <v>4</v>
      </c>
      <c r="Q42" s="402">
        <f>SUMIF($D$8:$D$55,$O42,$I$8:$I$55)+SUMIF($F$8:$F$55,$O42,$G$8:$G$55)</f>
        <v>3</v>
      </c>
      <c r="R42" s="402">
        <f>P42-Q42</f>
        <v>1</v>
      </c>
      <c r="S42" s="403">
        <f>SUMIF($D$8:$D$55,$O42,$K$8:$K$55)+SUMIF($F$8:$F$55,$O42,$L$8:$L$55)</f>
        <v>6</v>
      </c>
      <c r="T42" s="446" t="s">
        <v>73</v>
      </c>
      <c r="U42" s="392"/>
      <c r="V42" s="392" t="str">
        <f>O42</f>
        <v>Nigeria</v>
      </c>
      <c r="W42" s="392" t="s">
        <v>75</v>
      </c>
      <c r="Y42" s="109">
        <f t="shared" si="8"/>
        <v>6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6</v>
      </c>
      <c r="AG42" s="108">
        <f t="shared" si="0"/>
        <v>1</v>
      </c>
      <c r="AH42" s="108">
        <f t="shared" si="1"/>
        <v>0</v>
      </c>
      <c r="AI42" s="108">
        <f t="shared" si="10"/>
        <v>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0</v>
      </c>
      <c r="H43" s="379" t="s">
        <v>9</v>
      </c>
      <c r="I43" s="442">
        <v>0</v>
      </c>
      <c r="J43" s="381">
        <f t="shared" si="5"/>
        <v>3</v>
      </c>
      <c r="K43" s="363">
        <f t="shared" si="6"/>
        <v>1</v>
      </c>
      <c r="L43" s="363">
        <f t="shared" si="7"/>
        <v>1</v>
      </c>
      <c r="O43" s="392"/>
      <c r="P43" s="393"/>
      <c r="Q43" s="393"/>
      <c r="R43" s="393"/>
      <c r="S43" s="393"/>
      <c r="T43" s="393"/>
      <c r="U43" s="392"/>
      <c r="V43" s="392"/>
      <c r="W43" s="392"/>
      <c r="Y43" s="109">
        <f t="shared" si="8"/>
        <v>0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0</v>
      </c>
      <c r="AG43" s="108">
        <f t="shared" si="0"/>
        <v>0</v>
      </c>
      <c r="AH43" s="108">
        <f t="shared" si="1"/>
        <v>0</v>
      </c>
      <c r="AI43" s="108">
        <f t="shared" si="10"/>
        <v>0</v>
      </c>
      <c r="AJ43" s="108">
        <f t="shared" si="2"/>
        <v>0</v>
      </c>
      <c r="AK43" s="108">
        <f t="shared" si="3"/>
        <v>0</v>
      </c>
      <c r="AL43" s="108">
        <f t="shared" si="4"/>
        <v>0</v>
      </c>
      <c r="AN43" s="392"/>
      <c r="AO43" s="393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1</v>
      </c>
      <c r="H44" s="367" t="s">
        <v>9</v>
      </c>
      <c r="I44" s="440">
        <v>0</v>
      </c>
      <c r="J44" s="369">
        <f t="shared" si="5"/>
        <v>1</v>
      </c>
      <c r="K44" s="363">
        <f t="shared" si="6"/>
        <v>3</v>
      </c>
      <c r="L44" s="363">
        <f t="shared" si="7"/>
        <v>0</v>
      </c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392"/>
      <c r="V44" s="392"/>
      <c r="W44" s="392"/>
      <c r="Y44" s="109">
        <f t="shared" si="8"/>
        <v>0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0</v>
      </c>
      <c r="AG44" s="108">
        <f t="shared" si="0"/>
        <v>0</v>
      </c>
      <c r="AH44" s="108">
        <f t="shared" si="1"/>
        <v>0</v>
      </c>
      <c r="AI44" s="108">
        <f t="shared" si="10"/>
        <v>0</v>
      </c>
      <c r="AJ44" s="108">
        <f t="shared" si="2"/>
        <v>0</v>
      </c>
      <c r="AK44" s="108">
        <f t="shared" si="3"/>
        <v>0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0</v>
      </c>
      <c r="H45" s="373" t="s">
        <v>9</v>
      </c>
      <c r="I45" s="441">
        <v>1</v>
      </c>
      <c r="J45" s="375">
        <f t="shared" si="5"/>
        <v>2</v>
      </c>
      <c r="K45" s="363">
        <f t="shared" si="6"/>
        <v>0</v>
      </c>
      <c r="L45" s="363">
        <f t="shared" si="7"/>
        <v>3</v>
      </c>
      <c r="O45" s="394" t="s">
        <v>31</v>
      </c>
      <c r="P45" s="395">
        <f>SUMIF($D$8:$D$55,$O45,$G$8:$G$55)+SUMIF($F$8:$F$55,$O45,$I$8:$I$55)</f>
        <v>7</v>
      </c>
      <c r="Q45" s="395">
        <f>SUMIF($D$8:$D$55,$O45,$I$8:$I$55)+SUMIF($F$8:$F$55,$O45,$G$8:$G$55)</f>
        <v>3</v>
      </c>
      <c r="R45" s="396">
        <f>P45-Q45</f>
        <v>4</v>
      </c>
      <c r="S45" s="397">
        <f>SUMIF($D$8:$D$55,$O45,$K$8:$K$55)+SUMIF($F$8:$F$55,$O45,$L$8:$L$55)</f>
        <v>9</v>
      </c>
      <c r="T45" s="444" t="s">
        <v>77</v>
      </c>
      <c r="U45" s="392"/>
      <c r="V45" s="392" t="str">
        <f>O45</f>
        <v>Duitsland</v>
      </c>
      <c r="W45" s="392" t="s">
        <v>77</v>
      </c>
      <c r="Y45" s="109">
        <f t="shared" si="8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1</v>
      </c>
      <c r="AG45" s="108">
        <f t="shared" si="0"/>
        <v>1</v>
      </c>
      <c r="AH45" s="108">
        <f t="shared" si="1"/>
        <v>0</v>
      </c>
      <c r="AI45" s="108">
        <f t="shared" si="10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1</v>
      </c>
      <c r="H46" s="373" t="s">
        <v>9</v>
      </c>
      <c r="I46" s="441">
        <v>1</v>
      </c>
      <c r="J46" s="375">
        <f t="shared" si="5"/>
        <v>3</v>
      </c>
      <c r="K46" s="363">
        <f t="shared" si="6"/>
        <v>1</v>
      </c>
      <c r="L46" s="363">
        <f t="shared" si="7"/>
        <v>1</v>
      </c>
      <c r="O46" s="398" t="s">
        <v>32</v>
      </c>
      <c r="P46" s="399">
        <f>SUMIF($D$8:$D$55,$O46,$G$8:$G$55)+SUMIF($F$8:$F$55,$O46,$I$8:$I$55)</f>
        <v>6</v>
      </c>
      <c r="Q46" s="399">
        <f>SUMIF($D$8:$D$55,$O46,$I$8:$I$55)+SUMIF($F$8:$F$55,$O46,$G$8:$G$55)</f>
        <v>3</v>
      </c>
      <c r="R46" s="399">
        <f>P46-Q46</f>
        <v>3</v>
      </c>
      <c r="S46" s="400">
        <f>SUMIF($D$8:$D$55,$O46,$K$8:$K$55)+SUMIF($F$8:$F$55,$O46,$L$8:$L$55)</f>
        <v>6</v>
      </c>
      <c r="T46" s="445" t="s">
        <v>78</v>
      </c>
      <c r="U46" s="392"/>
      <c r="V46" s="392" t="str">
        <f>O46</f>
        <v>Portugal</v>
      </c>
      <c r="W46" s="392" t="s">
        <v>78</v>
      </c>
      <c r="Y46" s="109">
        <f t="shared" si="8"/>
        <v>1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1</v>
      </c>
      <c r="AG46" s="108">
        <f t="shared" si="0"/>
        <v>1</v>
      </c>
      <c r="AH46" s="108">
        <f t="shared" si="1"/>
        <v>0</v>
      </c>
      <c r="AI46" s="108">
        <f t="shared" si="10"/>
        <v>0</v>
      </c>
      <c r="AJ46" s="108">
        <f t="shared" si="2"/>
        <v>0</v>
      </c>
      <c r="AK46" s="108">
        <f t="shared" si="3"/>
        <v>0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0</v>
      </c>
      <c r="H47" s="379" t="s">
        <v>9</v>
      </c>
      <c r="I47" s="442">
        <v>2</v>
      </c>
      <c r="J47" s="381">
        <f t="shared" si="5"/>
        <v>2</v>
      </c>
      <c r="K47" s="363">
        <f t="shared" si="6"/>
        <v>0</v>
      </c>
      <c r="L47" s="363">
        <f t="shared" si="7"/>
        <v>3</v>
      </c>
      <c r="O47" s="398" t="s">
        <v>35</v>
      </c>
      <c r="P47" s="399">
        <f>SUMIF($D$8:$D$55,$O47,$G$8:$G$55)+SUMIF($F$8:$F$55,$O47,$I$8:$I$55)</f>
        <v>0</v>
      </c>
      <c r="Q47" s="399">
        <f>SUMIF($D$8:$D$55,$O47,$I$8:$I$55)+SUMIF($F$8:$F$55,$O47,$G$8:$G$55)</f>
        <v>5</v>
      </c>
      <c r="R47" s="399">
        <f>P47-Q47</f>
        <v>-5</v>
      </c>
      <c r="S47" s="400">
        <f>SUMIF($D$8:$D$55,$O47,$K$8:$K$55)+SUMIF($F$8:$F$55,$O47,$L$8:$L$55)</f>
        <v>0</v>
      </c>
      <c r="T47" s="445" t="s">
        <v>80</v>
      </c>
      <c r="U47" s="392"/>
      <c r="V47" s="392" t="str">
        <f>O47</f>
        <v>Ghana</v>
      </c>
      <c r="W47" s="392" t="s">
        <v>79</v>
      </c>
      <c r="Y47" s="109">
        <f t="shared" si="8"/>
        <v>0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0</v>
      </c>
      <c r="AG47" s="108">
        <f t="shared" si="0"/>
        <v>0</v>
      </c>
      <c r="AH47" s="108">
        <f t="shared" si="1"/>
        <v>0</v>
      </c>
      <c r="AI47" s="108">
        <f t="shared" si="10"/>
        <v>0</v>
      </c>
      <c r="AJ47" s="108">
        <f t="shared" si="2"/>
        <v>0</v>
      </c>
      <c r="AK47" s="108">
        <f t="shared" si="3"/>
        <v>0</v>
      </c>
      <c r="AL47" s="108">
        <f t="shared" si="4"/>
        <v>0</v>
      </c>
      <c r="AM47" s="120">
        <f>AO47</f>
        <v>10</v>
      </c>
      <c r="AN47" s="117" t="s">
        <v>35</v>
      </c>
      <c r="AO47" s="115">
        <f>IF(Uitslag!T47="",0,IF(T47=Uitslag!T47,10,0))</f>
        <v>10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1</v>
      </c>
      <c r="H48" s="367" t="s">
        <v>9</v>
      </c>
      <c r="I48" s="440">
        <v>3</v>
      </c>
      <c r="J48" s="369">
        <f t="shared" si="5"/>
        <v>2</v>
      </c>
      <c r="K48" s="363">
        <f t="shared" si="6"/>
        <v>0</v>
      </c>
      <c r="L48" s="363">
        <f t="shared" si="7"/>
        <v>3</v>
      </c>
      <c r="O48" s="401" t="s">
        <v>36</v>
      </c>
      <c r="P48" s="402">
        <f>SUMIF($D$8:$D$55,$O48,$G$8:$G$55)+SUMIF($F$8:$F$55,$O48,$I$8:$I$55)</f>
        <v>2</v>
      </c>
      <c r="Q48" s="402">
        <f>SUMIF($D$8:$D$55,$O48,$I$8:$I$55)+SUMIF($F$8:$F$55,$O48,$G$8:$G$55)</f>
        <v>4</v>
      </c>
      <c r="R48" s="402">
        <f>P48-Q48</f>
        <v>-2</v>
      </c>
      <c r="S48" s="403">
        <f>SUMIF($D$8:$D$55,$O48,$K$8:$K$55)+SUMIF($F$8:$F$55,$O48,$L$8:$L$55)</f>
        <v>3</v>
      </c>
      <c r="T48" s="446" t="s">
        <v>79</v>
      </c>
      <c r="U48" s="392"/>
      <c r="V48" s="392" t="str">
        <f>O48</f>
        <v>Verenigde Staten</v>
      </c>
      <c r="W48" s="392" t="s">
        <v>80</v>
      </c>
      <c r="Y48" s="109">
        <f t="shared" si="8"/>
        <v>6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6</v>
      </c>
      <c r="AG48" s="108">
        <f t="shared" si="0"/>
        <v>0</v>
      </c>
      <c r="AH48" s="108">
        <f t="shared" si="1"/>
        <v>1</v>
      </c>
      <c r="AI48" s="108">
        <f t="shared" si="10"/>
        <v>0</v>
      </c>
      <c r="AJ48" s="108">
        <f t="shared" si="2"/>
        <v>0</v>
      </c>
      <c r="AK48" s="108">
        <f t="shared" si="3"/>
        <v>5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1</v>
      </c>
      <c r="H49" s="373" t="s">
        <v>9</v>
      </c>
      <c r="I49" s="441">
        <v>0</v>
      </c>
      <c r="J49" s="375">
        <f t="shared" si="5"/>
        <v>1</v>
      </c>
      <c r="K49" s="363">
        <f t="shared" si="6"/>
        <v>3</v>
      </c>
      <c r="L49" s="363">
        <f t="shared" si="7"/>
        <v>0</v>
      </c>
      <c r="O49" s="392"/>
      <c r="P49" s="393"/>
      <c r="Q49" s="393"/>
      <c r="R49" s="393"/>
      <c r="S49" s="393"/>
      <c r="T49" s="393"/>
      <c r="U49" s="392"/>
      <c r="V49" s="392"/>
      <c r="W49" s="392"/>
      <c r="Y49" s="109">
        <f t="shared" si="8"/>
        <v>5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5</v>
      </c>
      <c r="AG49" s="108">
        <f t="shared" si="0"/>
        <v>0</v>
      </c>
      <c r="AH49" s="108">
        <f t="shared" si="1"/>
        <v>0</v>
      </c>
      <c r="AI49" s="108">
        <f t="shared" si="10"/>
        <v>0</v>
      </c>
      <c r="AJ49" s="108">
        <f t="shared" si="2"/>
        <v>5</v>
      </c>
      <c r="AK49" s="108">
        <f t="shared" si="3"/>
        <v>0</v>
      </c>
      <c r="AL49" s="108">
        <f t="shared" si="4"/>
        <v>0</v>
      </c>
      <c r="AN49" s="392"/>
      <c r="AO49" s="393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0</v>
      </c>
      <c r="H50" s="373" t="s">
        <v>9</v>
      </c>
      <c r="I50" s="441">
        <v>2</v>
      </c>
      <c r="J50" s="375">
        <f t="shared" si="5"/>
        <v>2</v>
      </c>
      <c r="K50" s="363">
        <f t="shared" si="6"/>
        <v>0</v>
      </c>
      <c r="L50" s="363">
        <f t="shared" si="7"/>
        <v>3</v>
      </c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392"/>
      <c r="V50" s="392"/>
      <c r="W50" s="392"/>
      <c r="Y50" s="109">
        <f t="shared" si="8"/>
        <v>6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6</v>
      </c>
      <c r="AG50" s="108">
        <f t="shared" si="0"/>
        <v>1</v>
      </c>
      <c r="AH50" s="108">
        <f t="shared" si="1"/>
        <v>0</v>
      </c>
      <c r="AI50" s="108">
        <f t="shared" si="10"/>
        <v>0</v>
      </c>
      <c r="AJ50" s="108">
        <f t="shared" si="2"/>
        <v>0</v>
      </c>
      <c r="AK50" s="108">
        <f t="shared" si="3"/>
        <v>5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1</v>
      </c>
      <c r="H51" s="379" t="s">
        <v>9</v>
      </c>
      <c r="I51" s="442">
        <v>2</v>
      </c>
      <c r="J51" s="381">
        <f t="shared" si="5"/>
        <v>2</v>
      </c>
      <c r="K51" s="363">
        <f t="shared" si="6"/>
        <v>0</v>
      </c>
      <c r="L51" s="363">
        <f>IF(I51="","",IF($G51&lt;$I51,3,IF($G51=$I51,1,0)))</f>
        <v>3</v>
      </c>
      <c r="O51" s="394" t="s">
        <v>37</v>
      </c>
      <c r="P51" s="395">
        <f>SUMIF($D$8:$D$55,$O51,$G$8:$G$55)+SUMIF($F$8:$F$55,$O51,$I$8:$I$55)</f>
        <v>5</v>
      </c>
      <c r="Q51" s="395">
        <f>SUMIF($D$8:$D$55,$O51,$I$8:$I$55)+SUMIF($F$8:$F$55,$O51,$G$8:$G$55)</f>
        <v>3</v>
      </c>
      <c r="R51" s="396">
        <f>P51-Q51</f>
        <v>2</v>
      </c>
      <c r="S51" s="397">
        <f>SUMIF($D$8:$D$55,$O51,$K$8:$K$55)+SUMIF($F$8:$F$55,$O51,$L$8:$L$55)</f>
        <v>5</v>
      </c>
      <c r="T51" s="444" t="s">
        <v>82</v>
      </c>
      <c r="U51" s="392"/>
      <c r="V51" s="392" t="str">
        <f>O51</f>
        <v>België</v>
      </c>
      <c r="W51" s="392" t="s">
        <v>82</v>
      </c>
      <c r="Y51" s="109">
        <f t="shared" si="8"/>
        <v>0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0</v>
      </c>
      <c r="AG51" s="108">
        <f t="shared" si="0"/>
        <v>0</v>
      </c>
      <c r="AH51" s="108">
        <f t="shared" si="1"/>
        <v>0</v>
      </c>
      <c r="AI51" s="108">
        <f t="shared" si="10"/>
        <v>0</v>
      </c>
      <c r="AJ51" s="108">
        <f t="shared" si="2"/>
        <v>0</v>
      </c>
      <c r="AK51" s="108">
        <f t="shared" si="3"/>
        <v>0</v>
      </c>
      <c r="AL51" s="108">
        <f t="shared" si="4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1</v>
      </c>
      <c r="H52" s="373" t="s">
        <v>9</v>
      </c>
      <c r="I52" s="441">
        <v>2</v>
      </c>
      <c r="J52" s="369">
        <f t="shared" si="5"/>
        <v>2</v>
      </c>
      <c r="K52" s="363">
        <f t="shared" si="6"/>
        <v>0</v>
      </c>
      <c r="L52" s="363">
        <f t="shared" si="7"/>
        <v>3</v>
      </c>
      <c r="O52" s="398" t="s">
        <v>38</v>
      </c>
      <c r="P52" s="399">
        <f>SUMIF($D$8:$D$55,$O52,$G$8:$G$55)+SUMIF($F$8:$F$55,$O52,$I$8:$I$55)</f>
        <v>1</v>
      </c>
      <c r="Q52" s="399">
        <f>SUMIF($D$8:$D$55,$O52,$I$8:$I$55)+SUMIF($F$8:$F$55,$O52,$G$8:$G$55)</f>
        <v>5</v>
      </c>
      <c r="R52" s="399">
        <f>P52-Q52</f>
        <v>-4</v>
      </c>
      <c r="S52" s="400">
        <f>SUMIF($D$8:$D$55,$O52,$K$8:$K$55)+SUMIF($F$8:$F$55,$O52,$L$8:$L$55)</f>
        <v>0</v>
      </c>
      <c r="T52" s="445" t="s">
        <v>85</v>
      </c>
      <c r="U52" s="392"/>
      <c r="V52" s="392" t="str">
        <f>O52</f>
        <v>Algerije</v>
      </c>
      <c r="W52" s="392" t="s">
        <v>83</v>
      </c>
      <c r="Y52" s="109">
        <f t="shared" si="8"/>
        <v>5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5</v>
      </c>
      <c r="AG52" s="108">
        <f t="shared" si="0"/>
        <v>0</v>
      </c>
      <c r="AH52" s="108">
        <f t="shared" si="1"/>
        <v>0</v>
      </c>
      <c r="AI52" s="108">
        <f t="shared" si="10"/>
        <v>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2</v>
      </c>
      <c r="H53" s="373" t="s">
        <v>9</v>
      </c>
      <c r="I53" s="441">
        <v>0</v>
      </c>
      <c r="J53" s="375">
        <f t="shared" si="5"/>
        <v>1</v>
      </c>
      <c r="K53" s="363">
        <f t="shared" si="6"/>
        <v>3</v>
      </c>
      <c r="L53" s="363">
        <f t="shared" si="7"/>
        <v>0</v>
      </c>
      <c r="O53" s="398" t="s">
        <v>39</v>
      </c>
      <c r="P53" s="399">
        <f>SUMIF($D$8:$D$55,$O53,$G$8:$G$55)+SUMIF($F$8:$F$55,$O53,$I$8:$I$55)</f>
        <v>2</v>
      </c>
      <c r="Q53" s="399">
        <f>SUMIF($D$8:$D$55,$O53,$I$8:$I$55)+SUMIF($F$8:$F$55,$O53,$G$8:$G$55)</f>
        <v>1</v>
      </c>
      <c r="R53" s="399">
        <f>P53-Q53</f>
        <v>1</v>
      </c>
      <c r="S53" s="400">
        <f>SUMIF($D$8:$D$55,$O53,$K$8:$K$55)+SUMIF($F$8:$F$55,$O53,$L$8:$L$55)</f>
        <v>5</v>
      </c>
      <c r="T53" s="445" t="s">
        <v>83</v>
      </c>
      <c r="U53" s="392"/>
      <c r="V53" s="392" t="str">
        <f>O53</f>
        <v>Rusland</v>
      </c>
      <c r="W53" s="392" t="s">
        <v>84</v>
      </c>
      <c r="Y53" s="109">
        <f t="shared" si="8"/>
        <v>6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6</v>
      </c>
      <c r="AG53" s="108">
        <f t="shared" si="0"/>
        <v>1</v>
      </c>
      <c r="AH53" s="108">
        <f t="shared" si="1"/>
        <v>0</v>
      </c>
      <c r="AI53" s="108">
        <f t="shared" si="10"/>
        <v>0</v>
      </c>
      <c r="AJ53" s="108">
        <f t="shared" si="2"/>
        <v>5</v>
      </c>
      <c r="AK53" s="108">
        <f t="shared" si="3"/>
        <v>0</v>
      </c>
      <c r="AL53" s="108">
        <f t="shared" si="4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1</v>
      </c>
      <c r="H54" s="373" t="s">
        <v>9</v>
      </c>
      <c r="I54" s="441">
        <v>1</v>
      </c>
      <c r="J54" s="375">
        <f t="shared" si="5"/>
        <v>3</v>
      </c>
      <c r="K54" s="363">
        <f t="shared" si="6"/>
        <v>1</v>
      </c>
      <c r="L54" s="363">
        <f t="shared" si="7"/>
        <v>1</v>
      </c>
      <c r="O54" s="401" t="s">
        <v>40</v>
      </c>
      <c r="P54" s="402">
        <f>SUMIF($D$8:$D$55,$O54,$G$8:$G$55)+SUMIF($F$8:$F$55,$O54,$I$8:$I$55)</f>
        <v>2</v>
      </c>
      <c r="Q54" s="402">
        <f>SUMIF($D$8:$D$55,$O54,$I$8:$I$55)+SUMIF($F$8:$F$55,$O54,$G$8:$G$55)</f>
        <v>1</v>
      </c>
      <c r="R54" s="402">
        <f>P54-Q54</f>
        <v>1</v>
      </c>
      <c r="S54" s="403">
        <f>SUMIF($D$8:$D$55,$O54,$K$8:$K$55)+SUMIF($F$8:$F$55,$O54,$L$8:$L$55)</f>
        <v>5</v>
      </c>
      <c r="T54" s="446" t="s">
        <v>84</v>
      </c>
      <c r="U54" s="392"/>
      <c r="V54" s="392" t="str">
        <f>O54</f>
        <v>Zuid Korea</v>
      </c>
      <c r="W54" s="392" t="s">
        <v>85</v>
      </c>
      <c r="Y54" s="109">
        <f t="shared" si="8"/>
        <v>1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1</v>
      </c>
      <c r="AG54" s="108">
        <f t="shared" si="0"/>
        <v>0</v>
      </c>
      <c r="AH54" s="108">
        <f t="shared" si="1"/>
        <v>1</v>
      </c>
      <c r="AI54" s="108">
        <f t="shared" si="10"/>
        <v>0</v>
      </c>
      <c r="AJ54" s="108">
        <f t="shared" si="2"/>
        <v>0</v>
      </c>
      <c r="AK54" s="108">
        <f t="shared" si="3"/>
        <v>0</v>
      </c>
      <c r="AL54" s="108">
        <f t="shared" si="4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0</v>
      </c>
      <c r="H55" s="388" t="s">
        <v>9</v>
      </c>
      <c r="I55" s="443">
        <v>1</v>
      </c>
      <c r="J55" s="390">
        <f t="shared" si="5"/>
        <v>2</v>
      </c>
      <c r="K55" s="363">
        <f t="shared" si="6"/>
        <v>0</v>
      </c>
      <c r="L55" s="363">
        <f t="shared" si="7"/>
        <v>3</v>
      </c>
      <c r="O55" s="392"/>
      <c r="P55" s="393"/>
      <c r="Q55" s="393"/>
      <c r="R55" s="393"/>
      <c r="S55" s="393"/>
      <c r="T55" s="393"/>
      <c r="U55" s="392"/>
      <c r="V55" s="392"/>
      <c r="W55" s="392"/>
      <c r="Y55" s="109">
        <f t="shared" si="8"/>
        <v>1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</v>
      </c>
      <c r="AG55" s="108">
        <f t="shared" si="0"/>
        <v>0</v>
      </c>
      <c r="AH55" s="108">
        <f t="shared" si="1"/>
        <v>1</v>
      </c>
      <c r="AI55" s="108">
        <f t="shared" si="10"/>
        <v>0</v>
      </c>
      <c r="AJ55" s="108">
        <f t="shared" si="2"/>
        <v>0</v>
      </c>
      <c r="AK55" s="108">
        <f t="shared" si="3"/>
        <v>0</v>
      </c>
      <c r="AL55" s="108">
        <f t="shared" si="4"/>
        <v>0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79"/>
      <c r="K57" s="353"/>
      <c r="L57" s="353"/>
      <c r="M57" s="353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77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O58" s="458">
        <v>1</v>
      </c>
      <c r="P58" s="877" t="s">
        <v>224</v>
      </c>
      <c r="Q58" s="877"/>
      <c r="R58" s="877"/>
      <c r="S58" s="877"/>
      <c r="T58" s="878"/>
      <c r="V58" s="352" t="s">
        <v>132</v>
      </c>
      <c r="W58" s="352" t="s">
        <v>124</v>
      </c>
      <c r="X58" s="352" t="str">
        <f t="shared" ref="X58:X98" si="11">CONCATENATE(W58," ",V58)</f>
        <v>Jeroen Zoet (k)</v>
      </c>
      <c r="Y58" s="113" t="s">
        <v>91</v>
      </c>
      <c r="Z58" s="352" t="str">
        <f>IF(K58=""," ",VLOOKUP(K58,$T$9:$V$54,3,FALSE))</f>
        <v xml:space="preserve"> </v>
      </c>
      <c r="AA58" s="352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>IF(ISERROR(Z59),K59,Z59)</f>
        <v>Brazilië</v>
      </c>
      <c r="E59" s="367" t="s">
        <v>9</v>
      </c>
      <c r="F59" s="406" t="str">
        <f>IF(ISERROR(AA59),L59,AA59)</f>
        <v>Nederland</v>
      </c>
      <c r="G59" s="435">
        <v>2</v>
      </c>
      <c r="H59" s="367" t="s">
        <v>9</v>
      </c>
      <c r="I59" s="447">
        <v>1</v>
      </c>
      <c r="J59" s="448">
        <v>1</v>
      </c>
      <c r="K59" s="407" t="s">
        <v>48</v>
      </c>
      <c r="L59" s="407" t="s">
        <v>53</v>
      </c>
      <c r="M59" s="407">
        <v>1</v>
      </c>
      <c r="O59" s="458">
        <v>2</v>
      </c>
      <c r="P59" s="877" t="s">
        <v>220</v>
      </c>
      <c r="Q59" s="877"/>
      <c r="R59" s="877"/>
      <c r="S59" s="877"/>
      <c r="T59" s="878"/>
      <c r="V59" s="352" t="s">
        <v>132</v>
      </c>
      <c r="W59" s="352" t="s">
        <v>111</v>
      </c>
      <c r="X59" s="352" t="str">
        <f t="shared" si="11"/>
        <v>Jasper Cillessen (k)</v>
      </c>
      <c r="Y59" s="109">
        <f t="shared" ref="Y59:Y66" si="13">AF59</f>
        <v>1</v>
      </c>
      <c r="Z59" s="352" t="str">
        <f t="shared" ref="Z59:AA65" si="14">IF(K59=""," ",VLOOKUP(K59,$T$9:$V$54,3,FALSE))</f>
        <v>Brazilië</v>
      </c>
      <c r="AA59" s="352" t="str">
        <f t="shared" si="14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1</v>
      </c>
      <c r="AG59" s="108">
        <f t="shared" ref="AG59:AG66" si="16">IF(AC59="",0,(IF(G59=AC59,1,0)))</f>
        <v>0</v>
      </c>
      <c r="AH59" s="108">
        <f t="shared" ref="AH59:AH66" si="17">IF(AD59="",0,(IF(I59=AD59,1,0)))</f>
        <v>1</v>
      </c>
      <c r="AI59" s="108">
        <f t="shared" ref="AI59:AI66" si="18">IF(AND(AG59=1,AH59=1),10,0)</f>
        <v>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376">
        <v>50</v>
      </c>
      <c r="C60" s="466">
        <v>41818</v>
      </c>
      <c r="D60" s="460" t="str">
        <f t="shared" ref="D60:D66" si="23">IF(ISERROR(Z60),K60,Z60)</f>
        <v>Ivoorkust</v>
      </c>
      <c r="E60" s="379" t="s">
        <v>9</v>
      </c>
      <c r="F60" s="409" t="str">
        <f t="shared" ref="F60:F66" si="24">IF(ISERROR(AA60),L60,AA60)</f>
        <v>Engeland</v>
      </c>
      <c r="G60" s="437">
        <v>2</v>
      </c>
      <c r="H60" s="379" t="s">
        <v>9</v>
      </c>
      <c r="I60" s="449">
        <v>1</v>
      </c>
      <c r="J60" s="450">
        <v>1</v>
      </c>
      <c r="K60" s="407" t="s">
        <v>57</v>
      </c>
      <c r="L60" s="407" t="s">
        <v>63</v>
      </c>
      <c r="M60" s="407">
        <v>2</v>
      </c>
      <c r="O60" s="458">
        <v>3</v>
      </c>
      <c r="P60" s="877" t="s">
        <v>225</v>
      </c>
      <c r="Q60" s="877"/>
      <c r="R60" s="877"/>
      <c r="S60" s="877"/>
      <c r="T60" s="878"/>
      <c r="V60" s="352" t="s">
        <v>132</v>
      </c>
      <c r="W60" s="352" t="s">
        <v>110</v>
      </c>
      <c r="X60" s="352" t="str">
        <f t="shared" si="11"/>
        <v>Kenneth Vermeer (k)</v>
      </c>
      <c r="Y60" s="109">
        <f t="shared" si="13"/>
        <v>6</v>
      </c>
      <c r="Z60" s="352" t="str">
        <f t="shared" si="14"/>
        <v>Ivoorkust</v>
      </c>
      <c r="AA60" s="352" t="str">
        <f t="shared" si="14"/>
        <v>Engeland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6</v>
      </c>
      <c r="AG60" s="108">
        <f t="shared" si="16"/>
        <v>1</v>
      </c>
      <c r="AH60" s="108">
        <f t="shared" si="17"/>
        <v>0</v>
      </c>
      <c r="AI60" s="108">
        <f t="shared" si="18"/>
        <v>0</v>
      </c>
      <c r="AJ60" s="108">
        <f t="shared" si="19"/>
        <v>5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2"/>
        <v>3</v>
      </c>
    </row>
    <row r="61" spans="2:54">
      <c r="B61" s="364">
        <v>51</v>
      </c>
      <c r="C61" s="465">
        <v>41819</v>
      </c>
      <c r="D61" s="464" t="str">
        <f t="shared" si="23"/>
        <v>Spanje</v>
      </c>
      <c r="E61" s="367" t="s">
        <v>9</v>
      </c>
      <c r="F61" s="406" t="str">
        <f t="shared" si="24"/>
        <v>Kroatië</v>
      </c>
      <c r="G61" s="435">
        <v>3</v>
      </c>
      <c r="H61" s="367" t="s">
        <v>9</v>
      </c>
      <c r="I61" s="447">
        <v>1</v>
      </c>
      <c r="J61" s="448">
        <v>1</v>
      </c>
      <c r="K61" s="407" t="s">
        <v>52</v>
      </c>
      <c r="L61" s="407" t="s">
        <v>49</v>
      </c>
      <c r="M61" s="407"/>
      <c r="O61" s="458">
        <v>4</v>
      </c>
      <c r="P61" s="877" t="s">
        <v>211</v>
      </c>
      <c r="Q61" s="877"/>
      <c r="R61" s="877"/>
      <c r="S61" s="877"/>
      <c r="T61" s="878"/>
      <c r="V61" s="352" t="s">
        <v>132</v>
      </c>
      <c r="W61" s="352" t="s">
        <v>191</v>
      </c>
      <c r="X61" s="352" t="str">
        <f t="shared" si="11"/>
        <v>Tim Krul (k)</v>
      </c>
      <c r="Y61" s="109">
        <f t="shared" si="13"/>
        <v>6</v>
      </c>
      <c r="Z61" s="352" t="str">
        <f t="shared" si="14"/>
        <v>Spanje</v>
      </c>
      <c r="AA61" s="352" t="str">
        <f t="shared" si="14"/>
        <v>Kroatië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6</v>
      </c>
      <c r="AG61" s="108">
        <f t="shared" si="16"/>
        <v>0</v>
      </c>
      <c r="AH61" s="108">
        <f t="shared" si="17"/>
        <v>1</v>
      </c>
      <c r="AI61" s="108">
        <f t="shared" si="18"/>
        <v>0</v>
      </c>
      <c r="AJ61" s="108">
        <f t="shared" si="19"/>
        <v>5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3</v>
      </c>
      <c r="BB61" s="139">
        <f t="shared" si="22"/>
        <v>3</v>
      </c>
    </row>
    <row r="62" spans="2:54">
      <c r="B62" s="376">
        <v>52</v>
      </c>
      <c r="C62" s="466">
        <v>41819</v>
      </c>
      <c r="D62" s="464" t="str">
        <f t="shared" si="23"/>
        <v>Italië</v>
      </c>
      <c r="E62" s="379" t="s">
        <v>9</v>
      </c>
      <c r="F62" s="409" t="str">
        <f t="shared" si="24"/>
        <v>Colombia</v>
      </c>
      <c r="G62" s="437">
        <v>1</v>
      </c>
      <c r="H62" s="379" t="s">
        <v>9</v>
      </c>
      <c r="I62" s="449">
        <v>0</v>
      </c>
      <c r="J62" s="450">
        <v>1</v>
      </c>
      <c r="K62" s="407" t="s">
        <v>62</v>
      </c>
      <c r="L62" s="407" t="s">
        <v>58</v>
      </c>
      <c r="M62" s="407"/>
      <c r="O62" s="458">
        <v>5</v>
      </c>
      <c r="P62" s="877" t="s">
        <v>212</v>
      </c>
      <c r="Q62" s="877"/>
      <c r="R62" s="877"/>
      <c r="S62" s="877"/>
      <c r="T62" s="878"/>
      <c r="V62" s="352" t="s">
        <v>132</v>
      </c>
      <c r="W62" s="352" t="s">
        <v>192</v>
      </c>
      <c r="X62" s="352" t="str">
        <f t="shared" si="11"/>
        <v>Maarten Stekelenburg (k)</v>
      </c>
      <c r="Y62" s="109">
        <f t="shared" si="13"/>
        <v>1</v>
      </c>
      <c r="Z62" s="352" t="str">
        <f t="shared" si="14"/>
        <v>Italië</v>
      </c>
      <c r="AA62" s="352" t="str">
        <f t="shared" si="14"/>
        <v>Colombia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1</v>
      </c>
      <c r="AG62" s="108">
        <f t="shared" si="16"/>
        <v>1</v>
      </c>
      <c r="AH62" s="108">
        <f t="shared" si="17"/>
        <v>0</v>
      </c>
      <c r="AI62" s="108">
        <f t="shared" si="18"/>
        <v>0</v>
      </c>
      <c r="AJ62" s="108">
        <f t="shared" si="19"/>
        <v>0</v>
      </c>
      <c r="AK62" s="108">
        <f t="shared" si="20"/>
        <v>0</v>
      </c>
      <c r="AL62" s="108">
        <f t="shared" si="21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2"/>
        <v>3</v>
      </c>
    </row>
    <row r="63" spans="2:54">
      <c r="B63" s="364">
        <v>53</v>
      </c>
      <c r="C63" s="465">
        <v>41820</v>
      </c>
      <c r="D63" s="459" t="str">
        <f t="shared" si="23"/>
        <v>Zwitserland</v>
      </c>
      <c r="E63" s="367" t="s">
        <v>9</v>
      </c>
      <c r="F63" s="406" t="str">
        <f t="shared" si="24"/>
        <v>Nigeria</v>
      </c>
      <c r="G63" s="435">
        <v>1</v>
      </c>
      <c r="H63" s="367" t="s">
        <v>9</v>
      </c>
      <c r="I63" s="447">
        <v>1</v>
      </c>
      <c r="J63" s="448">
        <v>1</v>
      </c>
      <c r="K63" s="407" t="s">
        <v>67</v>
      </c>
      <c r="L63" s="407" t="s">
        <v>73</v>
      </c>
      <c r="M63" s="407"/>
      <c r="O63" s="458">
        <v>6</v>
      </c>
      <c r="P63" s="877" t="s">
        <v>221</v>
      </c>
      <c r="Q63" s="877"/>
      <c r="R63" s="877"/>
      <c r="S63" s="877"/>
      <c r="T63" s="878"/>
      <c r="V63" s="352" t="s">
        <v>132</v>
      </c>
      <c r="W63" s="352" t="s">
        <v>193</v>
      </c>
      <c r="X63" s="352" t="str">
        <f t="shared" si="11"/>
        <v>Michel Vorm (k)</v>
      </c>
      <c r="Y63" s="109">
        <f t="shared" si="13"/>
        <v>0</v>
      </c>
      <c r="Z63" s="352" t="str">
        <f t="shared" si="14"/>
        <v>Zwitserland</v>
      </c>
      <c r="AA63" s="352" t="str">
        <f t="shared" si="14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0</v>
      </c>
      <c r="AG63" s="108">
        <f t="shared" si="16"/>
        <v>0</v>
      </c>
      <c r="AH63" s="108">
        <f t="shared" si="17"/>
        <v>0</v>
      </c>
      <c r="AI63" s="108">
        <f t="shared" si="18"/>
        <v>0</v>
      </c>
      <c r="AJ63" s="108">
        <f t="shared" si="19"/>
        <v>0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0</v>
      </c>
      <c r="BB63" s="139">
        <f t="shared" si="22"/>
        <v>0</v>
      </c>
    </row>
    <row r="64" spans="2:54">
      <c r="B64" s="376">
        <v>54</v>
      </c>
      <c r="C64" s="466">
        <v>41820</v>
      </c>
      <c r="D64" s="460" t="str">
        <f t="shared" si="23"/>
        <v>Duitsland</v>
      </c>
      <c r="E64" s="379" t="s">
        <v>9</v>
      </c>
      <c r="F64" s="409" t="str">
        <f t="shared" si="24"/>
        <v>Rusland</v>
      </c>
      <c r="G64" s="437">
        <v>2</v>
      </c>
      <c r="H64" s="379" t="s">
        <v>9</v>
      </c>
      <c r="I64" s="449">
        <v>1</v>
      </c>
      <c r="J64" s="450">
        <v>1</v>
      </c>
      <c r="K64" s="407" t="s">
        <v>77</v>
      </c>
      <c r="L64" s="407" t="s">
        <v>83</v>
      </c>
      <c r="M64" s="407"/>
      <c r="O64" s="458">
        <v>7</v>
      </c>
      <c r="P64" s="877" t="s">
        <v>213</v>
      </c>
      <c r="Q64" s="877"/>
      <c r="R64" s="877"/>
      <c r="S64" s="877"/>
      <c r="T64" s="878"/>
      <c r="V64" s="352" t="s">
        <v>133</v>
      </c>
      <c r="W64" s="352" t="s">
        <v>112</v>
      </c>
      <c r="X64" s="352" t="str">
        <f t="shared" si="11"/>
        <v>Joël Veltman (v)</v>
      </c>
      <c r="Y64" s="109">
        <f t="shared" si="13"/>
        <v>0</v>
      </c>
      <c r="Z64" s="352" t="str">
        <f t="shared" si="14"/>
        <v>Duitsland</v>
      </c>
      <c r="AA64" s="352" t="str">
        <f t="shared" si="14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0</v>
      </c>
      <c r="AG64" s="108">
        <f t="shared" si="16"/>
        <v>0</v>
      </c>
      <c r="AH64" s="108">
        <f t="shared" si="17"/>
        <v>0</v>
      </c>
      <c r="AI64" s="108">
        <f t="shared" si="18"/>
        <v>0</v>
      </c>
      <c r="AJ64" s="108">
        <f t="shared" si="19"/>
        <v>0</v>
      </c>
      <c r="AK64" s="108">
        <f t="shared" si="20"/>
        <v>0</v>
      </c>
      <c r="AL64" s="108">
        <f t="shared" si="21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2"/>
        <v>3</v>
      </c>
    </row>
    <row r="65" spans="2:54">
      <c r="B65" s="370">
        <v>55</v>
      </c>
      <c r="C65" s="467">
        <v>41821</v>
      </c>
      <c r="D65" s="459" t="str">
        <f t="shared" si="23"/>
        <v>Argentinië</v>
      </c>
      <c r="E65" s="373" t="s">
        <v>9</v>
      </c>
      <c r="F65" s="410" t="str">
        <f t="shared" si="24"/>
        <v>Frankrijk</v>
      </c>
      <c r="G65" s="436">
        <v>3</v>
      </c>
      <c r="H65" s="373" t="s">
        <v>9</v>
      </c>
      <c r="I65" s="451">
        <v>1</v>
      </c>
      <c r="J65" s="452">
        <v>1</v>
      </c>
      <c r="K65" s="407" t="s">
        <v>72</v>
      </c>
      <c r="L65" s="407" t="s">
        <v>68</v>
      </c>
      <c r="M65" s="407"/>
      <c r="O65" s="458">
        <v>8</v>
      </c>
      <c r="P65" s="877" t="s">
        <v>214</v>
      </c>
      <c r="Q65" s="877"/>
      <c r="R65" s="877"/>
      <c r="S65" s="877"/>
      <c r="T65" s="878"/>
      <c r="V65" s="352" t="s">
        <v>133</v>
      </c>
      <c r="W65" s="352" t="s">
        <v>109</v>
      </c>
      <c r="X65" s="352" t="str">
        <f t="shared" si="11"/>
        <v>Daley Blind (v)</v>
      </c>
      <c r="Y65" s="109">
        <f t="shared" si="13"/>
        <v>0</v>
      </c>
      <c r="Z65" s="352" t="str">
        <f t="shared" si="14"/>
        <v>Argentinië</v>
      </c>
      <c r="AA65" s="352" t="str">
        <f t="shared" si="14"/>
        <v>Frankrijk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0</v>
      </c>
      <c r="AG65" s="108">
        <f t="shared" si="16"/>
        <v>0</v>
      </c>
      <c r="AH65" s="108">
        <f t="shared" si="17"/>
        <v>0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2"/>
        <v>3</v>
      </c>
    </row>
    <row r="66" spans="2:54" ht="15.75" thickBot="1">
      <c r="B66" s="385">
        <v>56</v>
      </c>
      <c r="C66" s="462">
        <v>41821</v>
      </c>
      <c r="D66" s="461" t="str">
        <f t="shared" si="23"/>
        <v>België</v>
      </c>
      <c r="E66" s="388" t="s">
        <v>9</v>
      </c>
      <c r="F66" s="412" t="str">
        <f t="shared" si="24"/>
        <v>Portugal</v>
      </c>
      <c r="G66" s="438">
        <v>1</v>
      </c>
      <c r="H66" s="388" t="s">
        <v>9</v>
      </c>
      <c r="I66" s="453">
        <v>2</v>
      </c>
      <c r="J66" s="454">
        <v>2</v>
      </c>
      <c r="K66" s="407" t="s">
        <v>82</v>
      </c>
      <c r="L66" s="407" t="s">
        <v>78</v>
      </c>
      <c r="M66" s="407"/>
      <c r="O66" s="458">
        <v>9</v>
      </c>
      <c r="P66" s="877" t="s">
        <v>215</v>
      </c>
      <c r="Q66" s="877"/>
      <c r="R66" s="877"/>
      <c r="S66" s="877"/>
      <c r="T66" s="878"/>
      <c r="V66" s="352" t="s">
        <v>133</v>
      </c>
      <c r="W66" s="352" t="s">
        <v>115</v>
      </c>
      <c r="X66" s="352" t="str">
        <f t="shared" si="11"/>
        <v>Daryl Janmaat (v)</v>
      </c>
      <c r="Y66" s="109">
        <f t="shared" si="13"/>
        <v>0</v>
      </c>
      <c r="Z66" s="352" t="str">
        <f>IF(K66=""," ",VLOOKUP(K66,$T$9:$V$54,3,FALSE))</f>
        <v>België</v>
      </c>
      <c r="AA66" s="352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0</v>
      </c>
      <c r="AG66" s="108">
        <f t="shared" si="16"/>
        <v>0</v>
      </c>
      <c r="AH66" s="108">
        <f t="shared" si="17"/>
        <v>0</v>
      </c>
      <c r="AI66" s="108">
        <f t="shared" si="18"/>
        <v>0</v>
      </c>
      <c r="AJ66" s="108">
        <f t="shared" si="19"/>
        <v>0</v>
      </c>
      <c r="AK66" s="108">
        <f t="shared" si="20"/>
        <v>0</v>
      </c>
      <c r="AL66" s="108">
        <f t="shared" si="21"/>
        <v>0</v>
      </c>
      <c r="AZ66" s="138" t="str">
        <f>Uitslag!P66</f>
        <v>Jonathan de Guzman (m)</v>
      </c>
      <c r="BA66" s="140">
        <f t="shared" si="12"/>
        <v>3</v>
      </c>
      <c r="BB66" s="139">
        <f t="shared" si="22"/>
        <v>3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O67" s="458">
        <v>10</v>
      </c>
      <c r="P67" s="877" t="s">
        <v>216</v>
      </c>
      <c r="Q67" s="877"/>
      <c r="R67" s="877"/>
      <c r="S67" s="877"/>
      <c r="T67" s="878"/>
      <c r="V67" s="352" t="s">
        <v>133</v>
      </c>
      <c r="W67" s="352" t="s">
        <v>118</v>
      </c>
      <c r="X67" s="352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2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79"/>
      <c r="K68" s="353"/>
      <c r="L68" s="353"/>
      <c r="M68" s="353"/>
      <c r="O68" s="458">
        <v>11</v>
      </c>
      <c r="P68" s="877" t="s">
        <v>235</v>
      </c>
      <c r="Q68" s="877"/>
      <c r="R68" s="877"/>
      <c r="S68" s="877"/>
      <c r="T68" s="878"/>
      <c r="V68" s="352" t="s">
        <v>133</v>
      </c>
      <c r="W68" s="352" t="s">
        <v>119</v>
      </c>
      <c r="X68" s="352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0</v>
      </c>
      <c r="BB68" s="139">
        <f t="shared" si="22"/>
        <v>0</v>
      </c>
    </row>
    <row r="69" spans="2:54">
      <c r="B69" s="428" t="s">
        <v>1</v>
      </c>
      <c r="C69" s="429" t="s">
        <v>2</v>
      </c>
      <c r="D69" s="476" t="s">
        <v>3</v>
      </c>
      <c r="E69" s="431"/>
      <c r="F69" s="477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V69" s="352" t="s">
        <v>133</v>
      </c>
      <c r="W69" s="352" t="s">
        <v>121</v>
      </c>
      <c r="X69" s="352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27</v>
      </c>
      <c r="BB69" s="139" t="str">
        <f>IF(AND(BA69&lt;&gt;"",BA69=33),15,"nvt")</f>
        <v>nvt</v>
      </c>
    </row>
    <row r="70" spans="2:54">
      <c r="B70" s="364">
        <v>57</v>
      </c>
      <c r="C70" s="365">
        <v>41824</v>
      </c>
      <c r="D70" s="405" t="str">
        <f>IF(J63="","Winnaar 53",IF(J63=1,D63,F63))</f>
        <v>Zwitserland</v>
      </c>
      <c r="E70" s="367" t="s">
        <v>9</v>
      </c>
      <c r="F70" s="406" t="str">
        <f>IF(J64="","Winnaar 54",IF(J64=1,D64,F64))</f>
        <v>Duitsland</v>
      </c>
      <c r="G70" s="435">
        <v>1</v>
      </c>
      <c r="H70" s="367" t="s">
        <v>9</v>
      </c>
      <c r="I70" s="447">
        <v>2</v>
      </c>
      <c r="J70" s="448">
        <v>2</v>
      </c>
      <c r="K70" s="353"/>
      <c r="L70" s="353"/>
      <c r="M70" s="353"/>
      <c r="V70" s="352" t="s">
        <v>133</v>
      </c>
      <c r="W70" s="352" t="s">
        <v>126</v>
      </c>
      <c r="X70" s="352" t="str">
        <f t="shared" si="11"/>
        <v>Karim Rekik (v)</v>
      </c>
      <c r="Y70" s="109">
        <f>AF70</f>
        <v>5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5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Brazilië</v>
      </c>
      <c r="E71" s="379" t="s">
        <v>9</v>
      </c>
      <c r="F71" s="409" t="str">
        <f>IF(J60="","Winnaar 50",IF(J60=1,D60,F60))</f>
        <v>Ivoorkust</v>
      </c>
      <c r="G71" s="437">
        <v>2</v>
      </c>
      <c r="H71" s="379" t="s">
        <v>9</v>
      </c>
      <c r="I71" s="449">
        <v>1</v>
      </c>
      <c r="J71" s="450">
        <v>1</v>
      </c>
      <c r="K71" s="353"/>
      <c r="L71" s="353"/>
      <c r="M71" s="353"/>
      <c r="V71" s="352" t="s">
        <v>133</v>
      </c>
      <c r="W71" s="352" t="s">
        <v>194</v>
      </c>
      <c r="X71" s="352" t="str">
        <f t="shared" si="11"/>
        <v>Ron Vlaar (v)</v>
      </c>
      <c r="Y71" s="109">
        <f>AF71</f>
        <v>10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10</v>
      </c>
      <c r="AG71" s="108">
        <f>IF(AC71="",0,(IF(G71=AC71,1,0)))</f>
        <v>1</v>
      </c>
      <c r="AH71" s="108">
        <f>IF(AD71="",0,(IF(I71=AD71,1,0)))</f>
        <v>1</v>
      </c>
      <c r="AI71" s="108">
        <f>IF(AND(AG71=1,AH71=1),10,0)</f>
        <v>10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Argentinië</v>
      </c>
      <c r="E72" s="367" t="s">
        <v>9</v>
      </c>
      <c r="F72" s="406" t="str">
        <f>IF(J66="","Winnaar 56",IF(J66=1,D66,F66))</f>
        <v>Portugal</v>
      </c>
      <c r="G72" s="435">
        <v>1</v>
      </c>
      <c r="H72" s="367" t="s">
        <v>9</v>
      </c>
      <c r="I72" s="447">
        <v>1</v>
      </c>
      <c r="J72" s="448">
        <v>1</v>
      </c>
      <c r="K72" s="353"/>
      <c r="L72" s="353"/>
      <c r="M72" s="353"/>
      <c r="V72" s="352" t="s">
        <v>133</v>
      </c>
      <c r="W72" s="352" t="s">
        <v>195</v>
      </c>
      <c r="X72" s="352" t="str">
        <f t="shared" si="11"/>
        <v>John Heitinga (v)</v>
      </c>
      <c r="Y72" s="109">
        <f>AF72</f>
        <v>1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1</v>
      </c>
      <c r="AG72" s="108">
        <f>IF(AC72="",0,(IF(G72=AC72,1,0)))</f>
        <v>1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0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Spanje</v>
      </c>
      <c r="E73" s="388" t="s">
        <v>9</v>
      </c>
      <c r="F73" s="412" t="str">
        <f>IF(J62="","Winnaar 52",IF(J62=1,D62,F62))</f>
        <v>Italië</v>
      </c>
      <c r="G73" s="438">
        <v>1</v>
      </c>
      <c r="H73" s="388" t="s">
        <v>9</v>
      </c>
      <c r="I73" s="453">
        <v>0</v>
      </c>
      <c r="J73" s="454">
        <v>1</v>
      </c>
      <c r="K73" s="353"/>
      <c r="L73" s="353"/>
      <c r="M73" s="353"/>
      <c r="V73" s="352" t="s">
        <v>133</v>
      </c>
      <c r="W73" s="352" t="s">
        <v>196</v>
      </c>
      <c r="X73" s="352" t="str">
        <f t="shared" si="11"/>
        <v>Urby Emanuelson (v)</v>
      </c>
      <c r="Y73" s="109">
        <f>AF73</f>
        <v>1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1</v>
      </c>
      <c r="AG73" s="108">
        <f>IF(AC73="",0,(IF(G73=AC73,1,0)))</f>
        <v>0</v>
      </c>
      <c r="AH73" s="108">
        <f>IF(AD73="",0,(IF(I73=AD73,1,0)))</f>
        <v>1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V74" s="352" t="s">
        <v>133</v>
      </c>
      <c r="W74" s="352" t="s">
        <v>197</v>
      </c>
      <c r="X74" s="352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79"/>
      <c r="K75" s="353"/>
      <c r="L75" s="353"/>
      <c r="M75" s="353"/>
      <c r="V75" s="352" t="s">
        <v>133</v>
      </c>
      <c r="W75" s="352" t="s">
        <v>198</v>
      </c>
      <c r="X75" s="352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76" t="s">
        <v>3</v>
      </c>
      <c r="E76" s="431"/>
      <c r="F76" s="477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V76" s="352" t="s">
        <v>133</v>
      </c>
      <c r="W76" s="352" t="s">
        <v>202</v>
      </c>
      <c r="X76" s="352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Duitsland</v>
      </c>
      <c r="E77" s="367" t="s">
        <v>9</v>
      </c>
      <c r="F77" s="406" t="str">
        <f>IF(J71="","Winnaar 58",IF(J71=1,D71,F71))</f>
        <v>Brazilië</v>
      </c>
      <c r="G77" s="435">
        <v>1</v>
      </c>
      <c r="H77" s="367" t="s">
        <v>9</v>
      </c>
      <c r="I77" s="447">
        <v>1</v>
      </c>
      <c r="J77" s="448">
        <v>2</v>
      </c>
      <c r="K77" s="353"/>
      <c r="L77" s="353"/>
      <c r="M77" s="353"/>
      <c r="V77" s="352" t="s">
        <v>134</v>
      </c>
      <c r="W77" s="352" t="s">
        <v>203</v>
      </c>
      <c r="X77" s="352" t="str">
        <f t="shared" si="11"/>
        <v>Marco van Ginkel (m)</v>
      </c>
      <c r="Y77" s="109">
        <f>AF77</f>
        <v>1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1</v>
      </c>
      <c r="AG77" s="108">
        <f>IF(AC77="",0,(IF(G77=AC77,1,0)))</f>
        <v>0</v>
      </c>
      <c r="AH77" s="108">
        <f>IF(AD77="",0,(IF(I77=AD77,1,0)))</f>
        <v>1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Argentinië</v>
      </c>
      <c r="E78" s="388" t="s">
        <v>9</v>
      </c>
      <c r="F78" s="412" t="str">
        <f>IF(J73="","Winnaar 60",IF(J73=1,D73,F73))</f>
        <v>Spanje</v>
      </c>
      <c r="G78" s="438">
        <v>2</v>
      </c>
      <c r="H78" s="388" t="s">
        <v>9</v>
      </c>
      <c r="I78" s="453">
        <v>1</v>
      </c>
      <c r="J78" s="454">
        <v>1</v>
      </c>
      <c r="K78" s="353"/>
      <c r="L78" s="353"/>
      <c r="M78" s="353"/>
      <c r="V78" s="352" t="s">
        <v>134</v>
      </c>
      <c r="W78" s="352" t="s">
        <v>199</v>
      </c>
      <c r="X78" s="352" t="str">
        <f t="shared" si="11"/>
        <v>Leroy Fer (m)</v>
      </c>
      <c r="Y78" s="109">
        <f>AF78</f>
        <v>0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0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V79" s="352" t="s">
        <v>134</v>
      </c>
      <c r="W79" s="352" t="s">
        <v>114</v>
      </c>
      <c r="X79" s="352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79"/>
      <c r="K80" s="353"/>
      <c r="L80" s="353"/>
      <c r="M80" s="353"/>
      <c r="V80" s="352" t="s">
        <v>134</v>
      </c>
      <c r="W80" s="352" t="s">
        <v>117</v>
      </c>
      <c r="X80" s="352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76" t="s">
        <v>3</v>
      </c>
      <c r="E81" s="431"/>
      <c r="F81" s="477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V81" s="352" t="s">
        <v>134</v>
      </c>
      <c r="W81" s="352" t="s">
        <v>120</v>
      </c>
      <c r="X81" s="352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Duitsland</v>
      </c>
      <c r="E82" s="355" t="s">
        <v>9</v>
      </c>
      <c r="F82" s="415" t="str">
        <f>IF(J78="","Verliezer 62",IF(J78=1,F78,D78))</f>
        <v>Spanje</v>
      </c>
      <c r="G82" s="455">
        <v>1</v>
      </c>
      <c r="H82" s="355" t="s">
        <v>9</v>
      </c>
      <c r="I82" s="456">
        <v>1</v>
      </c>
      <c r="J82" s="457">
        <v>2</v>
      </c>
      <c r="K82" s="353"/>
      <c r="L82" s="353"/>
      <c r="M82" s="353"/>
      <c r="V82" s="352" t="s">
        <v>134</v>
      </c>
      <c r="W82" s="352" t="s">
        <v>125</v>
      </c>
      <c r="X82" s="35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V83" s="352" t="s">
        <v>134</v>
      </c>
      <c r="W83" s="352" t="s">
        <v>136</v>
      </c>
      <c r="X83" s="352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79"/>
      <c r="K84" s="353"/>
      <c r="L84" s="353"/>
      <c r="M84" s="353"/>
      <c r="V84" s="352" t="s">
        <v>134</v>
      </c>
      <c r="W84" s="352" t="s">
        <v>137</v>
      </c>
      <c r="X84" s="352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76" t="s">
        <v>3</v>
      </c>
      <c r="E85" s="431"/>
      <c r="F85" s="477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V85" s="352" t="s">
        <v>134</v>
      </c>
      <c r="W85" s="352" t="s">
        <v>138</v>
      </c>
      <c r="X85" s="352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Brazilië</v>
      </c>
      <c r="E86" s="355" t="s">
        <v>9</v>
      </c>
      <c r="F86" s="415" t="str">
        <f>IF(J78="","Winnaar 62",IF(J78=1,D78,F78))</f>
        <v>Argentinië</v>
      </c>
      <c r="G86" s="455">
        <v>2</v>
      </c>
      <c r="H86" s="355" t="s">
        <v>9</v>
      </c>
      <c r="I86" s="456">
        <v>1</v>
      </c>
      <c r="J86" s="457">
        <v>1</v>
      </c>
      <c r="K86" s="353"/>
      <c r="L86" s="353"/>
      <c r="M86" s="353"/>
      <c r="V86" s="352" t="s">
        <v>134</v>
      </c>
      <c r="W86" s="352" t="s">
        <v>139</v>
      </c>
      <c r="X86" s="352" t="str">
        <f t="shared" si="11"/>
        <v>Nigel de Jong (m)</v>
      </c>
      <c r="Y86" s="109">
        <f>AF86</f>
        <v>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0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353"/>
      <c r="C87" s="129"/>
      <c r="D87" s="392"/>
      <c r="E87" s="353"/>
      <c r="F87" s="392"/>
      <c r="G87" s="353"/>
      <c r="H87" s="353"/>
      <c r="I87" s="353"/>
      <c r="J87" s="353"/>
      <c r="K87" s="353"/>
      <c r="L87" s="353"/>
      <c r="M87" s="353"/>
      <c r="V87" s="352" t="s">
        <v>135</v>
      </c>
      <c r="W87" s="352" t="s">
        <v>205</v>
      </c>
      <c r="X87" s="352" t="str">
        <f t="shared" si="11"/>
        <v>Ricky van Wolfswinkel (a)</v>
      </c>
      <c r="AP87" s="136" t="s">
        <v>102</v>
      </c>
    </row>
    <row r="88" spans="2:50">
      <c r="B88" s="353"/>
      <c r="C88" s="129"/>
      <c r="D88" s="392"/>
      <c r="E88" s="353"/>
      <c r="F88" s="392"/>
      <c r="G88" s="353"/>
      <c r="H88" s="353"/>
      <c r="I88" s="353"/>
      <c r="J88" s="353"/>
      <c r="K88" s="353"/>
      <c r="L88" s="353"/>
      <c r="M88" s="353"/>
      <c r="V88" s="352" t="s">
        <v>135</v>
      </c>
      <c r="W88" s="352" t="s">
        <v>204</v>
      </c>
      <c r="X88" s="352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458"/>
    </row>
    <row r="89" spans="2:50" ht="20.25">
      <c r="C89" s="874" t="s">
        <v>101</v>
      </c>
      <c r="D89" s="871"/>
      <c r="E89" s="873" t="str">
        <f>IF(J86=1,D86,IF(J86=2,F86,"Wie zal het worden?"))</f>
        <v>Brazilië</v>
      </c>
      <c r="F89" s="873"/>
      <c r="G89" s="873"/>
      <c r="H89" s="873"/>
      <c r="I89" s="873"/>
      <c r="J89" s="873"/>
      <c r="K89" s="353"/>
      <c r="L89" s="353"/>
      <c r="M89" s="353"/>
      <c r="V89" s="352" t="s">
        <v>135</v>
      </c>
      <c r="W89" s="352" t="s">
        <v>201</v>
      </c>
      <c r="X89" s="352" t="str">
        <f t="shared" si="11"/>
        <v>Jermain Lens (a)</v>
      </c>
      <c r="AP89" s="109">
        <f>AU89</f>
        <v>5</v>
      </c>
      <c r="AQ89" s="131">
        <v>1</v>
      </c>
      <c r="AR89" s="904" t="str">
        <f>Uitslag!E89</f>
        <v>Duitsland</v>
      </c>
      <c r="AS89" s="905"/>
      <c r="AT89" s="906"/>
      <c r="AU89" s="352">
        <f>SUM(AV89:AX89)</f>
        <v>5</v>
      </c>
      <c r="AV89" s="352">
        <f>IF(AR89=0,0,IF(E89=AR89,50,0))</f>
        <v>0</v>
      </c>
      <c r="AW89" s="352">
        <f>IF(E89=0,0,IF(OR(E89=AR90),15,0))</f>
        <v>0</v>
      </c>
      <c r="AX89" s="352">
        <f>IF(E89=0,0,IF(OR(E89=AR91,E89=AR92),5,0))</f>
        <v>5</v>
      </c>
    </row>
    <row r="90" spans="2:50">
      <c r="C90" s="870">
        <v>2</v>
      </c>
      <c r="D90" s="871"/>
      <c r="E90" s="872" t="str">
        <f>IF(J86=2,D86,IF(J86=1,F86,"Wie wordt 2de?"))</f>
        <v>Argentinië</v>
      </c>
      <c r="F90" s="872"/>
      <c r="G90" s="872"/>
      <c r="H90" s="872"/>
      <c r="I90" s="872"/>
      <c r="J90" s="872"/>
      <c r="V90" s="352" t="s">
        <v>135</v>
      </c>
      <c r="W90" s="352" t="s">
        <v>200</v>
      </c>
      <c r="X90" s="352" t="str">
        <f t="shared" si="11"/>
        <v>Dirk Kuyt (a)</v>
      </c>
      <c r="AP90" s="109">
        <f>AU90</f>
        <v>25</v>
      </c>
      <c r="AQ90" s="131">
        <v>2</v>
      </c>
      <c r="AR90" s="904" t="str">
        <f>Uitslag!E90</f>
        <v>Argentinië</v>
      </c>
      <c r="AS90" s="905"/>
      <c r="AT90" s="906"/>
      <c r="AU90" s="352">
        <f>SUM(AV90:AX90)</f>
        <v>25</v>
      </c>
      <c r="AV90" s="352">
        <f>IF(AR90=0,0,IF(AR90=E90,25,0))</f>
        <v>25</v>
      </c>
      <c r="AW90" s="352">
        <f>IF(E90=0,0,IF(OR(E90=AR89,),15,0))</f>
        <v>0</v>
      </c>
      <c r="AX90" s="352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Spanje</v>
      </c>
      <c r="F91" s="872"/>
      <c r="G91" s="872"/>
      <c r="H91" s="872"/>
      <c r="I91" s="872"/>
      <c r="J91" s="872"/>
      <c r="V91" s="352" t="s">
        <v>135</v>
      </c>
      <c r="W91" s="352" t="s">
        <v>128</v>
      </c>
      <c r="X91" s="352" t="str">
        <f t="shared" si="11"/>
        <v>Jürgen Locadia (a)</v>
      </c>
      <c r="AP91" s="109">
        <f>AU91</f>
        <v>0</v>
      </c>
      <c r="AQ91" s="131">
        <v>3</v>
      </c>
      <c r="AR91" s="904" t="str">
        <f>Uitslag!E91</f>
        <v>Nederland</v>
      </c>
      <c r="AS91" s="905"/>
      <c r="AT91" s="906"/>
      <c r="AU91" s="352">
        <f>SUM(AV91:AX91)</f>
        <v>0</v>
      </c>
      <c r="AV91" s="352">
        <f>IF(AR91=0,0,IF(AR91=E91,15,0))</f>
        <v>0</v>
      </c>
      <c r="AW91" s="352">
        <f>IF(E91=0,0,IF(OR(E91=AR92),10,0))</f>
        <v>0</v>
      </c>
      <c r="AX91" s="352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Duitsland</v>
      </c>
      <c r="F92" s="872"/>
      <c r="G92" s="872"/>
      <c r="H92" s="872"/>
      <c r="I92" s="872"/>
      <c r="J92" s="872"/>
      <c r="V92" s="352" t="s">
        <v>135</v>
      </c>
      <c r="W92" s="352" t="s">
        <v>127</v>
      </c>
      <c r="X92" s="352" t="str">
        <f t="shared" si="11"/>
        <v>Memphis Depay (a)</v>
      </c>
      <c r="AP92" s="109">
        <f>AU92</f>
        <v>5</v>
      </c>
      <c r="AQ92" s="131">
        <v>4</v>
      </c>
      <c r="AR92" s="904" t="str">
        <f>Uitslag!E92</f>
        <v>Brazilië</v>
      </c>
      <c r="AS92" s="905"/>
      <c r="AT92" s="906"/>
      <c r="AU92" s="352">
        <f>SUM(AV92:AX92)</f>
        <v>5</v>
      </c>
      <c r="AV92" s="352">
        <f>IF(AR92=0,0,IF(AR92=E92,15,0))</f>
        <v>0</v>
      </c>
      <c r="AW92" s="352">
        <f>IF(E92=0,0,IF(OR(E92=AR91,),10,0))</f>
        <v>0</v>
      </c>
      <c r="AX92" s="352">
        <f>IF(E92=0,0,IF(OR(E92=AR89,E92=AR90),5,0))</f>
        <v>5</v>
      </c>
    </row>
    <row r="93" spans="2:50" ht="15.75" thickBot="1">
      <c r="V93" s="352" t="s">
        <v>135</v>
      </c>
      <c r="W93" s="352" t="s">
        <v>123</v>
      </c>
      <c r="X93" s="352" t="str">
        <f t="shared" si="11"/>
        <v>Quincy Promes (a)</v>
      </c>
      <c r="AS93" s="132"/>
      <c r="AU93" s="133">
        <f>SUM(AU89:AU92)</f>
        <v>35</v>
      </c>
    </row>
    <row r="94" spans="2:50" ht="15.75" thickTop="1">
      <c r="V94" s="352" t="s">
        <v>135</v>
      </c>
      <c r="W94" s="352" t="s">
        <v>122</v>
      </c>
      <c r="X94" s="352" t="str">
        <f t="shared" si="11"/>
        <v>Luc Castaignos (a)</v>
      </c>
    </row>
    <row r="95" spans="2:50">
      <c r="V95" s="352" t="s">
        <v>135</v>
      </c>
      <c r="W95" s="352" t="s">
        <v>113</v>
      </c>
      <c r="X95" s="352" t="str">
        <f t="shared" si="11"/>
        <v>Jean-Paul Boëtius (a)</v>
      </c>
    </row>
    <row r="96" spans="2:50">
      <c r="V96" s="352" t="s">
        <v>135</v>
      </c>
      <c r="W96" s="352" t="s">
        <v>129</v>
      </c>
      <c r="X96" s="352" t="str">
        <f t="shared" si="11"/>
        <v>Luciano Narsingh (a)</v>
      </c>
    </row>
    <row r="97" spans="22:24">
      <c r="V97" s="352" t="s">
        <v>135</v>
      </c>
      <c r="W97" s="352" t="s">
        <v>130</v>
      </c>
      <c r="X97" s="352" t="str">
        <f t="shared" si="11"/>
        <v>Robin van Persie (a)</v>
      </c>
    </row>
    <row r="98" spans="22:24">
      <c r="V98" s="352" t="s">
        <v>135</v>
      </c>
      <c r="W98" s="352" t="s">
        <v>131</v>
      </c>
      <c r="X98" s="352" t="str">
        <f t="shared" si="11"/>
        <v>Arjen Robben (a)</v>
      </c>
    </row>
  </sheetData>
  <mergeCells count="36">
    <mergeCell ref="C91:D91"/>
    <mergeCell ref="E91:J91"/>
    <mergeCell ref="AR91:AT91"/>
    <mergeCell ref="C92:D92"/>
    <mergeCell ref="E92:J92"/>
    <mergeCell ref="AR92:AT92"/>
    <mergeCell ref="C89:D89"/>
    <mergeCell ref="E89:J89"/>
    <mergeCell ref="AR89:AT89"/>
    <mergeCell ref="C90:D90"/>
    <mergeCell ref="E90:J90"/>
    <mergeCell ref="AR90:AT90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</mergeCells>
  <conditionalFormatting sqref="AO9:AO12 AO15:AO18 AO21:AO24 AO27:AO30 AO33:AO36 AO39:AO42 AO45:AO48 AO51:AO54">
    <cfRule type="cellIs" dxfId="44" priority="3" operator="equal">
      <formula>10</formula>
    </cfRule>
  </conditionalFormatting>
  <conditionalFormatting sqref="P58:T58">
    <cfRule type="duplicateValues" dxfId="43" priority="2"/>
  </conditionalFormatting>
  <conditionalFormatting sqref="P58:T68">
    <cfRule type="duplicateValues" dxfId="42" priority="1"/>
  </conditionalFormatting>
  <dataValidations count="10">
    <dataValidation type="list" allowBlank="1" showInputMessage="1" showErrorMessage="1" sqref="P58:P68">
      <formula1>$X$58:$X$98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51:T54">
      <formula1>$W$51:$W$54</formula1>
    </dataValidation>
  </dataValidation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>
  <dimension ref="B1:BB98"/>
  <sheetViews>
    <sheetView topLeftCell="A40" zoomScale="70" zoomScaleNormal="70" workbookViewId="0">
      <selection activeCell="P58" sqref="P58:T68"/>
    </sheetView>
  </sheetViews>
  <sheetFormatPr defaultRowHeight="15" outlineLevelCol="2"/>
  <cols>
    <col min="1" max="1" width="3.42578125" style="352" customWidth="1"/>
    <col min="2" max="2" width="3.5703125" style="352" bestFit="1" customWidth="1"/>
    <col min="3" max="3" width="11.5703125" style="123" bestFit="1" customWidth="1"/>
    <col min="4" max="4" width="19.7109375" style="352" bestFit="1" customWidth="1"/>
    <col min="5" max="5" width="3.42578125" style="352" customWidth="1"/>
    <col min="6" max="6" width="19.7109375" style="352" bestFit="1" customWidth="1"/>
    <col min="7" max="7" width="6.7109375" style="352" customWidth="1"/>
    <col min="8" max="8" width="1.5703125" style="352" bestFit="1" customWidth="1"/>
    <col min="9" max="9" width="6.7109375" style="352" customWidth="1"/>
    <col min="10" max="10" width="6.85546875" style="352" bestFit="1" customWidth="1"/>
    <col min="11" max="13" width="9.140625" style="352" hidden="1" customWidth="1" outlineLevel="1"/>
    <col min="14" max="14" width="11.42578125" style="352" bestFit="1" customWidth="1" collapsed="1"/>
    <col min="15" max="15" width="14.7109375" style="352" bestFit="1" customWidth="1"/>
    <col min="16" max="16" width="12.28515625" style="352" bestFit="1" customWidth="1"/>
    <col min="17" max="17" width="8.140625" style="352" bestFit="1" customWidth="1"/>
    <col min="18" max="18" width="7.7109375" style="352" bestFit="1" customWidth="1"/>
    <col min="19" max="19" width="9.140625" style="352"/>
    <col min="20" max="20" width="8.5703125" style="352" bestFit="1" customWidth="1"/>
    <col min="21" max="21" width="9.140625" style="352"/>
    <col min="22" max="23" width="9.140625" style="352" hidden="1" customWidth="1" outlineLevel="1"/>
    <col min="24" max="24" width="2" style="352" hidden="1" customWidth="1" outlineLevel="1"/>
    <col min="25" max="25" width="12.28515625" style="352" bestFit="1" customWidth="1" collapsed="1"/>
    <col min="26" max="27" width="12.28515625" style="352" hidden="1" customWidth="1" outlineLevel="1"/>
    <col min="28" max="28" width="4.7109375" style="352" hidden="1" customWidth="1" outlineLevel="1"/>
    <col min="29" max="38" width="9.140625" style="352" hidden="1" customWidth="1" outlineLevel="1"/>
    <col min="39" max="39" width="7.42578125" style="352" bestFit="1" customWidth="1" collapsed="1"/>
    <col min="40" max="40" width="19.7109375" style="352" hidden="1" customWidth="1" outlineLevel="1"/>
    <col min="41" max="41" width="9.140625" style="352" hidden="1" customWidth="1" outlineLevel="1"/>
    <col min="42" max="42" width="9.140625" style="352" collapsed="1"/>
    <col min="43" max="49" width="9.140625" style="352" hidden="1" customWidth="1" outlineLevel="2"/>
    <col min="50" max="50" width="11.5703125" style="352" hidden="1" customWidth="1" outlineLevel="2"/>
    <col min="51" max="51" width="11.85546875" style="352" hidden="1" customWidth="1" outlineLevel="1" collapsed="1"/>
    <col min="52" max="52" width="9.42578125" style="352" hidden="1" customWidth="1" outlineLevel="1"/>
    <col min="53" max="53" width="10.5703125" style="352" hidden="1" customWidth="1" outlineLevel="1"/>
    <col min="54" max="54" width="9.140625" style="352" collapsed="1"/>
    <col min="55" max="55" width="11.85546875" style="352" bestFit="1" customWidth="1"/>
    <col min="56" max="16384" width="9.140625" style="352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309</v>
      </c>
      <c r="E3" s="335"/>
      <c r="F3" s="335"/>
      <c r="N3" s="352" t="str">
        <f>D3</f>
        <v>René vd B.</v>
      </c>
      <c r="O3" s="144">
        <f>SUM(P3:S3)</f>
        <v>332</v>
      </c>
      <c r="P3" s="109">
        <f>SUM(Y8:Y86)</f>
        <v>188</v>
      </c>
      <c r="Q3" s="109">
        <f>SUM(AM4:AM55)</f>
        <v>110</v>
      </c>
      <c r="R3" s="109">
        <f>SUM(AP89:AP92)</f>
        <v>10</v>
      </c>
      <c r="S3" s="109">
        <f>SUM(BB58:BB69)</f>
        <v>24</v>
      </c>
      <c r="T3" s="109">
        <f>COUNTIF(AF8:AF86,10)</f>
        <v>5</v>
      </c>
      <c r="U3" s="109" t="str">
        <f>E89</f>
        <v>Brazilië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O6" s="392"/>
      <c r="P6" s="393"/>
      <c r="Q6" s="393"/>
      <c r="R6" s="393"/>
      <c r="S6" s="393"/>
      <c r="T6" s="393"/>
      <c r="U6" s="392"/>
      <c r="V6" s="392"/>
      <c r="W6" s="392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80" t="s">
        <v>3</v>
      </c>
      <c r="E7" s="419"/>
      <c r="F7" s="481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O7" s="353"/>
      <c r="P7" s="393"/>
      <c r="Q7" s="393"/>
      <c r="R7" s="393"/>
      <c r="S7" s="393"/>
      <c r="T7" s="393"/>
      <c r="U7" s="353"/>
      <c r="V7" s="353"/>
      <c r="W7" s="353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458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3</v>
      </c>
      <c r="H8" s="360" t="s">
        <v>9</v>
      </c>
      <c r="I8" s="478">
        <v>0</v>
      </c>
      <c r="J8" s="362">
        <f t="shared" ref="J8:J55" si="0">IF(I8="","",IF(G8&gt;I8,1,IF(G8&lt;I8,2,3)))</f>
        <v>1</v>
      </c>
      <c r="K8" s="363">
        <f t="shared" ref="K8:K55" si="1">IF(I8="","",IF($G8&gt;$I8,3,IF($G8=$I8,1,0)))</f>
        <v>3</v>
      </c>
      <c r="L8" s="363">
        <f t="shared" ref="L8:L55" si="2">IF(I8="","",IF($G8&lt;$I8,3,IF($G8=$I8,1,0)))</f>
        <v>0</v>
      </c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392"/>
      <c r="V8" s="392"/>
      <c r="W8" s="392"/>
      <c r="Y8" s="109">
        <f>AF8</f>
        <v>6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6</v>
      </c>
      <c r="AG8" s="108">
        <f t="shared" ref="AG8:AG55" si="3">IF(AC8="",0,(IF(G8=AC8,1,0)))</f>
        <v>1</v>
      </c>
      <c r="AH8" s="108">
        <f t="shared" ref="AH8:AH55" si="4">IF(AD8="",0,(IF(I8=AD8,1,0)))</f>
        <v>0</v>
      </c>
      <c r="AI8" s="108">
        <f>IF(AND(AG8=1,AH8=1),10,0)</f>
        <v>0</v>
      </c>
      <c r="AJ8" s="108">
        <f t="shared" ref="AJ8:AJ55" si="5">IF(AND(G8&gt;I8,AC8&gt;AD8),5,0)</f>
        <v>5</v>
      </c>
      <c r="AK8" s="108">
        <f t="shared" ref="AK8:AK55" si="6">IF(AND(G8&lt;I8,AC8&lt;AD8),5,0)</f>
        <v>0</v>
      </c>
      <c r="AL8" s="108">
        <f t="shared" ref="AL8:AL55" si="7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0</v>
      </c>
      <c r="H9" s="367" t="s">
        <v>9</v>
      </c>
      <c r="I9" s="440">
        <v>1</v>
      </c>
      <c r="J9" s="369">
        <f t="shared" si="0"/>
        <v>2</v>
      </c>
      <c r="K9" s="363">
        <f t="shared" si="1"/>
        <v>0</v>
      </c>
      <c r="L9" s="363">
        <f t="shared" si="2"/>
        <v>3</v>
      </c>
      <c r="O9" s="394" t="s">
        <v>8</v>
      </c>
      <c r="P9" s="395">
        <f>SUMIF($D$8:$D$55,$O9,$G$8:$G$55)+SUMIF($F$8:$F$55,$O9,$I$8:$I$55)</f>
        <v>9</v>
      </c>
      <c r="Q9" s="395">
        <f>SUMIF($D$8:$D$55,$O9,$I$8:$I$55)+SUMIF($F$8:$F$55,$O9,$G$8:$G$55)</f>
        <v>1</v>
      </c>
      <c r="R9" s="396">
        <f>P9-Q9</f>
        <v>8</v>
      </c>
      <c r="S9" s="397">
        <f>SUMIF($D$8:$D$55,$O9,$K$8:$K$55)+SUMIF($F$8:$F$55,$O9,$L$8:$L$55)</f>
        <v>9</v>
      </c>
      <c r="T9" s="444" t="s">
        <v>48</v>
      </c>
      <c r="U9" s="392"/>
      <c r="V9" s="392" t="str">
        <f>O9</f>
        <v>Brazilië</v>
      </c>
      <c r="W9" s="392" t="s">
        <v>48</v>
      </c>
      <c r="Y9" s="109">
        <f t="shared" ref="Y9:Y55" si="8">AF9</f>
        <v>0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0</v>
      </c>
      <c r="AG9" s="108">
        <f t="shared" si="3"/>
        <v>0</v>
      </c>
      <c r="AH9" s="108">
        <f t="shared" si="4"/>
        <v>0</v>
      </c>
      <c r="AI9" s="108">
        <f t="shared" ref="AI9:AI55" si="10">IF(AND(AG9=1,AH9=1),10,0)</f>
        <v>0</v>
      </c>
      <c r="AJ9" s="108">
        <f t="shared" si="5"/>
        <v>0</v>
      </c>
      <c r="AK9" s="108">
        <f t="shared" si="6"/>
        <v>0</v>
      </c>
      <c r="AL9" s="108">
        <f t="shared" si="7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2</v>
      </c>
      <c r="H10" s="373" t="s">
        <v>9</v>
      </c>
      <c r="I10" s="441">
        <v>1</v>
      </c>
      <c r="J10" s="375">
        <f t="shared" si="0"/>
        <v>1</v>
      </c>
      <c r="K10" s="363">
        <f t="shared" si="1"/>
        <v>3</v>
      </c>
      <c r="L10" s="363">
        <f t="shared" si="2"/>
        <v>0</v>
      </c>
      <c r="O10" s="398" t="s">
        <v>10</v>
      </c>
      <c r="P10" s="399">
        <f>SUMIF($D$8:$D$55,$O10,$G$8:$G$55)+SUMIF($F$8:$F$55,$O10,$I$8:$I$55)</f>
        <v>2</v>
      </c>
      <c r="Q10" s="399">
        <f>SUMIF($D$8:$D$55,$O10,$I$8:$I$55)+SUMIF($F$8:$F$55,$O10,$G$8:$G$55)</f>
        <v>5</v>
      </c>
      <c r="R10" s="399">
        <f>P10-Q10</f>
        <v>-3</v>
      </c>
      <c r="S10" s="400">
        <f>SUMIF($D$8:$D$55,$O10,$K$8:$K$55)+SUMIF($F$8:$F$55,$O10,$L$8:$L$55)</f>
        <v>2</v>
      </c>
      <c r="T10" s="445" t="s">
        <v>47</v>
      </c>
      <c r="U10" s="392"/>
      <c r="V10" s="392" t="str">
        <f>O10</f>
        <v>Kroatië</v>
      </c>
      <c r="W10" s="392" t="s">
        <v>49</v>
      </c>
      <c r="Y10" s="109">
        <f t="shared" si="8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0</v>
      </c>
      <c r="AG10" s="108">
        <f t="shared" si="3"/>
        <v>0</v>
      </c>
      <c r="AH10" s="108">
        <f t="shared" si="4"/>
        <v>0</v>
      </c>
      <c r="AI10" s="108">
        <f t="shared" si="10"/>
        <v>0</v>
      </c>
      <c r="AJ10" s="108">
        <f t="shared" si="5"/>
        <v>0</v>
      </c>
      <c r="AK10" s="108">
        <f t="shared" si="6"/>
        <v>0</v>
      </c>
      <c r="AL10" s="108">
        <f t="shared" si="7"/>
        <v>0</v>
      </c>
      <c r="AM10" s="120">
        <f>AO10</f>
        <v>10</v>
      </c>
      <c r="AN10" s="117" t="s">
        <v>10</v>
      </c>
      <c r="AO10" s="115">
        <f>IF(Uitslag!T10="",0,IF(T10=Uitslag!T10,10,0))</f>
        <v>10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1</v>
      </c>
      <c r="H11" s="379" t="s">
        <v>9</v>
      </c>
      <c r="I11" s="442">
        <v>0</v>
      </c>
      <c r="J11" s="381">
        <f t="shared" si="0"/>
        <v>1</v>
      </c>
      <c r="K11" s="363">
        <f t="shared" si="1"/>
        <v>3</v>
      </c>
      <c r="L11" s="363">
        <f t="shared" si="2"/>
        <v>0</v>
      </c>
      <c r="O11" s="398" t="s">
        <v>11</v>
      </c>
      <c r="P11" s="399">
        <f>SUMIF($D$8:$D$55,$O11,$G$8:$G$55)+SUMIF($F$8:$F$55,$O11,$I$8:$I$55)</f>
        <v>2</v>
      </c>
      <c r="Q11" s="399">
        <f>SUMIF($D$8:$D$55,$O11,$I$8:$I$55)+SUMIF($F$8:$F$55,$O11,$G$8:$G$55)</f>
        <v>5</v>
      </c>
      <c r="R11" s="399">
        <f>P11-Q11</f>
        <v>-3</v>
      </c>
      <c r="S11" s="400">
        <f>SUMIF($D$8:$D$55,$O11,$K$8:$K$55)+SUMIF($F$8:$F$55,$O11,$L$8:$L$55)</f>
        <v>1</v>
      </c>
      <c r="T11" s="445" t="s">
        <v>50</v>
      </c>
      <c r="U11" s="392"/>
      <c r="V11" s="392" t="str">
        <f>O11</f>
        <v>Mexico</v>
      </c>
      <c r="W11" s="392" t="s">
        <v>47</v>
      </c>
      <c r="Y11" s="109">
        <f t="shared" si="8"/>
        <v>5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5</v>
      </c>
      <c r="AG11" s="108">
        <f t="shared" si="3"/>
        <v>0</v>
      </c>
      <c r="AH11" s="108">
        <f t="shared" si="4"/>
        <v>0</v>
      </c>
      <c r="AI11" s="108">
        <f t="shared" si="10"/>
        <v>0</v>
      </c>
      <c r="AJ11" s="108">
        <f t="shared" si="5"/>
        <v>5</v>
      </c>
      <c r="AK11" s="108">
        <f t="shared" si="6"/>
        <v>0</v>
      </c>
      <c r="AL11" s="108">
        <f t="shared" si="7"/>
        <v>0</v>
      </c>
      <c r="AM11" s="120">
        <f>AO11</f>
        <v>0</v>
      </c>
      <c r="AN11" s="117" t="s">
        <v>11</v>
      </c>
      <c r="AO11" s="115">
        <f>IF(Uitslag!T11="",0,IF(T11=Uitslag!T11,10,0))</f>
        <v>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0</v>
      </c>
      <c r="H12" s="367" t="s">
        <v>9</v>
      </c>
      <c r="I12" s="440">
        <v>2</v>
      </c>
      <c r="J12" s="369">
        <f t="shared" si="0"/>
        <v>2</v>
      </c>
      <c r="K12" s="363">
        <f t="shared" si="1"/>
        <v>0</v>
      </c>
      <c r="L12" s="363">
        <f t="shared" si="2"/>
        <v>3</v>
      </c>
      <c r="O12" s="401" t="s">
        <v>12</v>
      </c>
      <c r="P12" s="402">
        <f>SUMIF($D$8:$D$55,$O12,$G$8:$G$55)+SUMIF($F$8:$F$55,$O12,$I$8:$I$55)</f>
        <v>2</v>
      </c>
      <c r="Q12" s="402">
        <f>SUMIF($D$8:$D$55,$O12,$I$8:$I$55)+SUMIF($F$8:$F$55,$O12,$G$8:$G$55)</f>
        <v>4</v>
      </c>
      <c r="R12" s="402">
        <f>P12-Q12</f>
        <v>-2</v>
      </c>
      <c r="S12" s="403">
        <f>SUMIF($D$8:$D$55,$O12,$K$8:$K$55)+SUMIF($F$8:$F$55,$O12,$L$8:$L$55)</f>
        <v>4</v>
      </c>
      <c r="T12" s="446" t="s">
        <v>49</v>
      </c>
      <c r="U12" s="392"/>
      <c r="V12" s="392" t="str">
        <f>O12</f>
        <v>Kameroen</v>
      </c>
      <c r="W12" s="392" t="s">
        <v>50</v>
      </c>
      <c r="Y12" s="109">
        <f t="shared" si="8"/>
        <v>0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0</v>
      </c>
      <c r="AG12" s="108">
        <f t="shared" si="3"/>
        <v>0</v>
      </c>
      <c r="AH12" s="108">
        <f t="shared" si="4"/>
        <v>0</v>
      </c>
      <c r="AI12" s="108">
        <f t="shared" si="10"/>
        <v>0</v>
      </c>
      <c r="AJ12" s="108">
        <f t="shared" si="5"/>
        <v>0</v>
      </c>
      <c r="AK12" s="108">
        <f t="shared" si="6"/>
        <v>0</v>
      </c>
      <c r="AL12" s="108">
        <f t="shared" si="7"/>
        <v>0</v>
      </c>
      <c r="AM12" s="120">
        <f>AO12</f>
        <v>0</v>
      </c>
      <c r="AN12" s="118" t="s">
        <v>12</v>
      </c>
      <c r="AO12" s="115">
        <f>IF(Uitslag!T12="",0,IF(T12=Uitslag!T12,10,0))</f>
        <v>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0</v>
      </c>
      <c r="H13" s="373" t="s">
        <v>9</v>
      </c>
      <c r="I13" s="441">
        <v>0</v>
      </c>
      <c r="J13" s="375">
        <f t="shared" si="0"/>
        <v>3</v>
      </c>
      <c r="K13" s="363">
        <f t="shared" si="1"/>
        <v>1</v>
      </c>
      <c r="L13" s="363">
        <f t="shared" si="2"/>
        <v>1</v>
      </c>
      <c r="O13" s="392"/>
      <c r="P13" s="393"/>
      <c r="Q13" s="393"/>
      <c r="R13" s="393"/>
      <c r="S13" s="393"/>
      <c r="T13" s="393"/>
      <c r="U13" s="392"/>
      <c r="V13" s="392"/>
      <c r="W13" s="392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3"/>
        <v>0</v>
      </c>
      <c r="AH13" s="108">
        <f t="shared" si="4"/>
        <v>0</v>
      </c>
      <c r="AI13" s="108">
        <f t="shared" si="10"/>
        <v>0</v>
      </c>
      <c r="AJ13" s="108">
        <f t="shared" si="5"/>
        <v>0</v>
      </c>
      <c r="AK13" s="108">
        <f t="shared" si="6"/>
        <v>0</v>
      </c>
      <c r="AL13" s="108">
        <f t="shared" si="7"/>
        <v>0</v>
      </c>
      <c r="AN13" s="392"/>
      <c r="AO13" s="393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1</v>
      </c>
      <c r="H14" s="373" t="s">
        <v>9</v>
      </c>
      <c r="I14" s="441">
        <v>2</v>
      </c>
      <c r="J14" s="375">
        <f t="shared" si="0"/>
        <v>2</v>
      </c>
      <c r="K14" s="363">
        <f t="shared" si="1"/>
        <v>0</v>
      </c>
      <c r="L14" s="363">
        <f t="shared" si="2"/>
        <v>3</v>
      </c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392"/>
      <c r="V14" s="392"/>
      <c r="W14" s="392"/>
      <c r="Y14" s="109">
        <f t="shared" si="8"/>
        <v>10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10</v>
      </c>
      <c r="AG14" s="108">
        <f t="shared" si="3"/>
        <v>1</v>
      </c>
      <c r="AH14" s="108">
        <f t="shared" si="4"/>
        <v>1</v>
      </c>
      <c r="AI14" s="108">
        <f t="shared" si="10"/>
        <v>10</v>
      </c>
      <c r="AJ14" s="108">
        <f t="shared" si="5"/>
        <v>0</v>
      </c>
      <c r="AK14" s="108">
        <f t="shared" si="6"/>
        <v>5</v>
      </c>
      <c r="AL14" s="108">
        <f t="shared" si="7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1</v>
      </c>
      <c r="H15" s="379" t="s">
        <v>9</v>
      </c>
      <c r="I15" s="442">
        <v>1</v>
      </c>
      <c r="J15" s="381">
        <f t="shared" si="0"/>
        <v>3</v>
      </c>
      <c r="K15" s="363">
        <f t="shared" si="1"/>
        <v>1</v>
      </c>
      <c r="L15" s="363">
        <f t="shared" si="2"/>
        <v>1</v>
      </c>
      <c r="O15" s="394" t="s">
        <v>13</v>
      </c>
      <c r="P15" s="395">
        <f>SUMIF($D$8:$D$55,$O15,$G$8:$G$55)+SUMIF($F$8:$F$55,$O15,$I$8:$I$55)</f>
        <v>8</v>
      </c>
      <c r="Q15" s="395">
        <f>SUMIF($D$8:$D$55,$O15,$I$8:$I$55)+SUMIF($F$8:$F$55,$O15,$G$8:$G$55)</f>
        <v>2</v>
      </c>
      <c r="R15" s="396">
        <f>P15-Q15</f>
        <v>6</v>
      </c>
      <c r="S15" s="397">
        <f>SUMIF($D$8:$D$55,$O15,$K$8:$K$55)+SUMIF($F$8:$F$55,$O15,$L$8:$L$55)</f>
        <v>9</v>
      </c>
      <c r="T15" s="444" t="s">
        <v>52</v>
      </c>
      <c r="U15" s="392"/>
      <c r="V15" s="392" t="str">
        <f>O15</f>
        <v>Spanje</v>
      </c>
      <c r="W15" s="392" t="s">
        <v>52</v>
      </c>
      <c r="Y15" s="109">
        <f t="shared" si="8"/>
        <v>1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1</v>
      </c>
      <c r="AG15" s="108">
        <f t="shared" si="3"/>
        <v>0</v>
      </c>
      <c r="AH15" s="108">
        <f t="shared" si="4"/>
        <v>1</v>
      </c>
      <c r="AI15" s="108">
        <f t="shared" si="10"/>
        <v>0</v>
      </c>
      <c r="AJ15" s="108">
        <f t="shared" si="5"/>
        <v>0</v>
      </c>
      <c r="AK15" s="108">
        <f t="shared" si="6"/>
        <v>0</v>
      </c>
      <c r="AL15" s="108">
        <f t="shared" si="7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1</v>
      </c>
      <c r="H16" s="367" t="s">
        <v>9</v>
      </c>
      <c r="I16" s="440">
        <v>1</v>
      </c>
      <c r="J16" s="369">
        <f t="shared" si="0"/>
        <v>3</v>
      </c>
      <c r="K16" s="363">
        <f t="shared" si="1"/>
        <v>1</v>
      </c>
      <c r="L16" s="363">
        <f t="shared" si="2"/>
        <v>1</v>
      </c>
      <c r="O16" s="404" t="s">
        <v>14</v>
      </c>
      <c r="P16" s="399">
        <f>SUMIF($D$8:$D$55,$O16,$G$8:$G$55)+SUMIF($F$8:$F$55,$O16,$I$8:$I$55)</f>
        <v>5</v>
      </c>
      <c r="Q16" s="399">
        <f>SUMIF($D$8:$D$55,$O16,$I$8:$I$55)+SUMIF($F$8:$F$55,$O16,$G$8:$G$55)</f>
        <v>3</v>
      </c>
      <c r="R16" s="399">
        <f>P16-Q16</f>
        <v>2</v>
      </c>
      <c r="S16" s="400">
        <f>SUMIF($D$8:$D$55,$O16,$K$8:$K$55)+SUMIF($F$8:$F$55,$O16,$L$8:$L$55)</f>
        <v>6</v>
      </c>
      <c r="T16" s="445" t="s">
        <v>53</v>
      </c>
      <c r="U16" s="392"/>
      <c r="V16" s="392" t="str">
        <f>O16</f>
        <v>Nederland</v>
      </c>
      <c r="W16" s="392" t="s">
        <v>53</v>
      </c>
      <c r="Y16" s="109">
        <f t="shared" si="8"/>
        <v>1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1</v>
      </c>
      <c r="AG16" s="108">
        <f t="shared" si="3"/>
        <v>0</v>
      </c>
      <c r="AH16" s="108">
        <f t="shared" si="4"/>
        <v>1</v>
      </c>
      <c r="AI16" s="108">
        <f t="shared" si="10"/>
        <v>0</v>
      </c>
      <c r="AJ16" s="108">
        <f t="shared" si="5"/>
        <v>0</v>
      </c>
      <c r="AK16" s="108">
        <f t="shared" si="6"/>
        <v>0</v>
      </c>
      <c r="AL16" s="108">
        <f t="shared" si="7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3</v>
      </c>
      <c r="H17" s="373" t="s">
        <v>9</v>
      </c>
      <c r="I17" s="441">
        <v>0</v>
      </c>
      <c r="J17" s="375">
        <f t="shared" si="0"/>
        <v>1</v>
      </c>
      <c r="K17" s="363">
        <f t="shared" si="1"/>
        <v>3</v>
      </c>
      <c r="L17" s="363">
        <f t="shared" si="2"/>
        <v>0</v>
      </c>
      <c r="O17" s="398" t="s">
        <v>15</v>
      </c>
      <c r="P17" s="399">
        <f>SUMIF($D$8:$D$55,$O17,$G$8:$G$55)+SUMIF($F$8:$F$55,$O17,$I$8:$I$55)</f>
        <v>2</v>
      </c>
      <c r="Q17" s="399">
        <f>SUMIF($D$8:$D$55,$O17,$I$8:$I$55)+SUMIF($F$8:$F$55,$O17,$G$8:$G$55)</f>
        <v>5</v>
      </c>
      <c r="R17" s="399">
        <f>P17-Q17</f>
        <v>-3</v>
      </c>
      <c r="S17" s="400">
        <f>SUMIF($D$8:$D$55,$O17,$K$8:$K$55)+SUMIF($F$8:$F$55,$O17,$L$8:$L$55)</f>
        <v>3</v>
      </c>
      <c r="T17" s="445" t="s">
        <v>54</v>
      </c>
      <c r="U17" s="392"/>
      <c r="V17" s="392" t="str">
        <f>O17</f>
        <v>Chili</v>
      </c>
      <c r="W17" s="392" t="s">
        <v>54</v>
      </c>
      <c r="Y17" s="109">
        <f t="shared" si="8"/>
        <v>10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10</v>
      </c>
      <c r="AG17" s="108">
        <f t="shared" si="3"/>
        <v>1</v>
      </c>
      <c r="AH17" s="108">
        <f t="shared" si="4"/>
        <v>1</v>
      </c>
      <c r="AI17" s="108">
        <f t="shared" si="10"/>
        <v>10</v>
      </c>
      <c r="AJ17" s="108">
        <f t="shared" si="5"/>
        <v>5</v>
      </c>
      <c r="AK17" s="108">
        <f t="shared" si="6"/>
        <v>0</v>
      </c>
      <c r="AL17" s="108">
        <f t="shared" si="7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2</v>
      </c>
      <c r="H18" s="379" t="s">
        <v>9</v>
      </c>
      <c r="I18" s="442">
        <v>0</v>
      </c>
      <c r="J18" s="381">
        <f t="shared" si="0"/>
        <v>1</v>
      </c>
      <c r="K18" s="363">
        <f t="shared" si="1"/>
        <v>3</v>
      </c>
      <c r="L18" s="363">
        <f t="shared" si="2"/>
        <v>0</v>
      </c>
      <c r="O18" s="401" t="s">
        <v>16</v>
      </c>
      <c r="P18" s="402">
        <f>SUMIF($D$8:$D$55,$O18,$G$8:$G$55)+SUMIF($F$8:$F$55,$O18,$I$8:$I$55)</f>
        <v>1</v>
      </c>
      <c r="Q18" s="402">
        <f>SUMIF($D$8:$D$55,$O18,$I$8:$I$55)+SUMIF($F$8:$F$55,$O18,$G$8:$G$55)</f>
        <v>6</v>
      </c>
      <c r="R18" s="402">
        <f>P18-Q18</f>
        <v>-5</v>
      </c>
      <c r="S18" s="403">
        <f>SUMIF($D$8:$D$55,$O18,$K$8:$K$55)+SUMIF($F$8:$F$55,$O18,$L$8:$L$55)</f>
        <v>0</v>
      </c>
      <c r="T18" s="446" t="s">
        <v>55</v>
      </c>
      <c r="U18" s="392"/>
      <c r="V18" s="392" t="str">
        <f>O18</f>
        <v>Australië</v>
      </c>
      <c r="W18" s="392" t="s">
        <v>55</v>
      </c>
      <c r="Y18" s="109">
        <f t="shared" si="8"/>
        <v>6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6</v>
      </c>
      <c r="AG18" s="108">
        <f t="shared" si="3"/>
        <v>1</v>
      </c>
      <c r="AH18" s="108">
        <f t="shared" si="4"/>
        <v>0</v>
      </c>
      <c r="AI18" s="108">
        <f t="shared" si="10"/>
        <v>0</v>
      </c>
      <c r="AJ18" s="108">
        <f t="shared" si="5"/>
        <v>5</v>
      </c>
      <c r="AK18" s="108">
        <f t="shared" si="6"/>
        <v>0</v>
      </c>
      <c r="AL18" s="108">
        <f t="shared" si="7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2</v>
      </c>
      <c r="H19" s="367" t="s">
        <v>9</v>
      </c>
      <c r="I19" s="440">
        <v>1</v>
      </c>
      <c r="J19" s="369">
        <f t="shared" si="0"/>
        <v>1</v>
      </c>
      <c r="K19" s="363">
        <f t="shared" si="1"/>
        <v>3</v>
      </c>
      <c r="L19" s="363">
        <f t="shared" si="2"/>
        <v>0</v>
      </c>
      <c r="O19" s="392"/>
      <c r="P19" s="393"/>
      <c r="Q19" s="393"/>
      <c r="R19" s="393"/>
      <c r="S19" s="393"/>
      <c r="T19" s="393"/>
      <c r="U19" s="392"/>
      <c r="V19" s="392"/>
      <c r="W19" s="392"/>
      <c r="Y19" s="109">
        <f t="shared" si="8"/>
        <v>5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5</v>
      </c>
      <c r="AG19" s="108">
        <f t="shared" si="3"/>
        <v>0</v>
      </c>
      <c r="AH19" s="108">
        <f t="shared" si="4"/>
        <v>0</v>
      </c>
      <c r="AI19" s="108">
        <f t="shared" si="10"/>
        <v>0</v>
      </c>
      <c r="AJ19" s="108">
        <f t="shared" si="5"/>
        <v>5</v>
      </c>
      <c r="AK19" s="108">
        <f t="shared" si="6"/>
        <v>0</v>
      </c>
      <c r="AL19" s="108">
        <f t="shared" si="7"/>
        <v>0</v>
      </c>
      <c r="AN19" s="392"/>
      <c r="AO19" s="393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0</v>
      </c>
      <c r="H20" s="373" t="s">
        <v>9</v>
      </c>
      <c r="I20" s="441">
        <v>0</v>
      </c>
      <c r="J20" s="375">
        <f t="shared" si="0"/>
        <v>3</v>
      </c>
      <c r="K20" s="363">
        <f t="shared" si="1"/>
        <v>1</v>
      </c>
      <c r="L20" s="363">
        <f t="shared" si="2"/>
        <v>1</v>
      </c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392"/>
      <c r="V20" s="392"/>
      <c r="W20" s="392"/>
      <c r="Y20" s="109">
        <f t="shared" si="8"/>
        <v>10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10</v>
      </c>
      <c r="AG20" s="108">
        <f t="shared" si="3"/>
        <v>1</v>
      </c>
      <c r="AH20" s="108">
        <f t="shared" si="4"/>
        <v>1</v>
      </c>
      <c r="AI20" s="108">
        <f t="shared" si="10"/>
        <v>10</v>
      </c>
      <c r="AJ20" s="108">
        <f t="shared" si="5"/>
        <v>0</v>
      </c>
      <c r="AK20" s="108">
        <f t="shared" si="6"/>
        <v>0</v>
      </c>
      <c r="AL20" s="108">
        <f t="shared" si="7"/>
        <v>5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2</v>
      </c>
      <c r="H21" s="379" t="s">
        <v>9</v>
      </c>
      <c r="I21" s="442">
        <v>0</v>
      </c>
      <c r="J21" s="381">
        <f t="shared" si="0"/>
        <v>1</v>
      </c>
      <c r="K21" s="363">
        <f t="shared" si="1"/>
        <v>3</v>
      </c>
      <c r="L21" s="363">
        <f t="shared" si="2"/>
        <v>0</v>
      </c>
      <c r="O21" s="394" t="s">
        <v>17</v>
      </c>
      <c r="P21" s="395">
        <f>SUMIF($D$8:$D$55,$O21,$G$8:$G$55)+SUMIF($F$8:$F$55,$O21,$I$8:$I$55)</f>
        <v>1</v>
      </c>
      <c r="Q21" s="395">
        <f>SUMIF($D$8:$D$55,$O21,$I$8:$I$55)+SUMIF($F$8:$F$55,$O21,$G$8:$G$55)</f>
        <v>4</v>
      </c>
      <c r="R21" s="396">
        <f>P21-Q21</f>
        <v>-3</v>
      </c>
      <c r="S21" s="397">
        <f>SUMIF($D$8:$D$55,$O21,$K$8:$K$55)+SUMIF($F$8:$F$55,$O21,$L$8:$L$55)</f>
        <v>1</v>
      </c>
      <c r="T21" s="444" t="s">
        <v>60</v>
      </c>
      <c r="U21" s="392"/>
      <c r="V21" s="392" t="str">
        <f>O21</f>
        <v>Colombia</v>
      </c>
      <c r="W21" s="392" t="s">
        <v>57</v>
      </c>
      <c r="Y21" s="109">
        <f t="shared" si="8"/>
        <v>0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0</v>
      </c>
      <c r="AG21" s="108">
        <f t="shared" si="3"/>
        <v>0</v>
      </c>
      <c r="AH21" s="108">
        <f t="shared" si="4"/>
        <v>0</v>
      </c>
      <c r="AI21" s="108">
        <f t="shared" si="10"/>
        <v>0</v>
      </c>
      <c r="AJ21" s="108">
        <f t="shared" si="5"/>
        <v>0</v>
      </c>
      <c r="AK21" s="108">
        <f t="shared" si="6"/>
        <v>0</v>
      </c>
      <c r="AL21" s="108">
        <f t="shared" si="7"/>
        <v>0</v>
      </c>
      <c r="AM21" s="120">
        <f>AO21</f>
        <v>0</v>
      </c>
      <c r="AN21" s="116" t="s">
        <v>17</v>
      </c>
      <c r="AO21" s="115">
        <f>IF(Uitslag!T21="",0,IF(T21=Uitslag!T21,10,0))</f>
        <v>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3</v>
      </c>
      <c r="H22" s="367" t="s">
        <v>9</v>
      </c>
      <c r="I22" s="440">
        <v>0</v>
      </c>
      <c r="J22" s="369">
        <f t="shared" si="0"/>
        <v>1</v>
      </c>
      <c r="K22" s="363">
        <f t="shared" si="1"/>
        <v>3</v>
      </c>
      <c r="L22" s="363">
        <f t="shared" si="2"/>
        <v>0</v>
      </c>
      <c r="O22" s="398" t="s">
        <v>18</v>
      </c>
      <c r="P22" s="399">
        <f>SUMIF($D$8:$D$55,$O22,$G$8:$G$55)+SUMIF($F$8:$F$55,$O22,$I$8:$I$55)</f>
        <v>7</v>
      </c>
      <c r="Q22" s="399">
        <f>SUMIF($D$8:$D$55,$O22,$I$8:$I$55)+SUMIF($F$8:$F$55,$O22,$G$8:$G$55)</f>
        <v>0</v>
      </c>
      <c r="R22" s="399">
        <f>P22-Q22</f>
        <v>7</v>
      </c>
      <c r="S22" s="400">
        <f>SUMIF($D$8:$D$55,$O22,$K$8:$K$55)+SUMIF($F$8:$F$55,$O22,$L$8:$L$55)</f>
        <v>9</v>
      </c>
      <c r="T22" s="445" t="s">
        <v>57</v>
      </c>
      <c r="U22" s="392"/>
      <c r="V22" s="392" t="str">
        <f>O22</f>
        <v>Griekenland</v>
      </c>
      <c r="W22" s="392" t="s">
        <v>58</v>
      </c>
      <c r="Y22" s="109">
        <f t="shared" si="8"/>
        <v>5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5</v>
      </c>
      <c r="AG22" s="108">
        <f t="shared" si="3"/>
        <v>0</v>
      </c>
      <c r="AH22" s="108">
        <f t="shared" si="4"/>
        <v>0</v>
      </c>
      <c r="AI22" s="108">
        <f t="shared" si="10"/>
        <v>0</v>
      </c>
      <c r="AJ22" s="108">
        <f t="shared" si="5"/>
        <v>5</v>
      </c>
      <c r="AK22" s="108">
        <f t="shared" si="6"/>
        <v>0</v>
      </c>
      <c r="AL22" s="108">
        <f t="shared" si="7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3</v>
      </c>
      <c r="H23" s="373" t="s">
        <v>9</v>
      </c>
      <c r="I23" s="441">
        <v>1</v>
      </c>
      <c r="J23" s="375">
        <f t="shared" si="0"/>
        <v>1</v>
      </c>
      <c r="K23" s="363">
        <f t="shared" si="1"/>
        <v>3</v>
      </c>
      <c r="L23" s="363">
        <f t="shared" si="2"/>
        <v>0</v>
      </c>
      <c r="O23" s="398" t="s">
        <v>23</v>
      </c>
      <c r="P23" s="399">
        <f>SUMIF($D$8:$D$55,$O23,$G$8:$G$55)+SUMIF($F$8:$F$55,$O23,$I$8:$I$55)</f>
        <v>2</v>
      </c>
      <c r="Q23" s="399">
        <f>SUMIF($D$8:$D$55,$O23,$I$8:$I$55)+SUMIF($F$8:$F$55,$O23,$G$8:$G$55)</f>
        <v>3</v>
      </c>
      <c r="R23" s="399">
        <f>P23-Q23</f>
        <v>-1</v>
      </c>
      <c r="S23" s="400">
        <f>SUMIF($D$8:$D$55,$O23,$K$8:$K$55)+SUMIF($F$8:$F$55,$O23,$L$8:$L$55)</f>
        <v>4</v>
      </c>
      <c r="T23" s="445" t="s">
        <v>58</v>
      </c>
      <c r="U23" s="392"/>
      <c r="V23" s="392" t="str">
        <f>O23</f>
        <v>Ivoorkust</v>
      </c>
      <c r="W23" s="392" t="s">
        <v>59</v>
      </c>
      <c r="Y23" s="109">
        <f t="shared" si="8"/>
        <v>0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0</v>
      </c>
      <c r="AG23" s="108">
        <f t="shared" si="3"/>
        <v>0</v>
      </c>
      <c r="AH23" s="108">
        <f t="shared" si="4"/>
        <v>0</v>
      </c>
      <c r="AI23" s="108">
        <f t="shared" si="10"/>
        <v>0</v>
      </c>
      <c r="AJ23" s="108">
        <f t="shared" si="5"/>
        <v>0</v>
      </c>
      <c r="AK23" s="108">
        <f t="shared" si="6"/>
        <v>0</v>
      </c>
      <c r="AL23" s="108">
        <f t="shared" si="7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0</v>
      </c>
      <c r="H24" s="379" t="s">
        <v>9</v>
      </c>
      <c r="I24" s="442">
        <v>1</v>
      </c>
      <c r="J24" s="381">
        <f t="shared" si="0"/>
        <v>2</v>
      </c>
      <c r="K24" s="363">
        <f t="shared" si="1"/>
        <v>0</v>
      </c>
      <c r="L24" s="363">
        <f t="shared" si="2"/>
        <v>3</v>
      </c>
      <c r="O24" s="401" t="s">
        <v>24</v>
      </c>
      <c r="P24" s="402">
        <f>SUMIF($D$8:$D$55,$O24,$G$8:$G$55)+SUMIF($F$8:$F$55,$O24,$I$8:$I$55)</f>
        <v>2</v>
      </c>
      <c r="Q24" s="402">
        <f>SUMIF($D$8:$D$55,$O24,$I$8:$I$55)+SUMIF($F$8:$F$55,$O24,$G$8:$G$55)</f>
        <v>5</v>
      </c>
      <c r="R24" s="402">
        <f>P24-Q24</f>
        <v>-3</v>
      </c>
      <c r="S24" s="403">
        <f>SUMIF($D$8:$D$55,$O24,$K$8:$K$55)+SUMIF($F$8:$F$55,$O24,$L$8:$L$55)</f>
        <v>2</v>
      </c>
      <c r="T24" s="446" t="s">
        <v>59</v>
      </c>
      <c r="U24" s="392"/>
      <c r="V24" s="392" t="str">
        <f>O24</f>
        <v>Japan</v>
      </c>
      <c r="W24" s="392" t="s">
        <v>60</v>
      </c>
      <c r="Y24" s="109">
        <f t="shared" si="8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</v>
      </c>
      <c r="AG24" s="108">
        <f t="shared" si="3"/>
        <v>0</v>
      </c>
      <c r="AH24" s="108">
        <f t="shared" si="4"/>
        <v>1</v>
      </c>
      <c r="AI24" s="108">
        <f t="shared" si="10"/>
        <v>0</v>
      </c>
      <c r="AJ24" s="108">
        <f t="shared" si="5"/>
        <v>0</v>
      </c>
      <c r="AK24" s="108">
        <f t="shared" si="6"/>
        <v>0</v>
      </c>
      <c r="AL24" s="108">
        <f t="shared" si="7"/>
        <v>0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0</v>
      </c>
      <c r="H25" s="367" t="s">
        <v>9</v>
      </c>
      <c r="I25" s="440">
        <v>2</v>
      </c>
      <c r="J25" s="369">
        <f t="shared" si="0"/>
        <v>2</v>
      </c>
      <c r="K25" s="363">
        <f t="shared" si="1"/>
        <v>0</v>
      </c>
      <c r="L25" s="363">
        <f t="shared" si="2"/>
        <v>3</v>
      </c>
      <c r="O25" s="392"/>
      <c r="P25" s="393"/>
      <c r="Q25" s="393"/>
      <c r="R25" s="393"/>
      <c r="S25" s="393"/>
      <c r="T25" s="393"/>
      <c r="U25" s="392"/>
      <c r="V25" s="392"/>
      <c r="W25" s="392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3"/>
        <v>0</v>
      </c>
      <c r="AH25" s="108">
        <f t="shared" si="4"/>
        <v>0</v>
      </c>
      <c r="AI25" s="108">
        <f t="shared" si="10"/>
        <v>0</v>
      </c>
      <c r="AJ25" s="108">
        <f t="shared" si="5"/>
        <v>0</v>
      </c>
      <c r="AK25" s="108">
        <f t="shared" si="6"/>
        <v>5</v>
      </c>
      <c r="AL25" s="108">
        <f t="shared" si="7"/>
        <v>0</v>
      </c>
      <c r="AN25" s="392"/>
      <c r="AO25" s="393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3</v>
      </c>
      <c r="H26" s="373" t="s">
        <v>9</v>
      </c>
      <c r="I26" s="441">
        <v>0</v>
      </c>
      <c r="J26" s="375">
        <f t="shared" si="0"/>
        <v>1</v>
      </c>
      <c r="K26" s="363">
        <f t="shared" si="1"/>
        <v>3</v>
      </c>
      <c r="L26" s="363">
        <f t="shared" si="2"/>
        <v>0</v>
      </c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392"/>
      <c r="V26" s="392"/>
      <c r="W26" s="392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3"/>
        <v>0</v>
      </c>
      <c r="AH26" s="108">
        <f t="shared" si="4"/>
        <v>0</v>
      </c>
      <c r="AI26" s="108">
        <f t="shared" si="10"/>
        <v>0</v>
      </c>
      <c r="AJ26" s="108">
        <f t="shared" si="5"/>
        <v>0</v>
      </c>
      <c r="AK26" s="108">
        <f t="shared" si="6"/>
        <v>0</v>
      </c>
      <c r="AL26" s="108">
        <f t="shared" si="7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1</v>
      </c>
      <c r="H27" s="379" t="s">
        <v>9</v>
      </c>
      <c r="I27" s="442">
        <v>1</v>
      </c>
      <c r="J27" s="381">
        <f t="shared" si="0"/>
        <v>3</v>
      </c>
      <c r="K27" s="363">
        <f t="shared" si="1"/>
        <v>1</v>
      </c>
      <c r="L27" s="363">
        <f t="shared" si="2"/>
        <v>1</v>
      </c>
      <c r="O27" s="394" t="s">
        <v>19</v>
      </c>
      <c r="P27" s="395">
        <f>SUMIF($D$8:$D$55,$O27,$G$8:$G$55)+SUMIF($F$8:$F$55,$O27,$I$8:$I$55)</f>
        <v>1</v>
      </c>
      <c r="Q27" s="395">
        <f>SUMIF($D$8:$D$55,$O27,$I$8:$I$55)+SUMIF($F$8:$F$55,$O27,$G$8:$G$55)</f>
        <v>4</v>
      </c>
      <c r="R27" s="396">
        <f>P27-Q27</f>
        <v>-3</v>
      </c>
      <c r="S27" s="397">
        <f>SUMIF($D$8:$D$55,$O27,$K$8:$K$55)+SUMIF($F$8:$F$55,$O27,$L$8:$L$55)</f>
        <v>1</v>
      </c>
      <c r="T27" s="444" t="s">
        <v>65</v>
      </c>
      <c r="U27" s="392"/>
      <c r="V27" s="392" t="str">
        <f>O27</f>
        <v>Uruguay</v>
      </c>
      <c r="W27" s="392" t="s">
        <v>62</v>
      </c>
      <c r="Y27" s="109">
        <f t="shared" si="8"/>
        <v>0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0</v>
      </c>
      <c r="AG27" s="108">
        <f t="shared" si="3"/>
        <v>0</v>
      </c>
      <c r="AH27" s="108">
        <f t="shared" si="4"/>
        <v>0</v>
      </c>
      <c r="AI27" s="108">
        <f t="shared" si="10"/>
        <v>0</v>
      </c>
      <c r="AJ27" s="108">
        <f t="shared" si="5"/>
        <v>0</v>
      </c>
      <c r="AK27" s="108">
        <f t="shared" si="6"/>
        <v>0</v>
      </c>
      <c r="AL27" s="108">
        <f t="shared" si="7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0</v>
      </c>
      <c r="H28" s="367" t="s">
        <v>9</v>
      </c>
      <c r="I28" s="440">
        <v>1</v>
      </c>
      <c r="J28" s="369">
        <f t="shared" si="0"/>
        <v>2</v>
      </c>
      <c r="K28" s="363">
        <f t="shared" si="1"/>
        <v>0</v>
      </c>
      <c r="L28" s="363">
        <f t="shared" si="2"/>
        <v>3</v>
      </c>
      <c r="O28" s="398" t="s">
        <v>20</v>
      </c>
      <c r="P28" s="399">
        <f>SUMIF($D$8:$D$55,$O28,$G$8:$G$55)+SUMIF($F$8:$F$55,$O28,$I$8:$I$55)</f>
        <v>1</v>
      </c>
      <c r="Q28" s="399">
        <f>SUMIF($D$8:$D$55,$O28,$I$8:$I$55)+SUMIF($F$8:$F$55,$O28,$G$8:$G$55)</f>
        <v>4</v>
      </c>
      <c r="R28" s="399">
        <f>P28-Q28</f>
        <v>-3</v>
      </c>
      <c r="S28" s="400">
        <f>SUMIF($D$8:$D$55,$O28,$K$8:$K$55)+SUMIF($F$8:$F$55,$O28,$L$8:$L$55)</f>
        <v>1</v>
      </c>
      <c r="T28" s="445" t="s">
        <v>64</v>
      </c>
      <c r="U28" s="392"/>
      <c r="V28" s="392" t="str">
        <f>O28</f>
        <v>Costa Rica</v>
      </c>
      <c r="W28" s="392" t="s">
        <v>63</v>
      </c>
      <c r="Y28" s="109">
        <f t="shared" si="8"/>
        <v>1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1</v>
      </c>
      <c r="AG28" s="108">
        <f t="shared" si="3"/>
        <v>0</v>
      </c>
      <c r="AH28" s="108">
        <f t="shared" si="4"/>
        <v>1</v>
      </c>
      <c r="AI28" s="108">
        <f t="shared" si="10"/>
        <v>0</v>
      </c>
      <c r="AJ28" s="108">
        <f t="shared" si="5"/>
        <v>0</v>
      </c>
      <c r="AK28" s="108">
        <f t="shared" si="6"/>
        <v>0</v>
      </c>
      <c r="AL28" s="108">
        <f t="shared" si="7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1</v>
      </c>
      <c r="H29" s="373" t="s">
        <v>9</v>
      </c>
      <c r="I29" s="441">
        <v>2</v>
      </c>
      <c r="J29" s="375">
        <f t="shared" si="0"/>
        <v>2</v>
      </c>
      <c r="K29" s="363">
        <f t="shared" si="1"/>
        <v>0</v>
      </c>
      <c r="L29" s="363">
        <f t="shared" si="2"/>
        <v>3</v>
      </c>
      <c r="O29" s="398" t="s">
        <v>21</v>
      </c>
      <c r="P29" s="399">
        <f>SUMIF($D$8:$D$55,$O29,$G$8:$G$55)+SUMIF($F$8:$F$55,$O29,$I$8:$I$55)</f>
        <v>5</v>
      </c>
      <c r="Q29" s="399">
        <f>SUMIF($D$8:$D$55,$O29,$I$8:$I$55)+SUMIF($F$8:$F$55,$O29,$G$8:$G$55)</f>
        <v>4</v>
      </c>
      <c r="R29" s="399">
        <f>P29-Q29</f>
        <v>1</v>
      </c>
      <c r="S29" s="400">
        <f>SUMIF($D$8:$D$55,$O29,$K$8:$K$55)+SUMIF($F$8:$F$55,$O29,$L$8:$L$55)</f>
        <v>6</v>
      </c>
      <c r="T29" s="445" t="s">
        <v>63</v>
      </c>
      <c r="U29" s="392"/>
      <c r="V29" s="392" t="str">
        <f>O29</f>
        <v>Engeland</v>
      </c>
      <c r="W29" s="392" t="s">
        <v>64</v>
      </c>
      <c r="Y29" s="109">
        <f t="shared" si="8"/>
        <v>0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0</v>
      </c>
      <c r="AG29" s="108">
        <f t="shared" si="3"/>
        <v>0</v>
      </c>
      <c r="AH29" s="108">
        <f t="shared" si="4"/>
        <v>0</v>
      </c>
      <c r="AI29" s="108">
        <f t="shared" si="10"/>
        <v>0</v>
      </c>
      <c r="AJ29" s="108">
        <f t="shared" si="5"/>
        <v>0</v>
      </c>
      <c r="AK29" s="108">
        <f t="shared" si="6"/>
        <v>0</v>
      </c>
      <c r="AL29" s="108">
        <f t="shared" si="7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0</v>
      </c>
      <c r="H30" s="379" t="s">
        <v>9</v>
      </c>
      <c r="I30" s="442">
        <v>3</v>
      </c>
      <c r="J30" s="381">
        <f t="shared" si="0"/>
        <v>2</v>
      </c>
      <c r="K30" s="363">
        <f t="shared" si="1"/>
        <v>0</v>
      </c>
      <c r="L30" s="363">
        <f t="shared" si="2"/>
        <v>3</v>
      </c>
      <c r="O30" s="401" t="s">
        <v>22</v>
      </c>
      <c r="P30" s="402">
        <f>SUMIF($D$8:$D$55,$O30,$G$8:$G$55)+SUMIF($F$8:$F$55,$O30,$I$8:$I$55)</f>
        <v>6</v>
      </c>
      <c r="Q30" s="402">
        <f>SUMIF($D$8:$D$55,$O30,$I$8:$I$55)+SUMIF($F$8:$F$55,$O30,$G$8:$G$55)</f>
        <v>1</v>
      </c>
      <c r="R30" s="402">
        <f>P30-Q30</f>
        <v>5</v>
      </c>
      <c r="S30" s="403">
        <f>SUMIF($D$8:$D$55,$O30,$K$8:$K$55)+SUMIF($F$8:$F$55,$O30,$L$8:$L$55)</f>
        <v>9</v>
      </c>
      <c r="T30" s="446" t="s">
        <v>62</v>
      </c>
      <c r="U30" s="392"/>
      <c r="V30" s="392" t="str">
        <f>O30</f>
        <v>Italië</v>
      </c>
      <c r="W30" s="392" t="s">
        <v>65</v>
      </c>
      <c r="Y30" s="109">
        <f t="shared" si="8"/>
        <v>1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1</v>
      </c>
      <c r="AG30" s="108">
        <f t="shared" si="3"/>
        <v>1</v>
      </c>
      <c r="AH30" s="108">
        <f t="shared" si="4"/>
        <v>0</v>
      </c>
      <c r="AI30" s="108">
        <f t="shared" si="10"/>
        <v>0</v>
      </c>
      <c r="AJ30" s="108">
        <f t="shared" si="5"/>
        <v>0</v>
      </c>
      <c r="AK30" s="108">
        <f t="shared" si="6"/>
        <v>0</v>
      </c>
      <c r="AL30" s="108">
        <f t="shared" si="7"/>
        <v>0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2</v>
      </c>
      <c r="H31" s="367" t="s">
        <v>9</v>
      </c>
      <c r="I31" s="440">
        <v>0</v>
      </c>
      <c r="J31" s="369">
        <f t="shared" si="0"/>
        <v>1</v>
      </c>
      <c r="K31" s="363">
        <f t="shared" si="1"/>
        <v>3</v>
      </c>
      <c r="L31" s="363">
        <f t="shared" si="2"/>
        <v>0</v>
      </c>
      <c r="O31" s="392"/>
      <c r="P31" s="393"/>
      <c r="Q31" s="393"/>
      <c r="R31" s="393"/>
      <c r="S31" s="393"/>
      <c r="T31" s="393"/>
      <c r="U31" s="392"/>
      <c r="V31" s="392"/>
      <c r="W31" s="392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3"/>
        <v>0</v>
      </c>
      <c r="AH31" s="108">
        <f t="shared" si="4"/>
        <v>0</v>
      </c>
      <c r="AI31" s="108">
        <f t="shared" si="10"/>
        <v>0</v>
      </c>
      <c r="AJ31" s="108">
        <f t="shared" si="5"/>
        <v>0</v>
      </c>
      <c r="AK31" s="108">
        <f t="shared" si="6"/>
        <v>0</v>
      </c>
      <c r="AL31" s="108">
        <f t="shared" si="7"/>
        <v>0</v>
      </c>
      <c r="AN31" s="392"/>
      <c r="AO31" s="393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1</v>
      </c>
      <c r="H32" s="373" t="s">
        <v>9</v>
      </c>
      <c r="I32" s="441">
        <v>2</v>
      </c>
      <c r="J32" s="375">
        <f t="shared" si="0"/>
        <v>2</v>
      </c>
      <c r="K32" s="363">
        <f t="shared" si="1"/>
        <v>0</v>
      </c>
      <c r="L32" s="363">
        <f t="shared" si="2"/>
        <v>3</v>
      </c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392"/>
      <c r="V32" s="392"/>
      <c r="W32" s="392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3"/>
        <v>0</v>
      </c>
      <c r="AH32" s="108">
        <f t="shared" si="4"/>
        <v>0</v>
      </c>
      <c r="AI32" s="108">
        <f t="shared" si="10"/>
        <v>0</v>
      </c>
      <c r="AJ32" s="108">
        <f t="shared" si="5"/>
        <v>0</v>
      </c>
      <c r="AK32" s="108">
        <f t="shared" si="6"/>
        <v>5</v>
      </c>
      <c r="AL32" s="108">
        <f t="shared" si="7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2</v>
      </c>
      <c r="H33" s="379" t="s">
        <v>9</v>
      </c>
      <c r="I33" s="442">
        <v>2</v>
      </c>
      <c r="J33" s="381">
        <f t="shared" si="0"/>
        <v>3</v>
      </c>
      <c r="K33" s="363">
        <f t="shared" si="1"/>
        <v>1</v>
      </c>
      <c r="L33" s="363">
        <f t="shared" si="2"/>
        <v>1</v>
      </c>
      <c r="O33" s="394" t="s">
        <v>25</v>
      </c>
      <c r="P33" s="395">
        <f>SUMIF($D$8:$D$55,$O33,$G$8:$G$55)+SUMIF($F$8:$F$55,$O33,$I$8:$I$55)</f>
        <v>3</v>
      </c>
      <c r="Q33" s="395">
        <f>SUMIF($D$8:$D$55,$O33,$I$8:$I$55)+SUMIF($F$8:$F$55,$O33,$G$8:$G$55)</f>
        <v>4</v>
      </c>
      <c r="R33" s="396">
        <f>P33-Q33</f>
        <v>-1</v>
      </c>
      <c r="S33" s="397">
        <f>SUMIF($D$8:$D$55,$O33,$K$8:$K$55)+SUMIF($F$8:$F$55,$O33,$L$8:$L$55)</f>
        <v>2</v>
      </c>
      <c r="T33" s="444" t="s">
        <v>68</v>
      </c>
      <c r="U33" s="392"/>
      <c r="V33" s="392" t="str">
        <f>O33</f>
        <v>Zwitserland</v>
      </c>
      <c r="W33" s="392" t="s">
        <v>67</v>
      </c>
      <c r="Y33" s="109">
        <f t="shared" si="8"/>
        <v>1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1</v>
      </c>
      <c r="AG33" s="108">
        <f t="shared" si="3"/>
        <v>0</v>
      </c>
      <c r="AH33" s="108">
        <f t="shared" si="4"/>
        <v>1</v>
      </c>
      <c r="AI33" s="108">
        <f t="shared" si="10"/>
        <v>0</v>
      </c>
      <c r="AJ33" s="108">
        <f t="shared" si="5"/>
        <v>0</v>
      </c>
      <c r="AK33" s="108">
        <f t="shared" si="6"/>
        <v>0</v>
      </c>
      <c r="AL33" s="108">
        <f t="shared" si="7"/>
        <v>0</v>
      </c>
      <c r="AM33" s="120">
        <f>AO33</f>
        <v>10</v>
      </c>
      <c r="AN33" s="116" t="s">
        <v>25</v>
      </c>
      <c r="AO33" s="115">
        <f>IF(Uitslag!T33="",0,IF(T33=Uitslag!T33,10,0))</f>
        <v>10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3</v>
      </c>
      <c r="H34" s="367" t="s">
        <v>9</v>
      </c>
      <c r="I34" s="440">
        <v>0</v>
      </c>
      <c r="J34" s="369">
        <f t="shared" si="0"/>
        <v>1</v>
      </c>
      <c r="K34" s="363">
        <f t="shared" si="1"/>
        <v>3</v>
      </c>
      <c r="L34" s="363">
        <f t="shared" si="2"/>
        <v>0</v>
      </c>
      <c r="O34" s="398" t="s">
        <v>26</v>
      </c>
      <c r="P34" s="399">
        <f>SUMIF($D$8:$D$55,$O34,$G$8:$G$55)+SUMIF($F$8:$F$55,$O34,$I$8:$I$55)</f>
        <v>3</v>
      </c>
      <c r="Q34" s="399">
        <f>SUMIF($D$8:$D$55,$O34,$I$8:$I$55)+SUMIF($F$8:$F$55,$O34,$G$8:$G$55)</f>
        <v>5</v>
      </c>
      <c r="R34" s="399">
        <f>P34-Q34</f>
        <v>-2</v>
      </c>
      <c r="S34" s="400">
        <f>SUMIF($D$8:$D$55,$O34,$K$8:$K$55)+SUMIF($F$8:$F$55,$O34,$L$8:$L$55)</f>
        <v>2</v>
      </c>
      <c r="T34" s="445" t="s">
        <v>69</v>
      </c>
      <c r="U34" s="392"/>
      <c r="V34" s="392" t="str">
        <f>O34</f>
        <v>Ecuador</v>
      </c>
      <c r="W34" s="392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3"/>
        <v>0</v>
      </c>
      <c r="AH34" s="108">
        <f t="shared" si="4"/>
        <v>1</v>
      </c>
      <c r="AI34" s="108">
        <f t="shared" si="10"/>
        <v>0</v>
      </c>
      <c r="AJ34" s="108">
        <f t="shared" si="5"/>
        <v>5</v>
      </c>
      <c r="AK34" s="108">
        <f t="shared" si="6"/>
        <v>0</v>
      </c>
      <c r="AL34" s="108">
        <f t="shared" si="7"/>
        <v>0</v>
      </c>
      <c r="AM34" s="120">
        <f>AO34</f>
        <v>10</v>
      </c>
      <c r="AN34" s="117" t="s">
        <v>26</v>
      </c>
      <c r="AO34" s="115">
        <f>IF(Uitslag!T34="",0,IF(T34=Uitslag!T34,10,0))</f>
        <v>10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4</v>
      </c>
      <c r="H35" s="373" t="s">
        <v>9</v>
      </c>
      <c r="I35" s="441">
        <v>0</v>
      </c>
      <c r="J35" s="375">
        <f t="shared" si="0"/>
        <v>1</v>
      </c>
      <c r="K35" s="363">
        <f t="shared" si="1"/>
        <v>3</v>
      </c>
      <c r="L35" s="363">
        <f t="shared" si="2"/>
        <v>0</v>
      </c>
      <c r="O35" s="398" t="s">
        <v>27</v>
      </c>
      <c r="P35" s="399">
        <f>SUMIF($D$8:$D$55,$O35,$G$8:$G$55)+SUMIF($F$8:$F$55,$O35,$I$8:$I$55)</f>
        <v>7</v>
      </c>
      <c r="Q35" s="399">
        <f>SUMIF($D$8:$D$55,$O35,$I$8:$I$55)+SUMIF($F$8:$F$55,$O35,$G$8:$G$55)</f>
        <v>1</v>
      </c>
      <c r="R35" s="399">
        <f>P35-Q35</f>
        <v>6</v>
      </c>
      <c r="S35" s="400">
        <f>SUMIF($D$8:$D$55,$O35,$K$8:$K$55)+SUMIF($F$8:$F$55,$O35,$L$8:$L$55)</f>
        <v>9</v>
      </c>
      <c r="T35" s="445" t="s">
        <v>67</v>
      </c>
      <c r="U35" s="392"/>
      <c r="V35" s="392" t="str">
        <f>O35</f>
        <v>Frankrijk</v>
      </c>
      <c r="W35" s="392" t="s">
        <v>69</v>
      </c>
      <c r="Y35" s="109">
        <f t="shared" si="8"/>
        <v>0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0</v>
      </c>
      <c r="AG35" s="108">
        <f t="shared" si="3"/>
        <v>0</v>
      </c>
      <c r="AH35" s="108">
        <f t="shared" si="4"/>
        <v>0</v>
      </c>
      <c r="AI35" s="108">
        <f t="shared" si="10"/>
        <v>0</v>
      </c>
      <c r="AJ35" s="108">
        <f t="shared" si="5"/>
        <v>0</v>
      </c>
      <c r="AK35" s="108">
        <f t="shared" si="6"/>
        <v>0</v>
      </c>
      <c r="AL35" s="108">
        <f t="shared" si="7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0</v>
      </c>
      <c r="H36" s="379" t="s">
        <v>9</v>
      </c>
      <c r="I36" s="442">
        <v>1</v>
      </c>
      <c r="J36" s="381">
        <f t="shared" si="0"/>
        <v>2</v>
      </c>
      <c r="K36" s="363">
        <f t="shared" si="1"/>
        <v>0</v>
      </c>
      <c r="L36" s="363">
        <f t="shared" si="2"/>
        <v>3</v>
      </c>
      <c r="O36" s="401" t="s">
        <v>28</v>
      </c>
      <c r="P36" s="402">
        <f>SUMIF($D$8:$D$55,$O36,$G$8:$G$55)+SUMIF($F$8:$F$55,$O36,$I$8:$I$55)</f>
        <v>3</v>
      </c>
      <c r="Q36" s="402">
        <f>SUMIF($D$8:$D$55,$O36,$I$8:$I$55)+SUMIF($F$8:$F$55,$O36,$G$8:$G$55)</f>
        <v>6</v>
      </c>
      <c r="R36" s="402">
        <f>P36-Q36</f>
        <v>-3</v>
      </c>
      <c r="S36" s="403">
        <f>SUMIF($D$8:$D$55,$O36,$K$8:$K$55)+SUMIF($F$8:$F$55,$O36,$L$8:$L$55)</f>
        <v>2</v>
      </c>
      <c r="T36" s="446" t="s">
        <v>70</v>
      </c>
      <c r="U36" s="392"/>
      <c r="V36" s="392" t="str">
        <f>O36</f>
        <v>Honduras</v>
      </c>
      <c r="W36" s="392" t="s">
        <v>70</v>
      </c>
      <c r="Y36" s="109">
        <f t="shared" si="8"/>
        <v>0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0</v>
      </c>
      <c r="AG36" s="108">
        <f t="shared" si="3"/>
        <v>0</v>
      </c>
      <c r="AH36" s="108">
        <f t="shared" si="4"/>
        <v>0</v>
      </c>
      <c r="AI36" s="108">
        <f t="shared" si="10"/>
        <v>0</v>
      </c>
      <c r="AJ36" s="108">
        <f t="shared" si="5"/>
        <v>0</v>
      </c>
      <c r="AK36" s="108">
        <f t="shared" si="6"/>
        <v>0</v>
      </c>
      <c r="AL36" s="108">
        <f t="shared" si="7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2</v>
      </c>
      <c r="H37" s="367" t="s">
        <v>9</v>
      </c>
      <c r="I37" s="440">
        <v>0</v>
      </c>
      <c r="J37" s="369">
        <f t="shared" si="0"/>
        <v>1</v>
      </c>
      <c r="K37" s="363">
        <f t="shared" si="1"/>
        <v>3</v>
      </c>
      <c r="L37" s="363">
        <f t="shared" si="2"/>
        <v>0</v>
      </c>
      <c r="O37" s="392"/>
      <c r="P37" s="393"/>
      <c r="Q37" s="393"/>
      <c r="R37" s="393"/>
      <c r="S37" s="393"/>
      <c r="T37" s="393"/>
      <c r="U37" s="392"/>
      <c r="V37" s="392"/>
      <c r="W37" s="392"/>
      <c r="Y37" s="109">
        <f t="shared" si="8"/>
        <v>6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6</v>
      </c>
      <c r="AG37" s="108">
        <f t="shared" si="3"/>
        <v>0</v>
      </c>
      <c r="AH37" s="108">
        <f t="shared" si="4"/>
        <v>1</v>
      </c>
      <c r="AI37" s="108">
        <f t="shared" si="10"/>
        <v>0</v>
      </c>
      <c r="AJ37" s="108">
        <f t="shared" si="5"/>
        <v>5</v>
      </c>
      <c r="AK37" s="108">
        <f t="shared" si="6"/>
        <v>0</v>
      </c>
      <c r="AL37" s="108">
        <f t="shared" si="7"/>
        <v>0</v>
      </c>
      <c r="AN37" s="392"/>
      <c r="AO37" s="393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2</v>
      </c>
      <c r="H38" s="373" t="s">
        <v>9</v>
      </c>
      <c r="I38" s="441">
        <v>2</v>
      </c>
      <c r="J38" s="375">
        <f t="shared" si="0"/>
        <v>3</v>
      </c>
      <c r="K38" s="363">
        <f t="shared" si="1"/>
        <v>1</v>
      </c>
      <c r="L38" s="363">
        <f t="shared" si="2"/>
        <v>1</v>
      </c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392"/>
      <c r="V38" s="392"/>
      <c r="W38" s="392"/>
      <c r="Y38" s="109">
        <f t="shared" si="8"/>
        <v>1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1</v>
      </c>
      <c r="AG38" s="108">
        <f t="shared" si="3"/>
        <v>1</v>
      </c>
      <c r="AH38" s="108">
        <f t="shared" si="4"/>
        <v>0</v>
      </c>
      <c r="AI38" s="108">
        <f t="shared" si="10"/>
        <v>0</v>
      </c>
      <c r="AJ38" s="108">
        <f t="shared" si="5"/>
        <v>0</v>
      </c>
      <c r="AK38" s="108">
        <f t="shared" si="6"/>
        <v>0</v>
      </c>
      <c r="AL38" s="108">
        <f t="shared" si="7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0</v>
      </c>
      <c r="H39" s="379" t="s">
        <v>9</v>
      </c>
      <c r="I39" s="442">
        <v>2</v>
      </c>
      <c r="J39" s="381">
        <f t="shared" si="0"/>
        <v>2</v>
      </c>
      <c r="K39" s="363">
        <f t="shared" si="1"/>
        <v>0</v>
      </c>
      <c r="L39" s="363">
        <f t="shared" si="2"/>
        <v>3</v>
      </c>
      <c r="O39" s="394" t="s">
        <v>29</v>
      </c>
      <c r="P39" s="395">
        <f>SUMIF($D$8:$D$55,$O39,$G$8:$G$55)+SUMIF($F$8:$F$55,$O39,$I$8:$I$55)</f>
        <v>7</v>
      </c>
      <c r="Q39" s="395">
        <f>SUMIF($D$8:$D$55,$O39,$I$8:$I$55)+SUMIF($F$8:$F$55,$O39,$G$8:$G$55)</f>
        <v>1</v>
      </c>
      <c r="R39" s="396">
        <f>P39-Q39</f>
        <v>6</v>
      </c>
      <c r="S39" s="397">
        <f>SUMIF($D$8:$D$55,$O39,$K$8:$K$55)+SUMIF($F$8:$F$55,$O39,$L$8:$L$55)</f>
        <v>9</v>
      </c>
      <c r="T39" s="444" t="s">
        <v>72</v>
      </c>
      <c r="U39" s="392"/>
      <c r="V39" s="392" t="str">
        <f>O39</f>
        <v>Argentinië</v>
      </c>
      <c r="W39" s="392" t="s">
        <v>72</v>
      </c>
      <c r="Y39" s="109">
        <f t="shared" si="8"/>
        <v>1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1</v>
      </c>
      <c r="AG39" s="108">
        <f t="shared" si="3"/>
        <v>0</v>
      </c>
      <c r="AH39" s="108">
        <f t="shared" si="4"/>
        <v>1</v>
      </c>
      <c r="AI39" s="108">
        <f t="shared" si="10"/>
        <v>0</v>
      </c>
      <c r="AJ39" s="108">
        <f t="shared" si="5"/>
        <v>0</v>
      </c>
      <c r="AK39" s="108">
        <f t="shared" si="6"/>
        <v>0</v>
      </c>
      <c r="AL39" s="108">
        <f t="shared" si="7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1</v>
      </c>
      <c r="H40" s="367" t="s">
        <v>9</v>
      </c>
      <c r="I40" s="440">
        <v>3</v>
      </c>
      <c r="J40" s="369">
        <f t="shared" si="0"/>
        <v>2</v>
      </c>
      <c r="K40" s="363">
        <f t="shared" si="1"/>
        <v>0</v>
      </c>
      <c r="L40" s="363">
        <f t="shared" si="2"/>
        <v>3</v>
      </c>
      <c r="O40" s="398" t="s">
        <v>30</v>
      </c>
      <c r="P40" s="399">
        <f>SUMIF($D$8:$D$55,$O40,$G$8:$G$55)+SUMIF($F$8:$F$55,$O40,$I$8:$I$55)</f>
        <v>2</v>
      </c>
      <c r="Q40" s="399">
        <f>SUMIF($D$8:$D$55,$O40,$I$8:$I$55)+SUMIF($F$8:$F$55,$O40,$G$8:$G$55)</f>
        <v>3</v>
      </c>
      <c r="R40" s="399">
        <f>P40-Q40</f>
        <v>-1</v>
      </c>
      <c r="S40" s="400">
        <f>SUMIF($D$8:$D$55,$O40,$K$8:$K$55)+SUMIF($F$8:$F$55,$O40,$L$8:$L$55)</f>
        <v>4</v>
      </c>
      <c r="T40" s="445" t="s">
        <v>73</v>
      </c>
      <c r="U40" s="392"/>
      <c r="V40" s="392" t="str">
        <f>O40</f>
        <v>Bosnië H.</v>
      </c>
      <c r="W40" s="392" t="s">
        <v>73</v>
      </c>
      <c r="Y40" s="109">
        <f t="shared" si="8"/>
        <v>6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6</v>
      </c>
      <c r="AG40" s="108">
        <f t="shared" si="3"/>
        <v>0</v>
      </c>
      <c r="AH40" s="108">
        <f t="shared" si="4"/>
        <v>1</v>
      </c>
      <c r="AI40" s="108">
        <f t="shared" si="10"/>
        <v>0</v>
      </c>
      <c r="AJ40" s="108">
        <f t="shared" si="5"/>
        <v>0</v>
      </c>
      <c r="AK40" s="108">
        <f t="shared" si="6"/>
        <v>5</v>
      </c>
      <c r="AL40" s="108">
        <f t="shared" si="7"/>
        <v>0</v>
      </c>
      <c r="AM40" s="120">
        <f>AO40</f>
        <v>0</v>
      </c>
      <c r="AN40" s="117" t="s">
        <v>30</v>
      </c>
      <c r="AO40" s="115">
        <f>IF(Uitslag!T40="",0,IF(T40=Uitslag!T40,10,0))</f>
        <v>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2</v>
      </c>
      <c r="H41" s="373" t="s">
        <v>9</v>
      </c>
      <c r="I41" s="441">
        <v>1</v>
      </c>
      <c r="J41" s="375">
        <f t="shared" si="0"/>
        <v>1</v>
      </c>
      <c r="K41" s="363">
        <f t="shared" si="1"/>
        <v>3</v>
      </c>
      <c r="L41" s="363">
        <f t="shared" si="2"/>
        <v>0</v>
      </c>
      <c r="O41" s="398" t="s">
        <v>33</v>
      </c>
      <c r="P41" s="399">
        <f>SUMIF($D$8:$D$55,$O41,$G$8:$G$55)+SUMIF($F$8:$F$55,$O41,$I$8:$I$55)</f>
        <v>1</v>
      </c>
      <c r="Q41" s="399">
        <f>SUMIF($D$8:$D$55,$O41,$I$8:$I$55)+SUMIF($F$8:$F$55,$O41,$G$8:$G$55)</f>
        <v>4</v>
      </c>
      <c r="R41" s="399">
        <f>P41-Q41</f>
        <v>-3</v>
      </c>
      <c r="S41" s="400">
        <f>SUMIF($D$8:$D$55,$O41,$K$8:$K$55)+SUMIF($F$8:$F$55,$O41,$L$8:$L$55)</f>
        <v>2</v>
      </c>
      <c r="T41" s="445" t="s">
        <v>74</v>
      </c>
      <c r="U41" s="392"/>
      <c r="V41" s="392" t="str">
        <f>O41</f>
        <v>Iran</v>
      </c>
      <c r="W41" s="392" t="s">
        <v>74</v>
      </c>
      <c r="Y41" s="109">
        <f t="shared" si="8"/>
        <v>6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6</v>
      </c>
      <c r="AG41" s="108">
        <f t="shared" si="3"/>
        <v>1</v>
      </c>
      <c r="AH41" s="108">
        <f t="shared" si="4"/>
        <v>0</v>
      </c>
      <c r="AI41" s="108">
        <f t="shared" si="10"/>
        <v>0</v>
      </c>
      <c r="AJ41" s="108">
        <f t="shared" si="5"/>
        <v>5</v>
      </c>
      <c r="AK41" s="108">
        <f t="shared" si="6"/>
        <v>0</v>
      </c>
      <c r="AL41" s="108">
        <f t="shared" si="7"/>
        <v>0</v>
      </c>
      <c r="AM41" s="120">
        <f>AO41</f>
        <v>0</v>
      </c>
      <c r="AN41" s="117" t="s">
        <v>33</v>
      </c>
      <c r="AO41" s="115">
        <f>IF(Uitslag!T41="",0,IF(T41=Uitslag!T41,10,0))</f>
        <v>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0</v>
      </c>
      <c r="H42" s="373" t="s">
        <v>9</v>
      </c>
      <c r="I42" s="441">
        <v>3</v>
      </c>
      <c r="J42" s="375">
        <f t="shared" si="0"/>
        <v>2</v>
      </c>
      <c r="K42" s="363">
        <f t="shared" si="1"/>
        <v>0</v>
      </c>
      <c r="L42" s="363">
        <f t="shared" si="2"/>
        <v>3</v>
      </c>
      <c r="O42" s="401" t="s">
        <v>34</v>
      </c>
      <c r="P42" s="402">
        <f>SUMIF($D$8:$D$55,$O42,$G$8:$G$55)+SUMIF($F$8:$F$55,$O42,$I$8:$I$55)</f>
        <v>1</v>
      </c>
      <c r="Q42" s="402">
        <f>SUMIF($D$8:$D$55,$O42,$I$8:$I$55)+SUMIF($F$8:$F$55,$O42,$G$8:$G$55)</f>
        <v>3</v>
      </c>
      <c r="R42" s="402">
        <f>P42-Q42</f>
        <v>-2</v>
      </c>
      <c r="S42" s="403">
        <f>SUMIF($D$8:$D$55,$O42,$K$8:$K$55)+SUMIF($F$8:$F$55,$O42,$L$8:$L$55)</f>
        <v>1</v>
      </c>
      <c r="T42" s="446" t="s">
        <v>75</v>
      </c>
      <c r="U42" s="392"/>
      <c r="V42" s="392" t="str">
        <f>O42</f>
        <v>Nigeria</v>
      </c>
      <c r="W42" s="392" t="s">
        <v>75</v>
      </c>
      <c r="Y42" s="109">
        <f t="shared" si="8"/>
        <v>5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5</v>
      </c>
      <c r="AG42" s="108">
        <f t="shared" si="3"/>
        <v>0</v>
      </c>
      <c r="AH42" s="108">
        <f t="shared" si="4"/>
        <v>0</v>
      </c>
      <c r="AI42" s="108">
        <f t="shared" si="10"/>
        <v>0</v>
      </c>
      <c r="AJ42" s="108">
        <f t="shared" si="5"/>
        <v>0</v>
      </c>
      <c r="AK42" s="108">
        <f t="shared" si="6"/>
        <v>5</v>
      </c>
      <c r="AL42" s="108">
        <f t="shared" si="7"/>
        <v>0</v>
      </c>
      <c r="AM42" s="120">
        <f>AO42</f>
        <v>0</v>
      </c>
      <c r="AN42" s="118" t="s">
        <v>34</v>
      </c>
      <c r="AO42" s="115">
        <f>IF(Uitslag!T42="",0,IF(T42=Uitslag!T42,10,0))</f>
        <v>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1</v>
      </c>
      <c r="H43" s="379" t="s">
        <v>9</v>
      </c>
      <c r="I43" s="442">
        <v>1</v>
      </c>
      <c r="J43" s="381">
        <f t="shared" si="0"/>
        <v>3</v>
      </c>
      <c r="K43" s="363">
        <f t="shared" si="1"/>
        <v>1</v>
      </c>
      <c r="L43" s="363">
        <f t="shared" si="2"/>
        <v>1</v>
      </c>
      <c r="O43" s="392"/>
      <c r="P43" s="393"/>
      <c r="Q43" s="393"/>
      <c r="R43" s="393"/>
      <c r="S43" s="393"/>
      <c r="T43" s="393"/>
      <c r="U43" s="392"/>
      <c r="V43" s="392"/>
      <c r="W43" s="392"/>
      <c r="Y43" s="109">
        <f t="shared" si="8"/>
        <v>1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1</v>
      </c>
      <c r="AG43" s="108">
        <f t="shared" si="3"/>
        <v>1</v>
      </c>
      <c r="AH43" s="108">
        <f t="shared" si="4"/>
        <v>0</v>
      </c>
      <c r="AI43" s="108">
        <f t="shared" si="10"/>
        <v>0</v>
      </c>
      <c r="AJ43" s="108">
        <f t="shared" si="5"/>
        <v>0</v>
      </c>
      <c r="AK43" s="108">
        <f t="shared" si="6"/>
        <v>0</v>
      </c>
      <c r="AL43" s="108">
        <f t="shared" si="7"/>
        <v>0</v>
      </c>
      <c r="AN43" s="392"/>
      <c r="AO43" s="393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2</v>
      </c>
      <c r="H44" s="367" t="s">
        <v>9</v>
      </c>
      <c r="I44" s="440">
        <v>0</v>
      </c>
      <c r="J44" s="369">
        <f t="shared" si="0"/>
        <v>1</v>
      </c>
      <c r="K44" s="363">
        <f t="shared" si="1"/>
        <v>3</v>
      </c>
      <c r="L44" s="363">
        <f t="shared" si="2"/>
        <v>0</v>
      </c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392"/>
      <c r="V44" s="392"/>
      <c r="W44" s="392"/>
      <c r="Y44" s="109">
        <f t="shared" si="8"/>
        <v>0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0</v>
      </c>
      <c r="AG44" s="108">
        <f t="shared" si="3"/>
        <v>0</v>
      </c>
      <c r="AH44" s="108">
        <f t="shared" si="4"/>
        <v>0</v>
      </c>
      <c r="AI44" s="108">
        <f t="shared" si="10"/>
        <v>0</v>
      </c>
      <c r="AJ44" s="108">
        <f t="shared" si="5"/>
        <v>0</v>
      </c>
      <c r="AK44" s="108">
        <f t="shared" si="6"/>
        <v>0</v>
      </c>
      <c r="AL44" s="108">
        <f t="shared" si="7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1</v>
      </c>
      <c r="H45" s="373" t="s">
        <v>9</v>
      </c>
      <c r="I45" s="441">
        <v>2</v>
      </c>
      <c r="J45" s="375">
        <f t="shared" si="0"/>
        <v>2</v>
      </c>
      <c r="K45" s="363">
        <f t="shared" si="1"/>
        <v>0</v>
      </c>
      <c r="L45" s="363">
        <f t="shared" si="2"/>
        <v>3</v>
      </c>
      <c r="O45" s="394" t="s">
        <v>31</v>
      </c>
      <c r="P45" s="395">
        <f>SUMIF($D$8:$D$55,$O45,$G$8:$G$55)+SUMIF($F$8:$F$55,$O45,$I$8:$I$55)</f>
        <v>9</v>
      </c>
      <c r="Q45" s="395">
        <f>SUMIF($D$8:$D$55,$O45,$I$8:$I$55)+SUMIF($F$8:$F$55,$O45,$G$8:$G$55)</f>
        <v>2</v>
      </c>
      <c r="R45" s="396">
        <f>P45-Q45</f>
        <v>7</v>
      </c>
      <c r="S45" s="397">
        <f>SUMIF($D$8:$D$55,$O45,$K$8:$K$55)+SUMIF($F$8:$F$55,$O45,$L$8:$L$55)</f>
        <v>9</v>
      </c>
      <c r="T45" s="444" t="s">
        <v>77</v>
      </c>
      <c r="U45" s="392"/>
      <c r="V45" s="392" t="str">
        <f>O45</f>
        <v>Duitsland</v>
      </c>
      <c r="W45" s="392" t="s">
        <v>77</v>
      </c>
      <c r="Y45" s="109">
        <f t="shared" si="8"/>
        <v>0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0</v>
      </c>
      <c r="AG45" s="108">
        <f t="shared" si="3"/>
        <v>0</v>
      </c>
      <c r="AH45" s="108">
        <f t="shared" si="4"/>
        <v>0</v>
      </c>
      <c r="AI45" s="108">
        <f t="shared" si="10"/>
        <v>0</v>
      </c>
      <c r="AJ45" s="108">
        <f t="shared" si="5"/>
        <v>0</v>
      </c>
      <c r="AK45" s="108">
        <f t="shared" si="6"/>
        <v>0</v>
      </c>
      <c r="AL45" s="108">
        <f t="shared" si="7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1</v>
      </c>
      <c r="H46" s="373" t="s">
        <v>9</v>
      </c>
      <c r="I46" s="441">
        <v>1</v>
      </c>
      <c r="J46" s="375">
        <f t="shared" si="0"/>
        <v>3</v>
      </c>
      <c r="K46" s="363">
        <f t="shared" si="1"/>
        <v>1</v>
      </c>
      <c r="L46" s="363">
        <f t="shared" si="2"/>
        <v>1</v>
      </c>
      <c r="O46" s="398" t="s">
        <v>32</v>
      </c>
      <c r="P46" s="399">
        <f>SUMIF($D$8:$D$55,$O46,$G$8:$G$55)+SUMIF($F$8:$F$55,$O46,$I$8:$I$55)</f>
        <v>5</v>
      </c>
      <c r="Q46" s="399">
        <f>SUMIF($D$8:$D$55,$O46,$I$8:$I$55)+SUMIF($F$8:$F$55,$O46,$G$8:$G$55)</f>
        <v>2</v>
      </c>
      <c r="R46" s="399">
        <f>P46-Q46</f>
        <v>3</v>
      </c>
      <c r="S46" s="400">
        <f>SUMIF($D$8:$D$55,$O46,$K$8:$K$55)+SUMIF($F$8:$F$55,$O46,$L$8:$L$55)</f>
        <v>6</v>
      </c>
      <c r="T46" s="445" t="s">
        <v>78</v>
      </c>
      <c r="U46" s="392"/>
      <c r="V46" s="392" t="str">
        <f>O46</f>
        <v>Portugal</v>
      </c>
      <c r="W46" s="392" t="s">
        <v>78</v>
      </c>
      <c r="Y46" s="109">
        <f t="shared" si="8"/>
        <v>1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1</v>
      </c>
      <c r="AG46" s="108">
        <f t="shared" si="3"/>
        <v>1</v>
      </c>
      <c r="AH46" s="108">
        <f t="shared" si="4"/>
        <v>0</v>
      </c>
      <c r="AI46" s="108">
        <f t="shared" si="10"/>
        <v>0</v>
      </c>
      <c r="AJ46" s="108">
        <f t="shared" si="5"/>
        <v>0</v>
      </c>
      <c r="AK46" s="108">
        <f t="shared" si="6"/>
        <v>0</v>
      </c>
      <c r="AL46" s="108">
        <f t="shared" si="7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2</v>
      </c>
      <c r="H47" s="379" t="s">
        <v>9</v>
      </c>
      <c r="I47" s="442">
        <v>0</v>
      </c>
      <c r="J47" s="381">
        <f t="shared" si="0"/>
        <v>1</v>
      </c>
      <c r="K47" s="363">
        <f t="shared" si="1"/>
        <v>3</v>
      </c>
      <c r="L47" s="363">
        <f t="shared" si="2"/>
        <v>0</v>
      </c>
      <c r="O47" s="398" t="s">
        <v>35</v>
      </c>
      <c r="P47" s="399">
        <f>SUMIF($D$8:$D$55,$O47,$G$8:$G$55)+SUMIF($F$8:$F$55,$O47,$I$8:$I$55)</f>
        <v>2</v>
      </c>
      <c r="Q47" s="399">
        <f>SUMIF($D$8:$D$55,$O47,$I$8:$I$55)+SUMIF($F$8:$F$55,$O47,$G$8:$G$55)</f>
        <v>6</v>
      </c>
      <c r="R47" s="399">
        <f>P47-Q47</f>
        <v>-4</v>
      </c>
      <c r="S47" s="400">
        <f>SUMIF($D$8:$D$55,$O47,$K$8:$K$55)+SUMIF($F$8:$F$55,$O47,$L$8:$L$55)</f>
        <v>3</v>
      </c>
      <c r="T47" s="445" t="s">
        <v>79</v>
      </c>
      <c r="U47" s="392"/>
      <c r="V47" s="392" t="str">
        <f>O47</f>
        <v>Ghana</v>
      </c>
      <c r="W47" s="392" t="s">
        <v>79</v>
      </c>
      <c r="Y47" s="109">
        <f t="shared" si="8"/>
        <v>6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6</v>
      </c>
      <c r="AG47" s="108">
        <f t="shared" si="3"/>
        <v>1</v>
      </c>
      <c r="AH47" s="108">
        <f t="shared" si="4"/>
        <v>0</v>
      </c>
      <c r="AI47" s="108">
        <f t="shared" si="10"/>
        <v>0</v>
      </c>
      <c r="AJ47" s="108">
        <f t="shared" si="5"/>
        <v>5</v>
      </c>
      <c r="AK47" s="108">
        <f t="shared" si="6"/>
        <v>0</v>
      </c>
      <c r="AL47" s="108">
        <f t="shared" si="7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1</v>
      </c>
      <c r="H48" s="367" t="s">
        <v>9</v>
      </c>
      <c r="I48" s="440">
        <v>2</v>
      </c>
      <c r="J48" s="369">
        <f t="shared" si="0"/>
        <v>2</v>
      </c>
      <c r="K48" s="363">
        <f t="shared" si="1"/>
        <v>0</v>
      </c>
      <c r="L48" s="363">
        <f t="shared" si="2"/>
        <v>3</v>
      </c>
      <c r="O48" s="401" t="s">
        <v>36</v>
      </c>
      <c r="P48" s="402">
        <f>SUMIF($D$8:$D$55,$O48,$G$8:$G$55)+SUMIF($F$8:$F$55,$O48,$I$8:$I$55)</f>
        <v>1</v>
      </c>
      <c r="Q48" s="402">
        <f>SUMIF($D$8:$D$55,$O48,$I$8:$I$55)+SUMIF($F$8:$F$55,$O48,$G$8:$G$55)</f>
        <v>7</v>
      </c>
      <c r="R48" s="402">
        <f>P48-Q48</f>
        <v>-6</v>
      </c>
      <c r="S48" s="403">
        <f>SUMIF($D$8:$D$55,$O48,$K$8:$K$55)+SUMIF($F$8:$F$55,$O48,$L$8:$L$55)</f>
        <v>0</v>
      </c>
      <c r="T48" s="446" t="s">
        <v>80</v>
      </c>
      <c r="U48" s="392"/>
      <c r="V48" s="392" t="str">
        <f>O48</f>
        <v>Verenigde Staten</v>
      </c>
      <c r="W48" s="392" t="s">
        <v>80</v>
      </c>
      <c r="Y48" s="109">
        <f t="shared" si="8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5</v>
      </c>
      <c r="AG48" s="108">
        <f t="shared" si="3"/>
        <v>0</v>
      </c>
      <c r="AH48" s="108">
        <f t="shared" si="4"/>
        <v>0</v>
      </c>
      <c r="AI48" s="108">
        <f t="shared" si="10"/>
        <v>0</v>
      </c>
      <c r="AJ48" s="108">
        <f t="shared" si="5"/>
        <v>0</v>
      </c>
      <c r="AK48" s="108">
        <f t="shared" si="6"/>
        <v>5</v>
      </c>
      <c r="AL48" s="108">
        <f t="shared" si="7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1</v>
      </c>
      <c r="H49" s="373" t="s">
        <v>9</v>
      </c>
      <c r="I49" s="441">
        <v>1</v>
      </c>
      <c r="J49" s="375">
        <f t="shared" si="0"/>
        <v>3</v>
      </c>
      <c r="K49" s="363">
        <f t="shared" si="1"/>
        <v>1</v>
      </c>
      <c r="L49" s="363">
        <f t="shared" si="2"/>
        <v>1</v>
      </c>
      <c r="O49" s="392"/>
      <c r="P49" s="393"/>
      <c r="Q49" s="393"/>
      <c r="R49" s="393"/>
      <c r="S49" s="393"/>
      <c r="T49" s="393"/>
      <c r="U49" s="392"/>
      <c r="V49" s="392"/>
      <c r="W49" s="392"/>
      <c r="Y49" s="109">
        <f t="shared" si="8"/>
        <v>1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1</v>
      </c>
      <c r="AG49" s="108">
        <f t="shared" si="3"/>
        <v>0</v>
      </c>
      <c r="AH49" s="108">
        <f t="shared" si="4"/>
        <v>1</v>
      </c>
      <c r="AI49" s="108">
        <f t="shared" si="10"/>
        <v>0</v>
      </c>
      <c r="AJ49" s="108">
        <f t="shared" si="5"/>
        <v>0</v>
      </c>
      <c r="AK49" s="108">
        <f t="shared" si="6"/>
        <v>0</v>
      </c>
      <c r="AL49" s="108">
        <f t="shared" si="7"/>
        <v>0</v>
      </c>
      <c r="AN49" s="392"/>
      <c r="AO49" s="393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1</v>
      </c>
      <c r="H50" s="373" t="s">
        <v>9</v>
      </c>
      <c r="I50" s="441">
        <v>1</v>
      </c>
      <c r="J50" s="375">
        <f t="shared" si="0"/>
        <v>3</v>
      </c>
      <c r="K50" s="363">
        <f t="shared" si="1"/>
        <v>1</v>
      </c>
      <c r="L50" s="363">
        <f t="shared" si="2"/>
        <v>1</v>
      </c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392"/>
      <c r="V50" s="392"/>
      <c r="W50" s="392"/>
      <c r="Y50" s="109">
        <f t="shared" si="8"/>
        <v>0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0</v>
      </c>
      <c r="AG50" s="108">
        <f t="shared" si="3"/>
        <v>0</v>
      </c>
      <c r="AH50" s="108">
        <f t="shared" si="4"/>
        <v>0</v>
      </c>
      <c r="AI50" s="108">
        <f t="shared" si="10"/>
        <v>0</v>
      </c>
      <c r="AJ50" s="108">
        <f t="shared" si="5"/>
        <v>0</v>
      </c>
      <c r="AK50" s="108">
        <f t="shared" si="6"/>
        <v>0</v>
      </c>
      <c r="AL50" s="108">
        <f t="shared" si="7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0</v>
      </c>
      <c r="H51" s="379" t="s">
        <v>9</v>
      </c>
      <c r="I51" s="442">
        <v>2</v>
      </c>
      <c r="J51" s="381">
        <f t="shared" si="0"/>
        <v>2</v>
      </c>
      <c r="K51" s="363">
        <f t="shared" si="1"/>
        <v>0</v>
      </c>
      <c r="L51" s="363">
        <f t="shared" si="2"/>
        <v>3</v>
      </c>
      <c r="O51" s="394" t="s">
        <v>37</v>
      </c>
      <c r="P51" s="395">
        <f>SUMIF($D$8:$D$55,$O51,$G$8:$G$55)+SUMIF($F$8:$F$55,$O51,$I$8:$I$55)</f>
        <v>6</v>
      </c>
      <c r="Q51" s="395">
        <f>SUMIF($D$8:$D$55,$O51,$I$8:$I$55)+SUMIF($F$8:$F$55,$O51,$G$8:$G$55)</f>
        <v>0</v>
      </c>
      <c r="R51" s="396">
        <f>P51-Q51</f>
        <v>6</v>
      </c>
      <c r="S51" s="397">
        <f>SUMIF($D$8:$D$55,$O51,$K$8:$K$55)+SUMIF($F$8:$F$55,$O51,$L$8:$L$55)</f>
        <v>9</v>
      </c>
      <c r="T51" s="444" t="s">
        <v>82</v>
      </c>
      <c r="U51" s="392"/>
      <c r="V51" s="392" t="str">
        <f>O51</f>
        <v>België</v>
      </c>
      <c r="W51" s="392" t="s">
        <v>82</v>
      </c>
      <c r="Y51" s="109">
        <f t="shared" si="8"/>
        <v>1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1</v>
      </c>
      <c r="AG51" s="108">
        <f t="shared" si="3"/>
        <v>1</v>
      </c>
      <c r="AH51" s="108">
        <f t="shared" si="4"/>
        <v>0</v>
      </c>
      <c r="AI51" s="108">
        <f t="shared" si="10"/>
        <v>0</v>
      </c>
      <c r="AJ51" s="108">
        <f t="shared" si="5"/>
        <v>0</v>
      </c>
      <c r="AK51" s="108">
        <f t="shared" si="6"/>
        <v>0</v>
      </c>
      <c r="AL51" s="108">
        <f t="shared" si="7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1</v>
      </c>
      <c r="H52" s="373" t="s">
        <v>9</v>
      </c>
      <c r="I52" s="441">
        <v>3</v>
      </c>
      <c r="J52" s="369">
        <f t="shared" si="0"/>
        <v>2</v>
      </c>
      <c r="K52" s="363">
        <f t="shared" si="1"/>
        <v>0</v>
      </c>
      <c r="L52" s="363">
        <f t="shared" si="2"/>
        <v>3</v>
      </c>
      <c r="O52" s="398" t="s">
        <v>38</v>
      </c>
      <c r="P52" s="399">
        <f>SUMIF($D$8:$D$55,$O52,$G$8:$G$55)+SUMIF($F$8:$F$55,$O52,$I$8:$I$55)</f>
        <v>2</v>
      </c>
      <c r="Q52" s="399">
        <f>SUMIF($D$8:$D$55,$O52,$I$8:$I$55)+SUMIF($F$8:$F$55,$O52,$G$8:$G$55)</f>
        <v>6</v>
      </c>
      <c r="R52" s="399">
        <f>P52-Q52</f>
        <v>-4</v>
      </c>
      <c r="S52" s="400">
        <f>SUMIF($D$8:$D$55,$O52,$K$8:$K$55)+SUMIF($F$8:$F$55,$O52,$L$8:$L$55)</f>
        <v>1</v>
      </c>
      <c r="T52" s="445" t="s">
        <v>85</v>
      </c>
      <c r="U52" s="392"/>
      <c r="V52" s="392" t="str">
        <f>O52</f>
        <v>Algerije</v>
      </c>
      <c r="W52" s="392" t="s">
        <v>83</v>
      </c>
      <c r="Y52" s="109">
        <f t="shared" si="8"/>
        <v>5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5</v>
      </c>
      <c r="AG52" s="108">
        <f t="shared" si="3"/>
        <v>0</v>
      </c>
      <c r="AH52" s="108">
        <f t="shared" si="4"/>
        <v>0</v>
      </c>
      <c r="AI52" s="108">
        <f t="shared" si="10"/>
        <v>0</v>
      </c>
      <c r="AJ52" s="108">
        <f t="shared" si="5"/>
        <v>0</v>
      </c>
      <c r="AK52" s="108">
        <f t="shared" si="6"/>
        <v>5</v>
      </c>
      <c r="AL52" s="108">
        <f t="shared" si="7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2</v>
      </c>
      <c r="H53" s="373" t="s">
        <v>9</v>
      </c>
      <c r="I53" s="441">
        <v>0</v>
      </c>
      <c r="J53" s="375">
        <f t="shared" si="0"/>
        <v>1</v>
      </c>
      <c r="K53" s="363">
        <f t="shared" si="1"/>
        <v>3</v>
      </c>
      <c r="L53" s="363">
        <f t="shared" si="2"/>
        <v>0</v>
      </c>
      <c r="O53" s="398" t="s">
        <v>39</v>
      </c>
      <c r="P53" s="399">
        <f>SUMIF($D$8:$D$55,$O53,$G$8:$G$55)+SUMIF($F$8:$F$55,$O53,$I$8:$I$55)</f>
        <v>1</v>
      </c>
      <c r="Q53" s="399">
        <f>SUMIF($D$8:$D$55,$O53,$I$8:$I$55)+SUMIF($F$8:$F$55,$O53,$G$8:$G$55)</f>
        <v>3</v>
      </c>
      <c r="R53" s="399">
        <f>P53-Q53</f>
        <v>-2</v>
      </c>
      <c r="S53" s="400">
        <f>SUMIF($D$8:$D$55,$O53,$K$8:$K$55)+SUMIF($F$8:$F$55,$O53,$L$8:$L$55)</f>
        <v>3</v>
      </c>
      <c r="T53" s="445" t="s">
        <v>84</v>
      </c>
      <c r="U53" s="392"/>
      <c r="V53" s="392" t="str">
        <f>O53</f>
        <v>Rusland</v>
      </c>
      <c r="W53" s="392" t="s">
        <v>84</v>
      </c>
      <c r="Y53" s="109">
        <f t="shared" si="8"/>
        <v>6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6</v>
      </c>
      <c r="AG53" s="108">
        <f t="shared" si="3"/>
        <v>1</v>
      </c>
      <c r="AH53" s="108">
        <f t="shared" si="4"/>
        <v>0</v>
      </c>
      <c r="AI53" s="108">
        <f t="shared" si="10"/>
        <v>0</v>
      </c>
      <c r="AJ53" s="108">
        <f t="shared" si="5"/>
        <v>5</v>
      </c>
      <c r="AK53" s="108">
        <f t="shared" si="6"/>
        <v>0</v>
      </c>
      <c r="AL53" s="108">
        <f t="shared" si="7"/>
        <v>0</v>
      </c>
      <c r="AM53" s="120">
        <f>AO53</f>
        <v>10</v>
      </c>
      <c r="AN53" s="117" t="s">
        <v>39</v>
      </c>
      <c r="AO53" s="115">
        <f>IF(Uitslag!T53="",0,IF(T53=Uitslag!T53,10,0))</f>
        <v>10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0</v>
      </c>
      <c r="H54" s="373" t="s">
        <v>9</v>
      </c>
      <c r="I54" s="441">
        <v>1</v>
      </c>
      <c r="J54" s="375">
        <f t="shared" si="0"/>
        <v>2</v>
      </c>
      <c r="K54" s="363">
        <f t="shared" si="1"/>
        <v>0</v>
      </c>
      <c r="L54" s="363">
        <f t="shared" si="2"/>
        <v>3</v>
      </c>
      <c r="O54" s="401" t="s">
        <v>40</v>
      </c>
      <c r="P54" s="402">
        <f>SUMIF($D$8:$D$55,$O54,$G$8:$G$55)+SUMIF($F$8:$F$55,$O54,$I$8:$I$55)</f>
        <v>3</v>
      </c>
      <c r="Q54" s="402">
        <f>SUMIF($D$8:$D$55,$O54,$I$8:$I$55)+SUMIF($F$8:$F$55,$O54,$G$8:$G$55)</f>
        <v>3</v>
      </c>
      <c r="R54" s="402">
        <f>P54-Q54</f>
        <v>0</v>
      </c>
      <c r="S54" s="403">
        <f>SUMIF($D$8:$D$55,$O54,$K$8:$K$55)+SUMIF($F$8:$F$55,$O54,$L$8:$L$55)</f>
        <v>4</v>
      </c>
      <c r="T54" s="446" t="s">
        <v>83</v>
      </c>
      <c r="U54" s="392"/>
      <c r="V54" s="392" t="str">
        <f>O54</f>
        <v>Zuid Korea</v>
      </c>
      <c r="W54" s="392" t="s">
        <v>85</v>
      </c>
      <c r="Y54" s="109">
        <f t="shared" si="8"/>
        <v>10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10</v>
      </c>
      <c r="AG54" s="108">
        <f t="shared" si="3"/>
        <v>1</v>
      </c>
      <c r="AH54" s="108">
        <f t="shared" si="4"/>
        <v>1</v>
      </c>
      <c r="AI54" s="108">
        <f t="shared" si="10"/>
        <v>10</v>
      </c>
      <c r="AJ54" s="108">
        <f t="shared" si="5"/>
        <v>0</v>
      </c>
      <c r="AK54" s="108">
        <f t="shared" si="6"/>
        <v>5</v>
      </c>
      <c r="AL54" s="108">
        <f t="shared" si="7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0</v>
      </c>
      <c r="H55" s="388" t="s">
        <v>9</v>
      </c>
      <c r="I55" s="443">
        <v>1</v>
      </c>
      <c r="J55" s="390">
        <f t="shared" si="0"/>
        <v>2</v>
      </c>
      <c r="K55" s="363">
        <f t="shared" si="1"/>
        <v>0</v>
      </c>
      <c r="L55" s="363">
        <f t="shared" si="2"/>
        <v>3</v>
      </c>
      <c r="O55" s="392"/>
      <c r="P55" s="393"/>
      <c r="Q55" s="393"/>
      <c r="R55" s="393"/>
      <c r="S55" s="393"/>
      <c r="T55" s="393"/>
      <c r="U55" s="392"/>
      <c r="V55" s="392"/>
      <c r="W55" s="392"/>
      <c r="Y55" s="109">
        <f t="shared" si="8"/>
        <v>1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</v>
      </c>
      <c r="AG55" s="108">
        <f t="shared" si="3"/>
        <v>0</v>
      </c>
      <c r="AH55" s="108">
        <f t="shared" si="4"/>
        <v>1</v>
      </c>
      <c r="AI55" s="108">
        <f t="shared" si="10"/>
        <v>0</v>
      </c>
      <c r="AJ55" s="108">
        <f t="shared" si="5"/>
        <v>0</v>
      </c>
      <c r="AK55" s="108">
        <f t="shared" si="6"/>
        <v>0</v>
      </c>
      <c r="AL55" s="108">
        <f t="shared" si="7"/>
        <v>0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79"/>
      <c r="K57" s="353"/>
      <c r="L57" s="353"/>
      <c r="M57" s="353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77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O58" s="458">
        <v>1</v>
      </c>
      <c r="P58" s="877" t="s">
        <v>224</v>
      </c>
      <c r="Q58" s="877"/>
      <c r="R58" s="877"/>
      <c r="S58" s="877"/>
      <c r="T58" s="878"/>
      <c r="V58" s="352" t="s">
        <v>132</v>
      </c>
      <c r="W58" s="352" t="s">
        <v>124</v>
      </c>
      <c r="X58" s="352" t="str">
        <f t="shared" ref="X58:X98" si="11">CONCATENATE(W58," ",V58)</f>
        <v>Jeroen Zoet (k)</v>
      </c>
      <c r="Y58" s="113" t="s">
        <v>91</v>
      </c>
      <c r="Z58" s="352" t="str">
        <f>IF(K58=""," ",VLOOKUP(K58,$T$9:$V$54,3,FALSE))</f>
        <v xml:space="preserve"> </v>
      </c>
      <c r="AA58" s="352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 t="shared" ref="D59:D66" si="13">IF(ISERROR(Z59),K59,Z59)</f>
        <v>Brazilië</v>
      </c>
      <c r="E59" s="367" t="s">
        <v>9</v>
      </c>
      <c r="F59" s="406" t="str">
        <f t="shared" ref="F59:F66" si="14">IF(ISERROR(AA59),L59,AA59)</f>
        <v>Nederland</v>
      </c>
      <c r="G59" s="435">
        <v>2</v>
      </c>
      <c r="H59" s="367" t="s">
        <v>9</v>
      </c>
      <c r="I59" s="447">
        <v>2</v>
      </c>
      <c r="J59" s="448">
        <v>1</v>
      </c>
      <c r="K59" s="407" t="s">
        <v>48</v>
      </c>
      <c r="L59" s="407" t="s">
        <v>53</v>
      </c>
      <c r="M59" s="407">
        <v>1</v>
      </c>
      <c r="O59" s="458">
        <v>2</v>
      </c>
      <c r="P59" s="877" t="s">
        <v>216</v>
      </c>
      <c r="Q59" s="877"/>
      <c r="R59" s="877"/>
      <c r="S59" s="877"/>
      <c r="T59" s="878"/>
      <c r="V59" s="352" t="s">
        <v>132</v>
      </c>
      <c r="W59" s="352" t="s">
        <v>111</v>
      </c>
      <c r="X59" s="352" t="str">
        <f t="shared" si="11"/>
        <v>Jasper Cillessen (k)</v>
      </c>
      <c r="Y59" s="109">
        <f t="shared" ref="Y59:Y66" si="15">AF59</f>
        <v>5</v>
      </c>
      <c r="Z59" s="352" t="str">
        <f t="shared" ref="Z59:AA65" si="16">IF(K59=""," ",VLOOKUP(K59,$T$9:$V$54,3,FALSE))</f>
        <v>Brazilië</v>
      </c>
      <c r="AA59" s="352" t="str">
        <f t="shared" si="16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7">IF(OR(AC59="",AD59=""),0,(IF(SUM(AG59:AL59)&gt;10,10,SUM(AG59:AL59))))</f>
        <v>5</v>
      </c>
      <c r="AG59" s="108">
        <f t="shared" ref="AG59:AG66" si="18">IF(AC59="",0,(IF(G59=AC59,1,0)))</f>
        <v>0</v>
      </c>
      <c r="AH59" s="108">
        <f t="shared" ref="AH59:AH66" si="19">IF(AD59="",0,(IF(I59=AD59,1,0)))</f>
        <v>0</v>
      </c>
      <c r="AI59" s="108">
        <f t="shared" ref="AI59:AI66" si="20">IF(AND(AG59=1,AH59=1),10,0)</f>
        <v>0</v>
      </c>
      <c r="AJ59" s="108">
        <f t="shared" ref="AJ59:AJ66" si="21">IF(AND(G59&gt;I59,AC59&gt;AD59),5,0)</f>
        <v>0</v>
      </c>
      <c r="AK59" s="108">
        <f t="shared" ref="AK59:AK66" si="22">IF(AND(G59&lt;I59,AC59&lt;AD59),5,0)</f>
        <v>0</v>
      </c>
      <c r="AL59" s="108">
        <f t="shared" ref="AL59:AL66" si="23">IF(AND(G59=I59,AC59=AD59),5,0)</f>
        <v>5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4">BA59</f>
        <v>3</v>
      </c>
    </row>
    <row r="60" spans="2:54">
      <c r="B60" s="376">
        <v>50</v>
      </c>
      <c r="C60" s="466">
        <v>41818</v>
      </c>
      <c r="D60" s="460" t="str">
        <f t="shared" si="13"/>
        <v>Griekenland</v>
      </c>
      <c r="E60" s="379" t="s">
        <v>9</v>
      </c>
      <c r="F60" s="409" t="str">
        <f t="shared" si="14"/>
        <v>Engeland</v>
      </c>
      <c r="G60" s="437">
        <v>2</v>
      </c>
      <c r="H60" s="379" t="s">
        <v>9</v>
      </c>
      <c r="I60" s="449">
        <v>1</v>
      </c>
      <c r="J60" s="450">
        <v>1</v>
      </c>
      <c r="K60" s="407" t="s">
        <v>57</v>
      </c>
      <c r="L60" s="407" t="s">
        <v>63</v>
      </c>
      <c r="M60" s="407">
        <v>2</v>
      </c>
      <c r="O60" s="458">
        <v>3</v>
      </c>
      <c r="P60" s="877" t="s">
        <v>215</v>
      </c>
      <c r="Q60" s="877"/>
      <c r="R60" s="877"/>
      <c r="S60" s="877"/>
      <c r="T60" s="878"/>
      <c r="V60" s="352" t="s">
        <v>132</v>
      </c>
      <c r="W60" s="352" t="s">
        <v>110</v>
      </c>
      <c r="X60" s="352" t="str">
        <f t="shared" si="11"/>
        <v>Kenneth Vermeer (k)</v>
      </c>
      <c r="Y60" s="109">
        <f t="shared" si="15"/>
        <v>6</v>
      </c>
      <c r="Z60" s="352" t="str">
        <f t="shared" si="16"/>
        <v>Griekenland</v>
      </c>
      <c r="AA60" s="352" t="str">
        <f t="shared" si="16"/>
        <v>Engeland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7"/>
        <v>6</v>
      </c>
      <c r="AG60" s="108">
        <f t="shared" si="18"/>
        <v>1</v>
      </c>
      <c r="AH60" s="108">
        <f t="shared" si="19"/>
        <v>0</v>
      </c>
      <c r="AI60" s="108">
        <f t="shared" si="20"/>
        <v>0</v>
      </c>
      <c r="AJ60" s="108">
        <f t="shared" si="21"/>
        <v>5</v>
      </c>
      <c r="AK60" s="108">
        <f t="shared" si="22"/>
        <v>0</v>
      </c>
      <c r="AL60" s="108">
        <f t="shared" si="23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4"/>
        <v>3</v>
      </c>
    </row>
    <row r="61" spans="2:54">
      <c r="B61" s="364">
        <v>51</v>
      </c>
      <c r="C61" s="465">
        <v>41819</v>
      </c>
      <c r="D61" s="464" t="str">
        <f t="shared" si="13"/>
        <v>Spanje</v>
      </c>
      <c r="E61" s="367" t="s">
        <v>9</v>
      </c>
      <c r="F61" s="406" t="str">
        <f t="shared" si="14"/>
        <v>Kameroen</v>
      </c>
      <c r="G61" s="435">
        <v>3</v>
      </c>
      <c r="H61" s="367" t="s">
        <v>9</v>
      </c>
      <c r="I61" s="447">
        <v>1</v>
      </c>
      <c r="J61" s="448">
        <v>1</v>
      </c>
      <c r="K61" s="407" t="s">
        <v>52</v>
      </c>
      <c r="L61" s="407" t="s">
        <v>49</v>
      </c>
      <c r="M61" s="407"/>
      <c r="O61" s="458">
        <v>4</v>
      </c>
      <c r="P61" s="877" t="s">
        <v>240</v>
      </c>
      <c r="Q61" s="877"/>
      <c r="R61" s="877"/>
      <c r="S61" s="877"/>
      <c r="T61" s="878"/>
      <c r="V61" s="352" t="s">
        <v>132</v>
      </c>
      <c r="W61" s="352" t="s">
        <v>191</v>
      </c>
      <c r="X61" s="352" t="str">
        <f t="shared" si="11"/>
        <v>Tim Krul (k)</v>
      </c>
      <c r="Y61" s="109">
        <f t="shared" si="15"/>
        <v>6</v>
      </c>
      <c r="Z61" s="352" t="str">
        <f t="shared" si="16"/>
        <v>Spanje</v>
      </c>
      <c r="AA61" s="352" t="str">
        <f t="shared" si="16"/>
        <v>Kameroen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7"/>
        <v>6</v>
      </c>
      <c r="AG61" s="108">
        <f t="shared" si="18"/>
        <v>0</v>
      </c>
      <c r="AH61" s="108">
        <f t="shared" si="19"/>
        <v>1</v>
      </c>
      <c r="AI61" s="108">
        <f t="shared" si="20"/>
        <v>0</v>
      </c>
      <c r="AJ61" s="108">
        <f t="shared" si="21"/>
        <v>5</v>
      </c>
      <c r="AK61" s="108">
        <f t="shared" si="22"/>
        <v>0</v>
      </c>
      <c r="AL61" s="108">
        <f t="shared" si="23"/>
        <v>0</v>
      </c>
      <c r="AZ61" s="138" t="str">
        <f>Uitslag!P61</f>
        <v>Ron Vlaar (v)</v>
      </c>
      <c r="BA61" s="140">
        <f t="shared" si="12"/>
        <v>0</v>
      </c>
      <c r="BB61" s="139">
        <f t="shared" si="24"/>
        <v>0</v>
      </c>
    </row>
    <row r="62" spans="2:54">
      <c r="B62" s="376">
        <v>52</v>
      </c>
      <c r="C62" s="466">
        <v>41819</v>
      </c>
      <c r="D62" s="464" t="str">
        <f t="shared" si="13"/>
        <v>Italië</v>
      </c>
      <c r="E62" s="379" t="s">
        <v>9</v>
      </c>
      <c r="F62" s="409" t="str">
        <f t="shared" si="14"/>
        <v>Ivoorkust</v>
      </c>
      <c r="G62" s="437">
        <v>1</v>
      </c>
      <c r="H62" s="379" t="s">
        <v>9</v>
      </c>
      <c r="I62" s="449">
        <v>0</v>
      </c>
      <c r="J62" s="450">
        <v>1</v>
      </c>
      <c r="K62" s="407" t="s">
        <v>62</v>
      </c>
      <c r="L62" s="407" t="s">
        <v>58</v>
      </c>
      <c r="M62" s="407"/>
      <c r="O62" s="458">
        <v>5</v>
      </c>
      <c r="P62" s="877" t="s">
        <v>212</v>
      </c>
      <c r="Q62" s="877"/>
      <c r="R62" s="877"/>
      <c r="S62" s="877"/>
      <c r="T62" s="878"/>
      <c r="V62" s="352" t="s">
        <v>132</v>
      </c>
      <c r="W62" s="352" t="s">
        <v>192</v>
      </c>
      <c r="X62" s="352" t="str">
        <f t="shared" si="11"/>
        <v>Maarten Stekelenburg (k)</v>
      </c>
      <c r="Y62" s="109">
        <f t="shared" si="15"/>
        <v>1</v>
      </c>
      <c r="Z62" s="352" t="str">
        <f t="shared" si="16"/>
        <v>Italië</v>
      </c>
      <c r="AA62" s="352" t="str">
        <f t="shared" si="16"/>
        <v>Ivoorkust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7"/>
        <v>1</v>
      </c>
      <c r="AG62" s="108">
        <f t="shared" si="18"/>
        <v>1</v>
      </c>
      <c r="AH62" s="108">
        <f t="shared" si="19"/>
        <v>0</v>
      </c>
      <c r="AI62" s="108">
        <f t="shared" si="20"/>
        <v>0</v>
      </c>
      <c r="AJ62" s="108">
        <f t="shared" si="21"/>
        <v>0</v>
      </c>
      <c r="AK62" s="108">
        <f t="shared" si="22"/>
        <v>0</v>
      </c>
      <c r="AL62" s="108">
        <f t="shared" si="23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4"/>
        <v>3</v>
      </c>
    </row>
    <row r="63" spans="2:54">
      <c r="B63" s="364">
        <v>53</v>
      </c>
      <c r="C63" s="465">
        <v>41820</v>
      </c>
      <c r="D63" s="459" t="str">
        <f t="shared" si="13"/>
        <v>Frankrijk</v>
      </c>
      <c r="E63" s="367" t="s">
        <v>9</v>
      </c>
      <c r="F63" s="406" t="str">
        <f t="shared" si="14"/>
        <v>Bosnië H.</v>
      </c>
      <c r="G63" s="435">
        <v>2</v>
      </c>
      <c r="H63" s="367" t="s">
        <v>9</v>
      </c>
      <c r="I63" s="447">
        <v>0</v>
      </c>
      <c r="J63" s="448">
        <v>1</v>
      </c>
      <c r="K63" s="407" t="s">
        <v>67</v>
      </c>
      <c r="L63" s="407" t="s">
        <v>73</v>
      </c>
      <c r="M63" s="407"/>
      <c r="O63" s="458">
        <v>6</v>
      </c>
      <c r="P63" s="877" t="s">
        <v>209</v>
      </c>
      <c r="Q63" s="877"/>
      <c r="R63" s="877"/>
      <c r="S63" s="877"/>
      <c r="T63" s="878"/>
      <c r="V63" s="352" t="s">
        <v>132</v>
      </c>
      <c r="W63" s="352" t="s">
        <v>193</v>
      </c>
      <c r="X63" s="352" t="str">
        <f t="shared" si="11"/>
        <v>Michel Vorm (k)</v>
      </c>
      <c r="Y63" s="109">
        <f t="shared" si="15"/>
        <v>10</v>
      </c>
      <c r="Z63" s="352" t="str">
        <f t="shared" si="16"/>
        <v>Frankrijk</v>
      </c>
      <c r="AA63" s="352" t="str">
        <f t="shared" si="16"/>
        <v>Bosnië H.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7"/>
        <v>10</v>
      </c>
      <c r="AG63" s="108">
        <f t="shared" si="18"/>
        <v>1</v>
      </c>
      <c r="AH63" s="108">
        <f t="shared" si="19"/>
        <v>1</v>
      </c>
      <c r="AI63" s="108">
        <f t="shared" si="20"/>
        <v>10</v>
      </c>
      <c r="AJ63" s="108">
        <f t="shared" si="21"/>
        <v>5</v>
      </c>
      <c r="AK63" s="108">
        <f t="shared" si="22"/>
        <v>0</v>
      </c>
      <c r="AL63" s="108">
        <f t="shared" si="23"/>
        <v>0</v>
      </c>
      <c r="AZ63" s="138" t="str">
        <f>Uitslag!P63</f>
        <v>Daley Blind (v)</v>
      </c>
      <c r="BA63" s="140">
        <f t="shared" si="12"/>
        <v>3</v>
      </c>
      <c r="BB63" s="139">
        <f t="shared" si="24"/>
        <v>3</v>
      </c>
    </row>
    <row r="64" spans="2:54">
      <c r="B64" s="376">
        <v>54</v>
      </c>
      <c r="C64" s="466">
        <v>41820</v>
      </c>
      <c r="D64" s="460" t="str">
        <f t="shared" si="13"/>
        <v>Duitsland</v>
      </c>
      <c r="E64" s="379" t="s">
        <v>9</v>
      </c>
      <c r="F64" s="409" t="str">
        <f t="shared" si="14"/>
        <v>Zuid Korea</v>
      </c>
      <c r="G64" s="437">
        <v>3</v>
      </c>
      <c r="H64" s="379" t="s">
        <v>9</v>
      </c>
      <c r="I64" s="449">
        <v>0</v>
      </c>
      <c r="J64" s="450">
        <v>1</v>
      </c>
      <c r="K64" s="407" t="s">
        <v>77</v>
      </c>
      <c r="L64" s="407" t="s">
        <v>83</v>
      </c>
      <c r="M64" s="407"/>
      <c r="O64" s="458">
        <v>7</v>
      </c>
      <c r="P64" s="877" t="s">
        <v>225</v>
      </c>
      <c r="Q64" s="877"/>
      <c r="R64" s="877"/>
      <c r="S64" s="877"/>
      <c r="T64" s="878"/>
      <c r="V64" s="352" t="s">
        <v>133</v>
      </c>
      <c r="W64" s="352" t="s">
        <v>112</v>
      </c>
      <c r="X64" s="352" t="str">
        <f t="shared" si="11"/>
        <v>Joël Veltman (v)</v>
      </c>
      <c r="Y64" s="109">
        <f t="shared" si="15"/>
        <v>1</v>
      </c>
      <c r="Z64" s="352" t="str">
        <f t="shared" si="16"/>
        <v>Duitsland</v>
      </c>
      <c r="AA64" s="352" t="str">
        <f t="shared" si="16"/>
        <v>Zuid Korea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7"/>
        <v>1</v>
      </c>
      <c r="AG64" s="108">
        <f t="shared" si="18"/>
        <v>0</v>
      </c>
      <c r="AH64" s="108">
        <f t="shared" si="19"/>
        <v>1</v>
      </c>
      <c r="AI64" s="108">
        <f t="shared" si="20"/>
        <v>0</v>
      </c>
      <c r="AJ64" s="108">
        <f t="shared" si="21"/>
        <v>0</v>
      </c>
      <c r="AK64" s="108">
        <f t="shared" si="22"/>
        <v>0</v>
      </c>
      <c r="AL64" s="108">
        <f t="shared" si="23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4"/>
        <v>3</v>
      </c>
    </row>
    <row r="65" spans="2:54">
      <c r="B65" s="370">
        <v>55</v>
      </c>
      <c r="C65" s="467">
        <v>41821</v>
      </c>
      <c r="D65" s="459" t="str">
        <f t="shared" si="13"/>
        <v>Argentinië</v>
      </c>
      <c r="E65" s="373" t="s">
        <v>9</v>
      </c>
      <c r="F65" s="410" t="str">
        <f t="shared" si="14"/>
        <v>Zwitserland</v>
      </c>
      <c r="G65" s="436">
        <v>1</v>
      </c>
      <c r="H65" s="373" t="s">
        <v>9</v>
      </c>
      <c r="I65" s="451">
        <v>1</v>
      </c>
      <c r="J65" s="452">
        <v>1</v>
      </c>
      <c r="K65" s="407" t="s">
        <v>72</v>
      </c>
      <c r="L65" s="407" t="s">
        <v>68</v>
      </c>
      <c r="M65" s="407"/>
      <c r="O65" s="458">
        <v>8</v>
      </c>
      <c r="P65" s="877" t="s">
        <v>308</v>
      </c>
      <c r="Q65" s="877"/>
      <c r="R65" s="877"/>
      <c r="S65" s="877"/>
      <c r="T65" s="878"/>
      <c r="V65" s="352" t="s">
        <v>133</v>
      </c>
      <c r="W65" s="352" t="s">
        <v>109</v>
      </c>
      <c r="X65" s="352" t="str">
        <f t="shared" si="11"/>
        <v>Daley Blind (v)</v>
      </c>
      <c r="Y65" s="109">
        <f t="shared" si="15"/>
        <v>5</v>
      </c>
      <c r="Z65" s="352" t="str">
        <f t="shared" si="16"/>
        <v>Argentinië</v>
      </c>
      <c r="AA65" s="352" t="str">
        <f t="shared" si="16"/>
        <v>Zwitserland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7"/>
        <v>5</v>
      </c>
      <c r="AG65" s="108">
        <f t="shared" si="18"/>
        <v>0</v>
      </c>
      <c r="AH65" s="108">
        <f t="shared" si="19"/>
        <v>0</v>
      </c>
      <c r="AI65" s="108">
        <f t="shared" si="20"/>
        <v>0</v>
      </c>
      <c r="AJ65" s="108">
        <f t="shared" si="21"/>
        <v>0</v>
      </c>
      <c r="AK65" s="108">
        <f t="shared" si="22"/>
        <v>0</v>
      </c>
      <c r="AL65" s="108">
        <f t="shared" si="23"/>
        <v>5</v>
      </c>
      <c r="AZ65" s="138" t="str">
        <f>Uitslag!P65</f>
        <v>Nigel de Jong (m)</v>
      </c>
      <c r="BA65" s="140">
        <f t="shared" si="12"/>
        <v>0</v>
      </c>
      <c r="BB65" s="139">
        <f t="shared" si="24"/>
        <v>0</v>
      </c>
    </row>
    <row r="66" spans="2:54" ht="15.75" thickBot="1">
      <c r="B66" s="385">
        <v>56</v>
      </c>
      <c r="C66" s="462">
        <v>41821</v>
      </c>
      <c r="D66" s="461" t="str">
        <f t="shared" si="13"/>
        <v>België</v>
      </c>
      <c r="E66" s="388" t="s">
        <v>9</v>
      </c>
      <c r="F66" s="412" t="str">
        <f t="shared" si="14"/>
        <v>Portugal</v>
      </c>
      <c r="G66" s="438">
        <v>2</v>
      </c>
      <c r="H66" s="388" t="s">
        <v>9</v>
      </c>
      <c r="I66" s="453">
        <v>1</v>
      </c>
      <c r="J66" s="454">
        <v>1</v>
      </c>
      <c r="K66" s="407" t="s">
        <v>82</v>
      </c>
      <c r="L66" s="407" t="s">
        <v>78</v>
      </c>
      <c r="M66" s="407"/>
      <c r="O66" s="458">
        <v>9</v>
      </c>
      <c r="P66" s="877" t="s">
        <v>214</v>
      </c>
      <c r="Q66" s="877"/>
      <c r="R66" s="877"/>
      <c r="S66" s="877"/>
      <c r="T66" s="878"/>
      <c r="V66" s="352" t="s">
        <v>133</v>
      </c>
      <c r="W66" s="352" t="s">
        <v>115</v>
      </c>
      <c r="X66" s="352" t="str">
        <f t="shared" si="11"/>
        <v>Daryl Janmaat (v)</v>
      </c>
      <c r="Y66" s="109">
        <f t="shared" si="15"/>
        <v>0</v>
      </c>
      <c r="Z66" s="352" t="str">
        <f>IF(K66=""," ",VLOOKUP(K66,$T$9:$V$54,3,FALSE))</f>
        <v>België</v>
      </c>
      <c r="AA66" s="352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7"/>
        <v>0</v>
      </c>
      <c r="AG66" s="108">
        <f t="shared" si="18"/>
        <v>0</v>
      </c>
      <c r="AH66" s="108">
        <f t="shared" si="19"/>
        <v>0</v>
      </c>
      <c r="AI66" s="108">
        <f t="shared" si="20"/>
        <v>0</v>
      </c>
      <c r="AJ66" s="108">
        <f t="shared" si="21"/>
        <v>0</v>
      </c>
      <c r="AK66" s="108">
        <f t="shared" si="22"/>
        <v>0</v>
      </c>
      <c r="AL66" s="108">
        <f t="shared" si="23"/>
        <v>0</v>
      </c>
      <c r="AZ66" s="138" t="str">
        <f>Uitslag!P66</f>
        <v>Jonathan de Guzman (m)</v>
      </c>
      <c r="BA66" s="140">
        <f t="shared" si="12"/>
        <v>3</v>
      </c>
      <c r="BB66" s="139">
        <f t="shared" si="24"/>
        <v>3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O67" s="458">
        <v>10</v>
      </c>
      <c r="P67" s="877" t="s">
        <v>213</v>
      </c>
      <c r="Q67" s="877"/>
      <c r="R67" s="877"/>
      <c r="S67" s="877"/>
      <c r="T67" s="878"/>
      <c r="V67" s="352" t="s">
        <v>133</v>
      </c>
      <c r="W67" s="352" t="s">
        <v>118</v>
      </c>
      <c r="X67" s="352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4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79"/>
      <c r="K68" s="353"/>
      <c r="L68" s="353"/>
      <c r="M68" s="353"/>
      <c r="O68" s="458">
        <v>11</v>
      </c>
      <c r="P68" s="877" t="s">
        <v>221</v>
      </c>
      <c r="Q68" s="877"/>
      <c r="R68" s="877"/>
      <c r="S68" s="877"/>
      <c r="T68" s="878"/>
      <c r="V68" s="352" t="s">
        <v>133</v>
      </c>
      <c r="W68" s="352" t="s">
        <v>119</v>
      </c>
      <c r="X68" s="352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0</v>
      </c>
      <c r="BB68" s="139">
        <f t="shared" si="24"/>
        <v>0</v>
      </c>
    </row>
    <row r="69" spans="2:54">
      <c r="B69" s="428" t="s">
        <v>1</v>
      </c>
      <c r="C69" s="429" t="s">
        <v>2</v>
      </c>
      <c r="D69" s="476" t="s">
        <v>3</v>
      </c>
      <c r="E69" s="431"/>
      <c r="F69" s="477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V69" s="352" t="s">
        <v>133</v>
      </c>
      <c r="W69" s="352" t="s">
        <v>121</v>
      </c>
      <c r="X69" s="352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24</v>
      </c>
      <c r="BB69" s="139" t="str">
        <f>IF(AND(BA69&lt;&gt;"",BA69=33),15,"nvt")</f>
        <v>nvt</v>
      </c>
    </row>
    <row r="70" spans="2:54">
      <c r="B70" s="364">
        <v>57</v>
      </c>
      <c r="C70" s="365">
        <v>41824</v>
      </c>
      <c r="D70" s="405" t="str">
        <f>IF(J63="","Winnaar 53",IF(J63=1,D63,F63))</f>
        <v>Frankrijk</v>
      </c>
      <c r="E70" s="367" t="s">
        <v>9</v>
      </c>
      <c r="F70" s="406" t="str">
        <f>IF(J64="","Winnaar 54",IF(J64=1,D64,F64))</f>
        <v>Duitsland</v>
      </c>
      <c r="G70" s="435">
        <v>0</v>
      </c>
      <c r="H70" s="367" t="s">
        <v>9</v>
      </c>
      <c r="I70" s="447">
        <v>2</v>
      </c>
      <c r="J70" s="448">
        <v>2</v>
      </c>
      <c r="K70" s="353"/>
      <c r="L70" s="353"/>
      <c r="M70" s="353"/>
      <c r="V70" s="352" t="s">
        <v>133</v>
      </c>
      <c r="W70" s="352" t="s">
        <v>126</v>
      </c>
      <c r="X70" s="352" t="str">
        <f t="shared" si="11"/>
        <v>Karim Rekik (v)</v>
      </c>
      <c r="Y70" s="109">
        <f>AF70</f>
        <v>6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6</v>
      </c>
      <c r="AG70" s="108">
        <f>IF(AC70="",0,(IF(G70=AC70,1,0)))</f>
        <v>1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Brazilië</v>
      </c>
      <c r="E71" s="379" t="s">
        <v>9</v>
      </c>
      <c r="F71" s="409" t="str">
        <f>IF(J60="","Winnaar 50",IF(J60=1,D60,F60))</f>
        <v>Griekenland</v>
      </c>
      <c r="G71" s="437">
        <v>3</v>
      </c>
      <c r="H71" s="379" t="s">
        <v>9</v>
      </c>
      <c r="I71" s="449">
        <v>1</v>
      </c>
      <c r="J71" s="450">
        <v>1</v>
      </c>
      <c r="K71" s="353"/>
      <c r="L71" s="353"/>
      <c r="M71" s="353"/>
      <c r="V71" s="352" t="s">
        <v>133</v>
      </c>
      <c r="W71" s="352" t="s">
        <v>194</v>
      </c>
      <c r="X71" s="352" t="str">
        <f t="shared" si="11"/>
        <v>Ron Vlaar (v)</v>
      </c>
      <c r="Y71" s="109">
        <f>AF71</f>
        <v>6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6</v>
      </c>
      <c r="AG71" s="108">
        <f>IF(AC71="",0,(IF(G71=AC71,1,0)))</f>
        <v>0</v>
      </c>
      <c r="AH71" s="108">
        <f>IF(AD71="",0,(IF(I71=AD71,1,0)))</f>
        <v>1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Argentinië</v>
      </c>
      <c r="E72" s="367" t="s">
        <v>9</v>
      </c>
      <c r="F72" s="406" t="str">
        <f>IF(J66="","Winnaar 56",IF(J66=1,D66,F66))</f>
        <v>België</v>
      </c>
      <c r="G72" s="435">
        <v>1</v>
      </c>
      <c r="H72" s="367" t="s">
        <v>9</v>
      </c>
      <c r="I72" s="447">
        <v>2</v>
      </c>
      <c r="J72" s="448">
        <v>2</v>
      </c>
      <c r="K72" s="353"/>
      <c r="L72" s="353"/>
      <c r="M72" s="353"/>
      <c r="V72" s="352" t="s">
        <v>133</v>
      </c>
      <c r="W72" s="352" t="s">
        <v>195</v>
      </c>
      <c r="X72" s="352" t="str">
        <f t="shared" si="11"/>
        <v>John Heitinga (v)</v>
      </c>
      <c r="Y72" s="109">
        <f>AF72</f>
        <v>1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1</v>
      </c>
      <c r="AG72" s="108">
        <f>IF(AC72="",0,(IF(G72=AC72,1,0)))</f>
        <v>1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0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Spanje</v>
      </c>
      <c r="E73" s="388" t="s">
        <v>9</v>
      </c>
      <c r="F73" s="412" t="str">
        <f>IF(J62="","Winnaar 52",IF(J62=1,D62,F62))</f>
        <v>Italië</v>
      </c>
      <c r="G73" s="438">
        <v>2</v>
      </c>
      <c r="H73" s="388" t="s">
        <v>9</v>
      </c>
      <c r="I73" s="453">
        <v>1</v>
      </c>
      <c r="J73" s="454">
        <v>1</v>
      </c>
      <c r="K73" s="353"/>
      <c r="L73" s="353"/>
      <c r="M73" s="353"/>
      <c r="V73" s="352" t="s">
        <v>133</v>
      </c>
      <c r="W73" s="352" t="s">
        <v>196</v>
      </c>
      <c r="X73" s="352" t="str">
        <f t="shared" si="11"/>
        <v>Urby Emanuelson (v)</v>
      </c>
      <c r="Y73" s="109">
        <f>AF73</f>
        <v>0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0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V74" s="352" t="s">
        <v>133</v>
      </c>
      <c r="W74" s="352" t="s">
        <v>197</v>
      </c>
      <c r="X74" s="352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79"/>
      <c r="K75" s="353"/>
      <c r="L75" s="353"/>
      <c r="M75" s="353"/>
      <c r="V75" s="352" t="s">
        <v>133</v>
      </c>
      <c r="W75" s="352" t="s">
        <v>198</v>
      </c>
      <c r="X75" s="352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76" t="s">
        <v>3</v>
      </c>
      <c r="E76" s="431"/>
      <c r="F76" s="477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V76" s="352" t="s">
        <v>133</v>
      </c>
      <c r="W76" s="352" t="s">
        <v>202</v>
      </c>
      <c r="X76" s="352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Duitsland</v>
      </c>
      <c r="E77" s="367" t="s">
        <v>9</v>
      </c>
      <c r="F77" s="406" t="str">
        <f>IF(J71="","Winnaar 58",IF(J71=1,D71,F71))</f>
        <v>Brazilië</v>
      </c>
      <c r="G77" s="435">
        <v>1</v>
      </c>
      <c r="H77" s="367" t="s">
        <v>9</v>
      </c>
      <c r="I77" s="447">
        <v>2</v>
      </c>
      <c r="J77" s="448">
        <v>2</v>
      </c>
      <c r="K77" s="353"/>
      <c r="L77" s="353"/>
      <c r="M77" s="353"/>
      <c r="V77" s="352" t="s">
        <v>134</v>
      </c>
      <c r="W77" s="352" t="s">
        <v>203</v>
      </c>
      <c r="X77" s="352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België</v>
      </c>
      <c r="E78" s="388" t="s">
        <v>9</v>
      </c>
      <c r="F78" s="412" t="str">
        <f>IF(J73="","Winnaar 60",IF(J73=1,D73,F73))</f>
        <v>Spanje</v>
      </c>
      <c r="G78" s="438">
        <v>1</v>
      </c>
      <c r="H78" s="388" t="s">
        <v>9</v>
      </c>
      <c r="I78" s="453">
        <v>3</v>
      </c>
      <c r="J78" s="454">
        <v>2</v>
      </c>
      <c r="K78" s="353"/>
      <c r="L78" s="353"/>
      <c r="M78" s="353"/>
      <c r="V78" s="352" t="s">
        <v>134</v>
      </c>
      <c r="W78" s="352" t="s">
        <v>199</v>
      </c>
      <c r="X78" s="352" t="str">
        <f t="shared" si="11"/>
        <v>Leroy Fer (m)</v>
      </c>
      <c r="Y78" s="109">
        <f>AF78</f>
        <v>0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0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V79" s="352" t="s">
        <v>134</v>
      </c>
      <c r="W79" s="352" t="s">
        <v>114</v>
      </c>
      <c r="X79" s="352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79"/>
      <c r="K80" s="353"/>
      <c r="L80" s="353"/>
      <c r="M80" s="353"/>
      <c r="V80" s="352" t="s">
        <v>134</v>
      </c>
      <c r="W80" s="352" t="s">
        <v>117</v>
      </c>
      <c r="X80" s="352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76" t="s">
        <v>3</v>
      </c>
      <c r="E81" s="431"/>
      <c r="F81" s="477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V81" s="352" t="s">
        <v>134</v>
      </c>
      <c r="W81" s="352" t="s">
        <v>120</v>
      </c>
      <c r="X81" s="352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Duitsland</v>
      </c>
      <c r="E82" s="355" t="s">
        <v>9</v>
      </c>
      <c r="F82" s="415" t="str">
        <f>IF(J78="","Verliezer 62",IF(J78=1,F78,D78))</f>
        <v>België</v>
      </c>
      <c r="G82" s="455">
        <v>2</v>
      </c>
      <c r="H82" s="355" t="s">
        <v>9</v>
      </c>
      <c r="I82" s="456">
        <v>1</v>
      </c>
      <c r="J82" s="457">
        <v>1</v>
      </c>
      <c r="K82" s="353"/>
      <c r="L82" s="353"/>
      <c r="M82" s="353"/>
      <c r="V82" s="352" t="s">
        <v>134</v>
      </c>
      <c r="W82" s="352" t="s">
        <v>125</v>
      </c>
      <c r="X82" s="35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V83" s="352" t="s">
        <v>134</v>
      </c>
      <c r="W83" s="352" t="s">
        <v>136</v>
      </c>
      <c r="X83" s="352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79"/>
      <c r="K84" s="353"/>
      <c r="L84" s="353"/>
      <c r="M84" s="353"/>
      <c r="V84" s="352" t="s">
        <v>134</v>
      </c>
      <c r="W84" s="352" t="s">
        <v>137</v>
      </c>
      <c r="X84" s="352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76" t="s">
        <v>3</v>
      </c>
      <c r="E85" s="431"/>
      <c r="F85" s="477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V85" s="352" t="s">
        <v>134</v>
      </c>
      <c r="W85" s="352" t="s">
        <v>138</v>
      </c>
      <c r="X85" s="352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Brazilië</v>
      </c>
      <c r="E86" s="355" t="s">
        <v>9</v>
      </c>
      <c r="F86" s="415" t="str">
        <f>IF(J78="","Winnaar 62",IF(J78=1,D78,F78))</f>
        <v>Spanje</v>
      </c>
      <c r="G86" s="455">
        <v>2</v>
      </c>
      <c r="H86" s="355" t="s">
        <v>9</v>
      </c>
      <c r="I86" s="456">
        <v>1</v>
      </c>
      <c r="J86" s="457">
        <v>1</v>
      </c>
      <c r="K86" s="353"/>
      <c r="L86" s="353"/>
      <c r="M86" s="353"/>
      <c r="V86" s="352" t="s">
        <v>134</v>
      </c>
      <c r="W86" s="352" t="s">
        <v>139</v>
      </c>
      <c r="X86" s="352" t="str">
        <f t="shared" si="11"/>
        <v>Nigel de Jong (m)</v>
      </c>
      <c r="Y86" s="109">
        <f>AF86</f>
        <v>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0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353"/>
      <c r="C87" s="129"/>
      <c r="D87" s="392"/>
      <c r="E87" s="353"/>
      <c r="F87" s="392"/>
      <c r="G87" s="353"/>
      <c r="H87" s="353"/>
      <c r="I87" s="353"/>
      <c r="J87" s="353"/>
      <c r="K87" s="353"/>
      <c r="L87" s="353"/>
      <c r="M87" s="353"/>
      <c r="V87" s="352" t="s">
        <v>135</v>
      </c>
      <c r="W87" s="352" t="s">
        <v>205</v>
      </c>
      <c r="X87" s="352" t="str">
        <f t="shared" si="11"/>
        <v>Ricky van Wolfswinkel (a)</v>
      </c>
      <c r="AP87" s="136" t="s">
        <v>102</v>
      </c>
    </row>
    <row r="88" spans="2:50">
      <c r="B88" s="353"/>
      <c r="C88" s="129"/>
      <c r="D88" s="392"/>
      <c r="E88" s="353"/>
      <c r="F88" s="392"/>
      <c r="G88" s="353"/>
      <c r="H88" s="353"/>
      <c r="I88" s="353"/>
      <c r="J88" s="353"/>
      <c r="K88" s="353"/>
      <c r="L88" s="353"/>
      <c r="M88" s="353"/>
      <c r="V88" s="352" t="s">
        <v>135</v>
      </c>
      <c r="W88" s="352" t="s">
        <v>204</v>
      </c>
      <c r="X88" s="352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458"/>
    </row>
    <row r="89" spans="2:50" ht="20.25">
      <c r="C89" s="874" t="s">
        <v>101</v>
      </c>
      <c r="D89" s="871"/>
      <c r="E89" s="873" t="str">
        <f>IF(J86=1,D86,IF(J86=2,F86,"Wie zal het worden?"))</f>
        <v>Brazilië</v>
      </c>
      <c r="F89" s="873"/>
      <c r="G89" s="873"/>
      <c r="H89" s="873"/>
      <c r="I89" s="873"/>
      <c r="J89" s="873"/>
      <c r="K89" s="353"/>
      <c r="L89" s="353"/>
      <c r="M89" s="353"/>
      <c r="V89" s="352" t="s">
        <v>135</v>
      </c>
      <c r="W89" s="352" t="s">
        <v>201</v>
      </c>
      <c r="X89" s="352" t="str">
        <f t="shared" si="11"/>
        <v>Jermain Lens (a)</v>
      </c>
      <c r="AP89" s="109">
        <f>AU89</f>
        <v>5</v>
      </c>
      <c r="AQ89" s="131">
        <v>1</v>
      </c>
      <c r="AR89" s="904" t="str">
        <f>Uitslag!E89</f>
        <v>Duitsland</v>
      </c>
      <c r="AS89" s="905"/>
      <c r="AT89" s="906"/>
      <c r="AU89" s="352">
        <f>SUM(AV89:AX89)</f>
        <v>5</v>
      </c>
      <c r="AV89" s="352">
        <f>IF(AR89=0,0,IF(E89=AR89,50,0))</f>
        <v>0</v>
      </c>
      <c r="AW89" s="352">
        <f>IF(E89=0,0,IF(OR(E89=AR90),15,0))</f>
        <v>0</v>
      </c>
      <c r="AX89" s="352">
        <f>IF(E89=0,0,IF(OR(E89=AR91,E89=AR92),5,0))</f>
        <v>5</v>
      </c>
    </row>
    <row r="90" spans="2:50">
      <c r="C90" s="870">
        <v>2</v>
      </c>
      <c r="D90" s="871"/>
      <c r="E90" s="872" t="str">
        <f>IF(J86=2,D86,IF(J86=1,F86,"Wie wordt 2de?"))</f>
        <v>Spanje</v>
      </c>
      <c r="F90" s="872"/>
      <c r="G90" s="872"/>
      <c r="H90" s="872"/>
      <c r="I90" s="872"/>
      <c r="J90" s="872"/>
      <c r="V90" s="352" t="s">
        <v>135</v>
      </c>
      <c r="W90" s="352" t="s">
        <v>200</v>
      </c>
      <c r="X90" s="352" t="str">
        <f t="shared" si="11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 s="352">
        <f>SUM(AV90:AX90)</f>
        <v>0</v>
      </c>
      <c r="AV90" s="352">
        <f>IF(AR90=0,0,IF(AR90=E90,25,0))</f>
        <v>0</v>
      </c>
      <c r="AW90" s="352">
        <f>IF(E90=0,0,IF(OR(E90=AR89,),15,0))</f>
        <v>0</v>
      </c>
      <c r="AX90" s="352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Duitsland</v>
      </c>
      <c r="F91" s="872"/>
      <c r="G91" s="872"/>
      <c r="H91" s="872"/>
      <c r="I91" s="872"/>
      <c r="J91" s="872"/>
      <c r="V91" s="352" t="s">
        <v>135</v>
      </c>
      <c r="W91" s="352" t="s">
        <v>128</v>
      </c>
      <c r="X91" s="352" t="str">
        <f t="shared" si="11"/>
        <v>Jürgen Locadia (a)</v>
      </c>
      <c r="AP91" s="109">
        <f>AU91</f>
        <v>5</v>
      </c>
      <c r="AQ91" s="131">
        <v>3</v>
      </c>
      <c r="AR91" s="904" t="str">
        <f>Uitslag!E91</f>
        <v>Nederland</v>
      </c>
      <c r="AS91" s="905"/>
      <c r="AT91" s="906"/>
      <c r="AU91" s="352">
        <f>SUM(AV91:AX91)</f>
        <v>5</v>
      </c>
      <c r="AV91" s="352">
        <f>IF(AR91=0,0,IF(AR91=E91,15,0))</f>
        <v>0</v>
      </c>
      <c r="AW91" s="352">
        <f>IF(E91=0,0,IF(OR(E91=AR92),10,0))</f>
        <v>0</v>
      </c>
      <c r="AX91" s="352">
        <f>IF(E91=0,0,IF(OR(E91=AR89,E91=AR90),5,0))</f>
        <v>5</v>
      </c>
    </row>
    <row r="92" spans="2:50">
      <c r="C92" s="870">
        <v>4</v>
      </c>
      <c r="D92" s="871"/>
      <c r="E92" s="872" t="str">
        <f>IF(J82=2,D82,IF(J82=1,F82,"Wie wordt 4de?"))</f>
        <v>België</v>
      </c>
      <c r="F92" s="872"/>
      <c r="G92" s="872"/>
      <c r="H92" s="872"/>
      <c r="I92" s="872"/>
      <c r="J92" s="872"/>
      <c r="V92" s="352" t="s">
        <v>135</v>
      </c>
      <c r="W92" s="352" t="s">
        <v>127</v>
      </c>
      <c r="X92" s="35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 s="352">
        <f>SUM(AV92:AX92)</f>
        <v>0</v>
      </c>
      <c r="AV92" s="352">
        <f>IF(AR92=0,0,IF(AR92=E92,15,0))</f>
        <v>0</v>
      </c>
      <c r="AW92" s="352">
        <f>IF(E92=0,0,IF(OR(E92=AR91,),10,0))</f>
        <v>0</v>
      </c>
      <c r="AX92" s="352">
        <f>IF(E92=0,0,IF(OR(E92=AR89,E92=AR90),5,0))</f>
        <v>0</v>
      </c>
    </row>
    <row r="93" spans="2:50" ht="15.75" thickBot="1">
      <c r="V93" s="352" t="s">
        <v>135</v>
      </c>
      <c r="W93" s="352" t="s">
        <v>123</v>
      </c>
      <c r="X93" s="352" t="str">
        <f t="shared" si="11"/>
        <v>Quincy Promes (a)</v>
      </c>
      <c r="AS93" s="132"/>
      <c r="AU93" s="133">
        <f>SUM(AU89:AU92)</f>
        <v>10</v>
      </c>
    </row>
    <row r="94" spans="2:50" ht="15.75" thickTop="1">
      <c r="V94" s="352" t="s">
        <v>135</v>
      </c>
      <c r="W94" s="352" t="s">
        <v>122</v>
      </c>
      <c r="X94" s="352" t="str">
        <f t="shared" si="11"/>
        <v>Luc Castaignos (a)</v>
      </c>
    </row>
    <row r="95" spans="2:50">
      <c r="V95" s="352" t="s">
        <v>135</v>
      </c>
      <c r="W95" s="352" t="s">
        <v>113</v>
      </c>
      <c r="X95" s="352" t="str">
        <f t="shared" si="11"/>
        <v>Jean-Paul Boëtius (a)</v>
      </c>
    </row>
    <row r="96" spans="2:50">
      <c r="V96" s="352" t="s">
        <v>135</v>
      </c>
      <c r="W96" s="352" t="s">
        <v>129</v>
      </c>
      <c r="X96" s="352" t="str">
        <f t="shared" si="11"/>
        <v>Luciano Narsingh (a)</v>
      </c>
    </row>
    <row r="97" spans="22:24">
      <c r="V97" s="352" t="s">
        <v>135</v>
      </c>
      <c r="W97" s="352" t="s">
        <v>130</v>
      </c>
      <c r="X97" s="352" t="str">
        <f t="shared" si="11"/>
        <v>Robin van Persie (a)</v>
      </c>
    </row>
    <row r="98" spans="22:24">
      <c r="V98" s="352" t="s">
        <v>135</v>
      </c>
      <c r="W98" s="352" t="s">
        <v>131</v>
      </c>
      <c r="X98" s="352" t="str">
        <f t="shared" si="11"/>
        <v>Arjen Robben (a)</v>
      </c>
    </row>
  </sheetData>
  <mergeCells count="36">
    <mergeCell ref="C91:D91"/>
    <mergeCell ref="E91:J91"/>
    <mergeCell ref="AR91:AT91"/>
    <mergeCell ref="C92:D92"/>
    <mergeCell ref="E92:J92"/>
    <mergeCell ref="AR92:AT92"/>
    <mergeCell ref="C89:D89"/>
    <mergeCell ref="E89:J89"/>
    <mergeCell ref="AR89:AT89"/>
    <mergeCell ref="C90:D90"/>
    <mergeCell ref="E90:J90"/>
    <mergeCell ref="AR90:AT90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</mergeCells>
  <conditionalFormatting sqref="AO9:AO12 AO15:AO18 AO21:AO24 AO27:AO30 AO33:AO36 AO39:AO42 AO45:AO48 AO51:AO54">
    <cfRule type="cellIs" dxfId="41" priority="3" operator="equal">
      <formula>10</formula>
    </cfRule>
  </conditionalFormatting>
  <conditionalFormatting sqref="P58:T58">
    <cfRule type="duplicateValues" dxfId="40" priority="2"/>
  </conditionalFormatting>
  <conditionalFormatting sqref="P58:T68">
    <cfRule type="duplicateValues" dxfId="39" priority="1"/>
  </conditionalFormatting>
  <dataValidations count="10">
    <dataValidation type="list" allowBlank="1" showInputMessage="1" showErrorMessage="1" sqref="T51:T54">
      <formula1>$W$51:$W$54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P58:P68">
      <formula1>$X$58:$X$98</formula1>
    </dataValidation>
  </dataValidation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>
  <dimension ref="B1:BB98"/>
  <sheetViews>
    <sheetView topLeftCell="A43" zoomScale="70" zoomScaleNormal="70" workbookViewId="0">
      <selection activeCell="P58" sqref="P58:T68"/>
    </sheetView>
  </sheetViews>
  <sheetFormatPr defaultRowHeight="15" outlineLevelCol="2"/>
  <cols>
    <col min="1" max="1" width="3.42578125" style="352" customWidth="1"/>
    <col min="2" max="2" width="3.5703125" style="352" bestFit="1" customWidth="1"/>
    <col min="3" max="3" width="11.5703125" style="123" bestFit="1" customWidth="1"/>
    <col min="4" max="4" width="19.7109375" style="352" bestFit="1" customWidth="1"/>
    <col min="5" max="5" width="3.42578125" style="352" customWidth="1"/>
    <col min="6" max="6" width="19.7109375" style="352" bestFit="1" customWidth="1"/>
    <col min="7" max="7" width="6.7109375" style="352" customWidth="1"/>
    <col min="8" max="8" width="1.5703125" style="352" bestFit="1" customWidth="1"/>
    <col min="9" max="9" width="6.7109375" style="352" customWidth="1"/>
    <col min="10" max="10" width="6.85546875" style="352" bestFit="1" customWidth="1"/>
    <col min="11" max="13" width="9.140625" style="352" hidden="1" customWidth="1" outlineLevel="1"/>
    <col min="14" max="14" width="11.42578125" style="352" bestFit="1" customWidth="1" collapsed="1"/>
    <col min="15" max="15" width="14.7109375" style="352" bestFit="1" customWidth="1"/>
    <col min="16" max="16" width="12.28515625" style="352" bestFit="1" customWidth="1"/>
    <col min="17" max="17" width="8.140625" style="352" bestFit="1" customWidth="1"/>
    <col min="18" max="18" width="7.7109375" style="352" bestFit="1" customWidth="1"/>
    <col min="19" max="19" width="9.140625" style="352"/>
    <col min="20" max="20" width="8.5703125" style="352" bestFit="1" customWidth="1"/>
    <col min="21" max="21" width="9.140625" style="352"/>
    <col min="22" max="23" width="9.140625" style="352" hidden="1" customWidth="1" outlineLevel="1"/>
    <col min="24" max="24" width="2" style="352" hidden="1" customWidth="1" outlineLevel="1"/>
    <col min="25" max="25" width="12.28515625" style="352" bestFit="1" customWidth="1" collapsed="1"/>
    <col min="26" max="27" width="12.28515625" style="352" hidden="1" customWidth="1" outlineLevel="1"/>
    <col min="28" max="28" width="4.7109375" style="352" hidden="1" customWidth="1" outlineLevel="1"/>
    <col min="29" max="38" width="9.140625" style="352" hidden="1" customWidth="1" outlineLevel="1"/>
    <col min="39" max="39" width="7.42578125" style="352" bestFit="1" customWidth="1" collapsed="1"/>
    <col min="40" max="40" width="19.7109375" style="352" hidden="1" customWidth="1" outlineLevel="1"/>
    <col min="41" max="41" width="9.140625" style="352" hidden="1" customWidth="1" outlineLevel="1"/>
    <col min="42" max="42" width="9.140625" style="352" collapsed="1"/>
    <col min="43" max="49" width="9.140625" style="352" hidden="1" customWidth="1" outlineLevel="2"/>
    <col min="50" max="50" width="11.5703125" style="352" hidden="1" customWidth="1" outlineLevel="2"/>
    <col min="51" max="51" width="11.85546875" style="352" hidden="1" customWidth="1" outlineLevel="1" collapsed="1"/>
    <col min="52" max="52" width="9.42578125" style="352" hidden="1" customWidth="1" outlineLevel="1"/>
    <col min="53" max="53" width="10.5703125" style="352" hidden="1" customWidth="1" outlineLevel="1"/>
    <col min="54" max="54" width="9.140625" style="352" collapsed="1"/>
    <col min="55" max="55" width="11.85546875" style="352" bestFit="1" customWidth="1"/>
    <col min="56" max="16384" width="9.140625" style="352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310</v>
      </c>
      <c r="E3" s="335"/>
      <c r="F3" s="335"/>
      <c r="N3" s="352" t="str">
        <f>D3</f>
        <v>Miranda H.</v>
      </c>
      <c r="O3" s="144">
        <f>SUM(P3:S3)</f>
        <v>332</v>
      </c>
      <c r="P3" s="109">
        <f>SUM(Y8:Y86)</f>
        <v>186</v>
      </c>
      <c r="Q3" s="109">
        <f>SUM(AM4:AM55)</f>
        <v>120</v>
      </c>
      <c r="R3" s="109">
        <f>SUM(AP89:AP92)</f>
        <v>5</v>
      </c>
      <c r="S3" s="109">
        <f>SUM(BB58:BB69)</f>
        <v>21</v>
      </c>
      <c r="T3" s="109">
        <f>COUNTIF(AF8:AF86,10)</f>
        <v>5</v>
      </c>
      <c r="U3" s="109" t="str">
        <f>E89</f>
        <v>Frankrijk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O6" s="392"/>
      <c r="P6" s="393"/>
      <c r="Q6" s="393"/>
      <c r="R6" s="393"/>
      <c r="S6" s="393"/>
      <c r="T6" s="393"/>
      <c r="U6" s="392"/>
      <c r="V6" s="392"/>
      <c r="W6" s="392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80" t="s">
        <v>3</v>
      </c>
      <c r="E7" s="419"/>
      <c r="F7" s="481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O7" s="353"/>
      <c r="P7" s="393"/>
      <c r="Q7" s="393"/>
      <c r="R7" s="393"/>
      <c r="S7" s="393"/>
      <c r="T7" s="393"/>
      <c r="U7" s="353"/>
      <c r="V7" s="353"/>
      <c r="W7" s="353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458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2</v>
      </c>
      <c r="H8" s="360" t="s">
        <v>9</v>
      </c>
      <c r="I8" s="478">
        <v>1</v>
      </c>
      <c r="J8" s="362">
        <f t="shared" ref="J8:J55" si="0">IF(I8="","",IF(G8&gt;I8,1,IF(G8&lt;I8,2,3)))</f>
        <v>1</v>
      </c>
      <c r="K8" s="363">
        <f t="shared" ref="K8:K55" si="1">IF(I8="","",IF($G8&gt;$I8,3,IF($G8=$I8,1,0)))</f>
        <v>3</v>
      </c>
      <c r="L8" s="363">
        <f t="shared" ref="L8:L55" si="2">IF(I8="","",IF($G8&lt;$I8,3,IF($G8=$I8,1,0)))</f>
        <v>0</v>
      </c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392"/>
      <c r="V8" s="392"/>
      <c r="W8" s="392"/>
      <c r="Y8" s="109">
        <f>AF8</f>
        <v>6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6</v>
      </c>
      <c r="AG8" s="108">
        <f t="shared" ref="AG8:AG55" si="3">IF(AC8="",0,(IF(G8=AC8,1,0)))</f>
        <v>0</v>
      </c>
      <c r="AH8" s="108">
        <f t="shared" ref="AH8:AH55" si="4">IF(AD8="",0,(IF(I8=AD8,1,0)))</f>
        <v>1</v>
      </c>
      <c r="AI8" s="108">
        <f>IF(AND(AG8=1,AH8=1),10,0)</f>
        <v>0</v>
      </c>
      <c r="AJ8" s="108">
        <f t="shared" ref="AJ8:AJ55" si="5">IF(AND(G8&gt;I8,AC8&gt;AD8),5,0)</f>
        <v>5</v>
      </c>
      <c r="AK8" s="108">
        <f t="shared" ref="AK8:AK55" si="6">IF(AND(G8&lt;I8,AC8&lt;AD8),5,0)</f>
        <v>0</v>
      </c>
      <c r="AL8" s="108">
        <f t="shared" ref="AL8:AL55" si="7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1</v>
      </c>
      <c r="H9" s="367" t="s">
        <v>9</v>
      </c>
      <c r="I9" s="440">
        <v>0</v>
      </c>
      <c r="J9" s="369">
        <f t="shared" si="0"/>
        <v>1</v>
      </c>
      <c r="K9" s="363">
        <f t="shared" si="1"/>
        <v>3</v>
      </c>
      <c r="L9" s="363">
        <f t="shared" si="2"/>
        <v>0</v>
      </c>
      <c r="O9" s="394" t="s">
        <v>8</v>
      </c>
      <c r="P9" s="395">
        <f>SUMIF($D$8:$D$55,$O9,$G$8:$G$55)+SUMIF($F$8:$F$55,$O9,$I$8:$I$55)</f>
        <v>9</v>
      </c>
      <c r="Q9" s="395">
        <f>SUMIF($D$8:$D$55,$O9,$I$8:$I$55)+SUMIF($F$8:$F$55,$O9,$G$8:$G$55)</f>
        <v>2</v>
      </c>
      <c r="R9" s="396">
        <f>P9-Q9</f>
        <v>7</v>
      </c>
      <c r="S9" s="397">
        <f>SUMIF($D$8:$D$55,$O9,$K$8:$K$55)+SUMIF($F$8:$F$55,$O9,$L$8:$L$55)</f>
        <v>9</v>
      </c>
      <c r="T9" s="444" t="s">
        <v>48</v>
      </c>
      <c r="U9" s="392"/>
      <c r="V9" s="392" t="str">
        <f>O9</f>
        <v>Brazilië</v>
      </c>
      <c r="W9" s="392" t="s">
        <v>48</v>
      </c>
      <c r="Y9" s="109">
        <f t="shared" ref="Y9:Y55" si="8">AF9</f>
        <v>10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10</v>
      </c>
      <c r="AG9" s="108">
        <f t="shared" si="3"/>
        <v>1</v>
      </c>
      <c r="AH9" s="108">
        <f t="shared" si="4"/>
        <v>1</v>
      </c>
      <c r="AI9" s="108">
        <f t="shared" ref="AI9:AI55" si="10">IF(AND(AG9=1,AH9=1),10,0)</f>
        <v>10</v>
      </c>
      <c r="AJ9" s="108">
        <f t="shared" si="5"/>
        <v>5</v>
      </c>
      <c r="AK9" s="108">
        <f t="shared" si="6"/>
        <v>0</v>
      </c>
      <c r="AL9" s="108">
        <f t="shared" si="7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1</v>
      </c>
      <c r="H10" s="373" t="s">
        <v>9</v>
      </c>
      <c r="I10" s="441">
        <v>1</v>
      </c>
      <c r="J10" s="375">
        <f t="shared" si="0"/>
        <v>3</v>
      </c>
      <c r="K10" s="363">
        <f t="shared" si="1"/>
        <v>1</v>
      </c>
      <c r="L10" s="363">
        <f t="shared" si="2"/>
        <v>1</v>
      </c>
      <c r="O10" s="398" t="s">
        <v>10</v>
      </c>
      <c r="P10" s="399">
        <f>SUMIF($D$8:$D$55,$O10,$G$8:$G$55)+SUMIF($F$8:$F$55,$O10,$I$8:$I$55)</f>
        <v>6</v>
      </c>
      <c r="Q10" s="399">
        <f>SUMIF($D$8:$D$55,$O10,$I$8:$I$55)+SUMIF($F$8:$F$55,$O10,$G$8:$G$55)</f>
        <v>3</v>
      </c>
      <c r="R10" s="399">
        <f>P10-Q10</f>
        <v>3</v>
      </c>
      <c r="S10" s="400">
        <f>SUMIF($D$8:$D$55,$O10,$K$8:$K$55)+SUMIF($F$8:$F$55,$O10,$L$8:$L$55)</f>
        <v>6</v>
      </c>
      <c r="T10" s="445" t="s">
        <v>49</v>
      </c>
      <c r="U10" s="392"/>
      <c r="V10" s="392" t="str">
        <f>O10</f>
        <v>Kroatië</v>
      </c>
      <c r="W10" s="392" t="s">
        <v>49</v>
      </c>
      <c r="Y10" s="109">
        <f t="shared" si="8"/>
        <v>1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1</v>
      </c>
      <c r="AG10" s="108">
        <f t="shared" si="3"/>
        <v>1</v>
      </c>
      <c r="AH10" s="108">
        <f t="shared" si="4"/>
        <v>0</v>
      </c>
      <c r="AI10" s="108">
        <f t="shared" si="10"/>
        <v>0</v>
      </c>
      <c r="AJ10" s="108">
        <f t="shared" si="5"/>
        <v>0</v>
      </c>
      <c r="AK10" s="108">
        <f t="shared" si="6"/>
        <v>0</v>
      </c>
      <c r="AL10" s="108">
        <f t="shared" si="7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1</v>
      </c>
      <c r="H11" s="379" t="s">
        <v>9</v>
      </c>
      <c r="I11" s="442">
        <v>2</v>
      </c>
      <c r="J11" s="381">
        <f t="shared" si="0"/>
        <v>2</v>
      </c>
      <c r="K11" s="363">
        <f t="shared" si="1"/>
        <v>0</v>
      </c>
      <c r="L11" s="363">
        <f t="shared" si="2"/>
        <v>3</v>
      </c>
      <c r="O11" s="398" t="s">
        <v>11</v>
      </c>
      <c r="P11" s="399">
        <f>SUMIF($D$8:$D$55,$O11,$G$8:$G$55)+SUMIF($F$8:$F$55,$O11,$I$8:$I$55)</f>
        <v>3</v>
      </c>
      <c r="Q11" s="399">
        <f>SUMIF($D$8:$D$55,$O11,$I$8:$I$55)+SUMIF($F$8:$F$55,$O11,$G$8:$G$55)</f>
        <v>5</v>
      </c>
      <c r="R11" s="399">
        <f>P11-Q11</f>
        <v>-2</v>
      </c>
      <c r="S11" s="400">
        <f>SUMIF($D$8:$D$55,$O11,$K$8:$K$55)+SUMIF($F$8:$F$55,$O11,$L$8:$L$55)</f>
        <v>3</v>
      </c>
      <c r="T11" s="445" t="s">
        <v>47</v>
      </c>
      <c r="U11" s="392"/>
      <c r="V11" s="392" t="str">
        <f>O11</f>
        <v>Mexico</v>
      </c>
      <c r="W11" s="392" t="s">
        <v>47</v>
      </c>
      <c r="Y11" s="109">
        <f t="shared" si="8"/>
        <v>0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0</v>
      </c>
      <c r="AG11" s="108">
        <f t="shared" si="3"/>
        <v>0</v>
      </c>
      <c r="AH11" s="108">
        <f t="shared" si="4"/>
        <v>0</v>
      </c>
      <c r="AI11" s="108">
        <f t="shared" si="10"/>
        <v>0</v>
      </c>
      <c r="AJ11" s="108">
        <f t="shared" si="5"/>
        <v>0</v>
      </c>
      <c r="AK11" s="108">
        <f t="shared" si="6"/>
        <v>0</v>
      </c>
      <c r="AL11" s="108">
        <f t="shared" si="7"/>
        <v>0</v>
      </c>
      <c r="AM11" s="120">
        <f>AO11</f>
        <v>0</v>
      </c>
      <c r="AN11" s="117" t="s">
        <v>11</v>
      </c>
      <c r="AO11" s="115">
        <f>IF(Uitslag!T11="",0,IF(T11=Uitslag!T11,10,0))</f>
        <v>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0</v>
      </c>
      <c r="H12" s="367" t="s">
        <v>9</v>
      </c>
      <c r="I12" s="440">
        <v>2</v>
      </c>
      <c r="J12" s="369">
        <f t="shared" si="0"/>
        <v>2</v>
      </c>
      <c r="K12" s="363">
        <f t="shared" si="1"/>
        <v>0</v>
      </c>
      <c r="L12" s="363">
        <f t="shared" si="2"/>
        <v>3</v>
      </c>
      <c r="O12" s="401" t="s">
        <v>12</v>
      </c>
      <c r="P12" s="402">
        <f>SUMIF($D$8:$D$55,$O12,$G$8:$G$55)+SUMIF($F$8:$F$55,$O12,$I$8:$I$55)</f>
        <v>0</v>
      </c>
      <c r="Q12" s="402">
        <f>SUMIF($D$8:$D$55,$O12,$I$8:$I$55)+SUMIF($F$8:$F$55,$O12,$G$8:$G$55)</f>
        <v>8</v>
      </c>
      <c r="R12" s="402">
        <f>P12-Q12</f>
        <v>-8</v>
      </c>
      <c r="S12" s="403">
        <f>SUMIF($D$8:$D$55,$O12,$K$8:$K$55)+SUMIF($F$8:$F$55,$O12,$L$8:$L$55)</f>
        <v>0</v>
      </c>
      <c r="T12" s="446" t="s">
        <v>50</v>
      </c>
      <c r="U12" s="392"/>
      <c r="V12" s="392" t="str">
        <f>O12</f>
        <v>Kameroen</v>
      </c>
      <c r="W12" s="392" t="s">
        <v>50</v>
      </c>
      <c r="Y12" s="109">
        <f t="shared" si="8"/>
        <v>0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0</v>
      </c>
      <c r="AG12" s="108">
        <f t="shared" si="3"/>
        <v>0</v>
      </c>
      <c r="AH12" s="108">
        <f t="shared" si="4"/>
        <v>0</v>
      </c>
      <c r="AI12" s="108">
        <f t="shared" si="10"/>
        <v>0</v>
      </c>
      <c r="AJ12" s="108">
        <f t="shared" si="5"/>
        <v>0</v>
      </c>
      <c r="AK12" s="108">
        <f t="shared" si="6"/>
        <v>0</v>
      </c>
      <c r="AL12" s="108">
        <f t="shared" si="7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0</v>
      </c>
      <c r="H13" s="373" t="s">
        <v>9</v>
      </c>
      <c r="I13" s="441">
        <v>0</v>
      </c>
      <c r="J13" s="375">
        <f t="shared" si="0"/>
        <v>3</v>
      </c>
      <c r="K13" s="363">
        <f t="shared" si="1"/>
        <v>1</v>
      </c>
      <c r="L13" s="363">
        <f t="shared" si="2"/>
        <v>1</v>
      </c>
      <c r="O13" s="392"/>
      <c r="P13" s="393"/>
      <c r="Q13" s="393"/>
      <c r="R13" s="393"/>
      <c r="S13" s="393"/>
      <c r="T13" s="393"/>
      <c r="U13" s="392"/>
      <c r="V13" s="392"/>
      <c r="W13" s="392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3"/>
        <v>0</v>
      </c>
      <c r="AH13" s="108">
        <f t="shared" si="4"/>
        <v>0</v>
      </c>
      <c r="AI13" s="108">
        <f t="shared" si="10"/>
        <v>0</v>
      </c>
      <c r="AJ13" s="108">
        <f t="shared" si="5"/>
        <v>0</v>
      </c>
      <c r="AK13" s="108">
        <f t="shared" si="6"/>
        <v>0</v>
      </c>
      <c r="AL13" s="108">
        <f t="shared" si="7"/>
        <v>0</v>
      </c>
      <c r="AN13" s="392"/>
      <c r="AO13" s="393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2</v>
      </c>
      <c r="H14" s="373" t="s">
        <v>9</v>
      </c>
      <c r="I14" s="441">
        <v>1</v>
      </c>
      <c r="J14" s="375">
        <f t="shared" si="0"/>
        <v>1</v>
      </c>
      <c r="K14" s="363">
        <f t="shared" si="1"/>
        <v>3</v>
      </c>
      <c r="L14" s="363">
        <f t="shared" si="2"/>
        <v>0</v>
      </c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392"/>
      <c r="V14" s="392"/>
      <c r="W14" s="392"/>
      <c r="Y14" s="109">
        <f t="shared" si="8"/>
        <v>0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0</v>
      </c>
      <c r="AG14" s="108">
        <f t="shared" si="3"/>
        <v>0</v>
      </c>
      <c r="AH14" s="108">
        <f t="shared" si="4"/>
        <v>0</v>
      </c>
      <c r="AI14" s="108">
        <f t="shared" si="10"/>
        <v>0</v>
      </c>
      <c r="AJ14" s="108">
        <f t="shared" si="5"/>
        <v>0</v>
      </c>
      <c r="AK14" s="108">
        <f t="shared" si="6"/>
        <v>0</v>
      </c>
      <c r="AL14" s="108">
        <f t="shared" si="7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0</v>
      </c>
      <c r="H15" s="379" t="s">
        <v>9</v>
      </c>
      <c r="I15" s="442">
        <v>3</v>
      </c>
      <c r="J15" s="381">
        <f t="shared" si="0"/>
        <v>2</v>
      </c>
      <c r="K15" s="363">
        <f t="shared" si="1"/>
        <v>0</v>
      </c>
      <c r="L15" s="363">
        <f t="shared" si="2"/>
        <v>3</v>
      </c>
      <c r="O15" s="394" t="s">
        <v>13</v>
      </c>
      <c r="P15" s="395">
        <f>SUMIF($D$8:$D$55,$O15,$G$8:$G$55)+SUMIF($F$8:$F$55,$O15,$I$8:$I$55)</f>
        <v>7</v>
      </c>
      <c r="Q15" s="395">
        <f>SUMIF($D$8:$D$55,$O15,$I$8:$I$55)+SUMIF($F$8:$F$55,$O15,$G$8:$G$55)</f>
        <v>4</v>
      </c>
      <c r="R15" s="396">
        <f>P15-Q15</f>
        <v>3</v>
      </c>
      <c r="S15" s="397">
        <f>SUMIF($D$8:$D$55,$O15,$K$8:$K$55)+SUMIF($F$8:$F$55,$O15,$L$8:$L$55)</f>
        <v>7</v>
      </c>
      <c r="T15" s="444" t="s">
        <v>52</v>
      </c>
      <c r="U15" s="392"/>
      <c r="V15" s="392" t="str">
        <f>O15</f>
        <v>Spanje</v>
      </c>
      <c r="W15" s="392" t="s">
        <v>52</v>
      </c>
      <c r="Y15" s="109">
        <f t="shared" si="8"/>
        <v>0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0</v>
      </c>
      <c r="AG15" s="108">
        <f t="shared" si="3"/>
        <v>0</v>
      </c>
      <c r="AH15" s="108">
        <f t="shared" si="4"/>
        <v>0</v>
      </c>
      <c r="AI15" s="108">
        <f t="shared" si="10"/>
        <v>0</v>
      </c>
      <c r="AJ15" s="108">
        <f t="shared" si="5"/>
        <v>0</v>
      </c>
      <c r="AK15" s="108">
        <f t="shared" si="6"/>
        <v>0</v>
      </c>
      <c r="AL15" s="108">
        <f t="shared" si="7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2</v>
      </c>
      <c r="H16" s="367" t="s">
        <v>9</v>
      </c>
      <c r="I16" s="440">
        <v>1</v>
      </c>
      <c r="J16" s="369">
        <f t="shared" si="0"/>
        <v>1</v>
      </c>
      <c r="K16" s="363">
        <f t="shared" si="1"/>
        <v>3</v>
      </c>
      <c r="L16" s="363">
        <f t="shared" si="2"/>
        <v>0</v>
      </c>
      <c r="O16" s="404" t="s">
        <v>14</v>
      </c>
      <c r="P16" s="399">
        <f>SUMIF($D$8:$D$55,$O16,$G$8:$G$55)+SUMIF($F$8:$F$55,$O16,$I$8:$I$55)</f>
        <v>3</v>
      </c>
      <c r="Q16" s="399">
        <f>SUMIF($D$8:$D$55,$O16,$I$8:$I$55)+SUMIF($F$8:$F$55,$O16,$G$8:$G$55)</f>
        <v>3</v>
      </c>
      <c r="R16" s="399">
        <f>P16-Q16</f>
        <v>0</v>
      </c>
      <c r="S16" s="400">
        <f>SUMIF($D$8:$D$55,$O16,$K$8:$K$55)+SUMIF($F$8:$F$55,$O16,$L$8:$L$55)</f>
        <v>4</v>
      </c>
      <c r="T16" s="445" t="s">
        <v>53</v>
      </c>
      <c r="U16" s="392"/>
      <c r="V16" s="392" t="str">
        <f>O16</f>
        <v>Nederland</v>
      </c>
      <c r="W16" s="392" t="s">
        <v>53</v>
      </c>
      <c r="Y16" s="109">
        <f t="shared" si="8"/>
        <v>10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10</v>
      </c>
      <c r="AG16" s="108">
        <f t="shared" si="3"/>
        <v>1</v>
      </c>
      <c r="AH16" s="108">
        <f t="shared" si="4"/>
        <v>1</v>
      </c>
      <c r="AI16" s="108">
        <f t="shared" si="10"/>
        <v>10</v>
      </c>
      <c r="AJ16" s="108">
        <f t="shared" si="5"/>
        <v>5</v>
      </c>
      <c r="AK16" s="108">
        <f t="shared" si="6"/>
        <v>0</v>
      </c>
      <c r="AL16" s="108">
        <f t="shared" si="7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4</v>
      </c>
      <c r="H17" s="373" t="s">
        <v>9</v>
      </c>
      <c r="I17" s="441">
        <v>1</v>
      </c>
      <c r="J17" s="375">
        <f t="shared" si="0"/>
        <v>1</v>
      </c>
      <c r="K17" s="363">
        <f t="shared" si="1"/>
        <v>3</v>
      </c>
      <c r="L17" s="363">
        <f t="shared" si="2"/>
        <v>0</v>
      </c>
      <c r="O17" s="398" t="s">
        <v>15</v>
      </c>
      <c r="P17" s="399">
        <f>SUMIF($D$8:$D$55,$O17,$G$8:$G$55)+SUMIF($F$8:$F$55,$O17,$I$8:$I$55)</f>
        <v>5</v>
      </c>
      <c r="Q17" s="399">
        <f>SUMIF($D$8:$D$55,$O17,$I$8:$I$55)+SUMIF($F$8:$F$55,$O17,$G$8:$G$55)</f>
        <v>5</v>
      </c>
      <c r="R17" s="399">
        <f>P17-Q17</f>
        <v>0</v>
      </c>
      <c r="S17" s="400">
        <f>SUMIF($D$8:$D$55,$O17,$K$8:$K$55)+SUMIF($F$8:$F$55,$O17,$L$8:$L$55)</f>
        <v>3</v>
      </c>
      <c r="T17" s="445" t="s">
        <v>54</v>
      </c>
      <c r="U17" s="392"/>
      <c r="V17" s="392" t="str">
        <f>O17</f>
        <v>Chili</v>
      </c>
      <c r="W17" s="392" t="s">
        <v>54</v>
      </c>
      <c r="Y17" s="109">
        <f t="shared" si="8"/>
        <v>5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5</v>
      </c>
      <c r="AG17" s="108">
        <f t="shared" si="3"/>
        <v>0</v>
      </c>
      <c r="AH17" s="108">
        <f t="shared" si="4"/>
        <v>0</v>
      </c>
      <c r="AI17" s="108">
        <f t="shared" si="10"/>
        <v>0</v>
      </c>
      <c r="AJ17" s="108">
        <f t="shared" si="5"/>
        <v>5</v>
      </c>
      <c r="AK17" s="108">
        <f t="shared" si="6"/>
        <v>0</v>
      </c>
      <c r="AL17" s="108">
        <f t="shared" si="7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2</v>
      </c>
      <c r="H18" s="379" t="s">
        <v>9</v>
      </c>
      <c r="I18" s="442">
        <v>0</v>
      </c>
      <c r="J18" s="381">
        <f t="shared" si="0"/>
        <v>1</v>
      </c>
      <c r="K18" s="363">
        <f t="shared" si="1"/>
        <v>3</v>
      </c>
      <c r="L18" s="363">
        <f t="shared" si="2"/>
        <v>0</v>
      </c>
      <c r="O18" s="401" t="s">
        <v>16</v>
      </c>
      <c r="P18" s="402">
        <f>SUMIF($D$8:$D$55,$O18,$G$8:$G$55)+SUMIF($F$8:$F$55,$O18,$I$8:$I$55)</f>
        <v>3</v>
      </c>
      <c r="Q18" s="402">
        <f>SUMIF($D$8:$D$55,$O18,$I$8:$I$55)+SUMIF($F$8:$F$55,$O18,$G$8:$G$55)</f>
        <v>6</v>
      </c>
      <c r="R18" s="402">
        <f>P18-Q18</f>
        <v>-3</v>
      </c>
      <c r="S18" s="403">
        <f>SUMIF($D$8:$D$55,$O18,$K$8:$K$55)+SUMIF($F$8:$F$55,$O18,$L$8:$L$55)</f>
        <v>3</v>
      </c>
      <c r="T18" s="446" t="s">
        <v>55</v>
      </c>
      <c r="U18" s="392"/>
      <c r="V18" s="392" t="str">
        <f>O18</f>
        <v>Australië</v>
      </c>
      <c r="W18" s="392" t="s">
        <v>55</v>
      </c>
      <c r="Y18" s="109">
        <f t="shared" si="8"/>
        <v>6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6</v>
      </c>
      <c r="AG18" s="108">
        <f t="shared" si="3"/>
        <v>1</v>
      </c>
      <c r="AH18" s="108">
        <f t="shared" si="4"/>
        <v>0</v>
      </c>
      <c r="AI18" s="108">
        <f t="shared" si="10"/>
        <v>0</v>
      </c>
      <c r="AJ18" s="108">
        <f t="shared" si="5"/>
        <v>5</v>
      </c>
      <c r="AK18" s="108">
        <f t="shared" si="6"/>
        <v>0</v>
      </c>
      <c r="AL18" s="108">
        <f t="shared" si="7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1</v>
      </c>
      <c r="H19" s="367" t="s">
        <v>9</v>
      </c>
      <c r="I19" s="440">
        <v>2</v>
      </c>
      <c r="J19" s="369">
        <f t="shared" si="0"/>
        <v>2</v>
      </c>
      <c r="K19" s="363">
        <f t="shared" si="1"/>
        <v>0</v>
      </c>
      <c r="L19" s="363">
        <f t="shared" si="2"/>
        <v>3</v>
      </c>
      <c r="O19" s="392"/>
      <c r="P19" s="393"/>
      <c r="Q19" s="393"/>
      <c r="R19" s="393"/>
      <c r="S19" s="393"/>
      <c r="T19" s="393"/>
      <c r="U19" s="392"/>
      <c r="V19" s="392"/>
      <c r="W19" s="392"/>
      <c r="Y19" s="109">
        <f t="shared" si="8"/>
        <v>0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0</v>
      </c>
      <c r="AG19" s="108">
        <f t="shared" si="3"/>
        <v>0</v>
      </c>
      <c r="AH19" s="108">
        <f t="shared" si="4"/>
        <v>0</v>
      </c>
      <c r="AI19" s="108">
        <f t="shared" si="10"/>
        <v>0</v>
      </c>
      <c r="AJ19" s="108">
        <f t="shared" si="5"/>
        <v>0</v>
      </c>
      <c r="AK19" s="108">
        <f t="shared" si="6"/>
        <v>0</v>
      </c>
      <c r="AL19" s="108">
        <f t="shared" si="7"/>
        <v>0</v>
      </c>
      <c r="AN19" s="392"/>
      <c r="AO19" s="393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0</v>
      </c>
      <c r="H20" s="373" t="s">
        <v>9</v>
      </c>
      <c r="I20" s="441">
        <v>0</v>
      </c>
      <c r="J20" s="375">
        <f t="shared" si="0"/>
        <v>3</v>
      </c>
      <c r="K20" s="363">
        <f t="shared" si="1"/>
        <v>1</v>
      </c>
      <c r="L20" s="363">
        <f t="shared" si="2"/>
        <v>1</v>
      </c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392"/>
      <c r="V20" s="392"/>
      <c r="W20" s="392"/>
      <c r="Y20" s="109">
        <f t="shared" si="8"/>
        <v>10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10</v>
      </c>
      <c r="AG20" s="108">
        <f t="shared" si="3"/>
        <v>1</v>
      </c>
      <c r="AH20" s="108">
        <f t="shared" si="4"/>
        <v>1</v>
      </c>
      <c r="AI20" s="108">
        <f t="shared" si="10"/>
        <v>10</v>
      </c>
      <c r="AJ20" s="108">
        <f t="shared" si="5"/>
        <v>0</v>
      </c>
      <c r="AK20" s="108">
        <f t="shared" si="6"/>
        <v>0</v>
      </c>
      <c r="AL20" s="108">
        <f t="shared" si="7"/>
        <v>5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0</v>
      </c>
      <c r="H21" s="379" t="s">
        <v>9</v>
      </c>
      <c r="I21" s="442">
        <v>0</v>
      </c>
      <c r="J21" s="381">
        <f t="shared" si="0"/>
        <v>3</v>
      </c>
      <c r="K21" s="363">
        <f t="shared" si="1"/>
        <v>1</v>
      </c>
      <c r="L21" s="363">
        <f t="shared" si="2"/>
        <v>1</v>
      </c>
      <c r="O21" s="394" t="s">
        <v>17</v>
      </c>
      <c r="P21" s="395">
        <f>SUMIF($D$8:$D$55,$O21,$G$8:$G$55)+SUMIF($F$8:$F$55,$O21,$I$8:$I$55)</f>
        <v>1</v>
      </c>
      <c r="Q21" s="395">
        <f>SUMIF($D$8:$D$55,$O21,$I$8:$I$55)+SUMIF($F$8:$F$55,$O21,$G$8:$G$55)</f>
        <v>7</v>
      </c>
      <c r="R21" s="396">
        <f>P21-Q21</f>
        <v>-6</v>
      </c>
      <c r="S21" s="397">
        <f>SUMIF($D$8:$D$55,$O21,$K$8:$K$55)+SUMIF($F$8:$F$55,$O21,$L$8:$L$55)</f>
        <v>0</v>
      </c>
      <c r="T21" s="444" t="s">
        <v>60</v>
      </c>
      <c r="U21" s="392"/>
      <c r="V21" s="392" t="str">
        <f>O21</f>
        <v>Colombia</v>
      </c>
      <c r="W21" s="392" t="s">
        <v>57</v>
      </c>
      <c r="Y21" s="109">
        <f t="shared" si="8"/>
        <v>0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0</v>
      </c>
      <c r="AG21" s="108">
        <f t="shared" si="3"/>
        <v>0</v>
      </c>
      <c r="AH21" s="108">
        <f t="shared" si="4"/>
        <v>0</v>
      </c>
      <c r="AI21" s="108">
        <f t="shared" si="10"/>
        <v>0</v>
      </c>
      <c r="AJ21" s="108">
        <f t="shared" si="5"/>
        <v>0</v>
      </c>
      <c r="AK21" s="108">
        <f t="shared" si="6"/>
        <v>0</v>
      </c>
      <c r="AL21" s="108">
        <f t="shared" si="7"/>
        <v>0</v>
      </c>
      <c r="AM21" s="120">
        <f>AO21</f>
        <v>0</v>
      </c>
      <c r="AN21" s="116" t="s">
        <v>17</v>
      </c>
      <c r="AO21" s="115">
        <f>IF(Uitslag!T21="",0,IF(T21=Uitslag!T21,10,0))</f>
        <v>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2</v>
      </c>
      <c r="H22" s="367" t="s">
        <v>9</v>
      </c>
      <c r="I22" s="440">
        <v>0</v>
      </c>
      <c r="J22" s="369">
        <f t="shared" si="0"/>
        <v>1</v>
      </c>
      <c r="K22" s="363">
        <f t="shared" si="1"/>
        <v>3</v>
      </c>
      <c r="L22" s="363">
        <f t="shared" si="2"/>
        <v>0</v>
      </c>
      <c r="O22" s="398" t="s">
        <v>18</v>
      </c>
      <c r="P22" s="399">
        <f>SUMIF($D$8:$D$55,$O22,$G$8:$G$55)+SUMIF($F$8:$F$55,$O22,$I$8:$I$55)</f>
        <v>4</v>
      </c>
      <c r="Q22" s="399">
        <f>SUMIF($D$8:$D$55,$O22,$I$8:$I$55)+SUMIF($F$8:$F$55,$O22,$G$8:$G$55)</f>
        <v>2</v>
      </c>
      <c r="R22" s="399">
        <f>P22-Q22</f>
        <v>2</v>
      </c>
      <c r="S22" s="400">
        <f>SUMIF($D$8:$D$55,$O22,$K$8:$K$55)+SUMIF($F$8:$F$55,$O22,$L$8:$L$55)</f>
        <v>6</v>
      </c>
      <c r="T22" s="445" t="s">
        <v>58</v>
      </c>
      <c r="U22" s="392"/>
      <c r="V22" s="392" t="str">
        <f>O22</f>
        <v>Griekenland</v>
      </c>
      <c r="W22" s="392" t="s">
        <v>58</v>
      </c>
      <c r="Y22" s="109">
        <f t="shared" si="8"/>
        <v>6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6</v>
      </c>
      <c r="AG22" s="108">
        <f t="shared" si="3"/>
        <v>1</v>
      </c>
      <c r="AH22" s="108">
        <f t="shared" si="4"/>
        <v>0</v>
      </c>
      <c r="AI22" s="108">
        <f t="shared" si="10"/>
        <v>0</v>
      </c>
      <c r="AJ22" s="108">
        <f t="shared" si="5"/>
        <v>5</v>
      </c>
      <c r="AK22" s="108">
        <f t="shared" si="6"/>
        <v>0</v>
      </c>
      <c r="AL22" s="108">
        <f t="shared" si="7"/>
        <v>0</v>
      </c>
      <c r="AM22" s="120">
        <f>AO22</f>
        <v>10</v>
      </c>
      <c r="AN22" s="117" t="s">
        <v>18</v>
      </c>
      <c r="AO22" s="115">
        <f>IF(Uitslag!T22="",0,IF(T22=Uitslag!T22,10,0))</f>
        <v>10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3</v>
      </c>
      <c r="H23" s="373" t="s">
        <v>9</v>
      </c>
      <c r="I23" s="441">
        <v>1</v>
      </c>
      <c r="J23" s="375">
        <f t="shared" si="0"/>
        <v>1</v>
      </c>
      <c r="K23" s="363">
        <f t="shared" si="1"/>
        <v>3</v>
      </c>
      <c r="L23" s="363">
        <f t="shared" si="2"/>
        <v>0</v>
      </c>
      <c r="O23" s="398" t="s">
        <v>23</v>
      </c>
      <c r="P23" s="399">
        <f>SUMIF($D$8:$D$55,$O23,$G$8:$G$55)+SUMIF($F$8:$F$55,$O23,$I$8:$I$55)</f>
        <v>2</v>
      </c>
      <c r="Q23" s="399">
        <f>SUMIF($D$8:$D$55,$O23,$I$8:$I$55)+SUMIF($F$8:$F$55,$O23,$G$8:$G$55)</f>
        <v>5</v>
      </c>
      <c r="R23" s="399">
        <f>P23-Q23</f>
        <v>-3</v>
      </c>
      <c r="S23" s="400">
        <f>SUMIF($D$8:$D$55,$O23,$K$8:$K$55)+SUMIF($F$8:$F$55,$O23,$L$8:$L$55)</f>
        <v>3</v>
      </c>
      <c r="T23" s="445" t="s">
        <v>59</v>
      </c>
      <c r="U23" s="392"/>
      <c r="V23" s="392" t="str">
        <f>O23</f>
        <v>Ivoorkust</v>
      </c>
      <c r="W23" s="392" t="s">
        <v>59</v>
      </c>
      <c r="Y23" s="109">
        <f t="shared" si="8"/>
        <v>0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0</v>
      </c>
      <c r="AG23" s="108">
        <f t="shared" si="3"/>
        <v>0</v>
      </c>
      <c r="AH23" s="108">
        <f t="shared" si="4"/>
        <v>0</v>
      </c>
      <c r="AI23" s="108">
        <f t="shared" si="10"/>
        <v>0</v>
      </c>
      <c r="AJ23" s="108">
        <f t="shared" si="5"/>
        <v>0</v>
      </c>
      <c r="AK23" s="108">
        <f t="shared" si="6"/>
        <v>0</v>
      </c>
      <c r="AL23" s="108">
        <f t="shared" si="7"/>
        <v>0</v>
      </c>
      <c r="AM23" s="120">
        <f>AO23</f>
        <v>10</v>
      </c>
      <c r="AN23" s="117" t="s">
        <v>23</v>
      </c>
      <c r="AO23" s="115">
        <f>IF(Uitslag!T23="",0,IF(T23=Uitslag!T23,10,0))</f>
        <v>10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1</v>
      </c>
      <c r="H24" s="379" t="s">
        <v>9</v>
      </c>
      <c r="I24" s="442">
        <v>2</v>
      </c>
      <c r="J24" s="381">
        <f t="shared" si="0"/>
        <v>2</v>
      </c>
      <c r="K24" s="363">
        <f t="shared" si="1"/>
        <v>0</v>
      </c>
      <c r="L24" s="363">
        <f t="shared" si="2"/>
        <v>3</v>
      </c>
      <c r="O24" s="401" t="s">
        <v>24</v>
      </c>
      <c r="P24" s="402">
        <f>SUMIF($D$8:$D$55,$O24,$G$8:$G$55)+SUMIF($F$8:$F$55,$O24,$I$8:$I$55)</f>
        <v>8</v>
      </c>
      <c r="Q24" s="402">
        <f>SUMIF($D$8:$D$55,$O24,$I$8:$I$55)+SUMIF($F$8:$F$55,$O24,$G$8:$G$55)</f>
        <v>1</v>
      </c>
      <c r="R24" s="402">
        <f>P24-Q24</f>
        <v>7</v>
      </c>
      <c r="S24" s="403">
        <f>SUMIF($D$8:$D$55,$O24,$K$8:$K$55)+SUMIF($F$8:$F$55,$O24,$L$8:$L$55)</f>
        <v>9</v>
      </c>
      <c r="T24" s="446" t="s">
        <v>57</v>
      </c>
      <c r="U24" s="392"/>
      <c r="V24" s="392" t="str">
        <f>O24</f>
        <v>Japan</v>
      </c>
      <c r="W24" s="392" t="s">
        <v>60</v>
      </c>
      <c r="Y24" s="109">
        <f t="shared" si="8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</v>
      </c>
      <c r="AG24" s="108">
        <f t="shared" si="3"/>
        <v>1</v>
      </c>
      <c r="AH24" s="108">
        <f t="shared" si="4"/>
        <v>0</v>
      </c>
      <c r="AI24" s="108">
        <f t="shared" si="10"/>
        <v>0</v>
      </c>
      <c r="AJ24" s="108">
        <f t="shared" si="5"/>
        <v>0</v>
      </c>
      <c r="AK24" s="108">
        <f t="shared" si="6"/>
        <v>0</v>
      </c>
      <c r="AL24" s="108">
        <f t="shared" si="7"/>
        <v>0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0</v>
      </c>
      <c r="H25" s="367" t="s">
        <v>9</v>
      </c>
      <c r="I25" s="440">
        <v>2</v>
      </c>
      <c r="J25" s="369">
        <f t="shared" si="0"/>
        <v>2</v>
      </c>
      <c r="K25" s="363">
        <f t="shared" si="1"/>
        <v>0</v>
      </c>
      <c r="L25" s="363">
        <f t="shared" si="2"/>
        <v>3</v>
      </c>
      <c r="O25" s="392"/>
      <c r="P25" s="393"/>
      <c r="Q25" s="393"/>
      <c r="R25" s="393"/>
      <c r="S25" s="393"/>
      <c r="T25" s="393"/>
      <c r="U25" s="392"/>
      <c r="V25" s="392"/>
      <c r="W25" s="392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3"/>
        <v>0</v>
      </c>
      <c r="AH25" s="108">
        <f t="shared" si="4"/>
        <v>0</v>
      </c>
      <c r="AI25" s="108">
        <f t="shared" si="10"/>
        <v>0</v>
      </c>
      <c r="AJ25" s="108">
        <f t="shared" si="5"/>
        <v>0</v>
      </c>
      <c r="AK25" s="108">
        <f t="shared" si="6"/>
        <v>5</v>
      </c>
      <c r="AL25" s="108">
        <f t="shared" si="7"/>
        <v>0</v>
      </c>
      <c r="AN25" s="392"/>
      <c r="AO25" s="393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3</v>
      </c>
      <c r="H26" s="373" t="s">
        <v>9</v>
      </c>
      <c r="I26" s="441">
        <v>2</v>
      </c>
      <c r="J26" s="375">
        <f t="shared" si="0"/>
        <v>1</v>
      </c>
      <c r="K26" s="363">
        <f t="shared" si="1"/>
        <v>3</v>
      </c>
      <c r="L26" s="363">
        <f t="shared" si="2"/>
        <v>0</v>
      </c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392"/>
      <c r="V26" s="392"/>
      <c r="W26" s="392"/>
      <c r="Y26" s="109">
        <f t="shared" si="8"/>
        <v>1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1</v>
      </c>
      <c r="AG26" s="108">
        <f t="shared" si="3"/>
        <v>0</v>
      </c>
      <c r="AH26" s="108">
        <f t="shared" si="4"/>
        <v>1</v>
      </c>
      <c r="AI26" s="108">
        <f t="shared" si="10"/>
        <v>0</v>
      </c>
      <c r="AJ26" s="108">
        <f t="shared" si="5"/>
        <v>0</v>
      </c>
      <c r="AK26" s="108">
        <f t="shared" si="6"/>
        <v>0</v>
      </c>
      <c r="AL26" s="108">
        <f t="shared" si="7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0</v>
      </c>
      <c r="H27" s="379" t="s">
        <v>9</v>
      </c>
      <c r="I27" s="442">
        <v>3</v>
      </c>
      <c r="J27" s="381">
        <f t="shared" si="0"/>
        <v>2</v>
      </c>
      <c r="K27" s="363">
        <f t="shared" si="1"/>
        <v>0</v>
      </c>
      <c r="L27" s="363">
        <f t="shared" si="2"/>
        <v>3</v>
      </c>
      <c r="O27" s="394" t="s">
        <v>19</v>
      </c>
      <c r="P27" s="395">
        <f>SUMIF($D$8:$D$55,$O27,$G$8:$G$55)+SUMIF($F$8:$F$55,$O27,$I$8:$I$55)</f>
        <v>2</v>
      </c>
      <c r="Q27" s="395">
        <f>SUMIF($D$8:$D$55,$O27,$I$8:$I$55)+SUMIF($F$8:$F$55,$O27,$G$8:$G$55)</f>
        <v>6</v>
      </c>
      <c r="R27" s="396">
        <f>P27-Q27</f>
        <v>-4</v>
      </c>
      <c r="S27" s="397">
        <f>SUMIF($D$8:$D$55,$O27,$K$8:$K$55)+SUMIF($F$8:$F$55,$O27,$L$8:$L$55)</f>
        <v>1</v>
      </c>
      <c r="T27" s="444" t="s">
        <v>64</v>
      </c>
      <c r="U27" s="392"/>
      <c r="V27" s="392" t="str">
        <f>O27</f>
        <v>Uruguay</v>
      </c>
      <c r="W27" s="392" t="s">
        <v>62</v>
      </c>
      <c r="Y27" s="109">
        <f t="shared" si="8"/>
        <v>6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6</v>
      </c>
      <c r="AG27" s="108">
        <f t="shared" si="3"/>
        <v>1</v>
      </c>
      <c r="AH27" s="108">
        <f t="shared" si="4"/>
        <v>0</v>
      </c>
      <c r="AI27" s="108">
        <f t="shared" si="10"/>
        <v>0</v>
      </c>
      <c r="AJ27" s="108">
        <f t="shared" si="5"/>
        <v>0</v>
      </c>
      <c r="AK27" s="108">
        <f t="shared" si="6"/>
        <v>5</v>
      </c>
      <c r="AL27" s="108">
        <f t="shared" si="7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0</v>
      </c>
      <c r="H28" s="367" t="s">
        <v>9</v>
      </c>
      <c r="I28" s="440">
        <v>2</v>
      </c>
      <c r="J28" s="369">
        <f t="shared" si="0"/>
        <v>2</v>
      </c>
      <c r="K28" s="363">
        <f t="shared" si="1"/>
        <v>0</v>
      </c>
      <c r="L28" s="363">
        <f t="shared" si="2"/>
        <v>3</v>
      </c>
      <c r="O28" s="398" t="s">
        <v>20</v>
      </c>
      <c r="P28" s="399">
        <f>SUMIF($D$8:$D$55,$O28,$G$8:$G$55)+SUMIF($F$8:$F$55,$O28,$I$8:$I$55)</f>
        <v>0</v>
      </c>
      <c r="Q28" s="399">
        <f>SUMIF($D$8:$D$55,$O28,$I$8:$I$55)+SUMIF($F$8:$F$55,$O28,$G$8:$G$55)</f>
        <v>6</v>
      </c>
      <c r="R28" s="399">
        <f>P28-Q28</f>
        <v>-6</v>
      </c>
      <c r="S28" s="400">
        <f>SUMIF($D$8:$D$55,$O28,$K$8:$K$55)+SUMIF($F$8:$F$55,$O28,$L$8:$L$55)</f>
        <v>1</v>
      </c>
      <c r="T28" s="445" t="s">
        <v>65</v>
      </c>
      <c r="U28" s="392"/>
      <c r="V28" s="392" t="str">
        <f>O28</f>
        <v>Costa Rica</v>
      </c>
      <c r="W28" s="392" t="s">
        <v>63</v>
      </c>
      <c r="Y28" s="109">
        <f t="shared" si="8"/>
        <v>0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0</v>
      </c>
      <c r="AG28" s="108">
        <f t="shared" si="3"/>
        <v>0</v>
      </c>
      <c r="AH28" s="108">
        <f t="shared" si="4"/>
        <v>0</v>
      </c>
      <c r="AI28" s="108">
        <f t="shared" si="10"/>
        <v>0</v>
      </c>
      <c r="AJ28" s="108">
        <f t="shared" si="5"/>
        <v>0</v>
      </c>
      <c r="AK28" s="108">
        <f t="shared" si="6"/>
        <v>0</v>
      </c>
      <c r="AL28" s="108">
        <f t="shared" si="7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1</v>
      </c>
      <c r="H29" s="373" t="s">
        <v>9</v>
      </c>
      <c r="I29" s="441">
        <v>4</v>
      </c>
      <c r="J29" s="375">
        <f t="shared" si="0"/>
        <v>2</v>
      </c>
      <c r="K29" s="363">
        <f t="shared" si="1"/>
        <v>0</v>
      </c>
      <c r="L29" s="363">
        <f t="shared" si="2"/>
        <v>3</v>
      </c>
      <c r="O29" s="398" t="s">
        <v>21</v>
      </c>
      <c r="P29" s="399">
        <f>SUMIF($D$8:$D$55,$O29,$G$8:$G$55)+SUMIF($F$8:$F$55,$O29,$I$8:$I$55)</f>
        <v>11</v>
      </c>
      <c r="Q29" s="399">
        <f>SUMIF($D$8:$D$55,$O29,$I$8:$I$55)+SUMIF($F$8:$F$55,$O29,$G$8:$G$55)</f>
        <v>2</v>
      </c>
      <c r="R29" s="399">
        <f>P29-Q29</f>
        <v>9</v>
      </c>
      <c r="S29" s="400">
        <f>SUMIF($D$8:$D$55,$O29,$K$8:$K$55)+SUMIF($F$8:$F$55,$O29,$L$8:$L$55)</f>
        <v>9</v>
      </c>
      <c r="T29" s="445" t="s">
        <v>62</v>
      </c>
      <c r="U29" s="392"/>
      <c r="V29" s="392" t="str">
        <f>O29</f>
        <v>Engeland</v>
      </c>
      <c r="W29" s="392" t="s">
        <v>64</v>
      </c>
      <c r="Y29" s="109">
        <f t="shared" si="8"/>
        <v>0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0</v>
      </c>
      <c r="AG29" s="108">
        <f t="shared" si="3"/>
        <v>0</v>
      </c>
      <c r="AH29" s="108">
        <f t="shared" si="4"/>
        <v>0</v>
      </c>
      <c r="AI29" s="108">
        <f t="shared" si="10"/>
        <v>0</v>
      </c>
      <c r="AJ29" s="108">
        <f t="shared" si="5"/>
        <v>0</v>
      </c>
      <c r="AK29" s="108">
        <f t="shared" si="6"/>
        <v>0</v>
      </c>
      <c r="AL29" s="108">
        <f t="shared" si="7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2</v>
      </c>
      <c r="H30" s="379" t="s">
        <v>9</v>
      </c>
      <c r="I30" s="442">
        <v>0</v>
      </c>
      <c r="J30" s="381">
        <f t="shared" si="0"/>
        <v>1</v>
      </c>
      <c r="K30" s="363">
        <f t="shared" si="1"/>
        <v>3</v>
      </c>
      <c r="L30" s="363">
        <f t="shared" si="2"/>
        <v>0</v>
      </c>
      <c r="O30" s="401" t="s">
        <v>22</v>
      </c>
      <c r="P30" s="402">
        <f>SUMIF($D$8:$D$55,$O30,$G$8:$G$55)+SUMIF($F$8:$F$55,$O30,$I$8:$I$55)</f>
        <v>4</v>
      </c>
      <c r="Q30" s="402">
        <f>SUMIF($D$8:$D$55,$O30,$I$8:$I$55)+SUMIF($F$8:$F$55,$O30,$G$8:$G$55)</f>
        <v>3</v>
      </c>
      <c r="R30" s="402">
        <f>P30-Q30</f>
        <v>1</v>
      </c>
      <c r="S30" s="403">
        <f>SUMIF($D$8:$D$55,$O30,$K$8:$K$55)+SUMIF($F$8:$F$55,$O30,$L$8:$L$55)</f>
        <v>6</v>
      </c>
      <c r="T30" s="446" t="s">
        <v>63</v>
      </c>
      <c r="U30" s="392"/>
      <c r="V30" s="392" t="str">
        <f>O30</f>
        <v>Italië</v>
      </c>
      <c r="W30" s="392" t="s">
        <v>65</v>
      </c>
      <c r="Y30" s="109">
        <f t="shared" si="8"/>
        <v>1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1</v>
      </c>
      <c r="AG30" s="108">
        <f t="shared" si="3"/>
        <v>0</v>
      </c>
      <c r="AH30" s="108">
        <f t="shared" si="4"/>
        <v>1</v>
      </c>
      <c r="AI30" s="108">
        <f t="shared" si="10"/>
        <v>0</v>
      </c>
      <c r="AJ30" s="108">
        <f t="shared" si="5"/>
        <v>0</v>
      </c>
      <c r="AK30" s="108">
        <f t="shared" si="6"/>
        <v>0</v>
      </c>
      <c r="AL30" s="108">
        <f t="shared" si="7"/>
        <v>0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1</v>
      </c>
      <c r="H31" s="367" t="s">
        <v>9</v>
      </c>
      <c r="I31" s="440">
        <v>0</v>
      </c>
      <c r="J31" s="369">
        <f t="shared" si="0"/>
        <v>1</v>
      </c>
      <c r="K31" s="363">
        <f t="shared" si="1"/>
        <v>3</v>
      </c>
      <c r="L31" s="363">
        <f t="shared" si="2"/>
        <v>0</v>
      </c>
      <c r="O31" s="392"/>
      <c r="P31" s="393"/>
      <c r="Q31" s="393"/>
      <c r="R31" s="393"/>
      <c r="S31" s="393"/>
      <c r="T31" s="393"/>
      <c r="U31" s="392"/>
      <c r="V31" s="392"/>
      <c r="W31" s="392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3"/>
        <v>0</v>
      </c>
      <c r="AH31" s="108">
        <f t="shared" si="4"/>
        <v>0</v>
      </c>
      <c r="AI31" s="108">
        <f t="shared" si="10"/>
        <v>0</v>
      </c>
      <c r="AJ31" s="108">
        <f t="shared" si="5"/>
        <v>0</v>
      </c>
      <c r="AK31" s="108">
        <f t="shared" si="6"/>
        <v>0</v>
      </c>
      <c r="AL31" s="108">
        <f t="shared" si="7"/>
        <v>0</v>
      </c>
      <c r="AN31" s="392"/>
      <c r="AO31" s="393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2</v>
      </c>
      <c r="H32" s="373" t="s">
        <v>9</v>
      </c>
      <c r="I32" s="441">
        <v>3</v>
      </c>
      <c r="J32" s="375">
        <f t="shared" si="0"/>
        <v>2</v>
      </c>
      <c r="K32" s="363">
        <f t="shared" si="1"/>
        <v>0</v>
      </c>
      <c r="L32" s="363">
        <f t="shared" si="2"/>
        <v>3</v>
      </c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392"/>
      <c r="V32" s="392"/>
      <c r="W32" s="392"/>
      <c r="Y32" s="109">
        <f t="shared" si="8"/>
        <v>6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6</v>
      </c>
      <c r="AG32" s="108">
        <f t="shared" si="3"/>
        <v>1</v>
      </c>
      <c r="AH32" s="108">
        <f t="shared" si="4"/>
        <v>0</v>
      </c>
      <c r="AI32" s="108">
        <f t="shared" si="10"/>
        <v>0</v>
      </c>
      <c r="AJ32" s="108">
        <f t="shared" si="5"/>
        <v>0</v>
      </c>
      <c r="AK32" s="108">
        <f t="shared" si="6"/>
        <v>5</v>
      </c>
      <c r="AL32" s="108">
        <f t="shared" si="7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0</v>
      </c>
      <c r="H33" s="379" t="s">
        <v>9</v>
      </c>
      <c r="I33" s="442">
        <v>0</v>
      </c>
      <c r="J33" s="381">
        <f t="shared" si="0"/>
        <v>3</v>
      </c>
      <c r="K33" s="363">
        <f t="shared" si="1"/>
        <v>1</v>
      </c>
      <c r="L33" s="363">
        <f t="shared" si="2"/>
        <v>1</v>
      </c>
      <c r="O33" s="394" t="s">
        <v>25</v>
      </c>
      <c r="P33" s="395">
        <f>SUMIF($D$8:$D$55,$O33,$G$8:$G$55)+SUMIF($F$8:$F$55,$O33,$I$8:$I$55)</f>
        <v>7</v>
      </c>
      <c r="Q33" s="395">
        <f>SUMIF($D$8:$D$55,$O33,$I$8:$I$55)+SUMIF($F$8:$F$55,$O33,$G$8:$G$55)</f>
        <v>4</v>
      </c>
      <c r="R33" s="396">
        <f>P33-Q33</f>
        <v>3</v>
      </c>
      <c r="S33" s="397">
        <f>SUMIF($D$8:$D$55,$O33,$K$8:$K$55)+SUMIF($F$8:$F$55,$O33,$L$8:$L$55)</f>
        <v>6</v>
      </c>
      <c r="T33" s="444" t="s">
        <v>68</v>
      </c>
      <c r="U33" s="392"/>
      <c r="V33" s="392" t="str">
        <f>O33</f>
        <v>Zwitserland</v>
      </c>
      <c r="W33" s="392" t="s">
        <v>67</v>
      </c>
      <c r="Y33" s="109">
        <f t="shared" si="8"/>
        <v>0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0</v>
      </c>
      <c r="AG33" s="108">
        <f t="shared" si="3"/>
        <v>0</v>
      </c>
      <c r="AH33" s="108">
        <f t="shared" si="4"/>
        <v>0</v>
      </c>
      <c r="AI33" s="108">
        <f t="shared" si="10"/>
        <v>0</v>
      </c>
      <c r="AJ33" s="108">
        <f t="shared" si="5"/>
        <v>0</v>
      </c>
      <c r="AK33" s="108">
        <f t="shared" si="6"/>
        <v>0</v>
      </c>
      <c r="AL33" s="108">
        <f t="shared" si="7"/>
        <v>0</v>
      </c>
      <c r="AM33" s="120">
        <f>AO33</f>
        <v>10</v>
      </c>
      <c r="AN33" s="116" t="s">
        <v>25</v>
      </c>
      <c r="AO33" s="115">
        <f>IF(Uitslag!T33="",0,IF(T33=Uitslag!T33,10,0))</f>
        <v>10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2</v>
      </c>
      <c r="H34" s="367" t="s">
        <v>9</v>
      </c>
      <c r="I34" s="440">
        <v>1</v>
      </c>
      <c r="J34" s="369">
        <f t="shared" si="0"/>
        <v>1</v>
      </c>
      <c r="K34" s="363">
        <f t="shared" si="1"/>
        <v>3</v>
      </c>
      <c r="L34" s="363">
        <f t="shared" si="2"/>
        <v>0</v>
      </c>
      <c r="O34" s="398" t="s">
        <v>26</v>
      </c>
      <c r="P34" s="399">
        <f>SUMIF($D$8:$D$55,$O34,$G$8:$G$55)+SUMIF($F$8:$F$55,$O34,$I$8:$I$55)</f>
        <v>3</v>
      </c>
      <c r="Q34" s="399">
        <f>SUMIF($D$8:$D$55,$O34,$I$8:$I$55)+SUMIF($F$8:$F$55,$O34,$G$8:$G$55)</f>
        <v>5</v>
      </c>
      <c r="R34" s="399">
        <f>P34-Q34</f>
        <v>-2</v>
      </c>
      <c r="S34" s="400">
        <f>SUMIF($D$8:$D$55,$O34,$K$8:$K$55)+SUMIF($F$8:$F$55,$O34,$L$8:$L$55)</f>
        <v>1</v>
      </c>
      <c r="T34" s="445" t="s">
        <v>69</v>
      </c>
      <c r="U34" s="392"/>
      <c r="V34" s="392" t="str">
        <f>O34</f>
        <v>Ecuador</v>
      </c>
      <c r="W34" s="392" t="s">
        <v>68</v>
      </c>
      <c r="Y34" s="109">
        <f t="shared" si="8"/>
        <v>5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5</v>
      </c>
      <c r="AG34" s="108">
        <f t="shared" si="3"/>
        <v>0</v>
      </c>
      <c r="AH34" s="108">
        <f t="shared" si="4"/>
        <v>0</v>
      </c>
      <c r="AI34" s="108">
        <f t="shared" si="10"/>
        <v>0</v>
      </c>
      <c r="AJ34" s="108">
        <f t="shared" si="5"/>
        <v>5</v>
      </c>
      <c r="AK34" s="108">
        <f t="shared" si="6"/>
        <v>0</v>
      </c>
      <c r="AL34" s="108">
        <f t="shared" si="7"/>
        <v>0</v>
      </c>
      <c r="AM34" s="120">
        <f>AO34</f>
        <v>10</v>
      </c>
      <c r="AN34" s="117" t="s">
        <v>26</v>
      </c>
      <c r="AO34" s="115">
        <f>IF(Uitslag!T34="",0,IF(T34=Uitslag!T34,10,0))</f>
        <v>10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3</v>
      </c>
      <c r="H35" s="373" t="s">
        <v>9</v>
      </c>
      <c r="I35" s="441">
        <v>1</v>
      </c>
      <c r="J35" s="375">
        <f t="shared" si="0"/>
        <v>1</v>
      </c>
      <c r="K35" s="363">
        <f t="shared" si="1"/>
        <v>3</v>
      </c>
      <c r="L35" s="363">
        <f t="shared" si="2"/>
        <v>0</v>
      </c>
      <c r="O35" s="398" t="s">
        <v>27</v>
      </c>
      <c r="P35" s="399">
        <f>SUMIF($D$8:$D$55,$O35,$G$8:$G$55)+SUMIF($F$8:$F$55,$O35,$I$8:$I$55)</f>
        <v>10</v>
      </c>
      <c r="Q35" s="399">
        <f>SUMIF($D$8:$D$55,$O35,$I$8:$I$55)+SUMIF($F$8:$F$55,$O35,$G$8:$G$55)</f>
        <v>5</v>
      </c>
      <c r="R35" s="399">
        <f>P35-Q35</f>
        <v>5</v>
      </c>
      <c r="S35" s="400">
        <f>SUMIF($D$8:$D$55,$O35,$K$8:$K$55)+SUMIF($F$8:$F$55,$O35,$L$8:$L$55)</f>
        <v>9</v>
      </c>
      <c r="T35" s="445" t="s">
        <v>67</v>
      </c>
      <c r="U35" s="392"/>
      <c r="V35" s="392" t="str">
        <f>O35</f>
        <v>Frankrijk</v>
      </c>
      <c r="W35" s="392" t="s">
        <v>69</v>
      </c>
      <c r="Y35" s="109">
        <f t="shared" si="8"/>
        <v>0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0</v>
      </c>
      <c r="AG35" s="108">
        <f t="shared" si="3"/>
        <v>0</v>
      </c>
      <c r="AH35" s="108">
        <f t="shared" si="4"/>
        <v>0</v>
      </c>
      <c r="AI35" s="108">
        <f t="shared" si="10"/>
        <v>0</v>
      </c>
      <c r="AJ35" s="108">
        <f t="shared" si="5"/>
        <v>0</v>
      </c>
      <c r="AK35" s="108">
        <f t="shared" si="6"/>
        <v>0</v>
      </c>
      <c r="AL35" s="108">
        <f t="shared" si="7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1</v>
      </c>
      <c r="H36" s="379" t="s">
        <v>9</v>
      </c>
      <c r="I36" s="442">
        <v>3</v>
      </c>
      <c r="J36" s="381">
        <f t="shared" si="0"/>
        <v>2</v>
      </c>
      <c r="K36" s="363">
        <f t="shared" si="1"/>
        <v>0</v>
      </c>
      <c r="L36" s="363">
        <f t="shared" si="2"/>
        <v>3</v>
      </c>
      <c r="O36" s="401" t="s">
        <v>28</v>
      </c>
      <c r="P36" s="402">
        <f>SUMIF($D$8:$D$55,$O36,$G$8:$G$55)+SUMIF($F$8:$F$55,$O36,$I$8:$I$55)</f>
        <v>1</v>
      </c>
      <c r="Q36" s="402">
        <f>SUMIF($D$8:$D$55,$O36,$I$8:$I$55)+SUMIF($F$8:$F$55,$O36,$G$8:$G$55)</f>
        <v>7</v>
      </c>
      <c r="R36" s="402">
        <f>P36-Q36</f>
        <v>-6</v>
      </c>
      <c r="S36" s="403">
        <f>SUMIF($D$8:$D$55,$O36,$K$8:$K$55)+SUMIF($F$8:$F$55,$O36,$L$8:$L$55)</f>
        <v>1</v>
      </c>
      <c r="T36" s="446" t="s">
        <v>70</v>
      </c>
      <c r="U36" s="392"/>
      <c r="V36" s="392" t="str">
        <f>O36</f>
        <v>Honduras</v>
      </c>
      <c r="W36" s="392" t="s">
        <v>70</v>
      </c>
      <c r="Y36" s="109">
        <f t="shared" si="8"/>
        <v>1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1</v>
      </c>
      <c r="AG36" s="108">
        <f t="shared" si="3"/>
        <v>1</v>
      </c>
      <c r="AH36" s="108">
        <f t="shared" si="4"/>
        <v>0</v>
      </c>
      <c r="AI36" s="108">
        <f t="shared" si="10"/>
        <v>0</v>
      </c>
      <c r="AJ36" s="108">
        <f t="shared" si="5"/>
        <v>0</v>
      </c>
      <c r="AK36" s="108">
        <f t="shared" si="6"/>
        <v>0</v>
      </c>
      <c r="AL36" s="108">
        <f t="shared" si="7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2</v>
      </c>
      <c r="H37" s="367" t="s">
        <v>9</v>
      </c>
      <c r="I37" s="440">
        <v>1</v>
      </c>
      <c r="J37" s="369">
        <f t="shared" si="0"/>
        <v>1</v>
      </c>
      <c r="K37" s="363">
        <f t="shared" si="1"/>
        <v>3</v>
      </c>
      <c r="L37" s="363">
        <f t="shared" si="2"/>
        <v>0</v>
      </c>
      <c r="O37" s="392"/>
      <c r="P37" s="393"/>
      <c r="Q37" s="393"/>
      <c r="R37" s="393"/>
      <c r="S37" s="393"/>
      <c r="T37" s="393"/>
      <c r="U37" s="392"/>
      <c r="V37" s="392"/>
      <c r="W37" s="392"/>
      <c r="Y37" s="109">
        <f t="shared" si="8"/>
        <v>5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5</v>
      </c>
      <c r="AG37" s="108">
        <f t="shared" si="3"/>
        <v>0</v>
      </c>
      <c r="AH37" s="108">
        <f t="shared" si="4"/>
        <v>0</v>
      </c>
      <c r="AI37" s="108">
        <f t="shared" si="10"/>
        <v>0</v>
      </c>
      <c r="AJ37" s="108">
        <f t="shared" si="5"/>
        <v>5</v>
      </c>
      <c r="AK37" s="108">
        <f t="shared" si="6"/>
        <v>0</v>
      </c>
      <c r="AL37" s="108">
        <f t="shared" si="7"/>
        <v>0</v>
      </c>
      <c r="AN37" s="392"/>
      <c r="AO37" s="393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2</v>
      </c>
      <c r="H38" s="373" t="s">
        <v>9</v>
      </c>
      <c r="I38" s="441">
        <v>2</v>
      </c>
      <c r="J38" s="375">
        <f t="shared" si="0"/>
        <v>3</v>
      </c>
      <c r="K38" s="363">
        <f t="shared" si="1"/>
        <v>1</v>
      </c>
      <c r="L38" s="363">
        <f t="shared" si="2"/>
        <v>1</v>
      </c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392"/>
      <c r="V38" s="392"/>
      <c r="W38" s="392"/>
      <c r="Y38" s="109">
        <f t="shared" si="8"/>
        <v>1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1</v>
      </c>
      <c r="AG38" s="108">
        <f t="shared" si="3"/>
        <v>1</v>
      </c>
      <c r="AH38" s="108">
        <f t="shared" si="4"/>
        <v>0</v>
      </c>
      <c r="AI38" s="108">
        <f t="shared" si="10"/>
        <v>0</v>
      </c>
      <c r="AJ38" s="108">
        <f t="shared" si="5"/>
        <v>0</v>
      </c>
      <c r="AK38" s="108">
        <f t="shared" si="6"/>
        <v>0</v>
      </c>
      <c r="AL38" s="108">
        <f t="shared" si="7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0</v>
      </c>
      <c r="H39" s="379" t="s">
        <v>9</v>
      </c>
      <c r="I39" s="442">
        <v>3</v>
      </c>
      <c r="J39" s="381">
        <f t="shared" si="0"/>
        <v>2</v>
      </c>
      <c r="K39" s="363">
        <f t="shared" si="1"/>
        <v>0</v>
      </c>
      <c r="L39" s="363">
        <f t="shared" si="2"/>
        <v>3</v>
      </c>
      <c r="O39" s="394" t="s">
        <v>29</v>
      </c>
      <c r="P39" s="395">
        <f>SUMIF($D$8:$D$55,$O39,$G$8:$G$55)+SUMIF($F$8:$F$55,$O39,$I$8:$I$55)</f>
        <v>7</v>
      </c>
      <c r="Q39" s="395">
        <f>SUMIF($D$8:$D$55,$O39,$I$8:$I$55)+SUMIF($F$8:$F$55,$O39,$G$8:$G$55)</f>
        <v>2</v>
      </c>
      <c r="R39" s="396">
        <f>P39-Q39</f>
        <v>5</v>
      </c>
      <c r="S39" s="397">
        <f>SUMIF($D$8:$D$55,$O39,$K$8:$K$55)+SUMIF($F$8:$F$55,$O39,$L$8:$L$55)</f>
        <v>9</v>
      </c>
      <c r="T39" s="444" t="s">
        <v>72</v>
      </c>
      <c r="U39" s="392"/>
      <c r="V39" s="392" t="str">
        <f>O39</f>
        <v>Argentinië</v>
      </c>
      <c r="W39" s="392" t="s">
        <v>72</v>
      </c>
      <c r="Y39" s="109">
        <f t="shared" si="8"/>
        <v>0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0</v>
      </c>
      <c r="AG39" s="108">
        <f t="shared" si="3"/>
        <v>0</v>
      </c>
      <c r="AH39" s="108">
        <f t="shared" si="4"/>
        <v>0</v>
      </c>
      <c r="AI39" s="108">
        <f t="shared" si="10"/>
        <v>0</v>
      </c>
      <c r="AJ39" s="108">
        <f t="shared" si="5"/>
        <v>0</v>
      </c>
      <c r="AK39" s="108">
        <f t="shared" si="6"/>
        <v>0</v>
      </c>
      <c r="AL39" s="108">
        <f t="shared" si="7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1</v>
      </c>
      <c r="H40" s="367" t="s">
        <v>9</v>
      </c>
      <c r="I40" s="440">
        <v>3</v>
      </c>
      <c r="J40" s="369">
        <f t="shared" si="0"/>
        <v>2</v>
      </c>
      <c r="K40" s="363">
        <f t="shared" si="1"/>
        <v>0</v>
      </c>
      <c r="L40" s="363">
        <f t="shared" si="2"/>
        <v>3</v>
      </c>
      <c r="O40" s="398" t="s">
        <v>30</v>
      </c>
      <c r="P40" s="399">
        <f>SUMIF($D$8:$D$55,$O40,$G$8:$G$55)+SUMIF($F$8:$F$55,$O40,$I$8:$I$55)</f>
        <v>5</v>
      </c>
      <c r="Q40" s="399">
        <f>SUMIF($D$8:$D$55,$O40,$I$8:$I$55)+SUMIF($F$8:$F$55,$O40,$G$8:$G$55)</f>
        <v>4</v>
      </c>
      <c r="R40" s="399">
        <f>P40-Q40</f>
        <v>1</v>
      </c>
      <c r="S40" s="400">
        <f>SUMIF($D$8:$D$55,$O40,$K$8:$K$55)+SUMIF($F$8:$F$55,$O40,$L$8:$L$55)</f>
        <v>6</v>
      </c>
      <c r="T40" s="445" t="s">
        <v>73</v>
      </c>
      <c r="U40" s="392"/>
      <c r="V40" s="392" t="str">
        <f>O40</f>
        <v>Bosnië H.</v>
      </c>
      <c r="W40" s="392" t="s">
        <v>73</v>
      </c>
      <c r="Y40" s="109">
        <f t="shared" si="8"/>
        <v>6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6</v>
      </c>
      <c r="AG40" s="108">
        <f t="shared" si="3"/>
        <v>0</v>
      </c>
      <c r="AH40" s="108">
        <f t="shared" si="4"/>
        <v>1</v>
      </c>
      <c r="AI40" s="108">
        <f t="shared" si="10"/>
        <v>0</v>
      </c>
      <c r="AJ40" s="108">
        <f t="shared" si="5"/>
        <v>0</v>
      </c>
      <c r="AK40" s="108">
        <f t="shared" si="6"/>
        <v>5</v>
      </c>
      <c r="AL40" s="108">
        <f t="shared" si="7"/>
        <v>0</v>
      </c>
      <c r="AM40" s="120">
        <f>AO40</f>
        <v>0</v>
      </c>
      <c r="AN40" s="117" t="s">
        <v>30</v>
      </c>
      <c r="AO40" s="115">
        <f>IF(Uitslag!T40="",0,IF(T40=Uitslag!T40,10,0))</f>
        <v>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0</v>
      </c>
      <c r="H41" s="373" t="s">
        <v>9</v>
      </c>
      <c r="I41" s="441">
        <v>2</v>
      </c>
      <c r="J41" s="375">
        <f t="shared" si="0"/>
        <v>2</v>
      </c>
      <c r="K41" s="363">
        <f t="shared" si="1"/>
        <v>0</v>
      </c>
      <c r="L41" s="363">
        <f t="shared" si="2"/>
        <v>3</v>
      </c>
      <c r="O41" s="398" t="s">
        <v>33</v>
      </c>
      <c r="P41" s="399">
        <f>SUMIF($D$8:$D$55,$O41,$G$8:$G$55)+SUMIF($F$8:$F$55,$O41,$I$8:$I$55)</f>
        <v>2</v>
      </c>
      <c r="Q41" s="399">
        <f>SUMIF($D$8:$D$55,$O41,$I$8:$I$55)+SUMIF($F$8:$F$55,$O41,$G$8:$G$55)</f>
        <v>4</v>
      </c>
      <c r="R41" s="399">
        <f>P41-Q41</f>
        <v>-2</v>
      </c>
      <c r="S41" s="400">
        <f>SUMIF($D$8:$D$55,$O41,$K$8:$K$55)+SUMIF($F$8:$F$55,$O41,$L$8:$L$55)</f>
        <v>1</v>
      </c>
      <c r="T41" s="445" t="s">
        <v>74</v>
      </c>
      <c r="U41" s="392"/>
      <c r="V41" s="392" t="str">
        <f>O41</f>
        <v>Iran</v>
      </c>
      <c r="W41" s="392" t="s">
        <v>74</v>
      </c>
      <c r="Y41" s="109">
        <f t="shared" si="8"/>
        <v>0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0</v>
      </c>
      <c r="AG41" s="108">
        <f t="shared" si="3"/>
        <v>0</v>
      </c>
      <c r="AH41" s="108">
        <f t="shared" si="4"/>
        <v>0</v>
      </c>
      <c r="AI41" s="108">
        <f t="shared" si="10"/>
        <v>0</v>
      </c>
      <c r="AJ41" s="108">
        <f t="shared" si="5"/>
        <v>0</v>
      </c>
      <c r="AK41" s="108">
        <f t="shared" si="6"/>
        <v>0</v>
      </c>
      <c r="AL41" s="108">
        <f t="shared" si="7"/>
        <v>0</v>
      </c>
      <c r="AM41" s="120">
        <f>AO41</f>
        <v>0</v>
      </c>
      <c r="AN41" s="117" t="s">
        <v>33</v>
      </c>
      <c r="AO41" s="115">
        <f>IF(Uitslag!T41="",0,IF(T41=Uitslag!T41,10,0))</f>
        <v>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0</v>
      </c>
      <c r="H42" s="373" t="s">
        <v>9</v>
      </c>
      <c r="I42" s="441">
        <v>4</v>
      </c>
      <c r="J42" s="375">
        <f t="shared" si="0"/>
        <v>2</v>
      </c>
      <c r="K42" s="363">
        <f t="shared" si="1"/>
        <v>0</v>
      </c>
      <c r="L42" s="363">
        <f t="shared" si="2"/>
        <v>3</v>
      </c>
      <c r="O42" s="401" t="s">
        <v>34</v>
      </c>
      <c r="P42" s="402">
        <f>SUMIF($D$8:$D$55,$O42,$G$8:$G$55)+SUMIF($F$8:$F$55,$O42,$I$8:$I$55)</f>
        <v>2</v>
      </c>
      <c r="Q42" s="402">
        <f>SUMIF($D$8:$D$55,$O42,$I$8:$I$55)+SUMIF($F$8:$F$55,$O42,$G$8:$G$55)</f>
        <v>6</v>
      </c>
      <c r="R42" s="402">
        <f>P42-Q42</f>
        <v>-4</v>
      </c>
      <c r="S42" s="403">
        <f>SUMIF($D$8:$D$55,$O42,$K$8:$K$55)+SUMIF($F$8:$F$55,$O42,$L$8:$L$55)</f>
        <v>1</v>
      </c>
      <c r="T42" s="446" t="s">
        <v>75</v>
      </c>
      <c r="U42" s="392"/>
      <c r="V42" s="392" t="str">
        <f>O42</f>
        <v>Nigeria</v>
      </c>
      <c r="W42" s="392" t="s">
        <v>75</v>
      </c>
      <c r="Y42" s="109">
        <f t="shared" si="8"/>
        <v>6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6</v>
      </c>
      <c r="AG42" s="108">
        <f t="shared" si="3"/>
        <v>0</v>
      </c>
      <c r="AH42" s="108">
        <f t="shared" si="4"/>
        <v>1</v>
      </c>
      <c r="AI42" s="108">
        <f t="shared" si="10"/>
        <v>0</v>
      </c>
      <c r="AJ42" s="108">
        <f t="shared" si="5"/>
        <v>0</v>
      </c>
      <c r="AK42" s="108">
        <f t="shared" si="6"/>
        <v>5</v>
      </c>
      <c r="AL42" s="108">
        <f t="shared" si="7"/>
        <v>0</v>
      </c>
      <c r="AM42" s="120">
        <f>AO42</f>
        <v>0</v>
      </c>
      <c r="AN42" s="118" t="s">
        <v>34</v>
      </c>
      <c r="AO42" s="115">
        <f>IF(Uitslag!T42="",0,IF(T42=Uitslag!T42,10,0))</f>
        <v>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2</v>
      </c>
      <c r="H43" s="379" t="s">
        <v>9</v>
      </c>
      <c r="I43" s="442">
        <v>1</v>
      </c>
      <c r="J43" s="381">
        <f t="shared" si="0"/>
        <v>1</v>
      </c>
      <c r="K43" s="363">
        <f t="shared" si="1"/>
        <v>3</v>
      </c>
      <c r="L43" s="363">
        <f t="shared" si="2"/>
        <v>0</v>
      </c>
      <c r="O43" s="392"/>
      <c r="P43" s="393"/>
      <c r="Q43" s="393"/>
      <c r="R43" s="393"/>
      <c r="S43" s="393"/>
      <c r="T43" s="393"/>
      <c r="U43" s="392"/>
      <c r="V43" s="392"/>
      <c r="W43" s="392"/>
      <c r="Y43" s="109">
        <f t="shared" si="8"/>
        <v>0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0</v>
      </c>
      <c r="AG43" s="108">
        <f t="shared" si="3"/>
        <v>0</v>
      </c>
      <c r="AH43" s="108">
        <f t="shared" si="4"/>
        <v>0</v>
      </c>
      <c r="AI43" s="108">
        <f t="shared" si="10"/>
        <v>0</v>
      </c>
      <c r="AJ43" s="108">
        <f t="shared" si="5"/>
        <v>0</v>
      </c>
      <c r="AK43" s="108">
        <f t="shared" si="6"/>
        <v>0</v>
      </c>
      <c r="AL43" s="108">
        <f t="shared" si="7"/>
        <v>0</v>
      </c>
      <c r="AN43" s="392"/>
      <c r="AO43" s="393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2</v>
      </c>
      <c r="H44" s="367" t="s">
        <v>9</v>
      </c>
      <c r="I44" s="440">
        <v>1</v>
      </c>
      <c r="J44" s="369">
        <f t="shared" si="0"/>
        <v>1</v>
      </c>
      <c r="K44" s="363">
        <f t="shared" si="1"/>
        <v>3</v>
      </c>
      <c r="L44" s="363">
        <f t="shared" si="2"/>
        <v>0</v>
      </c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392"/>
      <c r="V44" s="392"/>
      <c r="W44" s="392"/>
      <c r="Y44" s="109">
        <f t="shared" si="8"/>
        <v>1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1</v>
      </c>
      <c r="AG44" s="108">
        <f t="shared" si="3"/>
        <v>0</v>
      </c>
      <c r="AH44" s="108">
        <f t="shared" si="4"/>
        <v>1</v>
      </c>
      <c r="AI44" s="108">
        <f t="shared" si="10"/>
        <v>0</v>
      </c>
      <c r="AJ44" s="108">
        <f t="shared" si="5"/>
        <v>0</v>
      </c>
      <c r="AK44" s="108">
        <f t="shared" si="6"/>
        <v>0</v>
      </c>
      <c r="AL44" s="108">
        <f t="shared" si="7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0</v>
      </c>
      <c r="H45" s="373" t="s">
        <v>9</v>
      </c>
      <c r="I45" s="441">
        <v>5</v>
      </c>
      <c r="J45" s="375">
        <f t="shared" si="0"/>
        <v>2</v>
      </c>
      <c r="K45" s="363">
        <f t="shared" si="1"/>
        <v>0</v>
      </c>
      <c r="L45" s="363">
        <f t="shared" si="2"/>
        <v>3</v>
      </c>
      <c r="O45" s="394" t="s">
        <v>31</v>
      </c>
      <c r="P45" s="395">
        <f>SUMIF($D$8:$D$55,$O45,$G$8:$G$55)+SUMIF($F$8:$F$55,$O45,$I$8:$I$55)</f>
        <v>10</v>
      </c>
      <c r="Q45" s="395">
        <f>SUMIF($D$8:$D$55,$O45,$I$8:$I$55)+SUMIF($F$8:$F$55,$O45,$G$8:$G$55)</f>
        <v>3</v>
      </c>
      <c r="R45" s="396">
        <f>P45-Q45</f>
        <v>7</v>
      </c>
      <c r="S45" s="397">
        <f>SUMIF($D$8:$D$55,$O45,$K$8:$K$55)+SUMIF($F$8:$F$55,$O45,$L$8:$L$55)</f>
        <v>6</v>
      </c>
      <c r="T45" s="444" t="s">
        <v>78</v>
      </c>
      <c r="U45" s="392"/>
      <c r="V45" s="392" t="str">
        <f>O45</f>
        <v>Duitsland</v>
      </c>
      <c r="W45" s="392" t="s">
        <v>77</v>
      </c>
      <c r="Y45" s="109">
        <f t="shared" si="8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1</v>
      </c>
      <c r="AG45" s="108">
        <f t="shared" si="3"/>
        <v>1</v>
      </c>
      <c r="AH45" s="108">
        <f t="shared" si="4"/>
        <v>0</v>
      </c>
      <c r="AI45" s="108">
        <f t="shared" si="10"/>
        <v>0</v>
      </c>
      <c r="AJ45" s="108">
        <f t="shared" si="5"/>
        <v>0</v>
      </c>
      <c r="AK45" s="108">
        <f t="shared" si="6"/>
        <v>0</v>
      </c>
      <c r="AL45" s="108">
        <f t="shared" si="7"/>
        <v>0</v>
      </c>
      <c r="AM45" s="120">
        <f>AO45</f>
        <v>0</v>
      </c>
      <c r="AN45" s="116" t="s">
        <v>31</v>
      </c>
      <c r="AO45" s="115">
        <f>IF(Uitslag!T45="",0,IF(T45=Uitslag!T45,10,0))</f>
        <v>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3</v>
      </c>
      <c r="H46" s="373" t="s">
        <v>9</v>
      </c>
      <c r="I46" s="441">
        <v>1</v>
      </c>
      <c r="J46" s="375">
        <f t="shared" si="0"/>
        <v>1</v>
      </c>
      <c r="K46" s="363">
        <f t="shared" si="1"/>
        <v>3</v>
      </c>
      <c r="L46" s="363">
        <f t="shared" si="2"/>
        <v>0</v>
      </c>
      <c r="O46" s="398" t="s">
        <v>32</v>
      </c>
      <c r="P46" s="399">
        <f>SUMIF($D$8:$D$55,$O46,$G$8:$G$55)+SUMIF($F$8:$F$55,$O46,$I$8:$I$55)</f>
        <v>6</v>
      </c>
      <c r="Q46" s="399">
        <f>SUMIF($D$8:$D$55,$O46,$I$8:$I$55)+SUMIF($F$8:$F$55,$O46,$G$8:$G$55)</f>
        <v>1</v>
      </c>
      <c r="R46" s="399">
        <f>P46-Q46</f>
        <v>5</v>
      </c>
      <c r="S46" s="400">
        <f>SUMIF($D$8:$D$55,$O46,$K$8:$K$55)+SUMIF($F$8:$F$55,$O46,$L$8:$L$55)</f>
        <v>9</v>
      </c>
      <c r="T46" s="445" t="s">
        <v>77</v>
      </c>
      <c r="U46" s="392"/>
      <c r="V46" s="392" t="str">
        <f>O46</f>
        <v>Portugal</v>
      </c>
      <c r="W46" s="392" t="s">
        <v>78</v>
      </c>
      <c r="Y46" s="109">
        <f t="shared" si="8"/>
        <v>0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0</v>
      </c>
      <c r="AG46" s="108">
        <f t="shared" si="3"/>
        <v>0</v>
      </c>
      <c r="AH46" s="108">
        <f t="shared" si="4"/>
        <v>0</v>
      </c>
      <c r="AI46" s="108">
        <f t="shared" si="10"/>
        <v>0</v>
      </c>
      <c r="AJ46" s="108">
        <f t="shared" si="5"/>
        <v>0</v>
      </c>
      <c r="AK46" s="108">
        <f t="shared" si="6"/>
        <v>0</v>
      </c>
      <c r="AL46" s="108">
        <f t="shared" si="7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2</v>
      </c>
      <c r="H47" s="379" t="s">
        <v>9</v>
      </c>
      <c r="I47" s="442">
        <v>0</v>
      </c>
      <c r="J47" s="381">
        <f t="shared" si="0"/>
        <v>1</v>
      </c>
      <c r="K47" s="363">
        <f t="shared" si="1"/>
        <v>3</v>
      </c>
      <c r="L47" s="363">
        <f t="shared" si="2"/>
        <v>0</v>
      </c>
      <c r="O47" s="398" t="s">
        <v>35</v>
      </c>
      <c r="P47" s="399">
        <f>SUMIF($D$8:$D$55,$O47,$G$8:$G$55)+SUMIF($F$8:$F$55,$O47,$I$8:$I$55)</f>
        <v>1</v>
      </c>
      <c r="Q47" s="399">
        <f>SUMIF($D$8:$D$55,$O47,$I$8:$I$55)+SUMIF($F$8:$F$55,$O47,$G$8:$G$55)</f>
        <v>4</v>
      </c>
      <c r="R47" s="399">
        <f>P47-Q47</f>
        <v>-3</v>
      </c>
      <c r="S47" s="400">
        <f>SUMIF($D$8:$D$55,$O47,$K$8:$K$55)+SUMIF($F$8:$F$55,$O47,$L$8:$L$55)</f>
        <v>1</v>
      </c>
      <c r="T47" s="445" t="s">
        <v>79</v>
      </c>
      <c r="U47" s="392"/>
      <c r="V47" s="392" t="str">
        <f>O47</f>
        <v>Ghana</v>
      </c>
      <c r="W47" s="392" t="s">
        <v>79</v>
      </c>
      <c r="Y47" s="109">
        <f t="shared" si="8"/>
        <v>6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6</v>
      </c>
      <c r="AG47" s="108">
        <f t="shared" si="3"/>
        <v>1</v>
      </c>
      <c r="AH47" s="108">
        <f t="shared" si="4"/>
        <v>0</v>
      </c>
      <c r="AI47" s="108">
        <f t="shared" si="10"/>
        <v>0</v>
      </c>
      <c r="AJ47" s="108">
        <f t="shared" si="5"/>
        <v>5</v>
      </c>
      <c r="AK47" s="108">
        <f t="shared" si="6"/>
        <v>0</v>
      </c>
      <c r="AL47" s="108">
        <f t="shared" si="7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1</v>
      </c>
      <c r="H48" s="367" t="s">
        <v>9</v>
      </c>
      <c r="I48" s="440">
        <v>3</v>
      </c>
      <c r="J48" s="369">
        <f t="shared" si="0"/>
        <v>2</v>
      </c>
      <c r="K48" s="363">
        <f t="shared" si="1"/>
        <v>0</v>
      </c>
      <c r="L48" s="363">
        <f t="shared" si="2"/>
        <v>3</v>
      </c>
      <c r="O48" s="401" t="s">
        <v>36</v>
      </c>
      <c r="P48" s="402">
        <f>SUMIF($D$8:$D$55,$O48,$G$8:$G$55)+SUMIF($F$8:$F$55,$O48,$I$8:$I$55)</f>
        <v>0</v>
      </c>
      <c r="Q48" s="402">
        <f>SUMIF($D$8:$D$55,$O48,$I$8:$I$55)+SUMIF($F$8:$F$55,$O48,$G$8:$G$55)</f>
        <v>9</v>
      </c>
      <c r="R48" s="402">
        <f>P48-Q48</f>
        <v>-9</v>
      </c>
      <c r="S48" s="403">
        <f>SUMIF($D$8:$D$55,$O48,$K$8:$K$55)+SUMIF($F$8:$F$55,$O48,$L$8:$L$55)</f>
        <v>1</v>
      </c>
      <c r="T48" s="446" t="s">
        <v>80</v>
      </c>
      <c r="U48" s="392"/>
      <c r="V48" s="392" t="str">
        <f>O48</f>
        <v>Verenigde Staten</v>
      </c>
      <c r="W48" s="392" t="s">
        <v>80</v>
      </c>
      <c r="Y48" s="109">
        <f t="shared" si="8"/>
        <v>6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6</v>
      </c>
      <c r="AG48" s="108">
        <f t="shared" si="3"/>
        <v>0</v>
      </c>
      <c r="AH48" s="108">
        <f t="shared" si="4"/>
        <v>1</v>
      </c>
      <c r="AI48" s="108">
        <f t="shared" si="10"/>
        <v>0</v>
      </c>
      <c r="AJ48" s="108">
        <f t="shared" si="5"/>
        <v>0</v>
      </c>
      <c r="AK48" s="108">
        <f t="shared" si="6"/>
        <v>5</v>
      </c>
      <c r="AL48" s="108">
        <f t="shared" si="7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2</v>
      </c>
      <c r="H49" s="373" t="s">
        <v>9</v>
      </c>
      <c r="I49" s="441">
        <v>1</v>
      </c>
      <c r="J49" s="375">
        <f t="shared" si="0"/>
        <v>1</v>
      </c>
      <c r="K49" s="363">
        <f t="shared" si="1"/>
        <v>3</v>
      </c>
      <c r="L49" s="363">
        <f t="shared" si="2"/>
        <v>0</v>
      </c>
      <c r="O49" s="392"/>
      <c r="P49" s="393"/>
      <c r="Q49" s="393"/>
      <c r="R49" s="393"/>
      <c r="S49" s="393"/>
      <c r="T49" s="393"/>
      <c r="U49" s="392"/>
      <c r="V49" s="392"/>
      <c r="W49" s="392"/>
      <c r="Y49" s="109">
        <f t="shared" si="8"/>
        <v>6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6</v>
      </c>
      <c r="AG49" s="108">
        <f t="shared" si="3"/>
        <v>0</v>
      </c>
      <c r="AH49" s="108">
        <f t="shared" si="4"/>
        <v>1</v>
      </c>
      <c r="AI49" s="108">
        <f t="shared" si="10"/>
        <v>0</v>
      </c>
      <c r="AJ49" s="108">
        <f t="shared" si="5"/>
        <v>5</v>
      </c>
      <c r="AK49" s="108">
        <f t="shared" si="6"/>
        <v>0</v>
      </c>
      <c r="AL49" s="108">
        <f t="shared" si="7"/>
        <v>0</v>
      </c>
      <c r="AN49" s="392"/>
      <c r="AO49" s="393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0</v>
      </c>
      <c r="H50" s="373" t="s">
        <v>9</v>
      </c>
      <c r="I50" s="441">
        <v>3</v>
      </c>
      <c r="J50" s="375">
        <f t="shared" si="0"/>
        <v>2</v>
      </c>
      <c r="K50" s="363">
        <f t="shared" si="1"/>
        <v>0</v>
      </c>
      <c r="L50" s="363">
        <f t="shared" si="2"/>
        <v>3</v>
      </c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392"/>
      <c r="V50" s="392"/>
      <c r="W50" s="392"/>
      <c r="Y50" s="109">
        <f t="shared" si="8"/>
        <v>10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10</v>
      </c>
      <c r="AG50" s="108">
        <f t="shared" si="3"/>
        <v>1</v>
      </c>
      <c r="AH50" s="108">
        <f t="shared" si="4"/>
        <v>1</v>
      </c>
      <c r="AI50" s="108">
        <f t="shared" si="10"/>
        <v>10</v>
      </c>
      <c r="AJ50" s="108">
        <f t="shared" si="5"/>
        <v>0</v>
      </c>
      <c r="AK50" s="108">
        <f t="shared" si="6"/>
        <v>5</v>
      </c>
      <c r="AL50" s="108">
        <f t="shared" si="7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2</v>
      </c>
      <c r="H51" s="379" t="s">
        <v>9</v>
      </c>
      <c r="I51" s="442">
        <v>3</v>
      </c>
      <c r="J51" s="381">
        <f t="shared" si="0"/>
        <v>2</v>
      </c>
      <c r="K51" s="363">
        <f t="shared" si="1"/>
        <v>0</v>
      </c>
      <c r="L51" s="363">
        <f t="shared" si="2"/>
        <v>3</v>
      </c>
      <c r="O51" s="394" t="s">
        <v>37</v>
      </c>
      <c r="P51" s="395">
        <f>SUMIF($D$8:$D$55,$O51,$G$8:$G$55)+SUMIF($F$8:$F$55,$O51,$I$8:$I$55)</f>
        <v>5</v>
      </c>
      <c r="Q51" s="395">
        <f>SUMIF($D$8:$D$55,$O51,$I$8:$I$55)+SUMIF($F$8:$F$55,$O51,$G$8:$G$55)</f>
        <v>2</v>
      </c>
      <c r="R51" s="396">
        <f>P51-Q51</f>
        <v>3</v>
      </c>
      <c r="S51" s="397">
        <f>SUMIF($D$8:$D$55,$O51,$K$8:$K$55)+SUMIF($F$8:$F$55,$O51,$L$8:$L$55)</f>
        <v>7</v>
      </c>
      <c r="T51" s="444" t="s">
        <v>82</v>
      </c>
      <c r="U51" s="392"/>
      <c r="V51" s="392" t="str">
        <f>O51</f>
        <v>België</v>
      </c>
      <c r="W51" s="392" t="s">
        <v>82</v>
      </c>
      <c r="Y51" s="109">
        <f t="shared" si="8"/>
        <v>0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0</v>
      </c>
      <c r="AG51" s="108">
        <f t="shared" si="3"/>
        <v>0</v>
      </c>
      <c r="AH51" s="108">
        <f t="shared" si="4"/>
        <v>0</v>
      </c>
      <c r="AI51" s="108">
        <f t="shared" si="10"/>
        <v>0</v>
      </c>
      <c r="AJ51" s="108">
        <f t="shared" si="5"/>
        <v>0</v>
      </c>
      <c r="AK51" s="108">
        <f t="shared" si="6"/>
        <v>0</v>
      </c>
      <c r="AL51" s="108">
        <f t="shared" si="7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0</v>
      </c>
      <c r="H52" s="373" t="s">
        <v>9</v>
      </c>
      <c r="I52" s="441">
        <v>6</v>
      </c>
      <c r="J52" s="369">
        <f t="shared" si="0"/>
        <v>2</v>
      </c>
      <c r="K52" s="363">
        <f t="shared" si="1"/>
        <v>0</v>
      </c>
      <c r="L52" s="363">
        <f t="shared" si="2"/>
        <v>3</v>
      </c>
      <c r="O52" s="398" t="s">
        <v>38</v>
      </c>
      <c r="P52" s="399">
        <f>SUMIF($D$8:$D$55,$O52,$G$8:$G$55)+SUMIF($F$8:$F$55,$O52,$I$8:$I$55)</f>
        <v>2</v>
      </c>
      <c r="Q52" s="399">
        <f>SUMIF($D$8:$D$55,$O52,$I$8:$I$55)+SUMIF($F$8:$F$55,$O52,$G$8:$G$55)</f>
        <v>5</v>
      </c>
      <c r="R52" s="399">
        <f>P52-Q52</f>
        <v>-3</v>
      </c>
      <c r="S52" s="400">
        <f>SUMIF($D$8:$D$55,$O52,$K$8:$K$55)+SUMIF($F$8:$F$55,$O52,$L$8:$L$55)</f>
        <v>1</v>
      </c>
      <c r="T52" s="445" t="s">
        <v>85</v>
      </c>
      <c r="U52" s="392"/>
      <c r="V52" s="392" t="str">
        <f>O52</f>
        <v>Algerije</v>
      </c>
      <c r="W52" s="392" t="s">
        <v>83</v>
      </c>
      <c r="Y52" s="109">
        <f t="shared" si="8"/>
        <v>6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6</v>
      </c>
      <c r="AG52" s="108">
        <f t="shared" si="3"/>
        <v>1</v>
      </c>
      <c r="AH52" s="108">
        <f t="shared" si="4"/>
        <v>0</v>
      </c>
      <c r="AI52" s="108">
        <f t="shared" si="10"/>
        <v>0</v>
      </c>
      <c r="AJ52" s="108">
        <f t="shared" si="5"/>
        <v>0</v>
      </c>
      <c r="AK52" s="108">
        <f t="shared" si="6"/>
        <v>5</v>
      </c>
      <c r="AL52" s="108">
        <f t="shared" si="7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1</v>
      </c>
      <c r="H53" s="373" t="s">
        <v>9</v>
      </c>
      <c r="I53" s="441">
        <v>0</v>
      </c>
      <c r="J53" s="375">
        <f t="shared" si="0"/>
        <v>1</v>
      </c>
      <c r="K53" s="363">
        <f t="shared" si="1"/>
        <v>3</v>
      </c>
      <c r="L53" s="363">
        <f t="shared" si="2"/>
        <v>0</v>
      </c>
      <c r="O53" s="398" t="s">
        <v>39</v>
      </c>
      <c r="P53" s="399">
        <f>SUMIF($D$8:$D$55,$O53,$G$8:$G$55)+SUMIF($F$8:$F$55,$O53,$I$8:$I$55)</f>
        <v>3</v>
      </c>
      <c r="Q53" s="399">
        <f>SUMIF($D$8:$D$55,$O53,$I$8:$I$55)+SUMIF($F$8:$F$55,$O53,$G$8:$G$55)</f>
        <v>4</v>
      </c>
      <c r="R53" s="399">
        <f>P53-Q53</f>
        <v>-1</v>
      </c>
      <c r="S53" s="400">
        <f>SUMIF($D$8:$D$55,$O53,$K$8:$K$55)+SUMIF($F$8:$F$55,$O53,$L$8:$L$55)</f>
        <v>3</v>
      </c>
      <c r="T53" s="445" t="s">
        <v>84</v>
      </c>
      <c r="U53" s="392"/>
      <c r="V53" s="392" t="str">
        <f>O53</f>
        <v>Rusland</v>
      </c>
      <c r="W53" s="392" t="s">
        <v>84</v>
      </c>
      <c r="Y53" s="109">
        <f t="shared" si="8"/>
        <v>5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5</v>
      </c>
      <c r="AG53" s="108">
        <f t="shared" si="3"/>
        <v>0</v>
      </c>
      <c r="AH53" s="108">
        <f t="shared" si="4"/>
        <v>0</v>
      </c>
      <c r="AI53" s="108">
        <f t="shared" si="10"/>
        <v>0</v>
      </c>
      <c r="AJ53" s="108">
        <f t="shared" si="5"/>
        <v>5</v>
      </c>
      <c r="AK53" s="108">
        <f t="shared" si="6"/>
        <v>0</v>
      </c>
      <c r="AL53" s="108">
        <f t="shared" si="7"/>
        <v>0</v>
      </c>
      <c r="AM53" s="120">
        <f>AO53</f>
        <v>10</v>
      </c>
      <c r="AN53" s="117" t="s">
        <v>39</v>
      </c>
      <c r="AO53" s="115">
        <f>IF(Uitslag!T53="",0,IF(T53=Uitslag!T53,10,0))</f>
        <v>10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1</v>
      </c>
      <c r="H54" s="373" t="s">
        <v>9</v>
      </c>
      <c r="I54" s="441">
        <v>1</v>
      </c>
      <c r="J54" s="375">
        <f t="shared" si="0"/>
        <v>3</v>
      </c>
      <c r="K54" s="363">
        <f t="shared" si="1"/>
        <v>1</v>
      </c>
      <c r="L54" s="363">
        <f t="shared" si="2"/>
        <v>1</v>
      </c>
      <c r="O54" s="401" t="s">
        <v>40</v>
      </c>
      <c r="P54" s="402">
        <f>SUMIF($D$8:$D$55,$O54,$G$8:$G$55)+SUMIF($F$8:$F$55,$O54,$I$8:$I$55)</f>
        <v>5</v>
      </c>
      <c r="Q54" s="402">
        <f>SUMIF($D$8:$D$55,$O54,$I$8:$I$55)+SUMIF($F$8:$F$55,$O54,$G$8:$G$55)</f>
        <v>4</v>
      </c>
      <c r="R54" s="402">
        <f>P54-Q54</f>
        <v>1</v>
      </c>
      <c r="S54" s="403">
        <f>SUMIF($D$8:$D$55,$O54,$K$8:$K$55)+SUMIF($F$8:$F$55,$O54,$L$8:$L$55)</f>
        <v>5</v>
      </c>
      <c r="T54" s="446" t="s">
        <v>83</v>
      </c>
      <c r="U54" s="392"/>
      <c r="V54" s="392" t="str">
        <f>O54</f>
        <v>Zuid Korea</v>
      </c>
      <c r="W54" s="392" t="s">
        <v>85</v>
      </c>
      <c r="Y54" s="109">
        <f t="shared" si="8"/>
        <v>1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1</v>
      </c>
      <c r="AG54" s="108">
        <f t="shared" si="3"/>
        <v>0</v>
      </c>
      <c r="AH54" s="108">
        <f t="shared" si="4"/>
        <v>1</v>
      </c>
      <c r="AI54" s="108">
        <f t="shared" si="10"/>
        <v>0</v>
      </c>
      <c r="AJ54" s="108">
        <f t="shared" si="5"/>
        <v>0</v>
      </c>
      <c r="AK54" s="108">
        <f t="shared" si="6"/>
        <v>0</v>
      </c>
      <c r="AL54" s="108">
        <f t="shared" si="7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0</v>
      </c>
      <c r="H55" s="388" t="s">
        <v>9</v>
      </c>
      <c r="I55" s="443">
        <v>1</v>
      </c>
      <c r="J55" s="390">
        <f t="shared" si="0"/>
        <v>2</v>
      </c>
      <c r="K55" s="363">
        <f t="shared" si="1"/>
        <v>0</v>
      </c>
      <c r="L55" s="363">
        <f t="shared" si="2"/>
        <v>3</v>
      </c>
      <c r="O55" s="392"/>
      <c r="P55" s="393"/>
      <c r="Q55" s="393"/>
      <c r="R55" s="393"/>
      <c r="S55" s="393"/>
      <c r="T55" s="393"/>
      <c r="U55" s="392"/>
      <c r="V55" s="392"/>
      <c r="W55" s="392"/>
      <c r="Y55" s="109">
        <f t="shared" si="8"/>
        <v>1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</v>
      </c>
      <c r="AG55" s="108">
        <f t="shared" si="3"/>
        <v>0</v>
      </c>
      <c r="AH55" s="108">
        <f t="shared" si="4"/>
        <v>1</v>
      </c>
      <c r="AI55" s="108">
        <f t="shared" si="10"/>
        <v>0</v>
      </c>
      <c r="AJ55" s="108">
        <f t="shared" si="5"/>
        <v>0</v>
      </c>
      <c r="AK55" s="108">
        <f t="shared" si="6"/>
        <v>0</v>
      </c>
      <c r="AL55" s="108">
        <f t="shared" si="7"/>
        <v>0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79"/>
      <c r="K57" s="353"/>
      <c r="L57" s="353"/>
      <c r="M57" s="353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77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O58" s="458">
        <v>1</v>
      </c>
      <c r="P58" s="877" t="s">
        <v>224</v>
      </c>
      <c r="Q58" s="877"/>
      <c r="R58" s="877"/>
      <c r="S58" s="877"/>
      <c r="T58" s="878"/>
      <c r="V58" s="352" t="s">
        <v>132</v>
      </c>
      <c r="W58" s="352" t="s">
        <v>124</v>
      </c>
      <c r="X58" s="352" t="str">
        <f t="shared" ref="X58:X98" si="11">CONCATENATE(W58," ",V58)</f>
        <v>Jeroen Zoet (k)</v>
      </c>
      <c r="Y58" s="113" t="s">
        <v>91</v>
      </c>
      <c r="Z58" s="352" t="str">
        <f>IF(K58=""," ",VLOOKUP(K58,$T$9:$V$54,3,FALSE))</f>
        <v xml:space="preserve"> </v>
      </c>
      <c r="AA58" s="352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 t="shared" ref="D59:D66" si="13">IF(ISERROR(Z59),K59,Z59)</f>
        <v>Brazilië</v>
      </c>
      <c r="E59" s="367" t="s">
        <v>9</v>
      </c>
      <c r="F59" s="406" t="str">
        <f t="shared" ref="F59:F66" si="14">IF(ISERROR(AA59),L59,AA59)</f>
        <v>Nederland</v>
      </c>
      <c r="G59" s="435">
        <v>3</v>
      </c>
      <c r="H59" s="367" t="s">
        <v>9</v>
      </c>
      <c r="I59" s="447">
        <v>1</v>
      </c>
      <c r="J59" s="448">
        <v>1</v>
      </c>
      <c r="K59" s="407" t="s">
        <v>48</v>
      </c>
      <c r="L59" s="407" t="s">
        <v>53</v>
      </c>
      <c r="M59" s="407">
        <v>1</v>
      </c>
      <c r="O59" s="458">
        <v>2</v>
      </c>
      <c r="P59" s="877" t="s">
        <v>214</v>
      </c>
      <c r="Q59" s="877"/>
      <c r="R59" s="877"/>
      <c r="S59" s="877"/>
      <c r="T59" s="878"/>
      <c r="V59" s="352" t="s">
        <v>132</v>
      </c>
      <c r="W59" s="352" t="s">
        <v>111</v>
      </c>
      <c r="X59" s="352" t="str">
        <f t="shared" si="11"/>
        <v>Jasper Cillessen (k)</v>
      </c>
      <c r="Y59" s="109">
        <f t="shared" ref="Y59:Y66" si="15">AF59</f>
        <v>1</v>
      </c>
      <c r="Z59" s="352" t="str">
        <f t="shared" ref="Z59:AA65" si="16">IF(K59=""," ",VLOOKUP(K59,$T$9:$V$54,3,FALSE))</f>
        <v>Brazilië</v>
      </c>
      <c r="AA59" s="352" t="str">
        <f t="shared" si="16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7">IF(OR(AC59="",AD59=""),0,(IF(SUM(AG59:AL59)&gt;10,10,SUM(AG59:AL59))))</f>
        <v>1</v>
      </c>
      <c r="AG59" s="108">
        <f t="shared" ref="AG59:AG66" si="18">IF(AC59="",0,(IF(G59=AC59,1,0)))</f>
        <v>0</v>
      </c>
      <c r="AH59" s="108">
        <f t="shared" ref="AH59:AH66" si="19">IF(AD59="",0,(IF(I59=AD59,1,0)))</f>
        <v>1</v>
      </c>
      <c r="AI59" s="108">
        <f t="shared" ref="AI59:AI66" si="20">IF(AND(AG59=1,AH59=1),10,0)</f>
        <v>0</v>
      </c>
      <c r="AJ59" s="108">
        <f t="shared" ref="AJ59:AJ66" si="21">IF(AND(G59&gt;I59,AC59&gt;AD59),5,0)</f>
        <v>0</v>
      </c>
      <c r="AK59" s="108">
        <f t="shared" ref="AK59:AK66" si="22">IF(AND(G59&lt;I59,AC59&lt;AD59),5,0)</f>
        <v>0</v>
      </c>
      <c r="AL59" s="108">
        <f t="shared" ref="AL59:AL66" si="23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4">BA59</f>
        <v>3</v>
      </c>
    </row>
    <row r="60" spans="2:54">
      <c r="B60" s="376">
        <v>50</v>
      </c>
      <c r="C60" s="466">
        <v>41818</v>
      </c>
      <c r="D60" s="460" t="str">
        <f t="shared" si="13"/>
        <v>Japan</v>
      </c>
      <c r="E60" s="379" t="s">
        <v>9</v>
      </c>
      <c r="F60" s="409" t="str">
        <f t="shared" si="14"/>
        <v>Italië</v>
      </c>
      <c r="G60" s="437">
        <v>2</v>
      </c>
      <c r="H60" s="379" t="s">
        <v>9</v>
      </c>
      <c r="I60" s="449">
        <v>2</v>
      </c>
      <c r="J60" s="450">
        <v>2</v>
      </c>
      <c r="K60" s="407" t="s">
        <v>57</v>
      </c>
      <c r="L60" s="407" t="s">
        <v>63</v>
      </c>
      <c r="M60" s="407">
        <v>2</v>
      </c>
      <c r="O60" s="458">
        <v>3</v>
      </c>
      <c r="P60" s="877" t="s">
        <v>221</v>
      </c>
      <c r="Q60" s="877"/>
      <c r="R60" s="877"/>
      <c r="S60" s="877"/>
      <c r="T60" s="878"/>
      <c r="V60" s="352" t="s">
        <v>132</v>
      </c>
      <c r="W60" s="352" t="s">
        <v>110</v>
      </c>
      <c r="X60" s="352" t="str">
        <f t="shared" si="11"/>
        <v>Kenneth Vermeer (k)</v>
      </c>
      <c r="Y60" s="109">
        <f t="shared" si="15"/>
        <v>1</v>
      </c>
      <c r="Z60" s="352" t="str">
        <f t="shared" si="16"/>
        <v>Japan</v>
      </c>
      <c r="AA60" s="352" t="str">
        <f t="shared" si="16"/>
        <v>Italië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7"/>
        <v>1</v>
      </c>
      <c r="AG60" s="108">
        <f t="shared" si="18"/>
        <v>1</v>
      </c>
      <c r="AH60" s="108">
        <f t="shared" si="19"/>
        <v>0</v>
      </c>
      <c r="AI60" s="108">
        <f t="shared" si="20"/>
        <v>0</v>
      </c>
      <c r="AJ60" s="108">
        <f t="shared" si="21"/>
        <v>0</v>
      </c>
      <c r="AK60" s="108">
        <f t="shared" si="22"/>
        <v>0</v>
      </c>
      <c r="AL60" s="108">
        <f t="shared" si="23"/>
        <v>0</v>
      </c>
      <c r="AZ60" s="138" t="str">
        <f>Uitslag!P60</f>
        <v>Stefan de Vrij (v)</v>
      </c>
      <c r="BA60" s="140">
        <f t="shared" si="12"/>
        <v>0</v>
      </c>
      <c r="BB60" s="139">
        <f t="shared" si="24"/>
        <v>0</v>
      </c>
    </row>
    <row r="61" spans="2:54">
      <c r="B61" s="364">
        <v>51</v>
      </c>
      <c r="C61" s="465">
        <v>41819</v>
      </c>
      <c r="D61" s="464" t="str">
        <f t="shared" si="13"/>
        <v>Spanje</v>
      </c>
      <c r="E61" s="367" t="s">
        <v>9</v>
      </c>
      <c r="F61" s="406" t="str">
        <f t="shared" si="14"/>
        <v>Kroatië</v>
      </c>
      <c r="G61" s="435">
        <v>3</v>
      </c>
      <c r="H61" s="367" t="s">
        <v>9</v>
      </c>
      <c r="I61" s="447">
        <v>2</v>
      </c>
      <c r="J61" s="448">
        <v>1</v>
      </c>
      <c r="K61" s="407" t="s">
        <v>52</v>
      </c>
      <c r="L61" s="407" t="s">
        <v>49</v>
      </c>
      <c r="M61" s="407"/>
      <c r="O61" s="458">
        <v>4</v>
      </c>
      <c r="P61" s="877" t="s">
        <v>282</v>
      </c>
      <c r="Q61" s="877"/>
      <c r="R61" s="877"/>
      <c r="S61" s="877"/>
      <c r="T61" s="878"/>
      <c r="V61" s="352" t="s">
        <v>132</v>
      </c>
      <c r="W61" s="352" t="s">
        <v>191</v>
      </c>
      <c r="X61" s="352" t="str">
        <f t="shared" si="11"/>
        <v>Tim Krul (k)</v>
      </c>
      <c r="Y61" s="109">
        <f t="shared" si="15"/>
        <v>5</v>
      </c>
      <c r="Z61" s="352" t="str">
        <f t="shared" si="16"/>
        <v>Spanje</v>
      </c>
      <c r="AA61" s="352" t="str">
        <f t="shared" si="16"/>
        <v>Kroatië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7"/>
        <v>5</v>
      </c>
      <c r="AG61" s="108">
        <f t="shared" si="18"/>
        <v>0</v>
      </c>
      <c r="AH61" s="108">
        <f t="shared" si="19"/>
        <v>0</v>
      </c>
      <c r="AI61" s="108">
        <f t="shared" si="20"/>
        <v>0</v>
      </c>
      <c r="AJ61" s="108">
        <f t="shared" si="21"/>
        <v>5</v>
      </c>
      <c r="AK61" s="108">
        <f t="shared" si="22"/>
        <v>0</v>
      </c>
      <c r="AL61" s="108">
        <f t="shared" si="23"/>
        <v>0</v>
      </c>
      <c r="AZ61" s="138" t="str">
        <f>Uitslag!P61</f>
        <v>Ron Vlaar (v)</v>
      </c>
      <c r="BA61" s="140">
        <f t="shared" si="12"/>
        <v>0</v>
      </c>
      <c r="BB61" s="139">
        <f t="shared" si="24"/>
        <v>0</v>
      </c>
    </row>
    <row r="62" spans="2:54">
      <c r="B62" s="376">
        <v>52</v>
      </c>
      <c r="C62" s="466">
        <v>41819</v>
      </c>
      <c r="D62" s="464" t="str">
        <f t="shared" si="13"/>
        <v>Engeland</v>
      </c>
      <c r="E62" s="379" t="s">
        <v>9</v>
      </c>
      <c r="F62" s="409" t="str">
        <f t="shared" si="14"/>
        <v>Griekenland</v>
      </c>
      <c r="G62" s="437">
        <v>1</v>
      </c>
      <c r="H62" s="379" t="s">
        <v>9</v>
      </c>
      <c r="I62" s="449">
        <v>1</v>
      </c>
      <c r="J62" s="450">
        <v>1</v>
      </c>
      <c r="K62" s="407" t="s">
        <v>62</v>
      </c>
      <c r="L62" s="407" t="s">
        <v>58</v>
      </c>
      <c r="M62" s="407"/>
      <c r="O62" s="458">
        <v>5</v>
      </c>
      <c r="P62" s="877" t="s">
        <v>220</v>
      </c>
      <c r="Q62" s="877"/>
      <c r="R62" s="877"/>
      <c r="S62" s="877"/>
      <c r="T62" s="878"/>
      <c r="V62" s="352" t="s">
        <v>132</v>
      </c>
      <c r="W62" s="352" t="s">
        <v>192</v>
      </c>
      <c r="X62" s="352" t="str">
        <f t="shared" si="11"/>
        <v>Maarten Stekelenburg (k)</v>
      </c>
      <c r="Y62" s="109">
        <f t="shared" si="15"/>
        <v>10</v>
      </c>
      <c r="Z62" s="352" t="str">
        <f t="shared" si="16"/>
        <v>Engeland</v>
      </c>
      <c r="AA62" s="352" t="str">
        <f t="shared" si="16"/>
        <v>Griekenland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7"/>
        <v>10</v>
      </c>
      <c r="AG62" s="108">
        <f t="shared" si="18"/>
        <v>1</v>
      </c>
      <c r="AH62" s="108">
        <f t="shared" si="19"/>
        <v>1</v>
      </c>
      <c r="AI62" s="108">
        <f t="shared" si="20"/>
        <v>10</v>
      </c>
      <c r="AJ62" s="108">
        <f t="shared" si="21"/>
        <v>0</v>
      </c>
      <c r="AK62" s="108">
        <f t="shared" si="22"/>
        <v>0</v>
      </c>
      <c r="AL62" s="108">
        <f t="shared" si="23"/>
        <v>5</v>
      </c>
      <c r="AZ62" s="138" t="str">
        <f>Uitslag!P62</f>
        <v>Bruno Martins Indi (v)</v>
      </c>
      <c r="BA62" s="140">
        <f t="shared" si="12"/>
        <v>3</v>
      </c>
      <c r="BB62" s="139">
        <f t="shared" si="24"/>
        <v>3</v>
      </c>
    </row>
    <row r="63" spans="2:54">
      <c r="B63" s="364">
        <v>53</v>
      </c>
      <c r="C63" s="465">
        <v>41820</v>
      </c>
      <c r="D63" s="459" t="str">
        <f t="shared" si="13"/>
        <v>Frankrijk</v>
      </c>
      <c r="E63" s="367" t="s">
        <v>9</v>
      </c>
      <c r="F63" s="406" t="str">
        <f t="shared" si="14"/>
        <v>Bosnië H.</v>
      </c>
      <c r="G63" s="435">
        <v>3</v>
      </c>
      <c r="H63" s="367" t="s">
        <v>9</v>
      </c>
      <c r="I63" s="447">
        <v>1</v>
      </c>
      <c r="J63" s="448">
        <v>1</v>
      </c>
      <c r="K63" s="407" t="s">
        <v>67</v>
      </c>
      <c r="L63" s="407" t="s">
        <v>73</v>
      </c>
      <c r="M63" s="407"/>
      <c r="O63" s="458">
        <v>6</v>
      </c>
      <c r="P63" s="877" t="s">
        <v>234</v>
      </c>
      <c r="Q63" s="877"/>
      <c r="R63" s="877"/>
      <c r="S63" s="877"/>
      <c r="T63" s="878"/>
      <c r="V63" s="352" t="s">
        <v>132</v>
      </c>
      <c r="W63" s="352" t="s">
        <v>193</v>
      </c>
      <c r="X63" s="352" t="str">
        <f t="shared" si="11"/>
        <v>Michel Vorm (k)</v>
      </c>
      <c r="Y63" s="109">
        <f t="shared" si="15"/>
        <v>5</v>
      </c>
      <c r="Z63" s="352" t="str">
        <f t="shared" si="16"/>
        <v>Frankrijk</v>
      </c>
      <c r="AA63" s="352" t="str">
        <f t="shared" si="16"/>
        <v>Bosnië H.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7"/>
        <v>5</v>
      </c>
      <c r="AG63" s="108">
        <f t="shared" si="18"/>
        <v>0</v>
      </c>
      <c r="AH63" s="108">
        <f t="shared" si="19"/>
        <v>0</v>
      </c>
      <c r="AI63" s="108">
        <f t="shared" si="20"/>
        <v>0</v>
      </c>
      <c r="AJ63" s="108">
        <f t="shared" si="21"/>
        <v>5</v>
      </c>
      <c r="AK63" s="108">
        <f t="shared" si="22"/>
        <v>0</v>
      </c>
      <c r="AL63" s="108">
        <f t="shared" si="23"/>
        <v>0</v>
      </c>
      <c r="AZ63" s="138" t="str">
        <f>Uitslag!P63</f>
        <v>Daley Blind (v)</v>
      </c>
      <c r="BA63" s="140">
        <f t="shared" si="12"/>
        <v>0</v>
      </c>
      <c r="BB63" s="139">
        <f t="shared" si="24"/>
        <v>0</v>
      </c>
    </row>
    <row r="64" spans="2:54">
      <c r="B64" s="376">
        <v>54</v>
      </c>
      <c r="C64" s="466">
        <v>41820</v>
      </c>
      <c r="D64" s="460" t="str">
        <f t="shared" si="13"/>
        <v>Portugal</v>
      </c>
      <c r="E64" s="379" t="s">
        <v>9</v>
      </c>
      <c r="F64" s="409" t="str">
        <f t="shared" si="14"/>
        <v>Zuid Korea</v>
      </c>
      <c r="G64" s="437">
        <v>1</v>
      </c>
      <c r="H64" s="379" t="s">
        <v>9</v>
      </c>
      <c r="I64" s="449">
        <v>3</v>
      </c>
      <c r="J64" s="450">
        <v>2</v>
      </c>
      <c r="K64" s="407" t="s">
        <v>77</v>
      </c>
      <c r="L64" s="407" t="s">
        <v>83</v>
      </c>
      <c r="M64" s="407"/>
      <c r="O64" s="458">
        <v>7</v>
      </c>
      <c r="P64" s="877" t="s">
        <v>211</v>
      </c>
      <c r="Q64" s="877"/>
      <c r="R64" s="877"/>
      <c r="S64" s="877"/>
      <c r="T64" s="878"/>
      <c r="V64" s="352" t="s">
        <v>133</v>
      </c>
      <c r="W64" s="352" t="s">
        <v>112</v>
      </c>
      <c r="X64" s="352" t="str">
        <f t="shared" si="11"/>
        <v>Joël Veltman (v)</v>
      </c>
      <c r="Y64" s="109">
        <f t="shared" si="15"/>
        <v>0</v>
      </c>
      <c r="Z64" s="352" t="str">
        <f t="shared" si="16"/>
        <v>Portugal</v>
      </c>
      <c r="AA64" s="352" t="str">
        <f t="shared" si="16"/>
        <v>Zuid Korea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7"/>
        <v>0</v>
      </c>
      <c r="AG64" s="108">
        <f t="shared" si="18"/>
        <v>0</v>
      </c>
      <c r="AH64" s="108">
        <f t="shared" si="19"/>
        <v>0</v>
      </c>
      <c r="AI64" s="108">
        <f t="shared" si="20"/>
        <v>0</v>
      </c>
      <c r="AJ64" s="108">
        <f t="shared" si="21"/>
        <v>0</v>
      </c>
      <c r="AK64" s="108">
        <f t="shared" si="22"/>
        <v>0</v>
      </c>
      <c r="AL64" s="108">
        <f t="shared" si="23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4"/>
        <v>3</v>
      </c>
    </row>
    <row r="65" spans="2:54">
      <c r="B65" s="370">
        <v>55</v>
      </c>
      <c r="C65" s="467">
        <v>41821</v>
      </c>
      <c r="D65" s="459" t="str">
        <f t="shared" si="13"/>
        <v>Argentinië</v>
      </c>
      <c r="E65" s="373" t="s">
        <v>9</v>
      </c>
      <c r="F65" s="410" t="str">
        <f t="shared" si="14"/>
        <v>Zwitserland</v>
      </c>
      <c r="G65" s="436">
        <v>1</v>
      </c>
      <c r="H65" s="373" t="s">
        <v>9</v>
      </c>
      <c r="I65" s="451">
        <v>1</v>
      </c>
      <c r="J65" s="452">
        <v>2</v>
      </c>
      <c r="K65" s="407" t="s">
        <v>72</v>
      </c>
      <c r="L65" s="407" t="s">
        <v>68</v>
      </c>
      <c r="M65" s="407"/>
      <c r="O65" s="458">
        <v>8</v>
      </c>
      <c r="P65" s="877" t="s">
        <v>230</v>
      </c>
      <c r="Q65" s="877"/>
      <c r="R65" s="877"/>
      <c r="S65" s="877"/>
      <c r="T65" s="878"/>
      <c r="V65" s="352" t="s">
        <v>133</v>
      </c>
      <c r="W65" s="352" t="s">
        <v>109</v>
      </c>
      <c r="X65" s="352" t="str">
        <f t="shared" si="11"/>
        <v>Daley Blind (v)</v>
      </c>
      <c r="Y65" s="109">
        <f t="shared" si="15"/>
        <v>5</v>
      </c>
      <c r="Z65" s="352" t="str">
        <f t="shared" si="16"/>
        <v>Argentinië</v>
      </c>
      <c r="AA65" s="352" t="str">
        <f t="shared" si="16"/>
        <v>Zwitserland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7"/>
        <v>5</v>
      </c>
      <c r="AG65" s="108">
        <f t="shared" si="18"/>
        <v>0</v>
      </c>
      <c r="AH65" s="108">
        <f t="shared" si="19"/>
        <v>0</v>
      </c>
      <c r="AI65" s="108">
        <f t="shared" si="20"/>
        <v>0</v>
      </c>
      <c r="AJ65" s="108">
        <f t="shared" si="21"/>
        <v>0</v>
      </c>
      <c r="AK65" s="108">
        <f t="shared" si="22"/>
        <v>0</v>
      </c>
      <c r="AL65" s="108">
        <f t="shared" si="23"/>
        <v>5</v>
      </c>
      <c r="AZ65" s="138" t="str">
        <f>Uitslag!P65</f>
        <v>Nigel de Jong (m)</v>
      </c>
      <c r="BA65" s="140">
        <f t="shared" si="12"/>
        <v>0</v>
      </c>
      <c r="BB65" s="139">
        <f t="shared" si="24"/>
        <v>0</v>
      </c>
    </row>
    <row r="66" spans="2:54" ht="15.75" thickBot="1">
      <c r="B66" s="385">
        <v>56</v>
      </c>
      <c r="C66" s="462">
        <v>41821</v>
      </c>
      <c r="D66" s="461" t="str">
        <f t="shared" si="13"/>
        <v>België</v>
      </c>
      <c r="E66" s="388" t="s">
        <v>9</v>
      </c>
      <c r="F66" s="412" t="str">
        <f t="shared" si="14"/>
        <v>Duitsland</v>
      </c>
      <c r="G66" s="438">
        <v>1</v>
      </c>
      <c r="H66" s="388" t="s">
        <v>9</v>
      </c>
      <c r="I66" s="453">
        <v>3</v>
      </c>
      <c r="J66" s="454">
        <v>2</v>
      </c>
      <c r="K66" s="407" t="s">
        <v>82</v>
      </c>
      <c r="L66" s="407" t="s">
        <v>78</v>
      </c>
      <c r="M66" s="407"/>
      <c r="O66" s="458">
        <v>9</v>
      </c>
      <c r="P66" s="877" t="s">
        <v>215</v>
      </c>
      <c r="Q66" s="877"/>
      <c r="R66" s="877"/>
      <c r="S66" s="877"/>
      <c r="T66" s="878"/>
      <c r="V66" s="352" t="s">
        <v>133</v>
      </c>
      <c r="W66" s="352" t="s">
        <v>115</v>
      </c>
      <c r="X66" s="352" t="str">
        <f t="shared" si="11"/>
        <v>Daryl Janmaat (v)</v>
      </c>
      <c r="Y66" s="109">
        <f t="shared" si="15"/>
        <v>0</v>
      </c>
      <c r="Z66" s="352" t="str">
        <f>IF(K66=""," ",VLOOKUP(K66,$T$9:$V$54,3,FALSE))</f>
        <v>België</v>
      </c>
      <c r="AA66" s="352" t="str">
        <f>IF(L66=""," ",VLOOKUP(L66,$T$9:$V$54,3,FALSE))</f>
        <v>Duitsland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7"/>
        <v>0</v>
      </c>
      <c r="AG66" s="108">
        <f t="shared" si="18"/>
        <v>0</v>
      </c>
      <c r="AH66" s="108">
        <f t="shared" si="19"/>
        <v>0</v>
      </c>
      <c r="AI66" s="108">
        <f t="shared" si="20"/>
        <v>0</v>
      </c>
      <c r="AJ66" s="108">
        <f t="shared" si="21"/>
        <v>0</v>
      </c>
      <c r="AK66" s="108">
        <f t="shared" si="22"/>
        <v>0</v>
      </c>
      <c r="AL66" s="108">
        <f t="shared" si="23"/>
        <v>0</v>
      </c>
      <c r="AZ66" s="138" t="str">
        <f>Uitslag!P66</f>
        <v>Jonathan de Guzman (m)</v>
      </c>
      <c r="BA66" s="140">
        <f t="shared" si="12"/>
        <v>3</v>
      </c>
      <c r="BB66" s="139">
        <f t="shared" si="24"/>
        <v>3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O67" s="458">
        <v>10</v>
      </c>
      <c r="P67" s="877" t="s">
        <v>216</v>
      </c>
      <c r="Q67" s="877"/>
      <c r="R67" s="877"/>
      <c r="S67" s="877"/>
      <c r="T67" s="878"/>
      <c r="V67" s="352" t="s">
        <v>133</v>
      </c>
      <c r="W67" s="352" t="s">
        <v>118</v>
      </c>
      <c r="X67" s="352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4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79"/>
      <c r="K68" s="353"/>
      <c r="L68" s="353"/>
      <c r="M68" s="353"/>
      <c r="O68" s="458">
        <v>11</v>
      </c>
      <c r="P68" s="877" t="s">
        <v>225</v>
      </c>
      <c r="Q68" s="877"/>
      <c r="R68" s="877"/>
      <c r="S68" s="877"/>
      <c r="T68" s="878"/>
      <c r="V68" s="352" t="s">
        <v>133</v>
      </c>
      <c r="W68" s="352" t="s">
        <v>119</v>
      </c>
      <c r="X68" s="352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4"/>
        <v>3</v>
      </c>
    </row>
    <row r="69" spans="2:54">
      <c r="B69" s="428" t="s">
        <v>1</v>
      </c>
      <c r="C69" s="429" t="s">
        <v>2</v>
      </c>
      <c r="D69" s="476" t="s">
        <v>3</v>
      </c>
      <c r="E69" s="431"/>
      <c r="F69" s="477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V69" s="352" t="s">
        <v>133</v>
      </c>
      <c r="W69" s="352" t="s">
        <v>121</v>
      </c>
      <c r="X69" s="352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21</v>
      </c>
      <c r="BB69" s="139" t="str">
        <f>IF(AND(BA69&lt;&gt;"",BA69=33),15,"nvt")</f>
        <v>nvt</v>
      </c>
    </row>
    <row r="70" spans="2:54">
      <c r="B70" s="364">
        <v>57</v>
      </c>
      <c r="C70" s="365">
        <v>41824</v>
      </c>
      <c r="D70" s="405" t="str">
        <f>IF(J63="","Winnaar 53",IF(J63=1,D63,F63))</f>
        <v>Frankrijk</v>
      </c>
      <c r="E70" s="367" t="s">
        <v>9</v>
      </c>
      <c r="F70" s="406" t="str">
        <f>IF(J64="","Winnaar 54",IF(J64=1,D64,F64))</f>
        <v>Zuid Korea</v>
      </c>
      <c r="G70" s="435">
        <v>2</v>
      </c>
      <c r="H70" s="367" t="s">
        <v>9</v>
      </c>
      <c r="I70" s="447">
        <v>1</v>
      </c>
      <c r="J70" s="448">
        <v>1</v>
      </c>
      <c r="K70" s="353"/>
      <c r="L70" s="353"/>
      <c r="M70" s="353"/>
      <c r="V70" s="352" t="s">
        <v>133</v>
      </c>
      <c r="W70" s="352" t="s">
        <v>126</v>
      </c>
      <c r="X70" s="352" t="str">
        <f t="shared" si="11"/>
        <v>Karim Rekik (v)</v>
      </c>
      <c r="Y70" s="109">
        <f>AF70</f>
        <v>1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1</v>
      </c>
      <c r="AG70" s="108">
        <f>IF(AC70="",0,(IF(G70=AC70,1,0)))</f>
        <v>0</v>
      </c>
      <c r="AH70" s="108">
        <f>IF(AD70="",0,(IF(I70=AD70,1,0)))</f>
        <v>1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0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Brazilië</v>
      </c>
      <c r="E71" s="379" t="s">
        <v>9</v>
      </c>
      <c r="F71" s="409" t="str">
        <f>IF(J60="","Winnaar 50",IF(J60=1,D60,F60))</f>
        <v>Italië</v>
      </c>
      <c r="G71" s="437">
        <v>1</v>
      </c>
      <c r="H71" s="379" t="s">
        <v>9</v>
      </c>
      <c r="I71" s="449">
        <v>1</v>
      </c>
      <c r="J71" s="450">
        <v>2</v>
      </c>
      <c r="K71" s="353"/>
      <c r="L71" s="353"/>
      <c r="M71" s="353"/>
      <c r="V71" s="352" t="s">
        <v>133</v>
      </c>
      <c r="W71" s="352" t="s">
        <v>194</v>
      </c>
      <c r="X71" s="352" t="str">
        <f t="shared" si="11"/>
        <v>Ron Vlaar (v)</v>
      </c>
      <c r="Y71" s="109">
        <f>AF71</f>
        <v>1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1</v>
      </c>
      <c r="AG71" s="108">
        <f>IF(AC71="",0,(IF(G71=AC71,1,0)))</f>
        <v>0</v>
      </c>
      <c r="AH71" s="108">
        <f>IF(AD71="",0,(IF(I71=AD71,1,0)))</f>
        <v>1</v>
      </c>
      <c r="AI71" s="108">
        <f>IF(AND(AG71=1,AH71=1),10,0)</f>
        <v>0</v>
      </c>
      <c r="AJ71" s="108">
        <f>IF(AND(G71&gt;I71,AC71&gt;AD71),5,0)</f>
        <v>0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Zwitserland</v>
      </c>
      <c r="E72" s="367" t="s">
        <v>9</v>
      </c>
      <c r="F72" s="406" t="str">
        <f>IF(J66="","Winnaar 56",IF(J66=1,D66,F66))</f>
        <v>Duitsland</v>
      </c>
      <c r="G72" s="435">
        <v>0</v>
      </c>
      <c r="H72" s="367" t="s">
        <v>9</v>
      </c>
      <c r="I72" s="447">
        <v>2</v>
      </c>
      <c r="J72" s="448">
        <v>2</v>
      </c>
      <c r="K72" s="353"/>
      <c r="L72" s="353"/>
      <c r="M72" s="353"/>
      <c r="V72" s="352" t="s">
        <v>133</v>
      </c>
      <c r="W72" s="352" t="s">
        <v>195</v>
      </c>
      <c r="X72" s="352" t="str">
        <f t="shared" si="11"/>
        <v>John Heitinga (v)</v>
      </c>
      <c r="Y72" s="109">
        <f>AF72</f>
        <v>0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0</v>
      </c>
      <c r="AG72" s="108">
        <f>IF(AC72="",0,(IF(G72=AC72,1,0)))</f>
        <v>0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0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Spanje</v>
      </c>
      <c r="E73" s="388" t="s">
        <v>9</v>
      </c>
      <c r="F73" s="412" t="str">
        <f>IF(J62="","Winnaar 52",IF(J62=1,D62,F62))</f>
        <v>Engeland</v>
      </c>
      <c r="G73" s="438">
        <v>2</v>
      </c>
      <c r="H73" s="388" t="s">
        <v>9</v>
      </c>
      <c r="I73" s="453">
        <v>2</v>
      </c>
      <c r="J73" s="454">
        <v>2</v>
      </c>
      <c r="K73" s="353"/>
      <c r="L73" s="353"/>
      <c r="M73" s="353"/>
      <c r="V73" s="352" t="s">
        <v>133</v>
      </c>
      <c r="W73" s="352" t="s">
        <v>196</v>
      </c>
      <c r="X73" s="352" t="str">
        <f t="shared" si="11"/>
        <v>Urby Emanuelson (v)</v>
      </c>
      <c r="Y73" s="109">
        <f>AF73</f>
        <v>5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5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5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V74" s="352" t="s">
        <v>133</v>
      </c>
      <c r="W74" s="352" t="s">
        <v>197</v>
      </c>
      <c r="X74" s="352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79"/>
      <c r="K75" s="353"/>
      <c r="L75" s="353"/>
      <c r="M75" s="353"/>
      <c r="V75" s="352" t="s">
        <v>133</v>
      </c>
      <c r="W75" s="352" t="s">
        <v>198</v>
      </c>
      <c r="X75" s="352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76" t="s">
        <v>3</v>
      </c>
      <c r="E76" s="431"/>
      <c r="F76" s="477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V76" s="352" t="s">
        <v>133</v>
      </c>
      <c r="W76" s="352" t="s">
        <v>202</v>
      </c>
      <c r="X76" s="352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Frankrijk</v>
      </c>
      <c r="E77" s="367" t="s">
        <v>9</v>
      </c>
      <c r="F77" s="406" t="str">
        <f>IF(J71="","Winnaar 58",IF(J71=1,D71,F71))</f>
        <v>Italië</v>
      </c>
      <c r="G77" s="435">
        <v>2</v>
      </c>
      <c r="H77" s="367" t="s">
        <v>9</v>
      </c>
      <c r="I77" s="447">
        <v>1</v>
      </c>
      <c r="J77" s="448">
        <v>1</v>
      </c>
      <c r="K77" s="353"/>
      <c r="L77" s="353"/>
      <c r="M77" s="353"/>
      <c r="V77" s="352" t="s">
        <v>134</v>
      </c>
      <c r="W77" s="352" t="s">
        <v>203</v>
      </c>
      <c r="X77" s="352" t="str">
        <f t="shared" si="11"/>
        <v>Marco van Ginkel (m)</v>
      </c>
      <c r="Y77" s="109">
        <f>AF77</f>
        <v>6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6</v>
      </c>
      <c r="AG77" s="108">
        <f>IF(AC77="",0,(IF(G77=AC77,1,0)))</f>
        <v>0</v>
      </c>
      <c r="AH77" s="108">
        <f>IF(AD77="",0,(IF(I77=AD77,1,0)))</f>
        <v>1</v>
      </c>
      <c r="AI77" s="108">
        <f>IF(AND(AG77=1,AH77=1),10,0)</f>
        <v>0</v>
      </c>
      <c r="AJ77" s="108">
        <f>IF(AND(G77&gt;I77,AC77&gt;AD77),5,0)</f>
        <v>5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Duitsland</v>
      </c>
      <c r="E78" s="388" t="s">
        <v>9</v>
      </c>
      <c r="F78" s="412" t="str">
        <f>IF(J73="","Winnaar 60",IF(J73=1,D73,F73))</f>
        <v>Engeland</v>
      </c>
      <c r="G78" s="438">
        <v>2</v>
      </c>
      <c r="H78" s="388" t="s">
        <v>9</v>
      </c>
      <c r="I78" s="453">
        <v>2</v>
      </c>
      <c r="J78" s="454">
        <v>2</v>
      </c>
      <c r="K78" s="353"/>
      <c r="L78" s="353"/>
      <c r="M78" s="353"/>
      <c r="V78" s="352" t="s">
        <v>134</v>
      </c>
      <c r="W78" s="352" t="s">
        <v>199</v>
      </c>
      <c r="X78" s="352" t="str">
        <f t="shared" si="11"/>
        <v>Leroy Fer (m)</v>
      </c>
      <c r="Y78" s="109">
        <f>AF78</f>
        <v>5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5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5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V79" s="352" t="s">
        <v>134</v>
      </c>
      <c r="W79" s="352" t="s">
        <v>114</v>
      </c>
      <c r="X79" s="352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79"/>
      <c r="K80" s="353"/>
      <c r="L80" s="353"/>
      <c r="M80" s="353"/>
      <c r="V80" s="352" t="s">
        <v>134</v>
      </c>
      <c r="W80" s="352" t="s">
        <v>117</v>
      </c>
      <c r="X80" s="352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76" t="s">
        <v>3</v>
      </c>
      <c r="E81" s="431"/>
      <c r="F81" s="477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V81" s="352" t="s">
        <v>134</v>
      </c>
      <c r="W81" s="352" t="s">
        <v>120</v>
      </c>
      <c r="X81" s="352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Italië</v>
      </c>
      <c r="E82" s="355" t="s">
        <v>9</v>
      </c>
      <c r="F82" s="415" t="str">
        <f>IF(J78="","Verliezer 62",IF(J78=1,F78,D78))</f>
        <v>Duitsland</v>
      </c>
      <c r="G82" s="455">
        <v>2</v>
      </c>
      <c r="H82" s="355" t="s">
        <v>9</v>
      </c>
      <c r="I82" s="456">
        <v>1</v>
      </c>
      <c r="J82" s="457">
        <v>1</v>
      </c>
      <c r="K82" s="353"/>
      <c r="L82" s="353"/>
      <c r="M82" s="353"/>
      <c r="V82" s="352" t="s">
        <v>134</v>
      </c>
      <c r="W82" s="352" t="s">
        <v>125</v>
      </c>
      <c r="X82" s="35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V83" s="352" t="s">
        <v>134</v>
      </c>
      <c r="W83" s="352" t="s">
        <v>136</v>
      </c>
      <c r="X83" s="352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79"/>
      <c r="K84" s="353"/>
      <c r="L84" s="353"/>
      <c r="M84" s="353"/>
      <c r="V84" s="352" t="s">
        <v>134</v>
      </c>
      <c r="W84" s="352" t="s">
        <v>137</v>
      </c>
      <c r="X84" s="352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76" t="s">
        <v>3</v>
      </c>
      <c r="E85" s="431"/>
      <c r="F85" s="477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V85" s="352" t="s">
        <v>134</v>
      </c>
      <c r="W85" s="352" t="s">
        <v>138</v>
      </c>
      <c r="X85" s="352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Frankrijk</v>
      </c>
      <c r="E86" s="355" t="s">
        <v>9</v>
      </c>
      <c r="F86" s="415" t="str">
        <f>IF(J78="","Winnaar 62",IF(J78=1,D78,F78))</f>
        <v>Engeland</v>
      </c>
      <c r="G86" s="455">
        <v>2</v>
      </c>
      <c r="H86" s="355" t="s">
        <v>9</v>
      </c>
      <c r="I86" s="456">
        <v>1</v>
      </c>
      <c r="J86" s="457">
        <v>1</v>
      </c>
      <c r="K86" s="353"/>
      <c r="L86" s="353"/>
      <c r="M86" s="353"/>
      <c r="V86" s="352" t="s">
        <v>134</v>
      </c>
      <c r="W86" s="352" t="s">
        <v>139</v>
      </c>
      <c r="X86" s="352" t="str">
        <f t="shared" si="11"/>
        <v>Nigel de Jong (m)</v>
      </c>
      <c r="Y86" s="109">
        <f>AF86</f>
        <v>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0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353"/>
      <c r="C87" s="129"/>
      <c r="D87" s="392"/>
      <c r="E87" s="353"/>
      <c r="F87" s="392"/>
      <c r="G87" s="353"/>
      <c r="H87" s="353"/>
      <c r="I87" s="353"/>
      <c r="J87" s="353"/>
      <c r="K87" s="353"/>
      <c r="L87" s="353"/>
      <c r="M87" s="353"/>
      <c r="V87" s="352" t="s">
        <v>135</v>
      </c>
      <c r="W87" s="352" t="s">
        <v>205</v>
      </c>
      <c r="X87" s="352" t="str">
        <f t="shared" si="11"/>
        <v>Ricky van Wolfswinkel (a)</v>
      </c>
      <c r="AP87" s="136" t="s">
        <v>102</v>
      </c>
    </row>
    <row r="88" spans="2:50">
      <c r="B88" s="353"/>
      <c r="C88" s="129"/>
      <c r="D88" s="392"/>
      <c r="E88" s="353"/>
      <c r="F88" s="392"/>
      <c r="G88" s="353"/>
      <c r="H88" s="353"/>
      <c r="I88" s="353"/>
      <c r="J88" s="353"/>
      <c r="K88" s="353"/>
      <c r="L88" s="353"/>
      <c r="M88" s="353"/>
      <c r="V88" s="352" t="s">
        <v>135</v>
      </c>
      <c r="W88" s="352" t="s">
        <v>204</v>
      </c>
      <c r="X88" s="352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458"/>
    </row>
    <row r="89" spans="2:50" ht="20.25">
      <c r="C89" s="874" t="s">
        <v>101</v>
      </c>
      <c r="D89" s="871"/>
      <c r="E89" s="873" t="str">
        <f>IF(J86=1,D86,IF(J86=2,F86,"Wie zal het worden?"))</f>
        <v>Frankrijk</v>
      </c>
      <c r="F89" s="873"/>
      <c r="G89" s="873"/>
      <c r="H89" s="873"/>
      <c r="I89" s="873"/>
      <c r="J89" s="873"/>
      <c r="K89" s="353"/>
      <c r="L89" s="353"/>
      <c r="M89" s="353"/>
      <c r="V89" s="352" t="s">
        <v>135</v>
      </c>
      <c r="W89" s="352" t="s">
        <v>201</v>
      </c>
      <c r="X89" s="352" t="str">
        <f t="shared" si="11"/>
        <v>Jermain Lens (a)</v>
      </c>
      <c r="AP89" s="109">
        <f>AU89</f>
        <v>0</v>
      </c>
      <c r="AQ89" s="131">
        <v>1</v>
      </c>
      <c r="AR89" s="904" t="str">
        <f>Uitslag!E89</f>
        <v>Duitsland</v>
      </c>
      <c r="AS89" s="905"/>
      <c r="AT89" s="906"/>
      <c r="AU89" s="352">
        <f>SUM(AV89:AX89)</f>
        <v>0</v>
      </c>
      <c r="AV89" s="352">
        <f>IF(AR89=0,0,IF(E89=AR89,50,0))</f>
        <v>0</v>
      </c>
      <c r="AW89" s="352">
        <f>IF(E89=0,0,IF(OR(E89=AR90),15,0))</f>
        <v>0</v>
      </c>
      <c r="AX89" s="352">
        <f>IF(E89=0,0,IF(OR(E89=AR91,E89=AR92),5,0))</f>
        <v>0</v>
      </c>
    </row>
    <row r="90" spans="2:50">
      <c r="C90" s="870">
        <v>2</v>
      </c>
      <c r="D90" s="871"/>
      <c r="E90" s="872" t="str">
        <f>IF(J86=2,D86,IF(J86=1,F86,"Wie wordt 2de?"))</f>
        <v>Engeland</v>
      </c>
      <c r="F90" s="872"/>
      <c r="G90" s="872"/>
      <c r="H90" s="872"/>
      <c r="I90" s="872"/>
      <c r="J90" s="872"/>
      <c r="V90" s="352" t="s">
        <v>135</v>
      </c>
      <c r="W90" s="352" t="s">
        <v>200</v>
      </c>
      <c r="X90" s="352" t="str">
        <f t="shared" si="11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 s="352">
        <f>SUM(AV90:AX90)</f>
        <v>0</v>
      </c>
      <c r="AV90" s="352">
        <f>IF(AR90=0,0,IF(AR90=E90,25,0))</f>
        <v>0</v>
      </c>
      <c r="AW90" s="352">
        <f>IF(E90=0,0,IF(OR(E90=AR89,),15,0))</f>
        <v>0</v>
      </c>
      <c r="AX90" s="352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Italië</v>
      </c>
      <c r="F91" s="872"/>
      <c r="G91" s="872"/>
      <c r="H91" s="872"/>
      <c r="I91" s="872"/>
      <c r="J91" s="872"/>
      <c r="V91" s="352" t="s">
        <v>135</v>
      </c>
      <c r="W91" s="352" t="s">
        <v>128</v>
      </c>
      <c r="X91" s="352" t="str">
        <f t="shared" si="11"/>
        <v>Jürgen Locadia (a)</v>
      </c>
      <c r="AP91" s="109">
        <f>AU91</f>
        <v>0</v>
      </c>
      <c r="AQ91" s="131">
        <v>3</v>
      </c>
      <c r="AR91" s="904" t="str">
        <f>Uitslag!E91</f>
        <v>Nederland</v>
      </c>
      <c r="AS91" s="905"/>
      <c r="AT91" s="906"/>
      <c r="AU91" s="352">
        <f>SUM(AV91:AX91)</f>
        <v>0</v>
      </c>
      <c r="AV91" s="352">
        <f>IF(AR91=0,0,IF(AR91=E91,15,0))</f>
        <v>0</v>
      </c>
      <c r="AW91" s="352">
        <f>IF(E91=0,0,IF(OR(E91=AR92),10,0))</f>
        <v>0</v>
      </c>
      <c r="AX91" s="352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Duitsland</v>
      </c>
      <c r="F92" s="872"/>
      <c r="G92" s="872"/>
      <c r="H92" s="872"/>
      <c r="I92" s="872"/>
      <c r="J92" s="872"/>
      <c r="V92" s="352" t="s">
        <v>135</v>
      </c>
      <c r="W92" s="352" t="s">
        <v>127</v>
      </c>
      <c r="X92" s="352" t="str">
        <f t="shared" si="11"/>
        <v>Memphis Depay (a)</v>
      </c>
      <c r="AP92" s="109">
        <f>AU92</f>
        <v>5</v>
      </c>
      <c r="AQ92" s="131">
        <v>4</v>
      </c>
      <c r="AR92" s="904" t="str">
        <f>Uitslag!E92</f>
        <v>Brazilië</v>
      </c>
      <c r="AS92" s="905"/>
      <c r="AT92" s="906"/>
      <c r="AU92" s="352">
        <f>SUM(AV92:AX92)</f>
        <v>5</v>
      </c>
      <c r="AV92" s="352">
        <f>IF(AR92=0,0,IF(AR92=E92,15,0))</f>
        <v>0</v>
      </c>
      <c r="AW92" s="352">
        <f>IF(E92=0,0,IF(OR(E92=AR91,),10,0))</f>
        <v>0</v>
      </c>
      <c r="AX92" s="352">
        <f>IF(E92=0,0,IF(OR(E92=AR89,E92=AR90),5,0))</f>
        <v>5</v>
      </c>
    </row>
    <row r="93" spans="2:50" ht="15.75" thickBot="1">
      <c r="V93" s="352" t="s">
        <v>135</v>
      </c>
      <c r="W93" s="352" t="s">
        <v>123</v>
      </c>
      <c r="X93" s="352" t="str">
        <f t="shared" si="11"/>
        <v>Quincy Promes (a)</v>
      </c>
      <c r="AS93" s="132"/>
      <c r="AU93" s="133">
        <f>SUM(AU89:AU92)</f>
        <v>5</v>
      </c>
    </row>
    <row r="94" spans="2:50" ht="15.75" thickTop="1">
      <c r="V94" s="352" t="s">
        <v>135</v>
      </c>
      <c r="W94" s="352" t="s">
        <v>122</v>
      </c>
      <c r="X94" s="352" t="str">
        <f t="shared" si="11"/>
        <v>Luc Castaignos (a)</v>
      </c>
    </row>
    <row r="95" spans="2:50">
      <c r="V95" s="352" t="s">
        <v>135</v>
      </c>
      <c r="W95" s="352" t="s">
        <v>113</v>
      </c>
      <c r="X95" s="352" t="str">
        <f t="shared" si="11"/>
        <v>Jean-Paul Boëtius (a)</v>
      </c>
    </row>
    <row r="96" spans="2:50">
      <c r="V96" s="352" t="s">
        <v>135</v>
      </c>
      <c r="W96" s="352" t="s">
        <v>129</v>
      </c>
      <c r="X96" s="352" t="str">
        <f t="shared" si="11"/>
        <v>Luciano Narsingh (a)</v>
      </c>
    </row>
    <row r="97" spans="22:24">
      <c r="V97" s="352" t="s">
        <v>135</v>
      </c>
      <c r="W97" s="352" t="s">
        <v>130</v>
      </c>
      <c r="X97" s="352" t="str">
        <f t="shared" si="11"/>
        <v>Robin van Persie (a)</v>
      </c>
    </row>
    <row r="98" spans="22:24">
      <c r="V98" s="352" t="s">
        <v>135</v>
      </c>
      <c r="W98" s="352" t="s">
        <v>131</v>
      </c>
      <c r="X98" s="352" t="str">
        <f t="shared" si="11"/>
        <v>Arjen Robben (a)</v>
      </c>
    </row>
  </sheetData>
  <mergeCells count="36">
    <mergeCell ref="C91:D91"/>
    <mergeCell ref="E91:J91"/>
    <mergeCell ref="AR91:AT91"/>
    <mergeCell ref="C92:D92"/>
    <mergeCell ref="E92:J92"/>
    <mergeCell ref="AR92:AT92"/>
    <mergeCell ref="C89:D89"/>
    <mergeCell ref="E89:J89"/>
    <mergeCell ref="AR89:AT89"/>
    <mergeCell ref="C90:D90"/>
    <mergeCell ref="E90:J90"/>
    <mergeCell ref="AR90:AT90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</mergeCells>
  <conditionalFormatting sqref="AO9:AO12 AO15:AO18 AO21:AO24 AO27:AO30 AO33:AO36 AO39:AO42 AO45:AO48 AO51:AO54">
    <cfRule type="cellIs" dxfId="38" priority="3" operator="equal">
      <formula>10</formula>
    </cfRule>
  </conditionalFormatting>
  <conditionalFormatting sqref="P58:T58">
    <cfRule type="duplicateValues" dxfId="37" priority="2"/>
  </conditionalFormatting>
  <conditionalFormatting sqref="P58:T68">
    <cfRule type="duplicateValues" dxfId="36" priority="1"/>
  </conditionalFormatting>
  <dataValidations count="10">
    <dataValidation type="list" allowBlank="1" showInputMessage="1" showErrorMessage="1" sqref="P58:P68">
      <formula1>$X$58:$X$98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51:T54">
      <formula1>$W$51:$W$54</formula1>
    </dataValidation>
  </dataValidation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>
  <dimension ref="B1:BB98"/>
  <sheetViews>
    <sheetView topLeftCell="A40" zoomScale="70" zoomScaleNormal="70" workbookViewId="0">
      <selection activeCell="P58" sqref="P58:T68"/>
    </sheetView>
  </sheetViews>
  <sheetFormatPr defaultRowHeight="15" outlineLevelCol="2"/>
  <cols>
    <col min="1" max="1" width="3.42578125" style="352" customWidth="1"/>
    <col min="2" max="2" width="3.5703125" style="352" bestFit="1" customWidth="1"/>
    <col min="3" max="3" width="11.5703125" style="123" bestFit="1" customWidth="1"/>
    <col min="4" max="4" width="19.7109375" style="352" bestFit="1" customWidth="1"/>
    <col min="5" max="5" width="3.42578125" style="352" customWidth="1"/>
    <col min="6" max="6" width="19.7109375" style="352" bestFit="1" customWidth="1"/>
    <col min="7" max="7" width="6.7109375" style="352" customWidth="1"/>
    <col min="8" max="8" width="1.5703125" style="352" bestFit="1" customWidth="1"/>
    <col min="9" max="9" width="6.7109375" style="352" customWidth="1"/>
    <col min="10" max="10" width="6.85546875" style="352" bestFit="1" customWidth="1"/>
    <col min="11" max="13" width="9.140625" style="352" hidden="1" customWidth="1" outlineLevel="1"/>
    <col min="14" max="14" width="11.42578125" style="352" bestFit="1" customWidth="1" collapsed="1"/>
    <col min="15" max="15" width="14.7109375" style="352" bestFit="1" customWidth="1"/>
    <col min="16" max="16" width="12.28515625" style="352" bestFit="1" customWidth="1"/>
    <col min="17" max="17" width="8.140625" style="352" bestFit="1" customWidth="1"/>
    <col min="18" max="18" width="7.7109375" style="352" bestFit="1" customWidth="1"/>
    <col min="19" max="19" width="9.140625" style="352"/>
    <col min="20" max="20" width="8.5703125" style="352" bestFit="1" customWidth="1"/>
    <col min="21" max="21" width="9.140625" style="352"/>
    <col min="22" max="23" width="9.140625" style="352" hidden="1" customWidth="1" outlineLevel="1"/>
    <col min="24" max="24" width="2" style="352" hidden="1" customWidth="1" outlineLevel="1"/>
    <col min="25" max="25" width="12.28515625" style="352" bestFit="1" customWidth="1" collapsed="1"/>
    <col min="26" max="27" width="12.28515625" style="352" hidden="1" customWidth="1" outlineLevel="1"/>
    <col min="28" max="28" width="4.7109375" style="352" hidden="1" customWidth="1" outlineLevel="1"/>
    <col min="29" max="38" width="9.140625" style="352" hidden="1" customWidth="1" outlineLevel="1"/>
    <col min="39" max="39" width="7.42578125" style="352" bestFit="1" customWidth="1" collapsed="1"/>
    <col min="40" max="40" width="19.7109375" style="352" hidden="1" customWidth="1" outlineLevel="1"/>
    <col min="41" max="41" width="9.140625" style="352" hidden="1" customWidth="1" outlineLevel="1"/>
    <col min="42" max="42" width="9.140625" style="352" collapsed="1"/>
    <col min="43" max="49" width="9.140625" style="352" hidden="1" customWidth="1" outlineLevel="2"/>
    <col min="50" max="50" width="11.5703125" style="352" hidden="1" customWidth="1" outlineLevel="2"/>
    <col min="51" max="51" width="11.85546875" style="352" hidden="1" customWidth="1" outlineLevel="1" collapsed="1"/>
    <col min="52" max="52" width="9.42578125" style="352" hidden="1" customWidth="1" outlineLevel="1"/>
    <col min="53" max="53" width="10.5703125" style="352" hidden="1" customWidth="1" outlineLevel="1"/>
    <col min="54" max="54" width="9.140625" style="352" collapsed="1"/>
    <col min="55" max="55" width="11.85546875" style="352" bestFit="1" customWidth="1"/>
    <col min="56" max="16384" width="9.140625" style="352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311</v>
      </c>
      <c r="E3" s="335"/>
      <c r="F3" s="335"/>
      <c r="N3" s="352" t="str">
        <f>D3</f>
        <v>Rob F.</v>
      </c>
      <c r="O3" s="144">
        <f>SUM(P3:S3)</f>
        <v>351</v>
      </c>
      <c r="P3" s="109">
        <f>SUM(Y8:Y86)</f>
        <v>162</v>
      </c>
      <c r="Q3" s="109">
        <f>SUM(AM4:AM55)</f>
        <v>130</v>
      </c>
      <c r="R3" s="109">
        <f>SUM(AP89:AP92)</f>
        <v>35</v>
      </c>
      <c r="S3" s="109">
        <f>SUM(BB58:BB69)</f>
        <v>24</v>
      </c>
      <c r="T3" s="109">
        <f>COUNTIF(AF8:AF86,10)</f>
        <v>1</v>
      </c>
      <c r="U3" s="109" t="str">
        <f>E89</f>
        <v>Brazilië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O6" s="392"/>
      <c r="P6" s="393"/>
      <c r="Q6" s="393"/>
      <c r="R6" s="393"/>
      <c r="S6" s="393"/>
      <c r="T6" s="393"/>
      <c r="U6" s="392"/>
      <c r="V6" s="392"/>
      <c r="W6" s="392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80" t="s">
        <v>3</v>
      </c>
      <c r="E7" s="419"/>
      <c r="F7" s="481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O7" s="353"/>
      <c r="P7" s="393"/>
      <c r="Q7" s="393"/>
      <c r="R7" s="393"/>
      <c r="S7" s="393"/>
      <c r="T7" s="393"/>
      <c r="U7" s="353"/>
      <c r="V7" s="353"/>
      <c r="W7" s="353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458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2</v>
      </c>
      <c r="H8" s="360" t="s">
        <v>9</v>
      </c>
      <c r="I8" s="478">
        <v>0</v>
      </c>
      <c r="J8" s="362">
        <f t="shared" ref="J8:J55" si="0">IF(I8="","",IF(G8&gt;I8,1,IF(G8&lt;I8,2,3)))</f>
        <v>1</v>
      </c>
      <c r="K8" s="363">
        <f t="shared" ref="K8:K55" si="1">IF(I8="","",IF($G8&gt;$I8,3,IF($G8=$I8,1,0)))</f>
        <v>3</v>
      </c>
      <c r="L8" s="363">
        <f t="shared" ref="L8:L55" si="2">IF(I8="","",IF($G8&lt;$I8,3,IF($G8=$I8,1,0)))</f>
        <v>0</v>
      </c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392"/>
      <c r="V8" s="392"/>
      <c r="W8" s="392"/>
      <c r="Y8" s="109">
        <f>AF8</f>
        <v>5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5</v>
      </c>
      <c r="AG8" s="108">
        <f t="shared" ref="AG8:AG55" si="3">IF(AC8="",0,(IF(G8=AC8,1,0)))</f>
        <v>0</v>
      </c>
      <c r="AH8" s="108">
        <f t="shared" ref="AH8:AH55" si="4">IF(AD8="",0,(IF(I8=AD8,1,0)))</f>
        <v>0</v>
      </c>
      <c r="AI8" s="108">
        <f>IF(AND(AG8=1,AH8=1),10,0)</f>
        <v>0</v>
      </c>
      <c r="AJ8" s="108">
        <f t="shared" ref="AJ8:AJ55" si="5">IF(AND(G8&gt;I8,AC8&gt;AD8),5,0)</f>
        <v>5</v>
      </c>
      <c r="AK8" s="108">
        <f t="shared" ref="AK8:AK55" si="6">IF(AND(G8&lt;I8,AC8&lt;AD8),5,0)</f>
        <v>0</v>
      </c>
      <c r="AL8" s="108">
        <f t="shared" ref="AL8:AL55" si="7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0</v>
      </c>
      <c r="H9" s="367" t="s">
        <v>9</v>
      </c>
      <c r="I9" s="440">
        <v>0</v>
      </c>
      <c r="J9" s="369">
        <f t="shared" si="0"/>
        <v>3</v>
      </c>
      <c r="K9" s="363">
        <f t="shared" si="1"/>
        <v>1</v>
      </c>
      <c r="L9" s="363">
        <f t="shared" si="2"/>
        <v>1</v>
      </c>
      <c r="O9" s="394" t="s">
        <v>8</v>
      </c>
      <c r="P9" s="395">
        <f>SUMIF($D$8:$D$55,$O9,$G$8:$G$55)+SUMIF($F$8:$F$55,$O9,$I$8:$I$55)</f>
        <v>6</v>
      </c>
      <c r="Q9" s="395">
        <f>SUMIF($D$8:$D$55,$O9,$I$8:$I$55)+SUMIF($F$8:$F$55,$O9,$G$8:$G$55)</f>
        <v>0</v>
      </c>
      <c r="R9" s="396">
        <f>P9-Q9</f>
        <v>6</v>
      </c>
      <c r="S9" s="397">
        <f>SUMIF($D$8:$D$55,$O9,$K$8:$K$55)+SUMIF($F$8:$F$55,$O9,$L$8:$L$55)</f>
        <v>9</v>
      </c>
      <c r="T9" s="444" t="s">
        <v>48</v>
      </c>
      <c r="U9" s="392"/>
      <c r="V9" s="392" t="str">
        <f>O9</f>
        <v>Brazilië</v>
      </c>
      <c r="W9" s="392" t="s">
        <v>48</v>
      </c>
      <c r="Y9" s="109">
        <f t="shared" ref="Y9:Y55" si="8">AF9</f>
        <v>1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1</v>
      </c>
      <c r="AG9" s="108">
        <f t="shared" si="3"/>
        <v>0</v>
      </c>
      <c r="AH9" s="108">
        <f t="shared" si="4"/>
        <v>1</v>
      </c>
      <c r="AI9" s="108">
        <f t="shared" ref="AI9:AI55" si="10">IF(AND(AG9=1,AH9=1),10,0)</f>
        <v>0</v>
      </c>
      <c r="AJ9" s="108">
        <f t="shared" si="5"/>
        <v>0</v>
      </c>
      <c r="AK9" s="108">
        <f t="shared" si="6"/>
        <v>0</v>
      </c>
      <c r="AL9" s="108">
        <f t="shared" si="7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1</v>
      </c>
      <c r="H10" s="373" t="s">
        <v>9</v>
      </c>
      <c r="I10" s="441">
        <v>1</v>
      </c>
      <c r="J10" s="375">
        <f t="shared" si="0"/>
        <v>3</v>
      </c>
      <c r="K10" s="363">
        <f t="shared" si="1"/>
        <v>1</v>
      </c>
      <c r="L10" s="363">
        <f t="shared" si="2"/>
        <v>1</v>
      </c>
      <c r="O10" s="398" t="s">
        <v>10</v>
      </c>
      <c r="P10" s="399">
        <f>SUMIF($D$8:$D$55,$O10,$G$8:$G$55)+SUMIF($F$8:$F$55,$O10,$I$8:$I$55)</f>
        <v>3</v>
      </c>
      <c r="Q10" s="399">
        <f>SUMIF($D$8:$D$55,$O10,$I$8:$I$55)+SUMIF($F$8:$F$55,$O10,$G$8:$G$55)</f>
        <v>4</v>
      </c>
      <c r="R10" s="399">
        <f>P10-Q10</f>
        <v>-1</v>
      </c>
      <c r="S10" s="400">
        <f>SUMIF($D$8:$D$55,$O10,$K$8:$K$55)+SUMIF($F$8:$F$55,$O10,$L$8:$L$55)</f>
        <v>3</v>
      </c>
      <c r="T10" s="445" t="s">
        <v>47</v>
      </c>
      <c r="U10" s="392"/>
      <c r="V10" s="392" t="str">
        <f>O10</f>
        <v>Kroatië</v>
      </c>
      <c r="W10" s="392" t="s">
        <v>49</v>
      </c>
      <c r="Y10" s="109">
        <f t="shared" si="8"/>
        <v>1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1</v>
      </c>
      <c r="AG10" s="108">
        <f t="shared" si="3"/>
        <v>1</v>
      </c>
      <c r="AH10" s="108">
        <f t="shared" si="4"/>
        <v>0</v>
      </c>
      <c r="AI10" s="108">
        <f t="shared" si="10"/>
        <v>0</v>
      </c>
      <c r="AJ10" s="108">
        <f t="shared" si="5"/>
        <v>0</v>
      </c>
      <c r="AK10" s="108">
        <f t="shared" si="6"/>
        <v>0</v>
      </c>
      <c r="AL10" s="108">
        <f t="shared" si="7"/>
        <v>0</v>
      </c>
      <c r="AM10" s="120">
        <f>AO10</f>
        <v>10</v>
      </c>
      <c r="AN10" s="117" t="s">
        <v>10</v>
      </c>
      <c r="AO10" s="115">
        <f>IF(Uitslag!T10="",0,IF(T10=Uitslag!T10,10,0))</f>
        <v>10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1</v>
      </c>
      <c r="H11" s="379" t="s">
        <v>9</v>
      </c>
      <c r="I11" s="442">
        <v>0</v>
      </c>
      <c r="J11" s="381">
        <f t="shared" si="0"/>
        <v>1</v>
      </c>
      <c r="K11" s="363">
        <f t="shared" si="1"/>
        <v>3</v>
      </c>
      <c r="L11" s="363">
        <f t="shared" si="2"/>
        <v>0</v>
      </c>
      <c r="O11" s="398" t="s">
        <v>11</v>
      </c>
      <c r="P11" s="399">
        <f>SUMIF($D$8:$D$55,$O11,$G$8:$G$55)+SUMIF($F$8:$F$55,$O11,$I$8:$I$55)</f>
        <v>2</v>
      </c>
      <c r="Q11" s="399">
        <f>SUMIF($D$8:$D$55,$O11,$I$8:$I$55)+SUMIF($F$8:$F$55,$O11,$G$8:$G$55)</f>
        <v>4</v>
      </c>
      <c r="R11" s="399">
        <f>P11-Q11</f>
        <v>-2</v>
      </c>
      <c r="S11" s="400">
        <f>SUMIF($D$8:$D$55,$O11,$K$8:$K$55)+SUMIF($F$8:$F$55,$O11,$L$8:$L$55)</f>
        <v>4</v>
      </c>
      <c r="T11" s="445" t="s">
        <v>49</v>
      </c>
      <c r="U11" s="392"/>
      <c r="V11" s="392" t="str">
        <f>O11</f>
        <v>Mexico</v>
      </c>
      <c r="W11" s="392" t="s">
        <v>47</v>
      </c>
      <c r="Y11" s="109">
        <f t="shared" si="8"/>
        <v>5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5</v>
      </c>
      <c r="AG11" s="108">
        <f t="shared" si="3"/>
        <v>0</v>
      </c>
      <c r="AH11" s="108">
        <f t="shared" si="4"/>
        <v>0</v>
      </c>
      <c r="AI11" s="108">
        <f t="shared" si="10"/>
        <v>0</v>
      </c>
      <c r="AJ11" s="108">
        <f t="shared" si="5"/>
        <v>5</v>
      </c>
      <c r="AK11" s="108">
        <f t="shared" si="6"/>
        <v>0</v>
      </c>
      <c r="AL11" s="108">
        <f t="shared" si="7"/>
        <v>0</v>
      </c>
      <c r="AM11" s="120">
        <f>AO11</f>
        <v>10</v>
      </c>
      <c r="AN11" s="117" t="s">
        <v>11</v>
      </c>
      <c r="AO11" s="115">
        <f>IF(Uitslag!T11="",0,IF(T11=Uitslag!T11,10,0))</f>
        <v>10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1</v>
      </c>
      <c r="H12" s="367" t="s">
        <v>9</v>
      </c>
      <c r="I12" s="440">
        <v>0</v>
      </c>
      <c r="J12" s="369">
        <f t="shared" si="0"/>
        <v>1</v>
      </c>
      <c r="K12" s="363">
        <f t="shared" si="1"/>
        <v>3</v>
      </c>
      <c r="L12" s="363">
        <f t="shared" si="2"/>
        <v>0</v>
      </c>
      <c r="O12" s="401" t="s">
        <v>12</v>
      </c>
      <c r="P12" s="402">
        <f>SUMIF($D$8:$D$55,$O12,$G$8:$G$55)+SUMIF($F$8:$F$55,$O12,$I$8:$I$55)</f>
        <v>0</v>
      </c>
      <c r="Q12" s="402">
        <f>SUMIF($D$8:$D$55,$O12,$I$8:$I$55)+SUMIF($F$8:$F$55,$O12,$G$8:$G$55)</f>
        <v>3</v>
      </c>
      <c r="R12" s="402">
        <f>P12-Q12</f>
        <v>-3</v>
      </c>
      <c r="S12" s="403">
        <f>SUMIF($D$8:$D$55,$O12,$K$8:$K$55)+SUMIF($F$8:$F$55,$O12,$L$8:$L$55)</f>
        <v>1</v>
      </c>
      <c r="T12" s="446" t="s">
        <v>50</v>
      </c>
      <c r="U12" s="392"/>
      <c r="V12" s="392" t="str">
        <f>O12</f>
        <v>Kameroen</v>
      </c>
      <c r="W12" s="392" t="s">
        <v>50</v>
      </c>
      <c r="Y12" s="109">
        <f t="shared" si="8"/>
        <v>6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6</v>
      </c>
      <c r="AG12" s="108">
        <f t="shared" si="3"/>
        <v>0</v>
      </c>
      <c r="AH12" s="108">
        <f t="shared" si="4"/>
        <v>1</v>
      </c>
      <c r="AI12" s="108">
        <f t="shared" si="10"/>
        <v>0</v>
      </c>
      <c r="AJ12" s="108">
        <f t="shared" si="5"/>
        <v>5</v>
      </c>
      <c r="AK12" s="108">
        <f t="shared" si="6"/>
        <v>0</v>
      </c>
      <c r="AL12" s="108">
        <f t="shared" si="7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0</v>
      </c>
      <c r="H13" s="373" t="s">
        <v>9</v>
      </c>
      <c r="I13" s="441">
        <v>2</v>
      </c>
      <c r="J13" s="375">
        <f t="shared" si="0"/>
        <v>2</v>
      </c>
      <c r="K13" s="363">
        <f t="shared" si="1"/>
        <v>0</v>
      </c>
      <c r="L13" s="363">
        <f t="shared" si="2"/>
        <v>3</v>
      </c>
      <c r="O13" s="392"/>
      <c r="P13" s="393"/>
      <c r="Q13" s="393"/>
      <c r="R13" s="393"/>
      <c r="S13" s="393"/>
      <c r="T13" s="393"/>
      <c r="U13" s="392"/>
      <c r="V13" s="392"/>
      <c r="W13" s="392"/>
      <c r="Y13" s="109">
        <f t="shared" si="8"/>
        <v>5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5</v>
      </c>
      <c r="AG13" s="108">
        <f t="shared" si="3"/>
        <v>0</v>
      </c>
      <c r="AH13" s="108">
        <f t="shared" si="4"/>
        <v>0</v>
      </c>
      <c r="AI13" s="108">
        <f t="shared" si="10"/>
        <v>0</v>
      </c>
      <c r="AJ13" s="108">
        <f t="shared" si="5"/>
        <v>0</v>
      </c>
      <c r="AK13" s="108">
        <f t="shared" si="6"/>
        <v>5</v>
      </c>
      <c r="AL13" s="108">
        <f t="shared" si="7"/>
        <v>0</v>
      </c>
      <c r="AN13" s="392"/>
      <c r="AO13" s="393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1</v>
      </c>
      <c r="H14" s="373" t="s">
        <v>9</v>
      </c>
      <c r="I14" s="441">
        <v>1</v>
      </c>
      <c r="J14" s="375">
        <f t="shared" si="0"/>
        <v>3</v>
      </c>
      <c r="K14" s="363">
        <f t="shared" si="1"/>
        <v>1</v>
      </c>
      <c r="L14" s="363">
        <f t="shared" si="2"/>
        <v>1</v>
      </c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392"/>
      <c r="V14" s="392"/>
      <c r="W14" s="392"/>
      <c r="Y14" s="109">
        <f t="shared" si="8"/>
        <v>1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</v>
      </c>
      <c r="AG14" s="108">
        <f t="shared" si="3"/>
        <v>1</v>
      </c>
      <c r="AH14" s="108">
        <f t="shared" si="4"/>
        <v>0</v>
      </c>
      <c r="AI14" s="108">
        <f t="shared" si="10"/>
        <v>0</v>
      </c>
      <c r="AJ14" s="108">
        <f t="shared" si="5"/>
        <v>0</v>
      </c>
      <c r="AK14" s="108">
        <f t="shared" si="6"/>
        <v>0</v>
      </c>
      <c r="AL14" s="108">
        <f t="shared" si="7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1</v>
      </c>
      <c r="H15" s="379" t="s">
        <v>9</v>
      </c>
      <c r="I15" s="442">
        <v>0</v>
      </c>
      <c r="J15" s="381">
        <f t="shared" si="0"/>
        <v>1</v>
      </c>
      <c r="K15" s="363">
        <f t="shared" si="1"/>
        <v>3</v>
      </c>
      <c r="L15" s="363">
        <f t="shared" si="2"/>
        <v>0</v>
      </c>
      <c r="O15" s="394" t="s">
        <v>13</v>
      </c>
      <c r="P15" s="395">
        <f>SUMIF($D$8:$D$55,$O15,$G$8:$G$55)+SUMIF($F$8:$F$55,$O15,$I$8:$I$55)</f>
        <v>6</v>
      </c>
      <c r="Q15" s="395">
        <f>SUMIF($D$8:$D$55,$O15,$I$8:$I$55)+SUMIF($F$8:$F$55,$O15,$G$8:$G$55)</f>
        <v>2</v>
      </c>
      <c r="R15" s="396">
        <f>P15-Q15</f>
        <v>4</v>
      </c>
      <c r="S15" s="397">
        <f>SUMIF($D$8:$D$55,$O15,$K$8:$K$55)+SUMIF($F$8:$F$55,$O15,$L$8:$L$55)</f>
        <v>7</v>
      </c>
      <c r="T15" s="444" t="s">
        <v>52</v>
      </c>
      <c r="U15" s="392"/>
      <c r="V15" s="392" t="str">
        <f>O15</f>
        <v>Spanje</v>
      </c>
      <c r="W15" s="392" t="s">
        <v>52</v>
      </c>
      <c r="Y15" s="109">
        <f t="shared" si="8"/>
        <v>5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5</v>
      </c>
      <c r="AG15" s="108">
        <f t="shared" si="3"/>
        <v>0</v>
      </c>
      <c r="AH15" s="108">
        <f t="shared" si="4"/>
        <v>0</v>
      </c>
      <c r="AI15" s="108">
        <f t="shared" si="10"/>
        <v>0</v>
      </c>
      <c r="AJ15" s="108">
        <f t="shared" si="5"/>
        <v>5</v>
      </c>
      <c r="AK15" s="108">
        <f t="shared" si="6"/>
        <v>0</v>
      </c>
      <c r="AL15" s="108">
        <f t="shared" si="7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0</v>
      </c>
      <c r="H16" s="367" t="s">
        <v>9</v>
      </c>
      <c r="I16" s="440">
        <v>1</v>
      </c>
      <c r="J16" s="369">
        <f t="shared" si="0"/>
        <v>2</v>
      </c>
      <c r="K16" s="363">
        <f t="shared" si="1"/>
        <v>0</v>
      </c>
      <c r="L16" s="363">
        <f t="shared" si="2"/>
        <v>3</v>
      </c>
      <c r="O16" s="404" t="s">
        <v>14</v>
      </c>
      <c r="P16" s="399">
        <f>SUMIF($D$8:$D$55,$O16,$G$8:$G$55)+SUMIF($F$8:$F$55,$O16,$I$8:$I$55)</f>
        <v>3</v>
      </c>
      <c r="Q16" s="399">
        <f>SUMIF($D$8:$D$55,$O16,$I$8:$I$55)+SUMIF($F$8:$F$55,$O16,$G$8:$G$55)</f>
        <v>2</v>
      </c>
      <c r="R16" s="399">
        <f>P16-Q16</f>
        <v>1</v>
      </c>
      <c r="S16" s="400">
        <f>SUMIF($D$8:$D$55,$O16,$K$8:$K$55)+SUMIF($F$8:$F$55,$O16,$L$8:$L$55)</f>
        <v>5</v>
      </c>
      <c r="T16" s="445" t="s">
        <v>53</v>
      </c>
      <c r="U16" s="392"/>
      <c r="V16" s="392" t="str">
        <f>O16</f>
        <v>Nederland</v>
      </c>
      <c r="W16" s="392" t="s">
        <v>53</v>
      </c>
      <c r="Y16" s="109">
        <f t="shared" si="8"/>
        <v>1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1</v>
      </c>
      <c r="AG16" s="108">
        <f t="shared" si="3"/>
        <v>0</v>
      </c>
      <c r="AH16" s="108">
        <f t="shared" si="4"/>
        <v>1</v>
      </c>
      <c r="AI16" s="108">
        <f t="shared" si="10"/>
        <v>0</v>
      </c>
      <c r="AJ16" s="108">
        <f t="shared" si="5"/>
        <v>0</v>
      </c>
      <c r="AK16" s="108">
        <f t="shared" si="6"/>
        <v>0</v>
      </c>
      <c r="AL16" s="108">
        <f t="shared" si="7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0</v>
      </c>
      <c r="H17" s="373" t="s">
        <v>9</v>
      </c>
      <c r="I17" s="441">
        <v>0</v>
      </c>
      <c r="J17" s="375">
        <f t="shared" si="0"/>
        <v>3</v>
      </c>
      <c r="K17" s="363">
        <f t="shared" si="1"/>
        <v>1</v>
      </c>
      <c r="L17" s="363">
        <f t="shared" si="2"/>
        <v>1</v>
      </c>
      <c r="O17" s="398" t="s">
        <v>15</v>
      </c>
      <c r="P17" s="399">
        <f>SUMIF($D$8:$D$55,$O17,$G$8:$G$55)+SUMIF($F$8:$F$55,$O17,$I$8:$I$55)</f>
        <v>3</v>
      </c>
      <c r="Q17" s="399">
        <f>SUMIF($D$8:$D$55,$O17,$I$8:$I$55)+SUMIF($F$8:$F$55,$O17,$G$8:$G$55)</f>
        <v>3</v>
      </c>
      <c r="R17" s="399">
        <f>P17-Q17</f>
        <v>0</v>
      </c>
      <c r="S17" s="400">
        <f>SUMIF($D$8:$D$55,$O17,$K$8:$K$55)+SUMIF($F$8:$F$55,$O17,$L$8:$L$55)</f>
        <v>4</v>
      </c>
      <c r="T17" s="445" t="s">
        <v>54</v>
      </c>
      <c r="U17" s="392"/>
      <c r="V17" s="392" t="str">
        <f>O17</f>
        <v>Chili</v>
      </c>
      <c r="W17" s="392" t="s">
        <v>54</v>
      </c>
      <c r="Y17" s="109">
        <f t="shared" si="8"/>
        <v>1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1</v>
      </c>
      <c r="AG17" s="108">
        <f t="shared" si="3"/>
        <v>0</v>
      </c>
      <c r="AH17" s="108">
        <f t="shared" si="4"/>
        <v>1</v>
      </c>
      <c r="AI17" s="108">
        <f t="shared" si="10"/>
        <v>0</v>
      </c>
      <c r="AJ17" s="108">
        <f t="shared" si="5"/>
        <v>0</v>
      </c>
      <c r="AK17" s="108">
        <f t="shared" si="6"/>
        <v>0</v>
      </c>
      <c r="AL17" s="108">
        <f t="shared" si="7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2</v>
      </c>
      <c r="H18" s="379" t="s">
        <v>9</v>
      </c>
      <c r="I18" s="442">
        <v>0</v>
      </c>
      <c r="J18" s="381">
        <f t="shared" si="0"/>
        <v>1</v>
      </c>
      <c r="K18" s="363">
        <f t="shared" si="1"/>
        <v>3</v>
      </c>
      <c r="L18" s="363">
        <f t="shared" si="2"/>
        <v>0</v>
      </c>
      <c r="O18" s="401" t="s">
        <v>16</v>
      </c>
      <c r="P18" s="402">
        <f>SUMIF($D$8:$D$55,$O18,$G$8:$G$55)+SUMIF($F$8:$F$55,$O18,$I$8:$I$55)</f>
        <v>0</v>
      </c>
      <c r="Q18" s="402">
        <f>SUMIF($D$8:$D$55,$O18,$I$8:$I$55)+SUMIF($F$8:$F$55,$O18,$G$8:$G$55)</f>
        <v>5</v>
      </c>
      <c r="R18" s="402">
        <f>P18-Q18</f>
        <v>-5</v>
      </c>
      <c r="S18" s="403">
        <f>SUMIF($D$8:$D$55,$O18,$K$8:$K$55)+SUMIF($F$8:$F$55,$O18,$L$8:$L$55)</f>
        <v>0</v>
      </c>
      <c r="T18" s="446" t="s">
        <v>55</v>
      </c>
      <c r="U18" s="392"/>
      <c r="V18" s="392" t="str">
        <f>O18</f>
        <v>Australië</v>
      </c>
      <c r="W18" s="392" t="s">
        <v>55</v>
      </c>
      <c r="Y18" s="109">
        <f t="shared" si="8"/>
        <v>6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6</v>
      </c>
      <c r="AG18" s="108">
        <f t="shared" si="3"/>
        <v>1</v>
      </c>
      <c r="AH18" s="108">
        <f t="shared" si="4"/>
        <v>0</v>
      </c>
      <c r="AI18" s="108">
        <f t="shared" si="10"/>
        <v>0</v>
      </c>
      <c r="AJ18" s="108">
        <f t="shared" si="5"/>
        <v>5</v>
      </c>
      <c r="AK18" s="108">
        <f t="shared" si="6"/>
        <v>0</v>
      </c>
      <c r="AL18" s="108">
        <f t="shared" si="7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2</v>
      </c>
      <c r="H19" s="367" t="s">
        <v>9</v>
      </c>
      <c r="I19" s="440">
        <v>1</v>
      </c>
      <c r="J19" s="369">
        <f t="shared" si="0"/>
        <v>1</v>
      </c>
      <c r="K19" s="363">
        <f t="shared" si="1"/>
        <v>3</v>
      </c>
      <c r="L19" s="363">
        <f t="shared" si="2"/>
        <v>0</v>
      </c>
      <c r="O19" s="392"/>
      <c r="P19" s="393"/>
      <c r="Q19" s="393"/>
      <c r="R19" s="393"/>
      <c r="S19" s="393"/>
      <c r="T19" s="393"/>
      <c r="U19" s="392"/>
      <c r="V19" s="392"/>
      <c r="W19" s="392"/>
      <c r="Y19" s="109">
        <f t="shared" si="8"/>
        <v>5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5</v>
      </c>
      <c r="AG19" s="108">
        <f t="shared" si="3"/>
        <v>0</v>
      </c>
      <c r="AH19" s="108">
        <f t="shared" si="4"/>
        <v>0</v>
      </c>
      <c r="AI19" s="108">
        <f t="shared" si="10"/>
        <v>0</v>
      </c>
      <c r="AJ19" s="108">
        <f t="shared" si="5"/>
        <v>5</v>
      </c>
      <c r="AK19" s="108">
        <f t="shared" si="6"/>
        <v>0</v>
      </c>
      <c r="AL19" s="108">
        <f t="shared" si="7"/>
        <v>0</v>
      </c>
      <c r="AN19" s="392"/>
      <c r="AO19" s="393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0</v>
      </c>
      <c r="H20" s="373" t="s">
        <v>9</v>
      </c>
      <c r="I20" s="441">
        <v>1</v>
      </c>
      <c r="J20" s="375">
        <f t="shared" si="0"/>
        <v>2</v>
      </c>
      <c r="K20" s="363">
        <f t="shared" si="1"/>
        <v>0</v>
      </c>
      <c r="L20" s="363">
        <f t="shared" si="2"/>
        <v>3</v>
      </c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392"/>
      <c r="V20" s="392"/>
      <c r="W20" s="392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3"/>
        <v>1</v>
      </c>
      <c r="AH20" s="108">
        <f t="shared" si="4"/>
        <v>0</v>
      </c>
      <c r="AI20" s="108">
        <f t="shared" si="10"/>
        <v>0</v>
      </c>
      <c r="AJ20" s="108">
        <f t="shared" si="5"/>
        <v>0</v>
      </c>
      <c r="AK20" s="108">
        <f t="shared" si="6"/>
        <v>0</v>
      </c>
      <c r="AL20" s="108">
        <f t="shared" si="7"/>
        <v>0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1</v>
      </c>
      <c r="H21" s="379" t="s">
        <v>9</v>
      </c>
      <c r="I21" s="442">
        <v>1</v>
      </c>
      <c r="J21" s="381">
        <f t="shared" si="0"/>
        <v>3</v>
      </c>
      <c r="K21" s="363">
        <f t="shared" si="1"/>
        <v>1</v>
      </c>
      <c r="L21" s="363">
        <f t="shared" si="2"/>
        <v>1</v>
      </c>
      <c r="O21" s="394" t="s">
        <v>17</v>
      </c>
      <c r="P21" s="395">
        <f>SUMIF($D$8:$D$55,$O21,$G$8:$G$55)+SUMIF($F$8:$F$55,$O21,$I$8:$I$55)</f>
        <v>2</v>
      </c>
      <c r="Q21" s="395">
        <f>SUMIF($D$8:$D$55,$O21,$I$8:$I$55)+SUMIF($F$8:$F$55,$O21,$G$8:$G$55)</f>
        <v>1</v>
      </c>
      <c r="R21" s="396">
        <f>P21-Q21</f>
        <v>1</v>
      </c>
      <c r="S21" s="397">
        <f>SUMIF($D$8:$D$55,$O21,$K$8:$K$55)+SUMIF($F$8:$F$55,$O21,$L$8:$L$55)</f>
        <v>6</v>
      </c>
      <c r="T21" s="444" t="s">
        <v>58</v>
      </c>
      <c r="U21" s="392"/>
      <c r="V21" s="392" t="str">
        <f>O21</f>
        <v>Colombia</v>
      </c>
      <c r="W21" s="392" t="s">
        <v>57</v>
      </c>
      <c r="Y21" s="109">
        <f t="shared" si="8"/>
        <v>1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1</v>
      </c>
      <c r="AG21" s="108">
        <f t="shared" si="3"/>
        <v>1</v>
      </c>
      <c r="AH21" s="108">
        <f t="shared" si="4"/>
        <v>0</v>
      </c>
      <c r="AI21" s="108">
        <f t="shared" si="10"/>
        <v>0</v>
      </c>
      <c r="AJ21" s="108">
        <f t="shared" si="5"/>
        <v>0</v>
      </c>
      <c r="AK21" s="108">
        <f t="shared" si="6"/>
        <v>0</v>
      </c>
      <c r="AL21" s="108">
        <f t="shared" si="7"/>
        <v>0</v>
      </c>
      <c r="AM21" s="120">
        <f>AO21</f>
        <v>0</v>
      </c>
      <c r="AN21" s="116" t="s">
        <v>17</v>
      </c>
      <c r="AO21" s="115">
        <f>IF(Uitslag!T21="",0,IF(T21=Uitslag!T21,10,0))</f>
        <v>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2</v>
      </c>
      <c r="H22" s="367" t="s">
        <v>9</v>
      </c>
      <c r="I22" s="440">
        <v>0</v>
      </c>
      <c r="J22" s="369">
        <f t="shared" si="0"/>
        <v>1</v>
      </c>
      <c r="K22" s="363">
        <f t="shared" si="1"/>
        <v>3</v>
      </c>
      <c r="L22" s="363">
        <f t="shared" si="2"/>
        <v>0</v>
      </c>
      <c r="O22" s="398" t="s">
        <v>18</v>
      </c>
      <c r="P22" s="399">
        <f>SUMIF($D$8:$D$55,$O22,$G$8:$G$55)+SUMIF($F$8:$F$55,$O22,$I$8:$I$55)</f>
        <v>1</v>
      </c>
      <c r="Q22" s="399">
        <f>SUMIF($D$8:$D$55,$O22,$I$8:$I$55)+SUMIF($F$8:$F$55,$O22,$G$8:$G$55)</f>
        <v>1</v>
      </c>
      <c r="R22" s="399">
        <f>P22-Q22</f>
        <v>0</v>
      </c>
      <c r="S22" s="400">
        <f>SUMIF($D$8:$D$55,$O22,$K$8:$K$55)+SUMIF($F$8:$F$55,$O22,$L$8:$L$55)</f>
        <v>4</v>
      </c>
      <c r="T22" s="445" t="s">
        <v>59</v>
      </c>
      <c r="U22" s="392"/>
      <c r="V22" s="392" t="str">
        <f>O22</f>
        <v>Griekenland</v>
      </c>
      <c r="W22" s="392" t="s">
        <v>58</v>
      </c>
      <c r="Y22" s="109">
        <f t="shared" si="8"/>
        <v>6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6</v>
      </c>
      <c r="AG22" s="108">
        <f t="shared" si="3"/>
        <v>1</v>
      </c>
      <c r="AH22" s="108">
        <f t="shared" si="4"/>
        <v>0</v>
      </c>
      <c r="AI22" s="108">
        <f t="shared" si="10"/>
        <v>0</v>
      </c>
      <c r="AJ22" s="108">
        <f t="shared" si="5"/>
        <v>5</v>
      </c>
      <c r="AK22" s="108">
        <f t="shared" si="6"/>
        <v>0</v>
      </c>
      <c r="AL22" s="108">
        <f t="shared" si="7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3</v>
      </c>
      <c r="H23" s="373" t="s">
        <v>9</v>
      </c>
      <c r="I23" s="441">
        <v>0</v>
      </c>
      <c r="J23" s="375">
        <f t="shared" si="0"/>
        <v>1</v>
      </c>
      <c r="K23" s="363">
        <f t="shared" si="1"/>
        <v>3</v>
      </c>
      <c r="L23" s="363">
        <f t="shared" si="2"/>
        <v>0</v>
      </c>
      <c r="O23" s="398" t="s">
        <v>23</v>
      </c>
      <c r="P23" s="399">
        <f>SUMIF($D$8:$D$55,$O23,$G$8:$G$55)+SUMIF($F$8:$F$55,$O23,$I$8:$I$55)</f>
        <v>2</v>
      </c>
      <c r="Q23" s="399">
        <f>SUMIF($D$8:$D$55,$O23,$I$8:$I$55)+SUMIF($F$8:$F$55,$O23,$G$8:$G$55)</f>
        <v>0</v>
      </c>
      <c r="R23" s="399">
        <f>P23-Q23</f>
        <v>2</v>
      </c>
      <c r="S23" s="400">
        <f>SUMIF($D$8:$D$55,$O23,$K$8:$K$55)+SUMIF($F$8:$F$55,$O23,$L$8:$L$55)</f>
        <v>7</v>
      </c>
      <c r="T23" s="445" t="s">
        <v>57</v>
      </c>
      <c r="U23" s="392"/>
      <c r="V23" s="392" t="str">
        <f>O23</f>
        <v>Ivoorkust</v>
      </c>
      <c r="W23" s="392" t="s">
        <v>59</v>
      </c>
      <c r="Y23" s="109">
        <f t="shared" si="8"/>
        <v>1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1</v>
      </c>
      <c r="AG23" s="108">
        <f t="shared" si="3"/>
        <v>0</v>
      </c>
      <c r="AH23" s="108">
        <f t="shared" si="4"/>
        <v>1</v>
      </c>
      <c r="AI23" s="108">
        <f t="shared" si="10"/>
        <v>0</v>
      </c>
      <c r="AJ23" s="108">
        <f t="shared" si="5"/>
        <v>0</v>
      </c>
      <c r="AK23" s="108">
        <f t="shared" si="6"/>
        <v>0</v>
      </c>
      <c r="AL23" s="108">
        <f t="shared" si="7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2</v>
      </c>
      <c r="H24" s="379" t="s">
        <v>9</v>
      </c>
      <c r="I24" s="442">
        <v>0</v>
      </c>
      <c r="J24" s="381">
        <f t="shared" si="0"/>
        <v>1</v>
      </c>
      <c r="K24" s="363">
        <f t="shared" si="1"/>
        <v>3</v>
      </c>
      <c r="L24" s="363">
        <f t="shared" si="2"/>
        <v>0</v>
      </c>
      <c r="O24" s="401" t="s">
        <v>24</v>
      </c>
      <c r="P24" s="402">
        <f>SUMIF($D$8:$D$55,$O24,$G$8:$G$55)+SUMIF($F$8:$F$55,$O24,$I$8:$I$55)</f>
        <v>0</v>
      </c>
      <c r="Q24" s="402">
        <f>SUMIF($D$8:$D$55,$O24,$I$8:$I$55)+SUMIF($F$8:$F$55,$O24,$G$8:$G$55)</f>
        <v>3</v>
      </c>
      <c r="R24" s="402">
        <f>P24-Q24</f>
        <v>-3</v>
      </c>
      <c r="S24" s="403">
        <f>SUMIF($D$8:$D$55,$O24,$K$8:$K$55)+SUMIF($F$8:$F$55,$O24,$L$8:$L$55)</f>
        <v>0</v>
      </c>
      <c r="T24" s="446" t="s">
        <v>60</v>
      </c>
      <c r="U24" s="392"/>
      <c r="V24" s="392" t="str">
        <f>O24</f>
        <v>Japan</v>
      </c>
      <c r="W24" s="392" t="s">
        <v>60</v>
      </c>
      <c r="Y24" s="109">
        <f t="shared" si="8"/>
        <v>0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0</v>
      </c>
      <c r="AG24" s="108">
        <f t="shared" si="3"/>
        <v>0</v>
      </c>
      <c r="AH24" s="108">
        <f t="shared" si="4"/>
        <v>0</v>
      </c>
      <c r="AI24" s="108">
        <f t="shared" si="10"/>
        <v>0</v>
      </c>
      <c r="AJ24" s="108">
        <f t="shared" si="5"/>
        <v>0</v>
      </c>
      <c r="AK24" s="108">
        <f t="shared" si="6"/>
        <v>0</v>
      </c>
      <c r="AL24" s="108">
        <f t="shared" si="7"/>
        <v>0</v>
      </c>
      <c r="AM24" s="120">
        <f>AO24</f>
        <v>10</v>
      </c>
      <c r="AN24" s="118" t="s">
        <v>24</v>
      </c>
      <c r="AO24" s="115">
        <f>IF(Uitslag!T24="",0,IF(T24=Uitslag!T24,10,0))</f>
        <v>10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0</v>
      </c>
      <c r="H25" s="367" t="s">
        <v>9</v>
      </c>
      <c r="I25" s="440">
        <v>1</v>
      </c>
      <c r="J25" s="369">
        <f t="shared" si="0"/>
        <v>2</v>
      </c>
      <c r="K25" s="363">
        <f t="shared" si="1"/>
        <v>0</v>
      </c>
      <c r="L25" s="363">
        <f t="shared" si="2"/>
        <v>3</v>
      </c>
      <c r="O25" s="392"/>
      <c r="P25" s="393"/>
      <c r="Q25" s="393"/>
      <c r="R25" s="393"/>
      <c r="S25" s="393"/>
      <c r="T25" s="393"/>
      <c r="U25" s="392"/>
      <c r="V25" s="392"/>
      <c r="W25" s="392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3"/>
        <v>0</v>
      </c>
      <c r="AH25" s="108">
        <f t="shared" si="4"/>
        <v>0</v>
      </c>
      <c r="AI25" s="108">
        <f t="shared" si="10"/>
        <v>0</v>
      </c>
      <c r="AJ25" s="108">
        <f t="shared" si="5"/>
        <v>0</v>
      </c>
      <c r="AK25" s="108">
        <f t="shared" si="6"/>
        <v>5</v>
      </c>
      <c r="AL25" s="108">
        <f t="shared" si="7"/>
        <v>0</v>
      </c>
      <c r="AN25" s="392"/>
      <c r="AO25" s="393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2</v>
      </c>
      <c r="H26" s="373" t="s">
        <v>9</v>
      </c>
      <c r="I26" s="441">
        <v>1</v>
      </c>
      <c r="J26" s="375">
        <f t="shared" si="0"/>
        <v>1</v>
      </c>
      <c r="K26" s="363">
        <f t="shared" si="1"/>
        <v>3</v>
      </c>
      <c r="L26" s="363">
        <f t="shared" si="2"/>
        <v>0</v>
      </c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392"/>
      <c r="V26" s="392"/>
      <c r="W26" s="392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3"/>
        <v>0</v>
      </c>
      <c r="AH26" s="108">
        <f t="shared" si="4"/>
        <v>0</v>
      </c>
      <c r="AI26" s="108">
        <f t="shared" si="10"/>
        <v>0</v>
      </c>
      <c r="AJ26" s="108">
        <f t="shared" si="5"/>
        <v>0</v>
      </c>
      <c r="AK26" s="108">
        <f t="shared" si="6"/>
        <v>0</v>
      </c>
      <c r="AL26" s="108">
        <f t="shared" si="7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0</v>
      </c>
      <c r="H27" s="379" t="s">
        <v>9</v>
      </c>
      <c r="I27" s="442">
        <v>2</v>
      </c>
      <c r="J27" s="381">
        <f t="shared" si="0"/>
        <v>2</v>
      </c>
      <c r="K27" s="363">
        <f t="shared" si="1"/>
        <v>0</v>
      </c>
      <c r="L27" s="363">
        <f t="shared" si="2"/>
        <v>3</v>
      </c>
      <c r="O27" s="394" t="s">
        <v>19</v>
      </c>
      <c r="P27" s="395">
        <f>SUMIF($D$8:$D$55,$O27,$G$8:$G$55)+SUMIF($F$8:$F$55,$O27,$I$8:$I$55)</f>
        <v>2</v>
      </c>
      <c r="Q27" s="395">
        <f>SUMIF($D$8:$D$55,$O27,$I$8:$I$55)+SUMIF($F$8:$F$55,$O27,$G$8:$G$55)</f>
        <v>4</v>
      </c>
      <c r="R27" s="396">
        <f>P27-Q27</f>
        <v>-2</v>
      </c>
      <c r="S27" s="397">
        <f>SUMIF($D$8:$D$55,$O27,$K$8:$K$55)+SUMIF($F$8:$F$55,$O27,$L$8:$L$55)</f>
        <v>2</v>
      </c>
      <c r="T27" s="444" t="s">
        <v>65</v>
      </c>
      <c r="U27" s="392"/>
      <c r="V27" s="392" t="str">
        <f>O27</f>
        <v>Uruguay</v>
      </c>
      <c r="W27" s="392" t="s">
        <v>62</v>
      </c>
      <c r="Y27" s="109">
        <f t="shared" si="8"/>
        <v>6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6</v>
      </c>
      <c r="AG27" s="108">
        <f t="shared" si="3"/>
        <v>1</v>
      </c>
      <c r="AH27" s="108">
        <f t="shared" si="4"/>
        <v>0</v>
      </c>
      <c r="AI27" s="108">
        <f t="shared" si="10"/>
        <v>0</v>
      </c>
      <c r="AJ27" s="108">
        <f t="shared" si="5"/>
        <v>0</v>
      </c>
      <c r="AK27" s="108">
        <f t="shared" si="6"/>
        <v>5</v>
      </c>
      <c r="AL27" s="108">
        <f t="shared" si="7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0</v>
      </c>
      <c r="H28" s="367" t="s">
        <v>9</v>
      </c>
      <c r="I28" s="440">
        <v>1</v>
      </c>
      <c r="J28" s="369">
        <f t="shared" si="0"/>
        <v>2</v>
      </c>
      <c r="K28" s="363">
        <f t="shared" si="1"/>
        <v>0</v>
      </c>
      <c r="L28" s="363">
        <f t="shared" si="2"/>
        <v>3</v>
      </c>
      <c r="O28" s="398" t="s">
        <v>20</v>
      </c>
      <c r="P28" s="399">
        <f>SUMIF($D$8:$D$55,$O28,$G$8:$G$55)+SUMIF($F$8:$F$55,$O28,$I$8:$I$55)</f>
        <v>4</v>
      </c>
      <c r="Q28" s="399">
        <f>SUMIF($D$8:$D$55,$O28,$I$8:$I$55)+SUMIF($F$8:$F$55,$O28,$G$8:$G$55)</f>
        <v>3</v>
      </c>
      <c r="R28" s="399">
        <f>P28-Q28</f>
        <v>1</v>
      </c>
      <c r="S28" s="400">
        <f>SUMIF($D$8:$D$55,$O28,$K$8:$K$55)+SUMIF($F$8:$F$55,$O28,$L$8:$L$55)</f>
        <v>4</v>
      </c>
      <c r="T28" s="445" t="s">
        <v>63</v>
      </c>
      <c r="U28" s="392"/>
      <c r="V28" s="392" t="str">
        <f>O28</f>
        <v>Costa Rica</v>
      </c>
      <c r="W28" s="392" t="s">
        <v>63</v>
      </c>
      <c r="Y28" s="109">
        <f t="shared" si="8"/>
        <v>1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1</v>
      </c>
      <c r="AG28" s="108">
        <f t="shared" si="3"/>
        <v>0</v>
      </c>
      <c r="AH28" s="108">
        <f t="shared" si="4"/>
        <v>1</v>
      </c>
      <c r="AI28" s="108">
        <f t="shared" si="10"/>
        <v>0</v>
      </c>
      <c r="AJ28" s="108">
        <f t="shared" si="5"/>
        <v>0</v>
      </c>
      <c r="AK28" s="108">
        <f t="shared" si="6"/>
        <v>0</v>
      </c>
      <c r="AL28" s="108">
        <f t="shared" si="7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1</v>
      </c>
      <c r="H29" s="373" t="s">
        <v>9</v>
      </c>
      <c r="I29" s="441">
        <v>1</v>
      </c>
      <c r="J29" s="375">
        <f t="shared" si="0"/>
        <v>3</v>
      </c>
      <c r="K29" s="363">
        <f t="shared" si="1"/>
        <v>1</v>
      </c>
      <c r="L29" s="363">
        <f t="shared" si="2"/>
        <v>1</v>
      </c>
      <c r="O29" s="398" t="s">
        <v>21</v>
      </c>
      <c r="P29" s="399">
        <f>SUMIF($D$8:$D$55,$O29,$G$8:$G$55)+SUMIF($F$8:$F$55,$O29,$I$8:$I$55)</f>
        <v>3</v>
      </c>
      <c r="Q29" s="399">
        <f>SUMIF($D$8:$D$55,$O29,$I$8:$I$55)+SUMIF($F$8:$F$55,$O29,$G$8:$G$55)</f>
        <v>3</v>
      </c>
      <c r="R29" s="399">
        <f>P29-Q29</f>
        <v>0</v>
      </c>
      <c r="S29" s="400">
        <f>SUMIF($D$8:$D$55,$O29,$K$8:$K$55)+SUMIF($F$8:$F$55,$O29,$L$8:$L$55)</f>
        <v>3</v>
      </c>
      <c r="T29" s="445" t="s">
        <v>64</v>
      </c>
      <c r="U29" s="392"/>
      <c r="V29" s="392" t="str">
        <f>O29</f>
        <v>Engeland</v>
      </c>
      <c r="W29" s="392" t="s">
        <v>64</v>
      </c>
      <c r="Y29" s="109">
        <f t="shared" si="8"/>
        <v>1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1</v>
      </c>
      <c r="AG29" s="108">
        <f t="shared" si="3"/>
        <v>0</v>
      </c>
      <c r="AH29" s="108">
        <f t="shared" si="4"/>
        <v>1</v>
      </c>
      <c r="AI29" s="108">
        <f t="shared" si="10"/>
        <v>0</v>
      </c>
      <c r="AJ29" s="108">
        <f t="shared" si="5"/>
        <v>0</v>
      </c>
      <c r="AK29" s="108">
        <f t="shared" si="6"/>
        <v>0</v>
      </c>
      <c r="AL29" s="108">
        <f t="shared" si="7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0</v>
      </c>
      <c r="H30" s="379" t="s">
        <v>9</v>
      </c>
      <c r="I30" s="442">
        <v>1</v>
      </c>
      <c r="J30" s="381">
        <f t="shared" si="0"/>
        <v>2</v>
      </c>
      <c r="K30" s="363">
        <f t="shared" si="1"/>
        <v>0</v>
      </c>
      <c r="L30" s="363">
        <f t="shared" si="2"/>
        <v>3</v>
      </c>
      <c r="O30" s="401" t="s">
        <v>22</v>
      </c>
      <c r="P30" s="402">
        <f>SUMIF($D$8:$D$55,$O30,$G$8:$G$55)+SUMIF($F$8:$F$55,$O30,$I$8:$I$55)</f>
        <v>4</v>
      </c>
      <c r="Q30" s="402">
        <f>SUMIF($D$8:$D$55,$O30,$I$8:$I$55)+SUMIF($F$8:$F$55,$O30,$G$8:$G$55)</f>
        <v>3</v>
      </c>
      <c r="R30" s="402">
        <f>P30-Q30</f>
        <v>1</v>
      </c>
      <c r="S30" s="403">
        <f>SUMIF($D$8:$D$55,$O30,$K$8:$K$55)+SUMIF($F$8:$F$55,$O30,$L$8:$L$55)</f>
        <v>5</v>
      </c>
      <c r="T30" s="446" t="s">
        <v>62</v>
      </c>
      <c r="U30" s="392"/>
      <c r="V30" s="392" t="str">
        <f>O30</f>
        <v>Italië</v>
      </c>
      <c r="W30" s="392" t="s">
        <v>65</v>
      </c>
      <c r="Y30" s="109">
        <f t="shared" si="8"/>
        <v>1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1</v>
      </c>
      <c r="AG30" s="108">
        <f t="shared" si="3"/>
        <v>1</v>
      </c>
      <c r="AH30" s="108">
        <f t="shared" si="4"/>
        <v>0</v>
      </c>
      <c r="AI30" s="108">
        <f t="shared" si="10"/>
        <v>0</v>
      </c>
      <c r="AJ30" s="108">
        <f t="shared" si="5"/>
        <v>0</v>
      </c>
      <c r="AK30" s="108">
        <f t="shared" si="6"/>
        <v>0</v>
      </c>
      <c r="AL30" s="108">
        <f t="shared" si="7"/>
        <v>0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2</v>
      </c>
      <c r="H31" s="367" t="s">
        <v>9</v>
      </c>
      <c r="I31" s="440">
        <v>1</v>
      </c>
      <c r="J31" s="369">
        <f t="shared" si="0"/>
        <v>1</v>
      </c>
      <c r="K31" s="363">
        <f t="shared" si="1"/>
        <v>3</v>
      </c>
      <c r="L31" s="363">
        <f t="shared" si="2"/>
        <v>0</v>
      </c>
      <c r="O31" s="392"/>
      <c r="P31" s="393"/>
      <c r="Q31" s="393"/>
      <c r="R31" s="393"/>
      <c r="S31" s="393"/>
      <c r="T31" s="393"/>
      <c r="U31" s="392"/>
      <c r="V31" s="392"/>
      <c r="W31" s="392"/>
      <c r="Y31" s="109">
        <f t="shared" si="8"/>
        <v>1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1</v>
      </c>
      <c r="AG31" s="108">
        <f t="shared" si="3"/>
        <v>0</v>
      </c>
      <c r="AH31" s="108">
        <f t="shared" si="4"/>
        <v>1</v>
      </c>
      <c r="AI31" s="108">
        <f t="shared" si="10"/>
        <v>0</v>
      </c>
      <c r="AJ31" s="108">
        <f t="shared" si="5"/>
        <v>0</v>
      </c>
      <c r="AK31" s="108">
        <f t="shared" si="6"/>
        <v>0</v>
      </c>
      <c r="AL31" s="108">
        <f t="shared" si="7"/>
        <v>0</v>
      </c>
      <c r="AN31" s="392"/>
      <c r="AO31" s="393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1</v>
      </c>
      <c r="H32" s="373" t="s">
        <v>9</v>
      </c>
      <c r="I32" s="441">
        <v>1</v>
      </c>
      <c r="J32" s="375">
        <f t="shared" si="0"/>
        <v>3</v>
      </c>
      <c r="K32" s="363">
        <f t="shared" si="1"/>
        <v>1</v>
      </c>
      <c r="L32" s="363">
        <f t="shared" si="2"/>
        <v>1</v>
      </c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392"/>
      <c r="V32" s="392"/>
      <c r="W32" s="392"/>
      <c r="Y32" s="109">
        <f t="shared" si="8"/>
        <v>0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0</v>
      </c>
      <c r="AG32" s="108">
        <f t="shared" si="3"/>
        <v>0</v>
      </c>
      <c r="AH32" s="108">
        <f t="shared" si="4"/>
        <v>0</v>
      </c>
      <c r="AI32" s="108">
        <f t="shared" si="10"/>
        <v>0</v>
      </c>
      <c r="AJ32" s="108">
        <f t="shared" si="5"/>
        <v>0</v>
      </c>
      <c r="AK32" s="108">
        <f t="shared" si="6"/>
        <v>0</v>
      </c>
      <c r="AL32" s="108">
        <f t="shared" si="7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1</v>
      </c>
      <c r="H33" s="379" t="s">
        <v>9</v>
      </c>
      <c r="I33" s="442">
        <v>1</v>
      </c>
      <c r="J33" s="381">
        <f t="shared" si="0"/>
        <v>3</v>
      </c>
      <c r="K33" s="363">
        <f t="shared" si="1"/>
        <v>1</v>
      </c>
      <c r="L33" s="363">
        <f t="shared" si="2"/>
        <v>1</v>
      </c>
      <c r="O33" s="394" t="s">
        <v>25</v>
      </c>
      <c r="P33" s="395">
        <f>SUMIF($D$8:$D$55,$O33,$G$8:$G$55)+SUMIF($F$8:$F$55,$O33,$I$8:$I$55)</f>
        <v>2</v>
      </c>
      <c r="Q33" s="395">
        <f>SUMIF($D$8:$D$55,$O33,$I$8:$I$55)+SUMIF($F$8:$F$55,$O33,$G$8:$G$55)</f>
        <v>3</v>
      </c>
      <c r="R33" s="396">
        <f>P33-Q33</f>
        <v>-1</v>
      </c>
      <c r="S33" s="397">
        <f>SUMIF($D$8:$D$55,$O33,$K$8:$K$55)+SUMIF($F$8:$F$55,$O33,$L$8:$L$55)</f>
        <v>2</v>
      </c>
      <c r="T33" s="444" t="s">
        <v>70</v>
      </c>
      <c r="U33" s="392"/>
      <c r="V33" s="392" t="str">
        <f>O33</f>
        <v>Zwitserland</v>
      </c>
      <c r="W33" s="392" t="s">
        <v>67</v>
      </c>
      <c r="Y33" s="109">
        <f t="shared" si="8"/>
        <v>1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1</v>
      </c>
      <c r="AG33" s="108">
        <f t="shared" si="3"/>
        <v>1</v>
      </c>
      <c r="AH33" s="108">
        <f t="shared" si="4"/>
        <v>0</v>
      </c>
      <c r="AI33" s="108">
        <f t="shared" si="10"/>
        <v>0</v>
      </c>
      <c r="AJ33" s="108">
        <f t="shared" si="5"/>
        <v>0</v>
      </c>
      <c r="AK33" s="108">
        <f t="shared" si="6"/>
        <v>0</v>
      </c>
      <c r="AL33" s="108">
        <f t="shared" si="7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2</v>
      </c>
      <c r="H34" s="367" t="s">
        <v>9</v>
      </c>
      <c r="I34" s="440">
        <v>0</v>
      </c>
      <c r="J34" s="369">
        <f t="shared" si="0"/>
        <v>1</v>
      </c>
      <c r="K34" s="363">
        <f t="shared" si="1"/>
        <v>3</v>
      </c>
      <c r="L34" s="363">
        <f t="shared" si="2"/>
        <v>0</v>
      </c>
      <c r="O34" s="398" t="s">
        <v>26</v>
      </c>
      <c r="P34" s="399">
        <f>SUMIF($D$8:$D$55,$O34,$G$8:$G$55)+SUMIF($F$8:$F$55,$O34,$I$8:$I$55)</f>
        <v>3</v>
      </c>
      <c r="Q34" s="399">
        <f>SUMIF($D$8:$D$55,$O34,$I$8:$I$55)+SUMIF($F$8:$F$55,$O34,$G$8:$G$55)</f>
        <v>3</v>
      </c>
      <c r="R34" s="399">
        <f>P34-Q34</f>
        <v>0</v>
      </c>
      <c r="S34" s="400">
        <f>SUMIF($D$8:$D$55,$O34,$K$8:$K$55)+SUMIF($F$8:$F$55,$O34,$L$8:$L$55)</f>
        <v>4</v>
      </c>
      <c r="T34" s="445" t="s">
        <v>68</v>
      </c>
      <c r="U34" s="392"/>
      <c r="V34" s="392" t="str">
        <f>O34</f>
        <v>Ecuador</v>
      </c>
      <c r="W34" s="392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3"/>
        <v>0</v>
      </c>
      <c r="AH34" s="108">
        <f t="shared" si="4"/>
        <v>1</v>
      </c>
      <c r="AI34" s="108">
        <f t="shared" si="10"/>
        <v>0</v>
      </c>
      <c r="AJ34" s="108">
        <f t="shared" si="5"/>
        <v>5</v>
      </c>
      <c r="AK34" s="108">
        <f t="shared" si="6"/>
        <v>0</v>
      </c>
      <c r="AL34" s="108">
        <f t="shared" si="7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2</v>
      </c>
      <c r="H35" s="373" t="s">
        <v>9</v>
      </c>
      <c r="I35" s="441">
        <v>0</v>
      </c>
      <c r="J35" s="375">
        <f t="shared" si="0"/>
        <v>1</v>
      </c>
      <c r="K35" s="363">
        <f t="shared" si="1"/>
        <v>3</v>
      </c>
      <c r="L35" s="363">
        <f t="shared" si="2"/>
        <v>0</v>
      </c>
      <c r="O35" s="398" t="s">
        <v>27</v>
      </c>
      <c r="P35" s="399">
        <f>SUMIF($D$8:$D$55,$O35,$G$8:$G$55)+SUMIF($F$8:$F$55,$O35,$I$8:$I$55)</f>
        <v>3</v>
      </c>
      <c r="Q35" s="399">
        <f>SUMIF($D$8:$D$55,$O35,$I$8:$I$55)+SUMIF($F$8:$F$55,$O35,$G$8:$G$55)</f>
        <v>2</v>
      </c>
      <c r="R35" s="399">
        <f>P35-Q35</f>
        <v>1</v>
      </c>
      <c r="S35" s="400">
        <f>SUMIF($D$8:$D$55,$O35,$K$8:$K$55)+SUMIF($F$8:$F$55,$O35,$L$8:$L$55)</f>
        <v>5</v>
      </c>
      <c r="T35" s="445" t="s">
        <v>67</v>
      </c>
      <c r="U35" s="392"/>
      <c r="V35" s="392" t="str">
        <f>O35</f>
        <v>Frankrijk</v>
      </c>
      <c r="W35" s="392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3"/>
        <v>1</v>
      </c>
      <c r="AH35" s="108">
        <f t="shared" si="4"/>
        <v>0</v>
      </c>
      <c r="AI35" s="108">
        <f t="shared" si="10"/>
        <v>0</v>
      </c>
      <c r="AJ35" s="108">
        <f t="shared" si="5"/>
        <v>0</v>
      </c>
      <c r="AK35" s="108">
        <f t="shared" si="6"/>
        <v>0</v>
      </c>
      <c r="AL35" s="108">
        <f t="shared" si="7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0</v>
      </c>
      <c r="H36" s="379" t="s">
        <v>9</v>
      </c>
      <c r="I36" s="442">
        <v>1</v>
      </c>
      <c r="J36" s="381">
        <f t="shared" si="0"/>
        <v>2</v>
      </c>
      <c r="K36" s="363">
        <f t="shared" si="1"/>
        <v>0</v>
      </c>
      <c r="L36" s="363">
        <f t="shared" si="2"/>
        <v>3</v>
      </c>
      <c r="O36" s="401" t="s">
        <v>28</v>
      </c>
      <c r="P36" s="402">
        <f>SUMIF($D$8:$D$55,$O36,$G$8:$G$55)+SUMIF($F$8:$F$55,$O36,$I$8:$I$55)</f>
        <v>2</v>
      </c>
      <c r="Q36" s="402">
        <f>SUMIF($D$8:$D$55,$O36,$I$8:$I$55)+SUMIF($F$8:$F$55,$O36,$G$8:$G$55)</f>
        <v>2</v>
      </c>
      <c r="R36" s="402">
        <f>P36-Q36</f>
        <v>0</v>
      </c>
      <c r="S36" s="403">
        <f>SUMIF($D$8:$D$55,$O36,$K$8:$K$55)+SUMIF($F$8:$F$55,$O36,$L$8:$L$55)</f>
        <v>3</v>
      </c>
      <c r="T36" s="446" t="s">
        <v>69</v>
      </c>
      <c r="U36" s="392"/>
      <c r="V36" s="392" t="str">
        <f>O36</f>
        <v>Honduras</v>
      </c>
      <c r="W36" s="392" t="s">
        <v>70</v>
      </c>
      <c r="Y36" s="109">
        <f t="shared" si="8"/>
        <v>0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0</v>
      </c>
      <c r="AG36" s="108">
        <f t="shared" si="3"/>
        <v>0</v>
      </c>
      <c r="AH36" s="108">
        <f t="shared" si="4"/>
        <v>0</v>
      </c>
      <c r="AI36" s="108">
        <f t="shared" si="10"/>
        <v>0</v>
      </c>
      <c r="AJ36" s="108">
        <f t="shared" si="5"/>
        <v>0</v>
      </c>
      <c r="AK36" s="108">
        <f t="shared" si="6"/>
        <v>0</v>
      </c>
      <c r="AL36" s="108">
        <f t="shared" si="7"/>
        <v>0</v>
      </c>
      <c r="AM36" s="120">
        <f>AO36</f>
        <v>0</v>
      </c>
      <c r="AN36" s="118" t="s">
        <v>28</v>
      </c>
      <c r="AO36" s="115">
        <f>IF(Uitslag!T36="",0,IF(T36=Uitslag!T36,10,0))</f>
        <v>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2</v>
      </c>
      <c r="H37" s="367" t="s">
        <v>9</v>
      </c>
      <c r="I37" s="440">
        <v>2</v>
      </c>
      <c r="J37" s="369">
        <f t="shared" si="0"/>
        <v>3</v>
      </c>
      <c r="K37" s="363">
        <f t="shared" si="1"/>
        <v>1</v>
      </c>
      <c r="L37" s="363">
        <f t="shared" si="2"/>
        <v>1</v>
      </c>
      <c r="O37" s="392"/>
      <c r="P37" s="393"/>
      <c r="Q37" s="393"/>
      <c r="R37" s="393"/>
      <c r="S37" s="393"/>
      <c r="T37" s="393"/>
      <c r="U37" s="392"/>
      <c r="V37" s="392"/>
      <c r="W37" s="392"/>
      <c r="Y37" s="109">
        <f t="shared" si="8"/>
        <v>0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0</v>
      </c>
      <c r="AG37" s="108">
        <f t="shared" si="3"/>
        <v>0</v>
      </c>
      <c r="AH37" s="108">
        <f t="shared" si="4"/>
        <v>0</v>
      </c>
      <c r="AI37" s="108">
        <f t="shared" si="10"/>
        <v>0</v>
      </c>
      <c r="AJ37" s="108">
        <f t="shared" si="5"/>
        <v>0</v>
      </c>
      <c r="AK37" s="108">
        <f t="shared" si="6"/>
        <v>0</v>
      </c>
      <c r="AL37" s="108">
        <f t="shared" si="7"/>
        <v>0</v>
      </c>
      <c r="AN37" s="392"/>
      <c r="AO37" s="393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0</v>
      </c>
      <c r="H38" s="373" t="s">
        <v>9</v>
      </c>
      <c r="I38" s="441">
        <v>0</v>
      </c>
      <c r="J38" s="375">
        <f t="shared" si="0"/>
        <v>3</v>
      </c>
      <c r="K38" s="363">
        <f t="shared" si="1"/>
        <v>1</v>
      </c>
      <c r="L38" s="363">
        <f t="shared" si="2"/>
        <v>1</v>
      </c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392"/>
      <c r="V38" s="392"/>
      <c r="W38" s="392"/>
      <c r="Y38" s="109">
        <f t="shared" si="8"/>
        <v>0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0</v>
      </c>
      <c r="AG38" s="108">
        <f t="shared" si="3"/>
        <v>0</v>
      </c>
      <c r="AH38" s="108">
        <f t="shared" si="4"/>
        <v>0</v>
      </c>
      <c r="AI38" s="108">
        <f t="shared" si="10"/>
        <v>0</v>
      </c>
      <c r="AJ38" s="108">
        <f t="shared" si="5"/>
        <v>0</v>
      </c>
      <c r="AK38" s="108">
        <f t="shared" si="6"/>
        <v>0</v>
      </c>
      <c r="AL38" s="108">
        <f t="shared" si="7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1</v>
      </c>
      <c r="H39" s="379" t="s">
        <v>9</v>
      </c>
      <c r="I39" s="442">
        <v>2</v>
      </c>
      <c r="J39" s="381">
        <f t="shared" si="0"/>
        <v>2</v>
      </c>
      <c r="K39" s="363">
        <f t="shared" si="1"/>
        <v>0</v>
      </c>
      <c r="L39" s="363">
        <f t="shared" si="2"/>
        <v>3</v>
      </c>
      <c r="O39" s="394" t="s">
        <v>29</v>
      </c>
      <c r="P39" s="395">
        <f>SUMIF($D$8:$D$55,$O39,$G$8:$G$55)+SUMIF($F$8:$F$55,$O39,$I$8:$I$55)</f>
        <v>5</v>
      </c>
      <c r="Q39" s="395">
        <f>SUMIF($D$8:$D$55,$O39,$I$8:$I$55)+SUMIF($F$8:$F$55,$O39,$G$8:$G$55)</f>
        <v>1</v>
      </c>
      <c r="R39" s="396">
        <f>P39-Q39</f>
        <v>4</v>
      </c>
      <c r="S39" s="397">
        <f>SUMIF($D$8:$D$55,$O39,$K$8:$K$55)+SUMIF($F$8:$F$55,$O39,$L$8:$L$55)</f>
        <v>7</v>
      </c>
      <c r="T39" s="444" t="s">
        <v>72</v>
      </c>
      <c r="U39" s="392"/>
      <c r="V39" s="392" t="str">
        <f>O39</f>
        <v>Argentinië</v>
      </c>
      <c r="W39" s="392" t="s">
        <v>72</v>
      </c>
      <c r="Y39" s="109">
        <f t="shared" si="8"/>
        <v>1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1</v>
      </c>
      <c r="AG39" s="108">
        <f t="shared" si="3"/>
        <v>0</v>
      </c>
      <c r="AH39" s="108">
        <f t="shared" si="4"/>
        <v>1</v>
      </c>
      <c r="AI39" s="108">
        <f t="shared" si="10"/>
        <v>0</v>
      </c>
      <c r="AJ39" s="108">
        <f t="shared" si="5"/>
        <v>0</v>
      </c>
      <c r="AK39" s="108">
        <f t="shared" si="6"/>
        <v>0</v>
      </c>
      <c r="AL39" s="108">
        <f t="shared" si="7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0</v>
      </c>
      <c r="H40" s="367" t="s">
        <v>9</v>
      </c>
      <c r="I40" s="440">
        <v>3</v>
      </c>
      <c r="J40" s="369">
        <f t="shared" si="0"/>
        <v>2</v>
      </c>
      <c r="K40" s="363">
        <f t="shared" si="1"/>
        <v>0</v>
      </c>
      <c r="L40" s="363">
        <f t="shared" si="2"/>
        <v>3</v>
      </c>
      <c r="O40" s="398" t="s">
        <v>30</v>
      </c>
      <c r="P40" s="399">
        <f>SUMIF($D$8:$D$55,$O40,$G$8:$G$55)+SUMIF($F$8:$F$55,$O40,$I$8:$I$55)</f>
        <v>3</v>
      </c>
      <c r="Q40" s="399">
        <f>SUMIF($D$8:$D$55,$O40,$I$8:$I$55)+SUMIF($F$8:$F$55,$O40,$G$8:$G$55)</f>
        <v>2</v>
      </c>
      <c r="R40" s="399">
        <f>P40-Q40</f>
        <v>1</v>
      </c>
      <c r="S40" s="400">
        <f>SUMIF($D$8:$D$55,$O40,$K$8:$K$55)+SUMIF($F$8:$F$55,$O40,$L$8:$L$55)</f>
        <v>6</v>
      </c>
      <c r="T40" s="445" t="s">
        <v>73</v>
      </c>
      <c r="U40" s="392"/>
      <c r="V40" s="392" t="str">
        <f>O40</f>
        <v>Bosnië H.</v>
      </c>
      <c r="W40" s="392" t="s">
        <v>73</v>
      </c>
      <c r="Y40" s="109">
        <f t="shared" si="8"/>
        <v>10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10</v>
      </c>
      <c r="AG40" s="108">
        <f t="shared" si="3"/>
        <v>1</v>
      </c>
      <c r="AH40" s="108">
        <f t="shared" si="4"/>
        <v>1</v>
      </c>
      <c r="AI40" s="108">
        <f t="shared" si="10"/>
        <v>10</v>
      </c>
      <c r="AJ40" s="108">
        <f t="shared" si="5"/>
        <v>0</v>
      </c>
      <c r="AK40" s="108">
        <f t="shared" si="6"/>
        <v>5</v>
      </c>
      <c r="AL40" s="108">
        <f t="shared" si="7"/>
        <v>0</v>
      </c>
      <c r="AM40" s="120">
        <f>AO40</f>
        <v>0</v>
      </c>
      <c r="AN40" s="117" t="s">
        <v>30</v>
      </c>
      <c r="AO40" s="115">
        <f>IF(Uitslag!T40="",0,IF(T40=Uitslag!T40,10,0))</f>
        <v>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1</v>
      </c>
      <c r="H41" s="373" t="s">
        <v>9</v>
      </c>
      <c r="I41" s="441">
        <v>1</v>
      </c>
      <c r="J41" s="375">
        <f t="shared" si="0"/>
        <v>3</v>
      </c>
      <c r="K41" s="363">
        <f t="shared" si="1"/>
        <v>1</v>
      </c>
      <c r="L41" s="363">
        <f t="shared" si="2"/>
        <v>1</v>
      </c>
      <c r="O41" s="398" t="s">
        <v>33</v>
      </c>
      <c r="P41" s="399">
        <f>SUMIF($D$8:$D$55,$O41,$G$8:$G$55)+SUMIF($F$8:$F$55,$O41,$I$8:$I$55)</f>
        <v>0</v>
      </c>
      <c r="Q41" s="399">
        <f>SUMIF($D$8:$D$55,$O41,$I$8:$I$55)+SUMIF($F$8:$F$55,$O41,$G$8:$G$55)</f>
        <v>5</v>
      </c>
      <c r="R41" s="399">
        <f>P41-Q41</f>
        <v>-5</v>
      </c>
      <c r="S41" s="400">
        <f>SUMIF($D$8:$D$55,$O41,$K$8:$K$55)+SUMIF($F$8:$F$55,$O41,$L$8:$L$55)</f>
        <v>0</v>
      </c>
      <c r="T41" s="445" t="s">
        <v>75</v>
      </c>
      <c r="U41" s="392"/>
      <c r="V41" s="392" t="str">
        <f>O41</f>
        <v>Iran</v>
      </c>
      <c r="W41" s="392" t="s">
        <v>74</v>
      </c>
      <c r="Y41" s="109">
        <f t="shared" si="8"/>
        <v>0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0</v>
      </c>
      <c r="AG41" s="108">
        <f t="shared" si="3"/>
        <v>0</v>
      </c>
      <c r="AH41" s="108">
        <f t="shared" si="4"/>
        <v>0</v>
      </c>
      <c r="AI41" s="108">
        <f t="shared" si="10"/>
        <v>0</v>
      </c>
      <c r="AJ41" s="108">
        <f t="shared" si="5"/>
        <v>0</v>
      </c>
      <c r="AK41" s="108">
        <f t="shared" si="6"/>
        <v>0</v>
      </c>
      <c r="AL41" s="108">
        <f t="shared" si="7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0</v>
      </c>
      <c r="H42" s="373" t="s">
        <v>9</v>
      </c>
      <c r="I42" s="441">
        <v>1</v>
      </c>
      <c r="J42" s="375">
        <f t="shared" si="0"/>
        <v>2</v>
      </c>
      <c r="K42" s="363">
        <f t="shared" si="1"/>
        <v>0</v>
      </c>
      <c r="L42" s="363">
        <f t="shared" si="2"/>
        <v>3</v>
      </c>
      <c r="O42" s="401" t="s">
        <v>34</v>
      </c>
      <c r="P42" s="402">
        <f>SUMIF($D$8:$D$55,$O42,$G$8:$G$55)+SUMIF($F$8:$F$55,$O42,$I$8:$I$55)</f>
        <v>2</v>
      </c>
      <c r="Q42" s="402">
        <f>SUMIF($D$8:$D$55,$O42,$I$8:$I$55)+SUMIF($F$8:$F$55,$O42,$G$8:$G$55)</f>
        <v>2</v>
      </c>
      <c r="R42" s="402">
        <f>P42-Q42</f>
        <v>0</v>
      </c>
      <c r="S42" s="403">
        <f>SUMIF($D$8:$D$55,$O42,$K$8:$K$55)+SUMIF($F$8:$F$55,$O42,$L$8:$L$55)</f>
        <v>4</v>
      </c>
      <c r="T42" s="446" t="s">
        <v>74</v>
      </c>
      <c r="U42" s="392"/>
      <c r="V42" s="392" t="str">
        <f>O42</f>
        <v>Nigeria</v>
      </c>
      <c r="W42" s="392" t="s">
        <v>75</v>
      </c>
      <c r="Y42" s="109">
        <f t="shared" si="8"/>
        <v>5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5</v>
      </c>
      <c r="AG42" s="108">
        <f t="shared" si="3"/>
        <v>0</v>
      </c>
      <c r="AH42" s="108">
        <f t="shared" si="4"/>
        <v>0</v>
      </c>
      <c r="AI42" s="108">
        <f t="shared" si="10"/>
        <v>0</v>
      </c>
      <c r="AJ42" s="108">
        <f t="shared" si="5"/>
        <v>0</v>
      </c>
      <c r="AK42" s="108">
        <f t="shared" si="6"/>
        <v>5</v>
      </c>
      <c r="AL42" s="108">
        <f t="shared" si="7"/>
        <v>0</v>
      </c>
      <c r="AM42" s="120">
        <f>AO42</f>
        <v>0</v>
      </c>
      <c r="AN42" s="118" t="s">
        <v>34</v>
      </c>
      <c r="AO42" s="115">
        <f>IF(Uitslag!T42="",0,IF(T42=Uitslag!T42,10,0))</f>
        <v>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1</v>
      </c>
      <c r="H43" s="379" t="s">
        <v>9</v>
      </c>
      <c r="I43" s="442">
        <v>2</v>
      </c>
      <c r="J43" s="381">
        <f t="shared" si="0"/>
        <v>2</v>
      </c>
      <c r="K43" s="363">
        <f t="shared" si="1"/>
        <v>0</v>
      </c>
      <c r="L43" s="363">
        <f t="shared" si="2"/>
        <v>3</v>
      </c>
      <c r="O43" s="392"/>
      <c r="P43" s="393"/>
      <c r="Q43" s="393"/>
      <c r="R43" s="393"/>
      <c r="S43" s="393"/>
      <c r="T43" s="393"/>
      <c r="U43" s="392"/>
      <c r="V43" s="392"/>
      <c r="W43" s="392"/>
      <c r="Y43" s="109">
        <f t="shared" si="8"/>
        <v>6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6</v>
      </c>
      <c r="AG43" s="108">
        <f t="shared" si="3"/>
        <v>1</v>
      </c>
      <c r="AH43" s="108">
        <f t="shared" si="4"/>
        <v>0</v>
      </c>
      <c r="AI43" s="108">
        <f t="shared" si="10"/>
        <v>0</v>
      </c>
      <c r="AJ43" s="108">
        <f t="shared" si="5"/>
        <v>0</v>
      </c>
      <c r="AK43" s="108">
        <f t="shared" si="6"/>
        <v>5</v>
      </c>
      <c r="AL43" s="108">
        <f t="shared" si="7"/>
        <v>0</v>
      </c>
      <c r="AN43" s="392"/>
      <c r="AO43" s="393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1</v>
      </c>
      <c r="H44" s="367" t="s">
        <v>9</v>
      </c>
      <c r="I44" s="440">
        <v>1</v>
      </c>
      <c r="J44" s="369">
        <f t="shared" si="0"/>
        <v>3</v>
      </c>
      <c r="K44" s="363">
        <f t="shared" si="1"/>
        <v>1</v>
      </c>
      <c r="L44" s="363">
        <f t="shared" si="2"/>
        <v>1</v>
      </c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392"/>
      <c r="V44" s="392"/>
      <c r="W44" s="392"/>
      <c r="Y44" s="109">
        <f t="shared" si="8"/>
        <v>1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1</v>
      </c>
      <c r="AG44" s="108">
        <f t="shared" si="3"/>
        <v>0</v>
      </c>
      <c r="AH44" s="108">
        <f t="shared" si="4"/>
        <v>1</v>
      </c>
      <c r="AI44" s="108">
        <f t="shared" si="10"/>
        <v>0</v>
      </c>
      <c r="AJ44" s="108">
        <f t="shared" si="5"/>
        <v>0</v>
      </c>
      <c r="AK44" s="108">
        <f t="shared" si="6"/>
        <v>0</v>
      </c>
      <c r="AL44" s="108">
        <f t="shared" si="7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1</v>
      </c>
      <c r="H45" s="373" t="s">
        <v>9</v>
      </c>
      <c r="I45" s="441">
        <v>1</v>
      </c>
      <c r="J45" s="375">
        <f t="shared" si="0"/>
        <v>3</v>
      </c>
      <c r="K45" s="363">
        <f t="shared" si="1"/>
        <v>1</v>
      </c>
      <c r="L45" s="363">
        <f t="shared" si="2"/>
        <v>1</v>
      </c>
      <c r="O45" s="394" t="s">
        <v>31</v>
      </c>
      <c r="P45" s="395">
        <f>SUMIF($D$8:$D$55,$O45,$G$8:$G$55)+SUMIF($F$8:$F$55,$O45,$I$8:$I$55)</f>
        <v>7</v>
      </c>
      <c r="Q45" s="395">
        <f>SUMIF($D$8:$D$55,$O45,$I$8:$I$55)+SUMIF($F$8:$F$55,$O45,$G$8:$G$55)</f>
        <v>2</v>
      </c>
      <c r="R45" s="396">
        <f>P45-Q45</f>
        <v>5</v>
      </c>
      <c r="S45" s="397">
        <f>SUMIF($D$8:$D$55,$O45,$K$8:$K$55)+SUMIF($F$8:$F$55,$O45,$L$8:$L$55)</f>
        <v>9</v>
      </c>
      <c r="T45" s="444" t="s">
        <v>77</v>
      </c>
      <c r="U45" s="392"/>
      <c r="V45" s="392" t="str">
        <f>O45</f>
        <v>Duitsland</v>
      </c>
      <c r="W45" s="392" t="s">
        <v>77</v>
      </c>
      <c r="Y45" s="109">
        <f t="shared" si="8"/>
        <v>5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5</v>
      </c>
      <c r="AG45" s="108">
        <f t="shared" si="3"/>
        <v>0</v>
      </c>
      <c r="AH45" s="108">
        <f t="shared" si="4"/>
        <v>0</v>
      </c>
      <c r="AI45" s="108">
        <f t="shared" si="10"/>
        <v>0</v>
      </c>
      <c r="AJ45" s="108">
        <f t="shared" si="5"/>
        <v>0</v>
      </c>
      <c r="AK45" s="108">
        <f t="shared" si="6"/>
        <v>0</v>
      </c>
      <c r="AL45" s="108">
        <f t="shared" si="7"/>
        <v>5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0</v>
      </c>
      <c r="H46" s="373" t="s">
        <v>9</v>
      </c>
      <c r="I46" s="441">
        <v>1</v>
      </c>
      <c r="J46" s="375">
        <f t="shared" si="0"/>
        <v>2</v>
      </c>
      <c r="K46" s="363">
        <f t="shared" si="1"/>
        <v>0</v>
      </c>
      <c r="L46" s="363">
        <f t="shared" si="2"/>
        <v>3</v>
      </c>
      <c r="O46" s="398" t="s">
        <v>32</v>
      </c>
      <c r="P46" s="399">
        <f>SUMIF($D$8:$D$55,$O46,$G$8:$G$55)+SUMIF($F$8:$F$55,$O46,$I$8:$I$55)</f>
        <v>4</v>
      </c>
      <c r="Q46" s="399">
        <f>SUMIF($D$8:$D$55,$O46,$I$8:$I$55)+SUMIF($F$8:$F$55,$O46,$G$8:$G$55)</f>
        <v>3</v>
      </c>
      <c r="R46" s="399">
        <f>P46-Q46</f>
        <v>1</v>
      </c>
      <c r="S46" s="400">
        <f>SUMIF($D$8:$D$55,$O46,$K$8:$K$55)+SUMIF($F$8:$F$55,$O46,$L$8:$L$55)</f>
        <v>6</v>
      </c>
      <c r="T46" s="445" t="s">
        <v>78</v>
      </c>
      <c r="U46" s="392"/>
      <c r="V46" s="392" t="str">
        <f>O46</f>
        <v>Portugal</v>
      </c>
      <c r="W46" s="392" t="s">
        <v>78</v>
      </c>
      <c r="Y46" s="109">
        <f t="shared" si="8"/>
        <v>5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5</v>
      </c>
      <c r="AG46" s="108">
        <f t="shared" si="3"/>
        <v>0</v>
      </c>
      <c r="AH46" s="108">
        <f t="shared" si="4"/>
        <v>0</v>
      </c>
      <c r="AI46" s="108">
        <f t="shared" si="10"/>
        <v>0</v>
      </c>
      <c r="AJ46" s="108">
        <f t="shared" si="5"/>
        <v>0</v>
      </c>
      <c r="AK46" s="108">
        <f t="shared" si="6"/>
        <v>5</v>
      </c>
      <c r="AL46" s="108">
        <f t="shared" si="7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0</v>
      </c>
      <c r="H47" s="379" t="s">
        <v>9</v>
      </c>
      <c r="I47" s="442">
        <v>0</v>
      </c>
      <c r="J47" s="381">
        <f t="shared" si="0"/>
        <v>3</v>
      </c>
      <c r="K47" s="363">
        <f t="shared" si="1"/>
        <v>1</v>
      </c>
      <c r="L47" s="363">
        <f t="shared" si="2"/>
        <v>1</v>
      </c>
      <c r="O47" s="398" t="s">
        <v>35</v>
      </c>
      <c r="P47" s="399">
        <f>SUMIF($D$8:$D$55,$O47,$G$8:$G$55)+SUMIF($F$8:$F$55,$O47,$I$8:$I$55)</f>
        <v>1</v>
      </c>
      <c r="Q47" s="399">
        <f>SUMIF($D$8:$D$55,$O47,$I$8:$I$55)+SUMIF($F$8:$F$55,$O47,$G$8:$G$55)</f>
        <v>4</v>
      </c>
      <c r="R47" s="399">
        <f>P47-Q47</f>
        <v>-3</v>
      </c>
      <c r="S47" s="400">
        <f>SUMIF($D$8:$D$55,$O47,$K$8:$K$55)+SUMIF($F$8:$F$55,$O47,$L$8:$L$55)</f>
        <v>1</v>
      </c>
      <c r="T47" s="445" t="s">
        <v>80</v>
      </c>
      <c r="U47" s="392"/>
      <c r="V47" s="392" t="str">
        <f>O47</f>
        <v>Ghana</v>
      </c>
      <c r="W47" s="392" t="s">
        <v>79</v>
      </c>
      <c r="Y47" s="109">
        <f t="shared" si="8"/>
        <v>0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0</v>
      </c>
      <c r="AG47" s="108">
        <f t="shared" si="3"/>
        <v>0</v>
      </c>
      <c r="AH47" s="108">
        <f t="shared" si="4"/>
        <v>0</v>
      </c>
      <c r="AI47" s="108">
        <f t="shared" si="10"/>
        <v>0</v>
      </c>
      <c r="AJ47" s="108">
        <f t="shared" si="5"/>
        <v>0</v>
      </c>
      <c r="AK47" s="108">
        <f t="shared" si="6"/>
        <v>0</v>
      </c>
      <c r="AL47" s="108">
        <f t="shared" si="7"/>
        <v>0</v>
      </c>
      <c r="AM47" s="120">
        <f>AO47</f>
        <v>10</v>
      </c>
      <c r="AN47" s="117" t="s">
        <v>35</v>
      </c>
      <c r="AO47" s="115">
        <f>IF(Uitslag!T47="",0,IF(T47=Uitslag!T47,10,0))</f>
        <v>10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1</v>
      </c>
      <c r="H48" s="367" t="s">
        <v>9</v>
      </c>
      <c r="I48" s="440">
        <v>1</v>
      </c>
      <c r="J48" s="369">
        <f t="shared" si="0"/>
        <v>3</v>
      </c>
      <c r="K48" s="363">
        <f t="shared" si="1"/>
        <v>1</v>
      </c>
      <c r="L48" s="363">
        <f t="shared" si="2"/>
        <v>1</v>
      </c>
      <c r="O48" s="401" t="s">
        <v>36</v>
      </c>
      <c r="P48" s="402">
        <f>SUMIF($D$8:$D$55,$O48,$G$8:$G$55)+SUMIF($F$8:$F$55,$O48,$I$8:$I$55)</f>
        <v>3</v>
      </c>
      <c r="Q48" s="402">
        <f>SUMIF($D$8:$D$55,$O48,$I$8:$I$55)+SUMIF($F$8:$F$55,$O48,$G$8:$G$55)</f>
        <v>6</v>
      </c>
      <c r="R48" s="402">
        <f>P48-Q48</f>
        <v>-3</v>
      </c>
      <c r="S48" s="403">
        <f>SUMIF($D$8:$D$55,$O48,$K$8:$K$55)+SUMIF($F$8:$F$55,$O48,$L$8:$L$55)</f>
        <v>1</v>
      </c>
      <c r="T48" s="446" t="s">
        <v>79</v>
      </c>
      <c r="U48" s="392"/>
      <c r="V48" s="392" t="str">
        <f>O48</f>
        <v>Verenigde Staten</v>
      </c>
      <c r="W48" s="392" t="s">
        <v>80</v>
      </c>
      <c r="Y48" s="109">
        <f t="shared" si="8"/>
        <v>0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0</v>
      </c>
      <c r="AG48" s="108">
        <f t="shared" si="3"/>
        <v>0</v>
      </c>
      <c r="AH48" s="108">
        <f t="shared" si="4"/>
        <v>0</v>
      </c>
      <c r="AI48" s="108">
        <f t="shared" si="10"/>
        <v>0</v>
      </c>
      <c r="AJ48" s="108">
        <f t="shared" si="5"/>
        <v>0</v>
      </c>
      <c r="AK48" s="108">
        <f t="shared" si="6"/>
        <v>0</v>
      </c>
      <c r="AL48" s="108">
        <f t="shared" si="7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2</v>
      </c>
      <c r="H49" s="373" t="s">
        <v>9</v>
      </c>
      <c r="I49" s="441">
        <v>0</v>
      </c>
      <c r="J49" s="375">
        <f t="shared" si="0"/>
        <v>1</v>
      </c>
      <c r="K49" s="363">
        <f t="shared" si="1"/>
        <v>3</v>
      </c>
      <c r="L49" s="363">
        <f t="shared" si="2"/>
        <v>0</v>
      </c>
      <c r="O49" s="392"/>
      <c r="P49" s="393"/>
      <c r="Q49" s="393"/>
      <c r="R49" s="393"/>
      <c r="S49" s="393"/>
      <c r="T49" s="393"/>
      <c r="U49" s="392"/>
      <c r="V49" s="392"/>
      <c r="W49" s="392"/>
      <c r="Y49" s="109">
        <f t="shared" si="8"/>
        <v>5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5</v>
      </c>
      <c r="AG49" s="108">
        <f t="shared" si="3"/>
        <v>0</v>
      </c>
      <c r="AH49" s="108">
        <f t="shared" si="4"/>
        <v>0</v>
      </c>
      <c r="AI49" s="108">
        <f t="shared" si="10"/>
        <v>0</v>
      </c>
      <c r="AJ49" s="108">
        <f t="shared" si="5"/>
        <v>5</v>
      </c>
      <c r="AK49" s="108">
        <f t="shared" si="6"/>
        <v>0</v>
      </c>
      <c r="AL49" s="108">
        <f t="shared" si="7"/>
        <v>0</v>
      </c>
      <c r="AN49" s="392"/>
      <c r="AO49" s="393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1</v>
      </c>
      <c r="H50" s="373" t="s">
        <v>9</v>
      </c>
      <c r="I50" s="441">
        <v>1</v>
      </c>
      <c r="J50" s="375">
        <f t="shared" si="0"/>
        <v>3</v>
      </c>
      <c r="K50" s="363">
        <f t="shared" si="1"/>
        <v>1</v>
      </c>
      <c r="L50" s="363">
        <f t="shared" si="2"/>
        <v>1</v>
      </c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392"/>
      <c r="V50" s="392"/>
      <c r="W50" s="392"/>
      <c r="Y50" s="109">
        <f t="shared" si="8"/>
        <v>0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0</v>
      </c>
      <c r="AG50" s="108">
        <f t="shared" si="3"/>
        <v>0</v>
      </c>
      <c r="AH50" s="108">
        <f t="shared" si="4"/>
        <v>0</v>
      </c>
      <c r="AI50" s="108">
        <f t="shared" si="10"/>
        <v>0</v>
      </c>
      <c r="AJ50" s="108">
        <f t="shared" si="5"/>
        <v>0</v>
      </c>
      <c r="AK50" s="108">
        <f t="shared" si="6"/>
        <v>0</v>
      </c>
      <c r="AL50" s="108">
        <f t="shared" si="7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1</v>
      </c>
      <c r="H51" s="379" t="s">
        <v>9</v>
      </c>
      <c r="I51" s="442">
        <v>2</v>
      </c>
      <c r="J51" s="381">
        <f t="shared" si="0"/>
        <v>2</v>
      </c>
      <c r="K51" s="363">
        <f t="shared" si="1"/>
        <v>0</v>
      </c>
      <c r="L51" s="363">
        <f t="shared" si="2"/>
        <v>3</v>
      </c>
      <c r="O51" s="394" t="s">
        <v>37</v>
      </c>
      <c r="P51" s="395">
        <f>SUMIF($D$8:$D$55,$O51,$G$8:$G$55)+SUMIF($F$8:$F$55,$O51,$I$8:$I$55)</f>
        <v>6</v>
      </c>
      <c r="Q51" s="395">
        <f>SUMIF($D$8:$D$55,$O51,$I$8:$I$55)+SUMIF($F$8:$F$55,$O51,$G$8:$G$55)</f>
        <v>2</v>
      </c>
      <c r="R51" s="396">
        <f>P51-Q51</f>
        <v>4</v>
      </c>
      <c r="S51" s="397">
        <f>SUMIF($D$8:$D$55,$O51,$K$8:$K$55)+SUMIF($F$8:$F$55,$O51,$L$8:$L$55)</f>
        <v>7</v>
      </c>
      <c r="T51" s="444" t="s">
        <v>82</v>
      </c>
      <c r="U51" s="392"/>
      <c r="V51" s="392" t="str">
        <f>O51</f>
        <v>België</v>
      </c>
      <c r="W51" s="392" t="s">
        <v>82</v>
      </c>
      <c r="Y51" s="109">
        <f t="shared" si="8"/>
        <v>0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0</v>
      </c>
      <c r="AG51" s="108">
        <f t="shared" si="3"/>
        <v>0</v>
      </c>
      <c r="AH51" s="108">
        <f t="shared" si="4"/>
        <v>0</v>
      </c>
      <c r="AI51" s="108">
        <f t="shared" si="10"/>
        <v>0</v>
      </c>
      <c r="AJ51" s="108">
        <f t="shared" si="5"/>
        <v>0</v>
      </c>
      <c r="AK51" s="108">
        <f t="shared" si="6"/>
        <v>0</v>
      </c>
      <c r="AL51" s="108">
        <f t="shared" si="7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1</v>
      </c>
      <c r="H52" s="373" t="s">
        <v>9</v>
      </c>
      <c r="I52" s="441">
        <v>3</v>
      </c>
      <c r="J52" s="369">
        <f t="shared" si="0"/>
        <v>2</v>
      </c>
      <c r="K52" s="363">
        <f t="shared" si="1"/>
        <v>0</v>
      </c>
      <c r="L52" s="363">
        <f t="shared" si="2"/>
        <v>3</v>
      </c>
      <c r="O52" s="398" t="s">
        <v>38</v>
      </c>
      <c r="P52" s="399">
        <f>SUMIF($D$8:$D$55,$O52,$G$8:$G$55)+SUMIF($F$8:$F$55,$O52,$I$8:$I$55)</f>
        <v>0</v>
      </c>
      <c r="Q52" s="399">
        <f>SUMIF($D$8:$D$55,$O52,$I$8:$I$55)+SUMIF($F$8:$F$55,$O52,$G$8:$G$55)</f>
        <v>3</v>
      </c>
      <c r="R52" s="399">
        <f>P52-Q52</f>
        <v>-3</v>
      </c>
      <c r="S52" s="400">
        <f>SUMIF($D$8:$D$55,$O52,$K$8:$K$55)+SUMIF($F$8:$F$55,$O52,$L$8:$L$55)</f>
        <v>1</v>
      </c>
      <c r="T52" s="445" t="s">
        <v>84</v>
      </c>
      <c r="U52" s="392"/>
      <c r="V52" s="392" t="str">
        <f>O52</f>
        <v>Algerije</v>
      </c>
      <c r="W52" s="392" t="s">
        <v>83</v>
      </c>
      <c r="Y52" s="109">
        <f t="shared" si="8"/>
        <v>5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5</v>
      </c>
      <c r="AG52" s="108">
        <f t="shared" si="3"/>
        <v>0</v>
      </c>
      <c r="AH52" s="108">
        <f t="shared" si="4"/>
        <v>0</v>
      </c>
      <c r="AI52" s="108">
        <f t="shared" si="10"/>
        <v>0</v>
      </c>
      <c r="AJ52" s="108">
        <f t="shared" si="5"/>
        <v>0</v>
      </c>
      <c r="AK52" s="108">
        <f t="shared" si="6"/>
        <v>5</v>
      </c>
      <c r="AL52" s="108">
        <f t="shared" si="7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1</v>
      </c>
      <c r="H53" s="373" t="s">
        <v>9</v>
      </c>
      <c r="I53" s="441">
        <v>0</v>
      </c>
      <c r="J53" s="375">
        <f t="shared" si="0"/>
        <v>1</v>
      </c>
      <c r="K53" s="363">
        <f t="shared" si="1"/>
        <v>3</v>
      </c>
      <c r="L53" s="363">
        <f t="shared" si="2"/>
        <v>0</v>
      </c>
      <c r="O53" s="398" t="s">
        <v>39</v>
      </c>
      <c r="P53" s="399">
        <f>SUMIF($D$8:$D$55,$O53,$G$8:$G$55)+SUMIF($F$8:$F$55,$O53,$I$8:$I$55)</f>
        <v>5</v>
      </c>
      <c r="Q53" s="399">
        <f>SUMIF($D$8:$D$55,$O53,$I$8:$I$55)+SUMIF($F$8:$F$55,$O53,$G$8:$G$55)</f>
        <v>2</v>
      </c>
      <c r="R53" s="399">
        <f>P53-Q53</f>
        <v>3</v>
      </c>
      <c r="S53" s="400">
        <f>SUMIF($D$8:$D$55,$O53,$K$8:$K$55)+SUMIF($F$8:$F$55,$O53,$L$8:$L$55)</f>
        <v>7</v>
      </c>
      <c r="T53" s="445" t="s">
        <v>83</v>
      </c>
      <c r="U53" s="392"/>
      <c r="V53" s="392" t="str">
        <f>O53</f>
        <v>Rusland</v>
      </c>
      <c r="W53" s="392" t="s">
        <v>84</v>
      </c>
      <c r="Y53" s="109">
        <f t="shared" si="8"/>
        <v>5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5</v>
      </c>
      <c r="AG53" s="108">
        <f t="shared" si="3"/>
        <v>0</v>
      </c>
      <c r="AH53" s="108">
        <f t="shared" si="4"/>
        <v>0</v>
      </c>
      <c r="AI53" s="108">
        <f t="shared" si="10"/>
        <v>0</v>
      </c>
      <c r="AJ53" s="108">
        <f t="shared" si="5"/>
        <v>5</v>
      </c>
      <c r="AK53" s="108">
        <f t="shared" si="6"/>
        <v>0</v>
      </c>
      <c r="AL53" s="108">
        <f t="shared" si="7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0</v>
      </c>
      <c r="H54" s="373" t="s">
        <v>9</v>
      </c>
      <c r="I54" s="441">
        <v>2</v>
      </c>
      <c r="J54" s="375">
        <f t="shared" si="0"/>
        <v>2</v>
      </c>
      <c r="K54" s="363">
        <f t="shared" si="1"/>
        <v>0</v>
      </c>
      <c r="L54" s="363">
        <f t="shared" si="2"/>
        <v>3</v>
      </c>
      <c r="O54" s="401" t="s">
        <v>40</v>
      </c>
      <c r="P54" s="402">
        <f>SUMIF($D$8:$D$55,$O54,$G$8:$G$55)+SUMIF($F$8:$F$55,$O54,$I$8:$I$55)</f>
        <v>0</v>
      </c>
      <c r="Q54" s="402">
        <f>SUMIF($D$8:$D$55,$O54,$I$8:$I$55)+SUMIF($F$8:$F$55,$O54,$G$8:$G$55)</f>
        <v>4</v>
      </c>
      <c r="R54" s="402">
        <f>P54-Q54</f>
        <v>-4</v>
      </c>
      <c r="S54" s="403">
        <f>SUMIF($D$8:$D$55,$O54,$K$8:$K$55)+SUMIF($F$8:$F$55,$O54,$L$8:$L$55)</f>
        <v>1</v>
      </c>
      <c r="T54" s="446" t="s">
        <v>85</v>
      </c>
      <c r="U54" s="392"/>
      <c r="V54" s="392" t="str">
        <f>O54</f>
        <v>Zuid Korea</v>
      </c>
      <c r="W54" s="392" t="s">
        <v>85</v>
      </c>
      <c r="Y54" s="109">
        <f t="shared" si="8"/>
        <v>6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6</v>
      </c>
      <c r="AG54" s="108">
        <f t="shared" si="3"/>
        <v>1</v>
      </c>
      <c r="AH54" s="108">
        <f t="shared" si="4"/>
        <v>0</v>
      </c>
      <c r="AI54" s="108">
        <f t="shared" si="10"/>
        <v>0</v>
      </c>
      <c r="AJ54" s="108">
        <f t="shared" si="5"/>
        <v>0</v>
      </c>
      <c r="AK54" s="108">
        <f t="shared" si="6"/>
        <v>5</v>
      </c>
      <c r="AL54" s="108">
        <f t="shared" si="7"/>
        <v>0</v>
      </c>
      <c r="AM54" s="120">
        <f>AO54</f>
        <v>10</v>
      </c>
      <c r="AN54" s="118" t="s">
        <v>40</v>
      </c>
      <c r="AO54" s="115">
        <f>IF(Uitslag!T54="",0,IF(T54=Uitslag!T54,10,0))</f>
        <v>10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0</v>
      </c>
      <c r="H55" s="388" t="s">
        <v>9</v>
      </c>
      <c r="I55" s="443">
        <v>1</v>
      </c>
      <c r="J55" s="390">
        <f t="shared" si="0"/>
        <v>2</v>
      </c>
      <c r="K55" s="363">
        <f t="shared" si="1"/>
        <v>0</v>
      </c>
      <c r="L55" s="363">
        <f t="shared" si="2"/>
        <v>3</v>
      </c>
      <c r="O55" s="392"/>
      <c r="P55" s="393"/>
      <c r="Q55" s="393"/>
      <c r="R55" s="393"/>
      <c r="S55" s="393"/>
      <c r="T55" s="393"/>
      <c r="U55" s="392"/>
      <c r="V55" s="392"/>
      <c r="W55" s="392"/>
      <c r="Y55" s="109">
        <f t="shared" si="8"/>
        <v>1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</v>
      </c>
      <c r="AG55" s="108">
        <f t="shared" si="3"/>
        <v>0</v>
      </c>
      <c r="AH55" s="108">
        <f t="shared" si="4"/>
        <v>1</v>
      </c>
      <c r="AI55" s="108">
        <f t="shared" si="10"/>
        <v>0</v>
      </c>
      <c r="AJ55" s="108">
        <f t="shared" si="5"/>
        <v>0</v>
      </c>
      <c r="AK55" s="108">
        <f t="shared" si="6"/>
        <v>0</v>
      </c>
      <c r="AL55" s="108">
        <f t="shared" si="7"/>
        <v>0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79"/>
      <c r="K57" s="353"/>
      <c r="L57" s="353"/>
      <c r="M57" s="353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77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O58" s="458">
        <v>1</v>
      </c>
      <c r="P58" s="877" t="s">
        <v>224</v>
      </c>
      <c r="Q58" s="877"/>
      <c r="R58" s="877"/>
      <c r="S58" s="877"/>
      <c r="T58" s="878"/>
      <c r="V58" s="352" t="s">
        <v>132</v>
      </c>
      <c r="W58" s="352" t="s">
        <v>124</v>
      </c>
      <c r="X58" s="352" t="str">
        <f t="shared" ref="X58:X98" si="11">CONCATENATE(W58," ",V58)</f>
        <v>Jeroen Zoet (k)</v>
      </c>
      <c r="Y58" s="113" t="s">
        <v>91</v>
      </c>
      <c r="Z58" s="352" t="str">
        <f>IF(K58=""," ",VLOOKUP(K58,$T$9:$V$54,3,FALSE))</f>
        <v xml:space="preserve"> </v>
      </c>
      <c r="AA58" s="352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 t="shared" ref="D59:D66" si="13">IF(ISERROR(Z59),K59,Z59)</f>
        <v>Brazilië</v>
      </c>
      <c r="E59" s="367" t="s">
        <v>9</v>
      </c>
      <c r="F59" s="406" t="str">
        <f t="shared" ref="F59:F66" si="14">IF(ISERROR(AA59),L59,AA59)</f>
        <v>Nederland</v>
      </c>
      <c r="G59" s="435">
        <v>2</v>
      </c>
      <c r="H59" s="367" t="s">
        <v>9</v>
      </c>
      <c r="I59" s="447">
        <v>0</v>
      </c>
      <c r="J59" s="448">
        <v>1</v>
      </c>
      <c r="K59" s="407" t="s">
        <v>48</v>
      </c>
      <c r="L59" s="407" t="s">
        <v>53</v>
      </c>
      <c r="M59" s="407">
        <v>1</v>
      </c>
      <c r="O59" s="458">
        <v>2</v>
      </c>
      <c r="P59" s="877" t="s">
        <v>212</v>
      </c>
      <c r="Q59" s="877"/>
      <c r="R59" s="877"/>
      <c r="S59" s="877"/>
      <c r="T59" s="878"/>
      <c r="V59" s="352" t="s">
        <v>132</v>
      </c>
      <c r="W59" s="352" t="s">
        <v>111</v>
      </c>
      <c r="X59" s="352" t="str">
        <f t="shared" si="11"/>
        <v>Jasper Cillessen (k)</v>
      </c>
      <c r="Y59" s="109">
        <f t="shared" ref="Y59:Y66" si="15">AF59</f>
        <v>0</v>
      </c>
      <c r="Z59" s="352" t="str">
        <f t="shared" ref="Z59:AA65" si="16">IF(K59=""," ",VLOOKUP(K59,$T$9:$V$54,3,FALSE))</f>
        <v>Brazilië</v>
      </c>
      <c r="AA59" s="352" t="str">
        <f t="shared" si="16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7">IF(OR(AC59="",AD59=""),0,(IF(SUM(AG59:AL59)&gt;10,10,SUM(AG59:AL59))))</f>
        <v>0</v>
      </c>
      <c r="AG59" s="108">
        <f t="shared" ref="AG59:AG66" si="18">IF(AC59="",0,(IF(G59=AC59,1,0)))</f>
        <v>0</v>
      </c>
      <c r="AH59" s="108">
        <f t="shared" ref="AH59:AH66" si="19">IF(AD59="",0,(IF(I59=AD59,1,0)))</f>
        <v>0</v>
      </c>
      <c r="AI59" s="108">
        <f t="shared" ref="AI59:AI66" si="20">IF(AND(AG59=1,AH59=1),10,0)</f>
        <v>0</v>
      </c>
      <c r="AJ59" s="108">
        <f t="shared" ref="AJ59:AJ66" si="21">IF(AND(G59&gt;I59,AC59&gt;AD59),5,0)</f>
        <v>0</v>
      </c>
      <c r="AK59" s="108">
        <f t="shared" ref="AK59:AK66" si="22">IF(AND(G59&lt;I59,AC59&lt;AD59),5,0)</f>
        <v>0</v>
      </c>
      <c r="AL59" s="108">
        <f t="shared" ref="AL59:AL66" si="23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4">BA59</f>
        <v>3</v>
      </c>
    </row>
    <row r="60" spans="2:54">
      <c r="B60" s="376">
        <v>50</v>
      </c>
      <c r="C60" s="466">
        <v>41818</v>
      </c>
      <c r="D60" s="460" t="str">
        <f t="shared" si="13"/>
        <v>Ivoorkust</v>
      </c>
      <c r="E60" s="379" t="s">
        <v>9</v>
      </c>
      <c r="F60" s="409" t="str">
        <f t="shared" si="14"/>
        <v>Costa Rica</v>
      </c>
      <c r="G60" s="437">
        <v>1</v>
      </c>
      <c r="H60" s="379" t="s">
        <v>9</v>
      </c>
      <c r="I60" s="449">
        <v>1</v>
      </c>
      <c r="J60" s="450">
        <v>2</v>
      </c>
      <c r="K60" s="407" t="s">
        <v>57</v>
      </c>
      <c r="L60" s="407" t="s">
        <v>63</v>
      </c>
      <c r="M60" s="407">
        <v>2</v>
      </c>
      <c r="O60" s="458">
        <v>3</v>
      </c>
      <c r="P60" s="877" t="s">
        <v>220</v>
      </c>
      <c r="Q60" s="877"/>
      <c r="R60" s="877"/>
      <c r="S60" s="877"/>
      <c r="T60" s="878"/>
      <c r="V60" s="352" t="s">
        <v>132</v>
      </c>
      <c r="W60" s="352" t="s">
        <v>110</v>
      </c>
      <c r="X60" s="352" t="str">
        <f t="shared" si="11"/>
        <v>Kenneth Vermeer (k)</v>
      </c>
      <c r="Y60" s="109">
        <f t="shared" si="15"/>
        <v>0</v>
      </c>
      <c r="Z60" s="352" t="str">
        <f t="shared" si="16"/>
        <v>Ivoorkust</v>
      </c>
      <c r="AA60" s="352" t="str">
        <f t="shared" si="16"/>
        <v>Costa Rica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7"/>
        <v>0</v>
      </c>
      <c r="AG60" s="108">
        <f t="shared" si="18"/>
        <v>0</v>
      </c>
      <c r="AH60" s="108">
        <f t="shared" si="19"/>
        <v>0</v>
      </c>
      <c r="AI60" s="108">
        <f t="shared" si="20"/>
        <v>0</v>
      </c>
      <c r="AJ60" s="108">
        <f t="shared" si="21"/>
        <v>0</v>
      </c>
      <c r="AK60" s="108">
        <f t="shared" si="22"/>
        <v>0</v>
      </c>
      <c r="AL60" s="108">
        <f t="shared" si="23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4"/>
        <v>3</v>
      </c>
    </row>
    <row r="61" spans="2:54">
      <c r="B61" s="364">
        <v>51</v>
      </c>
      <c r="C61" s="465">
        <v>41819</v>
      </c>
      <c r="D61" s="464" t="str">
        <f t="shared" si="13"/>
        <v>Spanje</v>
      </c>
      <c r="E61" s="367" t="s">
        <v>9</v>
      </c>
      <c r="F61" s="406" t="str">
        <f t="shared" si="14"/>
        <v>Mexico</v>
      </c>
      <c r="G61" s="435">
        <v>2</v>
      </c>
      <c r="H61" s="367" t="s">
        <v>9</v>
      </c>
      <c r="I61" s="447">
        <v>0</v>
      </c>
      <c r="J61" s="448">
        <v>1</v>
      </c>
      <c r="K61" s="407" t="s">
        <v>52</v>
      </c>
      <c r="L61" s="407" t="s">
        <v>49</v>
      </c>
      <c r="M61" s="407"/>
      <c r="O61" s="458">
        <v>4</v>
      </c>
      <c r="P61" s="877" t="s">
        <v>211</v>
      </c>
      <c r="Q61" s="877"/>
      <c r="R61" s="877"/>
      <c r="S61" s="877"/>
      <c r="T61" s="878"/>
      <c r="V61" s="352" t="s">
        <v>132</v>
      </c>
      <c r="W61" s="352" t="s">
        <v>191</v>
      </c>
      <c r="X61" s="352" t="str">
        <f t="shared" si="11"/>
        <v>Tim Krul (k)</v>
      </c>
      <c r="Y61" s="109">
        <f t="shared" si="15"/>
        <v>6</v>
      </c>
      <c r="Z61" s="352" t="str">
        <f t="shared" si="16"/>
        <v>Spanje</v>
      </c>
      <c r="AA61" s="352" t="str">
        <f t="shared" si="16"/>
        <v>Mexico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7"/>
        <v>6</v>
      </c>
      <c r="AG61" s="108">
        <f t="shared" si="18"/>
        <v>1</v>
      </c>
      <c r="AH61" s="108">
        <f t="shared" si="19"/>
        <v>0</v>
      </c>
      <c r="AI61" s="108">
        <f t="shared" si="20"/>
        <v>0</v>
      </c>
      <c r="AJ61" s="108">
        <f t="shared" si="21"/>
        <v>5</v>
      </c>
      <c r="AK61" s="108">
        <f t="shared" si="22"/>
        <v>0</v>
      </c>
      <c r="AL61" s="108">
        <f t="shared" si="23"/>
        <v>0</v>
      </c>
      <c r="AZ61" s="138" t="str">
        <f>Uitslag!P61</f>
        <v>Ron Vlaar (v)</v>
      </c>
      <c r="BA61" s="140">
        <f t="shared" si="12"/>
        <v>3</v>
      </c>
      <c r="BB61" s="139">
        <f t="shared" si="24"/>
        <v>3</v>
      </c>
    </row>
    <row r="62" spans="2:54">
      <c r="B62" s="376">
        <v>52</v>
      </c>
      <c r="C62" s="466">
        <v>41819</v>
      </c>
      <c r="D62" s="464" t="str">
        <f t="shared" si="13"/>
        <v>Italië</v>
      </c>
      <c r="E62" s="379" t="s">
        <v>9</v>
      </c>
      <c r="F62" s="409" t="str">
        <f t="shared" si="14"/>
        <v>Colombia</v>
      </c>
      <c r="G62" s="437">
        <v>1</v>
      </c>
      <c r="H62" s="379" t="s">
        <v>9</v>
      </c>
      <c r="I62" s="449">
        <v>0</v>
      </c>
      <c r="J62" s="450">
        <v>1</v>
      </c>
      <c r="K62" s="407" t="s">
        <v>62</v>
      </c>
      <c r="L62" s="407" t="s">
        <v>58</v>
      </c>
      <c r="M62" s="407"/>
      <c r="O62" s="458">
        <v>5</v>
      </c>
      <c r="P62" s="877" t="s">
        <v>209</v>
      </c>
      <c r="Q62" s="877"/>
      <c r="R62" s="877"/>
      <c r="S62" s="877"/>
      <c r="T62" s="878"/>
      <c r="V62" s="352" t="s">
        <v>132</v>
      </c>
      <c r="W62" s="352" t="s">
        <v>192</v>
      </c>
      <c r="X62" s="352" t="str">
        <f t="shared" si="11"/>
        <v>Maarten Stekelenburg (k)</v>
      </c>
      <c r="Y62" s="109">
        <f t="shared" si="15"/>
        <v>1</v>
      </c>
      <c r="Z62" s="352" t="str">
        <f t="shared" si="16"/>
        <v>Italië</v>
      </c>
      <c r="AA62" s="352" t="str">
        <f t="shared" si="16"/>
        <v>Colombia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7"/>
        <v>1</v>
      </c>
      <c r="AG62" s="108">
        <f t="shared" si="18"/>
        <v>1</v>
      </c>
      <c r="AH62" s="108">
        <f t="shared" si="19"/>
        <v>0</v>
      </c>
      <c r="AI62" s="108">
        <f t="shared" si="20"/>
        <v>0</v>
      </c>
      <c r="AJ62" s="108">
        <f t="shared" si="21"/>
        <v>0</v>
      </c>
      <c r="AK62" s="108">
        <f t="shared" si="22"/>
        <v>0</v>
      </c>
      <c r="AL62" s="108">
        <f t="shared" si="23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4"/>
        <v>3</v>
      </c>
    </row>
    <row r="63" spans="2:54">
      <c r="B63" s="364">
        <v>53</v>
      </c>
      <c r="C63" s="465">
        <v>41820</v>
      </c>
      <c r="D63" s="459" t="str">
        <f t="shared" si="13"/>
        <v>Frankrijk</v>
      </c>
      <c r="E63" s="367" t="s">
        <v>9</v>
      </c>
      <c r="F63" s="406" t="str">
        <f t="shared" si="14"/>
        <v>Bosnië H.</v>
      </c>
      <c r="G63" s="435">
        <v>0</v>
      </c>
      <c r="H63" s="367" t="s">
        <v>9</v>
      </c>
      <c r="I63" s="447">
        <v>1</v>
      </c>
      <c r="J63" s="448">
        <v>2</v>
      </c>
      <c r="K63" s="407" t="s">
        <v>67</v>
      </c>
      <c r="L63" s="407" t="s">
        <v>73</v>
      </c>
      <c r="M63" s="407"/>
      <c r="O63" s="458">
        <v>6</v>
      </c>
      <c r="P63" s="877" t="s">
        <v>222</v>
      </c>
      <c r="Q63" s="877"/>
      <c r="R63" s="877"/>
      <c r="S63" s="877"/>
      <c r="T63" s="878"/>
      <c r="V63" s="352" t="s">
        <v>132</v>
      </c>
      <c r="W63" s="352" t="s">
        <v>193</v>
      </c>
      <c r="X63" s="352" t="str">
        <f t="shared" si="11"/>
        <v>Michel Vorm (k)</v>
      </c>
      <c r="Y63" s="109">
        <f t="shared" si="15"/>
        <v>0</v>
      </c>
      <c r="Z63" s="352" t="str">
        <f t="shared" si="16"/>
        <v>Frankrijk</v>
      </c>
      <c r="AA63" s="352" t="str">
        <f t="shared" si="16"/>
        <v>Bosnië H.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7"/>
        <v>0</v>
      </c>
      <c r="AG63" s="108">
        <f t="shared" si="18"/>
        <v>0</v>
      </c>
      <c r="AH63" s="108">
        <f t="shared" si="19"/>
        <v>0</v>
      </c>
      <c r="AI63" s="108">
        <f t="shared" si="20"/>
        <v>0</v>
      </c>
      <c r="AJ63" s="108">
        <f t="shared" si="21"/>
        <v>0</v>
      </c>
      <c r="AK63" s="108">
        <f t="shared" si="22"/>
        <v>0</v>
      </c>
      <c r="AL63" s="108">
        <f t="shared" si="23"/>
        <v>0</v>
      </c>
      <c r="AZ63" s="138" t="str">
        <f>Uitslag!P63</f>
        <v>Daley Blind (v)</v>
      </c>
      <c r="BA63" s="140">
        <f t="shared" si="12"/>
        <v>0</v>
      </c>
      <c r="BB63" s="139">
        <f t="shared" si="24"/>
        <v>0</v>
      </c>
    </row>
    <row r="64" spans="2:54">
      <c r="B64" s="376">
        <v>54</v>
      </c>
      <c r="C64" s="466">
        <v>41820</v>
      </c>
      <c r="D64" s="460" t="str">
        <f t="shared" si="13"/>
        <v>Duitsland</v>
      </c>
      <c r="E64" s="379" t="s">
        <v>9</v>
      </c>
      <c r="F64" s="409" t="str">
        <f t="shared" si="14"/>
        <v>Rusland</v>
      </c>
      <c r="G64" s="437">
        <v>2</v>
      </c>
      <c r="H64" s="379" t="s">
        <v>9</v>
      </c>
      <c r="I64" s="449">
        <v>0</v>
      </c>
      <c r="J64" s="450">
        <v>1</v>
      </c>
      <c r="K64" s="407" t="s">
        <v>77</v>
      </c>
      <c r="L64" s="407" t="s">
        <v>83</v>
      </c>
      <c r="M64" s="407"/>
      <c r="O64" s="458">
        <v>7</v>
      </c>
      <c r="P64" s="877" t="s">
        <v>282</v>
      </c>
      <c r="Q64" s="877"/>
      <c r="R64" s="877"/>
      <c r="S64" s="877"/>
      <c r="T64" s="878"/>
      <c r="V64" s="352" t="s">
        <v>133</v>
      </c>
      <c r="W64" s="352" t="s">
        <v>112</v>
      </c>
      <c r="X64" s="352" t="str">
        <f t="shared" si="11"/>
        <v>Joël Veltman (v)</v>
      </c>
      <c r="Y64" s="109">
        <f t="shared" si="15"/>
        <v>1</v>
      </c>
      <c r="Z64" s="352" t="str">
        <f t="shared" si="16"/>
        <v>Duitsland</v>
      </c>
      <c r="AA64" s="352" t="str">
        <f t="shared" si="16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7"/>
        <v>1</v>
      </c>
      <c r="AG64" s="108">
        <f t="shared" si="18"/>
        <v>0</v>
      </c>
      <c r="AH64" s="108">
        <f t="shared" si="19"/>
        <v>1</v>
      </c>
      <c r="AI64" s="108">
        <f t="shared" si="20"/>
        <v>0</v>
      </c>
      <c r="AJ64" s="108">
        <f t="shared" si="21"/>
        <v>0</v>
      </c>
      <c r="AK64" s="108">
        <f t="shared" si="22"/>
        <v>0</v>
      </c>
      <c r="AL64" s="108">
        <f t="shared" si="23"/>
        <v>0</v>
      </c>
      <c r="AZ64" s="138" t="str">
        <f>Uitslag!P64</f>
        <v>Wesley Sneijder (m)</v>
      </c>
      <c r="BA64" s="140">
        <f t="shared" si="12"/>
        <v>0</v>
      </c>
      <c r="BB64" s="139">
        <f t="shared" si="24"/>
        <v>0</v>
      </c>
    </row>
    <row r="65" spans="2:54">
      <c r="B65" s="370">
        <v>55</v>
      </c>
      <c r="C65" s="467">
        <v>41821</v>
      </c>
      <c r="D65" s="459" t="str">
        <f t="shared" si="13"/>
        <v>Argentinië</v>
      </c>
      <c r="E65" s="373" t="s">
        <v>9</v>
      </c>
      <c r="F65" s="410" t="str">
        <f t="shared" si="14"/>
        <v>Ecuador</v>
      </c>
      <c r="G65" s="436">
        <v>1</v>
      </c>
      <c r="H65" s="373" t="s">
        <v>9</v>
      </c>
      <c r="I65" s="451">
        <v>0</v>
      </c>
      <c r="J65" s="452">
        <v>1</v>
      </c>
      <c r="K65" s="407" t="s">
        <v>72</v>
      </c>
      <c r="L65" s="407" t="s">
        <v>68</v>
      </c>
      <c r="M65" s="407"/>
      <c r="O65" s="458">
        <v>8</v>
      </c>
      <c r="P65" s="877" t="s">
        <v>214</v>
      </c>
      <c r="Q65" s="877"/>
      <c r="R65" s="877"/>
      <c r="S65" s="877"/>
      <c r="T65" s="878"/>
      <c r="V65" s="352" t="s">
        <v>133</v>
      </c>
      <c r="W65" s="352" t="s">
        <v>109</v>
      </c>
      <c r="X65" s="352" t="str">
        <f t="shared" si="11"/>
        <v>Daley Blind (v)</v>
      </c>
      <c r="Y65" s="109">
        <f t="shared" si="15"/>
        <v>1</v>
      </c>
      <c r="Z65" s="352" t="str">
        <f t="shared" si="16"/>
        <v>Argentinië</v>
      </c>
      <c r="AA65" s="352" t="str">
        <f t="shared" si="16"/>
        <v>Ecuador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7"/>
        <v>1</v>
      </c>
      <c r="AG65" s="108">
        <f t="shared" si="18"/>
        <v>0</v>
      </c>
      <c r="AH65" s="108">
        <f t="shared" si="19"/>
        <v>1</v>
      </c>
      <c r="AI65" s="108">
        <f t="shared" si="20"/>
        <v>0</v>
      </c>
      <c r="AJ65" s="108">
        <f t="shared" si="21"/>
        <v>0</v>
      </c>
      <c r="AK65" s="108">
        <f t="shared" si="22"/>
        <v>0</v>
      </c>
      <c r="AL65" s="108">
        <f t="shared" si="23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4"/>
        <v>3</v>
      </c>
    </row>
    <row r="66" spans="2:54" ht="15.75" thickBot="1">
      <c r="B66" s="385">
        <v>56</v>
      </c>
      <c r="C66" s="462">
        <v>41821</v>
      </c>
      <c r="D66" s="461" t="str">
        <f t="shared" si="13"/>
        <v>België</v>
      </c>
      <c r="E66" s="388" t="s">
        <v>9</v>
      </c>
      <c r="F66" s="412" t="str">
        <f t="shared" si="14"/>
        <v>Portugal</v>
      </c>
      <c r="G66" s="438">
        <v>2</v>
      </c>
      <c r="H66" s="388" t="s">
        <v>9</v>
      </c>
      <c r="I66" s="453">
        <v>2</v>
      </c>
      <c r="J66" s="454">
        <v>1</v>
      </c>
      <c r="K66" s="407" t="s">
        <v>82</v>
      </c>
      <c r="L66" s="407" t="s">
        <v>78</v>
      </c>
      <c r="M66" s="407"/>
      <c r="O66" s="458">
        <v>9</v>
      </c>
      <c r="P66" s="877" t="s">
        <v>230</v>
      </c>
      <c r="Q66" s="877"/>
      <c r="R66" s="877"/>
      <c r="S66" s="877"/>
      <c r="T66" s="878"/>
      <c r="V66" s="352" t="s">
        <v>133</v>
      </c>
      <c r="W66" s="352" t="s">
        <v>115</v>
      </c>
      <c r="X66" s="352" t="str">
        <f t="shared" si="11"/>
        <v>Daryl Janmaat (v)</v>
      </c>
      <c r="Y66" s="109">
        <f t="shared" si="15"/>
        <v>5</v>
      </c>
      <c r="Z66" s="352" t="str">
        <f>IF(K66=""," ",VLOOKUP(K66,$T$9:$V$54,3,FALSE))</f>
        <v>België</v>
      </c>
      <c r="AA66" s="352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7"/>
        <v>5</v>
      </c>
      <c r="AG66" s="108">
        <f t="shared" si="18"/>
        <v>0</v>
      </c>
      <c r="AH66" s="108">
        <f t="shared" si="19"/>
        <v>0</v>
      </c>
      <c r="AI66" s="108">
        <f t="shared" si="20"/>
        <v>0</v>
      </c>
      <c r="AJ66" s="108">
        <f t="shared" si="21"/>
        <v>0</v>
      </c>
      <c r="AK66" s="108">
        <f t="shared" si="22"/>
        <v>0</v>
      </c>
      <c r="AL66" s="108">
        <f t="shared" si="23"/>
        <v>5</v>
      </c>
      <c r="AZ66" s="138" t="str">
        <f>Uitslag!P66</f>
        <v>Jonathan de Guzman (m)</v>
      </c>
      <c r="BA66" s="140">
        <f t="shared" si="12"/>
        <v>0</v>
      </c>
      <c r="BB66" s="139">
        <f t="shared" si="24"/>
        <v>0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O67" s="458">
        <v>10</v>
      </c>
      <c r="P67" s="877" t="s">
        <v>215</v>
      </c>
      <c r="Q67" s="877"/>
      <c r="R67" s="877"/>
      <c r="S67" s="877"/>
      <c r="T67" s="878"/>
      <c r="V67" s="352" t="s">
        <v>133</v>
      </c>
      <c r="W67" s="352" t="s">
        <v>118</v>
      </c>
      <c r="X67" s="352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4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79"/>
      <c r="K68" s="353"/>
      <c r="L68" s="353"/>
      <c r="M68" s="353"/>
      <c r="O68" s="458">
        <v>11</v>
      </c>
      <c r="P68" s="877" t="s">
        <v>216</v>
      </c>
      <c r="Q68" s="877"/>
      <c r="R68" s="877"/>
      <c r="S68" s="877"/>
      <c r="T68" s="878"/>
      <c r="V68" s="352" t="s">
        <v>133</v>
      </c>
      <c r="W68" s="352" t="s">
        <v>119</v>
      </c>
      <c r="X68" s="352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4"/>
        <v>3</v>
      </c>
    </row>
    <row r="69" spans="2:54">
      <c r="B69" s="428" t="s">
        <v>1</v>
      </c>
      <c r="C69" s="429" t="s">
        <v>2</v>
      </c>
      <c r="D69" s="476" t="s">
        <v>3</v>
      </c>
      <c r="E69" s="431"/>
      <c r="F69" s="477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V69" s="352" t="s">
        <v>133</v>
      </c>
      <c r="W69" s="352" t="s">
        <v>121</v>
      </c>
      <c r="X69" s="352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24</v>
      </c>
      <c r="BB69" s="139" t="str">
        <f>IF(AND(BA69&lt;&gt;"",BA69=33),15,"nvt")</f>
        <v>nvt</v>
      </c>
    </row>
    <row r="70" spans="2:54">
      <c r="B70" s="364">
        <v>57</v>
      </c>
      <c r="C70" s="365">
        <v>41824</v>
      </c>
      <c r="D70" s="405" t="str">
        <f>IF(J63="","Winnaar 53",IF(J63=1,D63,F63))</f>
        <v>Bosnië H.</v>
      </c>
      <c r="E70" s="367" t="s">
        <v>9</v>
      </c>
      <c r="F70" s="406" t="str">
        <f>IF(J64="","Winnaar 54",IF(J64=1,D64,F64))</f>
        <v>Duitsland</v>
      </c>
      <c r="G70" s="435">
        <v>0</v>
      </c>
      <c r="H70" s="367" t="s">
        <v>9</v>
      </c>
      <c r="I70" s="447">
        <v>2</v>
      </c>
      <c r="J70" s="448">
        <v>2</v>
      </c>
      <c r="K70" s="353"/>
      <c r="L70" s="353"/>
      <c r="M70" s="353"/>
      <c r="V70" s="352" t="s">
        <v>133</v>
      </c>
      <c r="W70" s="352" t="s">
        <v>126</v>
      </c>
      <c r="X70" s="352" t="str">
        <f t="shared" si="11"/>
        <v>Karim Rekik (v)</v>
      </c>
      <c r="Y70" s="109">
        <f>AF70</f>
        <v>6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6</v>
      </c>
      <c r="AG70" s="108">
        <f>IF(AC70="",0,(IF(G70=AC70,1,0)))</f>
        <v>1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Brazilië</v>
      </c>
      <c r="E71" s="379" t="s">
        <v>9</v>
      </c>
      <c r="F71" s="409" t="str">
        <f>IF(J60="","Winnaar 50",IF(J60=1,D60,F60))</f>
        <v>Costa Rica</v>
      </c>
      <c r="G71" s="437">
        <v>3</v>
      </c>
      <c r="H71" s="379" t="s">
        <v>9</v>
      </c>
      <c r="I71" s="449">
        <v>0</v>
      </c>
      <c r="J71" s="450">
        <v>1</v>
      </c>
      <c r="K71" s="353"/>
      <c r="L71" s="353"/>
      <c r="M71" s="353"/>
      <c r="V71" s="352" t="s">
        <v>133</v>
      </c>
      <c r="W71" s="352" t="s">
        <v>194</v>
      </c>
      <c r="X71" s="352" t="str">
        <f t="shared" si="11"/>
        <v>Ron Vlaar (v)</v>
      </c>
      <c r="Y71" s="109">
        <f>AF71</f>
        <v>5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5</v>
      </c>
      <c r="AG71" s="108">
        <f>IF(AC71="",0,(IF(G71=AC71,1,0)))</f>
        <v>0</v>
      </c>
      <c r="AH71" s="108">
        <f>IF(AD71="",0,(IF(I71=AD71,1,0)))</f>
        <v>0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Argentinië</v>
      </c>
      <c r="E72" s="367" t="s">
        <v>9</v>
      </c>
      <c r="F72" s="406" t="str">
        <f>IF(J66="","Winnaar 56",IF(J66=1,D66,F66))</f>
        <v>België</v>
      </c>
      <c r="G72" s="435">
        <v>1</v>
      </c>
      <c r="H72" s="367" t="s">
        <v>9</v>
      </c>
      <c r="I72" s="447">
        <v>1</v>
      </c>
      <c r="J72" s="448">
        <v>1</v>
      </c>
      <c r="K72" s="353"/>
      <c r="L72" s="353"/>
      <c r="M72" s="353"/>
      <c r="V72" s="352" t="s">
        <v>133</v>
      </c>
      <c r="W72" s="352" t="s">
        <v>195</v>
      </c>
      <c r="X72" s="352" t="str">
        <f t="shared" si="11"/>
        <v>John Heitinga (v)</v>
      </c>
      <c r="Y72" s="109">
        <f>AF72</f>
        <v>1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1</v>
      </c>
      <c r="AG72" s="108">
        <f>IF(AC72="",0,(IF(G72=AC72,1,0)))</f>
        <v>1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0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Spanje</v>
      </c>
      <c r="E73" s="388" t="s">
        <v>9</v>
      </c>
      <c r="F73" s="412" t="str">
        <f>IF(J62="","Winnaar 52",IF(J62=1,D62,F62))</f>
        <v>Italië</v>
      </c>
      <c r="G73" s="438">
        <v>1</v>
      </c>
      <c r="H73" s="388" t="s">
        <v>9</v>
      </c>
      <c r="I73" s="453">
        <v>0</v>
      </c>
      <c r="J73" s="454">
        <v>1</v>
      </c>
      <c r="K73" s="353"/>
      <c r="L73" s="353"/>
      <c r="M73" s="353"/>
      <c r="V73" s="352" t="s">
        <v>133</v>
      </c>
      <c r="W73" s="352" t="s">
        <v>196</v>
      </c>
      <c r="X73" s="352" t="str">
        <f t="shared" si="11"/>
        <v>Urby Emanuelson (v)</v>
      </c>
      <c r="Y73" s="109">
        <f>AF73</f>
        <v>1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1</v>
      </c>
      <c r="AG73" s="108">
        <f>IF(AC73="",0,(IF(G73=AC73,1,0)))</f>
        <v>0</v>
      </c>
      <c r="AH73" s="108">
        <f>IF(AD73="",0,(IF(I73=AD73,1,0)))</f>
        <v>1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V74" s="352" t="s">
        <v>133</v>
      </c>
      <c r="W74" s="352" t="s">
        <v>197</v>
      </c>
      <c r="X74" s="352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79"/>
      <c r="K75" s="353"/>
      <c r="L75" s="353"/>
      <c r="M75" s="353"/>
      <c r="V75" s="352" t="s">
        <v>133</v>
      </c>
      <c r="W75" s="352" t="s">
        <v>198</v>
      </c>
      <c r="X75" s="352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76" t="s">
        <v>3</v>
      </c>
      <c r="E76" s="431"/>
      <c r="F76" s="477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V76" s="352" t="s">
        <v>133</v>
      </c>
      <c r="W76" s="352" t="s">
        <v>202</v>
      </c>
      <c r="X76" s="352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Duitsland</v>
      </c>
      <c r="E77" s="367" t="s">
        <v>9</v>
      </c>
      <c r="F77" s="406" t="str">
        <f>IF(J71="","Winnaar 58",IF(J71=1,D71,F71))</f>
        <v>Brazilië</v>
      </c>
      <c r="G77" s="435">
        <v>1</v>
      </c>
      <c r="H77" s="367" t="s">
        <v>9</v>
      </c>
      <c r="I77" s="447">
        <v>2</v>
      </c>
      <c r="J77" s="448">
        <v>2</v>
      </c>
      <c r="K77" s="353"/>
      <c r="L77" s="353"/>
      <c r="M77" s="353"/>
      <c r="V77" s="352" t="s">
        <v>134</v>
      </c>
      <c r="W77" s="352" t="s">
        <v>203</v>
      </c>
      <c r="X77" s="352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Argentinië</v>
      </c>
      <c r="E78" s="388" t="s">
        <v>9</v>
      </c>
      <c r="F78" s="412" t="str">
        <f>IF(J73="","Winnaar 60",IF(J73=1,D73,F73))</f>
        <v>Spanje</v>
      </c>
      <c r="G78" s="438">
        <v>1</v>
      </c>
      <c r="H78" s="388" t="s">
        <v>9</v>
      </c>
      <c r="I78" s="453">
        <v>1</v>
      </c>
      <c r="J78" s="454">
        <v>1</v>
      </c>
      <c r="K78" s="353"/>
      <c r="L78" s="353"/>
      <c r="M78" s="353"/>
      <c r="V78" s="352" t="s">
        <v>134</v>
      </c>
      <c r="W78" s="352" t="s">
        <v>199</v>
      </c>
      <c r="X78" s="352" t="str">
        <f t="shared" si="11"/>
        <v>Leroy Fer (m)</v>
      </c>
      <c r="Y78" s="109">
        <f>AF78</f>
        <v>5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5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5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V79" s="352" t="s">
        <v>134</v>
      </c>
      <c r="W79" s="352" t="s">
        <v>114</v>
      </c>
      <c r="X79" s="352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79"/>
      <c r="K80" s="353"/>
      <c r="L80" s="353"/>
      <c r="M80" s="353"/>
      <c r="V80" s="352" t="s">
        <v>134</v>
      </c>
      <c r="W80" s="352" t="s">
        <v>117</v>
      </c>
      <c r="X80" s="352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76" t="s">
        <v>3</v>
      </c>
      <c r="E81" s="431"/>
      <c r="F81" s="477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V81" s="352" t="s">
        <v>134</v>
      </c>
      <c r="W81" s="352" t="s">
        <v>120</v>
      </c>
      <c r="X81" s="352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Duitsland</v>
      </c>
      <c r="E82" s="355" t="s">
        <v>9</v>
      </c>
      <c r="F82" s="415" t="str">
        <f>IF(J78="","Verliezer 62",IF(J78=1,F78,D78))</f>
        <v>Spanje</v>
      </c>
      <c r="G82" s="455">
        <v>1</v>
      </c>
      <c r="H82" s="355" t="s">
        <v>9</v>
      </c>
      <c r="I82" s="456">
        <v>1</v>
      </c>
      <c r="J82" s="457">
        <v>2</v>
      </c>
      <c r="K82" s="353"/>
      <c r="L82" s="353"/>
      <c r="M82" s="353"/>
      <c r="V82" s="352" t="s">
        <v>134</v>
      </c>
      <c r="W82" s="352" t="s">
        <v>125</v>
      </c>
      <c r="X82" s="35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V83" s="352" t="s">
        <v>134</v>
      </c>
      <c r="W83" s="352" t="s">
        <v>136</v>
      </c>
      <c r="X83" s="352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79"/>
      <c r="K84" s="353"/>
      <c r="L84" s="353"/>
      <c r="M84" s="353"/>
      <c r="V84" s="352" t="s">
        <v>134</v>
      </c>
      <c r="W84" s="352" t="s">
        <v>137</v>
      </c>
      <c r="X84" s="352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76" t="s">
        <v>3</v>
      </c>
      <c r="E85" s="431"/>
      <c r="F85" s="477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V85" s="352" t="s">
        <v>134</v>
      </c>
      <c r="W85" s="352" t="s">
        <v>138</v>
      </c>
      <c r="X85" s="352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Brazilië</v>
      </c>
      <c r="E86" s="355" t="s">
        <v>9</v>
      </c>
      <c r="F86" s="415" t="str">
        <f>IF(J78="","Winnaar 62",IF(J78=1,D78,F78))</f>
        <v>Argentinië</v>
      </c>
      <c r="G86" s="455">
        <v>2</v>
      </c>
      <c r="H86" s="355" t="s">
        <v>9</v>
      </c>
      <c r="I86" s="456">
        <v>0</v>
      </c>
      <c r="J86" s="457">
        <v>1</v>
      </c>
      <c r="K86" s="353"/>
      <c r="L86" s="353"/>
      <c r="M86" s="353"/>
      <c r="V86" s="352" t="s">
        <v>134</v>
      </c>
      <c r="W86" s="352" t="s">
        <v>139</v>
      </c>
      <c r="X86" s="352" t="str">
        <f t="shared" si="11"/>
        <v>Nigel de Jong (m)</v>
      </c>
      <c r="Y86" s="109">
        <f>AF86</f>
        <v>1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1</v>
      </c>
      <c r="AG86" s="108">
        <f>IF(AC86="",0,(IF(G86=AC86,1,0)))</f>
        <v>0</v>
      </c>
      <c r="AH86" s="108">
        <f>IF(AD86="",0,(IF(I86=AD86,1,0)))</f>
        <v>1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353"/>
      <c r="C87" s="129"/>
      <c r="D87" s="392"/>
      <c r="E87" s="353"/>
      <c r="F87" s="392"/>
      <c r="G87" s="353"/>
      <c r="H87" s="353"/>
      <c r="I87" s="353"/>
      <c r="J87" s="353"/>
      <c r="K87" s="353"/>
      <c r="L87" s="353"/>
      <c r="M87" s="353"/>
      <c r="V87" s="352" t="s">
        <v>135</v>
      </c>
      <c r="W87" s="352" t="s">
        <v>205</v>
      </c>
      <c r="X87" s="352" t="str">
        <f t="shared" si="11"/>
        <v>Ricky van Wolfswinkel (a)</v>
      </c>
      <c r="AP87" s="136" t="s">
        <v>102</v>
      </c>
    </row>
    <row r="88" spans="2:50">
      <c r="B88" s="353"/>
      <c r="C88" s="129"/>
      <c r="D88" s="392"/>
      <c r="E88" s="353"/>
      <c r="F88" s="392"/>
      <c r="G88" s="353"/>
      <c r="H88" s="353"/>
      <c r="I88" s="353"/>
      <c r="J88" s="353"/>
      <c r="K88" s="353"/>
      <c r="L88" s="353"/>
      <c r="M88" s="353"/>
      <c r="V88" s="352" t="s">
        <v>135</v>
      </c>
      <c r="W88" s="352" t="s">
        <v>204</v>
      </c>
      <c r="X88" s="352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458"/>
    </row>
    <row r="89" spans="2:50" ht="20.25">
      <c r="C89" s="874" t="s">
        <v>101</v>
      </c>
      <c r="D89" s="871"/>
      <c r="E89" s="873" t="str">
        <f>IF(J86=1,D86,IF(J86=2,F86,"Wie zal het worden?"))</f>
        <v>Brazilië</v>
      </c>
      <c r="F89" s="873"/>
      <c r="G89" s="873"/>
      <c r="H89" s="873"/>
      <c r="I89" s="873"/>
      <c r="J89" s="873"/>
      <c r="K89" s="353"/>
      <c r="L89" s="353"/>
      <c r="M89" s="353"/>
      <c r="V89" s="352" t="s">
        <v>135</v>
      </c>
      <c r="W89" s="352" t="s">
        <v>201</v>
      </c>
      <c r="X89" s="352" t="str">
        <f t="shared" si="11"/>
        <v>Jermain Lens (a)</v>
      </c>
      <c r="AP89" s="109">
        <f>AU89</f>
        <v>5</v>
      </c>
      <c r="AQ89" s="131">
        <v>1</v>
      </c>
      <c r="AR89" s="904" t="str">
        <f>Uitslag!E89</f>
        <v>Duitsland</v>
      </c>
      <c r="AS89" s="905"/>
      <c r="AT89" s="906"/>
      <c r="AU89" s="352">
        <f>SUM(AV89:AX89)</f>
        <v>5</v>
      </c>
      <c r="AV89" s="352">
        <f>IF(AR89=0,0,IF(E89=AR89,50,0))</f>
        <v>0</v>
      </c>
      <c r="AW89" s="352">
        <f>IF(E89=0,0,IF(OR(E89=AR90),15,0))</f>
        <v>0</v>
      </c>
      <c r="AX89" s="352">
        <f>IF(E89=0,0,IF(OR(E89=AR91,E89=AR92),5,0))</f>
        <v>5</v>
      </c>
    </row>
    <row r="90" spans="2:50">
      <c r="C90" s="870">
        <v>2</v>
      </c>
      <c r="D90" s="871"/>
      <c r="E90" s="872" t="str">
        <f>IF(J86=2,D86,IF(J86=1,F86,"Wie wordt 2de?"))</f>
        <v>Argentinië</v>
      </c>
      <c r="F90" s="872"/>
      <c r="G90" s="872"/>
      <c r="H90" s="872"/>
      <c r="I90" s="872"/>
      <c r="J90" s="872"/>
      <c r="V90" s="352" t="s">
        <v>135</v>
      </c>
      <c r="W90" s="352" t="s">
        <v>200</v>
      </c>
      <c r="X90" s="352" t="str">
        <f t="shared" si="11"/>
        <v>Dirk Kuyt (a)</v>
      </c>
      <c r="AP90" s="109">
        <f>AU90</f>
        <v>25</v>
      </c>
      <c r="AQ90" s="131">
        <v>2</v>
      </c>
      <c r="AR90" s="904" t="str">
        <f>Uitslag!E90</f>
        <v>Argentinië</v>
      </c>
      <c r="AS90" s="905"/>
      <c r="AT90" s="906"/>
      <c r="AU90" s="352">
        <f>SUM(AV90:AX90)</f>
        <v>25</v>
      </c>
      <c r="AV90" s="352">
        <f>IF(AR90=0,0,IF(AR90=E90,25,0))</f>
        <v>25</v>
      </c>
      <c r="AW90" s="352">
        <f>IF(E90=0,0,IF(OR(E90=AR89,),15,0))</f>
        <v>0</v>
      </c>
      <c r="AX90" s="352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Spanje</v>
      </c>
      <c r="F91" s="872"/>
      <c r="G91" s="872"/>
      <c r="H91" s="872"/>
      <c r="I91" s="872"/>
      <c r="J91" s="872"/>
      <c r="V91" s="352" t="s">
        <v>135</v>
      </c>
      <c r="W91" s="352" t="s">
        <v>128</v>
      </c>
      <c r="X91" s="352" t="str">
        <f t="shared" si="11"/>
        <v>Jürgen Locadia (a)</v>
      </c>
      <c r="AP91" s="109">
        <f>AU91</f>
        <v>0</v>
      </c>
      <c r="AQ91" s="131">
        <v>3</v>
      </c>
      <c r="AR91" s="904" t="str">
        <f>Uitslag!E91</f>
        <v>Nederland</v>
      </c>
      <c r="AS91" s="905"/>
      <c r="AT91" s="906"/>
      <c r="AU91" s="352">
        <f>SUM(AV91:AX91)</f>
        <v>0</v>
      </c>
      <c r="AV91" s="352">
        <f>IF(AR91=0,0,IF(AR91=E91,15,0))</f>
        <v>0</v>
      </c>
      <c r="AW91" s="352">
        <f>IF(E91=0,0,IF(OR(E91=AR92),10,0))</f>
        <v>0</v>
      </c>
      <c r="AX91" s="352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Duitsland</v>
      </c>
      <c r="F92" s="872"/>
      <c r="G92" s="872"/>
      <c r="H92" s="872"/>
      <c r="I92" s="872"/>
      <c r="J92" s="872"/>
      <c r="V92" s="352" t="s">
        <v>135</v>
      </c>
      <c r="W92" s="352" t="s">
        <v>127</v>
      </c>
      <c r="X92" s="352" t="str">
        <f t="shared" si="11"/>
        <v>Memphis Depay (a)</v>
      </c>
      <c r="AP92" s="109">
        <f>AU92</f>
        <v>5</v>
      </c>
      <c r="AQ92" s="131">
        <v>4</v>
      </c>
      <c r="AR92" s="904" t="str">
        <f>Uitslag!E92</f>
        <v>Brazilië</v>
      </c>
      <c r="AS92" s="905"/>
      <c r="AT92" s="906"/>
      <c r="AU92" s="352">
        <f>SUM(AV92:AX92)</f>
        <v>5</v>
      </c>
      <c r="AV92" s="352">
        <f>IF(AR92=0,0,IF(AR92=E92,15,0))</f>
        <v>0</v>
      </c>
      <c r="AW92" s="352">
        <f>IF(E92=0,0,IF(OR(E92=AR91,),10,0))</f>
        <v>0</v>
      </c>
      <c r="AX92" s="352">
        <f>IF(E92=0,0,IF(OR(E92=AR89,E92=AR90),5,0))</f>
        <v>5</v>
      </c>
    </row>
    <row r="93" spans="2:50" ht="15.75" thickBot="1">
      <c r="V93" s="352" t="s">
        <v>135</v>
      </c>
      <c r="W93" s="352" t="s">
        <v>123</v>
      </c>
      <c r="X93" s="352" t="str">
        <f t="shared" si="11"/>
        <v>Quincy Promes (a)</v>
      </c>
      <c r="AS93" s="132"/>
      <c r="AU93" s="133">
        <f>SUM(AU89:AU92)</f>
        <v>35</v>
      </c>
    </row>
    <row r="94" spans="2:50" ht="15.75" thickTop="1">
      <c r="V94" s="352" t="s">
        <v>135</v>
      </c>
      <c r="W94" s="352" t="s">
        <v>122</v>
      </c>
      <c r="X94" s="352" t="str">
        <f t="shared" si="11"/>
        <v>Luc Castaignos (a)</v>
      </c>
    </row>
    <row r="95" spans="2:50">
      <c r="V95" s="352" t="s">
        <v>135</v>
      </c>
      <c r="W95" s="352" t="s">
        <v>113</v>
      </c>
      <c r="X95" s="352" t="str">
        <f t="shared" si="11"/>
        <v>Jean-Paul Boëtius (a)</v>
      </c>
    </row>
    <row r="96" spans="2:50">
      <c r="V96" s="352" t="s">
        <v>135</v>
      </c>
      <c r="W96" s="352" t="s">
        <v>129</v>
      </c>
      <c r="X96" s="352" t="str">
        <f t="shared" si="11"/>
        <v>Luciano Narsingh (a)</v>
      </c>
    </row>
    <row r="97" spans="22:24">
      <c r="V97" s="352" t="s">
        <v>135</v>
      </c>
      <c r="W97" s="352" t="s">
        <v>130</v>
      </c>
      <c r="X97" s="352" t="str">
        <f t="shared" si="11"/>
        <v>Robin van Persie (a)</v>
      </c>
    </row>
    <row r="98" spans="22:24">
      <c r="V98" s="352" t="s">
        <v>135</v>
      </c>
      <c r="W98" s="352" t="s">
        <v>131</v>
      </c>
      <c r="X98" s="352" t="str">
        <f t="shared" si="11"/>
        <v>Arjen Robben (a)</v>
      </c>
    </row>
  </sheetData>
  <mergeCells count="36">
    <mergeCell ref="C91:D91"/>
    <mergeCell ref="E91:J91"/>
    <mergeCell ref="AR91:AT91"/>
    <mergeCell ref="C92:D92"/>
    <mergeCell ref="E92:J92"/>
    <mergeCell ref="AR92:AT92"/>
    <mergeCell ref="C89:D89"/>
    <mergeCell ref="E89:J89"/>
    <mergeCell ref="AR89:AT89"/>
    <mergeCell ref="C90:D90"/>
    <mergeCell ref="E90:J90"/>
    <mergeCell ref="AR90:AT90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</mergeCells>
  <conditionalFormatting sqref="AO9:AO12 AO15:AO18 AO21:AO24 AO27:AO30 AO33:AO36 AO39:AO42 AO45:AO48 AO51:AO54">
    <cfRule type="cellIs" dxfId="35" priority="3" operator="equal">
      <formula>10</formula>
    </cfRule>
  </conditionalFormatting>
  <conditionalFormatting sqref="P58:T58">
    <cfRule type="duplicateValues" dxfId="34" priority="2"/>
  </conditionalFormatting>
  <conditionalFormatting sqref="P58:T68">
    <cfRule type="duplicateValues" dxfId="33" priority="1"/>
  </conditionalFormatting>
  <dataValidations count="10">
    <dataValidation type="list" allowBlank="1" showInputMessage="1" showErrorMessage="1" sqref="T51:T54">
      <formula1>$W$51:$W$54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P58:P68">
      <formula1>$X$58:$X$98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B1:BB98"/>
  <sheetViews>
    <sheetView topLeftCell="A49" zoomScale="70" zoomScaleNormal="70" workbookViewId="0">
      <selection activeCell="P58" sqref="P58:T68"/>
    </sheetView>
  </sheetViews>
  <sheetFormatPr defaultRowHeight="15" outlineLevelCol="2"/>
  <cols>
    <col min="1" max="1" width="3.42578125" customWidth="1"/>
    <col min="2" max="2" width="3.5703125" bestFit="1" customWidth="1"/>
    <col min="3" max="3" width="8.5703125" style="123" bestFit="1" customWidth="1"/>
    <col min="4" max="4" width="19.7109375" bestFit="1" customWidth="1"/>
    <col min="5" max="5" width="3.42578125" customWidth="1"/>
    <col min="6" max="6" width="19.7109375" bestFit="1" customWidth="1"/>
    <col min="7" max="7" width="6.7109375" customWidth="1"/>
    <col min="8" max="8" width="1.5703125" bestFit="1" customWidth="1"/>
    <col min="9" max="9" width="6.7109375" customWidth="1"/>
    <col min="10" max="10" width="6.85546875" bestFit="1" customWidth="1"/>
    <col min="11" max="13" width="9.140625" hidden="1" customWidth="1" outlineLevel="1"/>
    <col min="14" max="14" width="11.42578125" bestFit="1" customWidth="1" collapsed="1"/>
    <col min="15" max="15" width="14.7109375" bestFit="1" customWidth="1"/>
    <col min="16" max="16" width="12.28515625" bestFit="1" customWidth="1"/>
    <col min="17" max="17" width="8.140625" bestFit="1" customWidth="1"/>
    <col min="18" max="18" width="7.7109375" bestFit="1" customWidth="1"/>
    <col min="20" max="20" width="8.5703125" bestFit="1" customWidth="1"/>
    <col min="22" max="23" width="9.140625" hidden="1" customWidth="1" outlineLevel="1"/>
    <col min="24" max="24" width="2" hidden="1" customWidth="1" outlineLevel="1"/>
    <col min="25" max="25" width="12.28515625" bestFit="1" customWidth="1" collapsed="1"/>
    <col min="26" max="27" width="12.28515625" hidden="1" customWidth="1" outlineLevel="1"/>
    <col min="28" max="28" width="4.7109375" hidden="1" customWidth="1" outlineLevel="1"/>
    <col min="29" max="38" width="9.140625" hidden="1" customWidth="1" outlineLevel="1"/>
    <col min="39" max="39" width="7.42578125" bestFit="1" customWidth="1" collapsed="1"/>
    <col min="40" max="40" width="19.7109375" hidden="1" customWidth="1" outlineLevel="1"/>
    <col min="41" max="41" width="9.140625" hidden="1" customWidth="1" outlineLevel="1"/>
    <col min="42" max="42" width="9.140625" collapsed="1"/>
    <col min="43" max="49" width="9.140625" hidden="1" customWidth="1" outlineLevel="2"/>
    <col min="50" max="50" width="11.5703125" hidden="1" customWidth="1" outlineLevel="2"/>
    <col min="51" max="51" width="11.85546875" hidden="1" customWidth="1" outlineLevel="1" collapsed="1"/>
    <col min="52" max="52" width="9.42578125" hidden="1" customWidth="1" outlineLevel="1"/>
    <col min="53" max="53" width="10.5703125" hidden="1" customWidth="1" outlineLevel="1"/>
    <col min="54" max="54" width="9.140625" collapsed="1"/>
    <col min="55" max="55" width="11.85546875" bestFit="1" customWidth="1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204" t="s">
        <v>145</v>
      </c>
      <c r="D3" s="145" t="s">
        <v>228</v>
      </c>
      <c r="E3" s="145"/>
      <c r="F3" s="145"/>
      <c r="N3" t="str">
        <f>D3</f>
        <v>Edwin B.</v>
      </c>
      <c r="O3" s="144">
        <f>SUM(P3:S3)</f>
        <v>406</v>
      </c>
      <c r="P3" s="109">
        <f>SUM(Y8:Y86)</f>
        <v>204</v>
      </c>
      <c r="Q3" s="109">
        <f>SUM(AM4:AM55)</f>
        <v>160</v>
      </c>
      <c r="R3" s="109">
        <f>SUM(AP89:AP92)</f>
        <v>15</v>
      </c>
      <c r="S3" s="109">
        <f>SUM(BB58:BB69)</f>
        <v>27</v>
      </c>
      <c r="T3" s="109">
        <f>COUNTIF(AF8:AF86,10)</f>
        <v>8</v>
      </c>
      <c r="U3" s="109" t="str">
        <f>E89</f>
        <v>Brazilië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1"/>
      <c r="L6" s="1"/>
      <c r="O6" s="40"/>
      <c r="P6" s="41"/>
      <c r="Q6" s="41"/>
      <c r="R6" s="41"/>
      <c r="S6" s="41"/>
      <c r="T6" s="41"/>
      <c r="U6" s="40"/>
      <c r="V6" s="40"/>
      <c r="W6" s="40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66" t="s">
        <v>1</v>
      </c>
      <c r="C7" s="121" t="s">
        <v>2</v>
      </c>
      <c r="D7" s="196" t="s">
        <v>3</v>
      </c>
      <c r="E7" s="69"/>
      <c r="F7" s="197" t="s">
        <v>4</v>
      </c>
      <c r="G7" s="880" t="s">
        <v>5</v>
      </c>
      <c r="H7" s="881"/>
      <c r="I7" s="882"/>
      <c r="J7" s="71" t="s">
        <v>6</v>
      </c>
      <c r="K7" s="4" t="s">
        <v>7</v>
      </c>
      <c r="L7" s="4" t="s">
        <v>7</v>
      </c>
      <c r="O7" s="1"/>
      <c r="P7" s="41"/>
      <c r="Q7" s="41"/>
      <c r="R7" s="41"/>
      <c r="S7" s="41"/>
      <c r="T7" s="41"/>
      <c r="U7" s="1"/>
      <c r="V7" s="1"/>
      <c r="W7" s="1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135"/>
      <c r="BB7" s="142"/>
    </row>
    <row r="8" spans="2:54" ht="15.75" thickBot="1">
      <c r="B8" s="5">
        <v>1</v>
      </c>
      <c r="C8" s="205">
        <v>41802</v>
      </c>
      <c r="D8" s="7" t="s">
        <v>8</v>
      </c>
      <c r="E8" s="8" t="s">
        <v>9</v>
      </c>
      <c r="F8" s="9" t="s">
        <v>10</v>
      </c>
      <c r="G8" s="84">
        <v>1</v>
      </c>
      <c r="H8" s="8" t="s">
        <v>9</v>
      </c>
      <c r="I8" s="192">
        <v>0</v>
      </c>
      <c r="J8" s="10">
        <f t="shared" ref="J8:J55" si="0">IF(I8="","",IF(G8&gt;I8,1,IF(G8&lt;I8,2,3)))</f>
        <v>1</v>
      </c>
      <c r="K8" s="11">
        <f t="shared" ref="K8:K55" si="1">IF(I8="","",IF($G8&gt;$I8,3,IF($G8=$I8,1,0)))</f>
        <v>3</v>
      </c>
      <c r="L8" s="11">
        <f t="shared" ref="L8:L55" si="2">IF(I8="","",IF($G8&lt;$I8,3,IF($G8=$I8,1,0)))</f>
        <v>0</v>
      </c>
      <c r="O8" s="72" t="s">
        <v>41</v>
      </c>
      <c r="P8" s="73" t="s">
        <v>42</v>
      </c>
      <c r="Q8" s="73" t="s">
        <v>43</v>
      </c>
      <c r="R8" s="74" t="s">
        <v>44</v>
      </c>
      <c r="S8" s="75" t="s">
        <v>45</v>
      </c>
      <c r="T8" s="76" t="s">
        <v>46</v>
      </c>
      <c r="U8" s="40"/>
      <c r="V8" s="40"/>
      <c r="W8" s="40"/>
      <c r="Y8" s="109">
        <f>AF8</f>
        <v>5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5</v>
      </c>
      <c r="AG8" s="108">
        <f t="shared" ref="AG8:AG55" si="3">IF(AC8="",0,(IF(G8=AC8,1,0)))</f>
        <v>0</v>
      </c>
      <c r="AH8" s="108">
        <f t="shared" ref="AH8:AH55" si="4">IF(AD8="",0,(IF(I8=AD8,1,0)))</f>
        <v>0</v>
      </c>
      <c r="AI8" s="108">
        <f>IF(AND(AG8=1,AH8=1),10,0)</f>
        <v>0</v>
      </c>
      <c r="AJ8" s="108">
        <f t="shared" ref="AJ8:AJ55" si="5">IF(AND(G8&gt;I8,AC8&gt;AD8),5,0)</f>
        <v>5</v>
      </c>
      <c r="AK8" s="108">
        <f t="shared" ref="AK8:AK55" si="6">IF(AND(G8&lt;I8,AC8&lt;AD8),5,0)</f>
        <v>0</v>
      </c>
      <c r="AL8" s="108">
        <f t="shared" ref="AL8:AL55" si="7">IF(AND(G8=I8,AC8=AD8),5,0)</f>
        <v>0</v>
      </c>
      <c r="AN8" s="42" t="s">
        <v>41</v>
      </c>
      <c r="AO8" s="43" t="s">
        <v>46</v>
      </c>
    </row>
    <row r="9" spans="2:54" ht="15.75" thickBot="1">
      <c r="B9" s="12">
        <v>2</v>
      </c>
      <c r="C9" s="206">
        <v>41803</v>
      </c>
      <c r="D9" s="14" t="s">
        <v>11</v>
      </c>
      <c r="E9" s="15" t="s">
        <v>9</v>
      </c>
      <c r="F9" s="16" t="s">
        <v>12</v>
      </c>
      <c r="G9" s="85">
        <v>1</v>
      </c>
      <c r="H9" s="15" t="s">
        <v>9</v>
      </c>
      <c r="I9" s="90">
        <v>0</v>
      </c>
      <c r="J9" s="17">
        <f t="shared" si="0"/>
        <v>1</v>
      </c>
      <c r="K9" s="11">
        <f t="shared" si="1"/>
        <v>3</v>
      </c>
      <c r="L9" s="11">
        <f t="shared" si="2"/>
        <v>0</v>
      </c>
      <c r="O9" s="44" t="s">
        <v>8</v>
      </c>
      <c r="P9" s="45">
        <f>SUMIF($D$8:$D$55,$O9,$G$8:$G$55)+SUMIF($F$8:$F$55,$O9,$I$8:$I$55)</f>
        <v>4</v>
      </c>
      <c r="Q9" s="45">
        <f>SUMIF($D$8:$D$55,$O9,$I$8:$I$55)+SUMIF($F$8:$F$55,$O9,$G$8:$G$55)</f>
        <v>2</v>
      </c>
      <c r="R9" s="46">
        <f>P9-Q9</f>
        <v>2</v>
      </c>
      <c r="S9" s="47">
        <f>SUMIF($D$8:$D$55,$O9,$K$8:$K$55)+SUMIF($F$8:$F$55,$O9,$L$8:$L$55)</f>
        <v>7</v>
      </c>
      <c r="T9" s="94" t="s">
        <v>48</v>
      </c>
      <c r="U9" s="40"/>
      <c r="V9" s="40" t="str">
        <f>O9</f>
        <v>Brazilië</v>
      </c>
      <c r="W9" s="40" t="s">
        <v>48</v>
      </c>
      <c r="Y9" s="109">
        <f t="shared" ref="Y9:Y55" si="8">AF9</f>
        <v>10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10</v>
      </c>
      <c r="AG9" s="108">
        <f t="shared" si="3"/>
        <v>1</v>
      </c>
      <c r="AH9" s="108">
        <f t="shared" si="4"/>
        <v>1</v>
      </c>
      <c r="AI9" s="108">
        <f t="shared" ref="AI9:AI55" si="10">IF(AND(AG9=1,AH9=1),10,0)</f>
        <v>10</v>
      </c>
      <c r="AJ9" s="108">
        <f t="shared" si="5"/>
        <v>5</v>
      </c>
      <c r="AK9" s="108">
        <f t="shared" si="6"/>
        <v>0</v>
      </c>
      <c r="AL9" s="108">
        <f t="shared" si="7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18">
        <v>3</v>
      </c>
      <c r="C10" s="207">
        <v>41803</v>
      </c>
      <c r="D10" s="20" t="s">
        <v>13</v>
      </c>
      <c r="E10" s="21" t="s">
        <v>9</v>
      </c>
      <c r="F10" s="22" t="s">
        <v>14</v>
      </c>
      <c r="G10" s="86">
        <v>1</v>
      </c>
      <c r="H10" s="21" t="s">
        <v>9</v>
      </c>
      <c r="I10" s="91">
        <v>0</v>
      </c>
      <c r="J10" s="23">
        <f t="shared" si="0"/>
        <v>1</v>
      </c>
      <c r="K10" s="11">
        <f t="shared" si="1"/>
        <v>3</v>
      </c>
      <c r="L10" s="11">
        <f t="shared" si="2"/>
        <v>0</v>
      </c>
      <c r="O10" s="48" t="s">
        <v>10</v>
      </c>
      <c r="P10" s="49">
        <f>SUMIF($D$8:$D$55,$O10,$G$8:$G$55)+SUMIF($F$8:$F$55,$O10,$I$8:$I$55)</f>
        <v>2</v>
      </c>
      <c r="Q10" s="49">
        <f>SUMIF($D$8:$D$55,$O10,$I$8:$I$55)+SUMIF($F$8:$F$55,$O10,$G$8:$G$55)</f>
        <v>3</v>
      </c>
      <c r="R10" s="49">
        <f>P10-Q10</f>
        <v>-1</v>
      </c>
      <c r="S10" s="50">
        <f>SUMIF($D$8:$D$55,$O10,$K$8:$K$55)+SUMIF($F$8:$F$55,$O10,$L$8:$L$55)</f>
        <v>2</v>
      </c>
      <c r="T10" s="95" t="s">
        <v>47</v>
      </c>
      <c r="U10" s="40"/>
      <c r="V10" s="40" t="str">
        <f>O10</f>
        <v>Kroatië</v>
      </c>
      <c r="W10" s="40" t="s">
        <v>49</v>
      </c>
      <c r="Y10" s="109">
        <f t="shared" si="8"/>
        <v>1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1</v>
      </c>
      <c r="AG10" s="108">
        <f t="shared" si="3"/>
        <v>1</v>
      </c>
      <c r="AH10" s="108">
        <f t="shared" si="4"/>
        <v>0</v>
      </c>
      <c r="AI10" s="108">
        <f t="shared" si="10"/>
        <v>0</v>
      </c>
      <c r="AJ10" s="108">
        <f t="shared" si="5"/>
        <v>0</v>
      </c>
      <c r="AK10" s="108">
        <f t="shared" si="6"/>
        <v>0</v>
      </c>
      <c r="AL10" s="108">
        <f t="shared" si="7"/>
        <v>0</v>
      </c>
      <c r="AM10" s="120">
        <f>AO10</f>
        <v>10</v>
      </c>
      <c r="AN10" s="117" t="s">
        <v>10</v>
      </c>
      <c r="AO10" s="115">
        <f>IF(Uitslag!T10="",0,IF(T10=Uitslag!T10,10,0))</f>
        <v>10</v>
      </c>
    </row>
    <row r="11" spans="2:54" ht="15.75" thickBot="1">
      <c r="B11" s="24">
        <v>4</v>
      </c>
      <c r="C11" s="208">
        <v>41803</v>
      </c>
      <c r="D11" s="26" t="s">
        <v>15</v>
      </c>
      <c r="E11" s="27" t="s">
        <v>9</v>
      </c>
      <c r="F11" s="28" t="s">
        <v>16</v>
      </c>
      <c r="G11" s="87">
        <v>1</v>
      </c>
      <c r="H11" s="27" t="s">
        <v>9</v>
      </c>
      <c r="I11" s="92">
        <v>0</v>
      </c>
      <c r="J11" s="29">
        <f t="shared" si="0"/>
        <v>1</v>
      </c>
      <c r="K11" s="11">
        <f t="shared" si="1"/>
        <v>3</v>
      </c>
      <c r="L11" s="11">
        <f t="shared" si="2"/>
        <v>0</v>
      </c>
      <c r="O11" s="48" t="s">
        <v>11</v>
      </c>
      <c r="P11" s="49">
        <f>SUMIF($D$8:$D$55,$O11,$G$8:$G$55)+SUMIF($F$8:$F$55,$O11,$I$8:$I$55)</f>
        <v>3</v>
      </c>
      <c r="Q11" s="49">
        <f>SUMIF($D$8:$D$55,$O11,$I$8:$I$55)+SUMIF($F$8:$F$55,$O11,$G$8:$G$55)</f>
        <v>2</v>
      </c>
      <c r="R11" s="49">
        <f>P11-Q11</f>
        <v>1</v>
      </c>
      <c r="S11" s="50">
        <f>SUMIF($D$8:$D$55,$O11,$K$8:$K$55)+SUMIF($F$8:$F$55,$O11,$L$8:$L$55)</f>
        <v>5</v>
      </c>
      <c r="T11" s="95" t="s">
        <v>49</v>
      </c>
      <c r="U11" s="40"/>
      <c r="V11" s="40" t="str">
        <f>O11</f>
        <v>Mexico</v>
      </c>
      <c r="W11" s="40" t="s">
        <v>47</v>
      </c>
      <c r="Y11" s="109">
        <f t="shared" si="8"/>
        <v>5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5</v>
      </c>
      <c r="AG11" s="108">
        <f t="shared" si="3"/>
        <v>0</v>
      </c>
      <c r="AH11" s="108">
        <f t="shared" si="4"/>
        <v>0</v>
      </c>
      <c r="AI11" s="108">
        <f t="shared" si="10"/>
        <v>0</v>
      </c>
      <c r="AJ11" s="108">
        <f t="shared" si="5"/>
        <v>5</v>
      </c>
      <c r="AK11" s="108">
        <f t="shared" si="6"/>
        <v>0</v>
      </c>
      <c r="AL11" s="108">
        <f t="shared" si="7"/>
        <v>0</v>
      </c>
      <c r="AM11" s="120">
        <f>AO11</f>
        <v>10</v>
      </c>
      <c r="AN11" s="117" t="s">
        <v>11</v>
      </c>
      <c r="AO11" s="115">
        <f>IF(Uitslag!T11="",0,IF(T11=Uitslag!T11,10,0))</f>
        <v>10</v>
      </c>
    </row>
    <row r="12" spans="2:54" ht="15.75" thickBot="1">
      <c r="B12" s="12">
        <v>5</v>
      </c>
      <c r="C12" s="206">
        <v>41804</v>
      </c>
      <c r="D12" s="14" t="s">
        <v>17</v>
      </c>
      <c r="E12" s="15" t="s">
        <v>9</v>
      </c>
      <c r="F12" s="16" t="s">
        <v>18</v>
      </c>
      <c r="G12" s="85">
        <v>1</v>
      </c>
      <c r="H12" s="15" t="s">
        <v>9</v>
      </c>
      <c r="I12" s="90">
        <v>1</v>
      </c>
      <c r="J12" s="17">
        <f t="shared" si="0"/>
        <v>3</v>
      </c>
      <c r="K12" s="11">
        <f t="shared" si="1"/>
        <v>1</v>
      </c>
      <c r="L12" s="11">
        <f t="shared" si="2"/>
        <v>1</v>
      </c>
      <c r="O12" s="51" t="s">
        <v>12</v>
      </c>
      <c r="P12" s="52">
        <f>SUMIF($D$8:$D$55,$O12,$G$8:$G$55)+SUMIF($F$8:$F$55,$O12,$I$8:$I$55)</f>
        <v>2</v>
      </c>
      <c r="Q12" s="52">
        <f>SUMIF($D$8:$D$55,$O12,$I$8:$I$55)+SUMIF($F$8:$F$55,$O12,$G$8:$G$55)</f>
        <v>4</v>
      </c>
      <c r="R12" s="52">
        <f>P12-Q12</f>
        <v>-2</v>
      </c>
      <c r="S12" s="53">
        <f>SUMIF($D$8:$D$55,$O12,$K$8:$K$55)+SUMIF($F$8:$F$55,$O12,$L$8:$L$55)</f>
        <v>1</v>
      </c>
      <c r="T12" s="96" t="s">
        <v>50</v>
      </c>
      <c r="U12" s="40"/>
      <c r="V12" s="40" t="str">
        <f>O12</f>
        <v>Kameroen</v>
      </c>
      <c r="W12" s="40" t="s">
        <v>50</v>
      </c>
      <c r="Y12" s="109">
        <f t="shared" si="8"/>
        <v>0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0</v>
      </c>
      <c r="AG12" s="108">
        <f t="shared" si="3"/>
        <v>0</v>
      </c>
      <c r="AH12" s="108">
        <f t="shared" si="4"/>
        <v>0</v>
      </c>
      <c r="AI12" s="108">
        <f t="shared" si="10"/>
        <v>0</v>
      </c>
      <c r="AJ12" s="108">
        <f t="shared" si="5"/>
        <v>0</v>
      </c>
      <c r="AK12" s="108">
        <f t="shared" si="6"/>
        <v>0</v>
      </c>
      <c r="AL12" s="108">
        <f t="shared" si="7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18">
        <v>6</v>
      </c>
      <c r="C13" s="207">
        <v>41804</v>
      </c>
      <c r="D13" s="20" t="s">
        <v>19</v>
      </c>
      <c r="E13" s="21" t="s">
        <v>9</v>
      </c>
      <c r="F13" s="30" t="s">
        <v>20</v>
      </c>
      <c r="G13" s="86">
        <v>2</v>
      </c>
      <c r="H13" s="21" t="s">
        <v>9</v>
      </c>
      <c r="I13" s="91">
        <v>0</v>
      </c>
      <c r="J13" s="23">
        <f t="shared" si="0"/>
        <v>1</v>
      </c>
      <c r="K13" s="11">
        <f t="shared" si="1"/>
        <v>3</v>
      </c>
      <c r="L13" s="11">
        <f t="shared" si="2"/>
        <v>0</v>
      </c>
      <c r="O13" s="40"/>
      <c r="P13" s="41"/>
      <c r="Q13" s="41"/>
      <c r="R13" s="41"/>
      <c r="S13" s="41"/>
      <c r="T13" s="41"/>
      <c r="U13" s="40"/>
      <c r="V13" s="40"/>
      <c r="W13" s="40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3"/>
        <v>0</v>
      </c>
      <c r="AH13" s="108">
        <f t="shared" si="4"/>
        <v>0</v>
      </c>
      <c r="AI13" s="108">
        <f t="shared" si="10"/>
        <v>0</v>
      </c>
      <c r="AJ13" s="108">
        <f t="shared" si="5"/>
        <v>0</v>
      </c>
      <c r="AK13" s="108">
        <f t="shared" si="6"/>
        <v>0</v>
      </c>
      <c r="AL13" s="108">
        <f t="shared" si="7"/>
        <v>0</v>
      </c>
      <c r="AN13" s="40"/>
      <c r="AO13" s="41"/>
    </row>
    <row r="14" spans="2:54" ht="15.75" thickBot="1">
      <c r="B14" s="18">
        <v>7</v>
      </c>
      <c r="C14" s="207">
        <v>41804</v>
      </c>
      <c r="D14" s="20" t="s">
        <v>21</v>
      </c>
      <c r="E14" s="21" t="s">
        <v>9</v>
      </c>
      <c r="F14" s="30" t="s">
        <v>22</v>
      </c>
      <c r="G14" s="86">
        <v>1</v>
      </c>
      <c r="H14" s="21" t="s">
        <v>9</v>
      </c>
      <c r="I14" s="91">
        <v>2</v>
      </c>
      <c r="J14" s="23">
        <f t="shared" si="0"/>
        <v>2</v>
      </c>
      <c r="K14" s="11">
        <f t="shared" si="1"/>
        <v>0</v>
      </c>
      <c r="L14" s="11">
        <f t="shared" si="2"/>
        <v>3</v>
      </c>
      <c r="O14" s="72" t="s">
        <v>51</v>
      </c>
      <c r="P14" s="73" t="s">
        <v>42</v>
      </c>
      <c r="Q14" s="73" t="s">
        <v>43</v>
      </c>
      <c r="R14" s="74" t="s">
        <v>44</v>
      </c>
      <c r="S14" s="75" t="s">
        <v>45</v>
      </c>
      <c r="T14" s="76" t="s">
        <v>46</v>
      </c>
      <c r="U14" s="40"/>
      <c r="V14" s="40"/>
      <c r="W14" s="40"/>
      <c r="Y14" s="109">
        <f t="shared" si="8"/>
        <v>10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10</v>
      </c>
      <c r="AG14" s="108">
        <f t="shared" si="3"/>
        <v>1</v>
      </c>
      <c r="AH14" s="108">
        <f t="shared" si="4"/>
        <v>1</v>
      </c>
      <c r="AI14" s="108">
        <f t="shared" si="10"/>
        <v>10</v>
      </c>
      <c r="AJ14" s="108">
        <f t="shared" si="5"/>
        <v>0</v>
      </c>
      <c r="AK14" s="108">
        <f t="shared" si="6"/>
        <v>5</v>
      </c>
      <c r="AL14" s="108">
        <f t="shared" si="7"/>
        <v>0</v>
      </c>
      <c r="AN14" s="42" t="s">
        <v>51</v>
      </c>
      <c r="AO14" s="43" t="s">
        <v>46</v>
      </c>
    </row>
    <row r="15" spans="2:54" ht="15.75" thickBot="1">
      <c r="B15" s="24">
        <v>8</v>
      </c>
      <c r="C15" s="208">
        <v>41804</v>
      </c>
      <c r="D15" s="26" t="s">
        <v>23</v>
      </c>
      <c r="E15" s="27" t="s">
        <v>9</v>
      </c>
      <c r="F15" s="28" t="s">
        <v>24</v>
      </c>
      <c r="G15" s="87">
        <v>1</v>
      </c>
      <c r="H15" s="27" t="s">
        <v>9</v>
      </c>
      <c r="I15" s="92">
        <v>1</v>
      </c>
      <c r="J15" s="29">
        <f t="shared" si="0"/>
        <v>3</v>
      </c>
      <c r="K15" s="11">
        <f t="shared" si="1"/>
        <v>1</v>
      </c>
      <c r="L15" s="11">
        <f t="shared" si="2"/>
        <v>1</v>
      </c>
      <c r="O15" s="44" t="s">
        <v>13</v>
      </c>
      <c r="P15" s="45">
        <f>SUMIF($D$8:$D$55,$O15,$G$8:$G$55)+SUMIF($F$8:$F$55,$O15,$I$8:$I$55)</f>
        <v>3</v>
      </c>
      <c r="Q15" s="45">
        <f>SUMIF($D$8:$D$55,$O15,$I$8:$I$55)+SUMIF($F$8:$F$55,$O15,$G$8:$G$55)</f>
        <v>1</v>
      </c>
      <c r="R15" s="46">
        <f>P15-Q15</f>
        <v>2</v>
      </c>
      <c r="S15" s="47">
        <f>SUMIF($D$8:$D$55,$O15,$K$8:$K$55)+SUMIF($F$8:$F$55,$O15,$L$8:$L$55)</f>
        <v>7</v>
      </c>
      <c r="T15" s="94" t="s">
        <v>52</v>
      </c>
      <c r="U15" s="40"/>
      <c r="V15" s="40" t="str">
        <f>O15</f>
        <v>Spanje</v>
      </c>
      <c r="W15" s="40" t="s">
        <v>52</v>
      </c>
      <c r="Y15" s="109">
        <f t="shared" si="8"/>
        <v>1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1</v>
      </c>
      <c r="AG15" s="108">
        <f t="shared" si="3"/>
        <v>0</v>
      </c>
      <c r="AH15" s="108">
        <f t="shared" si="4"/>
        <v>1</v>
      </c>
      <c r="AI15" s="108">
        <f t="shared" si="10"/>
        <v>0</v>
      </c>
      <c r="AJ15" s="108">
        <f t="shared" si="5"/>
        <v>0</v>
      </c>
      <c r="AK15" s="108">
        <f t="shared" si="6"/>
        <v>0</v>
      </c>
      <c r="AL15" s="108">
        <f t="shared" si="7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12">
        <v>9</v>
      </c>
      <c r="C16" s="206">
        <v>41805</v>
      </c>
      <c r="D16" s="14" t="s">
        <v>25</v>
      </c>
      <c r="E16" s="15" t="s">
        <v>9</v>
      </c>
      <c r="F16" s="16" t="s">
        <v>26</v>
      </c>
      <c r="G16" s="85">
        <v>2</v>
      </c>
      <c r="H16" s="15" t="s">
        <v>9</v>
      </c>
      <c r="I16" s="90">
        <v>1</v>
      </c>
      <c r="J16" s="17">
        <f t="shared" si="0"/>
        <v>1</v>
      </c>
      <c r="K16" s="11">
        <f t="shared" si="1"/>
        <v>3</v>
      </c>
      <c r="L16" s="11">
        <f t="shared" si="2"/>
        <v>0</v>
      </c>
      <c r="O16" s="54" t="s">
        <v>14</v>
      </c>
      <c r="P16" s="49">
        <f>SUMIF($D$8:$D$55,$O16,$G$8:$G$55)+SUMIF($F$8:$F$55,$O16,$I$8:$I$55)</f>
        <v>2</v>
      </c>
      <c r="Q16" s="49">
        <f>SUMIF($D$8:$D$55,$O16,$I$8:$I$55)+SUMIF($F$8:$F$55,$O16,$G$8:$G$55)</f>
        <v>3</v>
      </c>
      <c r="R16" s="49">
        <f>P16-Q16</f>
        <v>-1</v>
      </c>
      <c r="S16" s="50">
        <f>SUMIF($D$8:$D$55,$O16,$K$8:$K$55)+SUMIF($F$8:$F$55,$O16,$L$8:$L$55)</f>
        <v>2</v>
      </c>
      <c r="T16" s="95" t="s">
        <v>54</v>
      </c>
      <c r="U16" s="40"/>
      <c r="V16" s="40" t="str">
        <f>O16</f>
        <v>Nederland</v>
      </c>
      <c r="W16" s="40" t="s">
        <v>53</v>
      </c>
      <c r="Y16" s="109">
        <f t="shared" si="8"/>
        <v>10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10</v>
      </c>
      <c r="AG16" s="108">
        <f t="shared" si="3"/>
        <v>1</v>
      </c>
      <c r="AH16" s="108">
        <f t="shared" si="4"/>
        <v>1</v>
      </c>
      <c r="AI16" s="108">
        <f t="shared" si="10"/>
        <v>10</v>
      </c>
      <c r="AJ16" s="108">
        <f t="shared" si="5"/>
        <v>5</v>
      </c>
      <c r="AK16" s="108">
        <f t="shared" si="6"/>
        <v>0</v>
      </c>
      <c r="AL16" s="108">
        <f t="shared" si="7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18">
        <v>10</v>
      </c>
      <c r="C17" s="207">
        <v>41805</v>
      </c>
      <c r="D17" s="20" t="s">
        <v>27</v>
      </c>
      <c r="E17" s="21" t="s">
        <v>9</v>
      </c>
      <c r="F17" s="30" t="s">
        <v>28</v>
      </c>
      <c r="G17" s="86">
        <v>2</v>
      </c>
      <c r="H17" s="21" t="s">
        <v>9</v>
      </c>
      <c r="I17" s="91">
        <v>1</v>
      </c>
      <c r="J17" s="23">
        <f t="shared" si="0"/>
        <v>1</v>
      </c>
      <c r="K17" s="11">
        <f t="shared" si="1"/>
        <v>3</v>
      </c>
      <c r="L17" s="11">
        <f t="shared" si="2"/>
        <v>0</v>
      </c>
      <c r="O17" s="48" t="s">
        <v>15</v>
      </c>
      <c r="P17" s="49">
        <f>SUMIF($D$8:$D$55,$O17,$G$8:$G$55)+SUMIF($F$8:$F$55,$O17,$I$8:$I$55)</f>
        <v>3</v>
      </c>
      <c r="Q17" s="49">
        <f>SUMIF($D$8:$D$55,$O17,$I$8:$I$55)+SUMIF($F$8:$F$55,$O17,$G$8:$G$55)</f>
        <v>2</v>
      </c>
      <c r="R17" s="49">
        <f>P17-Q17</f>
        <v>1</v>
      </c>
      <c r="S17" s="50">
        <f>SUMIF($D$8:$D$55,$O17,$K$8:$K$55)+SUMIF($F$8:$F$55,$O17,$L$8:$L$55)</f>
        <v>5</v>
      </c>
      <c r="T17" s="95" t="s">
        <v>53</v>
      </c>
      <c r="U17" s="40"/>
      <c r="V17" s="40" t="str">
        <f>O17</f>
        <v>Chili</v>
      </c>
      <c r="W17" s="40" t="s">
        <v>54</v>
      </c>
      <c r="Y17" s="109">
        <f t="shared" si="8"/>
        <v>5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5</v>
      </c>
      <c r="AG17" s="108">
        <f t="shared" si="3"/>
        <v>0</v>
      </c>
      <c r="AH17" s="108">
        <f t="shared" si="4"/>
        <v>0</v>
      </c>
      <c r="AI17" s="108">
        <f t="shared" si="10"/>
        <v>0</v>
      </c>
      <c r="AJ17" s="108">
        <f t="shared" si="5"/>
        <v>5</v>
      </c>
      <c r="AK17" s="108">
        <f t="shared" si="6"/>
        <v>0</v>
      </c>
      <c r="AL17" s="108">
        <f t="shared" si="7"/>
        <v>0</v>
      </c>
      <c r="AM17" s="120">
        <f>AO17</f>
        <v>10</v>
      </c>
      <c r="AN17" s="117" t="s">
        <v>15</v>
      </c>
      <c r="AO17" s="115">
        <f>IF(Uitslag!T17="",0,IF(T17=Uitslag!T17,10,0))</f>
        <v>10</v>
      </c>
    </row>
    <row r="18" spans="2:41" ht="15.75" thickBot="1">
      <c r="B18" s="24">
        <v>11</v>
      </c>
      <c r="C18" s="208">
        <v>41805</v>
      </c>
      <c r="D18" s="26" t="s">
        <v>29</v>
      </c>
      <c r="E18" s="27" t="s">
        <v>9</v>
      </c>
      <c r="F18" s="28" t="s">
        <v>30</v>
      </c>
      <c r="G18" s="87">
        <v>2</v>
      </c>
      <c r="H18" s="27" t="s">
        <v>9</v>
      </c>
      <c r="I18" s="92">
        <v>1</v>
      </c>
      <c r="J18" s="29">
        <f t="shared" si="0"/>
        <v>1</v>
      </c>
      <c r="K18" s="11">
        <f t="shared" si="1"/>
        <v>3</v>
      </c>
      <c r="L18" s="11">
        <f t="shared" si="2"/>
        <v>0</v>
      </c>
      <c r="O18" s="51" t="s">
        <v>16</v>
      </c>
      <c r="P18" s="52">
        <f>SUMIF($D$8:$D$55,$O18,$G$8:$G$55)+SUMIF($F$8:$F$55,$O18,$I$8:$I$55)</f>
        <v>1</v>
      </c>
      <c r="Q18" s="52">
        <f>SUMIF($D$8:$D$55,$O18,$I$8:$I$55)+SUMIF($F$8:$F$55,$O18,$G$8:$G$55)</f>
        <v>3</v>
      </c>
      <c r="R18" s="52">
        <f>P18-Q18</f>
        <v>-2</v>
      </c>
      <c r="S18" s="53">
        <f>SUMIF($D$8:$D$55,$O18,$K$8:$K$55)+SUMIF($F$8:$F$55,$O18,$L$8:$L$55)</f>
        <v>1</v>
      </c>
      <c r="T18" s="96" t="s">
        <v>55</v>
      </c>
      <c r="U18" s="40"/>
      <c r="V18" s="40" t="str">
        <f>O18</f>
        <v>Australië</v>
      </c>
      <c r="W18" s="40" t="s">
        <v>55</v>
      </c>
      <c r="Y18" s="109">
        <f t="shared" si="8"/>
        <v>10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10</v>
      </c>
      <c r="AG18" s="108">
        <f t="shared" si="3"/>
        <v>1</v>
      </c>
      <c r="AH18" s="108">
        <f t="shared" si="4"/>
        <v>1</v>
      </c>
      <c r="AI18" s="108">
        <f t="shared" si="10"/>
        <v>10</v>
      </c>
      <c r="AJ18" s="108">
        <f t="shared" si="5"/>
        <v>5</v>
      </c>
      <c r="AK18" s="108">
        <f t="shared" si="6"/>
        <v>0</v>
      </c>
      <c r="AL18" s="108">
        <f t="shared" si="7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12">
        <v>12</v>
      </c>
      <c r="C19" s="206">
        <v>41806</v>
      </c>
      <c r="D19" s="14" t="s">
        <v>31</v>
      </c>
      <c r="E19" s="15" t="s">
        <v>9</v>
      </c>
      <c r="F19" s="16" t="s">
        <v>32</v>
      </c>
      <c r="G19" s="85">
        <v>1</v>
      </c>
      <c r="H19" s="15" t="s">
        <v>9</v>
      </c>
      <c r="I19" s="90">
        <v>1</v>
      </c>
      <c r="J19" s="17">
        <f t="shared" si="0"/>
        <v>3</v>
      </c>
      <c r="K19" s="11">
        <f t="shared" si="1"/>
        <v>1</v>
      </c>
      <c r="L19" s="11">
        <f t="shared" si="2"/>
        <v>1</v>
      </c>
      <c r="O19" s="40"/>
      <c r="P19" s="41"/>
      <c r="Q19" s="41"/>
      <c r="R19" s="41"/>
      <c r="S19" s="41"/>
      <c r="T19" s="41"/>
      <c r="U19" s="40"/>
      <c r="V19" s="40"/>
      <c r="W19" s="40"/>
      <c r="Y19" s="109">
        <f t="shared" si="8"/>
        <v>0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0</v>
      </c>
      <c r="AG19" s="108">
        <f t="shared" si="3"/>
        <v>0</v>
      </c>
      <c r="AH19" s="108">
        <f t="shared" si="4"/>
        <v>0</v>
      </c>
      <c r="AI19" s="108">
        <f t="shared" si="10"/>
        <v>0</v>
      </c>
      <c r="AJ19" s="108">
        <f t="shared" si="5"/>
        <v>0</v>
      </c>
      <c r="AK19" s="108">
        <f t="shared" si="6"/>
        <v>0</v>
      </c>
      <c r="AL19" s="108">
        <f t="shared" si="7"/>
        <v>0</v>
      </c>
      <c r="AN19" s="40"/>
      <c r="AO19" s="41"/>
    </row>
    <row r="20" spans="2:41" ht="15.75" thickBot="1">
      <c r="B20" s="18">
        <v>13</v>
      </c>
      <c r="C20" s="207">
        <v>41806</v>
      </c>
      <c r="D20" s="20" t="s">
        <v>33</v>
      </c>
      <c r="E20" s="21" t="s">
        <v>9</v>
      </c>
      <c r="F20" s="30" t="s">
        <v>34</v>
      </c>
      <c r="G20" s="86">
        <v>0</v>
      </c>
      <c r="H20" s="21" t="s">
        <v>9</v>
      </c>
      <c r="I20" s="91">
        <v>1</v>
      </c>
      <c r="J20" s="23">
        <f t="shared" si="0"/>
        <v>2</v>
      </c>
      <c r="K20" s="11">
        <f t="shared" si="1"/>
        <v>0</v>
      </c>
      <c r="L20" s="11">
        <f t="shared" si="2"/>
        <v>3</v>
      </c>
      <c r="O20" s="72" t="s">
        <v>56</v>
      </c>
      <c r="P20" s="73" t="s">
        <v>42</v>
      </c>
      <c r="Q20" s="73" t="s">
        <v>43</v>
      </c>
      <c r="R20" s="74" t="s">
        <v>44</v>
      </c>
      <c r="S20" s="75" t="s">
        <v>45</v>
      </c>
      <c r="T20" s="76" t="s">
        <v>46</v>
      </c>
      <c r="U20" s="40"/>
      <c r="V20" s="40"/>
      <c r="W20" s="40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3"/>
        <v>1</v>
      </c>
      <c r="AH20" s="108">
        <f t="shared" si="4"/>
        <v>0</v>
      </c>
      <c r="AI20" s="108">
        <f t="shared" si="10"/>
        <v>0</v>
      </c>
      <c r="AJ20" s="108">
        <f t="shared" si="5"/>
        <v>0</v>
      </c>
      <c r="AK20" s="108">
        <f t="shared" si="6"/>
        <v>0</v>
      </c>
      <c r="AL20" s="108">
        <f t="shared" si="7"/>
        <v>0</v>
      </c>
      <c r="AN20" s="42" t="s">
        <v>56</v>
      </c>
      <c r="AO20" s="43" t="s">
        <v>46</v>
      </c>
    </row>
    <row r="21" spans="2:41" ht="15.75" thickBot="1">
      <c r="B21" s="24">
        <v>14</v>
      </c>
      <c r="C21" s="208">
        <v>41806</v>
      </c>
      <c r="D21" s="26" t="s">
        <v>35</v>
      </c>
      <c r="E21" s="27" t="s">
        <v>9</v>
      </c>
      <c r="F21" s="28" t="s">
        <v>36</v>
      </c>
      <c r="G21" s="87">
        <v>1</v>
      </c>
      <c r="H21" s="27" t="s">
        <v>9</v>
      </c>
      <c r="I21" s="92">
        <v>1</v>
      </c>
      <c r="J21" s="29">
        <f t="shared" si="0"/>
        <v>3</v>
      </c>
      <c r="K21" s="11">
        <f t="shared" si="1"/>
        <v>1</v>
      </c>
      <c r="L21" s="11">
        <f t="shared" si="2"/>
        <v>1</v>
      </c>
      <c r="O21" s="44" t="s">
        <v>17</v>
      </c>
      <c r="P21" s="45">
        <f>SUMIF($D$8:$D$55,$O21,$G$8:$G$55)+SUMIF($F$8:$F$55,$O21,$I$8:$I$55)</f>
        <v>3</v>
      </c>
      <c r="Q21" s="45">
        <f>SUMIF($D$8:$D$55,$O21,$I$8:$I$55)+SUMIF($F$8:$F$55,$O21,$G$8:$G$55)</f>
        <v>2</v>
      </c>
      <c r="R21" s="46">
        <f>P21-Q21</f>
        <v>1</v>
      </c>
      <c r="S21" s="47">
        <f>SUMIF($D$8:$D$55,$O21,$K$8:$K$55)+SUMIF($F$8:$F$55,$O21,$L$8:$L$55)</f>
        <v>5</v>
      </c>
      <c r="T21" s="94" t="s">
        <v>57</v>
      </c>
      <c r="U21" s="40"/>
      <c r="V21" s="40" t="str">
        <f>O21</f>
        <v>Colombia</v>
      </c>
      <c r="W21" s="40" t="s">
        <v>57</v>
      </c>
      <c r="Y21" s="109">
        <f t="shared" si="8"/>
        <v>1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1</v>
      </c>
      <c r="AG21" s="108">
        <f t="shared" si="3"/>
        <v>1</v>
      </c>
      <c r="AH21" s="108">
        <f t="shared" si="4"/>
        <v>0</v>
      </c>
      <c r="AI21" s="108">
        <f t="shared" si="10"/>
        <v>0</v>
      </c>
      <c r="AJ21" s="108">
        <f t="shared" si="5"/>
        <v>0</v>
      </c>
      <c r="AK21" s="108">
        <f t="shared" si="6"/>
        <v>0</v>
      </c>
      <c r="AL21" s="108">
        <f t="shared" si="7"/>
        <v>0</v>
      </c>
      <c r="AM21" s="120">
        <f>AO21</f>
        <v>10</v>
      </c>
      <c r="AN21" s="116" t="s">
        <v>17</v>
      </c>
      <c r="AO21" s="115">
        <f>IF(Uitslag!T21="",0,IF(T21=Uitslag!T21,10,0))</f>
        <v>10</v>
      </c>
    </row>
    <row r="22" spans="2:41" ht="15.75" thickBot="1">
      <c r="B22" s="12">
        <v>15</v>
      </c>
      <c r="C22" s="206">
        <v>41807</v>
      </c>
      <c r="D22" s="14" t="s">
        <v>37</v>
      </c>
      <c r="E22" s="15" t="s">
        <v>9</v>
      </c>
      <c r="F22" s="16" t="s">
        <v>38</v>
      </c>
      <c r="G22" s="85">
        <v>1</v>
      </c>
      <c r="H22" s="15" t="s">
        <v>9</v>
      </c>
      <c r="I22" s="90">
        <v>0</v>
      </c>
      <c r="J22" s="17">
        <f t="shared" si="0"/>
        <v>1</v>
      </c>
      <c r="K22" s="11">
        <f t="shared" si="1"/>
        <v>3</v>
      </c>
      <c r="L22" s="11">
        <f t="shared" si="2"/>
        <v>0</v>
      </c>
      <c r="O22" s="48" t="s">
        <v>18</v>
      </c>
      <c r="P22" s="49">
        <f>SUMIF($D$8:$D$55,$O22,$G$8:$G$55)+SUMIF($F$8:$F$55,$O22,$I$8:$I$55)</f>
        <v>3</v>
      </c>
      <c r="Q22" s="49">
        <f>SUMIF($D$8:$D$55,$O22,$I$8:$I$55)+SUMIF($F$8:$F$55,$O22,$G$8:$G$55)</f>
        <v>3</v>
      </c>
      <c r="R22" s="49">
        <f>P22-Q22</f>
        <v>0</v>
      </c>
      <c r="S22" s="50">
        <f>SUMIF($D$8:$D$55,$O22,$K$8:$K$55)+SUMIF($F$8:$F$55,$O22,$L$8:$L$55)</f>
        <v>3</v>
      </c>
      <c r="T22" s="95" t="s">
        <v>58</v>
      </c>
      <c r="U22" s="40"/>
      <c r="V22" s="40" t="str">
        <f>O22</f>
        <v>Griekenland</v>
      </c>
      <c r="W22" s="40" t="s">
        <v>58</v>
      </c>
      <c r="Y22" s="109">
        <f t="shared" si="8"/>
        <v>5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5</v>
      </c>
      <c r="AG22" s="108">
        <f t="shared" si="3"/>
        <v>0</v>
      </c>
      <c r="AH22" s="108">
        <f t="shared" si="4"/>
        <v>0</v>
      </c>
      <c r="AI22" s="108">
        <f t="shared" si="10"/>
        <v>0</v>
      </c>
      <c r="AJ22" s="108">
        <f t="shared" si="5"/>
        <v>5</v>
      </c>
      <c r="AK22" s="108">
        <f t="shared" si="6"/>
        <v>0</v>
      </c>
      <c r="AL22" s="108">
        <f t="shared" si="7"/>
        <v>0</v>
      </c>
      <c r="AM22" s="120">
        <f>AO22</f>
        <v>10</v>
      </c>
      <c r="AN22" s="117" t="s">
        <v>18</v>
      </c>
      <c r="AO22" s="115">
        <f>IF(Uitslag!T22="",0,IF(T22=Uitslag!T22,10,0))</f>
        <v>10</v>
      </c>
    </row>
    <row r="23" spans="2:41" ht="15.75" thickBot="1">
      <c r="B23" s="18">
        <v>16</v>
      </c>
      <c r="C23" s="207">
        <v>41807</v>
      </c>
      <c r="D23" s="20" t="s">
        <v>8</v>
      </c>
      <c r="E23" s="21" t="s">
        <v>9</v>
      </c>
      <c r="F23" s="30" t="s">
        <v>11</v>
      </c>
      <c r="G23" s="86">
        <v>1</v>
      </c>
      <c r="H23" s="21" t="s">
        <v>9</v>
      </c>
      <c r="I23" s="91">
        <v>1</v>
      </c>
      <c r="J23" s="23">
        <f t="shared" si="0"/>
        <v>3</v>
      </c>
      <c r="K23" s="11">
        <f t="shared" si="1"/>
        <v>1</v>
      </c>
      <c r="L23" s="11">
        <f t="shared" si="2"/>
        <v>1</v>
      </c>
      <c r="O23" s="48" t="s">
        <v>23</v>
      </c>
      <c r="P23" s="49">
        <f>SUMIF($D$8:$D$55,$O23,$G$8:$G$55)+SUMIF($F$8:$F$55,$O23,$I$8:$I$55)</f>
        <v>2</v>
      </c>
      <c r="Q23" s="49">
        <f>SUMIF($D$8:$D$55,$O23,$I$8:$I$55)+SUMIF($F$8:$F$55,$O23,$G$8:$G$55)</f>
        <v>3</v>
      </c>
      <c r="R23" s="49">
        <f>P23-Q23</f>
        <v>-1</v>
      </c>
      <c r="S23" s="50">
        <f>SUMIF($D$8:$D$55,$O23,$K$8:$K$55)+SUMIF($F$8:$F$55,$O23,$L$8:$L$55)</f>
        <v>2</v>
      </c>
      <c r="T23" s="95" t="s">
        <v>60</v>
      </c>
      <c r="U23" s="40"/>
      <c r="V23" s="40" t="str">
        <f>O23</f>
        <v>Ivoorkust</v>
      </c>
      <c r="W23" s="40" t="s">
        <v>59</v>
      </c>
      <c r="Y23" s="109">
        <f t="shared" si="8"/>
        <v>5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5</v>
      </c>
      <c r="AG23" s="108">
        <f t="shared" si="3"/>
        <v>0</v>
      </c>
      <c r="AH23" s="108">
        <f t="shared" si="4"/>
        <v>0</v>
      </c>
      <c r="AI23" s="108">
        <f t="shared" si="10"/>
        <v>0</v>
      </c>
      <c r="AJ23" s="108">
        <f t="shared" si="5"/>
        <v>0</v>
      </c>
      <c r="AK23" s="108">
        <f t="shared" si="6"/>
        <v>0</v>
      </c>
      <c r="AL23" s="108">
        <f t="shared" si="7"/>
        <v>5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24">
        <v>17</v>
      </c>
      <c r="C24" s="208">
        <v>41807</v>
      </c>
      <c r="D24" s="26" t="s">
        <v>39</v>
      </c>
      <c r="E24" s="27" t="s">
        <v>9</v>
      </c>
      <c r="F24" s="28" t="s">
        <v>40</v>
      </c>
      <c r="G24" s="87">
        <v>1</v>
      </c>
      <c r="H24" s="27" t="s">
        <v>9</v>
      </c>
      <c r="I24" s="92">
        <v>1</v>
      </c>
      <c r="J24" s="29">
        <f t="shared" si="0"/>
        <v>3</v>
      </c>
      <c r="K24" s="11">
        <f t="shared" si="1"/>
        <v>1</v>
      </c>
      <c r="L24" s="11">
        <f t="shared" si="2"/>
        <v>1</v>
      </c>
      <c r="O24" s="51" t="s">
        <v>24</v>
      </c>
      <c r="P24" s="52">
        <f>SUMIF($D$8:$D$55,$O24,$G$8:$G$55)+SUMIF($F$8:$F$55,$O24,$I$8:$I$55)</f>
        <v>3</v>
      </c>
      <c r="Q24" s="52">
        <f>SUMIF($D$8:$D$55,$O24,$I$8:$I$55)+SUMIF($F$8:$F$55,$O24,$G$8:$G$55)</f>
        <v>3</v>
      </c>
      <c r="R24" s="52">
        <f>P24-Q24</f>
        <v>0</v>
      </c>
      <c r="S24" s="53">
        <f>SUMIF($D$8:$D$55,$O24,$K$8:$K$55)+SUMIF($F$8:$F$55,$O24,$L$8:$L$55)</f>
        <v>3</v>
      </c>
      <c r="T24" s="96" t="s">
        <v>59</v>
      </c>
      <c r="U24" s="40"/>
      <c r="V24" s="40" t="str">
        <f>O24</f>
        <v>Japan</v>
      </c>
      <c r="W24" s="40" t="s">
        <v>60</v>
      </c>
      <c r="Y24" s="109">
        <f t="shared" si="8"/>
        <v>10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10</v>
      </c>
      <c r="AG24" s="108">
        <f t="shared" si="3"/>
        <v>1</v>
      </c>
      <c r="AH24" s="108">
        <f t="shared" si="4"/>
        <v>1</v>
      </c>
      <c r="AI24" s="108">
        <f t="shared" si="10"/>
        <v>10</v>
      </c>
      <c r="AJ24" s="108">
        <f t="shared" si="5"/>
        <v>0</v>
      </c>
      <c r="AK24" s="108">
        <f t="shared" si="6"/>
        <v>0</v>
      </c>
      <c r="AL24" s="108">
        <f t="shared" si="7"/>
        <v>5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12">
        <v>18</v>
      </c>
      <c r="C25" s="206">
        <v>41808</v>
      </c>
      <c r="D25" s="14" t="s">
        <v>16</v>
      </c>
      <c r="E25" s="15" t="s">
        <v>9</v>
      </c>
      <c r="F25" s="31" t="s">
        <v>14</v>
      </c>
      <c r="G25" s="85">
        <v>1</v>
      </c>
      <c r="H25" s="15" t="s">
        <v>9</v>
      </c>
      <c r="I25" s="90">
        <v>1</v>
      </c>
      <c r="J25" s="17">
        <f t="shared" si="0"/>
        <v>3</v>
      </c>
      <c r="K25" s="11">
        <f t="shared" si="1"/>
        <v>1</v>
      </c>
      <c r="L25" s="11">
        <f t="shared" si="2"/>
        <v>1</v>
      </c>
      <c r="O25" s="40"/>
      <c r="P25" s="41"/>
      <c r="Q25" s="41"/>
      <c r="R25" s="41"/>
      <c r="S25" s="41"/>
      <c r="T25" s="41"/>
      <c r="U25" s="40"/>
      <c r="V25" s="40"/>
      <c r="W25" s="40"/>
      <c r="Y25" s="109">
        <f t="shared" si="8"/>
        <v>0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0</v>
      </c>
      <c r="AG25" s="108">
        <f t="shared" si="3"/>
        <v>0</v>
      </c>
      <c r="AH25" s="108">
        <f t="shared" si="4"/>
        <v>0</v>
      </c>
      <c r="AI25" s="108">
        <f t="shared" si="10"/>
        <v>0</v>
      </c>
      <c r="AJ25" s="108">
        <f t="shared" si="5"/>
        <v>0</v>
      </c>
      <c r="AK25" s="108">
        <f t="shared" si="6"/>
        <v>0</v>
      </c>
      <c r="AL25" s="108">
        <f t="shared" si="7"/>
        <v>0</v>
      </c>
      <c r="AN25" s="40"/>
      <c r="AO25" s="41"/>
    </row>
    <row r="26" spans="2:41" ht="15.75" thickBot="1">
      <c r="B26" s="18">
        <v>19</v>
      </c>
      <c r="C26" s="207">
        <v>41808</v>
      </c>
      <c r="D26" s="20" t="s">
        <v>13</v>
      </c>
      <c r="E26" s="21" t="s">
        <v>9</v>
      </c>
      <c r="F26" s="30" t="s">
        <v>15</v>
      </c>
      <c r="G26" s="86">
        <v>1</v>
      </c>
      <c r="H26" s="21" t="s">
        <v>9</v>
      </c>
      <c r="I26" s="91">
        <v>1</v>
      </c>
      <c r="J26" s="23">
        <f t="shared" si="0"/>
        <v>3</v>
      </c>
      <c r="K26" s="11">
        <f t="shared" si="1"/>
        <v>1</v>
      </c>
      <c r="L26" s="11">
        <f t="shared" si="2"/>
        <v>1</v>
      </c>
      <c r="O26" s="72" t="s">
        <v>61</v>
      </c>
      <c r="P26" s="73" t="s">
        <v>42</v>
      </c>
      <c r="Q26" s="73" t="s">
        <v>43</v>
      </c>
      <c r="R26" s="74" t="s">
        <v>44</v>
      </c>
      <c r="S26" s="75" t="s">
        <v>45</v>
      </c>
      <c r="T26" s="76" t="s">
        <v>46</v>
      </c>
      <c r="U26" s="40"/>
      <c r="V26" s="40"/>
      <c r="W26" s="40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3"/>
        <v>0</v>
      </c>
      <c r="AH26" s="108">
        <f t="shared" si="4"/>
        <v>0</v>
      </c>
      <c r="AI26" s="108">
        <f t="shared" si="10"/>
        <v>0</v>
      </c>
      <c r="AJ26" s="108">
        <f t="shared" si="5"/>
        <v>0</v>
      </c>
      <c r="AK26" s="108">
        <f t="shared" si="6"/>
        <v>0</v>
      </c>
      <c r="AL26" s="108">
        <f t="shared" si="7"/>
        <v>0</v>
      </c>
      <c r="AN26" s="42" t="s">
        <v>61</v>
      </c>
      <c r="AO26" s="43" t="s">
        <v>46</v>
      </c>
    </row>
    <row r="27" spans="2:41" ht="15.75" thickBot="1">
      <c r="B27" s="24">
        <v>20</v>
      </c>
      <c r="C27" s="208">
        <v>41808</v>
      </c>
      <c r="D27" s="26" t="s">
        <v>12</v>
      </c>
      <c r="E27" s="27" t="s">
        <v>9</v>
      </c>
      <c r="F27" s="28" t="s">
        <v>10</v>
      </c>
      <c r="G27" s="87">
        <v>1</v>
      </c>
      <c r="H27" s="27" t="s">
        <v>9</v>
      </c>
      <c r="I27" s="92">
        <v>1</v>
      </c>
      <c r="J27" s="29">
        <f t="shared" si="0"/>
        <v>3</v>
      </c>
      <c r="K27" s="11">
        <f t="shared" si="1"/>
        <v>1</v>
      </c>
      <c r="L27" s="11">
        <f t="shared" si="2"/>
        <v>1</v>
      </c>
      <c r="O27" s="44" t="s">
        <v>19</v>
      </c>
      <c r="P27" s="45">
        <f>SUMIF($D$8:$D$55,$O27,$G$8:$G$55)+SUMIF($F$8:$F$55,$O27,$I$8:$I$55)</f>
        <v>4</v>
      </c>
      <c r="Q27" s="45">
        <f>SUMIF($D$8:$D$55,$O27,$I$8:$I$55)+SUMIF($F$8:$F$55,$O27,$G$8:$G$55)</f>
        <v>1</v>
      </c>
      <c r="R27" s="46">
        <f>P27-Q27</f>
        <v>3</v>
      </c>
      <c r="S27" s="47">
        <f>SUMIF($D$8:$D$55,$O27,$K$8:$K$55)+SUMIF($F$8:$F$55,$O27,$L$8:$L$55)</f>
        <v>7</v>
      </c>
      <c r="T27" s="94" t="s">
        <v>62</v>
      </c>
      <c r="U27" s="40"/>
      <c r="V27" s="40" t="str">
        <f>O27</f>
        <v>Uruguay</v>
      </c>
      <c r="W27" s="40" t="s">
        <v>62</v>
      </c>
      <c r="Y27" s="109">
        <f t="shared" si="8"/>
        <v>0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0</v>
      </c>
      <c r="AG27" s="108">
        <f t="shared" si="3"/>
        <v>0</v>
      </c>
      <c r="AH27" s="108">
        <f t="shared" si="4"/>
        <v>0</v>
      </c>
      <c r="AI27" s="108">
        <f t="shared" si="10"/>
        <v>0</v>
      </c>
      <c r="AJ27" s="108">
        <f t="shared" si="5"/>
        <v>0</v>
      </c>
      <c r="AK27" s="108">
        <f t="shared" si="6"/>
        <v>0</v>
      </c>
      <c r="AL27" s="108">
        <f t="shared" si="7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12">
        <v>21</v>
      </c>
      <c r="C28" s="206">
        <v>41809</v>
      </c>
      <c r="D28" s="14" t="s">
        <v>17</v>
      </c>
      <c r="E28" s="15" t="s">
        <v>9</v>
      </c>
      <c r="F28" s="16" t="s">
        <v>23</v>
      </c>
      <c r="G28" s="85">
        <v>1</v>
      </c>
      <c r="H28" s="15" t="s">
        <v>9</v>
      </c>
      <c r="I28" s="90">
        <v>0</v>
      </c>
      <c r="J28" s="17">
        <f t="shared" si="0"/>
        <v>1</v>
      </c>
      <c r="K28" s="11">
        <f t="shared" si="1"/>
        <v>3</v>
      </c>
      <c r="L28" s="11">
        <f t="shared" si="2"/>
        <v>0</v>
      </c>
      <c r="O28" s="48" t="s">
        <v>20</v>
      </c>
      <c r="P28" s="49">
        <f>SUMIF($D$8:$D$55,$O28,$G$8:$G$55)+SUMIF($F$8:$F$55,$O28,$I$8:$I$55)</f>
        <v>1</v>
      </c>
      <c r="Q28" s="49">
        <f>SUMIF($D$8:$D$55,$O28,$I$8:$I$55)+SUMIF($F$8:$F$55,$O28,$G$8:$G$55)</f>
        <v>4</v>
      </c>
      <c r="R28" s="49">
        <f>P28-Q28</f>
        <v>-3</v>
      </c>
      <c r="S28" s="50">
        <f>SUMIF($D$8:$D$55,$O28,$K$8:$K$55)+SUMIF($F$8:$F$55,$O28,$L$8:$L$55)</f>
        <v>1</v>
      </c>
      <c r="T28" s="95" t="s">
        <v>65</v>
      </c>
      <c r="U28" s="40"/>
      <c r="V28" s="40" t="str">
        <f>O28</f>
        <v>Costa Rica</v>
      </c>
      <c r="W28" s="40" t="s">
        <v>63</v>
      </c>
      <c r="Y28" s="109">
        <f t="shared" si="8"/>
        <v>5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5</v>
      </c>
      <c r="AG28" s="108">
        <f t="shared" si="3"/>
        <v>0</v>
      </c>
      <c r="AH28" s="108">
        <f t="shared" si="4"/>
        <v>0</v>
      </c>
      <c r="AI28" s="108">
        <f t="shared" si="10"/>
        <v>0</v>
      </c>
      <c r="AJ28" s="108">
        <f t="shared" si="5"/>
        <v>5</v>
      </c>
      <c r="AK28" s="108">
        <f t="shared" si="6"/>
        <v>0</v>
      </c>
      <c r="AL28" s="108">
        <f t="shared" si="7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18">
        <v>22</v>
      </c>
      <c r="C29" s="207">
        <v>41809</v>
      </c>
      <c r="D29" s="20" t="s">
        <v>19</v>
      </c>
      <c r="E29" s="21" t="s">
        <v>9</v>
      </c>
      <c r="F29" s="30" t="s">
        <v>21</v>
      </c>
      <c r="G29" s="86">
        <v>1</v>
      </c>
      <c r="H29" s="21" t="s">
        <v>9</v>
      </c>
      <c r="I29" s="91">
        <v>0</v>
      </c>
      <c r="J29" s="23">
        <f t="shared" si="0"/>
        <v>1</v>
      </c>
      <c r="K29" s="11">
        <f t="shared" si="1"/>
        <v>3</v>
      </c>
      <c r="L29" s="11">
        <f t="shared" si="2"/>
        <v>0</v>
      </c>
      <c r="O29" s="48" t="s">
        <v>21</v>
      </c>
      <c r="P29" s="49">
        <f>SUMIF($D$8:$D$55,$O29,$G$8:$G$55)+SUMIF($F$8:$F$55,$O29,$I$8:$I$55)</f>
        <v>2</v>
      </c>
      <c r="Q29" s="49">
        <f>SUMIF($D$8:$D$55,$O29,$I$8:$I$55)+SUMIF($F$8:$F$55,$O29,$G$8:$G$55)</f>
        <v>4</v>
      </c>
      <c r="R29" s="49">
        <f>P29-Q29</f>
        <v>-2</v>
      </c>
      <c r="S29" s="50">
        <f>SUMIF($D$8:$D$55,$O29,$K$8:$K$55)+SUMIF($F$8:$F$55,$O29,$L$8:$L$55)</f>
        <v>1</v>
      </c>
      <c r="T29" s="95" t="s">
        <v>64</v>
      </c>
      <c r="U29" s="40"/>
      <c r="V29" s="40" t="str">
        <f>O29</f>
        <v>Engeland</v>
      </c>
      <c r="W29" s="40" t="s">
        <v>64</v>
      </c>
      <c r="Y29" s="109">
        <f t="shared" si="8"/>
        <v>5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5</v>
      </c>
      <c r="AG29" s="108">
        <f t="shared" si="3"/>
        <v>0</v>
      </c>
      <c r="AH29" s="108">
        <f t="shared" si="4"/>
        <v>0</v>
      </c>
      <c r="AI29" s="108">
        <f t="shared" si="10"/>
        <v>0</v>
      </c>
      <c r="AJ29" s="108">
        <f t="shared" si="5"/>
        <v>5</v>
      </c>
      <c r="AK29" s="108">
        <f t="shared" si="6"/>
        <v>0</v>
      </c>
      <c r="AL29" s="108">
        <f t="shared" si="7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24">
        <v>23</v>
      </c>
      <c r="C30" s="208">
        <v>41809</v>
      </c>
      <c r="D30" s="26" t="s">
        <v>24</v>
      </c>
      <c r="E30" s="27" t="s">
        <v>9</v>
      </c>
      <c r="F30" s="28" t="s">
        <v>18</v>
      </c>
      <c r="G30" s="87">
        <v>1</v>
      </c>
      <c r="H30" s="27" t="s">
        <v>9</v>
      </c>
      <c r="I30" s="92">
        <v>1</v>
      </c>
      <c r="J30" s="29">
        <f t="shared" si="0"/>
        <v>3</v>
      </c>
      <c r="K30" s="11">
        <f t="shared" si="1"/>
        <v>1</v>
      </c>
      <c r="L30" s="11">
        <f t="shared" si="2"/>
        <v>1</v>
      </c>
      <c r="O30" s="51" t="s">
        <v>22</v>
      </c>
      <c r="P30" s="52">
        <f>SUMIF($D$8:$D$55,$O30,$G$8:$G$55)+SUMIF($F$8:$F$55,$O30,$I$8:$I$55)</f>
        <v>4</v>
      </c>
      <c r="Q30" s="52">
        <f>SUMIF($D$8:$D$55,$O30,$I$8:$I$55)+SUMIF($F$8:$F$55,$O30,$G$8:$G$55)</f>
        <v>2</v>
      </c>
      <c r="R30" s="52">
        <f>P30-Q30</f>
        <v>2</v>
      </c>
      <c r="S30" s="53">
        <f>SUMIF($D$8:$D$55,$O30,$K$8:$K$55)+SUMIF($F$8:$F$55,$O30,$L$8:$L$55)</f>
        <v>7</v>
      </c>
      <c r="T30" s="96" t="s">
        <v>63</v>
      </c>
      <c r="U30" s="40"/>
      <c r="V30" s="40" t="str">
        <f>O30</f>
        <v>Italië</v>
      </c>
      <c r="W30" s="40" t="s">
        <v>65</v>
      </c>
      <c r="Y30" s="109">
        <f t="shared" si="8"/>
        <v>5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5</v>
      </c>
      <c r="AG30" s="108">
        <f t="shared" si="3"/>
        <v>0</v>
      </c>
      <c r="AH30" s="108">
        <f t="shared" si="4"/>
        <v>0</v>
      </c>
      <c r="AI30" s="108">
        <f t="shared" si="10"/>
        <v>0</v>
      </c>
      <c r="AJ30" s="108">
        <f t="shared" si="5"/>
        <v>0</v>
      </c>
      <c r="AK30" s="108">
        <f t="shared" si="6"/>
        <v>0</v>
      </c>
      <c r="AL30" s="108">
        <f t="shared" si="7"/>
        <v>5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12">
        <v>24</v>
      </c>
      <c r="C31" s="206">
        <v>41810</v>
      </c>
      <c r="D31" s="14" t="s">
        <v>22</v>
      </c>
      <c r="E31" s="15" t="s">
        <v>9</v>
      </c>
      <c r="F31" s="16" t="s">
        <v>20</v>
      </c>
      <c r="G31" s="85">
        <v>1</v>
      </c>
      <c r="H31" s="15" t="s">
        <v>9</v>
      </c>
      <c r="I31" s="90">
        <v>0</v>
      </c>
      <c r="J31" s="17">
        <f t="shared" si="0"/>
        <v>1</v>
      </c>
      <c r="K31" s="11">
        <f t="shared" si="1"/>
        <v>3</v>
      </c>
      <c r="L31" s="11">
        <f t="shared" si="2"/>
        <v>0</v>
      </c>
      <c r="O31" s="40"/>
      <c r="P31" s="41"/>
      <c r="Q31" s="41"/>
      <c r="R31" s="41"/>
      <c r="S31" s="41"/>
      <c r="T31" s="41"/>
      <c r="U31" s="40"/>
      <c r="V31" s="40"/>
      <c r="W31" s="40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3"/>
        <v>0</v>
      </c>
      <c r="AH31" s="108">
        <f t="shared" si="4"/>
        <v>0</v>
      </c>
      <c r="AI31" s="108">
        <f t="shared" si="10"/>
        <v>0</v>
      </c>
      <c r="AJ31" s="108">
        <f t="shared" si="5"/>
        <v>0</v>
      </c>
      <c r="AK31" s="108">
        <f t="shared" si="6"/>
        <v>0</v>
      </c>
      <c r="AL31" s="108">
        <f t="shared" si="7"/>
        <v>0</v>
      </c>
      <c r="AN31" s="40"/>
      <c r="AO31" s="41"/>
    </row>
    <row r="32" spans="2:41" ht="15.75" thickBot="1">
      <c r="B32" s="18">
        <v>25</v>
      </c>
      <c r="C32" s="207">
        <v>41810</v>
      </c>
      <c r="D32" s="20" t="s">
        <v>25</v>
      </c>
      <c r="E32" s="21" t="s">
        <v>9</v>
      </c>
      <c r="F32" s="30" t="s">
        <v>27</v>
      </c>
      <c r="G32" s="86">
        <v>0</v>
      </c>
      <c r="H32" s="21" t="s">
        <v>9</v>
      </c>
      <c r="I32" s="91">
        <v>1</v>
      </c>
      <c r="J32" s="23">
        <f t="shared" si="0"/>
        <v>2</v>
      </c>
      <c r="K32" s="11">
        <f t="shared" si="1"/>
        <v>0</v>
      </c>
      <c r="L32" s="11">
        <f t="shared" si="2"/>
        <v>3</v>
      </c>
      <c r="O32" s="72" t="s">
        <v>66</v>
      </c>
      <c r="P32" s="73" t="s">
        <v>42</v>
      </c>
      <c r="Q32" s="73" t="s">
        <v>43</v>
      </c>
      <c r="R32" s="74" t="s">
        <v>44</v>
      </c>
      <c r="S32" s="75" t="s">
        <v>45</v>
      </c>
      <c r="T32" s="76" t="s">
        <v>46</v>
      </c>
      <c r="U32" s="40"/>
      <c r="V32" s="40"/>
      <c r="W32" s="40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3"/>
        <v>0</v>
      </c>
      <c r="AH32" s="108">
        <f t="shared" si="4"/>
        <v>0</v>
      </c>
      <c r="AI32" s="108">
        <f t="shared" si="10"/>
        <v>0</v>
      </c>
      <c r="AJ32" s="108">
        <f t="shared" si="5"/>
        <v>0</v>
      </c>
      <c r="AK32" s="108">
        <f t="shared" si="6"/>
        <v>5</v>
      </c>
      <c r="AL32" s="108">
        <f t="shared" si="7"/>
        <v>0</v>
      </c>
      <c r="AN32" s="42" t="s">
        <v>66</v>
      </c>
      <c r="AO32" s="43" t="s">
        <v>46</v>
      </c>
    </row>
    <row r="33" spans="2:41" ht="15.75" thickBot="1">
      <c r="B33" s="24">
        <v>26</v>
      </c>
      <c r="C33" s="208">
        <v>41810</v>
      </c>
      <c r="D33" s="26" t="s">
        <v>28</v>
      </c>
      <c r="E33" s="27" t="s">
        <v>9</v>
      </c>
      <c r="F33" s="28" t="s">
        <v>26</v>
      </c>
      <c r="G33" s="87">
        <v>1</v>
      </c>
      <c r="H33" s="27" t="s">
        <v>9</v>
      </c>
      <c r="I33" s="92">
        <v>1</v>
      </c>
      <c r="J33" s="29">
        <f t="shared" si="0"/>
        <v>3</v>
      </c>
      <c r="K33" s="11">
        <f t="shared" si="1"/>
        <v>1</v>
      </c>
      <c r="L33" s="11">
        <f t="shared" si="2"/>
        <v>1</v>
      </c>
      <c r="O33" s="44" t="s">
        <v>25</v>
      </c>
      <c r="P33" s="45">
        <f>SUMIF($D$8:$D$55,$O33,$G$8:$G$55)+SUMIF($F$8:$F$55,$O33,$I$8:$I$55)</f>
        <v>3</v>
      </c>
      <c r="Q33" s="45">
        <f>SUMIF($D$8:$D$55,$O33,$I$8:$I$55)+SUMIF($F$8:$F$55,$O33,$G$8:$G$55)</f>
        <v>3</v>
      </c>
      <c r="R33" s="46">
        <f>P33-Q33</f>
        <v>0</v>
      </c>
      <c r="S33" s="47">
        <f>SUMIF($D$8:$D$55,$O33,$K$8:$K$55)+SUMIF($F$8:$F$55,$O33,$L$8:$L$55)</f>
        <v>4</v>
      </c>
      <c r="T33" s="94" t="s">
        <v>68</v>
      </c>
      <c r="U33" s="40"/>
      <c r="V33" s="40" t="str">
        <f>O33</f>
        <v>Zwitserland</v>
      </c>
      <c r="W33" s="40" t="s">
        <v>67</v>
      </c>
      <c r="Y33" s="109">
        <f t="shared" si="8"/>
        <v>1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1</v>
      </c>
      <c r="AG33" s="108">
        <f t="shared" si="3"/>
        <v>1</v>
      </c>
      <c r="AH33" s="108">
        <f t="shared" si="4"/>
        <v>0</v>
      </c>
      <c r="AI33" s="108">
        <f t="shared" si="10"/>
        <v>0</v>
      </c>
      <c r="AJ33" s="108">
        <f t="shared" si="5"/>
        <v>0</v>
      </c>
      <c r="AK33" s="108">
        <f t="shared" si="6"/>
        <v>0</v>
      </c>
      <c r="AL33" s="108">
        <f t="shared" si="7"/>
        <v>0</v>
      </c>
      <c r="AM33" s="120">
        <f>AO33</f>
        <v>10</v>
      </c>
      <c r="AN33" s="116" t="s">
        <v>25</v>
      </c>
      <c r="AO33" s="115">
        <f>IF(Uitslag!T33="",0,IF(T33=Uitslag!T33,10,0))</f>
        <v>10</v>
      </c>
    </row>
    <row r="34" spans="2:41" ht="15.75" thickBot="1">
      <c r="B34" s="12">
        <v>27</v>
      </c>
      <c r="C34" s="206">
        <v>41811</v>
      </c>
      <c r="D34" s="14" t="s">
        <v>29</v>
      </c>
      <c r="E34" s="15" t="s">
        <v>9</v>
      </c>
      <c r="F34" s="16" t="s">
        <v>33</v>
      </c>
      <c r="G34" s="85">
        <v>2</v>
      </c>
      <c r="H34" s="15" t="s">
        <v>9</v>
      </c>
      <c r="I34" s="90">
        <v>1</v>
      </c>
      <c r="J34" s="17">
        <f t="shared" si="0"/>
        <v>1</v>
      </c>
      <c r="K34" s="11">
        <f t="shared" si="1"/>
        <v>3</v>
      </c>
      <c r="L34" s="11">
        <f t="shared" si="2"/>
        <v>0</v>
      </c>
      <c r="O34" s="48" t="s">
        <v>26</v>
      </c>
      <c r="P34" s="49">
        <f>SUMIF($D$8:$D$55,$O34,$G$8:$G$55)+SUMIF($F$8:$F$55,$O34,$I$8:$I$55)</f>
        <v>3</v>
      </c>
      <c r="Q34" s="49">
        <f>SUMIF($D$8:$D$55,$O34,$I$8:$I$55)+SUMIF($F$8:$F$55,$O34,$G$8:$G$55)</f>
        <v>5</v>
      </c>
      <c r="R34" s="49">
        <f>P34-Q34</f>
        <v>-2</v>
      </c>
      <c r="S34" s="50">
        <f>SUMIF($D$8:$D$55,$O34,$K$8:$K$55)+SUMIF($F$8:$F$55,$O34,$L$8:$L$55)</f>
        <v>1</v>
      </c>
      <c r="T34" s="95" t="s">
        <v>70</v>
      </c>
      <c r="U34" s="40"/>
      <c r="V34" s="40" t="str">
        <f>O34</f>
        <v>Ecuador</v>
      </c>
      <c r="W34" s="40" t="s">
        <v>68</v>
      </c>
      <c r="Y34" s="109">
        <f t="shared" si="8"/>
        <v>5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5</v>
      </c>
      <c r="AG34" s="108">
        <f t="shared" si="3"/>
        <v>0</v>
      </c>
      <c r="AH34" s="108">
        <f t="shared" si="4"/>
        <v>0</v>
      </c>
      <c r="AI34" s="108">
        <f t="shared" si="10"/>
        <v>0</v>
      </c>
      <c r="AJ34" s="108">
        <f t="shared" si="5"/>
        <v>5</v>
      </c>
      <c r="AK34" s="108">
        <f t="shared" si="6"/>
        <v>0</v>
      </c>
      <c r="AL34" s="108">
        <f t="shared" si="7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18">
        <v>28</v>
      </c>
      <c r="C35" s="207">
        <v>41811</v>
      </c>
      <c r="D35" s="20" t="s">
        <v>31</v>
      </c>
      <c r="E35" s="21" t="s">
        <v>9</v>
      </c>
      <c r="F35" s="30" t="s">
        <v>35</v>
      </c>
      <c r="G35" s="86">
        <v>2</v>
      </c>
      <c r="H35" s="21" t="s">
        <v>9</v>
      </c>
      <c r="I35" s="91">
        <v>1</v>
      </c>
      <c r="J35" s="23">
        <f t="shared" si="0"/>
        <v>1</v>
      </c>
      <c r="K35" s="11">
        <f t="shared" si="1"/>
        <v>3</v>
      </c>
      <c r="L35" s="11">
        <f t="shared" si="2"/>
        <v>0</v>
      </c>
      <c r="O35" s="48" t="s">
        <v>27</v>
      </c>
      <c r="P35" s="49">
        <f>SUMIF($D$8:$D$55,$O35,$G$8:$G$55)+SUMIF($F$8:$F$55,$O35,$I$8:$I$55)</f>
        <v>5</v>
      </c>
      <c r="Q35" s="49">
        <f>SUMIF($D$8:$D$55,$O35,$I$8:$I$55)+SUMIF($F$8:$F$55,$O35,$G$8:$G$55)</f>
        <v>2</v>
      </c>
      <c r="R35" s="49">
        <f>P35-Q35</f>
        <v>3</v>
      </c>
      <c r="S35" s="50">
        <f>SUMIF($D$8:$D$55,$O35,$K$8:$K$55)+SUMIF($F$8:$F$55,$O35,$L$8:$L$55)</f>
        <v>9</v>
      </c>
      <c r="T35" s="95" t="s">
        <v>67</v>
      </c>
      <c r="U35" s="40"/>
      <c r="V35" s="40" t="str">
        <f>O35</f>
        <v>Frankrijk</v>
      </c>
      <c r="W35" s="40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3"/>
        <v>1</v>
      </c>
      <c r="AH35" s="108">
        <f t="shared" si="4"/>
        <v>0</v>
      </c>
      <c r="AI35" s="108">
        <f t="shared" si="10"/>
        <v>0</v>
      </c>
      <c r="AJ35" s="108">
        <f t="shared" si="5"/>
        <v>0</v>
      </c>
      <c r="AK35" s="108">
        <f t="shared" si="6"/>
        <v>0</v>
      </c>
      <c r="AL35" s="108">
        <f t="shared" si="7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24">
        <v>29</v>
      </c>
      <c r="C36" s="208">
        <v>41811</v>
      </c>
      <c r="D36" s="26" t="s">
        <v>34</v>
      </c>
      <c r="E36" s="27" t="s">
        <v>9</v>
      </c>
      <c r="F36" s="28" t="s">
        <v>30</v>
      </c>
      <c r="G36" s="85">
        <v>1</v>
      </c>
      <c r="H36" s="27" t="s">
        <v>9</v>
      </c>
      <c r="I36" s="92">
        <v>0</v>
      </c>
      <c r="J36" s="29">
        <f t="shared" si="0"/>
        <v>1</v>
      </c>
      <c r="K36" s="11">
        <f t="shared" si="1"/>
        <v>3</v>
      </c>
      <c r="L36" s="11">
        <f t="shared" si="2"/>
        <v>0</v>
      </c>
      <c r="O36" s="51" t="s">
        <v>28</v>
      </c>
      <c r="P36" s="52">
        <f>SUMIF($D$8:$D$55,$O36,$G$8:$G$55)+SUMIF($F$8:$F$55,$O36,$I$8:$I$55)</f>
        <v>3</v>
      </c>
      <c r="Q36" s="52">
        <f>SUMIF($D$8:$D$55,$O36,$I$8:$I$55)+SUMIF($F$8:$F$55,$O36,$G$8:$G$55)</f>
        <v>4</v>
      </c>
      <c r="R36" s="52">
        <f>P36-Q36</f>
        <v>-1</v>
      </c>
      <c r="S36" s="53">
        <f>SUMIF($D$8:$D$55,$O36,$K$8:$K$55)+SUMIF($F$8:$F$55,$O36,$L$8:$L$55)</f>
        <v>2</v>
      </c>
      <c r="T36" s="96" t="s">
        <v>69</v>
      </c>
      <c r="U36" s="40"/>
      <c r="V36" s="40" t="str">
        <f>O36</f>
        <v>Honduras</v>
      </c>
      <c r="W36" s="40" t="s">
        <v>70</v>
      </c>
      <c r="Y36" s="109">
        <f t="shared" si="8"/>
        <v>10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10</v>
      </c>
      <c r="AG36" s="108">
        <f t="shared" si="3"/>
        <v>1</v>
      </c>
      <c r="AH36" s="108">
        <f t="shared" si="4"/>
        <v>1</v>
      </c>
      <c r="AI36" s="108">
        <f t="shared" si="10"/>
        <v>10</v>
      </c>
      <c r="AJ36" s="108">
        <f t="shared" si="5"/>
        <v>5</v>
      </c>
      <c r="AK36" s="108">
        <f t="shared" si="6"/>
        <v>0</v>
      </c>
      <c r="AL36" s="108">
        <f t="shared" si="7"/>
        <v>0</v>
      </c>
      <c r="AM36" s="120">
        <f>AO36</f>
        <v>0</v>
      </c>
      <c r="AN36" s="118" t="s">
        <v>28</v>
      </c>
      <c r="AO36" s="115">
        <f>IF(Uitslag!T36="",0,IF(T36=Uitslag!T36,10,0))</f>
        <v>0</v>
      </c>
    </row>
    <row r="37" spans="2:41" ht="15.75" thickBot="1">
      <c r="B37" s="12">
        <v>30</v>
      </c>
      <c r="C37" s="206">
        <v>41812</v>
      </c>
      <c r="D37" s="14" t="s">
        <v>37</v>
      </c>
      <c r="E37" s="15" t="s">
        <v>9</v>
      </c>
      <c r="F37" s="16" t="s">
        <v>39</v>
      </c>
      <c r="G37" s="85">
        <v>1</v>
      </c>
      <c r="H37" s="15" t="s">
        <v>9</v>
      </c>
      <c r="I37" s="90">
        <v>1</v>
      </c>
      <c r="J37" s="17">
        <f t="shared" si="0"/>
        <v>3</v>
      </c>
      <c r="K37" s="11">
        <f t="shared" si="1"/>
        <v>1</v>
      </c>
      <c r="L37" s="11">
        <f t="shared" si="2"/>
        <v>1</v>
      </c>
      <c r="O37" s="40"/>
      <c r="P37" s="41"/>
      <c r="Q37" s="41"/>
      <c r="R37" s="41"/>
      <c r="S37" s="41"/>
      <c r="T37" s="41"/>
      <c r="U37" s="40"/>
      <c r="V37" s="40"/>
      <c r="W37" s="40"/>
      <c r="Y37" s="109">
        <f t="shared" si="8"/>
        <v>1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1</v>
      </c>
      <c r="AG37" s="108">
        <f t="shared" si="3"/>
        <v>1</v>
      </c>
      <c r="AH37" s="108">
        <f t="shared" si="4"/>
        <v>0</v>
      </c>
      <c r="AI37" s="108">
        <f t="shared" si="10"/>
        <v>0</v>
      </c>
      <c r="AJ37" s="108">
        <f t="shared" si="5"/>
        <v>0</v>
      </c>
      <c r="AK37" s="108">
        <f t="shared" si="6"/>
        <v>0</v>
      </c>
      <c r="AL37" s="108">
        <f t="shared" si="7"/>
        <v>0</v>
      </c>
      <c r="AN37" s="40"/>
      <c r="AO37" s="41"/>
    </row>
    <row r="38" spans="2:41" ht="15.75" thickBot="1">
      <c r="B38" s="18">
        <v>31</v>
      </c>
      <c r="C38" s="207">
        <v>41812</v>
      </c>
      <c r="D38" s="20" t="s">
        <v>40</v>
      </c>
      <c r="E38" s="21" t="s">
        <v>9</v>
      </c>
      <c r="F38" s="30" t="s">
        <v>38</v>
      </c>
      <c r="G38" s="86">
        <v>1</v>
      </c>
      <c r="H38" s="21" t="s">
        <v>9</v>
      </c>
      <c r="I38" s="91">
        <v>1</v>
      </c>
      <c r="J38" s="23">
        <f t="shared" si="0"/>
        <v>3</v>
      </c>
      <c r="K38" s="11">
        <f t="shared" si="1"/>
        <v>1</v>
      </c>
      <c r="L38" s="11">
        <f t="shared" si="2"/>
        <v>1</v>
      </c>
      <c r="O38" s="72" t="s">
        <v>71</v>
      </c>
      <c r="P38" s="73" t="s">
        <v>42</v>
      </c>
      <c r="Q38" s="73" t="s">
        <v>43</v>
      </c>
      <c r="R38" s="74" t="s">
        <v>44</v>
      </c>
      <c r="S38" s="75" t="s">
        <v>45</v>
      </c>
      <c r="T38" s="76" t="s">
        <v>46</v>
      </c>
      <c r="U38" s="40"/>
      <c r="V38" s="40"/>
      <c r="W38" s="40"/>
      <c r="Y38" s="109">
        <f t="shared" si="8"/>
        <v>0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0</v>
      </c>
      <c r="AG38" s="108">
        <f t="shared" si="3"/>
        <v>0</v>
      </c>
      <c r="AH38" s="108">
        <f t="shared" si="4"/>
        <v>0</v>
      </c>
      <c r="AI38" s="108">
        <f t="shared" si="10"/>
        <v>0</v>
      </c>
      <c r="AJ38" s="108">
        <f t="shared" si="5"/>
        <v>0</v>
      </c>
      <c r="AK38" s="108">
        <f t="shared" si="6"/>
        <v>0</v>
      </c>
      <c r="AL38" s="108">
        <f t="shared" si="7"/>
        <v>0</v>
      </c>
      <c r="AN38" s="42" t="s">
        <v>71</v>
      </c>
      <c r="AO38" s="43" t="s">
        <v>46</v>
      </c>
    </row>
    <row r="39" spans="2:41" ht="15.75" thickBot="1">
      <c r="B39" s="24">
        <v>32</v>
      </c>
      <c r="C39" s="208">
        <v>41812</v>
      </c>
      <c r="D39" s="26" t="s">
        <v>36</v>
      </c>
      <c r="E39" s="27" t="s">
        <v>9</v>
      </c>
      <c r="F39" s="28" t="s">
        <v>32</v>
      </c>
      <c r="G39" s="87">
        <v>1</v>
      </c>
      <c r="H39" s="27" t="s">
        <v>9</v>
      </c>
      <c r="I39" s="92">
        <v>1</v>
      </c>
      <c r="J39" s="29">
        <f t="shared" si="0"/>
        <v>3</v>
      </c>
      <c r="K39" s="11">
        <f t="shared" si="1"/>
        <v>1</v>
      </c>
      <c r="L39" s="11">
        <f t="shared" si="2"/>
        <v>1</v>
      </c>
      <c r="O39" s="44" t="s">
        <v>29</v>
      </c>
      <c r="P39" s="45">
        <f>SUMIF($D$8:$D$55,$O39,$G$8:$G$55)+SUMIF($F$8:$F$55,$O39,$I$8:$I$55)</f>
        <v>5</v>
      </c>
      <c r="Q39" s="45">
        <f>SUMIF($D$8:$D$55,$O39,$I$8:$I$55)+SUMIF($F$8:$F$55,$O39,$G$8:$G$55)</f>
        <v>3</v>
      </c>
      <c r="R39" s="46">
        <f>P39-Q39</f>
        <v>2</v>
      </c>
      <c r="S39" s="47">
        <f>SUMIF($D$8:$D$55,$O39,$K$8:$K$55)+SUMIF($F$8:$F$55,$O39,$L$8:$L$55)</f>
        <v>7</v>
      </c>
      <c r="T39" s="94" t="s">
        <v>72</v>
      </c>
      <c r="U39" s="40"/>
      <c r="V39" s="40" t="str">
        <f>O39</f>
        <v>Argentinië</v>
      </c>
      <c r="W39" s="40" t="s">
        <v>72</v>
      </c>
      <c r="Y39" s="109">
        <f t="shared" si="8"/>
        <v>5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5</v>
      </c>
      <c r="AG39" s="108">
        <f t="shared" si="3"/>
        <v>0</v>
      </c>
      <c r="AH39" s="108">
        <f t="shared" si="4"/>
        <v>0</v>
      </c>
      <c r="AI39" s="108">
        <f t="shared" si="10"/>
        <v>0</v>
      </c>
      <c r="AJ39" s="108">
        <f t="shared" si="5"/>
        <v>0</v>
      </c>
      <c r="AK39" s="108">
        <f t="shared" si="6"/>
        <v>0</v>
      </c>
      <c r="AL39" s="108">
        <f t="shared" si="7"/>
        <v>5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12">
        <v>33</v>
      </c>
      <c r="C40" s="206">
        <v>41813</v>
      </c>
      <c r="D40" s="14" t="s">
        <v>16</v>
      </c>
      <c r="E40" s="15" t="s">
        <v>9</v>
      </c>
      <c r="F40" s="16" t="s">
        <v>13</v>
      </c>
      <c r="G40" s="85">
        <v>0</v>
      </c>
      <c r="H40" s="15" t="s">
        <v>9</v>
      </c>
      <c r="I40" s="90">
        <v>1</v>
      </c>
      <c r="J40" s="17">
        <f t="shared" si="0"/>
        <v>2</v>
      </c>
      <c r="K40" s="11">
        <f t="shared" si="1"/>
        <v>0</v>
      </c>
      <c r="L40" s="11">
        <f t="shared" si="2"/>
        <v>3</v>
      </c>
      <c r="O40" s="48" t="s">
        <v>30</v>
      </c>
      <c r="P40" s="49">
        <f>SUMIF($D$8:$D$55,$O40,$G$8:$G$55)+SUMIF($F$8:$F$55,$O40,$I$8:$I$55)</f>
        <v>2</v>
      </c>
      <c r="Q40" s="49">
        <f>SUMIF($D$8:$D$55,$O40,$I$8:$I$55)+SUMIF($F$8:$F$55,$O40,$G$8:$G$55)</f>
        <v>4</v>
      </c>
      <c r="R40" s="49">
        <f>P40-Q40</f>
        <v>-2</v>
      </c>
      <c r="S40" s="50">
        <f>SUMIF($D$8:$D$55,$O40,$K$8:$K$55)+SUMIF($F$8:$F$55,$O40,$L$8:$L$55)</f>
        <v>1</v>
      </c>
      <c r="T40" s="95" t="s">
        <v>74</v>
      </c>
      <c r="U40" s="40"/>
      <c r="V40" s="40" t="str">
        <f>O40</f>
        <v>Bosnië H.</v>
      </c>
      <c r="W40" s="40" t="s">
        <v>73</v>
      </c>
      <c r="Y40" s="109">
        <f t="shared" si="8"/>
        <v>6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6</v>
      </c>
      <c r="AG40" s="108">
        <f t="shared" si="3"/>
        <v>1</v>
      </c>
      <c r="AH40" s="108">
        <f t="shared" si="4"/>
        <v>0</v>
      </c>
      <c r="AI40" s="108">
        <f t="shared" si="10"/>
        <v>0</v>
      </c>
      <c r="AJ40" s="108">
        <f t="shared" si="5"/>
        <v>0</v>
      </c>
      <c r="AK40" s="108">
        <f t="shared" si="6"/>
        <v>5</v>
      </c>
      <c r="AL40" s="108">
        <f t="shared" si="7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18">
        <v>34</v>
      </c>
      <c r="C41" s="207">
        <v>41813</v>
      </c>
      <c r="D41" s="32" t="s">
        <v>14</v>
      </c>
      <c r="E41" s="21" t="s">
        <v>9</v>
      </c>
      <c r="F41" s="30" t="s">
        <v>15</v>
      </c>
      <c r="G41" s="86">
        <v>1</v>
      </c>
      <c r="H41" s="21" t="s">
        <v>9</v>
      </c>
      <c r="I41" s="91">
        <v>1</v>
      </c>
      <c r="J41" s="23">
        <f t="shared" si="0"/>
        <v>3</v>
      </c>
      <c r="K41" s="11">
        <f t="shared" si="1"/>
        <v>1</v>
      </c>
      <c r="L41" s="11">
        <f t="shared" si="2"/>
        <v>1</v>
      </c>
      <c r="O41" s="48" t="s">
        <v>33</v>
      </c>
      <c r="P41" s="49">
        <f>SUMIF($D$8:$D$55,$O41,$G$8:$G$55)+SUMIF($F$8:$F$55,$O41,$I$8:$I$55)</f>
        <v>2</v>
      </c>
      <c r="Q41" s="49">
        <f>SUMIF($D$8:$D$55,$O41,$I$8:$I$55)+SUMIF($F$8:$F$55,$O41,$G$8:$G$55)</f>
        <v>4</v>
      </c>
      <c r="R41" s="49">
        <f>P41-Q41</f>
        <v>-2</v>
      </c>
      <c r="S41" s="50">
        <f>SUMIF($D$8:$D$55,$O41,$K$8:$K$55)+SUMIF($F$8:$F$55,$O41,$L$8:$L$55)</f>
        <v>1</v>
      </c>
      <c r="T41" s="95" t="s">
        <v>75</v>
      </c>
      <c r="U41" s="40"/>
      <c r="V41" s="40" t="str">
        <f>O41</f>
        <v>Iran</v>
      </c>
      <c r="W41" s="40" t="s">
        <v>74</v>
      </c>
      <c r="Y41" s="109">
        <f t="shared" si="8"/>
        <v>0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0</v>
      </c>
      <c r="AG41" s="108">
        <f t="shared" si="3"/>
        <v>0</v>
      </c>
      <c r="AH41" s="108">
        <f t="shared" si="4"/>
        <v>0</v>
      </c>
      <c r="AI41" s="108">
        <f t="shared" si="10"/>
        <v>0</v>
      </c>
      <c r="AJ41" s="108">
        <f t="shared" si="5"/>
        <v>0</v>
      </c>
      <c r="AK41" s="108">
        <f t="shared" si="6"/>
        <v>0</v>
      </c>
      <c r="AL41" s="108">
        <f t="shared" si="7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18">
        <v>35</v>
      </c>
      <c r="C42" s="207">
        <v>41813</v>
      </c>
      <c r="D42" s="20" t="s">
        <v>12</v>
      </c>
      <c r="E42" s="21" t="s">
        <v>9</v>
      </c>
      <c r="F42" s="30" t="s">
        <v>8</v>
      </c>
      <c r="G42" s="86">
        <v>1</v>
      </c>
      <c r="H42" s="21" t="s">
        <v>9</v>
      </c>
      <c r="I42" s="91">
        <v>2</v>
      </c>
      <c r="J42" s="23">
        <f t="shared" si="0"/>
        <v>2</v>
      </c>
      <c r="K42" s="11">
        <f t="shared" si="1"/>
        <v>0</v>
      </c>
      <c r="L42" s="11">
        <f t="shared" si="2"/>
        <v>3</v>
      </c>
      <c r="O42" s="51" t="s">
        <v>34</v>
      </c>
      <c r="P42" s="52">
        <f>SUMIF($D$8:$D$55,$O42,$G$8:$G$55)+SUMIF($F$8:$F$55,$O42,$I$8:$I$55)</f>
        <v>3</v>
      </c>
      <c r="Q42" s="52">
        <f>SUMIF($D$8:$D$55,$O42,$I$8:$I$55)+SUMIF($F$8:$F$55,$O42,$G$8:$G$55)</f>
        <v>1</v>
      </c>
      <c r="R42" s="52">
        <f>P42-Q42</f>
        <v>2</v>
      </c>
      <c r="S42" s="53">
        <f>SUMIF($D$8:$D$55,$O42,$K$8:$K$55)+SUMIF($F$8:$F$55,$O42,$L$8:$L$55)</f>
        <v>7</v>
      </c>
      <c r="T42" s="96" t="s">
        <v>73</v>
      </c>
      <c r="U42" s="40"/>
      <c r="V42" s="40" t="str">
        <f>O42</f>
        <v>Nigeria</v>
      </c>
      <c r="W42" s="40" t="s">
        <v>75</v>
      </c>
      <c r="Y42" s="109">
        <f t="shared" si="8"/>
        <v>6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6</v>
      </c>
      <c r="AG42" s="108">
        <f t="shared" si="3"/>
        <v>1</v>
      </c>
      <c r="AH42" s="108">
        <f t="shared" si="4"/>
        <v>0</v>
      </c>
      <c r="AI42" s="108">
        <f t="shared" si="10"/>
        <v>0</v>
      </c>
      <c r="AJ42" s="108">
        <f t="shared" si="5"/>
        <v>0</v>
      </c>
      <c r="AK42" s="108">
        <f t="shared" si="6"/>
        <v>5</v>
      </c>
      <c r="AL42" s="108">
        <f t="shared" si="7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24">
        <v>36</v>
      </c>
      <c r="C43" s="208">
        <v>41813</v>
      </c>
      <c r="D43" s="26" t="s">
        <v>10</v>
      </c>
      <c r="E43" s="27" t="s">
        <v>9</v>
      </c>
      <c r="F43" s="28" t="s">
        <v>11</v>
      </c>
      <c r="G43" s="87">
        <v>1</v>
      </c>
      <c r="H43" s="27" t="s">
        <v>9</v>
      </c>
      <c r="I43" s="92">
        <v>1</v>
      </c>
      <c r="J43" s="29">
        <f t="shared" si="0"/>
        <v>3</v>
      </c>
      <c r="K43" s="11">
        <f t="shared" si="1"/>
        <v>1</v>
      </c>
      <c r="L43" s="11">
        <f t="shared" si="2"/>
        <v>1</v>
      </c>
      <c r="O43" s="40"/>
      <c r="P43" s="41"/>
      <c r="Q43" s="41"/>
      <c r="R43" s="41"/>
      <c r="S43" s="41"/>
      <c r="T43" s="41"/>
      <c r="U43" s="40"/>
      <c r="V43" s="40"/>
      <c r="W43" s="40"/>
      <c r="Y43" s="109">
        <f t="shared" si="8"/>
        <v>1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1</v>
      </c>
      <c r="AG43" s="108">
        <f t="shared" si="3"/>
        <v>1</v>
      </c>
      <c r="AH43" s="108">
        <f t="shared" si="4"/>
        <v>0</v>
      </c>
      <c r="AI43" s="108">
        <f t="shared" si="10"/>
        <v>0</v>
      </c>
      <c r="AJ43" s="108">
        <f t="shared" si="5"/>
        <v>0</v>
      </c>
      <c r="AK43" s="108">
        <f t="shared" si="6"/>
        <v>0</v>
      </c>
      <c r="AL43" s="108">
        <f t="shared" si="7"/>
        <v>0</v>
      </c>
      <c r="AN43" s="40"/>
      <c r="AO43" s="41"/>
    </row>
    <row r="44" spans="2:41" ht="15.75" thickBot="1">
      <c r="B44" s="12">
        <v>37</v>
      </c>
      <c r="C44" s="206">
        <v>41814</v>
      </c>
      <c r="D44" s="14" t="s">
        <v>22</v>
      </c>
      <c r="E44" s="15" t="s">
        <v>9</v>
      </c>
      <c r="F44" s="16" t="s">
        <v>19</v>
      </c>
      <c r="G44" s="85">
        <v>1</v>
      </c>
      <c r="H44" s="15" t="s">
        <v>9</v>
      </c>
      <c r="I44" s="90">
        <v>1</v>
      </c>
      <c r="J44" s="17">
        <f t="shared" si="0"/>
        <v>3</v>
      </c>
      <c r="K44" s="11">
        <f t="shared" si="1"/>
        <v>1</v>
      </c>
      <c r="L44" s="11">
        <f t="shared" si="2"/>
        <v>1</v>
      </c>
      <c r="O44" s="72" t="s">
        <v>76</v>
      </c>
      <c r="P44" s="73" t="s">
        <v>42</v>
      </c>
      <c r="Q44" s="73" t="s">
        <v>43</v>
      </c>
      <c r="R44" s="74" t="s">
        <v>44</v>
      </c>
      <c r="S44" s="75" t="s">
        <v>45</v>
      </c>
      <c r="T44" s="76" t="s">
        <v>46</v>
      </c>
      <c r="U44" s="40"/>
      <c r="V44" s="40"/>
      <c r="W44" s="40"/>
      <c r="Y44" s="109">
        <f t="shared" si="8"/>
        <v>1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1</v>
      </c>
      <c r="AG44" s="108">
        <f t="shared" si="3"/>
        <v>0</v>
      </c>
      <c r="AH44" s="108">
        <f t="shared" si="4"/>
        <v>1</v>
      </c>
      <c r="AI44" s="108">
        <f t="shared" si="10"/>
        <v>0</v>
      </c>
      <c r="AJ44" s="108">
        <f t="shared" si="5"/>
        <v>0</v>
      </c>
      <c r="AK44" s="108">
        <f t="shared" si="6"/>
        <v>0</v>
      </c>
      <c r="AL44" s="108">
        <f t="shared" si="7"/>
        <v>0</v>
      </c>
      <c r="AN44" s="42" t="s">
        <v>76</v>
      </c>
      <c r="AO44" s="43" t="s">
        <v>46</v>
      </c>
    </row>
    <row r="45" spans="2:41" ht="15.75" thickBot="1">
      <c r="B45" s="18">
        <v>38</v>
      </c>
      <c r="C45" s="207">
        <v>41814</v>
      </c>
      <c r="D45" s="20" t="s">
        <v>20</v>
      </c>
      <c r="E45" s="21" t="s">
        <v>9</v>
      </c>
      <c r="F45" s="30" t="s">
        <v>21</v>
      </c>
      <c r="G45" s="86">
        <v>1</v>
      </c>
      <c r="H45" s="21" t="s">
        <v>9</v>
      </c>
      <c r="I45" s="91">
        <v>1</v>
      </c>
      <c r="J45" s="23">
        <f t="shared" si="0"/>
        <v>3</v>
      </c>
      <c r="K45" s="11">
        <f t="shared" si="1"/>
        <v>1</v>
      </c>
      <c r="L45" s="11">
        <f t="shared" si="2"/>
        <v>1</v>
      </c>
      <c r="O45" s="44" t="s">
        <v>31</v>
      </c>
      <c r="P45" s="45">
        <f>SUMIF($D$8:$D$55,$O45,$G$8:$G$55)+SUMIF($F$8:$F$55,$O45,$I$8:$I$55)</f>
        <v>6</v>
      </c>
      <c r="Q45" s="45">
        <f>SUMIF($D$8:$D$55,$O45,$I$8:$I$55)+SUMIF($F$8:$F$55,$O45,$G$8:$G$55)</f>
        <v>3</v>
      </c>
      <c r="R45" s="46">
        <f>P45-Q45</f>
        <v>3</v>
      </c>
      <c r="S45" s="47">
        <f>SUMIF($D$8:$D$55,$O45,$K$8:$K$55)+SUMIF($F$8:$F$55,$O45,$L$8:$L$55)</f>
        <v>7</v>
      </c>
      <c r="T45" s="94" t="s">
        <v>77</v>
      </c>
      <c r="U45" s="40"/>
      <c r="V45" s="40" t="str">
        <f>O45</f>
        <v>Duitsland</v>
      </c>
      <c r="W45" s="40" t="s">
        <v>77</v>
      </c>
      <c r="Y45" s="109">
        <f t="shared" si="8"/>
        <v>5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5</v>
      </c>
      <c r="AG45" s="108">
        <f t="shared" si="3"/>
        <v>0</v>
      </c>
      <c r="AH45" s="108">
        <f t="shared" si="4"/>
        <v>0</v>
      </c>
      <c r="AI45" s="108">
        <f t="shared" si="10"/>
        <v>0</v>
      </c>
      <c r="AJ45" s="108">
        <f t="shared" si="5"/>
        <v>0</v>
      </c>
      <c r="AK45" s="108">
        <f t="shared" si="6"/>
        <v>0</v>
      </c>
      <c r="AL45" s="108">
        <f t="shared" si="7"/>
        <v>5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18">
        <v>39</v>
      </c>
      <c r="C46" s="207">
        <v>41814</v>
      </c>
      <c r="D46" s="20" t="s">
        <v>24</v>
      </c>
      <c r="E46" s="21" t="s">
        <v>9</v>
      </c>
      <c r="F46" s="30" t="s">
        <v>17</v>
      </c>
      <c r="G46" s="86">
        <v>1</v>
      </c>
      <c r="H46" s="21" t="s">
        <v>9</v>
      </c>
      <c r="I46" s="91">
        <v>1</v>
      </c>
      <c r="J46" s="23">
        <f t="shared" si="0"/>
        <v>3</v>
      </c>
      <c r="K46" s="11">
        <f t="shared" si="1"/>
        <v>1</v>
      </c>
      <c r="L46" s="11">
        <f t="shared" si="2"/>
        <v>1</v>
      </c>
      <c r="O46" s="48" t="s">
        <v>32</v>
      </c>
      <c r="P46" s="49">
        <f>SUMIF($D$8:$D$55,$O46,$G$8:$G$55)+SUMIF($F$8:$F$55,$O46,$I$8:$I$55)</f>
        <v>3</v>
      </c>
      <c r="Q46" s="49">
        <f>SUMIF($D$8:$D$55,$O46,$I$8:$I$55)+SUMIF($F$8:$F$55,$O46,$G$8:$G$55)</f>
        <v>3</v>
      </c>
      <c r="R46" s="49">
        <f>P46-Q46</f>
        <v>0</v>
      </c>
      <c r="S46" s="50">
        <f>SUMIF($D$8:$D$55,$O46,$K$8:$K$55)+SUMIF($F$8:$F$55,$O46,$L$8:$L$55)</f>
        <v>3</v>
      </c>
      <c r="T46" s="95" t="s">
        <v>78</v>
      </c>
      <c r="U46" s="40"/>
      <c r="V46" s="40" t="str">
        <f>O46</f>
        <v>Portugal</v>
      </c>
      <c r="W46" s="40" t="s">
        <v>78</v>
      </c>
      <c r="Y46" s="109">
        <f t="shared" si="8"/>
        <v>1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1</v>
      </c>
      <c r="AG46" s="108">
        <f t="shared" si="3"/>
        <v>1</v>
      </c>
      <c r="AH46" s="108">
        <f t="shared" si="4"/>
        <v>0</v>
      </c>
      <c r="AI46" s="108">
        <f t="shared" si="10"/>
        <v>0</v>
      </c>
      <c r="AJ46" s="108">
        <f t="shared" si="5"/>
        <v>0</v>
      </c>
      <c r="AK46" s="108">
        <f t="shared" si="6"/>
        <v>0</v>
      </c>
      <c r="AL46" s="108">
        <f t="shared" si="7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24">
        <v>40</v>
      </c>
      <c r="C47" s="208">
        <v>41814</v>
      </c>
      <c r="D47" s="26" t="s">
        <v>18</v>
      </c>
      <c r="E47" s="27" t="s">
        <v>9</v>
      </c>
      <c r="F47" s="28" t="s">
        <v>23</v>
      </c>
      <c r="G47" s="87">
        <v>1</v>
      </c>
      <c r="H47" s="27" t="s">
        <v>9</v>
      </c>
      <c r="I47" s="92">
        <v>1</v>
      </c>
      <c r="J47" s="29">
        <f t="shared" si="0"/>
        <v>3</v>
      </c>
      <c r="K47" s="11">
        <f t="shared" si="1"/>
        <v>1</v>
      </c>
      <c r="L47" s="11">
        <f t="shared" si="2"/>
        <v>1</v>
      </c>
      <c r="O47" s="48" t="s">
        <v>35</v>
      </c>
      <c r="P47" s="49">
        <f>SUMIF($D$8:$D$55,$O47,$G$8:$G$55)+SUMIF($F$8:$F$55,$O47,$I$8:$I$55)</f>
        <v>3</v>
      </c>
      <c r="Q47" s="49">
        <f>SUMIF($D$8:$D$55,$O47,$I$8:$I$55)+SUMIF($F$8:$F$55,$O47,$G$8:$G$55)</f>
        <v>4</v>
      </c>
      <c r="R47" s="49">
        <f>P47-Q47</f>
        <v>-1</v>
      </c>
      <c r="S47" s="50">
        <f>SUMIF($D$8:$D$55,$O47,$K$8:$K$55)+SUMIF($F$8:$F$55,$O47,$L$8:$L$55)</f>
        <v>2</v>
      </c>
      <c r="T47" s="95" t="s">
        <v>79</v>
      </c>
      <c r="U47" s="40"/>
      <c r="V47" s="40" t="str">
        <f>O47</f>
        <v>Ghana</v>
      </c>
      <c r="W47" s="40" t="s">
        <v>79</v>
      </c>
      <c r="Y47" s="109">
        <f t="shared" si="8"/>
        <v>1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1</v>
      </c>
      <c r="AG47" s="108">
        <f t="shared" si="3"/>
        <v>0</v>
      </c>
      <c r="AH47" s="108">
        <f t="shared" si="4"/>
        <v>1</v>
      </c>
      <c r="AI47" s="108">
        <f t="shared" si="10"/>
        <v>0</v>
      </c>
      <c r="AJ47" s="108">
        <f t="shared" si="5"/>
        <v>0</v>
      </c>
      <c r="AK47" s="108">
        <f t="shared" si="6"/>
        <v>0</v>
      </c>
      <c r="AL47" s="108">
        <f t="shared" si="7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12">
        <v>41</v>
      </c>
      <c r="C48" s="206">
        <v>41815</v>
      </c>
      <c r="D48" s="14" t="s">
        <v>34</v>
      </c>
      <c r="E48" s="15" t="s">
        <v>9</v>
      </c>
      <c r="F48" s="16" t="s">
        <v>29</v>
      </c>
      <c r="G48" s="85">
        <v>1</v>
      </c>
      <c r="H48" s="15" t="s">
        <v>9</v>
      </c>
      <c r="I48" s="90">
        <v>1</v>
      </c>
      <c r="J48" s="17">
        <f t="shared" si="0"/>
        <v>3</v>
      </c>
      <c r="K48" s="11">
        <f t="shared" si="1"/>
        <v>1</v>
      </c>
      <c r="L48" s="11">
        <f t="shared" si="2"/>
        <v>1</v>
      </c>
      <c r="O48" s="51" t="s">
        <v>36</v>
      </c>
      <c r="P48" s="52">
        <f>SUMIF($D$8:$D$55,$O48,$G$8:$G$55)+SUMIF($F$8:$F$55,$O48,$I$8:$I$55)</f>
        <v>3</v>
      </c>
      <c r="Q48" s="52">
        <f>SUMIF($D$8:$D$55,$O48,$I$8:$I$55)+SUMIF($F$8:$F$55,$O48,$G$8:$G$55)</f>
        <v>5</v>
      </c>
      <c r="R48" s="52">
        <f>P48-Q48</f>
        <v>-2</v>
      </c>
      <c r="S48" s="53">
        <f>SUMIF($D$8:$D$55,$O48,$K$8:$K$55)+SUMIF($F$8:$F$55,$O48,$L$8:$L$55)</f>
        <v>2</v>
      </c>
      <c r="T48" s="96" t="s">
        <v>80</v>
      </c>
      <c r="U48" s="40"/>
      <c r="V48" s="40" t="str">
        <f>O48</f>
        <v>Verenigde Staten</v>
      </c>
      <c r="W48" s="40" t="s">
        <v>80</v>
      </c>
      <c r="Y48" s="109">
        <f t="shared" si="8"/>
        <v>0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0</v>
      </c>
      <c r="AG48" s="108">
        <f t="shared" si="3"/>
        <v>0</v>
      </c>
      <c r="AH48" s="108">
        <f t="shared" si="4"/>
        <v>0</v>
      </c>
      <c r="AI48" s="108">
        <f t="shared" si="10"/>
        <v>0</v>
      </c>
      <c r="AJ48" s="108">
        <f t="shared" si="5"/>
        <v>0</v>
      </c>
      <c r="AK48" s="108">
        <f t="shared" si="6"/>
        <v>0</v>
      </c>
      <c r="AL48" s="108">
        <f t="shared" si="7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18">
        <v>42</v>
      </c>
      <c r="C49" s="207">
        <v>41815</v>
      </c>
      <c r="D49" s="20" t="s">
        <v>30</v>
      </c>
      <c r="E49" s="21" t="s">
        <v>9</v>
      </c>
      <c r="F49" s="30" t="s">
        <v>33</v>
      </c>
      <c r="G49" s="86">
        <v>1</v>
      </c>
      <c r="H49" s="21" t="s">
        <v>9</v>
      </c>
      <c r="I49" s="91">
        <v>1</v>
      </c>
      <c r="J49" s="23">
        <f t="shared" si="0"/>
        <v>3</v>
      </c>
      <c r="K49" s="11">
        <f t="shared" si="1"/>
        <v>1</v>
      </c>
      <c r="L49" s="11">
        <f t="shared" si="2"/>
        <v>1</v>
      </c>
      <c r="O49" s="40"/>
      <c r="P49" s="41"/>
      <c r="Q49" s="41"/>
      <c r="R49" s="41"/>
      <c r="S49" s="41"/>
      <c r="T49" s="41"/>
      <c r="U49" s="40"/>
      <c r="V49" s="40"/>
      <c r="W49" s="40"/>
      <c r="Y49" s="109">
        <f t="shared" si="8"/>
        <v>1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1</v>
      </c>
      <c r="AG49" s="108">
        <f t="shared" si="3"/>
        <v>0</v>
      </c>
      <c r="AH49" s="108">
        <f t="shared" si="4"/>
        <v>1</v>
      </c>
      <c r="AI49" s="108">
        <f t="shared" si="10"/>
        <v>0</v>
      </c>
      <c r="AJ49" s="108">
        <f t="shared" si="5"/>
        <v>0</v>
      </c>
      <c r="AK49" s="108">
        <f t="shared" si="6"/>
        <v>0</v>
      </c>
      <c r="AL49" s="108">
        <f t="shared" si="7"/>
        <v>0</v>
      </c>
      <c r="AN49" s="40"/>
      <c r="AO49" s="41"/>
    </row>
    <row r="50" spans="2:54" ht="15.75" thickBot="1">
      <c r="B50" s="18">
        <v>43</v>
      </c>
      <c r="C50" s="207">
        <v>41815</v>
      </c>
      <c r="D50" s="20" t="s">
        <v>28</v>
      </c>
      <c r="E50" s="21" t="s">
        <v>9</v>
      </c>
      <c r="F50" s="30" t="s">
        <v>25</v>
      </c>
      <c r="G50" s="86">
        <v>1</v>
      </c>
      <c r="H50" s="21" t="s">
        <v>9</v>
      </c>
      <c r="I50" s="91">
        <v>1</v>
      </c>
      <c r="J50" s="23">
        <f t="shared" si="0"/>
        <v>3</v>
      </c>
      <c r="K50" s="11">
        <f t="shared" si="1"/>
        <v>1</v>
      </c>
      <c r="L50" s="11">
        <f t="shared" si="2"/>
        <v>1</v>
      </c>
      <c r="O50" s="72" t="s">
        <v>81</v>
      </c>
      <c r="P50" s="73" t="s">
        <v>42</v>
      </c>
      <c r="Q50" s="73" t="s">
        <v>43</v>
      </c>
      <c r="R50" s="74" t="s">
        <v>44</v>
      </c>
      <c r="S50" s="75" t="s">
        <v>45</v>
      </c>
      <c r="T50" s="76" t="s">
        <v>46</v>
      </c>
      <c r="U50" s="40"/>
      <c r="V50" s="40"/>
      <c r="W50" s="40"/>
      <c r="Y50" s="109">
        <f t="shared" si="8"/>
        <v>0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0</v>
      </c>
      <c r="AG50" s="108">
        <f t="shared" si="3"/>
        <v>0</v>
      </c>
      <c r="AH50" s="108">
        <f t="shared" si="4"/>
        <v>0</v>
      </c>
      <c r="AI50" s="108">
        <f t="shared" si="10"/>
        <v>0</v>
      </c>
      <c r="AJ50" s="108">
        <f t="shared" si="5"/>
        <v>0</v>
      </c>
      <c r="AK50" s="108">
        <f t="shared" si="6"/>
        <v>0</v>
      </c>
      <c r="AL50" s="108">
        <f t="shared" si="7"/>
        <v>0</v>
      </c>
      <c r="AN50" s="42" t="s">
        <v>81</v>
      </c>
      <c r="AO50" s="43" t="s">
        <v>46</v>
      </c>
    </row>
    <row r="51" spans="2:54" ht="15.75" thickBot="1">
      <c r="B51" s="24">
        <v>44</v>
      </c>
      <c r="C51" s="208">
        <v>41815</v>
      </c>
      <c r="D51" s="26" t="s">
        <v>26</v>
      </c>
      <c r="E51" s="27" t="s">
        <v>9</v>
      </c>
      <c r="F51" s="28" t="s">
        <v>27</v>
      </c>
      <c r="G51" s="87">
        <v>1</v>
      </c>
      <c r="H51" s="27" t="s">
        <v>9</v>
      </c>
      <c r="I51" s="92">
        <v>2</v>
      </c>
      <c r="J51" s="29">
        <f t="shared" si="0"/>
        <v>2</v>
      </c>
      <c r="K51" s="11">
        <f t="shared" si="1"/>
        <v>0</v>
      </c>
      <c r="L51" s="11">
        <f t="shared" si="2"/>
        <v>3</v>
      </c>
      <c r="O51" s="44" t="s">
        <v>37</v>
      </c>
      <c r="P51" s="45">
        <f>SUMIF($D$8:$D$55,$O51,$G$8:$G$55)+SUMIF($F$8:$F$55,$O51,$I$8:$I$55)</f>
        <v>4</v>
      </c>
      <c r="Q51" s="45">
        <f>SUMIF($D$8:$D$55,$O51,$I$8:$I$55)+SUMIF($F$8:$F$55,$O51,$G$8:$G$55)</f>
        <v>2</v>
      </c>
      <c r="R51" s="46">
        <f>P51-Q51</f>
        <v>2</v>
      </c>
      <c r="S51" s="47">
        <f>SUMIF($D$8:$D$55,$O51,$K$8:$K$55)+SUMIF($F$8:$F$55,$O51,$L$8:$L$55)</f>
        <v>7</v>
      </c>
      <c r="T51" s="94" t="s">
        <v>82</v>
      </c>
      <c r="U51" s="40"/>
      <c r="V51" s="40" t="str">
        <f>O51</f>
        <v>België</v>
      </c>
      <c r="W51" s="40" t="s">
        <v>82</v>
      </c>
      <c r="Y51" s="109">
        <f t="shared" si="8"/>
        <v>0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0</v>
      </c>
      <c r="AG51" s="108">
        <f t="shared" si="3"/>
        <v>0</v>
      </c>
      <c r="AH51" s="108">
        <f t="shared" si="4"/>
        <v>0</v>
      </c>
      <c r="AI51" s="108">
        <f t="shared" si="10"/>
        <v>0</v>
      </c>
      <c r="AJ51" s="108">
        <f t="shared" si="5"/>
        <v>0</v>
      </c>
      <c r="AK51" s="108">
        <f t="shared" si="6"/>
        <v>0</v>
      </c>
      <c r="AL51" s="108">
        <f t="shared" si="7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18">
        <v>45</v>
      </c>
      <c r="C52" s="207">
        <v>41816</v>
      </c>
      <c r="D52" s="20" t="s">
        <v>36</v>
      </c>
      <c r="E52" s="21" t="s">
        <v>9</v>
      </c>
      <c r="F52" s="30" t="s">
        <v>31</v>
      </c>
      <c r="G52" s="86">
        <v>1</v>
      </c>
      <c r="H52" s="21" t="s">
        <v>9</v>
      </c>
      <c r="I52" s="91">
        <v>3</v>
      </c>
      <c r="J52" s="17">
        <f t="shared" si="0"/>
        <v>2</v>
      </c>
      <c r="K52" s="11">
        <f t="shared" si="1"/>
        <v>0</v>
      </c>
      <c r="L52" s="11">
        <f t="shared" si="2"/>
        <v>3</v>
      </c>
      <c r="O52" s="48" t="s">
        <v>38</v>
      </c>
      <c r="P52" s="49">
        <f>SUMIF($D$8:$D$55,$O52,$G$8:$G$55)+SUMIF($F$8:$F$55,$O52,$I$8:$I$55)</f>
        <v>1</v>
      </c>
      <c r="Q52" s="49">
        <f>SUMIF($D$8:$D$55,$O52,$I$8:$I$55)+SUMIF($F$8:$F$55,$O52,$G$8:$G$55)</f>
        <v>3</v>
      </c>
      <c r="R52" s="49">
        <f>P52-Q52</f>
        <v>-2</v>
      </c>
      <c r="S52" s="50">
        <f>SUMIF($D$8:$D$55,$O52,$K$8:$K$55)+SUMIF($F$8:$F$55,$O52,$L$8:$L$55)</f>
        <v>1</v>
      </c>
      <c r="T52" s="95" t="s">
        <v>85</v>
      </c>
      <c r="U52" s="40"/>
      <c r="V52" s="40" t="str">
        <f>O52</f>
        <v>Algerije</v>
      </c>
      <c r="W52" s="40" t="s">
        <v>83</v>
      </c>
      <c r="Y52" s="109">
        <f t="shared" si="8"/>
        <v>5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5</v>
      </c>
      <c r="AG52" s="108">
        <f t="shared" si="3"/>
        <v>0</v>
      </c>
      <c r="AH52" s="108">
        <f t="shared" si="4"/>
        <v>0</v>
      </c>
      <c r="AI52" s="108">
        <f t="shared" si="10"/>
        <v>0</v>
      </c>
      <c r="AJ52" s="108">
        <f t="shared" si="5"/>
        <v>0</v>
      </c>
      <c r="AK52" s="108">
        <f t="shared" si="6"/>
        <v>5</v>
      </c>
      <c r="AL52" s="108">
        <f t="shared" si="7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18">
        <v>46</v>
      </c>
      <c r="C53" s="207">
        <v>41816</v>
      </c>
      <c r="D53" s="20" t="s">
        <v>32</v>
      </c>
      <c r="E53" s="21" t="s">
        <v>9</v>
      </c>
      <c r="F53" s="30" t="s">
        <v>35</v>
      </c>
      <c r="G53" s="86">
        <v>1</v>
      </c>
      <c r="H53" s="21" t="s">
        <v>9</v>
      </c>
      <c r="I53" s="91">
        <v>1</v>
      </c>
      <c r="J53" s="23">
        <f t="shared" si="0"/>
        <v>3</v>
      </c>
      <c r="K53" s="11">
        <f t="shared" si="1"/>
        <v>1</v>
      </c>
      <c r="L53" s="11">
        <f t="shared" si="2"/>
        <v>1</v>
      </c>
      <c r="O53" s="48" t="s">
        <v>39</v>
      </c>
      <c r="P53" s="49">
        <f>SUMIF($D$8:$D$55,$O53,$G$8:$G$55)+SUMIF($F$8:$F$55,$O53,$I$8:$I$55)</f>
        <v>3</v>
      </c>
      <c r="Q53" s="49">
        <f>SUMIF($D$8:$D$55,$O53,$I$8:$I$55)+SUMIF($F$8:$F$55,$O53,$G$8:$G$55)</f>
        <v>2</v>
      </c>
      <c r="R53" s="49">
        <f>P53-Q53</f>
        <v>1</v>
      </c>
      <c r="S53" s="50">
        <f>SUMIF($D$8:$D$55,$O53,$K$8:$K$55)+SUMIF($F$8:$F$55,$O53,$L$8:$L$55)</f>
        <v>5</v>
      </c>
      <c r="T53" s="95" t="s">
        <v>83</v>
      </c>
      <c r="U53" s="40"/>
      <c r="V53" s="40" t="str">
        <f>O53</f>
        <v>Rusland</v>
      </c>
      <c r="W53" s="40" t="s">
        <v>84</v>
      </c>
      <c r="Y53" s="109">
        <f t="shared" si="8"/>
        <v>1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1</v>
      </c>
      <c r="AG53" s="108">
        <f t="shared" si="3"/>
        <v>0</v>
      </c>
      <c r="AH53" s="108">
        <f t="shared" si="4"/>
        <v>1</v>
      </c>
      <c r="AI53" s="108">
        <f t="shared" si="10"/>
        <v>0</v>
      </c>
      <c r="AJ53" s="108">
        <f t="shared" si="5"/>
        <v>0</v>
      </c>
      <c r="AK53" s="108">
        <f t="shared" si="6"/>
        <v>0</v>
      </c>
      <c r="AL53" s="108">
        <f t="shared" si="7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18">
        <v>47</v>
      </c>
      <c r="C54" s="207">
        <v>41816</v>
      </c>
      <c r="D54" s="20" t="s">
        <v>40</v>
      </c>
      <c r="E54" s="21" t="s">
        <v>9</v>
      </c>
      <c r="F54" s="30" t="s">
        <v>37</v>
      </c>
      <c r="G54" s="86">
        <v>1</v>
      </c>
      <c r="H54" s="21" t="s">
        <v>9</v>
      </c>
      <c r="I54" s="91">
        <v>2</v>
      </c>
      <c r="J54" s="23">
        <f t="shared" si="0"/>
        <v>2</v>
      </c>
      <c r="K54" s="11">
        <f t="shared" si="1"/>
        <v>0</v>
      </c>
      <c r="L54" s="11">
        <f t="shared" si="2"/>
        <v>3</v>
      </c>
      <c r="O54" s="51" t="s">
        <v>40</v>
      </c>
      <c r="P54" s="52">
        <f>SUMIF($D$8:$D$55,$O54,$G$8:$G$55)+SUMIF($F$8:$F$55,$O54,$I$8:$I$55)</f>
        <v>3</v>
      </c>
      <c r="Q54" s="52">
        <f>SUMIF($D$8:$D$55,$O54,$I$8:$I$55)+SUMIF($F$8:$F$55,$O54,$G$8:$G$55)</f>
        <v>4</v>
      </c>
      <c r="R54" s="52">
        <f>P54-Q54</f>
        <v>-1</v>
      </c>
      <c r="S54" s="53">
        <f>SUMIF($D$8:$D$55,$O54,$K$8:$K$55)+SUMIF($F$8:$F$55,$O54,$L$8:$L$55)</f>
        <v>2</v>
      </c>
      <c r="T54" s="96" t="s">
        <v>84</v>
      </c>
      <c r="U54" s="40"/>
      <c r="V54" s="40" t="str">
        <f>O54</f>
        <v>Zuid Korea</v>
      </c>
      <c r="W54" s="40" t="s">
        <v>85</v>
      </c>
      <c r="Y54" s="109">
        <f t="shared" si="8"/>
        <v>5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5</v>
      </c>
      <c r="AG54" s="108">
        <f t="shared" si="3"/>
        <v>0</v>
      </c>
      <c r="AH54" s="108">
        <f t="shared" si="4"/>
        <v>0</v>
      </c>
      <c r="AI54" s="108">
        <f t="shared" si="10"/>
        <v>0</v>
      </c>
      <c r="AJ54" s="108">
        <f t="shared" si="5"/>
        <v>0</v>
      </c>
      <c r="AK54" s="108">
        <f t="shared" si="6"/>
        <v>5</v>
      </c>
      <c r="AL54" s="108">
        <f t="shared" si="7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3">
        <v>48</v>
      </c>
      <c r="C55" s="209">
        <v>41816</v>
      </c>
      <c r="D55" s="35" t="s">
        <v>38</v>
      </c>
      <c r="E55" s="36" t="s">
        <v>9</v>
      </c>
      <c r="F55" s="37" t="s">
        <v>39</v>
      </c>
      <c r="G55" s="88">
        <v>0</v>
      </c>
      <c r="H55" s="36" t="s">
        <v>9</v>
      </c>
      <c r="I55" s="93">
        <v>1</v>
      </c>
      <c r="J55" s="38">
        <f t="shared" si="0"/>
        <v>2</v>
      </c>
      <c r="K55" s="11">
        <f t="shared" si="1"/>
        <v>0</v>
      </c>
      <c r="L55" s="11">
        <f t="shared" si="2"/>
        <v>3</v>
      </c>
      <c r="O55" s="40"/>
      <c r="P55" s="41"/>
      <c r="Q55" s="41"/>
      <c r="R55" s="41"/>
      <c r="S55" s="41"/>
      <c r="T55" s="41"/>
      <c r="U55" s="40"/>
      <c r="V55" s="40"/>
      <c r="W55" s="40"/>
      <c r="Y55" s="109">
        <f t="shared" si="8"/>
        <v>1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</v>
      </c>
      <c r="AG55" s="108">
        <f t="shared" si="3"/>
        <v>0</v>
      </c>
      <c r="AH55" s="108">
        <f t="shared" si="4"/>
        <v>1</v>
      </c>
      <c r="AI55" s="108">
        <f t="shared" si="10"/>
        <v>0</v>
      </c>
      <c r="AJ55" s="108">
        <f t="shared" si="5"/>
        <v>0</v>
      </c>
      <c r="AK55" s="108">
        <f t="shared" si="6"/>
        <v>0</v>
      </c>
      <c r="AL55" s="108">
        <f t="shared" si="7"/>
        <v>0</v>
      </c>
    </row>
    <row r="56" spans="2:54" ht="15.75" thickBot="1">
      <c r="B56" s="1"/>
      <c r="C56" s="210"/>
      <c r="D56" s="40"/>
      <c r="E56" s="1"/>
      <c r="F56" s="40"/>
      <c r="G56" s="1"/>
      <c r="H56" s="1"/>
      <c r="I56" s="1"/>
      <c r="J56" s="1"/>
      <c r="K56" s="1"/>
      <c r="L56" s="1"/>
      <c r="M56" s="1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195"/>
      <c r="K57" s="1"/>
      <c r="L57" s="1"/>
      <c r="M57" s="1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78" t="s">
        <v>1</v>
      </c>
      <c r="C58" s="122" t="s">
        <v>2</v>
      </c>
      <c r="D58" s="187" t="s">
        <v>3</v>
      </c>
      <c r="E58" s="81"/>
      <c r="F58" s="194" t="s">
        <v>4</v>
      </c>
      <c r="G58" s="867" t="s">
        <v>5</v>
      </c>
      <c r="H58" s="868"/>
      <c r="I58" s="869"/>
      <c r="J58" s="83" t="s">
        <v>6</v>
      </c>
      <c r="K58" s="1"/>
      <c r="L58" s="1"/>
      <c r="M58" s="1"/>
      <c r="O58" s="135">
        <v>1</v>
      </c>
      <c r="P58" s="877" t="s">
        <v>224</v>
      </c>
      <c r="Q58" s="877"/>
      <c r="R58" s="877"/>
      <c r="S58" s="877"/>
      <c r="T58" s="878"/>
      <c r="V58" t="s">
        <v>132</v>
      </c>
      <c r="W58" t="s">
        <v>124</v>
      </c>
      <c r="X58" t="str">
        <f t="shared" ref="X58:X98" si="11">CONCATENATE(W58," ",V58)</f>
        <v>Jeroen Zoet (k)</v>
      </c>
      <c r="Y58" s="113" t="s">
        <v>91</v>
      </c>
      <c r="Z58" t="str">
        <f>IF(K58=""," ",VLOOKUP(K58,$T$9:$V$54,3,FALSE))</f>
        <v xml:space="preserve"> </v>
      </c>
      <c r="AA58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12">
        <v>49</v>
      </c>
      <c r="C59" s="211">
        <v>41818</v>
      </c>
      <c r="D59" s="153" t="str">
        <f t="shared" ref="D59:D66" si="13">IF(ISERROR(Z59),K59,Z59)</f>
        <v>Brazilië</v>
      </c>
      <c r="E59" s="15" t="s">
        <v>9</v>
      </c>
      <c r="F59" s="56" t="str">
        <f t="shared" ref="F59:F66" si="14">IF(ISERROR(AA59),L59,AA59)</f>
        <v>Chili</v>
      </c>
      <c r="G59" s="85">
        <v>2</v>
      </c>
      <c r="H59" s="15" t="s">
        <v>9</v>
      </c>
      <c r="I59" s="97">
        <v>1</v>
      </c>
      <c r="J59" s="98">
        <v>1</v>
      </c>
      <c r="K59" s="57" t="s">
        <v>48</v>
      </c>
      <c r="L59" s="57" t="s">
        <v>53</v>
      </c>
      <c r="M59" s="57">
        <v>1</v>
      </c>
      <c r="O59" s="135">
        <v>2</v>
      </c>
      <c r="P59" s="877" t="s">
        <v>220</v>
      </c>
      <c r="Q59" s="877"/>
      <c r="R59" s="877"/>
      <c r="S59" s="877"/>
      <c r="T59" s="878"/>
      <c r="V59" t="s">
        <v>132</v>
      </c>
      <c r="W59" t="s">
        <v>111</v>
      </c>
      <c r="X59" t="str">
        <f t="shared" si="11"/>
        <v>Jasper Cillessen (k)</v>
      </c>
      <c r="Y59" s="109">
        <f t="shared" ref="Y59:Y66" si="15">AF59</f>
        <v>1</v>
      </c>
      <c r="Z59" t="str">
        <f t="shared" ref="Z59:AA65" si="16">IF(K59=""," ",VLOOKUP(K59,$T$9:$V$54,3,FALSE))</f>
        <v>Brazilië</v>
      </c>
      <c r="AA59" t="str">
        <f t="shared" si="16"/>
        <v>Chili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7">IF(OR(AC59="",AD59=""),0,(IF(SUM(AG59:AL59)&gt;10,10,SUM(AG59:AL59))))</f>
        <v>1</v>
      </c>
      <c r="AG59" s="108">
        <f t="shared" ref="AG59:AG66" si="18">IF(AC59="",0,(IF(G59=AC59,1,0)))</f>
        <v>0</v>
      </c>
      <c r="AH59" s="108">
        <f t="shared" ref="AH59:AH66" si="19">IF(AD59="",0,(IF(I59=AD59,1,0)))</f>
        <v>1</v>
      </c>
      <c r="AI59" s="108">
        <f t="shared" ref="AI59:AI66" si="20">IF(AND(AG59=1,AH59=1),10,0)</f>
        <v>0</v>
      </c>
      <c r="AJ59" s="108">
        <f t="shared" ref="AJ59:AJ66" si="21">IF(AND(G59&gt;I59,AC59&gt;AD59),5,0)</f>
        <v>0</v>
      </c>
      <c r="AK59" s="108">
        <f t="shared" ref="AK59:AK66" si="22">IF(AND(G59&lt;I59,AC59&lt;AD59),5,0)</f>
        <v>0</v>
      </c>
      <c r="AL59" s="108">
        <f t="shared" ref="AL59:AL66" si="23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4">BA59</f>
        <v>3</v>
      </c>
    </row>
    <row r="60" spans="2:54">
      <c r="B60" s="24">
        <v>50</v>
      </c>
      <c r="C60" s="212">
        <v>41818</v>
      </c>
      <c r="D60" s="154" t="str">
        <f t="shared" si="13"/>
        <v>Colombia</v>
      </c>
      <c r="E60" s="27" t="s">
        <v>9</v>
      </c>
      <c r="F60" s="59" t="str">
        <f t="shared" si="14"/>
        <v>Italië</v>
      </c>
      <c r="G60" s="87">
        <v>1</v>
      </c>
      <c r="H60" s="27" t="s">
        <v>9</v>
      </c>
      <c r="I60" s="99">
        <v>1</v>
      </c>
      <c r="J60" s="100">
        <v>2</v>
      </c>
      <c r="K60" s="57" t="s">
        <v>57</v>
      </c>
      <c r="L60" s="57" t="s">
        <v>63</v>
      </c>
      <c r="M60" s="57">
        <v>2</v>
      </c>
      <c r="O60" s="135">
        <v>3</v>
      </c>
      <c r="P60" s="877" t="s">
        <v>211</v>
      </c>
      <c r="Q60" s="877"/>
      <c r="R60" s="877"/>
      <c r="S60" s="877"/>
      <c r="T60" s="878"/>
      <c r="V60" t="s">
        <v>132</v>
      </c>
      <c r="W60" t="s">
        <v>110</v>
      </c>
      <c r="X60" t="str">
        <f t="shared" si="11"/>
        <v>Kenneth Vermeer (k)</v>
      </c>
      <c r="Y60" s="109">
        <f t="shared" si="15"/>
        <v>0</v>
      </c>
      <c r="Z60" t="str">
        <f t="shared" si="16"/>
        <v>Colombia</v>
      </c>
      <c r="AA60" t="str">
        <f t="shared" si="16"/>
        <v>Italië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7"/>
        <v>0</v>
      </c>
      <c r="AG60" s="108">
        <f t="shared" si="18"/>
        <v>0</v>
      </c>
      <c r="AH60" s="108">
        <f t="shared" si="19"/>
        <v>0</v>
      </c>
      <c r="AI60" s="108">
        <f t="shared" si="20"/>
        <v>0</v>
      </c>
      <c r="AJ60" s="108">
        <f t="shared" si="21"/>
        <v>0</v>
      </c>
      <c r="AK60" s="108">
        <f t="shared" si="22"/>
        <v>0</v>
      </c>
      <c r="AL60" s="108">
        <f t="shared" si="23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4"/>
        <v>3</v>
      </c>
    </row>
    <row r="61" spans="2:54">
      <c r="B61" s="12">
        <v>51</v>
      </c>
      <c r="C61" s="211">
        <v>41819</v>
      </c>
      <c r="D61" s="188" t="str">
        <f t="shared" si="13"/>
        <v>Spanje</v>
      </c>
      <c r="E61" s="15" t="s">
        <v>9</v>
      </c>
      <c r="F61" s="56" t="str">
        <f t="shared" si="14"/>
        <v>Mexico</v>
      </c>
      <c r="G61" s="85">
        <v>2</v>
      </c>
      <c r="H61" s="15" t="s">
        <v>9</v>
      </c>
      <c r="I61" s="97">
        <v>1</v>
      </c>
      <c r="J61" s="98">
        <v>1</v>
      </c>
      <c r="K61" s="57" t="s">
        <v>52</v>
      </c>
      <c r="L61" s="57" t="s">
        <v>49</v>
      </c>
      <c r="M61" s="57"/>
      <c r="O61" s="135">
        <v>4</v>
      </c>
      <c r="P61" s="877" t="s">
        <v>209</v>
      </c>
      <c r="Q61" s="877"/>
      <c r="R61" s="877"/>
      <c r="S61" s="877"/>
      <c r="T61" s="878"/>
      <c r="V61" t="s">
        <v>132</v>
      </c>
      <c r="W61" t="s">
        <v>191</v>
      </c>
      <c r="X61" t="str">
        <f t="shared" si="11"/>
        <v>Tim Krul (k)</v>
      </c>
      <c r="Y61" s="109">
        <f t="shared" si="15"/>
        <v>10</v>
      </c>
      <c r="Z61" t="str">
        <f t="shared" si="16"/>
        <v>Spanje</v>
      </c>
      <c r="AA61" t="str">
        <f t="shared" si="16"/>
        <v>Mexico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7"/>
        <v>10</v>
      </c>
      <c r="AG61" s="108">
        <f t="shared" si="18"/>
        <v>1</v>
      </c>
      <c r="AH61" s="108">
        <f t="shared" si="19"/>
        <v>1</v>
      </c>
      <c r="AI61" s="108">
        <f t="shared" si="20"/>
        <v>10</v>
      </c>
      <c r="AJ61" s="108">
        <f t="shared" si="21"/>
        <v>5</v>
      </c>
      <c r="AK61" s="108">
        <f t="shared" si="22"/>
        <v>0</v>
      </c>
      <c r="AL61" s="108">
        <f t="shared" si="23"/>
        <v>0</v>
      </c>
      <c r="AZ61" s="138" t="str">
        <f>Uitslag!P61</f>
        <v>Ron Vlaar (v)</v>
      </c>
      <c r="BA61" s="140">
        <f t="shared" si="12"/>
        <v>3</v>
      </c>
      <c r="BB61" s="139">
        <f t="shared" si="24"/>
        <v>3</v>
      </c>
    </row>
    <row r="62" spans="2:54">
      <c r="B62" s="24">
        <v>52</v>
      </c>
      <c r="C62" s="212">
        <v>41819</v>
      </c>
      <c r="D62" s="188" t="str">
        <f t="shared" si="13"/>
        <v>Uruguay</v>
      </c>
      <c r="E62" s="27" t="s">
        <v>9</v>
      </c>
      <c r="F62" s="59" t="str">
        <f t="shared" si="14"/>
        <v>Griekenland</v>
      </c>
      <c r="G62" s="87">
        <v>2</v>
      </c>
      <c r="H62" s="27" t="s">
        <v>9</v>
      </c>
      <c r="I62" s="99">
        <v>1</v>
      </c>
      <c r="J62" s="100">
        <v>1</v>
      </c>
      <c r="K62" s="57" t="s">
        <v>62</v>
      </c>
      <c r="L62" s="57" t="s">
        <v>58</v>
      </c>
      <c r="M62" s="57"/>
      <c r="O62" s="135">
        <v>5</v>
      </c>
      <c r="P62" s="877" t="s">
        <v>212</v>
      </c>
      <c r="Q62" s="877"/>
      <c r="R62" s="877"/>
      <c r="S62" s="877"/>
      <c r="T62" s="878"/>
      <c r="V62" t="s">
        <v>132</v>
      </c>
      <c r="W62" t="s">
        <v>192</v>
      </c>
      <c r="X62" t="str">
        <f t="shared" si="11"/>
        <v>Maarten Stekelenburg (k)</v>
      </c>
      <c r="Y62" s="109">
        <f t="shared" si="15"/>
        <v>1</v>
      </c>
      <c r="Z62" t="str">
        <f t="shared" si="16"/>
        <v>Uruguay</v>
      </c>
      <c r="AA62" t="str">
        <f t="shared" si="16"/>
        <v>Griekenland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7"/>
        <v>1</v>
      </c>
      <c r="AG62" s="108">
        <f t="shared" si="18"/>
        <v>0</v>
      </c>
      <c r="AH62" s="108">
        <f t="shared" si="19"/>
        <v>1</v>
      </c>
      <c r="AI62" s="108">
        <f t="shared" si="20"/>
        <v>0</v>
      </c>
      <c r="AJ62" s="108">
        <f t="shared" si="21"/>
        <v>0</v>
      </c>
      <c r="AK62" s="108">
        <f t="shared" si="22"/>
        <v>0</v>
      </c>
      <c r="AL62" s="108">
        <f t="shared" si="23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4"/>
        <v>3</v>
      </c>
    </row>
    <row r="63" spans="2:54">
      <c r="B63" s="12">
        <v>53</v>
      </c>
      <c r="C63" s="211">
        <v>41820</v>
      </c>
      <c r="D63" s="153" t="str">
        <f t="shared" si="13"/>
        <v>Frankrijk</v>
      </c>
      <c r="E63" s="15" t="s">
        <v>9</v>
      </c>
      <c r="F63" s="56" t="str">
        <f t="shared" si="14"/>
        <v>Nigeria</v>
      </c>
      <c r="G63" s="85">
        <v>2</v>
      </c>
      <c r="H63" s="15" t="s">
        <v>9</v>
      </c>
      <c r="I63" s="97">
        <v>1</v>
      </c>
      <c r="J63" s="98">
        <v>1</v>
      </c>
      <c r="K63" s="57" t="s">
        <v>67</v>
      </c>
      <c r="L63" s="57" t="s">
        <v>73</v>
      </c>
      <c r="M63" s="57"/>
      <c r="O63" s="135">
        <v>6</v>
      </c>
      <c r="P63" s="877" t="s">
        <v>213</v>
      </c>
      <c r="Q63" s="877"/>
      <c r="R63" s="877"/>
      <c r="S63" s="877"/>
      <c r="T63" s="878"/>
      <c r="V63" t="s">
        <v>132</v>
      </c>
      <c r="W63" t="s">
        <v>193</v>
      </c>
      <c r="X63" t="str">
        <f t="shared" si="11"/>
        <v>Michel Vorm (k)</v>
      </c>
      <c r="Y63" s="109">
        <f t="shared" si="15"/>
        <v>6</v>
      </c>
      <c r="Z63" t="str">
        <f t="shared" si="16"/>
        <v>Frankrijk</v>
      </c>
      <c r="AA63" t="str">
        <f t="shared" si="16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7"/>
        <v>6</v>
      </c>
      <c r="AG63" s="108">
        <f t="shared" si="18"/>
        <v>1</v>
      </c>
      <c r="AH63" s="108">
        <f t="shared" si="19"/>
        <v>0</v>
      </c>
      <c r="AI63" s="108">
        <f t="shared" si="20"/>
        <v>0</v>
      </c>
      <c r="AJ63" s="108">
        <f t="shared" si="21"/>
        <v>5</v>
      </c>
      <c r="AK63" s="108">
        <f t="shared" si="22"/>
        <v>0</v>
      </c>
      <c r="AL63" s="108">
        <f t="shared" si="23"/>
        <v>0</v>
      </c>
      <c r="AZ63" s="138" t="str">
        <f>Uitslag!P63</f>
        <v>Daley Blind (v)</v>
      </c>
      <c r="BA63" s="140">
        <f t="shared" si="12"/>
        <v>3</v>
      </c>
      <c r="BB63" s="139">
        <f t="shared" si="24"/>
        <v>3</v>
      </c>
    </row>
    <row r="64" spans="2:54">
      <c r="B64" s="24">
        <v>54</v>
      </c>
      <c r="C64" s="212">
        <v>41820</v>
      </c>
      <c r="D64" s="154" t="str">
        <f t="shared" si="13"/>
        <v>Duitsland</v>
      </c>
      <c r="E64" s="27" t="s">
        <v>9</v>
      </c>
      <c r="F64" s="59" t="str">
        <f t="shared" si="14"/>
        <v>Rusland</v>
      </c>
      <c r="G64" s="87">
        <v>3</v>
      </c>
      <c r="H64" s="27" t="s">
        <v>9</v>
      </c>
      <c r="I64" s="99">
        <v>1</v>
      </c>
      <c r="J64" s="100">
        <v>1</v>
      </c>
      <c r="K64" s="57" t="s">
        <v>77</v>
      </c>
      <c r="L64" s="57" t="s">
        <v>83</v>
      </c>
      <c r="M64" s="57"/>
      <c r="O64" s="135">
        <v>7</v>
      </c>
      <c r="P64" s="877" t="s">
        <v>214</v>
      </c>
      <c r="Q64" s="877"/>
      <c r="R64" s="877"/>
      <c r="S64" s="877"/>
      <c r="T64" s="878"/>
      <c r="V64" t="s">
        <v>133</v>
      </c>
      <c r="W64" t="s">
        <v>112</v>
      </c>
      <c r="X64" t="str">
        <f t="shared" si="11"/>
        <v>Joël Veltman (v)</v>
      </c>
      <c r="Y64" s="109">
        <f t="shared" si="15"/>
        <v>0</v>
      </c>
      <c r="Z64" t="str">
        <f t="shared" si="16"/>
        <v>Duitsland</v>
      </c>
      <c r="AA64" t="str">
        <f t="shared" si="16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7"/>
        <v>0</v>
      </c>
      <c r="AG64" s="108">
        <f t="shared" si="18"/>
        <v>0</v>
      </c>
      <c r="AH64" s="108">
        <f t="shared" si="19"/>
        <v>0</v>
      </c>
      <c r="AI64" s="108">
        <f t="shared" si="20"/>
        <v>0</v>
      </c>
      <c r="AJ64" s="108">
        <f t="shared" si="21"/>
        <v>0</v>
      </c>
      <c r="AK64" s="108">
        <f t="shared" si="22"/>
        <v>0</v>
      </c>
      <c r="AL64" s="108">
        <f t="shared" si="23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4"/>
        <v>3</v>
      </c>
    </row>
    <row r="65" spans="2:54">
      <c r="B65" s="18">
        <v>55</v>
      </c>
      <c r="C65" s="213">
        <v>41821</v>
      </c>
      <c r="D65" s="153" t="str">
        <f t="shared" si="13"/>
        <v>Argentinië</v>
      </c>
      <c r="E65" s="21" t="s">
        <v>9</v>
      </c>
      <c r="F65" s="60" t="str">
        <f t="shared" si="14"/>
        <v>Zwitserland</v>
      </c>
      <c r="G65" s="86">
        <v>2</v>
      </c>
      <c r="H65" s="21" t="s">
        <v>9</v>
      </c>
      <c r="I65" s="101">
        <v>1</v>
      </c>
      <c r="J65" s="102">
        <v>1</v>
      </c>
      <c r="K65" s="57" t="s">
        <v>72</v>
      </c>
      <c r="L65" s="57" t="s">
        <v>68</v>
      </c>
      <c r="M65" s="57"/>
      <c r="O65" s="135">
        <v>8</v>
      </c>
      <c r="P65" s="877" t="s">
        <v>229</v>
      </c>
      <c r="Q65" s="877"/>
      <c r="R65" s="877"/>
      <c r="S65" s="877"/>
      <c r="T65" s="878"/>
      <c r="V65" t="s">
        <v>133</v>
      </c>
      <c r="W65" t="s">
        <v>109</v>
      </c>
      <c r="X65" t="str">
        <f t="shared" si="11"/>
        <v>Daley Blind (v)</v>
      </c>
      <c r="Y65" s="109">
        <f t="shared" si="15"/>
        <v>0</v>
      </c>
      <c r="Z65" t="str">
        <f t="shared" si="16"/>
        <v>Argentinië</v>
      </c>
      <c r="AA65" t="str">
        <f t="shared" si="16"/>
        <v>Zwitserland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7"/>
        <v>0</v>
      </c>
      <c r="AG65" s="108">
        <f t="shared" si="18"/>
        <v>0</v>
      </c>
      <c r="AH65" s="108">
        <f t="shared" si="19"/>
        <v>0</v>
      </c>
      <c r="AI65" s="108">
        <f t="shared" si="20"/>
        <v>0</v>
      </c>
      <c r="AJ65" s="108">
        <f t="shared" si="21"/>
        <v>0</v>
      </c>
      <c r="AK65" s="108">
        <f t="shared" si="22"/>
        <v>0</v>
      </c>
      <c r="AL65" s="108">
        <f t="shared" si="23"/>
        <v>0</v>
      </c>
      <c r="AZ65" s="138" t="str">
        <f>Uitslag!P65</f>
        <v>Nigel de Jong (m)</v>
      </c>
      <c r="BA65" s="140">
        <f t="shared" si="12"/>
        <v>0</v>
      </c>
      <c r="BB65" s="139">
        <f t="shared" si="24"/>
        <v>0</v>
      </c>
    </row>
    <row r="66" spans="2:54" ht="15.75" thickBot="1">
      <c r="B66" s="33">
        <v>56</v>
      </c>
      <c r="C66" s="214">
        <v>41821</v>
      </c>
      <c r="D66" s="155" t="str">
        <f t="shared" si="13"/>
        <v>België</v>
      </c>
      <c r="E66" s="36" t="s">
        <v>9</v>
      </c>
      <c r="F66" s="62" t="str">
        <f t="shared" si="14"/>
        <v>Portugal</v>
      </c>
      <c r="G66" s="88">
        <v>1</v>
      </c>
      <c r="H66" s="36" t="s">
        <v>9</v>
      </c>
      <c r="I66" s="103">
        <v>1</v>
      </c>
      <c r="J66" s="104">
        <v>2</v>
      </c>
      <c r="K66" s="57" t="s">
        <v>82</v>
      </c>
      <c r="L66" s="57" t="s">
        <v>78</v>
      </c>
      <c r="M66" s="57"/>
      <c r="O66" s="135">
        <v>9</v>
      </c>
      <c r="P66" s="877" t="s">
        <v>230</v>
      </c>
      <c r="Q66" s="877"/>
      <c r="R66" s="877"/>
      <c r="S66" s="877"/>
      <c r="T66" s="878"/>
      <c r="V66" t="s">
        <v>133</v>
      </c>
      <c r="W66" t="s">
        <v>115</v>
      </c>
      <c r="X66" t="str">
        <f t="shared" si="11"/>
        <v>Daryl Janmaat (v)</v>
      </c>
      <c r="Y66" s="109">
        <f t="shared" si="15"/>
        <v>5</v>
      </c>
      <c r="Z66" t="str">
        <f>IF(K66=""," ",VLOOKUP(K66,$T$9:$V$54,3,FALSE))</f>
        <v>België</v>
      </c>
      <c r="AA66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7"/>
        <v>5</v>
      </c>
      <c r="AG66" s="108">
        <f t="shared" si="18"/>
        <v>0</v>
      </c>
      <c r="AH66" s="108">
        <f t="shared" si="19"/>
        <v>0</v>
      </c>
      <c r="AI66" s="108">
        <f t="shared" si="20"/>
        <v>0</v>
      </c>
      <c r="AJ66" s="108">
        <f t="shared" si="21"/>
        <v>0</v>
      </c>
      <c r="AK66" s="108">
        <f t="shared" si="22"/>
        <v>0</v>
      </c>
      <c r="AL66" s="108">
        <f t="shared" si="23"/>
        <v>5</v>
      </c>
      <c r="AZ66" s="138" t="str">
        <f>Uitslag!P66</f>
        <v>Jonathan de Guzman (m)</v>
      </c>
      <c r="BA66" s="140">
        <f t="shared" si="12"/>
        <v>0</v>
      </c>
      <c r="BB66" s="139">
        <f t="shared" si="24"/>
        <v>0</v>
      </c>
    </row>
    <row r="67" spans="2:54" ht="15.75" thickBot="1">
      <c r="B67" s="1"/>
      <c r="C67" s="210"/>
      <c r="D67" s="40"/>
      <c r="E67" s="1"/>
      <c r="F67" s="40"/>
      <c r="G67" s="1"/>
      <c r="H67" s="1"/>
      <c r="I67" s="1"/>
      <c r="J67" s="1"/>
      <c r="K67" s="1"/>
      <c r="L67" s="1"/>
      <c r="M67" s="1"/>
      <c r="O67" s="135">
        <v>10</v>
      </c>
      <c r="P67" s="877" t="s">
        <v>216</v>
      </c>
      <c r="Q67" s="877"/>
      <c r="R67" s="877"/>
      <c r="S67" s="877"/>
      <c r="T67" s="878"/>
      <c r="V67" t="s">
        <v>133</v>
      </c>
      <c r="W67" t="s">
        <v>118</v>
      </c>
      <c r="X67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4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195"/>
      <c r="K68" s="1"/>
      <c r="L68" s="1"/>
      <c r="M68" s="1"/>
      <c r="O68" s="135">
        <v>11</v>
      </c>
      <c r="P68" s="877" t="s">
        <v>215</v>
      </c>
      <c r="Q68" s="877"/>
      <c r="R68" s="877"/>
      <c r="S68" s="877"/>
      <c r="T68" s="878"/>
      <c r="V68" t="s">
        <v>133</v>
      </c>
      <c r="W68" t="s">
        <v>119</v>
      </c>
      <c r="X68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4"/>
        <v>3</v>
      </c>
    </row>
    <row r="69" spans="2:54">
      <c r="B69" s="78" t="s">
        <v>1</v>
      </c>
      <c r="C69" s="122" t="s">
        <v>2</v>
      </c>
      <c r="D69" s="193" t="s">
        <v>3</v>
      </c>
      <c r="E69" s="81"/>
      <c r="F69" s="194" t="s">
        <v>4</v>
      </c>
      <c r="G69" s="867" t="s">
        <v>5</v>
      </c>
      <c r="H69" s="868"/>
      <c r="I69" s="869"/>
      <c r="J69" s="83" t="s">
        <v>6</v>
      </c>
      <c r="K69" s="1"/>
      <c r="L69" s="1"/>
      <c r="M69" s="1"/>
      <c r="V69" t="s">
        <v>133</v>
      </c>
      <c r="W69" t="s">
        <v>121</v>
      </c>
      <c r="X69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27</v>
      </c>
      <c r="BB69" s="139" t="str">
        <f>IF(AND(BA69&lt;&gt;"",BA69=33),15,"nvt")</f>
        <v>nvt</v>
      </c>
    </row>
    <row r="70" spans="2:54">
      <c r="B70" s="12">
        <v>57</v>
      </c>
      <c r="C70" s="206">
        <v>41824</v>
      </c>
      <c r="D70" s="55" t="str">
        <f>IF(J63="","Winnaar 53",IF(J63=1,D63,F63))</f>
        <v>Frankrijk</v>
      </c>
      <c r="E70" s="15" t="s">
        <v>9</v>
      </c>
      <c r="F70" s="56" t="str">
        <f>IF(J64="","Winnaar 54",IF(J64=1,D64,F64))</f>
        <v>Duitsland</v>
      </c>
      <c r="G70" s="85">
        <v>1</v>
      </c>
      <c r="H70" s="15" t="s">
        <v>9</v>
      </c>
      <c r="I70" s="97">
        <v>2</v>
      </c>
      <c r="J70" s="98">
        <v>2</v>
      </c>
      <c r="K70" s="1"/>
      <c r="L70" s="1"/>
      <c r="M70" s="1"/>
      <c r="V70" t="s">
        <v>133</v>
      </c>
      <c r="W70" t="s">
        <v>126</v>
      </c>
      <c r="X70" t="str">
        <f t="shared" si="11"/>
        <v>Karim Rekik (v)</v>
      </c>
      <c r="Y70" s="109">
        <f>AF70</f>
        <v>5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5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24">
        <v>58</v>
      </c>
      <c r="C71" s="208">
        <v>41824</v>
      </c>
      <c r="D71" s="58" t="str">
        <f>IF(J59="","Winnaar 49",IF(J59=1,D59,F59))</f>
        <v>Brazilië</v>
      </c>
      <c r="E71" s="27" t="s">
        <v>9</v>
      </c>
      <c r="F71" s="59" t="str">
        <f>IF(J60="","Winnaar 50",IF(J60=1,D60,F60))</f>
        <v>Italië</v>
      </c>
      <c r="G71" s="87">
        <v>2</v>
      </c>
      <c r="H71" s="27" t="s">
        <v>9</v>
      </c>
      <c r="I71" s="99">
        <v>1</v>
      </c>
      <c r="J71" s="100">
        <v>1</v>
      </c>
      <c r="K71" s="1"/>
      <c r="L71" s="1"/>
      <c r="M71" s="1"/>
      <c r="V71" t="s">
        <v>133</v>
      </c>
      <c r="W71" t="s">
        <v>194</v>
      </c>
      <c r="X71" t="str">
        <f t="shared" si="11"/>
        <v>Ron Vlaar (v)</v>
      </c>
      <c r="Y71" s="109">
        <f>AF71</f>
        <v>10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10</v>
      </c>
      <c r="AG71" s="108">
        <f>IF(AC71="",0,(IF(G71=AC71,1,0)))</f>
        <v>1</v>
      </c>
      <c r="AH71" s="108">
        <f>IF(AD71="",0,(IF(I71=AD71,1,0)))</f>
        <v>1</v>
      </c>
      <c r="AI71" s="108">
        <f>IF(AND(AG71=1,AH71=1),10,0)</f>
        <v>10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12">
        <v>59</v>
      </c>
      <c r="C72" s="206">
        <v>41825</v>
      </c>
      <c r="D72" s="55" t="str">
        <f>IF(J65="","Winnaar 55",IF(J65=1,D65,F65))</f>
        <v>Argentinië</v>
      </c>
      <c r="E72" s="15" t="s">
        <v>9</v>
      </c>
      <c r="F72" s="56" t="str">
        <f>IF(J66="","Winnaar 56",IF(J66=1,D66,F66))</f>
        <v>Portugal</v>
      </c>
      <c r="G72" s="85">
        <v>2</v>
      </c>
      <c r="H72" s="15" t="s">
        <v>9</v>
      </c>
      <c r="I72" s="97">
        <v>1</v>
      </c>
      <c r="J72" s="98">
        <v>1</v>
      </c>
      <c r="K72" s="1"/>
      <c r="L72" s="1"/>
      <c r="M72" s="1"/>
      <c r="V72" t="s">
        <v>133</v>
      </c>
      <c r="W72" t="s">
        <v>195</v>
      </c>
      <c r="X72" t="str">
        <f t="shared" si="11"/>
        <v>John Heitinga (v)</v>
      </c>
      <c r="Y72" s="109">
        <f>AF72</f>
        <v>5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5</v>
      </c>
      <c r="AG72" s="108">
        <f>IF(AC72="",0,(IF(G72=AC72,1,0)))</f>
        <v>0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5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3">
        <v>60</v>
      </c>
      <c r="C73" s="209">
        <v>41825</v>
      </c>
      <c r="D73" s="61" t="str">
        <f>IF(J61="","Winnaar 51",IF(J61=1,D61,F61))</f>
        <v>Spanje</v>
      </c>
      <c r="E73" s="36" t="s">
        <v>9</v>
      </c>
      <c r="F73" s="62" t="str">
        <f>IF(J62="","Winnaar 52",IF(J62=1,D62,F62))</f>
        <v>Uruguay</v>
      </c>
      <c r="G73" s="88">
        <v>2</v>
      </c>
      <c r="H73" s="36" t="s">
        <v>9</v>
      </c>
      <c r="I73" s="103">
        <v>1</v>
      </c>
      <c r="J73" s="104">
        <v>1</v>
      </c>
      <c r="K73" s="1"/>
      <c r="L73" s="1"/>
      <c r="M73" s="1"/>
      <c r="V73" t="s">
        <v>133</v>
      </c>
      <c r="W73" t="s">
        <v>196</v>
      </c>
      <c r="X73" t="str">
        <f t="shared" si="11"/>
        <v>Urby Emanuelson (v)</v>
      </c>
      <c r="Y73" s="109">
        <f>AF73</f>
        <v>0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0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1"/>
      <c r="C74" s="210"/>
      <c r="D74" s="40"/>
      <c r="E74" s="1"/>
      <c r="F74" s="40"/>
      <c r="G74" s="1"/>
      <c r="H74" s="1"/>
      <c r="I74" s="1"/>
      <c r="J74" s="1"/>
      <c r="K74" s="1"/>
      <c r="L74" s="1"/>
      <c r="M74" s="1"/>
      <c r="V74" t="s">
        <v>133</v>
      </c>
      <c r="W74" t="s">
        <v>197</v>
      </c>
      <c r="X74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195"/>
      <c r="K75" s="1"/>
      <c r="L75" s="1"/>
      <c r="M75" s="1"/>
      <c r="V75" t="s">
        <v>133</v>
      </c>
      <c r="W75" t="s">
        <v>198</v>
      </c>
      <c r="X75" t="str">
        <f t="shared" si="11"/>
        <v>Virgil van Dijk (v)</v>
      </c>
      <c r="Y75" s="112" t="s">
        <v>99</v>
      </c>
    </row>
    <row r="76" spans="2:54">
      <c r="B76" s="78" t="s">
        <v>1</v>
      </c>
      <c r="C76" s="122" t="s">
        <v>2</v>
      </c>
      <c r="D76" s="193" t="s">
        <v>3</v>
      </c>
      <c r="E76" s="81"/>
      <c r="F76" s="194" t="s">
        <v>4</v>
      </c>
      <c r="G76" s="867" t="s">
        <v>5</v>
      </c>
      <c r="H76" s="868"/>
      <c r="I76" s="869"/>
      <c r="J76" s="83" t="s">
        <v>6</v>
      </c>
      <c r="K76" s="1"/>
      <c r="L76" s="1"/>
      <c r="M76" s="1"/>
      <c r="V76" t="s">
        <v>133</v>
      </c>
      <c r="W76" t="s">
        <v>202</v>
      </c>
      <c r="X76" t="str">
        <f t="shared" si="11"/>
        <v>Alexander Buttner (v)</v>
      </c>
      <c r="Y76" s="113" t="s">
        <v>91</v>
      </c>
    </row>
    <row r="77" spans="2:54">
      <c r="B77" s="12">
        <v>61</v>
      </c>
      <c r="C77" s="206">
        <v>41828</v>
      </c>
      <c r="D77" s="55" t="str">
        <f>IF(J70="","Winnaar 57",IF(J70=1,D70,F70))</f>
        <v>Duitsland</v>
      </c>
      <c r="E77" s="15" t="s">
        <v>9</v>
      </c>
      <c r="F77" s="56" t="str">
        <f>IF(J71="","Winnaar 58",IF(J71=1,D71,F71))</f>
        <v>Brazilië</v>
      </c>
      <c r="G77" s="85">
        <v>2</v>
      </c>
      <c r="H77" s="15" t="s">
        <v>9</v>
      </c>
      <c r="I77" s="97">
        <v>2</v>
      </c>
      <c r="J77" s="98">
        <v>2</v>
      </c>
      <c r="K77" s="1"/>
      <c r="L77" s="1"/>
      <c r="M77" s="1"/>
      <c r="V77" t="s">
        <v>134</v>
      </c>
      <c r="W77" t="s">
        <v>203</v>
      </c>
      <c r="X77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3">
        <v>62</v>
      </c>
      <c r="C78" s="209">
        <v>41829</v>
      </c>
      <c r="D78" s="61" t="str">
        <f>IF(J72="","Winnaar 59",IF(J72=1,D72,F72))</f>
        <v>Argentinië</v>
      </c>
      <c r="E78" s="36" t="s">
        <v>9</v>
      </c>
      <c r="F78" s="62" t="str">
        <f>IF(J73="","Winnaar 60",IF(J73=1,D73,F73))</f>
        <v>Spanje</v>
      </c>
      <c r="G78" s="88">
        <v>2</v>
      </c>
      <c r="H78" s="36" t="s">
        <v>9</v>
      </c>
      <c r="I78" s="103">
        <v>2</v>
      </c>
      <c r="J78" s="104">
        <v>2</v>
      </c>
      <c r="K78" s="1"/>
      <c r="L78" s="1"/>
      <c r="M78" s="1"/>
      <c r="V78" t="s">
        <v>134</v>
      </c>
      <c r="W78" t="s">
        <v>199</v>
      </c>
      <c r="X78" t="str">
        <f t="shared" si="11"/>
        <v>Leroy Fer (m)</v>
      </c>
      <c r="Y78" s="109">
        <f>AF78</f>
        <v>5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5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5</v>
      </c>
    </row>
    <row r="79" spans="2:54" ht="15.75" thickBot="1">
      <c r="B79" s="1"/>
      <c r="C79" s="210"/>
      <c r="D79" s="40"/>
      <c r="E79" s="1"/>
      <c r="F79" s="40"/>
      <c r="G79" s="1"/>
      <c r="H79" s="1"/>
      <c r="I79" s="1"/>
      <c r="J79" s="1"/>
      <c r="K79" s="1"/>
      <c r="L79" s="1"/>
      <c r="M79" s="1"/>
      <c r="V79" t="s">
        <v>134</v>
      </c>
      <c r="W79" t="s">
        <v>114</v>
      </c>
      <c r="X79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195"/>
      <c r="K80" s="1"/>
      <c r="L80" s="1"/>
      <c r="M80" s="1"/>
      <c r="V80" t="s">
        <v>134</v>
      </c>
      <c r="W80" t="s">
        <v>117</v>
      </c>
      <c r="X80" t="str">
        <f t="shared" si="11"/>
        <v>Davy Klaassen (m)</v>
      </c>
      <c r="Y80" s="112" t="s">
        <v>99</v>
      </c>
    </row>
    <row r="81" spans="2:50">
      <c r="B81" s="78" t="s">
        <v>1</v>
      </c>
      <c r="C81" s="122" t="s">
        <v>2</v>
      </c>
      <c r="D81" s="193" t="s">
        <v>3</v>
      </c>
      <c r="E81" s="81"/>
      <c r="F81" s="194" t="s">
        <v>4</v>
      </c>
      <c r="G81" s="867" t="s">
        <v>5</v>
      </c>
      <c r="H81" s="868"/>
      <c r="I81" s="869"/>
      <c r="J81" s="83" t="s">
        <v>6</v>
      </c>
      <c r="K81" s="1"/>
      <c r="L81" s="1"/>
      <c r="M81" s="1"/>
      <c r="V81" t="s">
        <v>134</v>
      </c>
      <c r="W81" t="s">
        <v>120</v>
      </c>
      <c r="X81" t="str">
        <f t="shared" si="11"/>
        <v>Tonny Trindade de Vilhena (m)</v>
      </c>
      <c r="Y81" s="113" t="s">
        <v>91</v>
      </c>
    </row>
    <row r="82" spans="2:50" ht="15.75" thickBot="1">
      <c r="B82" s="2">
        <v>63</v>
      </c>
      <c r="C82" s="215">
        <v>41832</v>
      </c>
      <c r="D82" s="64" t="str">
        <f>IF(J77="","Verliezer 61",IF(J77=1,F77,D77))</f>
        <v>Duitsland</v>
      </c>
      <c r="E82" s="3" t="s">
        <v>9</v>
      </c>
      <c r="F82" s="65" t="str">
        <f>IF(J78="","Verliezer 62",IF(J78=1,F78,D78))</f>
        <v>Argentinië</v>
      </c>
      <c r="G82" s="105">
        <v>2</v>
      </c>
      <c r="H82" s="3" t="s">
        <v>9</v>
      </c>
      <c r="I82" s="106">
        <v>1</v>
      </c>
      <c r="J82" s="107">
        <v>1</v>
      </c>
      <c r="K82" s="1"/>
      <c r="L82" s="1"/>
      <c r="M82" s="1"/>
      <c r="V82" t="s">
        <v>134</v>
      </c>
      <c r="W82" t="s">
        <v>125</v>
      </c>
      <c r="X8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1"/>
      <c r="C83" s="210"/>
      <c r="D83" s="40"/>
      <c r="E83" s="1"/>
      <c r="F83" s="40"/>
      <c r="G83" s="1"/>
      <c r="H83" s="1"/>
      <c r="I83" s="1"/>
      <c r="J83" s="1"/>
      <c r="K83" s="1"/>
      <c r="L83" s="1"/>
      <c r="M83" s="1"/>
      <c r="V83" t="s">
        <v>134</v>
      </c>
      <c r="W83" t="s">
        <v>136</v>
      </c>
      <c r="X83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195"/>
      <c r="K84" s="1"/>
      <c r="L84" s="1"/>
      <c r="M84" s="1"/>
      <c r="V84" t="s">
        <v>134</v>
      </c>
      <c r="W84" t="s">
        <v>137</v>
      </c>
      <c r="X84" t="str">
        <f t="shared" si="11"/>
        <v>Wesley Sneijder (m)</v>
      </c>
      <c r="Y84" s="112" t="s">
        <v>99</v>
      </c>
    </row>
    <row r="85" spans="2:50">
      <c r="B85" s="78" t="s">
        <v>1</v>
      </c>
      <c r="C85" s="122" t="s">
        <v>2</v>
      </c>
      <c r="D85" s="193" t="s">
        <v>3</v>
      </c>
      <c r="E85" s="81"/>
      <c r="F85" s="194" t="s">
        <v>4</v>
      </c>
      <c r="G85" s="867" t="s">
        <v>5</v>
      </c>
      <c r="H85" s="868"/>
      <c r="I85" s="869"/>
      <c r="J85" s="83" t="s">
        <v>6</v>
      </c>
      <c r="K85" s="1"/>
      <c r="L85" s="1"/>
      <c r="M85" s="1"/>
      <c r="V85" t="s">
        <v>134</v>
      </c>
      <c r="W85" t="s">
        <v>138</v>
      </c>
      <c r="X85" t="str">
        <f t="shared" si="11"/>
        <v>Jonathan de Guzman (m)</v>
      </c>
      <c r="Y85" s="113" t="s">
        <v>91</v>
      </c>
    </row>
    <row r="86" spans="2:50" ht="15.75" thickBot="1">
      <c r="B86" s="2">
        <v>64</v>
      </c>
      <c r="C86" s="215">
        <v>41833</v>
      </c>
      <c r="D86" s="64" t="str">
        <f>IF(J77="","Winnaar 61",IF(J77=1,D77,F77))</f>
        <v>Brazilië</v>
      </c>
      <c r="E86" s="3" t="s">
        <v>9</v>
      </c>
      <c r="F86" s="65" t="str">
        <f>IF(J78="","Winnaar 62",IF(J78=1,D78,F78))</f>
        <v>Spanje</v>
      </c>
      <c r="G86" s="105">
        <v>2</v>
      </c>
      <c r="H86" s="3" t="s">
        <v>9</v>
      </c>
      <c r="I86" s="106">
        <v>1</v>
      </c>
      <c r="J86" s="107">
        <v>1</v>
      </c>
      <c r="K86" s="1"/>
      <c r="L86" s="1"/>
      <c r="M86" s="1"/>
      <c r="V86" t="s">
        <v>134</v>
      </c>
      <c r="W86" t="s">
        <v>139</v>
      </c>
      <c r="X86" t="str">
        <f t="shared" si="11"/>
        <v>Nigel de Jong (m)</v>
      </c>
      <c r="Y86" s="109">
        <f>AF86</f>
        <v>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0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1"/>
      <c r="C87" s="129"/>
      <c r="D87" s="40"/>
      <c r="E87" s="1"/>
      <c r="F87" s="40"/>
      <c r="G87" s="1"/>
      <c r="H87" s="1"/>
      <c r="I87" s="1"/>
      <c r="J87" s="1"/>
      <c r="K87" s="1"/>
      <c r="L87" s="1"/>
      <c r="M87" s="1"/>
      <c r="V87" t="s">
        <v>135</v>
      </c>
      <c r="W87" t="s">
        <v>205</v>
      </c>
      <c r="X87" t="str">
        <f t="shared" si="11"/>
        <v>Ricky van Wolfswinkel (a)</v>
      </c>
      <c r="AP87" s="136" t="s">
        <v>102</v>
      </c>
    </row>
    <row r="88" spans="2:50">
      <c r="B88" s="1"/>
      <c r="C88" s="129"/>
      <c r="D88" s="40"/>
      <c r="E88" s="1"/>
      <c r="F88" s="40"/>
      <c r="G88" s="1"/>
      <c r="H88" s="1"/>
      <c r="I88" s="1"/>
      <c r="J88" s="1"/>
      <c r="K88" s="1"/>
      <c r="L88" s="1"/>
      <c r="M88" s="1"/>
      <c r="V88" t="s">
        <v>135</v>
      </c>
      <c r="W88" t="s">
        <v>204</v>
      </c>
      <c r="X88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135"/>
    </row>
    <row r="89" spans="2:50" ht="20.25">
      <c r="C89" s="874" t="s">
        <v>101</v>
      </c>
      <c r="D89" s="871"/>
      <c r="E89" s="873" t="str">
        <f>IF(J86=1,D86,IF(J86=2,F86,"Wie zal het worden?"))</f>
        <v>Brazilië</v>
      </c>
      <c r="F89" s="873"/>
      <c r="G89" s="873"/>
      <c r="H89" s="873"/>
      <c r="I89" s="873"/>
      <c r="J89" s="873"/>
      <c r="K89" s="1"/>
      <c r="L89" s="1"/>
      <c r="M89" s="1"/>
      <c r="V89" t="s">
        <v>135</v>
      </c>
      <c r="W89" t="s">
        <v>201</v>
      </c>
      <c r="X89" t="str">
        <f t="shared" si="11"/>
        <v>Jermain Lens (a)</v>
      </c>
      <c r="AP89" s="109">
        <f>AU89</f>
        <v>5</v>
      </c>
      <c r="AQ89" s="131">
        <v>1</v>
      </c>
      <c r="AR89" s="904" t="str">
        <f>Uitslag!E89</f>
        <v>Duitsland</v>
      </c>
      <c r="AS89" s="905"/>
      <c r="AT89" s="906"/>
      <c r="AU89">
        <f>SUM(AV89:AX89)</f>
        <v>5</v>
      </c>
      <c r="AV89">
        <f>IF(AR89=0,0,IF(E89=AR89,50,0))</f>
        <v>0</v>
      </c>
      <c r="AW89">
        <f>IF(E89=0,0,IF(OR(E89=AR90),15,0))</f>
        <v>0</v>
      </c>
      <c r="AX89">
        <f>IF(E89=0,0,IF(OR(E89=AR91,E89=AR92),5,0))</f>
        <v>5</v>
      </c>
    </row>
    <row r="90" spans="2:50">
      <c r="C90" s="870">
        <v>2</v>
      </c>
      <c r="D90" s="871"/>
      <c r="E90" s="872" t="str">
        <f>IF(J86=2,D86,IF(J86=1,F86,"Wie wordt 2de?"))</f>
        <v>Spanje</v>
      </c>
      <c r="F90" s="872"/>
      <c r="G90" s="872"/>
      <c r="H90" s="872"/>
      <c r="I90" s="872"/>
      <c r="J90" s="872"/>
      <c r="V90" t="s">
        <v>135</v>
      </c>
      <c r="W90" t="s">
        <v>200</v>
      </c>
      <c r="X90" t="str">
        <f t="shared" si="11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>
        <f>SUM(AV90:AX90)</f>
        <v>0</v>
      </c>
      <c r="AV90">
        <f>IF(AR90=0,0,IF(AR90=E90,25,0))</f>
        <v>0</v>
      </c>
      <c r="AW90">
        <f>IF(E90=0,0,IF(OR(E90=AR89,),15,0))</f>
        <v>0</v>
      </c>
      <c r="AX90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Duitsland</v>
      </c>
      <c r="F91" s="872"/>
      <c r="G91" s="872"/>
      <c r="H91" s="872"/>
      <c r="I91" s="872"/>
      <c r="J91" s="872"/>
      <c r="V91" t="s">
        <v>135</v>
      </c>
      <c r="W91" t="s">
        <v>128</v>
      </c>
      <c r="X91" t="str">
        <f t="shared" si="11"/>
        <v>Jürgen Locadia (a)</v>
      </c>
      <c r="AP91" s="109">
        <f>AU91</f>
        <v>5</v>
      </c>
      <c r="AQ91" s="131">
        <v>3</v>
      </c>
      <c r="AR91" s="904" t="str">
        <f>Uitslag!E91</f>
        <v>Nederland</v>
      </c>
      <c r="AS91" s="905"/>
      <c r="AT91" s="906"/>
      <c r="AU91">
        <f>SUM(AV91:AX91)</f>
        <v>5</v>
      </c>
      <c r="AV91">
        <f>IF(AR91=0,0,IF(AR91=E91,15,0))</f>
        <v>0</v>
      </c>
      <c r="AW91">
        <f>IF(E91=0,0,IF(OR(E91=AR92),10,0))</f>
        <v>0</v>
      </c>
      <c r="AX91">
        <f>IF(E91=0,0,IF(OR(E91=AR89,E91=AR90),5,0))</f>
        <v>5</v>
      </c>
    </row>
    <row r="92" spans="2:50">
      <c r="C92" s="870">
        <v>4</v>
      </c>
      <c r="D92" s="871"/>
      <c r="E92" s="872" t="str">
        <f>IF(J82=2,D82,IF(J82=1,F82,"Wie wordt 4de?"))</f>
        <v>Argentinië</v>
      </c>
      <c r="F92" s="872"/>
      <c r="G92" s="872"/>
      <c r="H92" s="872"/>
      <c r="I92" s="872"/>
      <c r="J92" s="872"/>
      <c r="V92" t="s">
        <v>135</v>
      </c>
      <c r="W92" t="s">
        <v>127</v>
      </c>
      <c r="X92" t="str">
        <f t="shared" si="11"/>
        <v>Memphis Depay (a)</v>
      </c>
      <c r="AP92" s="109">
        <f>AU92</f>
        <v>5</v>
      </c>
      <c r="AQ92" s="131">
        <v>4</v>
      </c>
      <c r="AR92" s="904" t="str">
        <f>Uitslag!E92</f>
        <v>Brazilië</v>
      </c>
      <c r="AS92" s="905"/>
      <c r="AT92" s="906"/>
      <c r="AU92">
        <f>SUM(AV92:AX92)</f>
        <v>5</v>
      </c>
      <c r="AV92">
        <f>IF(AR92=0,0,IF(AR92=E92,15,0))</f>
        <v>0</v>
      </c>
      <c r="AW92">
        <f>IF(E92=0,0,IF(OR(E92=AR91,),10,0))</f>
        <v>0</v>
      </c>
      <c r="AX92">
        <f>IF(E92=0,0,IF(OR(E92=AR89,E92=AR90),5,0))</f>
        <v>5</v>
      </c>
    </row>
    <row r="93" spans="2:50" ht="15.75" thickBot="1">
      <c r="V93" t="s">
        <v>135</v>
      </c>
      <c r="W93" t="s">
        <v>123</v>
      </c>
      <c r="X93" t="str">
        <f t="shared" si="11"/>
        <v>Quincy Promes (a)</v>
      </c>
      <c r="AS93" s="132"/>
      <c r="AU93" s="133">
        <f>SUM(AU89:AU92)</f>
        <v>15</v>
      </c>
    </row>
    <row r="94" spans="2:50" ht="15.75" thickTop="1">
      <c r="V94" t="s">
        <v>135</v>
      </c>
      <c r="W94" t="s">
        <v>122</v>
      </c>
      <c r="X94" t="str">
        <f t="shared" si="11"/>
        <v>Luc Castaignos (a)</v>
      </c>
    </row>
    <row r="95" spans="2:50">
      <c r="V95" t="s">
        <v>135</v>
      </c>
      <c r="W95" t="s">
        <v>113</v>
      </c>
      <c r="X95" t="str">
        <f t="shared" si="11"/>
        <v>Jean-Paul Boëtius (a)</v>
      </c>
    </row>
    <row r="96" spans="2:50">
      <c r="V96" t="s">
        <v>135</v>
      </c>
      <c r="W96" t="s">
        <v>129</v>
      </c>
      <c r="X96" t="str">
        <f t="shared" si="11"/>
        <v>Luciano Narsingh (a)</v>
      </c>
    </row>
    <row r="97" spans="22:24">
      <c r="V97" t="s">
        <v>135</v>
      </c>
      <c r="W97" t="s">
        <v>130</v>
      </c>
      <c r="X97" t="str">
        <f t="shared" si="11"/>
        <v>Robin van Persie (a)</v>
      </c>
    </row>
    <row r="98" spans="22:24">
      <c r="V98" t="s">
        <v>135</v>
      </c>
      <c r="W98" t="s">
        <v>131</v>
      </c>
      <c r="X98" t="str">
        <f t="shared" si="11"/>
        <v>Arjen Robben (a)</v>
      </c>
    </row>
  </sheetData>
  <mergeCells count="36"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C89:D89"/>
    <mergeCell ref="E89:J89"/>
    <mergeCell ref="AR89:AT89"/>
    <mergeCell ref="C90:D90"/>
    <mergeCell ref="E90:J90"/>
    <mergeCell ref="AR90:AT90"/>
    <mergeCell ref="C91:D91"/>
    <mergeCell ref="E91:J91"/>
    <mergeCell ref="AR91:AT91"/>
    <mergeCell ref="C92:D92"/>
    <mergeCell ref="E92:J92"/>
    <mergeCell ref="AR92:AT92"/>
  </mergeCells>
  <phoneticPr fontId="24" type="noConversion"/>
  <conditionalFormatting sqref="AO9:AO12 AO15:AO18 AO21:AO24 AO27:AO30 AO33:AO36 AO39:AO42 AO45:AO48 AO51:AO54">
    <cfRule type="cellIs" dxfId="276" priority="3" operator="equal">
      <formula>10</formula>
    </cfRule>
  </conditionalFormatting>
  <conditionalFormatting sqref="P58:T58">
    <cfRule type="duplicateValues" dxfId="275" priority="2"/>
  </conditionalFormatting>
  <conditionalFormatting sqref="P58:T68">
    <cfRule type="duplicateValues" dxfId="274" priority="1"/>
  </conditionalFormatting>
  <dataValidations count="10">
    <dataValidation type="list" allowBlank="1" showInputMessage="1" showErrorMessage="1" sqref="T51:T54">
      <formula1>$W$51:$W$54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P58:P68">
      <formula1>$X$58:$X$98</formula1>
    </dataValidation>
  </dataValidation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>
  <dimension ref="B1:BB98"/>
  <sheetViews>
    <sheetView topLeftCell="A46" zoomScale="70" zoomScaleNormal="70" workbookViewId="0">
      <selection activeCell="P58" sqref="P58:T68"/>
    </sheetView>
  </sheetViews>
  <sheetFormatPr defaultRowHeight="15" outlineLevelCol="2"/>
  <cols>
    <col min="1" max="1" width="3.42578125" style="352" customWidth="1"/>
    <col min="2" max="2" width="3.5703125" style="352" bestFit="1" customWidth="1"/>
    <col min="3" max="3" width="11.5703125" style="123" bestFit="1" customWidth="1"/>
    <col min="4" max="4" width="19.7109375" style="352" bestFit="1" customWidth="1"/>
    <col min="5" max="5" width="3.42578125" style="352" customWidth="1"/>
    <col min="6" max="6" width="19.7109375" style="352" bestFit="1" customWidth="1"/>
    <col min="7" max="7" width="6.7109375" style="352" customWidth="1"/>
    <col min="8" max="8" width="1.5703125" style="352" bestFit="1" customWidth="1"/>
    <col min="9" max="9" width="6.7109375" style="352" customWidth="1"/>
    <col min="10" max="10" width="6.85546875" style="352" bestFit="1" customWidth="1"/>
    <col min="11" max="13" width="9.140625" style="352" hidden="1" customWidth="1" outlineLevel="1"/>
    <col min="14" max="14" width="11.42578125" style="352" bestFit="1" customWidth="1" collapsed="1"/>
    <col min="15" max="15" width="14.7109375" style="352" bestFit="1" customWidth="1"/>
    <col min="16" max="16" width="12.28515625" style="352" bestFit="1" customWidth="1"/>
    <col min="17" max="17" width="8.140625" style="352" bestFit="1" customWidth="1"/>
    <col min="18" max="18" width="7.7109375" style="352" bestFit="1" customWidth="1"/>
    <col min="19" max="19" width="9.140625" style="352"/>
    <col min="20" max="20" width="8.5703125" style="352" bestFit="1" customWidth="1"/>
    <col min="21" max="21" width="9.140625" style="352"/>
    <col min="22" max="23" width="9.140625" style="352" hidden="1" customWidth="1" outlineLevel="1"/>
    <col min="24" max="24" width="2" style="352" hidden="1" customWidth="1" outlineLevel="1"/>
    <col min="25" max="25" width="12.28515625" style="352" bestFit="1" customWidth="1" collapsed="1"/>
    <col min="26" max="27" width="12.28515625" style="352" hidden="1" customWidth="1" outlineLevel="1"/>
    <col min="28" max="28" width="4.7109375" style="352" hidden="1" customWidth="1" outlineLevel="1"/>
    <col min="29" max="38" width="9.140625" style="352" hidden="1" customWidth="1" outlineLevel="1"/>
    <col min="39" max="39" width="7.42578125" style="352" bestFit="1" customWidth="1" collapsed="1"/>
    <col min="40" max="40" width="19.7109375" style="352" hidden="1" customWidth="1" outlineLevel="1"/>
    <col min="41" max="41" width="9.140625" style="352" hidden="1" customWidth="1" outlineLevel="1"/>
    <col min="42" max="42" width="9.140625" style="352" collapsed="1"/>
    <col min="43" max="49" width="9.140625" style="352" hidden="1" customWidth="1" outlineLevel="2"/>
    <col min="50" max="50" width="11.5703125" style="352" hidden="1" customWidth="1" outlineLevel="2"/>
    <col min="51" max="51" width="11.85546875" style="352" hidden="1" customWidth="1" outlineLevel="1" collapsed="1"/>
    <col min="52" max="52" width="9.42578125" style="352" hidden="1" customWidth="1" outlineLevel="1"/>
    <col min="53" max="53" width="10.5703125" style="352" hidden="1" customWidth="1" outlineLevel="1"/>
    <col min="54" max="54" width="9.140625" style="352" collapsed="1"/>
    <col min="55" max="55" width="11.85546875" style="352" bestFit="1" customWidth="1"/>
    <col min="56" max="16384" width="9.140625" style="352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312</v>
      </c>
      <c r="E3" s="335"/>
      <c r="F3" s="335"/>
      <c r="N3" s="352" t="str">
        <f>D3</f>
        <v>Emiel V.</v>
      </c>
      <c r="O3" s="144">
        <f>SUM(P3:S3)</f>
        <v>361</v>
      </c>
      <c r="P3" s="109">
        <f>SUM(Y8:Y86)</f>
        <v>157</v>
      </c>
      <c r="Q3" s="109">
        <f>SUM(AM4:AM55)</f>
        <v>160</v>
      </c>
      <c r="R3" s="109">
        <f>SUM(AP89:AP92)</f>
        <v>20</v>
      </c>
      <c r="S3" s="109">
        <f>SUM(BB58:BB69)</f>
        <v>24</v>
      </c>
      <c r="T3" s="109">
        <f>COUNTIF(AF8:AF86,10)</f>
        <v>2</v>
      </c>
      <c r="U3" s="109" t="str">
        <f>E89</f>
        <v>Argentinië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O6" s="392"/>
      <c r="P6" s="393"/>
      <c r="Q6" s="393"/>
      <c r="R6" s="393"/>
      <c r="S6" s="393"/>
      <c r="T6" s="393"/>
      <c r="U6" s="392"/>
      <c r="V6" s="392"/>
      <c r="W6" s="392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80" t="s">
        <v>3</v>
      </c>
      <c r="E7" s="419"/>
      <c r="F7" s="481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O7" s="353"/>
      <c r="P7" s="393"/>
      <c r="Q7" s="393"/>
      <c r="R7" s="393"/>
      <c r="S7" s="393"/>
      <c r="T7" s="393"/>
      <c r="U7" s="353"/>
      <c r="V7" s="353"/>
      <c r="W7" s="353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458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2</v>
      </c>
      <c r="H8" s="360" t="s">
        <v>9</v>
      </c>
      <c r="I8" s="478">
        <v>1</v>
      </c>
      <c r="J8" s="362">
        <f t="shared" ref="J8:J55" si="0">IF(I8="","",IF(G8&gt;I8,1,IF(G8&lt;I8,2,3)))</f>
        <v>1</v>
      </c>
      <c r="K8" s="363">
        <f t="shared" ref="K8:K55" si="1">IF(I8="","",IF($G8&gt;$I8,3,IF($G8=$I8,1,0)))</f>
        <v>3</v>
      </c>
      <c r="L8" s="363">
        <f t="shared" ref="L8:L55" si="2">IF(I8="","",IF($G8&lt;$I8,3,IF($G8=$I8,1,0)))</f>
        <v>0</v>
      </c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392"/>
      <c r="V8" s="392"/>
      <c r="W8" s="392"/>
      <c r="Y8" s="109">
        <f>AF8</f>
        <v>6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6</v>
      </c>
      <c r="AG8" s="108">
        <f t="shared" ref="AG8:AG55" si="3">IF(AC8="",0,(IF(G8=AC8,1,0)))</f>
        <v>0</v>
      </c>
      <c r="AH8" s="108">
        <f t="shared" ref="AH8:AH55" si="4">IF(AD8="",0,(IF(I8=AD8,1,0)))</f>
        <v>1</v>
      </c>
      <c r="AI8" s="108">
        <f>IF(AND(AG8=1,AH8=1),10,0)</f>
        <v>0</v>
      </c>
      <c r="AJ8" s="108">
        <f t="shared" ref="AJ8:AJ55" si="5">IF(AND(G8&gt;I8,AC8&gt;AD8),5,0)</f>
        <v>5</v>
      </c>
      <c r="AK8" s="108">
        <f t="shared" ref="AK8:AK55" si="6">IF(AND(G8&lt;I8,AC8&lt;AD8),5,0)</f>
        <v>0</v>
      </c>
      <c r="AL8" s="108">
        <f t="shared" ref="AL8:AL55" si="7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2</v>
      </c>
      <c r="H9" s="367" t="s">
        <v>9</v>
      </c>
      <c r="I9" s="440">
        <v>2</v>
      </c>
      <c r="J9" s="369">
        <f t="shared" si="0"/>
        <v>3</v>
      </c>
      <c r="K9" s="363">
        <f t="shared" si="1"/>
        <v>1</v>
      </c>
      <c r="L9" s="363">
        <f t="shared" si="2"/>
        <v>1</v>
      </c>
      <c r="O9" s="394" t="s">
        <v>8</v>
      </c>
      <c r="P9" s="395">
        <f>SUMIF($D$8:$D$55,$O9,$G$8:$G$55)+SUMIF($F$8:$F$55,$O9,$I$8:$I$55)</f>
        <v>6</v>
      </c>
      <c r="Q9" s="395">
        <f>SUMIF($D$8:$D$55,$O9,$I$8:$I$55)+SUMIF($F$8:$F$55,$O9,$G$8:$G$55)</f>
        <v>2</v>
      </c>
      <c r="R9" s="396">
        <f>P9-Q9</f>
        <v>4</v>
      </c>
      <c r="S9" s="397">
        <f>SUMIF($D$8:$D$55,$O9,$K$8:$K$55)+SUMIF($F$8:$F$55,$O9,$L$8:$L$55)</f>
        <v>9</v>
      </c>
      <c r="T9" s="444" t="s">
        <v>48</v>
      </c>
      <c r="U9" s="392"/>
      <c r="V9" s="392" t="str">
        <f>O9</f>
        <v>Brazilië</v>
      </c>
      <c r="W9" s="392" t="s">
        <v>48</v>
      </c>
      <c r="Y9" s="109">
        <f t="shared" ref="Y9:Y55" si="8">AF9</f>
        <v>0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0</v>
      </c>
      <c r="AG9" s="108">
        <f t="shared" si="3"/>
        <v>0</v>
      </c>
      <c r="AH9" s="108">
        <f t="shared" si="4"/>
        <v>0</v>
      </c>
      <c r="AI9" s="108">
        <f t="shared" ref="AI9:AI55" si="10">IF(AND(AG9=1,AH9=1),10,0)</f>
        <v>0</v>
      </c>
      <c r="AJ9" s="108">
        <f t="shared" si="5"/>
        <v>0</v>
      </c>
      <c r="AK9" s="108">
        <f t="shared" si="6"/>
        <v>0</v>
      </c>
      <c r="AL9" s="108">
        <f t="shared" si="7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2</v>
      </c>
      <c r="H10" s="373" t="s">
        <v>9</v>
      </c>
      <c r="I10" s="441">
        <v>1</v>
      </c>
      <c r="J10" s="375">
        <f t="shared" si="0"/>
        <v>1</v>
      </c>
      <c r="K10" s="363">
        <f t="shared" si="1"/>
        <v>3</v>
      </c>
      <c r="L10" s="363">
        <f t="shared" si="2"/>
        <v>0</v>
      </c>
      <c r="O10" s="398" t="s">
        <v>10</v>
      </c>
      <c r="P10" s="399">
        <f>SUMIF($D$8:$D$55,$O10,$G$8:$G$55)+SUMIF($F$8:$F$55,$O10,$I$8:$I$55)</f>
        <v>5</v>
      </c>
      <c r="Q10" s="399">
        <f>SUMIF($D$8:$D$55,$O10,$I$8:$I$55)+SUMIF($F$8:$F$55,$O10,$G$8:$G$55)</f>
        <v>4</v>
      </c>
      <c r="R10" s="399">
        <f>P10-Q10</f>
        <v>1</v>
      </c>
      <c r="S10" s="400">
        <f>SUMIF($D$8:$D$55,$O10,$K$8:$K$55)+SUMIF($F$8:$F$55,$O10,$L$8:$L$55)</f>
        <v>6</v>
      </c>
      <c r="T10" s="445" t="s">
        <v>49</v>
      </c>
      <c r="U10" s="392"/>
      <c r="V10" s="392" t="str">
        <f>O10</f>
        <v>Kroatië</v>
      </c>
      <c r="W10" s="392" t="s">
        <v>49</v>
      </c>
      <c r="Y10" s="109">
        <f t="shared" si="8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0</v>
      </c>
      <c r="AG10" s="108">
        <f t="shared" si="3"/>
        <v>0</v>
      </c>
      <c r="AH10" s="108">
        <f t="shared" si="4"/>
        <v>0</v>
      </c>
      <c r="AI10" s="108">
        <f t="shared" si="10"/>
        <v>0</v>
      </c>
      <c r="AJ10" s="108">
        <f t="shared" si="5"/>
        <v>0</v>
      </c>
      <c r="AK10" s="108">
        <f t="shared" si="6"/>
        <v>0</v>
      </c>
      <c r="AL10" s="108">
        <f t="shared" si="7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3</v>
      </c>
      <c r="H11" s="379" t="s">
        <v>9</v>
      </c>
      <c r="I11" s="442">
        <v>0</v>
      </c>
      <c r="J11" s="381">
        <f t="shared" si="0"/>
        <v>1</v>
      </c>
      <c r="K11" s="363">
        <f t="shared" si="1"/>
        <v>3</v>
      </c>
      <c r="L11" s="363">
        <f t="shared" si="2"/>
        <v>0</v>
      </c>
      <c r="O11" s="398" t="s">
        <v>11</v>
      </c>
      <c r="P11" s="399">
        <f>SUMIF($D$8:$D$55,$O11,$G$8:$G$55)+SUMIF($F$8:$F$55,$O11,$I$8:$I$55)</f>
        <v>3</v>
      </c>
      <c r="Q11" s="399">
        <f>SUMIF($D$8:$D$55,$O11,$I$8:$I$55)+SUMIF($F$8:$F$55,$O11,$G$8:$G$55)</f>
        <v>6</v>
      </c>
      <c r="R11" s="399">
        <f>P11-Q11</f>
        <v>-3</v>
      </c>
      <c r="S11" s="400">
        <f>SUMIF($D$8:$D$55,$O11,$K$8:$K$55)+SUMIF($F$8:$F$55,$O11,$L$8:$L$55)</f>
        <v>1</v>
      </c>
      <c r="T11" s="445" t="s">
        <v>47</v>
      </c>
      <c r="U11" s="392"/>
      <c r="V11" s="392" t="str">
        <f>O11</f>
        <v>Mexico</v>
      </c>
      <c r="W11" s="392" t="s">
        <v>47</v>
      </c>
      <c r="Y11" s="109">
        <f t="shared" si="8"/>
        <v>6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6</v>
      </c>
      <c r="AG11" s="108">
        <f t="shared" si="3"/>
        <v>1</v>
      </c>
      <c r="AH11" s="108">
        <f t="shared" si="4"/>
        <v>0</v>
      </c>
      <c r="AI11" s="108">
        <f t="shared" si="10"/>
        <v>0</v>
      </c>
      <c r="AJ11" s="108">
        <f t="shared" si="5"/>
        <v>5</v>
      </c>
      <c r="AK11" s="108">
        <f t="shared" si="6"/>
        <v>0</v>
      </c>
      <c r="AL11" s="108">
        <f t="shared" si="7"/>
        <v>0</v>
      </c>
      <c r="AM11" s="120">
        <f>AO11</f>
        <v>0</v>
      </c>
      <c r="AN11" s="117" t="s">
        <v>11</v>
      </c>
      <c r="AO11" s="115">
        <f>IF(Uitslag!T11="",0,IF(T11=Uitslag!T11,10,0))</f>
        <v>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1</v>
      </c>
      <c r="H12" s="367" t="s">
        <v>9</v>
      </c>
      <c r="I12" s="440">
        <v>0</v>
      </c>
      <c r="J12" s="369">
        <f t="shared" si="0"/>
        <v>1</v>
      </c>
      <c r="K12" s="363">
        <f t="shared" si="1"/>
        <v>3</v>
      </c>
      <c r="L12" s="363">
        <f t="shared" si="2"/>
        <v>0</v>
      </c>
      <c r="O12" s="401" t="s">
        <v>12</v>
      </c>
      <c r="P12" s="402">
        <f>SUMIF($D$8:$D$55,$O12,$G$8:$G$55)+SUMIF($F$8:$F$55,$O12,$I$8:$I$55)</f>
        <v>4</v>
      </c>
      <c r="Q12" s="402">
        <f>SUMIF($D$8:$D$55,$O12,$I$8:$I$55)+SUMIF($F$8:$F$55,$O12,$G$8:$G$55)</f>
        <v>6</v>
      </c>
      <c r="R12" s="402">
        <f>P12-Q12</f>
        <v>-2</v>
      </c>
      <c r="S12" s="403">
        <f>SUMIF($D$8:$D$55,$O12,$K$8:$K$55)+SUMIF($F$8:$F$55,$O12,$L$8:$L$55)</f>
        <v>1</v>
      </c>
      <c r="T12" s="446" t="s">
        <v>50</v>
      </c>
      <c r="U12" s="392"/>
      <c r="V12" s="392" t="str">
        <f>O12</f>
        <v>Kameroen</v>
      </c>
      <c r="W12" s="392" t="s">
        <v>50</v>
      </c>
      <c r="Y12" s="109">
        <f t="shared" si="8"/>
        <v>6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6</v>
      </c>
      <c r="AG12" s="108">
        <f t="shared" si="3"/>
        <v>0</v>
      </c>
      <c r="AH12" s="108">
        <f t="shared" si="4"/>
        <v>1</v>
      </c>
      <c r="AI12" s="108">
        <f t="shared" si="10"/>
        <v>0</v>
      </c>
      <c r="AJ12" s="108">
        <f t="shared" si="5"/>
        <v>5</v>
      </c>
      <c r="AK12" s="108">
        <f t="shared" si="6"/>
        <v>0</v>
      </c>
      <c r="AL12" s="108">
        <f t="shared" si="7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4</v>
      </c>
      <c r="H13" s="373" t="s">
        <v>9</v>
      </c>
      <c r="I13" s="441">
        <v>1</v>
      </c>
      <c r="J13" s="375">
        <f t="shared" si="0"/>
        <v>1</v>
      </c>
      <c r="K13" s="363">
        <f t="shared" si="1"/>
        <v>3</v>
      </c>
      <c r="L13" s="363">
        <f t="shared" si="2"/>
        <v>0</v>
      </c>
      <c r="O13" s="392"/>
      <c r="P13" s="393"/>
      <c r="Q13" s="393"/>
      <c r="R13" s="393"/>
      <c r="S13" s="393"/>
      <c r="T13" s="393"/>
      <c r="U13" s="392"/>
      <c r="V13" s="392"/>
      <c r="W13" s="392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3"/>
        <v>0</v>
      </c>
      <c r="AH13" s="108">
        <f t="shared" si="4"/>
        <v>0</v>
      </c>
      <c r="AI13" s="108">
        <f t="shared" si="10"/>
        <v>0</v>
      </c>
      <c r="AJ13" s="108">
        <f t="shared" si="5"/>
        <v>0</v>
      </c>
      <c r="AK13" s="108">
        <f t="shared" si="6"/>
        <v>0</v>
      </c>
      <c r="AL13" s="108">
        <f t="shared" si="7"/>
        <v>0</v>
      </c>
      <c r="AN13" s="392"/>
      <c r="AO13" s="393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2</v>
      </c>
      <c r="H14" s="373" t="s">
        <v>9</v>
      </c>
      <c r="I14" s="441">
        <v>1</v>
      </c>
      <c r="J14" s="375">
        <f t="shared" si="0"/>
        <v>1</v>
      </c>
      <c r="K14" s="363">
        <f t="shared" si="1"/>
        <v>3</v>
      </c>
      <c r="L14" s="363">
        <f t="shared" si="2"/>
        <v>0</v>
      </c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392"/>
      <c r="V14" s="392"/>
      <c r="W14" s="392"/>
      <c r="Y14" s="109">
        <f t="shared" si="8"/>
        <v>0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0</v>
      </c>
      <c r="AG14" s="108">
        <f t="shared" si="3"/>
        <v>0</v>
      </c>
      <c r="AH14" s="108">
        <f t="shared" si="4"/>
        <v>0</v>
      </c>
      <c r="AI14" s="108">
        <f t="shared" si="10"/>
        <v>0</v>
      </c>
      <c r="AJ14" s="108">
        <f t="shared" si="5"/>
        <v>0</v>
      </c>
      <c r="AK14" s="108">
        <f t="shared" si="6"/>
        <v>0</v>
      </c>
      <c r="AL14" s="108">
        <f t="shared" si="7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1</v>
      </c>
      <c r="H15" s="379" t="s">
        <v>9</v>
      </c>
      <c r="I15" s="442">
        <v>3</v>
      </c>
      <c r="J15" s="381">
        <f t="shared" si="0"/>
        <v>2</v>
      </c>
      <c r="K15" s="363">
        <f t="shared" si="1"/>
        <v>0</v>
      </c>
      <c r="L15" s="363">
        <f t="shared" si="2"/>
        <v>3</v>
      </c>
      <c r="O15" s="394" t="s">
        <v>13</v>
      </c>
      <c r="P15" s="395">
        <f>SUMIF($D$8:$D$55,$O15,$G$8:$G$55)+SUMIF($F$8:$F$55,$O15,$I$8:$I$55)</f>
        <v>5</v>
      </c>
      <c r="Q15" s="395">
        <f>SUMIF($D$8:$D$55,$O15,$I$8:$I$55)+SUMIF($F$8:$F$55,$O15,$G$8:$G$55)</f>
        <v>2</v>
      </c>
      <c r="R15" s="396">
        <f>P15-Q15</f>
        <v>3</v>
      </c>
      <c r="S15" s="397">
        <f>SUMIF($D$8:$D$55,$O15,$K$8:$K$55)+SUMIF($F$8:$F$55,$O15,$L$8:$L$55)</f>
        <v>9</v>
      </c>
      <c r="T15" s="444" t="s">
        <v>52</v>
      </c>
      <c r="U15" s="392"/>
      <c r="V15" s="392" t="str">
        <f>O15</f>
        <v>Spanje</v>
      </c>
      <c r="W15" s="392" t="s">
        <v>52</v>
      </c>
      <c r="Y15" s="109">
        <f t="shared" si="8"/>
        <v>0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0</v>
      </c>
      <c r="AG15" s="108">
        <f t="shared" si="3"/>
        <v>0</v>
      </c>
      <c r="AH15" s="108">
        <f t="shared" si="4"/>
        <v>0</v>
      </c>
      <c r="AI15" s="108">
        <f t="shared" si="10"/>
        <v>0</v>
      </c>
      <c r="AJ15" s="108">
        <f t="shared" si="5"/>
        <v>0</v>
      </c>
      <c r="AK15" s="108">
        <f t="shared" si="6"/>
        <v>0</v>
      </c>
      <c r="AL15" s="108">
        <f t="shared" si="7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2</v>
      </c>
      <c r="H16" s="367" t="s">
        <v>9</v>
      </c>
      <c r="I16" s="440">
        <v>2</v>
      </c>
      <c r="J16" s="369">
        <f t="shared" si="0"/>
        <v>3</v>
      </c>
      <c r="K16" s="363">
        <f t="shared" si="1"/>
        <v>1</v>
      </c>
      <c r="L16" s="363">
        <f t="shared" si="2"/>
        <v>1</v>
      </c>
      <c r="O16" s="404" t="s">
        <v>14</v>
      </c>
      <c r="P16" s="399">
        <f>SUMIF($D$8:$D$55,$O16,$G$8:$G$55)+SUMIF($F$8:$F$55,$O16,$I$8:$I$55)</f>
        <v>7</v>
      </c>
      <c r="Q16" s="399">
        <f>SUMIF($D$8:$D$55,$O16,$I$8:$I$55)+SUMIF($F$8:$F$55,$O16,$G$8:$G$55)</f>
        <v>3</v>
      </c>
      <c r="R16" s="399">
        <f>P16-Q16</f>
        <v>4</v>
      </c>
      <c r="S16" s="400">
        <f>SUMIF($D$8:$D$55,$O16,$K$8:$K$55)+SUMIF($F$8:$F$55,$O16,$L$8:$L$55)</f>
        <v>6</v>
      </c>
      <c r="T16" s="445" t="s">
        <v>53</v>
      </c>
      <c r="U16" s="392"/>
      <c r="V16" s="392" t="str">
        <f>O16</f>
        <v>Nederland</v>
      </c>
      <c r="W16" s="392" t="s">
        <v>53</v>
      </c>
      <c r="Y16" s="109">
        <f t="shared" si="8"/>
        <v>1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1</v>
      </c>
      <c r="AG16" s="108">
        <f t="shared" si="3"/>
        <v>1</v>
      </c>
      <c r="AH16" s="108">
        <f t="shared" si="4"/>
        <v>0</v>
      </c>
      <c r="AI16" s="108">
        <f t="shared" si="10"/>
        <v>0</v>
      </c>
      <c r="AJ16" s="108">
        <f t="shared" si="5"/>
        <v>0</v>
      </c>
      <c r="AK16" s="108">
        <f t="shared" si="6"/>
        <v>0</v>
      </c>
      <c r="AL16" s="108">
        <f t="shared" si="7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4</v>
      </c>
      <c r="H17" s="373" t="s">
        <v>9</v>
      </c>
      <c r="I17" s="441">
        <v>0</v>
      </c>
      <c r="J17" s="375">
        <f t="shared" si="0"/>
        <v>1</v>
      </c>
      <c r="K17" s="363">
        <f t="shared" si="1"/>
        <v>3</v>
      </c>
      <c r="L17" s="363">
        <f t="shared" si="2"/>
        <v>0</v>
      </c>
      <c r="O17" s="398" t="s">
        <v>15</v>
      </c>
      <c r="P17" s="399">
        <f>SUMIF($D$8:$D$55,$O17,$G$8:$G$55)+SUMIF($F$8:$F$55,$O17,$I$8:$I$55)</f>
        <v>4</v>
      </c>
      <c r="Q17" s="399">
        <f>SUMIF($D$8:$D$55,$O17,$I$8:$I$55)+SUMIF($F$8:$F$55,$O17,$G$8:$G$55)</f>
        <v>5</v>
      </c>
      <c r="R17" s="399">
        <f>P17-Q17</f>
        <v>-1</v>
      </c>
      <c r="S17" s="400">
        <f>SUMIF($D$8:$D$55,$O17,$K$8:$K$55)+SUMIF($F$8:$F$55,$O17,$L$8:$L$55)</f>
        <v>3</v>
      </c>
      <c r="T17" s="445" t="s">
        <v>54</v>
      </c>
      <c r="U17" s="392"/>
      <c r="V17" s="392" t="str">
        <f>O17</f>
        <v>Chili</v>
      </c>
      <c r="W17" s="392" t="s">
        <v>54</v>
      </c>
      <c r="Y17" s="109">
        <f t="shared" si="8"/>
        <v>6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6</v>
      </c>
      <c r="AG17" s="108">
        <f t="shared" si="3"/>
        <v>0</v>
      </c>
      <c r="AH17" s="108">
        <f t="shared" si="4"/>
        <v>1</v>
      </c>
      <c r="AI17" s="108">
        <f t="shared" si="10"/>
        <v>0</v>
      </c>
      <c r="AJ17" s="108">
        <f t="shared" si="5"/>
        <v>5</v>
      </c>
      <c r="AK17" s="108">
        <f t="shared" si="6"/>
        <v>0</v>
      </c>
      <c r="AL17" s="108">
        <f t="shared" si="7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3</v>
      </c>
      <c r="H18" s="379" t="s">
        <v>9</v>
      </c>
      <c r="I18" s="442">
        <v>0</v>
      </c>
      <c r="J18" s="381">
        <f t="shared" si="0"/>
        <v>1</v>
      </c>
      <c r="K18" s="363">
        <f t="shared" si="1"/>
        <v>3</v>
      </c>
      <c r="L18" s="363">
        <f t="shared" si="2"/>
        <v>0</v>
      </c>
      <c r="O18" s="401" t="s">
        <v>16</v>
      </c>
      <c r="P18" s="402">
        <f>SUMIF($D$8:$D$55,$O18,$G$8:$G$55)+SUMIF($F$8:$F$55,$O18,$I$8:$I$55)</f>
        <v>1</v>
      </c>
      <c r="Q18" s="402">
        <f>SUMIF($D$8:$D$55,$O18,$I$8:$I$55)+SUMIF($F$8:$F$55,$O18,$G$8:$G$55)</f>
        <v>7</v>
      </c>
      <c r="R18" s="402">
        <f>P18-Q18</f>
        <v>-6</v>
      </c>
      <c r="S18" s="403">
        <f>SUMIF($D$8:$D$55,$O18,$K$8:$K$55)+SUMIF($F$8:$F$55,$O18,$L$8:$L$55)</f>
        <v>0</v>
      </c>
      <c r="T18" s="446" t="s">
        <v>55</v>
      </c>
      <c r="U18" s="392"/>
      <c r="V18" s="392" t="str">
        <f>O18</f>
        <v>Australië</v>
      </c>
      <c r="W18" s="392" t="s">
        <v>55</v>
      </c>
      <c r="Y18" s="109">
        <f t="shared" si="8"/>
        <v>5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5</v>
      </c>
      <c r="AG18" s="108">
        <f t="shared" si="3"/>
        <v>0</v>
      </c>
      <c r="AH18" s="108">
        <f t="shared" si="4"/>
        <v>0</v>
      </c>
      <c r="AI18" s="108">
        <f t="shared" si="10"/>
        <v>0</v>
      </c>
      <c r="AJ18" s="108">
        <f t="shared" si="5"/>
        <v>5</v>
      </c>
      <c r="AK18" s="108">
        <f t="shared" si="6"/>
        <v>0</v>
      </c>
      <c r="AL18" s="108">
        <f t="shared" si="7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2</v>
      </c>
      <c r="H19" s="367" t="s">
        <v>9</v>
      </c>
      <c r="I19" s="440">
        <v>2</v>
      </c>
      <c r="J19" s="369">
        <f t="shared" si="0"/>
        <v>3</v>
      </c>
      <c r="K19" s="363">
        <f t="shared" si="1"/>
        <v>1</v>
      </c>
      <c r="L19" s="363">
        <f t="shared" si="2"/>
        <v>1</v>
      </c>
      <c r="O19" s="392"/>
      <c r="P19" s="393"/>
      <c r="Q19" s="393"/>
      <c r="R19" s="393"/>
      <c r="S19" s="393"/>
      <c r="T19" s="393"/>
      <c r="U19" s="392"/>
      <c r="V19" s="392"/>
      <c r="W19" s="392"/>
      <c r="Y19" s="109">
        <f t="shared" si="8"/>
        <v>0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0</v>
      </c>
      <c r="AG19" s="108">
        <f t="shared" si="3"/>
        <v>0</v>
      </c>
      <c r="AH19" s="108">
        <f t="shared" si="4"/>
        <v>0</v>
      </c>
      <c r="AI19" s="108">
        <f t="shared" si="10"/>
        <v>0</v>
      </c>
      <c r="AJ19" s="108">
        <f t="shared" si="5"/>
        <v>0</v>
      </c>
      <c r="AK19" s="108">
        <f t="shared" si="6"/>
        <v>0</v>
      </c>
      <c r="AL19" s="108">
        <f t="shared" si="7"/>
        <v>0</v>
      </c>
      <c r="AN19" s="392"/>
      <c r="AO19" s="393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1</v>
      </c>
      <c r="H20" s="373" t="s">
        <v>9</v>
      </c>
      <c r="I20" s="441">
        <v>3</v>
      </c>
      <c r="J20" s="375">
        <f t="shared" si="0"/>
        <v>2</v>
      </c>
      <c r="K20" s="363">
        <f t="shared" si="1"/>
        <v>0</v>
      </c>
      <c r="L20" s="363">
        <f t="shared" si="2"/>
        <v>3</v>
      </c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392"/>
      <c r="V20" s="392"/>
      <c r="W20" s="392"/>
      <c r="Y20" s="109">
        <f t="shared" si="8"/>
        <v>0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0</v>
      </c>
      <c r="AG20" s="108">
        <f t="shared" si="3"/>
        <v>0</v>
      </c>
      <c r="AH20" s="108">
        <f t="shared" si="4"/>
        <v>0</v>
      </c>
      <c r="AI20" s="108">
        <f t="shared" si="10"/>
        <v>0</v>
      </c>
      <c r="AJ20" s="108">
        <f t="shared" si="5"/>
        <v>0</v>
      </c>
      <c r="AK20" s="108">
        <f t="shared" si="6"/>
        <v>0</v>
      </c>
      <c r="AL20" s="108">
        <f t="shared" si="7"/>
        <v>0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2</v>
      </c>
      <c r="H21" s="379" t="s">
        <v>9</v>
      </c>
      <c r="I21" s="442">
        <v>2</v>
      </c>
      <c r="J21" s="381">
        <f t="shared" si="0"/>
        <v>3</v>
      </c>
      <c r="K21" s="363">
        <f t="shared" si="1"/>
        <v>1</v>
      </c>
      <c r="L21" s="363">
        <f t="shared" si="2"/>
        <v>1</v>
      </c>
      <c r="O21" s="394" t="s">
        <v>17</v>
      </c>
      <c r="P21" s="395">
        <f>SUMIF($D$8:$D$55,$O21,$G$8:$G$55)+SUMIF($F$8:$F$55,$O21,$I$8:$I$55)</f>
        <v>5</v>
      </c>
      <c r="Q21" s="395">
        <f>SUMIF($D$8:$D$55,$O21,$I$8:$I$55)+SUMIF($F$8:$F$55,$O21,$G$8:$G$55)</f>
        <v>3</v>
      </c>
      <c r="R21" s="396">
        <f>P21-Q21</f>
        <v>2</v>
      </c>
      <c r="S21" s="397">
        <f>SUMIF($D$8:$D$55,$O21,$K$8:$K$55)+SUMIF($F$8:$F$55,$O21,$L$8:$L$55)</f>
        <v>7</v>
      </c>
      <c r="T21" s="444" t="s">
        <v>57</v>
      </c>
      <c r="U21" s="392"/>
      <c r="V21" s="392" t="str">
        <f>O21</f>
        <v>Colombia</v>
      </c>
      <c r="W21" s="392" t="s">
        <v>57</v>
      </c>
      <c r="Y21" s="109">
        <f t="shared" si="8"/>
        <v>1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1</v>
      </c>
      <c r="AG21" s="108">
        <f t="shared" si="3"/>
        <v>0</v>
      </c>
      <c r="AH21" s="108">
        <f t="shared" si="4"/>
        <v>1</v>
      </c>
      <c r="AI21" s="108">
        <f t="shared" si="10"/>
        <v>0</v>
      </c>
      <c r="AJ21" s="108">
        <f t="shared" si="5"/>
        <v>0</v>
      </c>
      <c r="AK21" s="108">
        <f t="shared" si="6"/>
        <v>0</v>
      </c>
      <c r="AL21" s="108">
        <f t="shared" si="7"/>
        <v>0</v>
      </c>
      <c r="AM21" s="120">
        <f>AO21</f>
        <v>10</v>
      </c>
      <c r="AN21" s="116" t="s">
        <v>17</v>
      </c>
      <c r="AO21" s="115">
        <f>IF(Uitslag!T21="",0,IF(T21=Uitslag!T21,10,0))</f>
        <v>10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3</v>
      </c>
      <c r="H22" s="367" t="s">
        <v>9</v>
      </c>
      <c r="I22" s="440">
        <v>1</v>
      </c>
      <c r="J22" s="369">
        <f t="shared" si="0"/>
        <v>1</v>
      </c>
      <c r="K22" s="363">
        <f t="shared" si="1"/>
        <v>3</v>
      </c>
      <c r="L22" s="363">
        <f t="shared" si="2"/>
        <v>0</v>
      </c>
      <c r="O22" s="398" t="s">
        <v>18</v>
      </c>
      <c r="P22" s="399">
        <f>SUMIF($D$8:$D$55,$O22,$G$8:$G$55)+SUMIF($F$8:$F$55,$O22,$I$8:$I$55)</f>
        <v>1</v>
      </c>
      <c r="Q22" s="399">
        <f>SUMIF($D$8:$D$55,$O22,$I$8:$I$55)+SUMIF($F$8:$F$55,$O22,$G$8:$G$55)</f>
        <v>3</v>
      </c>
      <c r="R22" s="399">
        <f>P22-Q22</f>
        <v>-2</v>
      </c>
      <c r="S22" s="400">
        <f>SUMIF($D$8:$D$55,$O22,$K$8:$K$55)+SUMIF($F$8:$F$55,$O22,$L$8:$L$55)</f>
        <v>1</v>
      </c>
      <c r="T22" s="445" t="s">
        <v>59</v>
      </c>
      <c r="U22" s="392"/>
      <c r="V22" s="392" t="str">
        <f>O22</f>
        <v>Griekenland</v>
      </c>
      <c r="W22" s="392" t="s">
        <v>58</v>
      </c>
      <c r="Y22" s="109">
        <f t="shared" si="8"/>
        <v>6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6</v>
      </c>
      <c r="AG22" s="108">
        <f t="shared" si="3"/>
        <v>0</v>
      </c>
      <c r="AH22" s="108">
        <f t="shared" si="4"/>
        <v>1</v>
      </c>
      <c r="AI22" s="108">
        <f t="shared" si="10"/>
        <v>0</v>
      </c>
      <c r="AJ22" s="108">
        <f t="shared" si="5"/>
        <v>5</v>
      </c>
      <c r="AK22" s="108">
        <f t="shared" si="6"/>
        <v>0</v>
      </c>
      <c r="AL22" s="108">
        <f t="shared" si="7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2</v>
      </c>
      <c r="H23" s="373" t="s">
        <v>9</v>
      </c>
      <c r="I23" s="441">
        <v>0</v>
      </c>
      <c r="J23" s="375">
        <f t="shared" si="0"/>
        <v>1</v>
      </c>
      <c r="K23" s="363">
        <f t="shared" si="1"/>
        <v>3</v>
      </c>
      <c r="L23" s="363">
        <f t="shared" si="2"/>
        <v>0</v>
      </c>
      <c r="O23" s="398" t="s">
        <v>23</v>
      </c>
      <c r="P23" s="399">
        <f>SUMIF($D$8:$D$55,$O23,$G$8:$G$55)+SUMIF($F$8:$F$55,$O23,$I$8:$I$55)</f>
        <v>3</v>
      </c>
      <c r="Q23" s="399">
        <f>SUMIF($D$8:$D$55,$O23,$I$8:$I$55)+SUMIF($F$8:$F$55,$O23,$G$8:$G$55)</f>
        <v>5</v>
      </c>
      <c r="R23" s="399">
        <f>P23-Q23</f>
        <v>-2</v>
      </c>
      <c r="S23" s="400">
        <f>SUMIF($D$8:$D$55,$O23,$K$8:$K$55)+SUMIF($F$8:$F$55,$O23,$L$8:$L$55)</f>
        <v>2</v>
      </c>
      <c r="T23" s="445" t="s">
        <v>60</v>
      </c>
      <c r="U23" s="392"/>
      <c r="V23" s="392" t="str">
        <f>O23</f>
        <v>Ivoorkust</v>
      </c>
      <c r="W23" s="392" t="s">
        <v>59</v>
      </c>
      <c r="Y23" s="109">
        <f t="shared" si="8"/>
        <v>1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1</v>
      </c>
      <c r="AG23" s="108">
        <f t="shared" si="3"/>
        <v>0</v>
      </c>
      <c r="AH23" s="108">
        <f t="shared" si="4"/>
        <v>1</v>
      </c>
      <c r="AI23" s="108">
        <f t="shared" si="10"/>
        <v>0</v>
      </c>
      <c r="AJ23" s="108">
        <f t="shared" si="5"/>
        <v>0</v>
      </c>
      <c r="AK23" s="108">
        <f t="shared" si="6"/>
        <v>0</v>
      </c>
      <c r="AL23" s="108">
        <f t="shared" si="7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3</v>
      </c>
      <c r="H24" s="379" t="s">
        <v>9</v>
      </c>
      <c r="I24" s="442">
        <v>1</v>
      </c>
      <c r="J24" s="381">
        <f t="shared" si="0"/>
        <v>1</v>
      </c>
      <c r="K24" s="363">
        <f t="shared" si="1"/>
        <v>3</v>
      </c>
      <c r="L24" s="363">
        <f t="shared" si="2"/>
        <v>0</v>
      </c>
      <c r="O24" s="401" t="s">
        <v>24</v>
      </c>
      <c r="P24" s="402">
        <f>SUMIF($D$8:$D$55,$O24,$G$8:$G$55)+SUMIF($F$8:$F$55,$O24,$I$8:$I$55)</f>
        <v>6</v>
      </c>
      <c r="Q24" s="402">
        <f>SUMIF($D$8:$D$55,$O24,$I$8:$I$55)+SUMIF($F$8:$F$55,$O24,$G$8:$G$55)</f>
        <v>4</v>
      </c>
      <c r="R24" s="402">
        <f>P24-Q24</f>
        <v>2</v>
      </c>
      <c r="S24" s="403">
        <f>SUMIF($D$8:$D$55,$O24,$K$8:$K$55)+SUMIF($F$8:$F$55,$O24,$L$8:$L$55)</f>
        <v>6</v>
      </c>
      <c r="T24" s="446" t="s">
        <v>58</v>
      </c>
      <c r="U24" s="392"/>
      <c r="V24" s="392" t="str">
        <f>O24</f>
        <v>Japan</v>
      </c>
      <c r="W24" s="392" t="s">
        <v>60</v>
      </c>
      <c r="Y24" s="109">
        <f t="shared" si="8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</v>
      </c>
      <c r="AG24" s="108">
        <f t="shared" si="3"/>
        <v>0</v>
      </c>
      <c r="AH24" s="108">
        <f t="shared" si="4"/>
        <v>1</v>
      </c>
      <c r="AI24" s="108">
        <f t="shared" si="10"/>
        <v>0</v>
      </c>
      <c r="AJ24" s="108">
        <f t="shared" si="5"/>
        <v>0</v>
      </c>
      <c r="AK24" s="108">
        <f t="shared" si="6"/>
        <v>0</v>
      </c>
      <c r="AL24" s="108">
        <f t="shared" si="7"/>
        <v>0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1</v>
      </c>
      <c r="H25" s="367" t="s">
        <v>9</v>
      </c>
      <c r="I25" s="440">
        <v>3</v>
      </c>
      <c r="J25" s="369">
        <f t="shared" si="0"/>
        <v>2</v>
      </c>
      <c r="K25" s="363">
        <f t="shared" si="1"/>
        <v>0</v>
      </c>
      <c r="L25" s="363">
        <f t="shared" si="2"/>
        <v>3</v>
      </c>
      <c r="O25" s="392"/>
      <c r="P25" s="393"/>
      <c r="Q25" s="393"/>
      <c r="R25" s="393"/>
      <c r="S25" s="393"/>
      <c r="T25" s="393"/>
      <c r="U25" s="392"/>
      <c r="V25" s="392"/>
      <c r="W25" s="392"/>
      <c r="Y25" s="109">
        <f t="shared" si="8"/>
        <v>6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6</v>
      </c>
      <c r="AG25" s="108">
        <f t="shared" si="3"/>
        <v>0</v>
      </c>
      <c r="AH25" s="108">
        <f t="shared" si="4"/>
        <v>1</v>
      </c>
      <c r="AI25" s="108">
        <f t="shared" si="10"/>
        <v>0</v>
      </c>
      <c r="AJ25" s="108">
        <f t="shared" si="5"/>
        <v>0</v>
      </c>
      <c r="AK25" s="108">
        <f t="shared" si="6"/>
        <v>5</v>
      </c>
      <c r="AL25" s="108">
        <f t="shared" si="7"/>
        <v>0</v>
      </c>
      <c r="AN25" s="392"/>
      <c r="AO25" s="393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2</v>
      </c>
      <c r="H26" s="373" t="s">
        <v>9</v>
      </c>
      <c r="I26" s="441">
        <v>1</v>
      </c>
      <c r="J26" s="375">
        <f t="shared" si="0"/>
        <v>1</v>
      </c>
      <c r="K26" s="363">
        <f t="shared" si="1"/>
        <v>3</v>
      </c>
      <c r="L26" s="363">
        <f t="shared" si="2"/>
        <v>0</v>
      </c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392"/>
      <c r="V26" s="392"/>
      <c r="W26" s="392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3"/>
        <v>0</v>
      </c>
      <c r="AH26" s="108">
        <f t="shared" si="4"/>
        <v>0</v>
      </c>
      <c r="AI26" s="108">
        <f t="shared" si="10"/>
        <v>0</v>
      </c>
      <c r="AJ26" s="108">
        <f t="shared" si="5"/>
        <v>0</v>
      </c>
      <c r="AK26" s="108">
        <f t="shared" si="6"/>
        <v>0</v>
      </c>
      <c r="AL26" s="108">
        <f t="shared" si="7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1</v>
      </c>
      <c r="H27" s="379" t="s">
        <v>9</v>
      </c>
      <c r="I27" s="442">
        <v>2</v>
      </c>
      <c r="J27" s="381">
        <f t="shared" si="0"/>
        <v>2</v>
      </c>
      <c r="K27" s="363">
        <f t="shared" si="1"/>
        <v>0</v>
      </c>
      <c r="L27" s="363">
        <f t="shared" si="2"/>
        <v>3</v>
      </c>
      <c r="O27" s="394" t="s">
        <v>19</v>
      </c>
      <c r="P27" s="395">
        <f>SUMIF($D$8:$D$55,$O27,$G$8:$G$55)+SUMIF($F$8:$F$55,$O27,$I$8:$I$55)</f>
        <v>7</v>
      </c>
      <c r="Q27" s="395">
        <f>SUMIF($D$8:$D$55,$O27,$I$8:$I$55)+SUMIF($F$8:$F$55,$O27,$G$8:$G$55)</f>
        <v>5</v>
      </c>
      <c r="R27" s="396">
        <f>P27-Q27</f>
        <v>2</v>
      </c>
      <c r="S27" s="397">
        <f>SUMIF($D$8:$D$55,$O27,$K$8:$K$55)+SUMIF($F$8:$F$55,$O27,$L$8:$L$55)</f>
        <v>4</v>
      </c>
      <c r="T27" s="444" t="s">
        <v>64</v>
      </c>
      <c r="U27" s="392"/>
      <c r="V27" s="392" t="str">
        <f>O27</f>
        <v>Uruguay</v>
      </c>
      <c r="W27" s="392" t="s">
        <v>62</v>
      </c>
      <c r="Y27" s="109">
        <f t="shared" si="8"/>
        <v>5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5</v>
      </c>
      <c r="AG27" s="108">
        <f t="shared" si="3"/>
        <v>0</v>
      </c>
      <c r="AH27" s="108">
        <f t="shared" si="4"/>
        <v>0</v>
      </c>
      <c r="AI27" s="108">
        <f t="shared" si="10"/>
        <v>0</v>
      </c>
      <c r="AJ27" s="108">
        <f t="shared" si="5"/>
        <v>0</v>
      </c>
      <c r="AK27" s="108">
        <f t="shared" si="6"/>
        <v>5</v>
      </c>
      <c r="AL27" s="108">
        <f t="shared" si="7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2</v>
      </c>
      <c r="H28" s="367" t="s">
        <v>9</v>
      </c>
      <c r="I28" s="440">
        <v>2</v>
      </c>
      <c r="J28" s="369">
        <f t="shared" si="0"/>
        <v>3</v>
      </c>
      <c r="K28" s="363">
        <f t="shared" si="1"/>
        <v>1</v>
      </c>
      <c r="L28" s="363">
        <f t="shared" si="2"/>
        <v>1</v>
      </c>
      <c r="O28" s="398" t="s">
        <v>20</v>
      </c>
      <c r="P28" s="399">
        <f>SUMIF($D$8:$D$55,$O28,$G$8:$G$55)+SUMIF($F$8:$F$55,$O28,$I$8:$I$55)</f>
        <v>3</v>
      </c>
      <c r="Q28" s="399">
        <f>SUMIF($D$8:$D$55,$O28,$I$8:$I$55)+SUMIF($F$8:$F$55,$O28,$G$8:$G$55)</f>
        <v>11</v>
      </c>
      <c r="R28" s="399">
        <f>P28-Q28</f>
        <v>-8</v>
      </c>
      <c r="S28" s="400">
        <f>SUMIF($D$8:$D$55,$O28,$K$8:$K$55)+SUMIF($F$8:$F$55,$O28,$L$8:$L$55)</f>
        <v>0</v>
      </c>
      <c r="T28" s="445" t="s">
        <v>65</v>
      </c>
      <c r="U28" s="392"/>
      <c r="V28" s="392" t="str">
        <f>O28</f>
        <v>Costa Rica</v>
      </c>
      <c r="W28" s="392" t="s">
        <v>63</v>
      </c>
      <c r="Y28" s="109">
        <f t="shared" si="8"/>
        <v>1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1</v>
      </c>
      <c r="AG28" s="108">
        <f t="shared" si="3"/>
        <v>1</v>
      </c>
      <c r="AH28" s="108">
        <f t="shared" si="4"/>
        <v>0</v>
      </c>
      <c r="AI28" s="108">
        <f t="shared" si="10"/>
        <v>0</v>
      </c>
      <c r="AJ28" s="108">
        <f t="shared" si="5"/>
        <v>0</v>
      </c>
      <c r="AK28" s="108">
        <f t="shared" si="6"/>
        <v>0</v>
      </c>
      <c r="AL28" s="108">
        <f t="shared" si="7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2</v>
      </c>
      <c r="H29" s="373" t="s">
        <v>9</v>
      </c>
      <c r="I29" s="441">
        <v>3</v>
      </c>
      <c r="J29" s="375">
        <f t="shared" si="0"/>
        <v>2</v>
      </c>
      <c r="K29" s="363">
        <f t="shared" si="1"/>
        <v>0</v>
      </c>
      <c r="L29" s="363">
        <f t="shared" si="2"/>
        <v>3</v>
      </c>
      <c r="O29" s="398" t="s">
        <v>21</v>
      </c>
      <c r="P29" s="399">
        <f>SUMIF($D$8:$D$55,$O29,$G$8:$G$55)+SUMIF($F$8:$F$55,$O29,$I$8:$I$55)</f>
        <v>9</v>
      </c>
      <c r="Q29" s="399">
        <f>SUMIF($D$8:$D$55,$O29,$I$8:$I$55)+SUMIF($F$8:$F$55,$O29,$G$8:$G$55)</f>
        <v>4</v>
      </c>
      <c r="R29" s="399">
        <f>P29-Q29</f>
        <v>5</v>
      </c>
      <c r="S29" s="400">
        <f>SUMIF($D$8:$D$55,$O29,$K$8:$K$55)+SUMIF($F$8:$F$55,$O29,$L$8:$L$55)</f>
        <v>9</v>
      </c>
      <c r="T29" s="445" t="s">
        <v>62</v>
      </c>
      <c r="U29" s="392"/>
      <c r="V29" s="392" t="str">
        <f>O29</f>
        <v>Engeland</v>
      </c>
      <c r="W29" s="392" t="s">
        <v>64</v>
      </c>
      <c r="Y29" s="109">
        <f t="shared" si="8"/>
        <v>1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1</v>
      </c>
      <c r="AG29" s="108">
        <f t="shared" si="3"/>
        <v>1</v>
      </c>
      <c r="AH29" s="108">
        <f t="shared" si="4"/>
        <v>0</v>
      </c>
      <c r="AI29" s="108">
        <f t="shared" si="10"/>
        <v>0</v>
      </c>
      <c r="AJ29" s="108">
        <f t="shared" si="5"/>
        <v>0</v>
      </c>
      <c r="AK29" s="108">
        <f t="shared" si="6"/>
        <v>0</v>
      </c>
      <c r="AL29" s="108">
        <f t="shared" si="7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2</v>
      </c>
      <c r="H30" s="379" t="s">
        <v>9</v>
      </c>
      <c r="I30" s="442">
        <v>1</v>
      </c>
      <c r="J30" s="381">
        <f t="shared" si="0"/>
        <v>1</v>
      </c>
      <c r="K30" s="363">
        <f t="shared" si="1"/>
        <v>3</v>
      </c>
      <c r="L30" s="363">
        <f t="shared" si="2"/>
        <v>0</v>
      </c>
      <c r="O30" s="401" t="s">
        <v>22</v>
      </c>
      <c r="P30" s="402">
        <f>SUMIF($D$8:$D$55,$O30,$G$8:$G$55)+SUMIF($F$8:$F$55,$O30,$I$8:$I$55)</f>
        <v>5</v>
      </c>
      <c r="Q30" s="402">
        <f>SUMIF($D$8:$D$55,$O30,$I$8:$I$55)+SUMIF($F$8:$F$55,$O30,$G$8:$G$55)</f>
        <v>4</v>
      </c>
      <c r="R30" s="402">
        <f>P30-Q30</f>
        <v>1</v>
      </c>
      <c r="S30" s="403">
        <f>SUMIF($D$8:$D$55,$O30,$K$8:$K$55)+SUMIF($F$8:$F$55,$O30,$L$8:$L$55)</f>
        <v>4</v>
      </c>
      <c r="T30" s="446" t="s">
        <v>63</v>
      </c>
      <c r="U30" s="392"/>
      <c r="V30" s="392" t="str">
        <f>O30</f>
        <v>Italië</v>
      </c>
      <c r="W30" s="392" t="s">
        <v>65</v>
      </c>
      <c r="Y30" s="109">
        <f t="shared" si="8"/>
        <v>0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0</v>
      </c>
      <c r="AG30" s="108">
        <f t="shared" si="3"/>
        <v>0</v>
      </c>
      <c r="AH30" s="108">
        <f t="shared" si="4"/>
        <v>0</v>
      </c>
      <c r="AI30" s="108">
        <f t="shared" si="10"/>
        <v>0</v>
      </c>
      <c r="AJ30" s="108">
        <f t="shared" si="5"/>
        <v>0</v>
      </c>
      <c r="AK30" s="108">
        <f t="shared" si="6"/>
        <v>0</v>
      </c>
      <c r="AL30" s="108">
        <f t="shared" si="7"/>
        <v>0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3</v>
      </c>
      <c r="H31" s="367" t="s">
        <v>9</v>
      </c>
      <c r="I31" s="440">
        <v>1</v>
      </c>
      <c r="J31" s="369">
        <f t="shared" si="0"/>
        <v>1</v>
      </c>
      <c r="K31" s="363">
        <f t="shared" si="1"/>
        <v>3</v>
      </c>
      <c r="L31" s="363">
        <f t="shared" si="2"/>
        <v>0</v>
      </c>
      <c r="O31" s="392"/>
      <c r="P31" s="393"/>
      <c r="Q31" s="393"/>
      <c r="R31" s="393"/>
      <c r="S31" s="393"/>
      <c r="T31" s="393"/>
      <c r="U31" s="392"/>
      <c r="V31" s="392"/>
      <c r="W31" s="392"/>
      <c r="Y31" s="109">
        <f t="shared" si="8"/>
        <v>1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1</v>
      </c>
      <c r="AG31" s="108">
        <f t="shared" si="3"/>
        <v>0</v>
      </c>
      <c r="AH31" s="108">
        <f t="shared" si="4"/>
        <v>1</v>
      </c>
      <c r="AI31" s="108">
        <f t="shared" si="10"/>
        <v>0</v>
      </c>
      <c r="AJ31" s="108">
        <f t="shared" si="5"/>
        <v>0</v>
      </c>
      <c r="AK31" s="108">
        <f t="shared" si="6"/>
        <v>0</v>
      </c>
      <c r="AL31" s="108">
        <f t="shared" si="7"/>
        <v>0</v>
      </c>
      <c r="AN31" s="392"/>
      <c r="AO31" s="393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1</v>
      </c>
      <c r="H32" s="373" t="s">
        <v>9</v>
      </c>
      <c r="I32" s="441">
        <v>2</v>
      </c>
      <c r="J32" s="375">
        <f t="shared" si="0"/>
        <v>2</v>
      </c>
      <c r="K32" s="363">
        <f t="shared" si="1"/>
        <v>0</v>
      </c>
      <c r="L32" s="363">
        <f t="shared" si="2"/>
        <v>3</v>
      </c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392"/>
      <c r="V32" s="392"/>
      <c r="W32" s="392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3"/>
        <v>0</v>
      </c>
      <c r="AH32" s="108">
        <f t="shared" si="4"/>
        <v>0</v>
      </c>
      <c r="AI32" s="108">
        <f t="shared" si="10"/>
        <v>0</v>
      </c>
      <c r="AJ32" s="108">
        <f t="shared" si="5"/>
        <v>0</v>
      </c>
      <c r="AK32" s="108">
        <f t="shared" si="6"/>
        <v>5</v>
      </c>
      <c r="AL32" s="108">
        <f t="shared" si="7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2</v>
      </c>
      <c r="H33" s="379" t="s">
        <v>9</v>
      </c>
      <c r="I33" s="442">
        <v>2</v>
      </c>
      <c r="J33" s="381">
        <f t="shared" si="0"/>
        <v>3</v>
      </c>
      <c r="K33" s="363">
        <f t="shared" si="1"/>
        <v>1</v>
      </c>
      <c r="L33" s="363">
        <f t="shared" si="2"/>
        <v>1</v>
      </c>
      <c r="O33" s="394" t="s">
        <v>25</v>
      </c>
      <c r="P33" s="395">
        <f>SUMIF($D$8:$D$55,$O33,$G$8:$G$55)+SUMIF($F$8:$F$55,$O33,$I$8:$I$55)</f>
        <v>5</v>
      </c>
      <c r="Q33" s="395">
        <f>SUMIF($D$8:$D$55,$O33,$I$8:$I$55)+SUMIF($F$8:$F$55,$O33,$G$8:$G$55)</f>
        <v>4</v>
      </c>
      <c r="R33" s="396">
        <f>P33-Q33</f>
        <v>1</v>
      </c>
      <c r="S33" s="397">
        <f>SUMIF($D$8:$D$55,$O33,$K$8:$K$55)+SUMIF($F$8:$F$55,$O33,$L$8:$L$55)</f>
        <v>4</v>
      </c>
      <c r="T33" s="444" t="s">
        <v>68</v>
      </c>
      <c r="U33" s="392"/>
      <c r="V33" s="392" t="str">
        <f>O33</f>
        <v>Zwitserland</v>
      </c>
      <c r="W33" s="392" t="s">
        <v>67</v>
      </c>
      <c r="Y33" s="109">
        <f t="shared" si="8"/>
        <v>1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1</v>
      </c>
      <c r="AG33" s="108">
        <f t="shared" si="3"/>
        <v>0</v>
      </c>
      <c r="AH33" s="108">
        <f t="shared" si="4"/>
        <v>1</v>
      </c>
      <c r="AI33" s="108">
        <f t="shared" si="10"/>
        <v>0</v>
      </c>
      <c r="AJ33" s="108">
        <f t="shared" si="5"/>
        <v>0</v>
      </c>
      <c r="AK33" s="108">
        <f t="shared" si="6"/>
        <v>0</v>
      </c>
      <c r="AL33" s="108">
        <f t="shared" si="7"/>
        <v>0</v>
      </c>
      <c r="AM33" s="120">
        <f>AO33</f>
        <v>10</v>
      </c>
      <c r="AN33" s="116" t="s">
        <v>25</v>
      </c>
      <c r="AO33" s="115">
        <f>IF(Uitslag!T33="",0,IF(T33=Uitslag!T33,10,0))</f>
        <v>10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3</v>
      </c>
      <c r="H34" s="367" t="s">
        <v>9</v>
      </c>
      <c r="I34" s="440">
        <v>1</v>
      </c>
      <c r="J34" s="369">
        <f t="shared" si="0"/>
        <v>1</v>
      </c>
      <c r="K34" s="363">
        <f t="shared" si="1"/>
        <v>3</v>
      </c>
      <c r="L34" s="363">
        <f t="shared" si="2"/>
        <v>0</v>
      </c>
      <c r="O34" s="398" t="s">
        <v>26</v>
      </c>
      <c r="P34" s="399">
        <f>SUMIF($D$8:$D$55,$O34,$G$8:$G$55)+SUMIF($F$8:$F$55,$O34,$I$8:$I$55)</f>
        <v>5</v>
      </c>
      <c r="Q34" s="399">
        <f>SUMIF($D$8:$D$55,$O34,$I$8:$I$55)+SUMIF($F$8:$F$55,$O34,$G$8:$G$55)</f>
        <v>7</v>
      </c>
      <c r="R34" s="399">
        <f>P34-Q34</f>
        <v>-2</v>
      </c>
      <c r="S34" s="400">
        <f>SUMIF($D$8:$D$55,$O34,$K$8:$K$55)+SUMIF($F$8:$F$55,$O34,$L$8:$L$55)</f>
        <v>2</v>
      </c>
      <c r="T34" s="445" t="s">
        <v>69</v>
      </c>
      <c r="U34" s="392"/>
      <c r="V34" s="392" t="str">
        <f>O34</f>
        <v>Ecuador</v>
      </c>
      <c r="W34" s="392" t="s">
        <v>68</v>
      </c>
      <c r="Y34" s="109">
        <f t="shared" si="8"/>
        <v>5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5</v>
      </c>
      <c r="AG34" s="108">
        <f t="shared" si="3"/>
        <v>0</v>
      </c>
      <c r="AH34" s="108">
        <f t="shared" si="4"/>
        <v>0</v>
      </c>
      <c r="AI34" s="108">
        <f t="shared" si="10"/>
        <v>0</v>
      </c>
      <c r="AJ34" s="108">
        <f t="shared" si="5"/>
        <v>5</v>
      </c>
      <c r="AK34" s="108">
        <f t="shared" si="6"/>
        <v>0</v>
      </c>
      <c r="AL34" s="108">
        <f t="shared" si="7"/>
        <v>0</v>
      </c>
      <c r="AM34" s="120">
        <f>AO34</f>
        <v>10</v>
      </c>
      <c r="AN34" s="117" t="s">
        <v>26</v>
      </c>
      <c r="AO34" s="115">
        <f>IF(Uitslag!T34="",0,IF(T34=Uitslag!T34,10,0))</f>
        <v>10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3</v>
      </c>
      <c r="H35" s="373" t="s">
        <v>9</v>
      </c>
      <c r="I35" s="441">
        <v>1</v>
      </c>
      <c r="J35" s="375">
        <f t="shared" si="0"/>
        <v>1</v>
      </c>
      <c r="K35" s="363">
        <f t="shared" si="1"/>
        <v>3</v>
      </c>
      <c r="L35" s="363">
        <f t="shared" si="2"/>
        <v>0</v>
      </c>
      <c r="O35" s="398" t="s">
        <v>27</v>
      </c>
      <c r="P35" s="399">
        <f>SUMIF($D$8:$D$55,$O35,$G$8:$G$55)+SUMIF($F$8:$F$55,$O35,$I$8:$I$55)</f>
        <v>9</v>
      </c>
      <c r="Q35" s="399">
        <f>SUMIF($D$8:$D$55,$O35,$I$8:$I$55)+SUMIF($F$8:$F$55,$O35,$G$8:$G$55)</f>
        <v>2</v>
      </c>
      <c r="R35" s="399">
        <f>P35-Q35</f>
        <v>7</v>
      </c>
      <c r="S35" s="400">
        <f>SUMIF($D$8:$D$55,$O35,$K$8:$K$55)+SUMIF($F$8:$F$55,$O35,$L$8:$L$55)</f>
        <v>9</v>
      </c>
      <c r="T35" s="445" t="s">
        <v>67</v>
      </c>
      <c r="U35" s="392"/>
      <c r="V35" s="392" t="str">
        <f>O35</f>
        <v>Frankrijk</v>
      </c>
      <c r="W35" s="392" t="s">
        <v>69</v>
      </c>
      <c r="Y35" s="109">
        <f t="shared" si="8"/>
        <v>0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0</v>
      </c>
      <c r="AG35" s="108">
        <f t="shared" si="3"/>
        <v>0</v>
      </c>
      <c r="AH35" s="108">
        <f t="shared" si="4"/>
        <v>0</v>
      </c>
      <c r="AI35" s="108">
        <f t="shared" si="10"/>
        <v>0</v>
      </c>
      <c r="AJ35" s="108">
        <f t="shared" si="5"/>
        <v>0</v>
      </c>
      <c r="AK35" s="108">
        <f t="shared" si="6"/>
        <v>0</v>
      </c>
      <c r="AL35" s="108">
        <f t="shared" si="7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1</v>
      </c>
      <c r="H36" s="379" t="s">
        <v>9</v>
      </c>
      <c r="I36" s="442">
        <v>1</v>
      </c>
      <c r="J36" s="381">
        <f t="shared" si="0"/>
        <v>3</v>
      </c>
      <c r="K36" s="363">
        <f t="shared" si="1"/>
        <v>1</v>
      </c>
      <c r="L36" s="363">
        <f t="shared" si="2"/>
        <v>1</v>
      </c>
      <c r="O36" s="401" t="s">
        <v>28</v>
      </c>
      <c r="P36" s="402">
        <f>SUMIF($D$8:$D$55,$O36,$G$8:$G$55)+SUMIF($F$8:$F$55,$O36,$I$8:$I$55)</f>
        <v>2</v>
      </c>
      <c r="Q36" s="402">
        <f>SUMIF($D$8:$D$55,$O36,$I$8:$I$55)+SUMIF($F$8:$F$55,$O36,$G$8:$G$55)</f>
        <v>8</v>
      </c>
      <c r="R36" s="402">
        <f>P36-Q36</f>
        <v>-6</v>
      </c>
      <c r="S36" s="403">
        <f>SUMIF($D$8:$D$55,$O36,$K$8:$K$55)+SUMIF($F$8:$F$55,$O36,$L$8:$L$55)</f>
        <v>1</v>
      </c>
      <c r="T36" s="446" t="s">
        <v>70</v>
      </c>
      <c r="U36" s="392"/>
      <c r="V36" s="392" t="str">
        <f>O36</f>
        <v>Honduras</v>
      </c>
      <c r="W36" s="392" t="s">
        <v>70</v>
      </c>
      <c r="Y36" s="109">
        <f t="shared" si="8"/>
        <v>1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1</v>
      </c>
      <c r="AG36" s="108">
        <f t="shared" si="3"/>
        <v>1</v>
      </c>
      <c r="AH36" s="108">
        <f t="shared" si="4"/>
        <v>0</v>
      </c>
      <c r="AI36" s="108">
        <f t="shared" si="10"/>
        <v>0</v>
      </c>
      <c r="AJ36" s="108">
        <f t="shared" si="5"/>
        <v>0</v>
      </c>
      <c r="AK36" s="108">
        <f t="shared" si="6"/>
        <v>0</v>
      </c>
      <c r="AL36" s="108">
        <f t="shared" si="7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1</v>
      </c>
      <c r="H37" s="367" t="s">
        <v>9</v>
      </c>
      <c r="I37" s="440">
        <v>0</v>
      </c>
      <c r="J37" s="369">
        <f t="shared" si="0"/>
        <v>1</v>
      </c>
      <c r="K37" s="363">
        <f t="shared" si="1"/>
        <v>3</v>
      </c>
      <c r="L37" s="363">
        <f t="shared" si="2"/>
        <v>0</v>
      </c>
      <c r="O37" s="392"/>
      <c r="P37" s="393"/>
      <c r="Q37" s="393"/>
      <c r="R37" s="393"/>
      <c r="S37" s="393"/>
      <c r="T37" s="393"/>
      <c r="U37" s="392"/>
      <c r="V37" s="392"/>
      <c r="W37" s="392"/>
      <c r="Y37" s="109">
        <f t="shared" si="8"/>
        <v>10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10</v>
      </c>
      <c r="AG37" s="108">
        <f t="shared" si="3"/>
        <v>1</v>
      </c>
      <c r="AH37" s="108">
        <f t="shared" si="4"/>
        <v>1</v>
      </c>
      <c r="AI37" s="108">
        <f t="shared" si="10"/>
        <v>10</v>
      </c>
      <c r="AJ37" s="108">
        <f t="shared" si="5"/>
        <v>5</v>
      </c>
      <c r="AK37" s="108">
        <f t="shared" si="6"/>
        <v>0</v>
      </c>
      <c r="AL37" s="108">
        <f t="shared" si="7"/>
        <v>0</v>
      </c>
      <c r="AN37" s="392"/>
      <c r="AO37" s="393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1</v>
      </c>
      <c r="H38" s="373" t="s">
        <v>9</v>
      </c>
      <c r="I38" s="441">
        <v>2</v>
      </c>
      <c r="J38" s="375">
        <f t="shared" si="0"/>
        <v>2</v>
      </c>
      <c r="K38" s="363">
        <f t="shared" si="1"/>
        <v>0</v>
      </c>
      <c r="L38" s="363">
        <f t="shared" si="2"/>
        <v>3</v>
      </c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392"/>
      <c r="V38" s="392"/>
      <c r="W38" s="392"/>
      <c r="Y38" s="109">
        <f t="shared" si="8"/>
        <v>5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5</v>
      </c>
      <c r="AG38" s="108">
        <f t="shared" si="3"/>
        <v>0</v>
      </c>
      <c r="AH38" s="108">
        <f t="shared" si="4"/>
        <v>0</v>
      </c>
      <c r="AI38" s="108">
        <f t="shared" si="10"/>
        <v>0</v>
      </c>
      <c r="AJ38" s="108">
        <f t="shared" si="5"/>
        <v>0</v>
      </c>
      <c r="AK38" s="108">
        <f t="shared" si="6"/>
        <v>5</v>
      </c>
      <c r="AL38" s="108">
        <f t="shared" si="7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0</v>
      </c>
      <c r="H39" s="379" t="s">
        <v>9</v>
      </c>
      <c r="I39" s="442">
        <v>1</v>
      </c>
      <c r="J39" s="381">
        <f t="shared" si="0"/>
        <v>2</v>
      </c>
      <c r="K39" s="363">
        <f t="shared" si="1"/>
        <v>0</v>
      </c>
      <c r="L39" s="363">
        <f t="shared" si="2"/>
        <v>3</v>
      </c>
      <c r="O39" s="394" t="s">
        <v>29</v>
      </c>
      <c r="P39" s="395">
        <f>SUMIF($D$8:$D$55,$O39,$G$8:$G$55)+SUMIF($F$8:$F$55,$O39,$I$8:$I$55)</f>
        <v>8</v>
      </c>
      <c r="Q39" s="395">
        <f>SUMIF($D$8:$D$55,$O39,$I$8:$I$55)+SUMIF($F$8:$F$55,$O39,$G$8:$G$55)</f>
        <v>2</v>
      </c>
      <c r="R39" s="396">
        <f>P39-Q39</f>
        <v>6</v>
      </c>
      <c r="S39" s="397">
        <f>SUMIF($D$8:$D$55,$O39,$K$8:$K$55)+SUMIF($F$8:$F$55,$O39,$L$8:$L$55)</f>
        <v>9</v>
      </c>
      <c r="T39" s="444" t="s">
        <v>72</v>
      </c>
      <c r="U39" s="392"/>
      <c r="V39" s="392" t="str">
        <f>O39</f>
        <v>Argentinië</v>
      </c>
      <c r="W39" s="392" t="s">
        <v>72</v>
      </c>
      <c r="Y39" s="109">
        <f t="shared" si="8"/>
        <v>0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0</v>
      </c>
      <c r="AG39" s="108">
        <f t="shared" si="3"/>
        <v>0</v>
      </c>
      <c r="AH39" s="108">
        <f t="shared" si="4"/>
        <v>0</v>
      </c>
      <c r="AI39" s="108">
        <f t="shared" si="10"/>
        <v>0</v>
      </c>
      <c r="AJ39" s="108">
        <f t="shared" si="5"/>
        <v>0</v>
      </c>
      <c r="AK39" s="108">
        <f t="shared" si="6"/>
        <v>0</v>
      </c>
      <c r="AL39" s="108">
        <f t="shared" si="7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0</v>
      </c>
      <c r="H40" s="367" t="s">
        <v>9</v>
      </c>
      <c r="I40" s="440">
        <v>1</v>
      </c>
      <c r="J40" s="369">
        <f t="shared" si="0"/>
        <v>2</v>
      </c>
      <c r="K40" s="363">
        <f t="shared" si="1"/>
        <v>0</v>
      </c>
      <c r="L40" s="363">
        <f t="shared" si="2"/>
        <v>3</v>
      </c>
      <c r="O40" s="398" t="s">
        <v>30</v>
      </c>
      <c r="P40" s="399">
        <f>SUMIF($D$8:$D$55,$O40,$G$8:$G$55)+SUMIF($F$8:$F$55,$O40,$I$8:$I$55)</f>
        <v>2</v>
      </c>
      <c r="Q40" s="399">
        <f>SUMIF($D$8:$D$55,$O40,$I$8:$I$55)+SUMIF($F$8:$F$55,$O40,$G$8:$G$55)</f>
        <v>5</v>
      </c>
      <c r="R40" s="399">
        <f>P40-Q40</f>
        <v>-3</v>
      </c>
      <c r="S40" s="400">
        <f>SUMIF($D$8:$D$55,$O40,$K$8:$K$55)+SUMIF($F$8:$F$55,$O40,$L$8:$L$55)</f>
        <v>2</v>
      </c>
      <c r="T40" s="445" t="s">
        <v>74</v>
      </c>
      <c r="U40" s="392"/>
      <c r="V40" s="392" t="str">
        <f>O40</f>
        <v>Bosnië H.</v>
      </c>
      <c r="W40" s="392" t="s">
        <v>73</v>
      </c>
      <c r="Y40" s="109">
        <f t="shared" si="8"/>
        <v>6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6</v>
      </c>
      <c r="AG40" s="108">
        <f t="shared" si="3"/>
        <v>1</v>
      </c>
      <c r="AH40" s="108">
        <f t="shared" si="4"/>
        <v>0</v>
      </c>
      <c r="AI40" s="108">
        <f t="shared" si="10"/>
        <v>0</v>
      </c>
      <c r="AJ40" s="108">
        <f t="shared" si="5"/>
        <v>0</v>
      </c>
      <c r="AK40" s="108">
        <f t="shared" si="6"/>
        <v>5</v>
      </c>
      <c r="AL40" s="108">
        <f t="shared" si="7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3</v>
      </c>
      <c r="H41" s="373" t="s">
        <v>9</v>
      </c>
      <c r="I41" s="441">
        <v>0</v>
      </c>
      <c r="J41" s="375">
        <f t="shared" si="0"/>
        <v>1</v>
      </c>
      <c r="K41" s="363">
        <f t="shared" si="1"/>
        <v>3</v>
      </c>
      <c r="L41" s="363">
        <f t="shared" si="2"/>
        <v>0</v>
      </c>
      <c r="O41" s="398" t="s">
        <v>33</v>
      </c>
      <c r="P41" s="399">
        <f>SUMIF($D$8:$D$55,$O41,$G$8:$G$55)+SUMIF($F$8:$F$55,$O41,$I$8:$I$55)</f>
        <v>3</v>
      </c>
      <c r="Q41" s="399">
        <f>SUMIF($D$8:$D$55,$O41,$I$8:$I$55)+SUMIF($F$8:$F$55,$O41,$G$8:$G$55)</f>
        <v>7</v>
      </c>
      <c r="R41" s="399">
        <f>P41-Q41</f>
        <v>-4</v>
      </c>
      <c r="S41" s="400">
        <f>SUMIF($D$8:$D$55,$O41,$K$8:$K$55)+SUMIF($F$8:$F$55,$O41,$L$8:$L$55)</f>
        <v>1</v>
      </c>
      <c r="T41" s="445" t="s">
        <v>72</v>
      </c>
      <c r="U41" s="392"/>
      <c r="V41" s="392" t="str">
        <f>O41</f>
        <v>Iran</v>
      </c>
      <c r="W41" s="392" t="s">
        <v>74</v>
      </c>
      <c r="Y41" s="109">
        <f t="shared" si="8"/>
        <v>6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6</v>
      </c>
      <c r="AG41" s="108">
        <f t="shared" si="3"/>
        <v>0</v>
      </c>
      <c r="AH41" s="108">
        <f t="shared" si="4"/>
        <v>1</v>
      </c>
      <c r="AI41" s="108">
        <f t="shared" si="10"/>
        <v>0</v>
      </c>
      <c r="AJ41" s="108">
        <f t="shared" si="5"/>
        <v>5</v>
      </c>
      <c r="AK41" s="108">
        <f t="shared" si="6"/>
        <v>0</v>
      </c>
      <c r="AL41" s="108">
        <f t="shared" si="7"/>
        <v>0</v>
      </c>
      <c r="AM41" s="120">
        <f>AO41</f>
        <v>0</v>
      </c>
      <c r="AN41" s="117" t="s">
        <v>33</v>
      </c>
      <c r="AO41" s="115">
        <f>IF(Uitslag!T41="",0,IF(T41=Uitslag!T41,10,0))</f>
        <v>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1</v>
      </c>
      <c r="H42" s="373" t="s">
        <v>9</v>
      </c>
      <c r="I42" s="441">
        <v>2</v>
      </c>
      <c r="J42" s="375">
        <f t="shared" si="0"/>
        <v>2</v>
      </c>
      <c r="K42" s="363">
        <f t="shared" si="1"/>
        <v>0</v>
      </c>
      <c r="L42" s="363">
        <f t="shared" si="2"/>
        <v>3</v>
      </c>
      <c r="O42" s="401" t="s">
        <v>34</v>
      </c>
      <c r="P42" s="402">
        <f>SUMIF($D$8:$D$55,$O42,$G$8:$G$55)+SUMIF($F$8:$F$55,$O42,$I$8:$I$55)</f>
        <v>5</v>
      </c>
      <c r="Q42" s="402">
        <f>SUMIF($D$8:$D$55,$O42,$I$8:$I$55)+SUMIF($F$8:$F$55,$O42,$G$8:$G$55)</f>
        <v>4</v>
      </c>
      <c r="R42" s="402">
        <f>P42-Q42</f>
        <v>1</v>
      </c>
      <c r="S42" s="403">
        <f>SUMIF($D$8:$D$55,$O42,$K$8:$K$55)+SUMIF($F$8:$F$55,$O42,$L$8:$L$55)</f>
        <v>4</v>
      </c>
      <c r="T42" s="446" t="s">
        <v>73</v>
      </c>
      <c r="U42" s="392"/>
      <c r="V42" s="392" t="str">
        <f>O42</f>
        <v>Nigeria</v>
      </c>
      <c r="W42" s="392" t="s">
        <v>75</v>
      </c>
      <c r="Y42" s="109">
        <f t="shared" si="8"/>
        <v>6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6</v>
      </c>
      <c r="AG42" s="108">
        <f t="shared" si="3"/>
        <v>1</v>
      </c>
      <c r="AH42" s="108">
        <f t="shared" si="4"/>
        <v>0</v>
      </c>
      <c r="AI42" s="108">
        <f t="shared" si="10"/>
        <v>0</v>
      </c>
      <c r="AJ42" s="108">
        <f t="shared" si="5"/>
        <v>0</v>
      </c>
      <c r="AK42" s="108">
        <f t="shared" si="6"/>
        <v>5</v>
      </c>
      <c r="AL42" s="108">
        <f t="shared" si="7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2</v>
      </c>
      <c r="H43" s="379" t="s">
        <v>9</v>
      </c>
      <c r="I43" s="442">
        <v>1</v>
      </c>
      <c r="J43" s="381">
        <f t="shared" si="0"/>
        <v>1</v>
      </c>
      <c r="K43" s="363">
        <f t="shared" si="1"/>
        <v>3</v>
      </c>
      <c r="L43" s="363">
        <f t="shared" si="2"/>
        <v>0</v>
      </c>
      <c r="O43" s="392"/>
      <c r="P43" s="393"/>
      <c r="Q43" s="393"/>
      <c r="R43" s="393"/>
      <c r="S43" s="393"/>
      <c r="T43" s="393"/>
      <c r="U43" s="392"/>
      <c r="V43" s="392"/>
      <c r="W43" s="392"/>
      <c r="Y43" s="109">
        <f t="shared" si="8"/>
        <v>0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0</v>
      </c>
      <c r="AG43" s="108">
        <f t="shared" si="3"/>
        <v>0</v>
      </c>
      <c r="AH43" s="108">
        <f t="shared" si="4"/>
        <v>0</v>
      </c>
      <c r="AI43" s="108">
        <f t="shared" si="10"/>
        <v>0</v>
      </c>
      <c r="AJ43" s="108">
        <f t="shared" si="5"/>
        <v>0</v>
      </c>
      <c r="AK43" s="108">
        <f t="shared" si="6"/>
        <v>0</v>
      </c>
      <c r="AL43" s="108">
        <f t="shared" si="7"/>
        <v>0</v>
      </c>
      <c r="AN43" s="392"/>
      <c r="AO43" s="393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1</v>
      </c>
      <c r="H44" s="367" t="s">
        <v>9</v>
      </c>
      <c r="I44" s="440">
        <v>1</v>
      </c>
      <c r="J44" s="369">
        <f t="shared" si="0"/>
        <v>3</v>
      </c>
      <c r="K44" s="363">
        <f t="shared" si="1"/>
        <v>1</v>
      </c>
      <c r="L44" s="363">
        <f t="shared" si="2"/>
        <v>1</v>
      </c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392"/>
      <c r="V44" s="392"/>
      <c r="W44" s="392"/>
      <c r="Y44" s="109">
        <f t="shared" si="8"/>
        <v>1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1</v>
      </c>
      <c r="AG44" s="108">
        <f t="shared" si="3"/>
        <v>0</v>
      </c>
      <c r="AH44" s="108">
        <f t="shared" si="4"/>
        <v>1</v>
      </c>
      <c r="AI44" s="108">
        <f t="shared" si="10"/>
        <v>0</v>
      </c>
      <c r="AJ44" s="108">
        <f t="shared" si="5"/>
        <v>0</v>
      </c>
      <c r="AK44" s="108">
        <f t="shared" si="6"/>
        <v>0</v>
      </c>
      <c r="AL44" s="108">
        <f t="shared" si="7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1</v>
      </c>
      <c r="H45" s="373" t="s">
        <v>9</v>
      </c>
      <c r="I45" s="441">
        <v>4</v>
      </c>
      <c r="J45" s="375">
        <f t="shared" si="0"/>
        <v>2</v>
      </c>
      <c r="K45" s="363">
        <f t="shared" si="1"/>
        <v>0</v>
      </c>
      <c r="L45" s="363">
        <f t="shared" si="2"/>
        <v>3</v>
      </c>
      <c r="O45" s="394" t="s">
        <v>31</v>
      </c>
      <c r="P45" s="395">
        <f>SUMIF($D$8:$D$55,$O45,$G$8:$G$55)+SUMIF($F$8:$F$55,$O45,$I$8:$I$55)</f>
        <v>7</v>
      </c>
      <c r="Q45" s="395">
        <f>SUMIF($D$8:$D$55,$O45,$I$8:$I$55)+SUMIF($F$8:$F$55,$O45,$G$8:$G$55)</f>
        <v>5</v>
      </c>
      <c r="R45" s="396">
        <f>P45-Q45</f>
        <v>2</v>
      </c>
      <c r="S45" s="397">
        <f>SUMIF($D$8:$D$55,$O45,$K$8:$K$55)+SUMIF($F$8:$F$55,$O45,$L$8:$L$55)</f>
        <v>5</v>
      </c>
      <c r="T45" s="444" t="s">
        <v>78</v>
      </c>
      <c r="U45" s="392"/>
      <c r="V45" s="392" t="str">
        <f>O45</f>
        <v>Duitsland</v>
      </c>
      <c r="W45" s="392" t="s">
        <v>77</v>
      </c>
      <c r="Y45" s="109">
        <f t="shared" si="8"/>
        <v>0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0</v>
      </c>
      <c r="AG45" s="108">
        <f t="shared" si="3"/>
        <v>0</v>
      </c>
      <c r="AH45" s="108">
        <f t="shared" si="4"/>
        <v>0</v>
      </c>
      <c r="AI45" s="108">
        <f t="shared" si="10"/>
        <v>0</v>
      </c>
      <c r="AJ45" s="108">
        <f t="shared" si="5"/>
        <v>0</v>
      </c>
      <c r="AK45" s="108">
        <f t="shared" si="6"/>
        <v>0</v>
      </c>
      <c r="AL45" s="108">
        <f t="shared" si="7"/>
        <v>0</v>
      </c>
      <c r="AM45" s="120">
        <f>AO45</f>
        <v>0</v>
      </c>
      <c r="AN45" s="116" t="s">
        <v>31</v>
      </c>
      <c r="AO45" s="115">
        <f>IF(Uitslag!T45="",0,IF(T45=Uitslag!T45,10,0))</f>
        <v>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1</v>
      </c>
      <c r="H46" s="373" t="s">
        <v>9</v>
      </c>
      <c r="I46" s="441">
        <v>2</v>
      </c>
      <c r="J46" s="375">
        <f t="shared" si="0"/>
        <v>2</v>
      </c>
      <c r="K46" s="363">
        <f t="shared" si="1"/>
        <v>0</v>
      </c>
      <c r="L46" s="363">
        <f t="shared" si="2"/>
        <v>3</v>
      </c>
      <c r="O46" s="398" t="s">
        <v>32</v>
      </c>
      <c r="P46" s="399">
        <f>SUMIF($D$8:$D$55,$O46,$G$8:$G$55)+SUMIF($F$8:$F$55,$O46,$I$8:$I$55)</f>
        <v>5</v>
      </c>
      <c r="Q46" s="399">
        <f>SUMIF($D$8:$D$55,$O46,$I$8:$I$55)+SUMIF($F$8:$F$55,$O46,$G$8:$G$55)</f>
        <v>2</v>
      </c>
      <c r="R46" s="399">
        <f>P46-Q46</f>
        <v>3</v>
      </c>
      <c r="S46" s="400">
        <f>SUMIF($D$8:$D$55,$O46,$K$8:$K$55)+SUMIF($F$8:$F$55,$O46,$L$8:$L$55)</f>
        <v>7</v>
      </c>
      <c r="T46" s="445" t="s">
        <v>77</v>
      </c>
      <c r="U46" s="392"/>
      <c r="V46" s="392" t="str">
        <f>O46</f>
        <v>Portugal</v>
      </c>
      <c r="W46" s="392" t="s">
        <v>78</v>
      </c>
      <c r="Y46" s="109">
        <f t="shared" si="8"/>
        <v>6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6</v>
      </c>
      <c r="AG46" s="108">
        <f t="shared" si="3"/>
        <v>1</v>
      </c>
      <c r="AH46" s="108">
        <f t="shared" si="4"/>
        <v>0</v>
      </c>
      <c r="AI46" s="108">
        <f t="shared" si="10"/>
        <v>0</v>
      </c>
      <c r="AJ46" s="108">
        <f t="shared" si="5"/>
        <v>0</v>
      </c>
      <c r="AK46" s="108">
        <f t="shared" si="6"/>
        <v>5</v>
      </c>
      <c r="AL46" s="108">
        <f t="shared" si="7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0</v>
      </c>
      <c r="H47" s="379" t="s">
        <v>9</v>
      </c>
      <c r="I47" s="442">
        <v>0</v>
      </c>
      <c r="J47" s="381">
        <f t="shared" si="0"/>
        <v>3</v>
      </c>
      <c r="K47" s="363">
        <f t="shared" si="1"/>
        <v>1</v>
      </c>
      <c r="L47" s="363">
        <f t="shared" si="2"/>
        <v>1</v>
      </c>
      <c r="O47" s="398" t="s">
        <v>35</v>
      </c>
      <c r="P47" s="399">
        <f>SUMIF($D$8:$D$55,$O47,$G$8:$G$55)+SUMIF($F$8:$F$55,$O47,$I$8:$I$55)</f>
        <v>3</v>
      </c>
      <c r="Q47" s="399">
        <f>SUMIF($D$8:$D$55,$O47,$I$8:$I$55)+SUMIF($F$8:$F$55,$O47,$G$8:$G$55)</f>
        <v>7</v>
      </c>
      <c r="R47" s="399">
        <f>P47-Q47</f>
        <v>-4</v>
      </c>
      <c r="S47" s="400">
        <f>SUMIF($D$8:$D$55,$O47,$K$8:$K$55)+SUMIF($F$8:$F$55,$O47,$L$8:$L$55)</f>
        <v>1</v>
      </c>
      <c r="T47" s="445" t="s">
        <v>80</v>
      </c>
      <c r="U47" s="392"/>
      <c r="V47" s="392" t="str">
        <f>O47</f>
        <v>Ghana</v>
      </c>
      <c r="W47" s="392" t="s">
        <v>79</v>
      </c>
      <c r="Y47" s="109">
        <f t="shared" si="8"/>
        <v>0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0</v>
      </c>
      <c r="AG47" s="108">
        <f t="shared" si="3"/>
        <v>0</v>
      </c>
      <c r="AH47" s="108">
        <f t="shared" si="4"/>
        <v>0</v>
      </c>
      <c r="AI47" s="108">
        <f t="shared" si="10"/>
        <v>0</v>
      </c>
      <c r="AJ47" s="108">
        <f t="shared" si="5"/>
        <v>0</v>
      </c>
      <c r="AK47" s="108">
        <f t="shared" si="6"/>
        <v>0</v>
      </c>
      <c r="AL47" s="108">
        <f t="shared" si="7"/>
        <v>0</v>
      </c>
      <c r="AM47" s="120">
        <f>AO47</f>
        <v>10</v>
      </c>
      <c r="AN47" s="117" t="s">
        <v>35</v>
      </c>
      <c r="AO47" s="115">
        <f>IF(Uitslag!T47="",0,IF(T47=Uitslag!T47,10,0))</f>
        <v>10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1</v>
      </c>
      <c r="H48" s="367" t="s">
        <v>9</v>
      </c>
      <c r="I48" s="440">
        <v>2</v>
      </c>
      <c r="J48" s="369">
        <f t="shared" si="0"/>
        <v>2</v>
      </c>
      <c r="K48" s="363">
        <f t="shared" si="1"/>
        <v>0</v>
      </c>
      <c r="L48" s="363">
        <f t="shared" si="2"/>
        <v>3</v>
      </c>
      <c r="O48" s="401" t="s">
        <v>36</v>
      </c>
      <c r="P48" s="402">
        <f>SUMIF($D$8:$D$55,$O48,$G$8:$G$55)+SUMIF($F$8:$F$55,$O48,$I$8:$I$55)</f>
        <v>4</v>
      </c>
      <c r="Q48" s="402">
        <f>SUMIF($D$8:$D$55,$O48,$I$8:$I$55)+SUMIF($F$8:$F$55,$O48,$G$8:$G$55)</f>
        <v>5</v>
      </c>
      <c r="R48" s="402">
        <f>P48-Q48</f>
        <v>-1</v>
      </c>
      <c r="S48" s="403">
        <f>SUMIF($D$8:$D$55,$O48,$K$8:$K$55)+SUMIF($F$8:$F$55,$O48,$L$8:$L$55)</f>
        <v>2</v>
      </c>
      <c r="T48" s="446" t="s">
        <v>79</v>
      </c>
      <c r="U48" s="392"/>
      <c r="V48" s="392" t="str">
        <f>O48</f>
        <v>Verenigde Staten</v>
      </c>
      <c r="W48" s="392" t="s">
        <v>80</v>
      </c>
      <c r="Y48" s="109">
        <f t="shared" si="8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5</v>
      </c>
      <c r="AG48" s="108">
        <f t="shared" si="3"/>
        <v>0</v>
      </c>
      <c r="AH48" s="108">
        <f t="shared" si="4"/>
        <v>0</v>
      </c>
      <c r="AI48" s="108">
        <f t="shared" si="10"/>
        <v>0</v>
      </c>
      <c r="AJ48" s="108">
        <f t="shared" si="5"/>
        <v>0</v>
      </c>
      <c r="AK48" s="108">
        <f t="shared" si="6"/>
        <v>5</v>
      </c>
      <c r="AL48" s="108">
        <f t="shared" si="7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1</v>
      </c>
      <c r="H49" s="373" t="s">
        <v>9</v>
      </c>
      <c r="I49" s="441">
        <v>1</v>
      </c>
      <c r="J49" s="375">
        <f t="shared" si="0"/>
        <v>3</v>
      </c>
      <c r="K49" s="363">
        <f t="shared" si="1"/>
        <v>1</v>
      </c>
      <c r="L49" s="363">
        <f t="shared" si="2"/>
        <v>1</v>
      </c>
      <c r="O49" s="392"/>
      <c r="P49" s="393"/>
      <c r="Q49" s="393"/>
      <c r="R49" s="393"/>
      <c r="S49" s="393"/>
      <c r="T49" s="393"/>
      <c r="U49" s="392"/>
      <c r="V49" s="392"/>
      <c r="W49" s="392"/>
      <c r="Y49" s="109">
        <f t="shared" si="8"/>
        <v>1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1</v>
      </c>
      <c r="AG49" s="108">
        <f t="shared" si="3"/>
        <v>0</v>
      </c>
      <c r="AH49" s="108">
        <f t="shared" si="4"/>
        <v>1</v>
      </c>
      <c r="AI49" s="108">
        <f t="shared" si="10"/>
        <v>0</v>
      </c>
      <c r="AJ49" s="108">
        <f t="shared" si="5"/>
        <v>0</v>
      </c>
      <c r="AK49" s="108">
        <f t="shared" si="6"/>
        <v>0</v>
      </c>
      <c r="AL49" s="108">
        <f t="shared" si="7"/>
        <v>0</v>
      </c>
      <c r="AN49" s="392"/>
      <c r="AO49" s="393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0</v>
      </c>
      <c r="H50" s="373" t="s">
        <v>9</v>
      </c>
      <c r="I50" s="441">
        <v>2</v>
      </c>
      <c r="J50" s="375">
        <f t="shared" si="0"/>
        <v>2</v>
      </c>
      <c r="K50" s="363">
        <f t="shared" si="1"/>
        <v>0</v>
      </c>
      <c r="L50" s="363">
        <f t="shared" si="2"/>
        <v>3</v>
      </c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392"/>
      <c r="V50" s="392"/>
      <c r="W50" s="392"/>
      <c r="Y50" s="109">
        <f t="shared" si="8"/>
        <v>6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6</v>
      </c>
      <c r="AG50" s="108">
        <f t="shared" si="3"/>
        <v>1</v>
      </c>
      <c r="AH50" s="108">
        <f t="shared" si="4"/>
        <v>0</v>
      </c>
      <c r="AI50" s="108">
        <f t="shared" si="10"/>
        <v>0</v>
      </c>
      <c r="AJ50" s="108">
        <f t="shared" si="5"/>
        <v>0</v>
      </c>
      <c r="AK50" s="108">
        <f t="shared" si="6"/>
        <v>5</v>
      </c>
      <c r="AL50" s="108">
        <f t="shared" si="7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1</v>
      </c>
      <c r="H51" s="379" t="s">
        <v>9</v>
      </c>
      <c r="I51" s="442">
        <v>3</v>
      </c>
      <c r="J51" s="381">
        <f t="shared" si="0"/>
        <v>2</v>
      </c>
      <c r="K51" s="363">
        <f t="shared" si="1"/>
        <v>0</v>
      </c>
      <c r="L51" s="363">
        <f t="shared" si="2"/>
        <v>3</v>
      </c>
      <c r="O51" s="394" t="s">
        <v>37</v>
      </c>
      <c r="P51" s="395">
        <f>SUMIF($D$8:$D$55,$O51,$G$8:$G$55)+SUMIF($F$8:$F$55,$O51,$I$8:$I$55)</f>
        <v>5</v>
      </c>
      <c r="Q51" s="395">
        <f>SUMIF($D$8:$D$55,$O51,$I$8:$I$55)+SUMIF($F$8:$F$55,$O51,$G$8:$G$55)</f>
        <v>2</v>
      </c>
      <c r="R51" s="396">
        <f>P51-Q51</f>
        <v>3</v>
      </c>
      <c r="S51" s="397">
        <f>SUMIF($D$8:$D$55,$O51,$K$8:$K$55)+SUMIF($F$8:$F$55,$O51,$L$8:$L$55)</f>
        <v>7</v>
      </c>
      <c r="T51" s="444" t="s">
        <v>82</v>
      </c>
      <c r="U51" s="392"/>
      <c r="V51" s="392" t="str">
        <f>O51</f>
        <v>België</v>
      </c>
      <c r="W51" s="392" t="s">
        <v>82</v>
      </c>
      <c r="Y51" s="109">
        <f t="shared" si="8"/>
        <v>0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0</v>
      </c>
      <c r="AG51" s="108">
        <f t="shared" si="3"/>
        <v>0</v>
      </c>
      <c r="AH51" s="108">
        <f t="shared" si="4"/>
        <v>0</v>
      </c>
      <c r="AI51" s="108">
        <f t="shared" si="10"/>
        <v>0</v>
      </c>
      <c r="AJ51" s="108">
        <f t="shared" si="5"/>
        <v>0</v>
      </c>
      <c r="AK51" s="108">
        <f t="shared" si="6"/>
        <v>0</v>
      </c>
      <c r="AL51" s="108">
        <f t="shared" si="7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2</v>
      </c>
      <c r="H52" s="373" t="s">
        <v>9</v>
      </c>
      <c r="I52" s="441">
        <v>2</v>
      </c>
      <c r="J52" s="369">
        <f t="shared" si="0"/>
        <v>3</v>
      </c>
      <c r="K52" s="363">
        <f t="shared" si="1"/>
        <v>1</v>
      </c>
      <c r="L52" s="363">
        <f t="shared" si="2"/>
        <v>1</v>
      </c>
      <c r="O52" s="398" t="s">
        <v>38</v>
      </c>
      <c r="P52" s="399">
        <f>SUMIF($D$8:$D$55,$O52,$G$8:$G$55)+SUMIF($F$8:$F$55,$O52,$I$8:$I$55)</f>
        <v>6</v>
      </c>
      <c r="Q52" s="399">
        <f>SUMIF($D$8:$D$55,$O52,$I$8:$I$55)+SUMIF($F$8:$F$55,$O52,$G$8:$G$55)</f>
        <v>5</v>
      </c>
      <c r="R52" s="399">
        <f>P52-Q52</f>
        <v>1</v>
      </c>
      <c r="S52" s="400">
        <f>SUMIF($D$8:$D$55,$O52,$K$8:$K$55)+SUMIF($F$8:$F$55,$O52,$L$8:$L$55)</f>
        <v>6</v>
      </c>
      <c r="T52" s="445" t="s">
        <v>83</v>
      </c>
      <c r="U52" s="392"/>
      <c r="V52" s="392" t="str">
        <f>O52</f>
        <v>Algerije</v>
      </c>
      <c r="W52" s="392" t="s">
        <v>83</v>
      </c>
      <c r="Y52" s="109">
        <f t="shared" si="8"/>
        <v>0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0</v>
      </c>
      <c r="AG52" s="108">
        <f t="shared" si="3"/>
        <v>0</v>
      </c>
      <c r="AH52" s="108">
        <f t="shared" si="4"/>
        <v>0</v>
      </c>
      <c r="AI52" s="108">
        <f t="shared" si="10"/>
        <v>0</v>
      </c>
      <c r="AJ52" s="108">
        <f t="shared" si="5"/>
        <v>0</v>
      </c>
      <c r="AK52" s="108">
        <f t="shared" si="6"/>
        <v>0</v>
      </c>
      <c r="AL52" s="108">
        <f t="shared" si="7"/>
        <v>0</v>
      </c>
      <c r="AM52" s="120">
        <f>AO52</f>
        <v>10</v>
      </c>
      <c r="AN52" s="117" t="s">
        <v>38</v>
      </c>
      <c r="AO52" s="115">
        <f>IF(Uitslag!T52="",0,IF(T52=Uitslag!T52,10,0))</f>
        <v>10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2</v>
      </c>
      <c r="H53" s="373" t="s">
        <v>9</v>
      </c>
      <c r="I53" s="441">
        <v>0</v>
      </c>
      <c r="J53" s="375">
        <f t="shared" si="0"/>
        <v>1</v>
      </c>
      <c r="K53" s="363">
        <f t="shared" si="1"/>
        <v>3</v>
      </c>
      <c r="L53" s="363">
        <f t="shared" si="2"/>
        <v>0</v>
      </c>
      <c r="O53" s="398" t="s">
        <v>39</v>
      </c>
      <c r="P53" s="399">
        <f>SUMIF($D$8:$D$55,$O53,$G$8:$G$55)+SUMIF($F$8:$F$55,$O53,$I$8:$I$55)</f>
        <v>4</v>
      </c>
      <c r="Q53" s="399">
        <f>SUMIF($D$8:$D$55,$O53,$I$8:$I$55)+SUMIF($F$8:$F$55,$O53,$G$8:$G$55)</f>
        <v>5</v>
      </c>
      <c r="R53" s="399">
        <f>P53-Q53</f>
        <v>-1</v>
      </c>
      <c r="S53" s="400">
        <f>SUMIF($D$8:$D$55,$O53,$K$8:$K$55)+SUMIF($F$8:$F$55,$O53,$L$8:$L$55)</f>
        <v>3</v>
      </c>
      <c r="T53" s="445" t="s">
        <v>84</v>
      </c>
      <c r="U53" s="392"/>
      <c r="V53" s="392" t="str">
        <f>O53</f>
        <v>Rusland</v>
      </c>
      <c r="W53" s="392" t="s">
        <v>84</v>
      </c>
      <c r="Y53" s="109">
        <f t="shared" si="8"/>
        <v>6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6</v>
      </c>
      <c r="AG53" s="108">
        <f t="shared" si="3"/>
        <v>1</v>
      </c>
      <c r="AH53" s="108">
        <f t="shared" si="4"/>
        <v>0</v>
      </c>
      <c r="AI53" s="108">
        <f t="shared" si="10"/>
        <v>0</v>
      </c>
      <c r="AJ53" s="108">
        <f t="shared" si="5"/>
        <v>5</v>
      </c>
      <c r="AK53" s="108">
        <f t="shared" si="6"/>
        <v>0</v>
      </c>
      <c r="AL53" s="108">
        <f t="shared" si="7"/>
        <v>0</v>
      </c>
      <c r="AM53" s="120">
        <f>AO53</f>
        <v>10</v>
      </c>
      <c r="AN53" s="117" t="s">
        <v>39</v>
      </c>
      <c r="AO53" s="115">
        <f>IF(Uitslag!T53="",0,IF(T53=Uitslag!T53,10,0))</f>
        <v>10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1</v>
      </c>
      <c r="H54" s="373" t="s">
        <v>9</v>
      </c>
      <c r="I54" s="441">
        <v>1</v>
      </c>
      <c r="J54" s="375">
        <f t="shared" si="0"/>
        <v>3</v>
      </c>
      <c r="K54" s="363">
        <f t="shared" si="1"/>
        <v>1</v>
      </c>
      <c r="L54" s="363">
        <f t="shared" si="2"/>
        <v>1</v>
      </c>
      <c r="O54" s="401" t="s">
        <v>40</v>
      </c>
      <c r="P54" s="402">
        <f>SUMIF($D$8:$D$55,$O54,$G$8:$G$55)+SUMIF($F$8:$F$55,$O54,$I$8:$I$55)</f>
        <v>3</v>
      </c>
      <c r="Q54" s="402">
        <f>SUMIF($D$8:$D$55,$O54,$I$8:$I$55)+SUMIF($F$8:$F$55,$O54,$G$8:$G$55)</f>
        <v>6</v>
      </c>
      <c r="R54" s="402">
        <f>P54-Q54</f>
        <v>-3</v>
      </c>
      <c r="S54" s="403">
        <f>SUMIF($D$8:$D$55,$O54,$K$8:$K$55)+SUMIF($F$8:$F$55,$O54,$L$8:$L$55)</f>
        <v>1</v>
      </c>
      <c r="T54" s="446" t="s">
        <v>85</v>
      </c>
      <c r="U54" s="392"/>
      <c r="V54" s="392" t="str">
        <f>O54</f>
        <v>Zuid Korea</v>
      </c>
      <c r="W54" s="392" t="s">
        <v>85</v>
      </c>
      <c r="Y54" s="109">
        <f t="shared" si="8"/>
        <v>1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1</v>
      </c>
      <c r="AG54" s="108">
        <f t="shared" si="3"/>
        <v>0</v>
      </c>
      <c r="AH54" s="108">
        <f t="shared" si="4"/>
        <v>1</v>
      </c>
      <c r="AI54" s="108">
        <f t="shared" si="10"/>
        <v>0</v>
      </c>
      <c r="AJ54" s="108">
        <f t="shared" si="5"/>
        <v>0</v>
      </c>
      <c r="AK54" s="108">
        <f t="shared" si="6"/>
        <v>0</v>
      </c>
      <c r="AL54" s="108">
        <f t="shared" si="7"/>
        <v>0</v>
      </c>
      <c r="AM54" s="120">
        <f>AO54</f>
        <v>10</v>
      </c>
      <c r="AN54" s="118" t="s">
        <v>40</v>
      </c>
      <c r="AO54" s="115">
        <f>IF(Uitslag!T54="",0,IF(T54=Uitslag!T54,10,0))</f>
        <v>10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3</v>
      </c>
      <c r="H55" s="388" t="s">
        <v>9</v>
      </c>
      <c r="I55" s="443">
        <v>1</v>
      </c>
      <c r="J55" s="390">
        <f t="shared" si="0"/>
        <v>1</v>
      </c>
      <c r="K55" s="363">
        <f t="shared" si="1"/>
        <v>3</v>
      </c>
      <c r="L55" s="363">
        <f t="shared" si="2"/>
        <v>0</v>
      </c>
      <c r="O55" s="392"/>
      <c r="P55" s="393"/>
      <c r="Q55" s="393"/>
      <c r="R55" s="393"/>
      <c r="S55" s="393"/>
      <c r="T55" s="393"/>
      <c r="U55" s="392"/>
      <c r="V55" s="392"/>
      <c r="W55" s="392"/>
      <c r="Y55" s="109">
        <f t="shared" si="8"/>
        <v>1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</v>
      </c>
      <c r="AG55" s="108">
        <f t="shared" si="3"/>
        <v>0</v>
      </c>
      <c r="AH55" s="108">
        <f t="shared" si="4"/>
        <v>1</v>
      </c>
      <c r="AI55" s="108">
        <f t="shared" si="10"/>
        <v>0</v>
      </c>
      <c r="AJ55" s="108">
        <f t="shared" si="5"/>
        <v>0</v>
      </c>
      <c r="AK55" s="108">
        <f t="shared" si="6"/>
        <v>0</v>
      </c>
      <c r="AL55" s="108">
        <f t="shared" si="7"/>
        <v>0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79"/>
      <c r="K57" s="353"/>
      <c r="L57" s="353"/>
      <c r="M57" s="353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77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O58" s="458">
        <v>1</v>
      </c>
      <c r="P58" s="877" t="s">
        <v>224</v>
      </c>
      <c r="Q58" s="877"/>
      <c r="R58" s="877"/>
      <c r="S58" s="877"/>
      <c r="T58" s="878"/>
      <c r="V58" s="352" t="s">
        <v>132</v>
      </c>
      <c r="W58" s="352" t="s">
        <v>124</v>
      </c>
      <c r="X58" s="352" t="str">
        <f t="shared" ref="X58:X98" si="11">CONCATENATE(W58," ",V58)</f>
        <v>Jeroen Zoet (k)</v>
      </c>
      <c r="Y58" s="113" t="s">
        <v>91</v>
      </c>
      <c r="Z58" s="352" t="str">
        <f>IF(K58=""," ",VLOOKUP(K58,$T$9:$V$54,3,FALSE))</f>
        <v xml:space="preserve"> </v>
      </c>
      <c r="AA58" s="352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 t="shared" ref="D59:D66" si="13">IF(ISERROR(Z59),K59,Z59)</f>
        <v>Brazilië</v>
      </c>
      <c r="E59" s="367" t="s">
        <v>9</v>
      </c>
      <c r="F59" s="406" t="str">
        <f t="shared" ref="F59:F66" si="14">IF(ISERROR(AA59),L59,AA59)</f>
        <v>Nederland</v>
      </c>
      <c r="G59" s="435">
        <v>2</v>
      </c>
      <c r="H59" s="367" t="s">
        <v>9</v>
      </c>
      <c r="I59" s="447">
        <v>1</v>
      </c>
      <c r="J59" s="448">
        <v>1</v>
      </c>
      <c r="K59" s="407" t="s">
        <v>48</v>
      </c>
      <c r="L59" s="407" t="s">
        <v>53</v>
      </c>
      <c r="M59" s="407">
        <v>1</v>
      </c>
      <c r="O59" s="458">
        <v>2</v>
      </c>
      <c r="P59" s="877" t="s">
        <v>212</v>
      </c>
      <c r="Q59" s="877"/>
      <c r="R59" s="877"/>
      <c r="S59" s="877"/>
      <c r="T59" s="878"/>
      <c r="V59" s="352" t="s">
        <v>132</v>
      </c>
      <c r="W59" s="352" t="s">
        <v>111</v>
      </c>
      <c r="X59" s="352" t="str">
        <f t="shared" si="11"/>
        <v>Jasper Cillessen (k)</v>
      </c>
      <c r="Y59" s="109">
        <f t="shared" ref="Y59:Y66" si="15">AF59</f>
        <v>1</v>
      </c>
      <c r="Z59" s="352" t="str">
        <f t="shared" ref="Z59:AA65" si="16">IF(K59=""," ",VLOOKUP(K59,$T$9:$V$54,3,FALSE))</f>
        <v>Brazilië</v>
      </c>
      <c r="AA59" s="352" t="str">
        <f t="shared" si="16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7">IF(OR(AC59="",AD59=""),0,(IF(SUM(AG59:AL59)&gt;10,10,SUM(AG59:AL59))))</f>
        <v>1</v>
      </c>
      <c r="AG59" s="108">
        <f t="shared" ref="AG59:AG66" si="18">IF(AC59="",0,(IF(G59=AC59,1,0)))</f>
        <v>0</v>
      </c>
      <c r="AH59" s="108">
        <f t="shared" ref="AH59:AH66" si="19">IF(AD59="",0,(IF(I59=AD59,1,0)))</f>
        <v>1</v>
      </c>
      <c r="AI59" s="108">
        <f t="shared" ref="AI59:AI66" si="20">IF(AND(AG59=1,AH59=1),10,0)</f>
        <v>0</v>
      </c>
      <c r="AJ59" s="108">
        <f t="shared" ref="AJ59:AJ66" si="21">IF(AND(G59&gt;I59,AC59&gt;AD59),5,0)</f>
        <v>0</v>
      </c>
      <c r="AK59" s="108">
        <f t="shared" ref="AK59:AK66" si="22">IF(AND(G59&lt;I59,AC59&lt;AD59),5,0)</f>
        <v>0</v>
      </c>
      <c r="AL59" s="108">
        <f t="shared" ref="AL59:AL66" si="23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4">BA59</f>
        <v>3</v>
      </c>
    </row>
    <row r="60" spans="2:54">
      <c r="B60" s="376">
        <v>50</v>
      </c>
      <c r="C60" s="466">
        <v>41818</v>
      </c>
      <c r="D60" s="460" t="str">
        <f t="shared" si="13"/>
        <v>Colombia</v>
      </c>
      <c r="E60" s="379" t="s">
        <v>9</v>
      </c>
      <c r="F60" s="409" t="str">
        <f t="shared" si="14"/>
        <v>Italië</v>
      </c>
      <c r="G60" s="437">
        <v>0</v>
      </c>
      <c r="H60" s="379" t="s">
        <v>9</v>
      </c>
      <c r="I60" s="449">
        <v>2</v>
      </c>
      <c r="J60" s="450">
        <v>2</v>
      </c>
      <c r="K60" s="407" t="s">
        <v>57</v>
      </c>
      <c r="L60" s="407" t="s">
        <v>63</v>
      </c>
      <c r="M60" s="407">
        <v>2</v>
      </c>
      <c r="O60" s="458">
        <v>3</v>
      </c>
      <c r="P60" s="877" t="s">
        <v>221</v>
      </c>
      <c r="Q60" s="877"/>
      <c r="R60" s="877"/>
      <c r="S60" s="877"/>
      <c r="T60" s="878"/>
      <c r="V60" s="352" t="s">
        <v>132</v>
      </c>
      <c r="W60" s="352" t="s">
        <v>110</v>
      </c>
      <c r="X60" s="352" t="str">
        <f t="shared" si="11"/>
        <v>Kenneth Vermeer (k)</v>
      </c>
      <c r="Y60" s="109">
        <f t="shared" si="15"/>
        <v>0</v>
      </c>
      <c r="Z60" s="352" t="str">
        <f t="shared" si="16"/>
        <v>Colombia</v>
      </c>
      <c r="AA60" s="352" t="str">
        <f t="shared" si="16"/>
        <v>Italië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7"/>
        <v>0</v>
      </c>
      <c r="AG60" s="108">
        <f t="shared" si="18"/>
        <v>0</v>
      </c>
      <c r="AH60" s="108">
        <f t="shared" si="19"/>
        <v>0</v>
      </c>
      <c r="AI60" s="108">
        <f t="shared" si="20"/>
        <v>0</v>
      </c>
      <c r="AJ60" s="108">
        <f t="shared" si="21"/>
        <v>0</v>
      </c>
      <c r="AK60" s="108">
        <f t="shared" si="22"/>
        <v>0</v>
      </c>
      <c r="AL60" s="108">
        <f t="shared" si="23"/>
        <v>0</v>
      </c>
      <c r="AZ60" s="138" t="str">
        <f>Uitslag!P60</f>
        <v>Stefan de Vrij (v)</v>
      </c>
      <c r="BA60" s="140">
        <f t="shared" si="12"/>
        <v>0</v>
      </c>
      <c r="BB60" s="139">
        <f t="shared" si="24"/>
        <v>0</v>
      </c>
    </row>
    <row r="61" spans="2:54">
      <c r="B61" s="364">
        <v>51</v>
      </c>
      <c r="C61" s="465">
        <v>41819</v>
      </c>
      <c r="D61" s="464" t="str">
        <f t="shared" si="13"/>
        <v>Spanje</v>
      </c>
      <c r="E61" s="367" t="s">
        <v>9</v>
      </c>
      <c r="F61" s="406" t="str">
        <f t="shared" si="14"/>
        <v>Kroatië</v>
      </c>
      <c r="G61" s="435">
        <v>3</v>
      </c>
      <c r="H61" s="367" t="s">
        <v>9</v>
      </c>
      <c r="I61" s="447">
        <v>0</v>
      </c>
      <c r="J61" s="448">
        <v>1</v>
      </c>
      <c r="K61" s="407" t="s">
        <v>52</v>
      </c>
      <c r="L61" s="407" t="s">
        <v>49</v>
      </c>
      <c r="M61" s="407"/>
      <c r="O61" s="458">
        <v>4</v>
      </c>
      <c r="P61" s="877" t="s">
        <v>214</v>
      </c>
      <c r="Q61" s="877"/>
      <c r="R61" s="877"/>
      <c r="S61" s="877"/>
      <c r="T61" s="878"/>
      <c r="V61" s="352" t="s">
        <v>132</v>
      </c>
      <c r="W61" s="352" t="s">
        <v>191</v>
      </c>
      <c r="X61" s="352" t="str">
        <f t="shared" si="11"/>
        <v>Tim Krul (k)</v>
      </c>
      <c r="Y61" s="109">
        <f t="shared" si="15"/>
        <v>5</v>
      </c>
      <c r="Z61" s="352" t="str">
        <f t="shared" si="16"/>
        <v>Spanje</v>
      </c>
      <c r="AA61" s="352" t="str">
        <f t="shared" si="16"/>
        <v>Kroatië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7"/>
        <v>5</v>
      </c>
      <c r="AG61" s="108">
        <f t="shared" si="18"/>
        <v>0</v>
      </c>
      <c r="AH61" s="108">
        <f t="shared" si="19"/>
        <v>0</v>
      </c>
      <c r="AI61" s="108">
        <f t="shared" si="20"/>
        <v>0</v>
      </c>
      <c r="AJ61" s="108">
        <f t="shared" si="21"/>
        <v>5</v>
      </c>
      <c r="AK61" s="108">
        <f t="shared" si="22"/>
        <v>0</v>
      </c>
      <c r="AL61" s="108">
        <f t="shared" si="23"/>
        <v>0</v>
      </c>
      <c r="AZ61" s="138" t="str">
        <f>Uitslag!P61</f>
        <v>Ron Vlaar (v)</v>
      </c>
      <c r="BA61" s="140">
        <f t="shared" si="12"/>
        <v>3</v>
      </c>
      <c r="BB61" s="139">
        <f t="shared" si="24"/>
        <v>3</v>
      </c>
    </row>
    <row r="62" spans="2:54">
      <c r="B62" s="376">
        <v>52</v>
      </c>
      <c r="C62" s="466">
        <v>41819</v>
      </c>
      <c r="D62" s="464" t="str">
        <f t="shared" si="13"/>
        <v>Engeland</v>
      </c>
      <c r="E62" s="379" t="s">
        <v>9</v>
      </c>
      <c r="F62" s="409" t="str">
        <f t="shared" si="14"/>
        <v>Japan</v>
      </c>
      <c r="G62" s="437">
        <v>1</v>
      </c>
      <c r="H62" s="379" t="s">
        <v>9</v>
      </c>
      <c r="I62" s="449">
        <v>0</v>
      </c>
      <c r="J62" s="450">
        <v>1</v>
      </c>
      <c r="K62" s="407" t="s">
        <v>62</v>
      </c>
      <c r="L62" s="407" t="s">
        <v>58</v>
      </c>
      <c r="M62" s="407"/>
      <c r="O62" s="458">
        <v>5</v>
      </c>
      <c r="P62" s="877" t="s">
        <v>216</v>
      </c>
      <c r="Q62" s="877"/>
      <c r="R62" s="877"/>
      <c r="S62" s="877"/>
      <c r="T62" s="878"/>
      <c r="V62" s="352" t="s">
        <v>132</v>
      </c>
      <c r="W62" s="352" t="s">
        <v>192</v>
      </c>
      <c r="X62" s="352" t="str">
        <f t="shared" si="11"/>
        <v>Maarten Stekelenburg (k)</v>
      </c>
      <c r="Y62" s="109">
        <f t="shared" si="15"/>
        <v>1</v>
      </c>
      <c r="Z62" s="352" t="str">
        <f t="shared" si="16"/>
        <v>Engeland</v>
      </c>
      <c r="AA62" s="352" t="str">
        <f t="shared" si="16"/>
        <v>Japan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7"/>
        <v>1</v>
      </c>
      <c r="AG62" s="108">
        <f t="shared" si="18"/>
        <v>1</v>
      </c>
      <c r="AH62" s="108">
        <f t="shared" si="19"/>
        <v>0</v>
      </c>
      <c r="AI62" s="108">
        <f t="shared" si="20"/>
        <v>0</v>
      </c>
      <c r="AJ62" s="108">
        <f t="shared" si="21"/>
        <v>0</v>
      </c>
      <c r="AK62" s="108">
        <f t="shared" si="22"/>
        <v>0</v>
      </c>
      <c r="AL62" s="108">
        <f t="shared" si="23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4"/>
        <v>3</v>
      </c>
    </row>
    <row r="63" spans="2:54">
      <c r="B63" s="364">
        <v>53</v>
      </c>
      <c r="C63" s="465">
        <v>41820</v>
      </c>
      <c r="D63" s="459" t="str">
        <f t="shared" si="13"/>
        <v>Frankrijk</v>
      </c>
      <c r="E63" s="367" t="s">
        <v>9</v>
      </c>
      <c r="F63" s="406" t="str">
        <f t="shared" si="14"/>
        <v>Nigeria</v>
      </c>
      <c r="G63" s="435">
        <v>4</v>
      </c>
      <c r="H63" s="367" t="s">
        <v>9</v>
      </c>
      <c r="I63" s="447">
        <v>1</v>
      </c>
      <c r="J63" s="448">
        <v>1</v>
      </c>
      <c r="K63" s="407" t="s">
        <v>67</v>
      </c>
      <c r="L63" s="407" t="s">
        <v>73</v>
      </c>
      <c r="M63" s="407"/>
      <c r="O63" s="458">
        <v>6</v>
      </c>
      <c r="P63" s="877" t="s">
        <v>215</v>
      </c>
      <c r="Q63" s="877"/>
      <c r="R63" s="877"/>
      <c r="S63" s="877"/>
      <c r="T63" s="878"/>
      <c r="V63" s="352" t="s">
        <v>132</v>
      </c>
      <c r="W63" s="352" t="s">
        <v>193</v>
      </c>
      <c r="X63" s="352" t="str">
        <f t="shared" si="11"/>
        <v>Michel Vorm (k)</v>
      </c>
      <c r="Y63" s="109">
        <f t="shared" si="15"/>
        <v>5</v>
      </c>
      <c r="Z63" s="352" t="str">
        <f t="shared" si="16"/>
        <v>Frankrijk</v>
      </c>
      <c r="AA63" s="352" t="str">
        <f t="shared" si="16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7"/>
        <v>5</v>
      </c>
      <c r="AG63" s="108">
        <f t="shared" si="18"/>
        <v>0</v>
      </c>
      <c r="AH63" s="108">
        <f t="shared" si="19"/>
        <v>0</v>
      </c>
      <c r="AI63" s="108">
        <f t="shared" si="20"/>
        <v>0</v>
      </c>
      <c r="AJ63" s="108">
        <f t="shared" si="21"/>
        <v>5</v>
      </c>
      <c r="AK63" s="108">
        <f t="shared" si="22"/>
        <v>0</v>
      </c>
      <c r="AL63" s="108">
        <f t="shared" si="23"/>
        <v>0</v>
      </c>
      <c r="AZ63" s="138" t="str">
        <f>Uitslag!P63</f>
        <v>Daley Blind (v)</v>
      </c>
      <c r="BA63" s="140">
        <f t="shared" si="12"/>
        <v>3</v>
      </c>
      <c r="BB63" s="139">
        <f t="shared" si="24"/>
        <v>3</v>
      </c>
    </row>
    <row r="64" spans="2:54">
      <c r="B64" s="376">
        <v>54</v>
      </c>
      <c r="C64" s="466">
        <v>41820</v>
      </c>
      <c r="D64" s="460" t="str">
        <f t="shared" si="13"/>
        <v>Portugal</v>
      </c>
      <c r="E64" s="379" t="s">
        <v>9</v>
      </c>
      <c r="F64" s="409" t="str">
        <f t="shared" si="14"/>
        <v>Algerije</v>
      </c>
      <c r="G64" s="437">
        <v>2</v>
      </c>
      <c r="H64" s="379" t="s">
        <v>9</v>
      </c>
      <c r="I64" s="449">
        <v>0</v>
      </c>
      <c r="J64" s="450">
        <v>1</v>
      </c>
      <c r="K64" s="407" t="s">
        <v>77</v>
      </c>
      <c r="L64" s="407" t="s">
        <v>83</v>
      </c>
      <c r="M64" s="407"/>
      <c r="O64" s="458">
        <v>7</v>
      </c>
      <c r="P64" s="877" t="s">
        <v>211</v>
      </c>
      <c r="Q64" s="877"/>
      <c r="R64" s="877"/>
      <c r="S64" s="877"/>
      <c r="T64" s="878"/>
      <c r="V64" s="352" t="s">
        <v>133</v>
      </c>
      <c r="W64" s="352" t="s">
        <v>112</v>
      </c>
      <c r="X64" s="352" t="str">
        <f t="shared" si="11"/>
        <v>Joël Veltman (v)</v>
      </c>
      <c r="Y64" s="109">
        <f t="shared" si="15"/>
        <v>1</v>
      </c>
      <c r="Z64" s="352" t="str">
        <f t="shared" si="16"/>
        <v>Portugal</v>
      </c>
      <c r="AA64" s="352" t="str">
        <f t="shared" si="16"/>
        <v>Algerije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7"/>
        <v>1</v>
      </c>
      <c r="AG64" s="108">
        <f t="shared" si="18"/>
        <v>0</v>
      </c>
      <c r="AH64" s="108">
        <f t="shared" si="19"/>
        <v>1</v>
      </c>
      <c r="AI64" s="108">
        <f t="shared" si="20"/>
        <v>0</v>
      </c>
      <c r="AJ64" s="108">
        <f t="shared" si="21"/>
        <v>0</v>
      </c>
      <c r="AK64" s="108">
        <f t="shared" si="22"/>
        <v>0</v>
      </c>
      <c r="AL64" s="108">
        <f t="shared" si="23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4"/>
        <v>3</v>
      </c>
    </row>
    <row r="65" spans="2:54">
      <c r="B65" s="370">
        <v>55</v>
      </c>
      <c r="C65" s="467">
        <v>41821</v>
      </c>
      <c r="D65" s="459" t="str">
        <f t="shared" si="13"/>
        <v>Argentinië</v>
      </c>
      <c r="E65" s="373" t="s">
        <v>9</v>
      </c>
      <c r="F65" s="410" t="str">
        <f t="shared" si="14"/>
        <v>Zwitserland</v>
      </c>
      <c r="G65" s="436">
        <v>1</v>
      </c>
      <c r="H65" s="373" t="s">
        <v>9</v>
      </c>
      <c r="I65" s="451">
        <v>0</v>
      </c>
      <c r="J65" s="452">
        <v>1</v>
      </c>
      <c r="K65" s="407" t="s">
        <v>72</v>
      </c>
      <c r="L65" s="407" t="s">
        <v>68</v>
      </c>
      <c r="M65" s="407"/>
      <c r="O65" s="458">
        <v>8</v>
      </c>
      <c r="P65" s="877" t="s">
        <v>210</v>
      </c>
      <c r="Q65" s="877"/>
      <c r="R65" s="877"/>
      <c r="S65" s="877"/>
      <c r="T65" s="878"/>
      <c r="V65" s="352" t="s">
        <v>133</v>
      </c>
      <c r="W65" s="352" t="s">
        <v>109</v>
      </c>
      <c r="X65" s="352" t="str">
        <f t="shared" si="11"/>
        <v>Daley Blind (v)</v>
      </c>
      <c r="Y65" s="109">
        <f t="shared" si="15"/>
        <v>1</v>
      </c>
      <c r="Z65" s="352" t="str">
        <f t="shared" si="16"/>
        <v>Argentinië</v>
      </c>
      <c r="AA65" s="352" t="str">
        <f t="shared" si="16"/>
        <v>Zwitserland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7"/>
        <v>1</v>
      </c>
      <c r="AG65" s="108">
        <f t="shared" si="18"/>
        <v>0</v>
      </c>
      <c r="AH65" s="108">
        <f t="shared" si="19"/>
        <v>1</v>
      </c>
      <c r="AI65" s="108">
        <f t="shared" si="20"/>
        <v>0</v>
      </c>
      <c r="AJ65" s="108">
        <f t="shared" si="21"/>
        <v>0</v>
      </c>
      <c r="AK65" s="108">
        <f t="shared" si="22"/>
        <v>0</v>
      </c>
      <c r="AL65" s="108">
        <f t="shared" si="23"/>
        <v>0</v>
      </c>
      <c r="AZ65" s="138" t="str">
        <f>Uitslag!P65</f>
        <v>Nigel de Jong (m)</v>
      </c>
      <c r="BA65" s="140">
        <f t="shared" si="12"/>
        <v>0</v>
      </c>
      <c r="BB65" s="139">
        <f t="shared" si="24"/>
        <v>0</v>
      </c>
    </row>
    <row r="66" spans="2:54" ht="15.75" thickBot="1">
      <c r="B66" s="385">
        <v>56</v>
      </c>
      <c r="C66" s="462">
        <v>41821</v>
      </c>
      <c r="D66" s="461" t="str">
        <f t="shared" si="13"/>
        <v>België</v>
      </c>
      <c r="E66" s="388" t="s">
        <v>9</v>
      </c>
      <c r="F66" s="412" t="str">
        <f t="shared" si="14"/>
        <v>Duitsland</v>
      </c>
      <c r="G66" s="438">
        <v>2</v>
      </c>
      <c r="H66" s="388" t="s">
        <v>9</v>
      </c>
      <c r="I66" s="453">
        <v>1</v>
      </c>
      <c r="J66" s="454">
        <v>1</v>
      </c>
      <c r="K66" s="407" t="s">
        <v>82</v>
      </c>
      <c r="L66" s="407" t="s">
        <v>78</v>
      </c>
      <c r="M66" s="407"/>
      <c r="O66" s="458">
        <v>9</v>
      </c>
      <c r="P66" s="877" t="s">
        <v>209</v>
      </c>
      <c r="Q66" s="877"/>
      <c r="R66" s="877"/>
      <c r="S66" s="877"/>
      <c r="T66" s="878"/>
      <c r="V66" s="352" t="s">
        <v>133</v>
      </c>
      <c r="W66" s="352" t="s">
        <v>115</v>
      </c>
      <c r="X66" s="352" t="str">
        <f t="shared" si="11"/>
        <v>Daryl Janmaat (v)</v>
      </c>
      <c r="Y66" s="109">
        <f t="shared" si="15"/>
        <v>0</v>
      </c>
      <c r="Z66" s="352" t="str">
        <f>IF(K66=""," ",VLOOKUP(K66,$T$9:$V$54,3,FALSE))</f>
        <v>België</v>
      </c>
      <c r="AA66" s="352" t="str">
        <f>IF(L66=""," ",VLOOKUP(L66,$T$9:$V$54,3,FALSE))</f>
        <v>Duitsland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7"/>
        <v>0</v>
      </c>
      <c r="AG66" s="108">
        <f t="shared" si="18"/>
        <v>0</v>
      </c>
      <c r="AH66" s="108">
        <f t="shared" si="19"/>
        <v>0</v>
      </c>
      <c r="AI66" s="108">
        <f t="shared" si="20"/>
        <v>0</v>
      </c>
      <c r="AJ66" s="108">
        <f t="shared" si="21"/>
        <v>0</v>
      </c>
      <c r="AK66" s="108">
        <f t="shared" si="22"/>
        <v>0</v>
      </c>
      <c r="AL66" s="108">
        <f t="shared" si="23"/>
        <v>0</v>
      </c>
      <c r="AZ66" s="138" t="str">
        <f>Uitslag!P66</f>
        <v>Jonathan de Guzman (m)</v>
      </c>
      <c r="BA66" s="140">
        <f t="shared" si="12"/>
        <v>3</v>
      </c>
      <c r="BB66" s="139">
        <f t="shared" si="24"/>
        <v>3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O67" s="458">
        <v>10</v>
      </c>
      <c r="P67" s="877" t="s">
        <v>213</v>
      </c>
      <c r="Q67" s="877"/>
      <c r="R67" s="877"/>
      <c r="S67" s="877"/>
      <c r="T67" s="878"/>
      <c r="V67" s="352" t="s">
        <v>133</v>
      </c>
      <c r="W67" s="352" t="s">
        <v>118</v>
      </c>
      <c r="X67" s="352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4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79"/>
      <c r="K68" s="353"/>
      <c r="L68" s="353"/>
      <c r="M68" s="353"/>
      <c r="O68" s="458">
        <v>11</v>
      </c>
      <c r="P68" s="877" t="s">
        <v>268</v>
      </c>
      <c r="Q68" s="877"/>
      <c r="R68" s="877"/>
      <c r="S68" s="877"/>
      <c r="T68" s="878"/>
      <c r="V68" s="352" t="s">
        <v>133</v>
      </c>
      <c r="W68" s="352" t="s">
        <v>119</v>
      </c>
      <c r="X68" s="352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0</v>
      </c>
      <c r="BB68" s="139">
        <f t="shared" si="24"/>
        <v>0</v>
      </c>
    </row>
    <row r="69" spans="2:54">
      <c r="B69" s="428" t="s">
        <v>1</v>
      </c>
      <c r="C69" s="429" t="s">
        <v>2</v>
      </c>
      <c r="D69" s="476" t="s">
        <v>3</v>
      </c>
      <c r="E69" s="431"/>
      <c r="F69" s="477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V69" s="352" t="s">
        <v>133</v>
      </c>
      <c r="W69" s="352" t="s">
        <v>121</v>
      </c>
      <c r="X69" s="352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24</v>
      </c>
      <c r="BB69" s="139" t="str">
        <f>IF(AND(BA69&lt;&gt;"",BA69=33),15,"nvt")</f>
        <v>nvt</v>
      </c>
    </row>
    <row r="70" spans="2:54">
      <c r="B70" s="364">
        <v>57</v>
      </c>
      <c r="C70" s="365">
        <v>41824</v>
      </c>
      <c r="D70" s="405" t="str">
        <f>IF(J63="","Winnaar 53",IF(J63=1,D63,F63))</f>
        <v>Frankrijk</v>
      </c>
      <c r="E70" s="367" t="s">
        <v>9</v>
      </c>
      <c r="F70" s="406" t="str">
        <f>IF(J64="","Winnaar 54",IF(J64=1,D64,F64))</f>
        <v>Portugal</v>
      </c>
      <c r="G70" s="435">
        <v>3</v>
      </c>
      <c r="H70" s="367" t="s">
        <v>9</v>
      </c>
      <c r="I70" s="447">
        <v>1</v>
      </c>
      <c r="J70" s="448">
        <v>1</v>
      </c>
      <c r="K70" s="353"/>
      <c r="L70" s="353"/>
      <c r="M70" s="353"/>
      <c r="V70" s="352" t="s">
        <v>133</v>
      </c>
      <c r="W70" s="352" t="s">
        <v>126</v>
      </c>
      <c r="X70" s="352" t="str">
        <f t="shared" si="11"/>
        <v>Karim Rekik (v)</v>
      </c>
      <c r="Y70" s="109">
        <f>AF70</f>
        <v>1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1</v>
      </c>
      <c r="AG70" s="108">
        <f>IF(AC70="",0,(IF(G70=AC70,1,0)))</f>
        <v>0</v>
      </c>
      <c r="AH70" s="108">
        <f>IF(AD70="",0,(IF(I70=AD70,1,0)))</f>
        <v>1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0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Brazilië</v>
      </c>
      <c r="E71" s="379" t="s">
        <v>9</v>
      </c>
      <c r="F71" s="409" t="str">
        <f>IF(J60="","Winnaar 50",IF(J60=1,D60,F60))</f>
        <v>Italië</v>
      </c>
      <c r="G71" s="437">
        <v>2</v>
      </c>
      <c r="H71" s="379" t="s">
        <v>9</v>
      </c>
      <c r="I71" s="449">
        <v>1</v>
      </c>
      <c r="J71" s="450">
        <v>1</v>
      </c>
      <c r="K71" s="353"/>
      <c r="L71" s="353"/>
      <c r="M71" s="353"/>
      <c r="V71" s="352" t="s">
        <v>133</v>
      </c>
      <c r="W71" s="352" t="s">
        <v>194</v>
      </c>
      <c r="X71" s="352" t="str">
        <f t="shared" si="11"/>
        <v>Ron Vlaar (v)</v>
      </c>
      <c r="Y71" s="109">
        <f>AF71</f>
        <v>10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10</v>
      </c>
      <c r="AG71" s="108">
        <f>IF(AC71="",0,(IF(G71=AC71,1,0)))</f>
        <v>1</v>
      </c>
      <c r="AH71" s="108">
        <f>IF(AD71="",0,(IF(I71=AD71,1,0)))</f>
        <v>1</v>
      </c>
      <c r="AI71" s="108">
        <f>IF(AND(AG71=1,AH71=1),10,0)</f>
        <v>10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Argentinië</v>
      </c>
      <c r="E72" s="367" t="s">
        <v>9</v>
      </c>
      <c r="F72" s="406" t="str">
        <f>IF(J66="","Winnaar 56",IF(J66=1,D66,F66))</f>
        <v>België</v>
      </c>
      <c r="G72" s="435">
        <v>4</v>
      </c>
      <c r="H72" s="367" t="s">
        <v>9</v>
      </c>
      <c r="I72" s="447">
        <v>0</v>
      </c>
      <c r="J72" s="448">
        <v>1</v>
      </c>
      <c r="K72" s="353"/>
      <c r="L72" s="353"/>
      <c r="M72" s="353"/>
      <c r="V72" s="352" t="s">
        <v>133</v>
      </c>
      <c r="W72" s="352" t="s">
        <v>195</v>
      </c>
      <c r="X72" s="352" t="str">
        <f t="shared" si="11"/>
        <v>John Heitinga (v)</v>
      </c>
      <c r="Y72" s="109">
        <f>AF72</f>
        <v>6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6</v>
      </c>
      <c r="AG72" s="108">
        <f>IF(AC72="",0,(IF(G72=AC72,1,0)))</f>
        <v>0</v>
      </c>
      <c r="AH72" s="108">
        <f>IF(AD72="",0,(IF(I72=AD72,1,0)))</f>
        <v>1</v>
      </c>
      <c r="AI72" s="108">
        <f>IF(AND(AG72=1,AH72=1),10,0)</f>
        <v>0</v>
      </c>
      <c r="AJ72" s="108">
        <f>IF(AND(G72&gt;I72,AC72&gt;AD72),5,0)</f>
        <v>5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Spanje</v>
      </c>
      <c r="E73" s="388" t="s">
        <v>9</v>
      </c>
      <c r="F73" s="412" t="str">
        <f>IF(J62="","Winnaar 52",IF(J62=1,D62,F62))</f>
        <v>Engeland</v>
      </c>
      <c r="G73" s="438">
        <v>1</v>
      </c>
      <c r="H73" s="388" t="s">
        <v>9</v>
      </c>
      <c r="I73" s="453">
        <v>0</v>
      </c>
      <c r="J73" s="454">
        <v>1</v>
      </c>
      <c r="K73" s="353"/>
      <c r="L73" s="353"/>
      <c r="M73" s="353"/>
      <c r="V73" s="352" t="s">
        <v>133</v>
      </c>
      <c r="W73" s="352" t="s">
        <v>196</v>
      </c>
      <c r="X73" s="352" t="str">
        <f t="shared" si="11"/>
        <v>Urby Emanuelson (v)</v>
      </c>
      <c r="Y73" s="109">
        <f>AF73</f>
        <v>1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1</v>
      </c>
      <c r="AG73" s="108">
        <f>IF(AC73="",0,(IF(G73=AC73,1,0)))</f>
        <v>0</v>
      </c>
      <c r="AH73" s="108">
        <f>IF(AD73="",0,(IF(I73=AD73,1,0)))</f>
        <v>1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V74" s="352" t="s">
        <v>133</v>
      </c>
      <c r="W74" s="352" t="s">
        <v>197</v>
      </c>
      <c r="X74" s="352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79"/>
      <c r="K75" s="353"/>
      <c r="L75" s="353"/>
      <c r="M75" s="353"/>
      <c r="V75" s="352" t="s">
        <v>133</v>
      </c>
      <c r="W75" s="352" t="s">
        <v>198</v>
      </c>
      <c r="X75" s="352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76" t="s">
        <v>3</v>
      </c>
      <c r="E76" s="431"/>
      <c r="F76" s="477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V76" s="352" t="s">
        <v>133</v>
      </c>
      <c r="W76" s="352" t="s">
        <v>202</v>
      </c>
      <c r="X76" s="352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Frankrijk</v>
      </c>
      <c r="E77" s="367" t="s">
        <v>9</v>
      </c>
      <c r="F77" s="406" t="str">
        <f>IF(J71="","Winnaar 58",IF(J71=1,D71,F71))</f>
        <v>Brazilië</v>
      </c>
      <c r="G77" s="435">
        <v>2</v>
      </c>
      <c r="H77" s="367" t="s">
        <v>9</v>
      </c>
      <c r="I77" s="447">
        <v>3</v>
      </c>
      <c r="J77" s="448">
        <v>2</v>
      </c>
      <c r="K77" s="353"/>
      <c r="L77" s="353"/>
      <c r="M77" s="353"/>
      <c r="V77" s="352" t="s">
        <v>134</v>
      </c>
      <c r="W77" s="352" t="s">
        <v>203</v>
      </c>
      <c r="X77" s="352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Argentinië</v>
      </c>
      <c r="E78" s="388" t="s">
        <v>9</v>
      </c>
      <c r="F78" s="412" t="str">
        <f>IF(J73="","Winnaar 60",IF(J73=1,D73,F73))</f>
        <v>Spanje</v>
      </c>
      <c r="G78" s="438">
        <v>2</v>
      </c>
      <c r="H78" s="388" t="s">
        <v>9</v>
      </c>
      <c r="I78" s="453">
        <v>1</v>
      </c>
      <c r="J78" s="454">
        <v>1</v>
      </c>
      <c r="K78" s="353"/>
      <c r="L78" s="353"/>
      <c r="M78" s="353"/>
      <c r="V78" s="352" t="s">
        <v>134</v>
      </c>
      <c r="W78" s="352" t="s">
        <v>199</v>
      </c>
      <c r="X78" s="352" t="str">
        <f t="shared" si="11"/>
        <v>Leroy Fer (m)</v>
      </c>
      <c r="Y78" s="109">
        <f>AF78</f>
        <v>0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0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V79" s="352" t="s">
        <v>134</v>
      </c>
      <c r="W79" s="352" t="s">
        <v>114</v>
      </c>
      <c r="X79" s="352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79"/>
      <c r="K80" s="353"/>
      <c r="L80" s="353"/>
      <c r="M80" s="353"/>
      <c r="V80" s="352" t="s">
        <v>134</v>
      </c>
      <c r="W80" s="352" t="s">
        <v>117</v>
      </c>
      <c r="X80" s="352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76" t="s">
        <v>3</v>
      </c>
      <c r="E81" s="431"/>
      <c r="F81" s="477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V81" s="352" t="s">
        <v>134</v>
      </c>
      <c r="W81" s="352" t="s">
        <v>120</v>
      </c>
      <c r="X81" s="352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Frankrijk</v>
      </c>
      <c r="E82" s="355" t="s">
        <v>9</v>
      </c>
      <c r="F82" s="415" t="str">
        <f>IF(J78="","Verliezer 62",IF(J78=1,F78,D78))</f>
        <v>Spanje</v>
      </c>
      <c r="G82" s="455">
        <v>2</v>
      </c>
      <c r="H82" s="355" t="s">
        <v>9</v>
      </c>
      <c r="I82" s="456">
        <v>1</v>
      </c>
      <c r="J82" s="457">
        <v>1</v>
      </c>
      <c r="K82" s="353"/>
      <c r="L82" s="353"/>
      <c r="M82" s="353"/>
      <c r="V82" s="352" t="s">
        <v>134</v>
      </c>
      <c r="W82" s="352" t="s">
        <v>125</v>
      </c>
      <c r="X82" s="35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V83" s="352" t="s">
        <v>134</v>
      </c>
      <c r="W83" s="352" t="s">
        <v>136</v>
      </c>
      <c r="X83" s="352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79"/>
      <c r="K84" s="353"/>
      <c r="L84" s="353"/>
      <c r="M84" s="353"/>
      <c r="V84" s="352" t="s">
        <v>134</v>
      </c>
      <c r="W84" s="352" t="s">
        <v>137</v>
      </c>
      <c r="X84" s="352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76" t="s">
        <v>3</v>
      </c>
      <c r="E85" s="431"/>
      <c r="F85" s="477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V85" s="352" t="s">
        <v>134</v>
      </c>
      <c r="W85" s="352" t="s">
        <v>138</v>
      </c>
      <c r="X85" s="352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Brazilië</v>
      </c>
      <c r="E86" s="355" t="s">
        <v>9</v>
      </c>
      <c r="F86" s="415" t="str">
        <f>IF(J78="","Winnaar 62",IF(J78=1,D78,F78))</f>
        <v>Argentinië</v>
      </c>
      <c r="G86" s="455">
        <v>1</v>
      </c>
      <c r="H86" s="355" t="s">
        <v>9</v>
      </c>
      <c r="I86" s="456">
        <v>3</v>
      </c>
      <c r="J86" s="457">
        <v>2</v>
      </c>
      <c r="K86" s="353"/>
      <c r="L86" s="353"/>
      <c r="M86" s="353"/>
      <c r="V86" s="352" t="s">
        <v>134</v>
      </c>
      <c r="W86" s="352" t="s">
        <v>139</v>
      </c>
      <c r="X86" s="352" t="str">
        <f t="shared" si="11"/>
        <v>Nigel de Jong (m)</v>
      </c>
      <c r="Y86" s="109">
        <f>AF86</f>
        <v>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0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353"/>
      <c r="C87" s="129"/>
      <c r="D87" s="392"/>
      <c r="E87" s="353"/>
      <c r="F87" s="392"/>
      <c r="G87" s="353"/>
      <c r="H87" s="353"/>
      <c r="I87" s="353"/>
      <c r="J87" s="353"/>
      <c r="K87" s="353"/>
      <c r="L87" s="353"/>
      <c r="M87" s="353"/>
      <c r="V87" s="352" t="s">
        <v>135</v>
      </c>
      <c r="W87" s="352" t="s">
        <v>205</v>
      </c>
      <c r="X87" s="352" t="str">
        <f t="shared" si="11"/>
        <v>Ricky van Wolfswinkel (a)</v>
      </c>
      <c r="AP87" s="136" t="s">
        <v>102</v>
      </c>
    </row>
    <row r="88" spans="2:50">
      <c r="B88" s="353"/>
      <c r="C88" s="129"/>
      <c r="D88" s="392"/>
      <c r="E88" s="353"/>
      <c r="F88" s="392"/>
      <c r="G88" s="353"/>
      <c r="H88" s="353"/>
      <c r="I88" s="353"/>
      <c r="J88" s="353"/>
      <c r="K88" s="353"/>
      <c r="L88" s="353"/>
      <c r="M88" s="353"/>
      <c r="V88" s="352" t="s">
        <v>135</v>
      </c>
      <c r="W88" s="352" t="s">
        <v>204</v>
      </c>
      <c r="X88" s="352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458"/>
    </row>
    <row r="89" spans="2:50" ht="20.25">
      <c r="C89" s="874" t="s">
        <v>101</v>
      </c>
      <c r="D89" s="871"/>
      <c r="E89" s="873" t="str">
        <f>IF(J86=1,D86,IF(J86=2,F86,"Wie zal het worden?"))</f>
        <v>Argentinië</v>
      </c>
      <c r="F89" s="873"/>
      <c r="G89" s="873"/>
      <c r="H89" s="873"/>
      <c r="I89" s="873"/>
      <c r="J89" s="873"/>
      <c r="K89" s="353"/>
      <c r="L89" s="353"/>
      <c r="M89" s="353"/>
      <c r="V89" s="352" t="s">
        <v>135</v>
      </c>
      <c r="W89" s="352" t="s">
        <v>201</v>
      </c>
      <c r="X89" s="352" t="str">
        <f t="shared" si="11"/>
        <v>Jermain Lens (a)</v>
      </c>
      <c r="AP89" s="109">
        <f>AU89</f>
        <v>15</v>
      </c>
      <c r="AQ89" s="131">
        <v>1</v>
      </c>
      <c r="AR89" s="904" t="str">
        <f>Uitslag!E89</f>
        <v>Duitsland</v>
      </c>
      <c r="AS89" s="905"/>
      <c r="AT89" s="906"/>
      <c r="AU89" s="352">
        <f>SUM(AV89:AX89)</f>
        <v>15</v>
      </c>
      <c r="AV89" s="352">
        <f>IF(AR89=0,0,IF(E89=AR89,50,0))</f>
        <v>0</v>
      </c>
      <c r="AW89" s="352">
        <f>IF(E89=0,0,IF(OR(E89=AR90),15,0))</f>
        <v>15</v>
      </c>
      <c r="AX89" s="352">
        <f>IF(E89=0,0,IF(OR(E89=AR91,E89=AR92),5,0))</f>
        <v>0</v>
      </c>
    </row>
    <row r="90" spans="2:50">
      <c r="C90" s="870">
        <v>2</v>
      </c>
      <c r="D90" s="871"/>
      <c r="E90" s="872" t="str">
        <f>IF(J86=2,D86,IF(J86=1,F86,"Wie wordt 2de?"))</f>
        <v>Brazilië</v>
      </c>
      <c r="F90" s="872"/>
      <c r="G90" s="872"/>
      <c r="H90" s="872"/>
      <c r="I90" s="872"/>
      <c r="J90" s="872"/>
      <c r="V90" s="352" t="s">
        <v>135</v>
      </c>
      <c r="W90" s="352" t="s">
        <v>200</v>
      </c>
      <c r="X90" s="352" t="str">
        <f t="shared" si="11"/>
        <v>Dirk Kuyt (a)</v>
      </c>
      <c r="AP90" s="109">
        <f>AU90</f>
        <v>5</v>
      </c>
      <c r="AQ90" s="131">
        <v>2</v>
      </c>
      <c r="AR90" s="904" t="str">
        <f>Uitslag!E90</f>
        <v>Argentinië</v>
      </c>
      <c r="AS90" s="905"/>
      <c r="AT90" s="906"/>
      <c r="AU90" s="352">
        <f>SUM(AV90:AX90)</f>
        <v>5</v>
      </c>
      <c r="AV90" s="352">
        <f>IF(AR90=0,0,IF(AR90=E90,25,0))</f>
        <v>0</v>
      </c>
      <c r="AW90" s="352">
        <f>IF(E90=0,0,IF(OR(E90=AR89,),15,0))</f>
        <v>0</v>
      </c>
      <c r="AX90" s="352">
        <f>IF(E90=0,0,IF(OR(E90=AR91,E90=AR92),5,0))</f>
        <v>5</v>
      </c>
    </row>
    <row r="91" spans="2:50">
      <c r="C91" s="870">
        <v>3</v>
      </c>
      <c r="D91" s="871"/>
      <c r="E91" s="872" t="str">
        <f>IF(J82=1,D82,IF(J82=2,F82,"Wie wordt 3de?"))</f>
        <v>Frankrijk</v>
      </c>
      <c r="F91" s="872"/>
      <c r="G91" s="872"/>
      <c r="H91" s="872"/>
      <c r="I91" s="872"/>
      <c r="J91" s="872"/>
      <c r="V91" s="352" t="s">
        <v>135</v>
      </c>
      <c r="W91" s="352" t="s">
        <v>128</v>
      </c>
      <c r="X91" s="352" t="str">
        <f t="shared" si="11"/>
        <v>Jürgen Locadia (a)</v>
      </c>
      <c r="AP91" s="109">
        <f>AU91</f>
        <v>0</v>
      </c>
      <c r="AQ91" s="131">
        <v>3</v>
      </c>
      <c r="AR91" s="904" t="str">
        <f>Uitslag!E91</f>
        <v>Nederland</v>
      </c>
      <c r="AS91" s="905"/>
      <c r="AT91" s="906"/>
      <c r="AU91" s="352">
        <f>SUM(AV91:AX91)</f>
        <v>0</v>
      </c>
      <c r="AV91" s="352">
        <f>IF(AR91=0,0,IF(AR91=E91,15,0))</f>
        <v>0</v>
      </c>
      <c r="AW91" s="352">
        <f>IF(E91=0,0,IF(OR(E91=AR92),10,0))</f>
        <v>0</v>
      </c>
      <c r="AX91" s="352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Spanje</v>
      </c>
      <c r="F92" s="872"/>
      <c r="G92" s="872"/>
      <c r="H92" s="872"/>
      <c r="I92" s="872"/>
      <c r="J92" s="872"/>
      <c r="V92" s="352" t="s">
        <v>135</v>
      </c>
      <c r="W92" s="352" t="s">
        <v>127</v>
      </c>
      <c r="X92" s="35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 s="352">
        <f>SUM(AV92:AX92)</f>
        <v>0</v>
      </c>
      <c r="AV92" s="352">
        <f>IF(AR92=0,0,IF(AR92=E92,15,0))</f>
        <v>0</v>
      </c>
      <c r="AW92" s="352">
        <f>IF(E92=0,0,IF(OR(E92=AR91,),10,0))</f>
        <v>0</v>
      </c>
      <c r="AX92" s="352">
        <f>IF(E92=0,0,IF(OR(E92=AR89,E92=AR90),5,0))</f>
        <v>0</v>
      </c>
    </row>
    <row r="93" spans="2:50" ht="15.75" thickBot="1">
      <c r="V93" s="352" t="s">
        <v>135</v>
      </c>
      <c r="W93" s="352" t="s">
        <v>123</v>
      </c>
      <c r="X93" s="352" t="str">
        <f t="shared" si="11"/>
        <v>Quincy Promes (a)</v>
      </c>
      <c r="AS93" s="132"/>
      <c r="AU93" s="133">
        <f>SUM(AU89:AU92)</f>
        <v>20</v>
      </c>
    </row>
    <row r="94" spans="2:50" ht="15.75" thickTop="1">
      <c r="V94" s="352" t="s">
        <v>135</v>
      </c>
      <c r="W94" s="352" t="s">
        <v>122</v>
      </c>
      <c r="X94" s="352" t="str">
        <f t="shared" si="11"/>
        <v>Luc Castaignos (a)</v>
      </c>
    </row>
    <row r="95" spans="2:50">
      <c r="V95" s="352" t="s">
        <v>135</v>
      </c>
      <c r="W95" s="352" t="s">
        <v>113</v>
      </c>
      <c r="X95" s="352" t="str">
        <f t="shared" si="11"/>
        <v>Jean-Paul Boëtius (a)</v>
      </c>
    </row>
    <row r="96" spans="2:50">
      <c r="V96" s="352" t="s">
        <v>135</v>
      </c>
      <c r="W96" s="352" t="s">
        <v>129</v>
      </c>
      <c r="X96" s="352" t="str">
        <f t="shared" si="11"/>
        <v>Luciano Narsingh (a)</v>
      </c>
    </row>
    <row r="97" spans="22:24">
      <c r="V97" s="352" t="s">
        <v>135</v>
      </c>
      <c r="W97" s="352" t="s">
        <v>130</v>
      </c>
      <c r="X97" s="352" t="str">
        <f t="shared" si="11"/>
        <v>Robin van Persie (a)</v>
      </c>
    </row>
    <row r="98" spans="22:24">
      <c r="V98" s="352" t="s">
        <v>135</v>
      </c>
      <c r="W98" s="352" t="s">
        <v>131</v>
      </c>
      <c r="X98" s="352" t="str">
        <f t="shared" si="11"/>
        <v>Arjen Robben (a)</v>
      </c>
    </row>
  </sheetData>
  <mergeCells count="36">
    <mergeCell ref="C91:D91"/>
    <mergeCell ref="E91:J91"/>
    <mergeCell ref="AR91:AT91"/>
    <mergeCell ref="C92:D92"/>
    <mergeCell ref="E92:J92"/>
    <mergeCell ref="AR92:AT92"/>
    <mergeCell ref="C89:D89"/>
    <mergeCell ref="E89:J89"/>
    <mergeCell ref="AR89:AT89"/>
    <mergeCell ref="C90:D90"/>
    <mergeCell ref="E90:J90"/>
    <mergeCell ref="AR90:AT90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</mergeCells>
  <conditionalFormatting sqref="AO9:AO12 AO15:AO18 AO21:AO24 AO27:AO30 AO33:AO36 AO39:AO42 AO45:AO48 AO51:AO54">
    <cfRule type="cellIs" dxfId="32" priority="3" operator="equal">
      <formula>10</formula>
    </cfRule>
  </conditionalFormatting>
  <conditionalFormatting sqref="P58:T58">
    <cfRule type="duplicateValues" dxfId="31" priority="2"/>
  </conditionalFormatting>
  <conditionalFormatting sqref="P58:T68">
    <cfRule type="duplicateValues" dxfId="30" priority="1"/>
  </conditionalFormatting>
  <dataValidations count="10">
    <dataValidation type="list" allowBlank="1" showInputMessage="1" showErrorMessage="1" sqref="P58:P68">
      <formula1>$X$58:$X$98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51:T54">
      <formula1>$W$51:$W$54</formula1>
    </dataValidation>
  </dataValidation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>
  <dimension ref="B1:BB98"/>
  <sheetViews>
    <sheetView topLeftCell="A43" zoomScale="70" zoomScaleNormal="70" workbookViewId="0">
      <selection activeCell="P58" sqref="P58:T68"/>
    </sheetView>
  </sheetViews>
  <sheetFormatPr defaultRowHeight="15" outlineLevelCol="2"/>
  <cols>
    <col min="1" max="1" width="3.42578125" style="352" customWidth="1"/>
    <col min="2" max="2" width="3.5703125" style="352" bestFit="1" customWidth="1"/>
    <col min="3" max="3" width="11.5703125" style="123" bestFit="1" customWidth="1"/>
    <col min="4" max="4" width="19.7109375" style="352" bestFit="1" customWidth="1"/>
    <col min="5" max="5" width="3.42578125" style="352" customWidth="1"/>
    <col min="6" max="6" width="19.7109375" style="352" bestFit="1" customWidth="1"/>
    <col min="7" max="7" width="6.7109375" style="352" customWidth="1"/>
    <col min="8" max="8" width="1.5703125" style="352" bestFit="1" customWidth="1"/>
    <col min="9" max="9" width="6.7109375" style="352" customWidth="1"/>
    <col min="10" max="10" width="6.85546875" style="352" bestFit="1" customWidth="1"/>
    <col min="11" max="13" width="9.140625" style="352" hidden="1" customWidth="1" outlineLevel="1"/>
    <col min="14" max="14" width="11.42578125" style="352" bestFit="1" customWidth="1" collapsed="1"/>
    <col min="15" max="15" width="14.7109375" style="352" bestFit="1" customWidth="1"/>
    <col min="16" max="16" width="12.28515625" style="352" bestFit="1" customWidth="1"/>
    <col min="17" max="17" width="8.140625" style="352" bestFit="1" customWidth="1"/>
    <col min="18" max="18" width="7.7109375" style="352" bestFit="1" customWidth="1"/>
    <col min="19" max="19" width="9.140625" style="352"/>
    <col min="20" max="20" width="8.5703125" style="352" bestFit="1" customWidth="1"/>
    <col min="21" max="21" width="9.140625" style="352"/>
    <col min="22" max="23" width="9.140625" style="352" hidden="1" customWidth="1" outlineLevel="1"/>
    <col min="24" max="24" width="2" style="352" hidden="1" customWidth="1" outlineLevel="1"/>
    <col min="25" max="25" width="12.28515625" style="352" bestFit="1" customWidth="1" collapsed="1"/>
    <col min="26" max="27" width="12.28515625" style="352" hidden="1" customWidth="1" outlineLevel="1"/>
    <col min="28" max="28" width="4.7109375" style="352" hidden="1" customWidth="1" outlineLevel="1"/>
    <col min="29" max="38" width="9.140625" style="352" hidden="1" customWidth="1" outlineLevel="1"/>
    <col min="39" max="39" width="7.42578125" style="352" bestFit="1" customWidth="1" collapsed="1"/>
    <col min="40" max="40" width="19.7109375" style="352" hidden="1" customWidth="1" outlineLevel="1"/>
    <col min="41" max="41" width="9.140625" style="352" hidden="1" customWidth="1" outlineLevel="1"/>
    <col min="42" max="42" width="9.140625" style="352" collapsed="1"/>
    <col min="43" max="49" width="9.140625" style="352" hidden="1" customWidth="1" outlineLevel="2"/>
    <col min="50" max="50" width="11.5703125" style="352" hidden="1" customWidth="1" outlineLevel="2"/>
    <col min="51" max="51" width="11.85546875" style="352" hidden="1" customWidth="1" outlineLevel="1" collapsed="1"/>
    <col min="52" max="52" width="9.42578125" style="352" hidden="1" customWidth="1" outlineLevel="1"/>
    <col min="53" max="53" width="10.5703125" style="352" hidden="1" customWidth="1" outlineLevel="1"/>
    <col min="54" max="54" width="9.140625" style="352" collapsed="1"/>
    <col min="55" max="55" width="11.85546875" style="352" bestFit="1" customWidth="1"/>
    <col min="56" max="16384" width="9.140625" style="352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313</v>
      </c>
      <c r="E3" s="335"/>
      <c r="F3" s="335"/>
      <c r="N3" s="352" t="str">
        <f>D3</f>
        <v>Arnoud J.</v>
      </c>
      <c r="O3" s="144">
        <f>SUM(P3:S3)</f>
        <v>303</v>
      </c>
      <c r="P3" s="109">
        <f>SUM(Y8:Y86)</f>
        <v>175</v>
      </c>
      <c r="Q3" s="109">
        <f>SUM(AM4:AM55)</f>
        <v>90</v>
      </c>
      <c r="R3" s="109">
        <f>SUM(AP89:AP92)</f>
        <v>20</v>
      </c>
      <c r="S3" s="109">
        <f>SUM(BB58:BB69)</f>
        <v>18</v>
      </c>
      <c r="T3" s="109">
        <f>COUNTIF(AF8:AF86,10)</f>
        <v>3</v>
      </c>
      <c r="U3" s="109" t="str">
        <f>E89</f>
        <v>Argentinië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O6" s="392"/>
      <c r="P6" s="393"/>
      <c r="Q6" s="393"/>
      <c r="R6" s="393"/>
      <c r="S6" s="393"/>
      <c r="T6" s="393"/>
      <c r="U6" s="392"/>
      <c r="V6" s="392"/>
      <c r="W6" s="392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80" t="s">
        <v>3</v>
      </c>
      <c r="E7" s="419"/>
      <c r="F7" s="481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O7" s="353"/>
      <c r="P7" s="393"/>
      <c r="Q7" s="393"/>
      <c r="R7" s="393"/>
      <c r="S7" s="393"/>
      <c r="T7" s="393"/>
      <c r="U7" s="353"/>
      <c r="V7" s="353"/>
      <c r="W7" s="353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458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3</v>
      </c>
      <c r="H8" s="360" t="s">
        <v>9</v>
      </c>
      <c r="I8" s="478">
        <v>2</v>
      </c>
      <c r="J8" s="362">
        <f t="shared" ref="J8:J55" si="0">IF(I8="","",IF(G8&gt;I8,1,IF(G8&lt;I8,2,3)))</f>
        <v>1</v>
      </c>
      <c r="K8" s="363">
        <f t="shared" ref="K8:K55" si="1">IF(I8="","",IF($G8&gt;$I8,3,IF($G8=$I8,1,0)))</f>
        <v>3</v>
      </c>
      <c r="L8" s="363">
        <f t="shared" ref="L8:L55" si="2">IF(I8="","",IF($G8&lt;$I8,3,IF($G8=$I8,1,0)))</f>
        <v>0</v>
      </c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392"/>
      <c r="V8" s="392"/>
      <c r="W8" s="392"/>
      <c r="Y8" s="109">
        <f>AF8</f>
        <v>6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6</v>
      </c>
      <c r="AG8" s="108">
        <f t="shared" ref="AG8:AG55" si="3">IF(AC8="",0,(IF(G8=AC8,1,0)))</f>
        <v>1</v>
      </c>
      <c r="AH8" s="108">
        <f t="shared" ref="AH8:AH55" si="4">IF(AD8="",0,(IF(I8=AD8,1,0)))</f>
        <v>0</v>
      </c>
      <c r="AI8" s="108">
        <f>IF(AND(AG8=1,AH8=1),10,0)</f>
        <v>0</v>
      </c>
      <c r="AJ8" s="108">
        <f t="shared" ref="AJ8:AJ55" si="5">IF(AND(G8&gt;I8,AC8&gt;AD8),5,0)</f>
        <v>5</v>
      </c>
      <c r="AK8" s="108">
        <f t="shared" ref="AK8:AK55" si="6">IF(AND(G8&lt;I8,AC8&lt;AD8),5,0)</f>
        <v>0</v>
      </c>
      <c r="AL8" s="108">
        <f t="shared" ref="AL8:AL55" si="7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1</v>
      </c>
      <c r="H9" s="367" t="s">
        <v>9</v>
      </c>
      <c r="I9" s="440">
        <v>1</v>
      </c>
      <c r="J9" s="369">
        <f t="shared" si="0"/>
        <v>3</v>
      </c>
      <c r="K9" s="363">
        <f t="shared" si="1"/>
        <v>1</v>
      </c>
      <c r="L9" s="363">
        <f t="shared" si="2"/>
        <v>1</v>
      </c>
      <c r="O9" s="394" t="s">
        <v>8</v>
      </c>
      <c r="P9" s="395">
        <f>SUMIF($D$8:$D$55,$O9,$G$8:$G$55)+SUMIF($F$8:$F$55,$O9,$I$8:$I$55)</f>
        <v>7</v>
      </c>
      <c r="Q9" s="395">
        <f>SUMIF($D$8:$D$55,$O9,$I$8:$I$55)+SUMIF($F$8:$F$55,$O9,$G$8:$G$55)</f>
        <v>2</v>
      </c>
      <c r="R9" s="396">
        <f>P9-Q9</f>
        <v>5</v>
      </c>
      <c r="S9" s="397">
        <f>SUMIF($D$8:$D$55,$O9,$K$8:$K$55)+SUMIF($F$8:$F$55,$O9,$L$8:$L$55)</f>
        <v>9</v>
      </c>
      <c r="T9" s="444" t="s">
        <v>48</v>
      </c>
      <c r="U9" s="392"/>
      <c r="V9" s="392" t="str">
        <f>O9</f>
        <v>Brazilië</v>
      </c>
      <c r="W9" s="392" t="s">
        <v>48</v>
      </c>
      <c r="Y9" s="109">
        <f t="shared" ref="Y9:Y55" si="8">AF9</f>
        <v>1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1</v>
      </c>
      <c r="AG9" s="108">
        <f t="shared" si="3"/>
        <v>1</v>
      </c>
      <c r="AH9" s="108">
        <f t="shared" si="4"/>
        <v>0</v>
      </c>
      <c r="AI9" s="108">
        <f t="shared" ref="AI9:AI55" si="10">IF(AND(AG9=1,AH9=1),10,0)</f>
        <v>0</v>
      </c>
      <c r="AJ9" s="108">
        <f t="shared" si="5"/>
        <v>0</v>
      </c>
      <c r="AK9" s="108">
        <f t="shared" si="6"/>
        <v>0</v>
      </c>
      <c r="AL9" s="108">
        <f t="shared" si="7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1</v>
      </c>
      <c r="H10" s="373" t="s">
        <v>9</v>
      </c>
      <c r="I10" s="441">
        <v>1</v>
      </c>
      <c r="J10" s="375">
        <f t="shared" si="0"/>
        <v>3</v>
      </c>
      <c r="K10" s="363">
        <f t="shared" si="1"/>
        <v>1</v>
      </c>
      <c r="L10" s="363">
        <f t="shared" si="2"/>
        <v>1</v>
      </c>
      <c r="O10" s="398" t="s">
        <v>10</v>
      </c>
      <c r="P10" s="399">
        <f>SUMIF($D$8:$D$55,$O10,$G$8:$G$55)+SUMIF($F$8:$F$55,$O10,$I$8:$I$55)</f>
        <v>6</v>
      </c>
      <c r="Q10" s="399">
        <f>SUMIF($D$8:$D$55,$O10,$I$8:$I$55)+SUMIF($F$8:$F$55,$O10,$G$8:$G$55)</f>
        <v>5</v>
      </c>
      <c r="R10" s="399">
        <f>P10-Q10</f>
        <v>1</v>
      </c>
      <c r="S10" s="400">
        <f>SUMIF($D$8:$D$55,$O10,$K$8:$K$55)+SUMIF($F$8:$F$55,$O10,$L$8:$L$55)</f>
        <v>4</v>
      </c>
      <c r="T10" s="445" t="s">
        <v>49</v>
      </c>
      <c r="U10" s="392"/>
      <c r="V10" s="392" t="str">
        <f>O10</f>
        <v>Kroatië</v>
      </c>
      <c r="W10" s="392" t="s">
        <v>49</v>
      </c>
      <c r="Y10" s="109">
        <f t="shared" si="8"/>
        <v>1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1</v>
      </c>
      <c r="AG10" s="108">
        <f t="shared" si="3"/>
        <v>1</v>
      </c>
      <c r="AH10" s="108">
        <f t="shared" si="4"/>
        <v>0</v>
      </c>
      <c r="AI10" s="108">
        <f t="shared" si="10"/>
        <v>0</v>
      </c>
      <c r="AJ10" s="108">
        <f t="shared" si="5"/>
        <v>0</v>
      </c>
      <c r="AK10" s="108">
        <f t="shared" si="6"/>
        <v>0</v>
      </c>
      <c r="AL10" s="108">
        <f t="shared" si="7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0</v>
      </c>
      <c r="H11" s="379" t="s">
        <v>9</v>
      </c>
      <c r="I11" s="442">
        <v>1</v>
      </c>
      <c r="J11" s="381">
        <f t="shared" si="0"/>
        <v>2</v>
      </c>
      <c r="K11" s="363">
        <f t="shared" si="1"/>
        <v>0</v>
      </c>
      <c r="L11" s="363">
        <f t="shared" si="2"/>
        <v>3</v>
      </c>
      <c r="O11" s="398" t="s">
        <v>11</v>
      </c>
      <c r="P11" s="399">
        <f>SUMIF($D$8:$D$55,$O11,$G$8:$G$55)+SUMIF($F$8:$F$55,$O11,$I$8:$I$55)</f>
        <v>2</v>
      </c>
      <c r="Q11" s="399">
        <f>SUMIF($D$8:$D$55,$O11,$I$8:$I$55)+SUMIF($F$8:$F$55,$O11,$G$8:$G$55)</f>
        <v>4</v>
      </c>
      <c r="R11" s="399">
        <f>P11-Q11</f>
        <v>-2</v>
      </c>
      <c r="S11" s="400">
        <f>SUMIF($D$8:$D$55,$O11,$K$8:$K$55)+SUMIF($F$8:$F$55,$O11,$L$8:$L$55)</f>
        <v>2</v>
      </c>
      <c r="T11" s="445" t="s">
        <v>47</v>
      </c>
      <c r="U11" s="392"/>
      <c r="V11" s="392" t="str">
        <f>O11</f>
        <v>Mexico</v>
      </c>
      <c r="W11" s="392" t="s">
        <v>47</v>
      </c>
      <c r="Y11" s="109">
        <f t="shared" si="8"/>
        <v>1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1</v>
      </c>
      <c r="AG11" s="108">
        <f t="shared" si="3"/>
        <v>0</v>
      </c>
      <c r="AH11" s="108">
        <f t="shared" si="4"/>
        <v>1</v>
      </c>
      <c r="AI11" s="108">
        <f t="shared" si="10"/>
        <v>0</v>
      </c>
      <c r="AJ11" s="108">
        <f t="shared" si="5"/>
        <v>0</v>
      </c>
      <c r="AK11" s="108">
        <f t="shared" si="6"/>
        <v>0</v>
      </c>
      <c r="AL11" s="108">
        <f t="shared" si="7"/>
        <v>0</v>
      </c>
      <c r="AM11" s="120">
        <f>AO11</f>
        <v>0</v>
      </c>
      <c r="AN11" s="117" t="s">
        <v>11</v>
      </c>
      <c r="AO11" s="115">
        <f>IF(Uitslag!T11="",0,IF(T11=Uitslag!T11,10,0))</f>
        <v>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1</v>
      </c>
      <c r="H12" s="367" t="s">
        <v>9</v>
      </c>
      <c r="I12" s="440">
        <v>1</v>
      </c>
      <c r="J12" s="369">
        <f t="shared" si="0"/>
        <v>3</v>
      </c>
      <c r="K12" s="363">
        <f t="shared" si="1"/>
        <v>1</v>
      </c>
      <c r="L12" s="363">
        <f t="shared" si="2"/>
        <v>1</v>
      </c>
      <c r="O12" s="401" t="s">
        <v>12</v>
      </c>
      <c r="P12" s="402">
        <f>SUMIF($D$8:$D$55,$O12,$G$8:$G$55)+SUMIF($F$8:$F$55,$O12,$I$8:$I$55)</f>
        <v>2</v>
      </c>
      <c r="Q12" s="402">
        <f>SUMIF($D$8:$D$55,$O12,$I$8:$I$55)+SUMIF($F$8:$F$55,$O12,$G$8:$G$55)</f>
        <v>6</v>
      </c>
      <c r="R12" s="402">
        <f>P12-Q12</f>
        <v>-4</v>
      </c>
      <c r="S12" s="403">
        <f>SUMIF($D$8:$D$55,$O12,$K$8:$K$55)+SUMIF($F$8:$F$55,$O12,$L$8:$L$55)</f>
        <v>1</v>
      </c>
      <c r="T12" s="446" t="s">
        <v>50</v>
      </c>
      <c r="U12" s="392"/>
      <c r="V12" s="392" t="str">
        <f>O12</f>
        <v>Kameroen</v>
      </c>
      <c r="W12" s="392" t="s">
        <v>50</v>
      </c>
      <c r="Y12" s="109">
        <f t="shared" si="8"/>
        <v>0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0</v>
      </c>
      <c r="AG12" s="108">
        <f t="shared" si="3"/>
        <v>0</v>
      </c>
      <c r="AH12" s="108">
        <f t="shared" si="4"/>
        <v>0</v>
      </c>
      <c r="AI12" s="108">
        <f t="shared" si="10"/>
        <v>0</v>
      </c>
      <c r="AJ12" s="108">
        <f t="shared" si="5"/>
        <v>0</v>
      </c>
      <c r="AK12" s="108">
        <f t="shared" si="6"/>
        <v>0</v>
      </c>
      <c r="AL12" s="108">
        <f t="shared" si="7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1</v>
      </c>
      <c r="H13" s="373" t="s">
        <v>9</v>
      </c>
      <c r="I13" s="441">
        <v>0</v>
      </c>
      <c r="J13" s="375">
        <f t="shared" si="0"/>
        <v>1</v>
      </c>
      <c r="K13" s="363">
        <f t="shared" si="1"/>
        <v>3</v>
      </c>
      <c r="L13" s="363">
        <f t="shared" si="2"/>
        <v>0</v>
      </c>
      <c r="O13" s="392"/>
      <c r="P13" s="393"/>
      <c r="Q13" s="393"/>
      <c r="R13" s="393"/>
      <c r="S13" s="393"/>
      <c r="T13" s="393"/>
      <c r="U13" s="392"/>
      <c r="V13" s="392"/>
      <c r="W13" s="392"/>
      <c r="Y13" s="109">
        <f t="shared" si="8"/>
        <v>1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1</v>
      </c>
      <c r="AG13" s="108">
        <f t="shared" si="3"/>
        <v>1</v>
      </c>
      <c r="AH13" s="108">
        <f t="shared" si="4"/>
        <v>0</v>
      </c>
      <c r="AI13" s="108">
        <f t="shared" si="10"/>
        <v>0</v>
      </c>
      <c r="AJ13" s="108">
        <f t="shared" si="5"/>
        <v>0</v>
      </c>
      <c r="AK13" s="108">
        <f t="shared" si="6"/>
        <v>0</v>
      </c>
      <c r="AL13" s="108">
        <f t="shared" si="7"/>
        <v>0</v>
      </c>
      <c r="AN13" s="392"/>
      <c r="AO13" s="393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1</v>
      </c>
      <c r="H14" s="373" t="s">
        <v>9</v>
      </c>
      <c r="I14" s="441">
        <v>2</v>
      </c>
      <c r="J14" s="375">
        <f t="shared" si="0"/>
        <v>2</v>
      </c>
      <c r="K14" s="363">
        <f t="shared" si="1"/>
        <v>0</v>
      </c>
      <c r="L14" s="363">
        <f t="shared" si="2"/>
        <v>3</v>
      </c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392"/>
      <c r="V14" s="392"/>
      <c r="W14" s="392"/>
      <c r="Y14" s="109">
        <f t="shared" si="8"/>
        <v>10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10</v>
      </c>
      <c r="AG14" s="108">
        <f t="shared" si="3"/>
        <v>1</v>
      </c>
      <c r="AH14" s="108">
        <f t="shared" si="4"/>
        <v>1</v>
      </c>
      <c r="AI14" s="108">
        <f t="shared" si="10"/>
        <v>10</v>
      </c>
      <c r="AJ14" s="108">
        <f t="shared" si="5"/>
        <v>0</v>
      </c>
      <c r="AK14" s="108">
        <f t="shared" si="6"/>
        <v>5</v>
      </c>
      <c r="AL14" s="108">
        <f t="shared" si="7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0</v>
      </c>
      <c r="H15" s="379" t="s">
        <v>9</v>
      </c>
      <c r="I15" s="442">
        <v>2</v>
      </c>
      <c r="J15" s="381">
        <f t="shared" si="0"/>
        <v>2</v>
      </c>
      <c r="K15" s="363">
        <f t="shared" si="1"/>
        <v>0</v>
      </c>
      <c r="L15" s="363">
        <f t="shared" si="2"/>
        <v>3</v>
      </c>
      <c r="O15" s="394" t="s">
        <v>13</v>
      </c>
      <c r="P15" s="395">
        <f>SUMIF($D$8:$D$55,$O15,$G$8:$G$55)+SUMIF($F$8:$F$55,$O15,$I$8:$I$55)</f>
        <v>6</v>
      </c>
      <c r="Q15" s="395">
        <f>SUMIF($D$8:$D$55,$O15,$I$8:$I$55)+SUMIF($F$8:$F$55,$O15,$G$8:$G$55)</f>
        <v>1</v>
      </c>
      <c r="R15" s="396">
        <f>P15-Q15</f>
        <v>5</v>
      </c>
      <c r="S15" s="397">
        <f>SUMIF($D$8:$D$55,$O15,$K$8:$K$55)+SUMIF($F$8:$F$55,$O15,$L$8:$L$55)</f>
        <v>7</v>
      </c>
      <c r="T15" s="444" t="s">
        <v>52</v>
      </c>
      <c r="U15" s="392"/>
      <c r="V15" s="392" t="str">
        <f>O15</f>
        <v>Spanje</v>
      </c>
      <c r="W15" s="392" t="s">
        <v>52</v>
      </c>
      <c r="Y15" s="109">
        <f t="shared" si="8"/>
        <v>0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0</v>
      </c>
      <c r="AG15" s="108">
        <f t="shared" si="3"/>
        <v>0</v>
      </c>
      <c r="AH15" s="108">
        <f t="shared" si="4"/>
        <v>0</v>
      </c>
      <c r="AI15" s="108">
        <f t="shared" si="10"/>
        <v>0</v>
      </c>
      <c r="AJ15" s="108">
        <f t="shared" si="5"/>
        <v>0</v>
      </c>
      <c r="AK15" s="108">
        <f t="shared" si="6"/>
        <v>0</v>
      </c>
      <c r="AL15" s="108">
        <f t="shared" si="7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1</v>
      </c>
      <c r="H16" s="367" t="s">
        <v>9</v>
      </c>
      <c r="I16" s="440">
        <v>0</v>
      </c>
      <c r="J16" s="369">
        <f t="shared" si="0"/>
        <v>1</v>
      </c>
      <c r="K16" s="363">
        <f t="shared" si="1"/>
        <v>3</v>
      </c>
      <c r="L16" s="363">
        <f t="shared" si="2"/>
        <v>0</v>
      </c>
      <c r="O16" s="404" t="s">
        <v>14</v>
      </c>
      <c r="P16" s="399">
        <f>SUMIF($D$8:$D$55,$O16,$G$8:$G$55)+SUMIF($F$8:$F$55,$O16,$I$8:$I$55)</f>
        <v>4</v>
      </c>
      <c r="Q16" s="399">
        <f>SUMIF($D$8:$D$55,$O16,$I$8:$I$55)+SUMIF($F$8:$F$55,$O16,$G$8:$G$55)</f>
        <v>1</v>
      </c>
      <c r="R16" s="399">
        <f>P16-Q16</f>
        <v>3</v>
      </c>
      <c r="S16" s="400">
        <f>SUMIF($D$8:$D$55,$O16,$K$8:$K$55)+SUMIF($F$8:$F$55,$O16,$L$8:$L$55)</f>
        <v>7</v>
      </c>
      <c r="T16" s="445" t="s">
        <v>53</v>
      </c>
      <c r="U16" s="392"/>
      <c r="V16" s="392" t="str">
        <f>O16</f>
        <v>Nederland</v>
      </c>
      <c r="W16" s="392" t="s">
        <v>53</v>
      </c>
      <c r="Y16" s="109">
        <f t="shared" si="8"/>
        <v>5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5</v>
      </c>
      <c r="AG16" s="108">
        <f t="shared" si="3"/>
        <v>0</v>
      </c>
      <c r="AH16" s="108">
        <f t="shared" si="4"/>
        <v>0</v>
      </c>
      <c r="AI16" s="108">
        <f t="shared" si="10"/>
        <v>0</v>
      </c>
      <c r="AJ16" s="108">
        <f t="shared" si="5"/>
        <v>5</v>
      </c>
      <c r="AK16" s="108">
        <f t="shared" si="6"/>
        <v>0</v>
      </c>
      <c r="AL16" s="108">
        <f t="shared" si="7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2</v>
      </c>
      <c r="H17" s="373" t="s">
        <v>9</v>
      </c>
      <c r="I17" s="441">
        <v>0</v>
      </c>
      <c r="J17" s="375">
        <f t="shared" si="0"/>
        <v>1</v>
      </c>
      <c r="K17" s="363">
        <f t="shared" si="1"/>
        <v>3</v>
      </c>
      <c r="L17" s="363">
        <f t="shared" si="2"/>
        <v>0</v>
      </c>
      <c r="O17" s="398" t="s">
        <v>15</v>
      </c>
      <c r="P17" s="399">
        <f>SUMIF($D$8:$D$55,$O17,$G$8:$G$55)+SUMIF($F$8:$F$55,$O17,$I$8:$I$55)</f>
        <v>0</v>
      </c>
      <c r="Q17" s="399">
        <f>SUMIF($D$8:$D$55,$O17,$I$8:$I$55)+SUMIF($F$8:$F$55,$O17,$G$8:$G$55)</f>
        <v>5</v>
      </c>
      <c r="R17" s="399">
        <f>P17-Q17</f>
        <v>-5</v>
      </c>
      <c r="S17" s="400">
        <f>SUMIF($D$8:$D$55,$O17,$K$8:$K$55)+SUMIF($F$8:$F$55,$O17,$L$8:$L$55)</f>
        <v>0</v>
      </c>
      <c r="T17" s="445" t="s">
        <v>55</v>
      </c>
      <c r="U17" s="392"/>
      <c r="V17" s="392" t="str">
        <f>O17</f>
        <v>Chili</v>
      </c>
      <c r="W17" s="392" t="s">
        <v>54</v>
      </c>
      <c r="Y17" s="109">
        <f t="shared" si="8"/>
        <v>6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6</v>
      </c>
      <c r="AG17" s="108">
        <f t="shared" si="3"/>
        <v>0</v>
      </c>
      <c r="AH17" s="108">
        <f t="shared" si="4"/>
        <v>1</v>
      </c>
      <c r="AI17" s="108">
        <f t="shared" si="10"/>
        <v>0</v>
      </c>
      <c r="AJ17" s="108">
        <f t="shared" si="5"/>
        <v>5</v>
      </c>
      <c r="AK17" s="108">
        <f t="shared" si="6"/>
        <v>0</v>
      </c>
      <c r="AL17" s="108">
        <f t="shared" si="7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1</v>
      </c>
      <c r="H18" s="379" t="s">
        <v>9</v>
      </c>
      <c r="I18" s="442">
        <v>1</v>
      </c>
      <c r="J18" s="381">
        <f t="shared" si="0"/>
        <v>3</v>
      </c>
      <c r="K18" s="363">
        <f t="shared" si="1"/>
        <v>1</v>
      </c>
      <c r="L18" s="363">
        <f t="shared" si="2"/>
        <v>1</v>
      </c>
      <c r="O18" s="401" t="s">
        <v>16</v>
      </c>
      <c r="P18" s="402">
        <f>SUMIF($D$8:$D$55,$O18,$G$8:$G$55)+SUMIF($F$8:$F$55,$O18,$I$8:$I$55)</f>
        <v>1</v>
      </c>
      <c r="Q18" s="402">
        <f>SUMIF($D$8:$D$55,$O18,$I$8:$I$55)+SUMIF($F$8:$F$55,$O18,$G$8:$G$55)</f>
        <v>4</v>
      </c>
      <c r="R18" s="402">
        <f>P18-Q18</f>
        <v>-3</v>
      </c>
      <c r="S18" s="403">
        <f>SUMIF($D$8:$D$55,$O18,$K$8:$K$55)+SUMIF($F$8:$F$55,$O18,$L$8:$L$55)</f>
        <v>3</v>
      </c>
      <c r="T18" s="446" t="s">
        <v>54</v>
      </c>
      <c r="U18" s="392"/>
      <c r="V18" s="392" t="str">
        <f>O18</f>
        <v>Australië</v>
      </c>
      <c r="W18" s="392" t="s">
        <v>55</v>
      </c>
      <c r="Y18" s="109">
        <f t="shared" si="8"/>
        <v>1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1</v>
      </c>
      <c r="AG18" s="108">
        <f t="shared" si="3"/>
        <v>0</v>
      </c>
      <c r="AH18" s="108">
        <f t="shared" si="4"/>
        <v>1</v>
      </c>
      <c r="AI18" s="108">
        <f t="shared" si="10"/>
        <v>0</v>
      </c>
      <c r="AJ18" s="108">
        <f t="shared" si="5"/>
        <v>0</v>
      </c>
      <c r="AK18" s="108">
        <f t="shared" si="6"/>
        <v>0</v>
      </c>
      <c r="AL18" s="108">
        <f t="shared" si="7"/>
        <v>0</v>
      </c>
      <c r="AM18" s="120">
        <f>AO18</f>
        <v>0</v>
      </c>
      <c r="AN18" s="118" t="s">
        <v>16</v>
      </c>
      <c r="AO18" s="115">
        <f>IF(Uitslag!T18="",0,IF(T18=Uitslag!T18,10,0))</f>
        <v>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2</v>
      </c>
      <c r="H19" s="367" t="s">
        <v>9</v>
      </c>
      <c r="I19" s="440">
        <v>2</v>
      </c>
      <c r="J19" s="369">
        <f t="shared" si="0"/>
        <v>3</v>
      </c>
      <c r="K19" s="363">
        <f t="shared" si="1"/>
        <v>1</v>
      </c>
      <c r="L19" s="363">
        <f t="shared" si="2"/>
        <v>1</v>
      </c>
      <c r="O19" s="392"/>
      <c r="P19" s="393"/>
      <c r="Q19" s="393"/>
      <c r="R19" s="393"/>
      <c r="S19" s="393"/>
      <c r="T19" s="393"/>
      <c r="U19" s="392"/>
      <c r="V19" s="392"/>
      <c r="W19" s="392"/>
      <c r="Y19" s="109">
        <f t="shared" si="8"/>
        <v>0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0</v>
      </c>
      <c r="AG19" s="108">
        <f t="shared" si="3"/>
        <v>0</v>
      </c>
      <c r="AH19" s="108">
        <f t="shared" si="4"/>
        <v>0</v>
      </c>
      <c r="AI19" s="108">
        <f t="shared" si="10"/>
        <v>0</v>
      </c>
      <c r="AJ19" s="108">
        <f t="shared" si="5"/>
        <v>0</v>
      </c>
      <c r="AK19" s="108">
        <f t="shared" si="6"/>
        <v>0</v>
      </c>
      <c r="AL19" s="108">
        <f t="shared" si="7"/>
        <v>0</v>
      </c>
      <c r="AN19" s="392"/>
      <c r="AO19" s="393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2</v>
      </c>
      <c r="H20" s="373" t="s">
        <v>9</v>
      </c>
      <c r="I20" s="441">
        <v>1</v>
      </c>
      <c r="J20" s="375">
        <f t="shared" si="0"/>
        <v>1</v>
      </c>
      <c r="K20" s="363">
        <f t="shared" si="1"/>
        <v>3</v>
      </c>
      <c r="L20" s="363">
        <f t="shared" si="2"/>
        <v>0</v>
      </c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392"/>
      <c r="V20" s="392"/>
      <c r="W20" s="392"/>
      <c r="Y20" s="109">
        <f t="shared" si="8"/>
        <v>0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0</v>
      </c>
      <c r="AG20" s="108">
        <f t="shared" si="3"/>
        <v>0</v>
      </c>
      <c r="AH20" s="108">
        <f t="shared" si="4"/>
        <v>0</v>
      </c>
      <c r="AI20" s="108">
        <f t="shared" si="10"/>
        <v>0</v>
      </c>
      <c r="AJ20" s="108">
        <f t="shared" si="5"/>
        <v>0</v>
      </c>
      <c r="AK20" s="108">
        <f t="shared" si="6"/>
        <v>0</v>
      </c>
      <c r="AL20" s="108">
        <f t="shared" si="7"/>
        <v>0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2</v>
      </c>
      <c r="H21" s="379" t="s">
        <v>9</v>
      </c>
      <c r="I21" s="442">
        <v>0</v>
      </c>
      <c r="J21" s="381">
        <f t="shared" si="0"/>
        <v>1</v>
      </c>
      <c r="K21" s="363">
        <f t="shared" si="1"/>
        <v>3</v>
      </c>
      <c r="L21" s="363">
        <f t="shared" si="2"/>
        <v>0</v>
      </c>
      <c r="O21" s="394" t="s">
        <v>17</v>
      </c>
      <c r="P21" s="395">
        <f>SUMIF($D$8:$D$55,$O21,$G$8:$G$55)+SUMIF($F$8:$F$55,$O21,$I$8:$I$55)</f>
        <v>4</v>
      </c>
      <c r="Q21" s="395">
        <f>SUMIF($D$8:$D$55,$O21,$I$8:$I$55)+SUMIF($F$8:$F$55,$O21,$G$8:$G$55)</f>
        <v>3</v>
      </c>
      <c r="R21" s="396">
        <f>P21-Q21</f>
        <v>1</v>
      </c>
      <c r="S21" s="397">
        <f>SUMIF($D$8:$D$55,$O21,$K$8:$K$55)+SUMIF($F$8:$F$55,$O21,$L$8:$L$55)</f>
        <v>5</v>
      </c>
      <c r="T21" s="444" t="s">
        <v>58</v>
      </c>
      <c r="U21" s="392"/>
      <c r="V21" s="392" t="str">
        <f>O21</f>
        <v>Colombia</v>
      </c>
      <c r="W21" s="392" t="s">
        <v>57</v>
      </c>
      <c r="Y21" s="109">
        <f t="shared" si="8"/>
        <v>0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0</v>
      </c>
      <c r="AG21" s="108">
        <f t="shared" si="3"/>
        <v>0</v>
      </c>
      <c r="AH21" s="108">
        <f t="shared" si="4"/>
        <v>0</v>
      </c>
      <c r="AI21" s="108">
        <f t="shared" si="10"/>
        <v>0</v>
      </c>
      <c r="AJ21" s="108">
        <f t="shared" si="5"/>
        <v>0</v>
      </c>
      <c r="AK21" s="108">
        <f t="shared" si="6"/>
        <v>0</v>
      </c>
      <c r="AL21" s="108">
        <f t="shared" si="7"/>
        <v>0</v>
      </c>
      <c r="AM21" s="120">
        <f>AO21</f>
        <v>0</v>
      </c>
      <c r="AN21" s="116" t="s">
        <v>17</v>
      </c>
      <c r="AO21" s="115">
        <f>IF(Uitslag!T21="",0,IF(T21=Uitslag!T21,10,0))</f>
        <v>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2</v>
      </c>
      <c r="H22" s="367" t="s">
        <v>9</v>
      </c>
      <c r="I22" s="440">
        <v>0</v>
      </c>
      <c r="J22" s="369">
        <f t="shared" si="0"/>
        <v>1</v>
      </c>
      <c r="K22" s="363">
        <f t="shared" si="1"/>
        <v>3</v>
      </c>
      <c r="L22" s="363">
        <f t="shared" si="2"/>
        <v>0</v>
      </c>
      <c r="O22" s="398" t="s">
        <v>18</v>
      </c>
      <c r="P22" s="399">
        <f>SUMIF($D$8:$D$55,$O22,$G$8:$G$55)+SUMIF($F$8:$F$55,$O22,$I$8:$I$55)</f>
        <v>3</v>
      </c>
      <c r="Q22" s="399">
        <f>SUMIF($D$8:$D$55,$O22,$I$8:$I$55)+SUMIF($F$8:$F$55,$O22,$G$8:$G$55)</f>
        <v>3</v>
      </c>
      <c r="R22" s="399">
        <f>P22-Q22</f>
        <v>0</v>
      </c>
      <c r="S22" s="400">
        <f>SUMIF($D$8:$D$55,$O22,$K$8:$K$55)+SUMIF($F$8:$F$55,$O22,$L$8:$L$55)</f>
        <v>4</v>
      </c>
      <c r="T22" s="445" t="s">
        <v>59</v>
      </c>
      <c r="U22" s="392"/>
      <c r="V22" s="392" t="str">
        <f>O22</f>
        <v>Griekenland</v>
      </c>
      <c r="W22" s="392" t="s">
        <v>58</v>
      </c>
      <c r="Y22" s="109">
        <f t="shared" si="8"/>
        <v>6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6</v>
      </c>
      <c r="AG22" s="108">
        <f t="shared" si="3"/>
        <v>1</v>
      </c>
      <c r="AH22" s="108">
        <f t="shared" si="4"/>
        <v>0</v>
      </c>
      <c r="AI22" s="108">
        <f t="shared" si="10"/>
        <v>0</v>
      </c>
      <c r="AJ22" s="108">
        <f t="shared" si="5"/>
        <v>5</v>
      </c>
      <c r="AK22" s="108">
        <f t="shared" si="6"/>
        <v>0</v>
      </c>
      <c r="AL22" s="108">
        <f t="shared" si="7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2</v>
      </c>
      <c r="H23" s="373" t="s">
        <v>9</v>
      </c>
      <c r="I23" s="441">
        <v>0</v>
      </c>
      <c r="J23" s="375">
        <f t="shared" si="0"/>
        <v>1</v>
      </c>
      <c r="K23" s="363">
        <f t="shared" si="1"/>
        <v>3</v>
      </c>
      <c r="L23" s="363">
        <f t="shared" si="2"/>
        <v>0</v>
      </c>
      <c r="O23" s="398" t="s">
        <v>23</v>
      </c>
      <c r="P23" s="399">
        <f>SUMIF($D$8:$D$55,$O23,$G$8:$G$55)+SUMIF($F$8:$F$55,$O23,$I$8:$I$55)</f>
        <v>1</v>
      </c>
      <c r="Q23" s="399">
        <f>SUMIF($D$8:$D$55,$O23,$I$8:$I$55)+SUMIF($F$8:$F$55,$O23,$G$8:$G$55)</f>
        <v>5</v>
      </c>
      <c r="R23" s="399">
        <f>P23-Q23</f>
        <v>-4</v>
      </c>
      <c r="S23" s="400">
        <f>SUMIF($D$8:$D$55,$O23,$K$8:$K$55)+SUMIF($F$8:$F$55,$O23,$L$8:$L$55)</f>
        <v>0</v>
      </c>
      <c r="T23" s="445" t="s">
        <v>60</v>
      </c>
      <c r="U23" s="392"/>
      <c r="V23" s="392" t="str">
        <f>O23</f>
        <v>Ivoorkust</v>
      </c>
      <c r="W23" s="392" t="s">
        <v>59</v>
      </c>
      <c r="Y23" s="109">
        <f t="shared" si="8"/>
        <v>1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1</v>
      </c>
      <c r="AG23" s="108">
        <f t="shared" si="3"/>
        <v>0</v>
      </c>
      <c r="AH23" s="108">
        <f t="shared" si="4"/>
        <v>1</v>
      </c>
      <c r="AI23" s="108">
        <f t="shared" si="10"/>
        <v>0</v>
      </c>
      <c r="AJ23" s="108">
        <f t="shared" si="5"/>
        <v>0</v>
      </c>
      <c r="AK23" s="108">
        <f t="shared" si="6"/>
        <v>0</v>
      </c>
      <c r="AL23" s="108">
        <f t="shared" si="7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1</v>
      </c>
      <c r="H24" s="379" t="s">
        <v>9</v>
      </c>
      <c r="I24" s="442">
        <v>0</v>
      </c>
      <c r="J24" s="381">
        <f t="shared" si="0"/>
        <v>1</v>
      </c>
      <c r="K24" s="363">
        <f t="shared" si="1"/>
        <v>3</v>
      </c>
      <c r="L24" s="363">
        <f t="shared" si="2"/>
        <v>0</v>
      </c>
      <c r="O24" s="401" t="s">
        <v>24</v>
      </c>
      <c r="P24" s="402">
        <f>SUMIF($D$8:$D$55,$O24,$G$8:$G$55)+SUMIF($F$8:$F$55,$O24,$I$8:$I$55)</f>
        <v>5</v>
      </c>
      <c r="Q24" s="402">
        <f>SUMIF($D$8:$D$55,$O24,$I$8:$I$55)+SUMIF($F$8:$F$55,$O24,$G$8:$G$55)</f>
        <v>2</v>
      </c>
      <c r="R24" s="402">
        <f>P24-Q24</f>
        <v>3</v>
      </c>
      <c r="S24" s="403">
        <f>SUMIF($D$8:$D$55,$O24,$K$8:$K$55)+SUMIF($F$8:$F$55,$O24,$L$8:$L$55)</f>
        <v>7</v>
      </c>
      <c r="T24" s="446" t="s">
        <v>57</v>
      </c>
      <c r="U24" s="392"/>
      <c r="V24" s="392" t="str">
        <f>O24</f>
        <v>Japan</v>
      </c>
      <c r="W24" s="392" t="s">
        <v>60</v>
      </c>
      <c r="Y24" s="109">
        <f t="shared" si="8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</v>
      </c>
      <c r="AG24" s="108">
        <f t="shared" si="3"/>
        <v>1</v>
      </c>
      <c r="AH24" s="108">
        <f t="shared" si="4"/>
        <v>0</v>
      </c>
      <c r="AI24" s="108">
        <f t="shared" si="10"/>
        <v>0</v>
      </c>
      <c r="AJ24" s="108">
        <f t="shared" si="5"/>
        <v>0</v>
      </c>
      <c r="AK24" s="108">
        <f t="shared" si="6"/>
        <v>0</v>
      </c>
      <c r="AL24" s="108">
        <f t="shared" si="7"/>
        <v>0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0</v>
      </c>
      <c r="H25" s="367" t="s">
        <v>9</v>
      </c>
      <c r="I25" s="440">
        <v>2</v>
      </c>
      <c r="J25" s="369">
        <f t="shared" si="0"/>
        <v>2</v>
      </c>
      <c r="K25" s="363">
        <f t="shared" si="1"/>
        <v>0</v>
      </c>
      <c r="L25" s="363">
        <f t="shared" si="2"/>
        <v>3</v>
      </c>
      <c r="O25" s="392"/>
      <c r="P25" s="393"/>
      <c r="Q25" s="393"/>
      <c r="R25" s="393"/>
      <c r="S25" s="393"/>
      <c r="T25" s="393"/>
      <c r="U25" s="392"/>
      <c r="V25" s="392"/>
      <c r="W25" s="392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3"/>
        <v>0</v>
      </c>
      <c r="AH25" s="108">
        <f t="shared" si="4"/>
        <v>0</v>
      </c>
      <c r="AI25" s="108">
        <f t="shared" si="10"/>
        <v>0</v>
      </c>
      <c r="AJ25" s="108">
        <f t="shared" si="5"/>
        <v>0</v>
      </c>
      <c r="AK25" s="108">
        <f t="shared" si="6"/>
        <v>5</v>
      </c>
      <c r="AL25" s="108">
        <f t="shared" si="7"/>
        <v>0</v>
      </c>
      <c r="AN25" s="392"/>
      <c r="AO25" s="393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3</v>
      </c>
      <c r="H26" s="373" t="s">
        <v>9</v>
      </c>
      <c r="I26" s="441">
        <v>0</v>
      </c>
      <c r="J26" s="375">
        <f t="shared" si="0"/>
        <v>1</v>
      </c>
      <c r="K26" s="363">
        <f t="shared" si="1"/>
        <v>3</v>
      </c>
      <c r="L26" s="363">
        <f t="shared" si="2"/>
        <v>0</v>
      </c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392"/>
      <c r="V26" s="392"/>
      <c r="W26" s="392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3"/>
        <v>0</v>
      </c>
      <c r="AH26" s="108">
        <f t="shared" si="4"/>
        <v>0</v>
      </c>
      <c r="AI26" s="108">
        <f t="shared" si="10"/>
        <v>0</v>
      </c>
      <c r="AJ26" s="108">
        <f t="shared" si="5"/>
        <v>0</v>
      </c>
      <c r="AK26" s="108">
        <f t="shared" si="6"/>
        <v>0</v>
      </c>
      <c r="AL26" s="108">
        <f t="shared" si="7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1</v>
      </c>
      <c r="H27" s="379" t="s">
        <v>9</v>
      </c>
      <c r="I27" s="442">
        <v>3</v>
      </c>
      <c r="J27" s="381">
        <f t="shared" si="0"/>
        <v>2</v>
      </c>
      <c r="K27" s="363">
        <f t="shared" si="1"/>
        <v>0</v>
      </c>
      <c r="L27" s="363">
        <f t="shared" si="2"/>
        <v>3</v>
      </c>
      <c r="O27" s="394" t="s">
        <v>19</v>
      </c>
      <c r="P27" s="395">
        <f>SUMIF($D$8:$D$55,$O27,$G$8:$G$55)+SUMIF($F$8:$F$55,$O27,$I$8:$I$55)</f>
        <v>1</v>
      </c>
      <c r="Q27" s="395">
        <f>SUMIF($D$8:$D$55,$O27,$I$8:$I$55)+SUMIF($F$8:$F$55,$O27,$G$8:$G$55)</f>
        <v>4</v>
      </c>
      <c r="R27" s="396">
        <f>P27-Q27</f>
        <v>-3</v>
      </c>
      <c r="S27" s="397">
        <f>SUMIF($D$8:$D$55,$O27,$K$8:$K$55)+SUMIF($F$8:$F$55,$O27,$L$8:$L$55)</f>
        <v>3</v>
      </c>
      <c r="T27" s="444" t="s">
        <v>64</v>
      </c>
      <c r="U27" s="392"/>
      <c r="V27" s="392" t="str">
        <f>O27</f>
        <v>Uruguay</v>
      </c>
      <c r="W27" s="392" t="s">
        <v>62</v>
      </c>
      <c r="Y27" s="109">
        <f t="shared" si="8"/>
        <v>5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5</v>
      </c>
      <c r="AG27" s="108">
        <f t="shared" si="3"/>
        <v>0</v>
      </c>
      <c r="AH27" s="108">
        <f t="shared" si="4"/>
        <v>0</v>
      </c>
      <c r="AI27" s="108">
        <f t="shared" si="10"/>
        <v>0</v>
      </c>
      <c r="AJ27" s="108">
        <f t="shared" si="5"/>
        <v>0</v>
      </c>
      <c r="AK27" s="108">
        <f t="shared" si="6"/>
        <v>5</v>
      </c>
      <c r="AL27" s="108">
        <f t="shared" si="7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2</v>
      </c>
      <c r="H28" s="367" t="s">
        <v>9</v>
      </c>
      <c r="I28" s="440">
        <v>1</v>
      </c>
      <c r="J28" s="369">
        <f t="shared" si="0"/>
        <v>1</v>
      </c>
      <c r="K28" s="363">
        <f t="shared" si="1"/>
        <v>3</v>
      </c>
      <c r="L28" s="363">
        <f t="shared" si="2"/>
        <v>0</v>
      </c>
      <c r="O28" s="398" t="s">
        <v>20</v>
      </c>
      <c r="P28" s="399">
        <f>SUMIF($D$8:$D$55,$O28,$G$8:$G$55)+SUMIF($F$8:$F$55,$O28,$I$8:$I$55)</f>
        <v>1</v>
      </c>
      <c r="Q28" s="399">
        <f>SUMIF($D$8:$D$55,$O28,$I$8:$I$55)+SUMIF($F$8:$F$55,$O28,$G$8:$G$55)</f>
        <v>5</v>
      </c>
      <c r="R28" s="399">
        <f>P28-Q28</f>
        <v>-4</v>
      </c>
      <c r="S28" s="400">
        <f>SUMIF($D$8:$D$55,$O28,$K$8:$K$55)+SUMIF($F$8:$F$55,$O28,$L$8:$L$55)</f>
        <v>0</v>
      </c>
      <c r="T28" s="445" t="s">
        <v>65</v>
      </c>
      <c r="U28" s="392"/>
      <c r="V28" s="392" t="str">
        <f>O28</f>
        <v>Costa Rica</v>
      </c>
      <c r="W28" s="392" t="s">
        <v>63</v>
      </c>
      <c r="Y28" s="109">
        <f t="shared" si="8"/>
        <v>10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10</v>
      </c>
      <c r="AG28" s="108">
        <f t="shared" si="3"/>
        <v>1</v>
      </c>
      <c r="AH28" s="108">
        <f t="shared" si="4"/>
        <v>1</v>
      </c>
      <c r="AI28" s="108">
        <f t="shared" si="10"/>
        <v>10</v>
      </c>
      <c r="AJ28" s="108">
        <f t="shared" si="5"/>
        <v>5</v>
      </c>
      <c r="AK28" s="108">
        <f t="shared" si="6"/>
        <v>0</v>
      </c>
      <c r="AL28" s="108">
        <f t="shared" si="7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0</v>
      </c>
      <c r="H29" s="373" t="s">
        <v>9</v>
      </c>
      <c r="I29" s="441">
        <v>2</v>
      </c>
      <c r="J29" s="375">
        <f t="shared" si="0"/>
        <v>2</v>
      </c>
      <c r="K29" s="363">
        <f t="shared" si="1"/>
        <v>0</v>
      </c>
      <c r="L29" s="363">
        <f t="shared" si="2"/>
        <v>3</v>
      </c>
      <c r="O29" s="398" t="s">
        <v>21</v>
      </c>
      <c r="P29" s="399">
        <f>SUMIF($D$8:$D$55,$O29,$G$8:$G$55)+SUMIF($F$8:$F$55,$O29,$I$8:$I$55)</f>
        <v>5</v>
      </c>
      <c r="Q29" s="399">
        <f>SUMIF($D$8:$D$55,$O29,$I$8:$I$55)+SUMIF($F$8:$F$55,$O29,$G$8:$G$55)</f>
        <v>2</v>
      </c>
      <c r="R29" s="399">
        <f>P29-Q29</f>
        <v>3</v>
      </c>
      <c r="S29" s="400">
        <f>SUMIF($D$8:$D$55,$O29,$K$8:$K$55)+SUMIF($F$8:$F$55,$O29,$L$8:$L$55)</f>
        <v>6</v>
      </c>
      <c r="T29" s="445" t="s">
        <v>63</v>
      </c>
      <c r="U29" s="392"/>
      <c r="V29" s="392" t="str">
        <f>O29</f>
        <v>Engeland</v>
      </c>
      <c r="W29" s="392" t="s">
        <v>64</v>
      </c>
      <c r="Y29" s="109">
        <f t="shared" si="8"/>
        <v>0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0</v>
      </c>
      <c r="AG29" s="108">
        <f t="shared" si="3"/>
        <v>0</v>
      </c>
      <c r="AH29" s="108">
        <f t="shared" si="4"/>
        <v>0</v>
      </c>
      <c r="AI29" s="108">
        <f t="shared" si="10"/>
        <v>0</v>
      </c>
      <c r="AJ29" s="108">
        <f t="shared" si="5"/>
        <v>0</v>
      </c>
      <c r="AK29" s="108">
        <f t="shared" si="6"/>
        <v>0</v>
      </c>
      <c r="AL29" s="108">
        <f t="shared" si="7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2</v>
      </c>
      <c r="H30" s="379" t="s">
        <v>9</v>
      </c>
      <c r="I30" s="442">
        <v>1</v>
      </c>
      <c r="J30" s="381">
        <f t="shared" si="0"/>
        <v>1</v>
      </c>
      <c r="K30" s="363">
        <f t="shared" si="1"/>
        <v>3</v>
      </c>
      <c r="L30" s="363">
        <f t="shared" si="2"/>
        <v>0</v>
      </c>
      <c r="O30" s="401" t="s">
        <v>22</v>
      </c>
      <c r="P30" s="402">
        <f>SUMIF($D$8:$D$55,$O30,$G$8:$G$55)+SUMIF($F$8:$F$55,$O30,$I$8:$I$55)</f>
        <v>6</v>
      </c>
      <c r="Q30" s="402">
        <f>SUMIF($D$8:$D$55,$O30,$I$8:$I$55)+SUMIF($F$8:$F$55,$O30,$G$8:$G$55)</f>
        <v>2</v>
      </c>
      <c r="R30" s="402">
        <f>P30-Q30</f>
        <v>4</v>
      </c>
      <c r="S30" s="403">
        <f>SUMIF($D$8:$D$55,$O30,$K$8:$K$55)+SUMIF($F$8:$F$55,$O30,$L$8:$L$55)</f>
        <v>9</v>
      </c>
      <c r="T30" s="446" t="s">
        <v>62</v>
      </c>
      <c r="U30" s="392"/>
      <c r="V30" s="392" t="str">
        <f>O30</f>
        <v>Italië</v>
      </c>
      <c r="W30" s="392" t="s">
        <v>65</v>
      </c>
      <c r="Y30" s="109">
        <f t="shared" si="8"/>
        <v>0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0</v>
      </c>
      <c r="AG30" s="108">
        <f t="shared" si="3"/>
        <v>0</v>
      </c>
      <c r="AH30" s="108">
        <f t="shared" si="4"/>
        <v>0</v>
      </c>
      <c r="AI30" s="108">
        <f t="shared" si="10"/>
        <v>0</v>
      </c>
      <c r="AJ30" s="108">
        <f t="shared" si="5"/>
        <v>0</v>
      </c>
      <c r="AK30" s="108">
        <f t="shared" si="6"/>
        <v>0</v>
      </c>
      <c r="AL30" s="108">
        <f t="shared" si="7"/>
        <v>0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2</v>
      </c>
      <c r="H31" s="367" t="s">
        <v>9</v>
      </c>
      <c r="I31" s="440">
        <v>1</v>
      </c>
      <c r="J31" s="369">
        <f t="shared" si="0"/>
        <v>1</v>
      </c>
      <c r="K31" s="363">
        <f t="shared" si="1"/>
        <v>3</v>
      </c>
      <c r="L31" s="363">
        <f t="shared" si="2"/>
        <v>0</v>
      </c>
      <c r="O31" s="392"/>
      <c r="P31" s="393"/>
      <c r="Q31" s="393"/>
      <c r="R31" s="393"/>
      <c r="S31" s="393"/>
      <c r="T31" s="393"/>
      <c r="U31" s="392"/>
      <c r="V31" s="392"/>
      <c r="W31" s="392"/>
      <c r="Y31" s="109">
        <f t="shared" si="8"/>
        <v>1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1</v>
      </c>
      <c r="AG31" s="108">
        <f t="shared" si="3"/>
        <v>0</v>
      </c>
      <c r="AH31" s="108">
        <f t="shared" si="4"/>
        <v>1</v>
      </c>
      <c r="AI31" s="108">
        <f t="shared" si="10"/>
        <v>0</v>
      </c>
      <c r="AJ31" s="108">
        <f t="shared" si="5"/>
        <v>0</v>
      </c>
      <c r="AK31" s="108">
        <f t="shared" si="6"/>
        <v>0</v>
      </c>
      <c r="AL31" s="108">
        <f t="shared" si="7"/>
        <v>0</v>
      </c>
      <c r="AN31" s="392"/>
      <c r="AO31" s="393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0</v>
      </c>
      <c r="H32" s="373" t="s">
        <v>9</v>
      </c>
      <c r="I32" s="441">
        <v>3</v>
      </c>
      <c r="J32" s="375">
        <f t="shared" si="0"/>
        <v>2</v>
      </c>
      <c r="K32" s="363">
        <f t="shared" si="1"/>
        <v>0</v>
      </c>
      <c r="L32" s="363">
        <f t="shared" si="2"/>
        <v>3</v>
      </c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392"/>
      <c r="V32" s="392"/>
      <c r="W32" s="392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3"/>
        <v>0</v>
      </c>
      <c r="AH32" s="108">
        <f t="shared" si="4"/>
        <v>0</v>
      </c>
      <c r="AI32" s="108">
        <f t="shared" si="10"/>
        <v>0</v>
      </c>
      <c r="AJ32" s="108">
        <f t="shared" si="5"/>
        <v>0</v>
      </c>
      <c r="AK32" s="108">
        <f t="shared" si="6"/>
        <v>5</v>
      </c>
      <c r="AL32" s="108">
        <f t="shared" si="7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1</v>
      </c>
      <c r="H33" s="379" t="s">
        <v>9</v>
      </c>
      <c r="I33" s="442">
        <v>0</v>
      </c>
      <c r="J33" s="381">
        <f t="shared" si="0"/>
        <v>1</v>
      </c>
      <c r="K33" s="363">
        <f t="shared" si="1"/>
        <v>3</v>
      </c>
      <c r="L33" s="363">
        <f t="shared" si="2"/>
        <v>0</v>
      </c>
      <c r="O33" s="394" t="s">
        <v>25</v>
      </c>
      <c r="P33" s="395">
        <f>SUMIF($D$8:$D$55,$O33,$G$8:$G$55)+SUMIF($F$8:$F$55,$O33,$I$8:$I$55)</f>
        <v>3</v>
      </c>
      <c r="Q33" s="395">
        <f>SUMIF($D$8:$D$55,$O33,$I$8:$I$55)+SUMIF($F$8:$F$55,$O33,$G$8:$G$55)</f>
        <v>3</v>
      </c>
      <c r="R33" s="396">
        <f>P33-Q33</f>
        <v>0</v>
      </c>
      <c r="S33" s="397">
        <f>SUMIF($D$8:$D$55,$O33,$K$8:$K$55)+SUMIF($F$8:$F$55,$O33,$L$8:$L$55)</f>
        <v>6</v>
      </c>
      <c r="T33" s="444" t="s">
        <v>68</v>
      </c>
      <c r="U33" s="392"/>
      <c r="V33" s="392" t="str">
        <f>O33</f>
        <v>Zwitserland</v>
      </c>
      <c r="W33" s="392" t="s">
        <v>67</v>
      </c>
      <c r="Y33" s="109">
        <f t="shared" si="8"/>
        <v>1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1</v>
      </c>
      <c r="AG33" s="108">
        <f t="shared" si="3"/>
        <v>1</v>
      </c>
      <c r="AH33" s="108">
        <f t="shared" si="4"/>
        <v>0</v>
      </c>
      <c r="AI33" s="108">
        <f t="shared" si="10"/>
        <v>0</v>
      </c>
      <c r="AJ33" s="108">
        <f t="shared" si="5"/>
        <v>0</v>
      </c>
      <c r="AK33" s="108">
        <f t="shared" si="6"/>
        <v>0</v>
      </c>
      <c r="AL33" s="108">
        <f t="shared" si="7"/>
        <v>0</v>
      </c>
      <c r="AM33" s="120">
        <f>AO33</f>
        <v>10</v>
      </c>
      <c r="AN33" s="116" t="s">
        <v>25</v>
      </c>
      <c r="AO33" s="115">
        <f>IF(Uitslag!T33="",0,IF(T33=Uitslag!T33,10,0))</f>
        <v>10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0</v>
      </c>
      <c r="H34" s="367" t="s">
        <v>9</v>
      </c>
      <c r="I34" s="440">
        <v>0</v>
      </c>
      <c r="J34" s="369">
        <f t="shared" si="0"/>
        <v>3</v>
      </c>
      <c r="K34" s="363">
        <f t="shared" si="1"/>
        <v>1</v>
      </c>
      <c r="L34" s="363">
        <f t="shared" si="2"/>
        <v>1</v>
      </c>
      <c r="O34" s="398" t="s">
        <v>26</v>
      </c>
      <c r="P34" s="399">
        <f>SUMIF($D$8:$D$55,$O34,$G$8:$G$55)+SUMIF($F$8:$F$55,$O34,$I$8:$I$55)</f>
        <v>1</v>
      </c>
      <c r="Q34" s="399">
        <f>SUMIF($D$8:$D$55,$O34,$I$8:$I$55)+SUMIF($F$8:$F$55,$O34,$G$8:$G$55)</f>
        <v>2</v>
      </c>
      <c r="R34" s="399">
        <f>P34-Q34</f>
        <v>-1</v>
      </c>
      <c r="S34" s="400">
        <f>SUMIF($D$8:$D$55,$O34,$K$8:$K$55)+SUMIF($F$8:$F$55,$O34,$L$8:$L$55)</f>
        <v>3</v>
      </c>
      <c r="T34" s="445" t="s">
        <v>69</v>
      </c>
      <c r="U34" s="392"/>
      <c r="V34" s="392" t="str">
        <f>O34</f>
        <v>Ecuador</v>
      </c>
      <c r="W34" s="392" t="s">
        <v>68</v>
      </c>
      <c r="Y34" s="109">
        <f t="shared" si="8"/>
        <v>1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1</v>
      </c>
      <c r="AG34" s="108">
        <f t="shared" si="3"/>
        <v>0</v>
      </c>
      <c r="AH34" s="108">
        <f t="shared" si="4"/>
        <v>1</v>
      </c>
      <c r="AI34" s="108">
        <f t="shared" si="10"/>
        <v>0</v>
      </c>
      <c r="AJ34" s="108">
        <f t="shared" si="5"/>
        <v>0</v>
      </c>
      <c r="AK34" s="108">
        <f t="shared" si="6"/>
        <v>0</v>
      </c>
      <c r="AL34" s="108">
        <f t="shared" si="7"/>
        <v>0</v>
      </c>
      <c r="AM34" s="120">
        <f>AO34</f>
        <v>10</v>
      </c>
      <c r="AN34" s="117" t="s">
        <v>26</v>
      </c>
      <c r="AO34" s="115">
        <f>IF(Uitslag!T34="",0,IF(T34=Uitslag!T34,10,0))</f>
        <v>10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3</v>
      </c>
      <c r="H35" s="373" t="s">
        <v>9</v>
      </c>
      <c r="I35" s="441">
        <v>0</v>
      </c>
      <c r="J35" s="375">
        <f t="shared" si="0"/>
        <v>1</v>
      </c>
      <c r="K35" s="363">
        <f t="shared" si="1"/>
        <v>3</v>
      </c>
      <c r="L35" s="363">
        <f t="shared" si="2"/>
        <v>0</v>
      </c>
      <c r="O35" s="398" t="s">
        <v>27</v>
      </c>
      <c r="P35" s="399">
        <f>SUMIF($D$8:$D$55,$O35,$G$8:$G$55)+SUMIF($F$8:$F$55,$O35,$I$8:$I$55)</f>
        <v>5</v>
      </c>
      <c r="Q35" s="399">
        <f>SUMIF($D$8:$D$55,$O35,$I$8:$I$55)+SUMIF($F$8:$F$55,$O35,$G$8:$G$55)</f>
        <v>1</v>
      </c>
      <c r="R35" s="399">
        <f>P35-Q35</f>
        <v>4</v>
      </c>
      <c r="S35" s="400">
        <f>SUMIF($D$8:$D$55,$O35,$K$8:$K$55)+SUMIF($F$8:$F$55,$O35,$L$8:$L$55)</f>
        <v>6</v>
      </c>
      <c r="T35" s="445" t="s">
        <v>67</v>
      </c>
      <c r="U35" s="392"/>
      <c r="V35" s="392" t="str">
        <f>O35</f>
        <v>Frankrijk</v>
      </c>
      <c r="W35" s="392" t="s">
        <v>69</v>
      </c>
      <c r="Y35" s="109">
        <f t="shared" si="8"/>
        <v>0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0</v>
      </c>
      <c r="AG35" s="108">
        <f t="shared" si="3"/>
        <v>0</v>
      </c>
      <c r="AH35" s="108">
        <f t="shared" si="4"/>
        <v>0</v>
      </c>
      <c r="AI35" s="108">
        <f t="shared" si="10"/>
        <v>0</v>
      </c>
      <c r="AJ35" s="108">
        <f t="shared" si="5"/>
        <v>0</v>
      </c>
      <c r="AK35" s="108">
        <f t="shared" si="6"/>
        <v>0</v>
      </c>
      <c r="AL35" s="108">
        <f t="shared" si="7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2</v>
      </c>
      <c r="H36" s="379" t="s">
        <v>9</v>
      </c>
      <c r="I36" s="442">
        <v>1</v>
      </c>
      <c r="J36" s="381">
        <f t="shared" si="0"/>
        <v>1</v>
      </c>
      <c r="K36" s="363">
        <f t="shared" si="1"/>
        <v>3</v>
      </c>
      <c r="L36" s="363">
        <f t="shared" si="2"/>
        <v>0</v>
      </c>
      <c r="O36" s="401" t="s">
        <v>28</v>
      </c>
      <c r="P36" s="402">
        <f>SUMIF($D$8:$D$55,$O36,$G$8:$G$55)+SUMIF($F$8:$F$55,$O36,$I$8:$I$55)</f>
        <v>1</v>
      </c>
      <c r="Q36" s="402">
        <f>SUMIF($D$8:$D$55,$O36,$I$8:$I$55)+SUMIF($F$8:$F$55,$O36,$G$8:$G$55)</f>
        <v>4</v>
      </c>
      <c r="R36" s="402">
        <f>P36-Q36</f>
        <v>-3</v>
      </c>
      <c r="S36" s="403">
        <f>SUMIF($D$8:$D$55,$O36,$K$8:$K$55)+SUMIF($F$8:$F$55,$O36,$L$8:$L$55)</f>
        <v>3</v>
      </c>
      <c r="T36" s="446" t="s">
        <v>70</v>
      </c>
      <c r="U36" s="392"/>
      <c r="V36" s="392" t="str">
        <f>O36</f>
        <v>Honduras</v>
      </c>
      <c r="W36" s="392" t="s">
        <v>70</v>
      </c>
      <c r="Y36" s="109">
        <f t="shared" si="8"/>
        <v>5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5</v>
      </c>
      <c r="AG36" s="108">
        <f t="shared" si="3"/>
        <v>0</v>
      </c>
      <c r="AH36" s="108">
        <f t="shared" si="4"/>
        <v>0</v>
      </c>
      <c r="AI36" s="108">
        <f t="shared" si="10"/>
        <v>0</v>
      </c>
      <c r="AJ36" s="108">
        <f t="shared" si="5"/>
        <v>5</v>
      </c>
      <c r="AK36" s="108">
        <f t="shared" si="6"/>
        <v>0</v>
      </c>
      <c r="AL36" s="108">
        <f t="shared" si="7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0</v>
      </c>
      <c r="H37" s="367" t="s">
        <v>9</v>
      </c>
      <c r="I37" s="440">
        <v>0</v>
      </c>
      <c r="J37" s="369">
        <f t="shared" si="0"/>
        <v>3</v>
      </c>
      <c r="K37" s="363">
        <f t="shared" si="1"/>
        <v>1</v>
      </c>
      <c r="L37" s="363">
        <f t="shared" si="2"/>
        <v>1</v>
      </c>
      <c r="O37" s="392"/>
      <c r="P37" s="393"/>
      <c r="Q37" s="393"/>
      <c r="R37" s="393"/>
      <c r="S37" s="393"/>
      <c r="T37" s="393"/>
      <c r="U37" s="392"/>
      <c r="V37" s="392"/>
      <c r="W37" s="392"/>
      <c r="Y37" s="109">
        <f t="shared" si="8"/>
        <v>1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1</v>
      </c>
      <c r="AG37" s="108">
        <f t="shared" si="3"/>
        <v>0</v>
      </c>
      <c r="AH37" s="108">
        <f t="shared" si="4"/>
        <v>1</v>
      </c>
      <c r="AI37" s="108">
        <f t="shared" si="10"/>
        <v>0</v>
      </c>
      <c r="AJ37" s="108">
        <f t="shared" si="5"/>
        <v>0</v>
      </c>
      <c r="AK37" s="108">
        <f t="shared" si="6"/>
        <v>0</v>
      </c>
      <c r="AL37" s="108">
        <f t="shared" si="7"/>
        <v>0</v>
      </c>
      <c r="AN37" s="392"/>
      <c r="AO37" s="393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0</v>
      </c>
      <c r="H38" s="373" t="s">
        <v>9</v>
      </c>
      <c r="I38" s="441">
        <v>1</v>
      </c>
      <c r="J38" s="375">
        <f t="shared" si="0"/>
        <v>2</v>
      </c>
      <c r="K38" s="363">
        <f t="shared" si="1"/>
        <v>0</v>
      </c>
      <c r="L38" s="363">
        <f t="shared" si="2"/>
        <v>3</v>
      </c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392"/>
      <c r="V38" s="392"/>
      <c r="W38" s="392"/>
      <c r="Y38" s="109">
        <f t="shared" si="8"/>
        <v>5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5</v>
      </c>
      <c r="AG38" s="108">
        <f t="shared" si="3"/>
        <v>0</v>
      </c>
      <c r="AH38" s="108">
        <f t="shared" si="4"/>
        <v>0</v>
      </c>
      <c r="AI38" s="108">
        <f t="shared" si="10"/>
        <v>0</v>
      </c>
      <c r="AJ38" s="108">
        <f t="shared" si="5"/>
        <v>0</v>
      </c>
      <c r="AK38" s="108">
        <f t="shared" si="6"/>
        <v>5</v>
      </c>
      <c r="AL38" s="108">
        <f t="shared" si="7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0</v>
      </c>
      <c r="H39" s="379" t="s">
        <v>9</v>
      </c>
      <c r="I39" s="442">
        <v>2</v>
      </c>
      <c r="J39" s="381">
        <f t="shared" si="0"/>
        <v>2</v>
      </c>
      <c r="K39" s="363">
        <f t="shared" si="1"/>
        <v>0</v>
      </c>
      <c r="L39" s="363">
        <f t="shared" si="2"/>
        <v>3</v>
      </c>
      <c r="O39" s="394" t="s">
        <v>29</v>
      </c>
      <c r="P39" s="395">
        <f>SUMIF($D$8:$D$55,$O39,$G$8:$G$55)+SUMIF($F$8:$F$55,$O39,$I$8:$I$55)</f>
        <v>2</v>
      </c>
      <c r="Q39" s="395">
        <f>SUMIF($D$8:$D$55,$O39,$I$8:$I$55)+SUMIF($F$8:$F$55,$O39,$G$8:$G$55)</f>
        <v>1</v>
      </c>
      <c r="R39" s="396">
        <f>P39-Q39</f>
        <v>1</v>
      </c>
      <c r="S39" s="397">
        <f>SUMIF($D$8:$D$55,$O39,$K$8:$K$55)+SUMIF($F$8:$F$55,$O39,$L$8:$L$55)</f>
        <v>5</v>
      </c>
      <c r="T39" s="444" t="s">
        <v>72</v>
      </c>
      <c r="U39" s="392"/>
      <c r="V39" s="392" t="str">
        <f>O39</f>
        <v>Argentinië</v>
      </c>
      <c r="W39" s="392" t="s">
        <v>72</v>
      </c>
      <c r="Y39" s="109">
        <f t="shared" si="8"/>
        <v>1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1</v>
      </c>
      <c r="AG39" s="108">
        <f t="shared" si="3"/>
        <v>0</v>
      </c>
      <c r="AH39" s="108">
        <f t="shared" si="4"/>
        <v>1</v>
      </c>
      <c r="AI39" s="108">
        <f t="shared" si="10"/>
        <v>0</v>
      </c>
      <c r="AJ39" s="108">
        <f t="shared" si="5"/>
        <v>0</v>
      </c>
      <c r="AK39" s="108">
        <f t="shared" si="6"/>
        <v>0</v>
      </c>
      <c r="AL39" s="108">
        <f t="shared" si="7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0</v>
      </c>
      <c r="H40" s="367" t="s">
        <v>9</v>
      </c>
      <c r="I40" s="440">
        <v>2</v>
      </c>
      <c r="J40" s="369">
        <f t="shared" si="0"/>
        <v>2</v>
      </c>
      <c r="K40" s="363">
        <f t="shared" si="1"/>
        <v>0</v>
      </c>
      <c r="L40" s="363">
        <f t="shared" si="2"/>
        <v>3</v>
      </c>
      <c r="O40" s="398" t="s">
        <v>30</v>
      </c>
      <c r="P40" s="399">
        <f>SUMIF($D$8:$D$55,$O40,$G$8:$G$55)+SUMIF($F$8:$F$55,$O40,$I$8:$I$55)</f>
        <v>3</v>
      </c>
      <c r="Q40" s="399">
        <f>SUMIF($D$8:$D$55,$O40,$I$8:$I$55)+SUMIF($F$8:$F$55,$O40,$G$8:$G$55)</f>
        <v>3</v>
      </c>
      <c r="R40" s="399">
        <f>P40-Q40</f>
        <v>0</v>
      </c>
      <c r="S40" s="400">
        <f>SUMIF($D$8:$D$55,$O40,$K$8:$K$55)+SUMIF($F$8:$F$55,$O40,$L$8:$L$55)</f>
        <v>4</v>
      </c>
      <c r="T40" s="445" t="s">
        <v>73</v>
      </c>
      <c r="U40" s="392"/>
      <c r="V40" s="392" t="str">
        <f>O40</f>
        <v>Bosnië H.</v>
      </c>
      <c r="W40" s="392" t="s">
        <v>73</v>
      </c>
      <c r="Y40" s="109">
        <f t="shared" si="8"/>
        <v>6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6</v>
      </c>
      <c r="AG40" s="108">
        <f t="shared" si="3"/>
        <v>1</v>
      </c>
      <c r="AH40" s="108">
        <f t="shared" si="4"/>
        <v>0</v>
      </c>
      <c r="AI40" s="108">
        <f t="shared" si="10"/>
        <v>0</v>
      </c>
      <c r="AJ40" s="108">
        <f t="shared" si="5"/>
        <v>0</v>
      </c>
      <c r="AK40" s="108">
        <f t="shared" si="6"/>
        <v>5</v>
      </c>
      <c r="AL40" s="108">
        <f t="shared" si="7"/>
        <v>0</v>
      </c>
      <c r="AM40" s="120">
        <f>AO40</f>
        <v>0</v>
      </c>
      <c r="AN40" s="117" t="s">
        <v>30</v>
      </c>
      <c r="AO40" s="115">
        <f>IF(Uitslag!T40="",0,IF(T40=Uitslag!T40,10,0))</f>
        <v>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1</v>
      </c>
      <c r="H41" s="373" t="s">
        <v>9</v>
      </c>
      <c r="I41" s="441">
        <v>0</v>
      </c>
      <c r="J41" s="375">
        <f t="shared" si="0"/>
        <v>1</v>
      </c>
      <c r="K41" s="363">
        <f t="shared" si="1"/>
        <v>3</v>
      </c>
      <c r="L41" s="363">
        <f t="shared" si="2"/>
        <v>0</v>
      </c>
      <c r="O41" s="398" t="s">
        <v>33</v>
      </c>
      <c r="P41" s="399">
        <f>SUMIF($D$8:$D$55,$O41,$G$8:$G$55)+SUMIF($F$8:$F$55,$O41,$I$8:$I$55)</f>
        <v>2</v>
      </c>
      <c r="Q41" s="399">
        <f>SUMIF($D$8:$D$55,$O41,$I$8:$I$55)+SUMIF($F$8:$F$55,$O41,$G$8:$G$55)</f>
        <v>2</v>
      </c>
      <c r="R41" s="399">
        <f>P41-Q41</f>
        <v>0</v>
      </c>
      <c r="S41" s="400">
        <f>SUMIF($D$8:$D$55,$O41,$K$8:$K$55)+SUMIF($F$8:$F$55,$O41,$L$8:$L$55)</f>
        <v>4</v>
      </c>
      <c r="T41" s="445" t="s">
        <v>74</v>
      </c>
      <c r="U41" s="392"/>
      <c r="V41" s="392" t="str">
        <f>O41</f>
        <v>Iran</v>
      </c>
      <c r="W41" s="392" t="s">
        <v>74</v>
      </c>
      <c r="Y41" s="109">
        <f t="shared" si="8"/>
        <v>6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6</v>
      </c>
      <c r="AG41" s="108">
        <f t="shared" si="3"/>
        <v>0</v>
      </c>
      <c r="AH41" s="108">
        <f t="shared" si="4"/>
        <v>1</v>
      </c>
      <c r="AI41" s="108">
        <f t="shared" si="10"/>
        <v>0</v>
      </c>
      <c r="AJ41" s="108">
        <f t="shared" si="5"/>
        <v>5</v>
      </c>
      <c r="AK41" s="108">
        <f t="shared" si="6"/>
        <v>0</v>
      </c>
      <c r="AL41" s="108">
        <f t="shared" si="7"/>
        <v>0</v>
      </c>
      <c r="AM41" s="120">
        <f>AO41</f>
        <v>0</v>
      </c>
      <c r="AN41" s="117" t="s">
        <v>33</v>
      </c>
      <c r="AO41" s="115">
        <f>IF(Uitslag!T41="",0,IF(T41=Uitslag!T41,10,0))</f>
        <v>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0</v>
      </c>
      <c r="H42" s="373" t="s">
        <v>9</v>
      </c>
      <c r="I42" s="441">
        <v>2</v>
      </c>
      <c r="J42" s="375">
        <f t="shared" si="0"/>
        <v>2</v>
      </c>
      <c r="K42" s="363">
        <f t="shared" si="1"/>
        <v>0</v>
      </c>
      <c r="L42" s="363">
        <f t="shared" si="2"/>
        <v>3</v>
      </c>
      <c r="O42" s="401" t="s">
        <v>34</v>
      </c>
      <c r="P42" s="402">
        <f>SUMIF($D$8:$D$55,$O42,$G$8:$G$55)+SUMIF($F$8:$F$55,$O42,$I$8:$I$55)</f>
        <v>3</v>
      </c>
      <c r="Q42" s="402">
        <f>SUMIF($D$8:$D$55,$O42,$I$8:$I$55)+SUMIF($F$8:$F$55,$O42,$G$8:$G$55)</f>
        <v>4</v>
      </c>
      <c r="R42" s="402">
        <f>P42-Q42</f>
        <v>-1</v>
      </c>
      <c r="S42" s="403">
        <f>SUMIF($D$8:$D$55,$O42,$K$8:$K$55)+SUMIF($F$8:$F$55,$O42,$L$8:$L$55)</f>
        <v>3</v>
      </c>
      <c r="T42" s="446" t="s">
        <v>75</v>
      </c>
      <c r="U42" s="392"/>
      <c r="V42" s="392" t="str">
        <f>O42</f>
        <v>Nigeria</v>
      </c>
      <c r="W42" s="392" t="s">
        <v>75</v>
      </c>
      <c r="Y42" s="109">
        <f t="shared" si="8"/>
        <v>5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5</v>
      </c>
      <c r="AG42" s="108">
        <f t="shared" si="3"/>
        <v>0</v>
      </c>
      <c r="AH42" s="108">
        <f t="shared" si="4"/>
        <v>0</v>
      </c>
      <c r="AI42" s="108">
        <f t="shared" si="10"/>
        <v>0</v>
      </c>
      <c r="AJ42" s="108">
        <f t="shared" si="5"/>
        <v>0</v>
      </c>
      <c r="AK42" s="108">
        <f t="shared" si="6"/>
        <v>5</v>
      </c>
      <c r="AL42" s="108">
        <f t="shared" si="7"/>
        <v>0</v>
      </c>
      <c r="AM42" s="120">
        <f>AO42</f>
        <v>0</v>
      </c>
      <c r="AN42" s="118" t="s">
        <v>34</v>
      </c>
      <c r="AO42" s="115">
        <f>IF(Uitslag!T42="",0,IF(T42=Uitslag!T42,10,0))</f>
        <v>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1</v>
      </c>
      <c r="H43" s="379" t="s">
        <v>9</v>
      </c>
      <c r="I43" s="442">
        <v>1</v>
      </c>
      <c r="J43" s="381">
        <f t="shared" si="0"/>
        <v>3</v>
      </c>
      <c r="K43" s="363">
        <f t="shared" si="1"/>
        <v>1</v>
      </c>
      <c r="L43" s="363">
        <f t="shared" si="2"/>
        <v>1</v>
      </c>
      <c r="O43" s="392"/>
      <c r="P43" s="393"/>
      <c r="Q43" s="393"/>
      <c r="R43" s="393"/>
      <c r="S43" s="393"/>
      <c r="T43" s="393"/>
      <c r="U43" s="392"/>
      <c r="V43" s="392"/>
      <c r="W43" s="392"/>
      <c r="Y43" s="109">
        <f t="shared" si="8"/>
        <v>1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1</v>
      </c>
      <c r="AG43" s="108">
        <f t="shared" si="3"/>
        <v>1</v>
      </c>
      <c r="AH43" s="108">
        <f t="shared" si="4"/>
        <v>0</v>
      </c>
      <c r="AI43" s="108">
        <f t="shared" si="10"/>
        <v>0</v>
      </c>
      <c r="AJ43" s="108">
        <f t="shared" si="5"/>
        <v>0</v>
      </c>
      <c r="AK43" s="108">
        <f t="shared" si="6"/>
        <v>0</v>
      </c>
      <c r="AL43" s="108">
        <f t="shared" si="7"/>
        <v>0</v>
      </c>
      <c r="AN43" s="392"/>
      <c r="AO43" s="393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2</v>
      </c>
      <c r="H44" s="367" t="s">
        <v>9</v>
      </c>
      <c r="I44" s="440">
        <v>0</v>
      </c>
      <c r="J44" s="369">
        <f t="shared" si="0"/>
        <v>1</v>
      </c>
      <c r="K44" s="363">
        <f t="shared" si="1"/>
        <v>3</v>
      </c>
      <c r="L44" s="363">
        <f t="shared" si="2"/>
        <v>0</v>
      </c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392"/>
      <c r="V44" s="392"/>
      <c r="W44" s="392"/>
      <c r="Y44" s="109">
        <f t="shared" si="8"/>
        <v>0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0</v>
      </c>
      <c r="AG44" s="108">
        <f t="shared" si="3"/>
        <v>0</v>
      </c>
      <c r="AH44" s="108">
        <f t="shared" si="4"/>
        <v>0</v>
      </c>
      <c r="AI44" s="108">
        <f t="shared" si="10"/>
        <v>0</v>
      </c>
      <c r="AJ44" s="108">
        <f t="shared" si="5"/>
        <v>0</v>
      </c>
      <c r="AK44" s="108">
        <f t="shared" si="6"/>
        <v>0</v>
      </c>
      <c r="AL44" s="108">
        <f t="shared" si="7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0</v>
      </c>
      <c r="H45" s="373" t="s">
        <v>9</v>
      </c>
      <c r="I45" s="441">
        <v>2</v>
      </c>
      <c r="J45" s="375">
        <f t="shared" si="0"/>
        <v>2</v>
      </c>
      <c r="K45" s="363">
        <f t="shared" si="1"/>
        <v>0</v>
      </c>
      <c r="L45" s="363">
        <f t="shared" si="2"/>
        <v>3</v>
      </c>
      <c r="O45" s="394" t="s">
        <v>31</v>
      </c>
      <c r="P45" s="395">
        <f>SUMIF($D$8:$D$55,$O45,$G$8:$G$55)+SUMIF($F$8:$F$55,$O45,$I$8:$I$55)</f>
        <v>6</v>
      </c>
      <c r="Q45" s="395">
        <f>SUMIF($D$8:$D$55,$O45,$I$8:$I$55)+SUMIF($F$8:$F$55,$O45,$G$8:$G$55)</f>
        <v>4</v>
      </c>
      <c r="R45" s="396">
        <f>P45-Q45</f>
        <v>2</v>
      </c>
      <c r="S45" s="397">
        <f>SUMIF($D$8:$D$55,$O45,$K$8:$K$55)+SUMIF($F$8:$F$55,$O45,$L$8:$L$55)</f>
        <v>4</v>
      </c>
      <c r="T45" s="444" t="s">
        <v>78</v>
      </c>
      <c r="U45" s="392"/>
      <c r="V45" s="392" t="str">
        <f>O45</f>
        <v>Duitsland</v>
      </c>
      <c r="W45" s="392" t="s">
        <v>77</v>
      </c>
      <c r="Y45" s="109">
        <f t="shared" si="8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1</v>
      </c>
      <c r="AG45" s="108">
        <f t="shared" si="3"/>
        <v>1</v>
      </c>
      <c r="AH45" s="108">
        <f t="shared" si="4"/>
        <v>0</v>
      </c>
      <c r="AI45" s="108">
        <f t="shared" si="10"/>
        <v>0</v>
      </c>
      <c r="AJ45" s="108">
        <f t="shared" si="5"/>
        <v>0</v>
      </c>
      <c r="AK45" s="108">
        <f t="shared" si="6"/>
        <v>0</v>
      </c>
      <c r="AL45" s="108">
        <f t="shared" si="7"/>
        <v>0</v>
      </c>
      <c r="AM45" s="120">
        <f>AO45</f>
        <v>0</v>
      </c>
      <c r="AN45" s="116" t="s">
        <v>31</v>
      </c>
      <c r="AO45" s="115">
        <f>IF(Uitslag!T45="",0,IF(T45=Uitslag!T45,10,0))</f>
        <v>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1</v>
      </c>
      <c r="H46" s="373" t="s">
        <v>9</v>
      </c>
      <c r="I46" s="441">
        <v>1</v>
      </c>
      <c r="J46" s="375">
        <f t="shared" si="0"/>
        <v>3</v>
      </c>
      <c r="K46" s="363">
        <f t="shared" si="1"/>
        <v>1</v>
      </c>
      <c r="L46" s="363">
        <f t="shared" si="2"/>
        <v>1</v>
      </c>
      <c r="O46" s="398" t="s">
        <v>32</v>
      </c>
      <c r="P46" s="399">
        <f>SUMIF($D$8:$D$55,$O46,$G$8:$G$55)+SUMIF($F$8:$F$55,$O46,$I$8:$I$55)</f>
        <v>6</v>
      </c>
      <c r="Q46" s="399">
        <f>SUMIF($D$8:$D$55,$O46,$I$8:$I$55)+SUMIF($F$8:$F$55,$O46,$G$8:$G$55)</f>
        <v>2</v>
      </c>
      <c r="R46" s="399">
        <f>P46-Q46</f>
        <v>4</v>
      </c>
      <c r="S46" s="400">
        <f>SUMIF($D$8:$D$55,$O46,$K$8:$K$55)+SUMIF($F$8:$F$55,$O46,$L$8:$L$55)</f>
        <v>7</v>
      </c>
      <c r="T46" s="445" t="s">
        <v>77</v>
      </c>
      <c r="U46" s="392"/>
      <c r="V46" s="392" t="str">
        <f>O46</f>
        <v>Portugal</v>
      </c>
      <c r="W46" s="392" t="s">
        <v>78</v>
      </c>
      <c r="Y46" s="109">
        <f t="shared" si="8"/>
        <v>1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1</v>
      </c>
      <c r="AG46" s="108">
        <f t="shared" si="3"/>
        <v>1</v>
      </c>
      <c r="AH46" s="108">
        <f t="shared" si="4"/>
        <v>0</v>
      </c>
      <c r="AI46" s="108">
        <f t="shared" si="10"/>
        <v>0</v>
      </c>
      <c r="AJ46" s="108">
        <f t="shared" si="5"/>
        <v>0</v>
      </c>
      <c r="AK46" s="108">
        <f t="shared" si="6"/>
        <v>0</v>
      </c>
      <c r="AL46" s="108">
        <f t="shared" si="7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1</v>
      </c>
      <c r="H47" s="379" t="s">
        <v>9</v>
      </c>
      <c r="I47" s="442">
        <v>0</v>
      </c>
      <c r="J47" s="381">
        <f t="shared" si="0"/>
        <v>1</v>
      </c>
      <c r="K47" s="363">
        <f t="shared" si="1"/>
        <v>3</v>
      </c>
      <c r="L47" s="363">
        <f t="shared" si="2"/>
        <v>0</v>
      </c>
      <c r="O47" s="398" t="s">
        <v>35</v>
      </c>
      <c r="P47" s="399">
        <f>SUMIF($D$8:$D$55,$O47,$G$8:$G$55)+SUMIF($F$8:$F$55,$O47,$I$8:$I$55)</f>
        <v>2</v>
      </c>
      <c r="Q47" s="399">
        <f>SUMIF($D$8:$D$55,$O47,$I$8:$I$55)+SUMIF($F$8:$F$55,$O47,$G$8:$G$55)</f>
        <v>5</v>
      </c>
      <c r="R47" s="399">
        <f>P47-Q47</f>
        <v>-3</v>
      </c>
      <c r="S47" s="400">
        <f>SUMIF($D$8:$D$55,$O47,$K$8:$K$55)+SUMIF($F$8:$F$55,$O47,$L$8:$L$55)</f>
        <v>3</v>
      </c>
      <c r="T47" s="445" t="s">
        <v>79</v>
      </c>
      <c r="U47" s="392"/>
      <c r="V47" s="392" t="str">
        <f>O47</f>
        <v>Ghana</v>
      </c>
      <c r="W47" s="392" t="s">
        <v>79</v>
      </c>
      <c r="Y47" s="109">
        <f t="shared" si="8"/>
        <v>5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5</v>
      </c>
      <c r="AG47" s="108">
        <f t="shared" si="3"/>
        <v>0</v>
      </c>
      <c r="AH47" s="108">
        <f t="shared" si="4"/>
        <v>0</v>
      </c>
      <c r="AI47" s="108">
        <f t="shared" si="10"/>
        <v>0</v>
      </c>
      <c r="AJ47" s="108">
        <f t="shared" si="5"/>
        <v>5</v>
      </c>
      <c r="AK47" s="108">
        <f t="shared" si="6"/>
        <v>0</v>
      </c>
      <c r="AL47" s="108">
        <f t="shared" si="7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0</v>
      </c>
      <c r="H48" s="367" t="s">
        <v>9</v>
      </c>
      <c r="I48" s="440">
        <v>1</v>
      </c>
      <c r="J48" s="369">
        <f t="shared" si="0"/>
        <v>2</v>
      </c>
      <c r="K48" s="363">
        <f t="shared" si="1"/>
        <v>0</v>
      </c>
      <c r="L48" s="363">
        <f t="shared" si="2"/>
        <v>3</v>
      </c>
      <c r="O48" s="401" t="s">
        <v>36</v>
      </c>
      <c r="P48" s="402">
        <f>SUMIF($D$8:$D$55,$O48,$G$8:$G$55)+SUMIF($F$8:$F$55,$O48,$I$8:$I$55)</f>
        <v>2</v>
      </c>
      <c r="Q48" s="402">
        <f>SUMIF($D$8:$D$55,$O48,$I$8:$I$55)+SUMIF($F$8:$F$55,$O48,$G$8:$G$55)</f>
        <v>5</v>
      </c>
      <c r="R48" s="402">
        <f>P48-Q48</f>
        <v>-3</v>
      </c>
      <c r="S48" s="403">
        <f>SUMIF($D$8:$D$55,$O48,$K$8:$K$55)+SUMIF($F$8:$F$55,$O48,$L$8:$L$55)</f>
        <v>3</v>
      </c>
      <c r="T48" s="446" t="s">
        <v>80</v>
      </c>
      <c r="U48" s="392"/>
      <c r="V48" s="392" t="str">
        <f>O48</f>
        <v>Verenigde Staten</v>
      </c>
      <c r="W48" s="392" t="s">
        <v>80</v>
      </c>
      <c r="Y48" s="109">
        <f t="shared" si="8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5</v>
      </c>
      <c r="AG48" s="108">
        <f t="shared" si="3"/>
        <v>0</v>
      </c>
      <c r="AH48" s="108">
        <f t="shared" si="4"/>
        <v>0</v>
      </c>
      <c r="AI48" s="108">
        <f t="shared" si="10"/>
        <v>0</v>
      </c>
      <c r="AJ48" s="108">
        <f t="shared" si="5"/>
        <v>0</v>
      </c>
      <c r="AK48" s="108">
        <f t="shared" si="6"/>
        <v>5</v>
      </c>
      <c r="AL48" s="108">
        <f t="shared" si="7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1</v>
      </c>
      <c r="H49" s="373" t="s">
        <v>9</v>
      </c>
      <c r="I49" s="441">
        <v>0</v>
      </c>
      <c r="J49" s="375">
        <f t="shared" si="0"/>
        <v>1</v>
      </c>
      <c r="K49" s="363">
        <f t="shared" si="1"/>
        <v>3</v>
      </c>
      <c r="L49" s="363">
        <f t="shared" si="2"/>
        <v>0</v>
      </c>
      <c r="O49" s="392"/>
      <c r="P49" s="393"/>
      <c r="Q49" s="393"/>
      <c r="R49" s="393"/>
      <c r="S49" s="393"/>
      <c r="T49" s="393"/>
      <c r="U49" s="392"/>
      <c r="V49" s="392"/>
      <c r="W49" s="392"/>
      <c r="Y49" s="109">
        <f t="shared" si="8"/>
        <v>5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5</v>
      </c>
      <c r="AG49" s="108">
        <f t="shared" si="3"/>
        <v>0</v>
      </c>
      <c r="AH49" s="108">
        <f t="shared" si="4"/>
        <v>0</v>
      </c>
      <c r="AI49" s="108">
        <f t="shared" si="10"/>
        <v>0</v>
      </c>
      <c r="AJ49" s="108">
        <f t="shared" si="5"/>
        <v>5</v>
      </c>
      <c r="AK49" s="108">
        <f t="shared" si="6"/>
        <v>0</v>
      </c>
      <c r="AL49" s="108">
        <f t="shared" si="7"/>
        <v>0</v>
      </c>
      <c r="AN49" s="392"/>
      <c r="AO49" s="393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0</v>
      </c>
      <c r="H50" s="373" t="s">
        <v>9</v>
      </c>
      <c r="I50" s="441">
        <v>2</v>
      </c>
      <c r="J50" s="375">
        <f t="shared" si="0"/>
        <v>2</v>
      </c>
      <c r="K50" s="363">
        <f t="shared" si="1"/>
        <v>0</v>
      </c>
      <c r="L50" s="363">
        <f t="shared" si="2"/>
        <v>3</v>
      </c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392"/>
      <c r="V50" s="392"/>
      <c r="W50" s="392"/>
      <c r="Y50" s="109">
        <f t="shared" si="8"/>
        <v>6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6</v>
      </c>
      <c r="AG50" s="108">
        <f t="shared" si="3"/>
        <v>1</v>
      </c>
      <c r="AH50" s="108">
        <f t="shared" si="4"/>
        <v>0</v>
      </c>
      <c r="AI50" s="108">
        <f t="shared" si="10"/>
        <v>0</v>
      </c>
      <c r="AJ50" s="108">
        <f t="shared" si="5"/>
        <v>0</v>
      </c>
      <c r="AK50" s="108">
        <f t="shared" si="6"/>
        <v>5</v>
      </c>
      <c r="AL50" s="108">
        <f t="shared" si="7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1</v>
      </c>
      <c r="H51" s="379" t="s">
        <v>9</v>
      </c>
      <c r="I51" s="442">
        <v>0</v>
      </c>
      <c r="J51" s="381">
        <f t="shared" si="0"/>
        <v>1</v>
      </c>
      <c r="K51" s="363">
        <f t="shared" si="1"/>
        <v>3</v>
      </c>
      <c r="L51" s="363">
        <f t="shared" si="2"/>
        <v>0</v>
      </c>
      <c r="O51" s="394" t="s">
        <v>37</v>
      </c>
      <c r="P51" s="395">
        <f>SUMIF($D$8:$D$55,$O51,$G$8:$G$55)+SUMIF($F$8:$F$55,$O51,$I$8:$I$55)</f>
        <v>3</v>
      </c>
      <c r="Q51" s="395">
        <f>SUMIF($D$8:$D$55,$O51,$I$8:$I$55)+SUMIF($F$8:$F$55,$O51,$G$8:$G$55)</f>
        <v>1</v>
      </c>
      <c r="R51" s="396">
        <f>P51-Q51</f>
        <v>2</v>
      </c>
      <c r="S51" s="397">
        <f>SUMIF($D$8:$D$55,$O51,$K$8:$K$55)+SUMIF($F$8:$F$55,$O51,$L$8:$L$55)</f>
        <v>5</v>
      </c>
      <c r="T51" s="444" t="s">
        <v>82</v>
      </c>
      <c r="U51" s="392"/>
      <c r="V51" s="392" t="str">
        <f>O51</f>
        <v>België</v>
      </c>
      <c r="W51" s="392" t="s">
        <v>82</v>
      </c>
      <c r="Y51" s="109">
        <f t="shared" si="8"/>
        <v>1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1</v>
      </c>
      <c r="AG51" s="108">
        <f t="shared" si="3"/>
        <v>0</v>
      </c>
      <c r="AH51" s="108">
        <f t="shared" si="4"/>
        <v>1</v>
      </c>
      <c r="AI51" s="108">
        <f t="shared" si="10"/>
        <v>0</v>
      </c>
      <c r="AJ51" s="108">
        <f t="shared" si="5"/>
        <v>0</v>
      </c>
      <c r="AK51" s="108">
        <f t="shared" si="6"/>
        <v>0</v>
      </c>
      <c r="AL51" s="108">
        <f t="shared" si="7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2</v>
      </c>
      <c r="H52" s="373" t="s">
        <v>9</v>
      </c>
      <c r="I52" s="441">
        <v>1</v>
      </c>
      <c r="J52" s="369">
        <f t="shared" si="0"/>
        <v>1</v>
      </c>
      <c r="K52" s="363">
        <f t="shared" si="1"/>
        <v>3</v>
      </c>
      <c r="L52" s="363">
        <f t="shared" si="2"/>
        <v>0</v>
      </c>
      <c r="O52" s="398" t="s">
        <v>38</v>
      </c>
      <c r="P52" s="399">
        <f>SUMIF($D$8:$D$55,$O52,$G$8:$G$55)+SUMIF($F$8:$F$55,$O52,$I$8:$I$55)</f>
        <v>3</v>
      </c>
      <c r="Q52" s="399">
        <f>SUMIF($D$8:$D$55,$O52,$I$8:$I$55)+SUMIF($F$8:$F$55,$O52,$G$8:$G$55)</f>
        <v>4</v>
      </c>
      <c r="R52" s="399">
        <f>P52-Q52</f>
        <v>-1</v>
      </c>
      <c r="S52" s="400">
        <f>SUMIF($D$8:$D$55,$O52,$K$8:$K$55)+SUMIF($F$8:$F$55,$O52,$L$8:$L$55)</f>
        <v>4</v>
      </c>
      <c r="T52" s="445" t="s">
        <v>84</v>
      </c>
      <c r="U52" s="392"/>
      <c r="V52" s="392" t="str">
        <f>O52</f>
        <v>Algerije</v>
      </c>
      <c r="W52" s="392" t="s">
        <v>83</v>
      </c>
      <c r="Y52" s="109">
        <f t="shared" si="8"/>
        <v>1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1</v>
      </c>
      <c r="AG52" s="108">
        <f t="shared" si="3"/>
        <v>0</v>
      </c>
      <c r="AH52" s="108">
        <f t="shared" si="4"/>
        <v>1</v>
      </c>
      <c r="AI52" s="108">
        <f t="shared" si="10"/>
        <v>0</v>
      </c>
      <c r="AJ52" s="108">
        <f t="shared" si="5"/>
        <v>0</v>
      </c>
      <c r="AK52" s="108">
        <f t="shared" si="6"/>
        <v>0</v>
      </c>
      <c r="AL52" s="108">
        <f t="shared" si="7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2</v>
      </c>
      <c r="H53" s="373" t="s">
        <v>9</v>
      </c>
      <c r="I53" s="441">
        <v>0</v>
      </c>
      <c r="J53" s="375">
        <f t="shared" si="0"/>
        <v>1</v>
      </c>
      <c r="K53" s="363">
        <f t="shared" si="1"/>
        <v>3</v>
      </c>
      <c r="L53" s="363">
        <f t="shared" si="2"/>
        <v>0</v>
      </c>
      <c r="O53" s="398" t="s">
        <v>39</v>
      </c>
      <c r="P53" s="399">
        <f>SUMIF($D$8:$D$55,$O53,$G$8:$G$55)+SUMIF($F$8:$F$55,$O53,$I$8:$I$55)</f>
        <v>3</v>
      </c>
      <c r="Q53" s="399">
        <f>SUMIF($D$8:$D$55,$O53,$I$8:$I$55)+SUMIF($F$8:$F$55,$O53,$G$8:$G$55)</f>
        <v>2</v>
      </c>
      <c r="R53" s="399">
        <f>P53-Q53</f>
        <v>1</v>
      </c>
      <c r="S53" s="400">
        <f>SUMIF($D$8:$D$55,$O53,$K$8:$K$55)+SUMIF($F$8:$F$55,$O53,$L$8:$L$55)</f>
        <v>5</v>
      </c>
      <c r="T53" s="445" t="s">
        <v>83</v>
      </c>
      <c r="U53" s="392"/>
      <c r="V53" s="392" t="str">
        <f>O53</f>
        <v>Rusland</v>
      </c>
      <c r="W53" s="392" t="s">
        <v>84</v>
      </c>
      <c r="Y53" s="109">
        <f t="shared" si="8"/>
        <v>6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6</v>
      </c>
      <c r="AG53" s="108">
        <f t="shared" si="3"/>
        <v>1</v>
      </c>
      <c r="AH53" s="108">
        <f t="shared" si="4"/>
        <v>0</v>
      </c>
      <c r="AI53" s="108">
        <f t="shared" si="10"/>
        <v>0</v>
      </c>
      <c r="AJ53" s="108">
        <f t="shared" si="5"/>
        <v>5</v>
      </c>
      <c r="AK53" s="108">
        <f t="shared" si="6"/>
        <v>0</v>
      </c>
      <c r="AL53" s="108">
        <f t="shared" si="7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1</v>
      </c>
      <c r="H54" s="373" t="s">
        <v>9</v>
      </c>
      <c r="I54" s="441">
        <v>1</v>
      </c>
      <c r="J54" s="375">
        <f t="shared" si="0"/>
        <v>3</v>
      </c>
      <c r="K54" s="363">
        <f t="shared" si="1"/>
        <v>1</v>
      </c>
      <c r="L54" s="363">
        <f t="shared" si="2"/>
        <v>1</v>
      </c>
      <c r="O54" s="401" t="s">
        <v>40</v>
      </c>
      <c r="P54" s="402">
        <f>SUMIF($D$8:$D$55,$O54,$G$8:$G$55)+SUMIF($F$8:$F$55,$O54,$I$8:$I$55)</f>
        <v>1</v>
      </c>
      <c r="Q54" s="402">
        <f>SUMIF($D$8:$D$55,$O54,$I$8:$I$55)+SUMIF($F$8:$F$55,$O54,$G$8:$G$55)</f>
        <v>3</v>
      </c>
      <c r="R54" s="402">
        <f>P54-Q54</f>
        <v>-2</v>
      </c>
      <c r="S54" s="403">
        <f>SUMIF($D$8:$D$55,$O54,$K$8:$K$55)+SUMIF($F$8:$F$55,$O54,$L$8:$L$55)</f>
        <v>1</v>
      </c>
      <c r="T54" s="446" t="s">
        <v>85</v>
      </c>
      <c r="U54" s="392"/>
      <c r="V54" s="392" t="str">
        <f>O54</f>
        <v>Zuid Korea</v>
      </c>
      <c r="W54" s="392" t="s">
        <v>85</v>
      </c>
      <c r="Y54" s="109">
        <f t="shared" si="8"/>
        <v>1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1</v>
      </c>
      <c r="AG54" s="108">
        <f t="shared" si="3"/>
        <v>0</v>
      </c>
      <c r="AH54" s="108">
        <f t="shared" si="4"/>
        <v>1</v>
      </c>
      <c r="AI54" s="108">
        <f t="shared" si="10"/>
        <v>0</v>
      </c>
      <c r="AJ54" s="108">
        <f t="shared" si="5"/>
        <v>0</v>
      </c>
      <c r="AK54" s="108">
        <f t="shared" si="6"/>
        <v>0</v>
      </c>
      <c r="AL54" s="108">
        <f t="shared" si="7"/>
        <v>0</v>
      </c>
      <c r="AM54" s="120">
        <f>AO54</f>
        <v>10</v>
      </c>
      <c r="AN54" s="118" t="s">
        <v>40</v>
      </c>
      <c r="AO54" s="115">
        <f>IF(Uitslag!T54="",0,IF(T54=Uitslag!T54,10,0))</f>
        <v>10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2</v>
      </c>
      <c r="H55" s="388" t="s">
        <v>9</v>
      </c>
      <c r="I55" s="443">
        <v>2</v>
      </c>
      <c r="J55" s="390">
        <f t="shared" si="0"/>
        <v>3</v>
      </c>
      <c r="K55" s="363">
        <f t="shared" si="1"/>
        <v>1</v>
      </c>
      <c r="L55" s="363">
        <f t="shared" si="2"/>
        <v>1</v>
      </c>
      <c r="O55" s="392"/>
      <c r="P55" s="393"/>
      <c r="Q55" s="393"/>
      <c r="R55" s="393"/>
      <c r="S55" s="393"/>
      <c r="T55" s="393"/>
      <c r="U55" s="392"/>
      <c r="V55" s="392"/>
      <c r="W55" s="392"/>
      <c r="Y55" s="109">
        <f t="shared" si="8"/>
        <v>5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5</v>
      </c>
      <c r="AG55" s="108">
        <f t="shared" si="3"/>
        <v>0</v>
      </c>
      <c r="AH55" s="108">
        <f t="shared" si="4"/>
        <v>0</v>
      </c>
      <c r="AI55" s="108">
        <f t="shared" si="10"/>
        <v>0</v>
      </c>
      <c r="AJ55" s="108">
        <f t="shared" si="5"/>
        <v>0</v>
      </c>
      <c r="AK55" s="108">
        <f t="shared" si="6"/>
        <v>0</v>
      </c>
      <c r="AL55" s="108">
        <f t="shared" si="7"/>
        <v>5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79"/>
      <c r="K57" s="353"/>
      <c r="L57" s="353"/>
      <c r="M57" s="353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77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O58" s="458">
        <v>1</v>
      </c>
      <c r="P58" s="877" t="s">
        <v>224</v>
      </c>
      <c r="Q58" s="877"/>
      <c r="R58" s="877"/>
      <c r="S58" s="877"/>
      <c r="T58" s="878"/>
      <c r="V58" s="352" t="s">
        <v>132</v>
      </c>
      <c r="W58" s="352" t="s">
        <v>124</v>
      </c>
      <c r="X58" s="352" t="str">
        <f t="shared" ref="X58:X98" si="11">CONCATENATE(W58," ",V58)</f>
        <v>Jeroen Zoet (k)</v>
      </c>
      <c r="Y58" s="113" t="s">
        <v>91</v>
      </c>
      <c r="Z58" s="352" t="str">
        <f>IF(K58=""," ",VLOOKUP(K58,$T$9:$V$54,3,FALSE))</f>
        <v xml:space="preserve"> </v>
      </c>
      <c r="AA58" s="352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 t="shared" ref="D59:D66" si="13">IF(ISERROR(Z59),K59,Z59)</f>
        <v>Brazilië</v>
      </c>
      <c r="E59" s="367" t="s">
        <v>9</v>
      </c>
      <c r="F59" s="406" t="str">
        <f t="shared" ref="F59:F66" si="14">IF(ISERROR(AA59),L59,AA59)</f>
        <v>Nederland</v>
      </c>
      <c r="G59" s="435">
        <v>1</v>
      </c>
      <c r="H59" s="367" t="s">
        <v>9</v>
      </c>
      <c r="I59" s="447">
        <v>2</v>
      </c>
      <c r="J59" s="448">
        <v>2</v>
      </c>
      <c r="K59" s="407" t="s">
        <v>48</v>
      </c>
      <c r="L59" s="407" t="s">
        <v>53</v>
      </c>
      <c r="M59" s="407">
        <v>1</v>
      </c>
      <c r="O59" s="458">
        <v>2</v>
      </c>
      <c r="P59" s="877" t="s">
        <v>308</v>
      </c>
      <c r="Q59" s="877"/>
      <c r="R59" s="877"/>
      <c r="S59" s="877"/>
      <c r="T59" s="878"/>
      <c r="V59" s="352" t="s">
        <v>132</v>
      </c>
      <c r="W59" s="352" t="s">
        <v>111</v>
      </c>
      <c r="X59" s="352" t="str">
        <f t="shared" si="11"/>
        <v>Jasper Cillessen (k)</v>
      </c>
      <c r="Y59" s="109">
        <f t="shared" ref="Y59:Y66" si="15">AF59</f>
        <v>1</v>
      </c>
      <c r="Z59" s="352" t="str">
        <f t="shared" ref="Z59:AA65" si="16">IF(K59=""," ",VLOOKUP(K59,$T$9:$V$54,3,FALSE))</f>
        <v>Brazilië</v>
      </c>
      <c r="AA59" s="352" t="str">
        <f t="shared" si="16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7">IF(OR(AC59="",AD59=""),0,(IF(SUM(AG59:AL59)&gt;10,10,SUM(AG59:AL59))))</f>
        <v>1</v>
      </c>
      <c r="AG59" s="108">
        <f t="shared" ref="AG59:AG66" si="18">IF(AC59="",0,(IF(G59=AC59,1,0)))</f>
        <v>1</v>
      </c>
      <c r="AH59" s="108">
        <f t="shared" ref="AH59:AH66" si="19">IF(AD59="",0,(IF(I59=AD59,1,0)))</f>
        <v>0</v>
      </c>
      <c r="AI59" s="108">
        <f t="shared" ref="AI59:AI66" si="20">IF(AND(AG59=1,AH59=1),10,0)</f>
        <v>0</v>
      </c>
      <c r="AJ59" s="108">
        <f t="shared" ref="AJ59:AJ66" si="21">IF(AND(G59&gt;I59,AC59&gt;AD59),5,0)</f>
        <v>0</v>
      </c>
      <c r="AK59" s="108">
        <f t="shared" ref="AK59:AK66" si="22">IF(AND(G59&lt;I59,AC59&lt;AD59),5,0)</f>
        <v>0</v>
      </c>
      <c r="AL59" s="108">
        <f t="shared" ref="AL59:AL66" si="23">IF(AND(G59=I59,AC59=AD59),5,0)</f>
        <v>0</v>
      </c>
      <c r="AZ59" s="138" t="str">
        <f>Uitslag!P59</f>
        <v>Daryl Janmaat (v)</v>
      </c>
      <c r="BA59" s="140">
        <f t="shared" si="12"/>
        <v>0</v>
      </c>
      <c r="BB59" s="139">
        <f t="shared" ref="BB59:BB68" si="24">BA59</f>
        <v>0</v>
      </c>
    </row>
    <row r="60" spans="2:54">
      <c r="B60" s="376">
        <v>50</v>
      </c>
      <c r="C60" s="466">
        <v>41818</v>
      </c>
      <c r="D60" s="460" t="str">
        <f t="shared" si="13"/>
        <v>Japan</v>
      </c>
      <c r="E60" s="379" t="s">
        <v>9</v>
      </c>
      <c r="F60" s="409" t="str">
        <f t="shared" si="14"/>
        <v>Engeland</v>
      </c>
      <c r="G60" s="437">
        <v>2</v>
      </c>
      <c r="H60" s="379" t="s">
        <v>9</v>
      </c>
      <c r="I60" s="449">
        <v>0</v>
      </c>
      <c r="J60" s="450">
        <v>1</v>
      </c>
      <c r="K60" s="407" t="s">
        <v>57</v>
      </c>
      <c r="L60" s="407" t="s">
        <v>63</v>
      </c>
      <c r="M60" s="407">
        <v>2</v>
      </c>
      <c r="O60" s="458">
        <v>3</v>
      </c>
      <c r="P60" s="877" t="s">
        <v>210</v>
      </c>
      <c r="Q60" s="877"/>
      <c r="R60" s="877"/>
      <c r="S60" s="877"/>
      <c r="T60" s="878"/>
      <c r="V60" s="352" t="s">
        <v>132</v>
      </c>
      <c r="W60" s="352" t="s">
        <v>110</v>
      </c>
      <c r="X60" s="352" t="str">
        <f t="shared" si="11"/>
        <v>Kenneth Vermeer (k)</v>
      </c>
      <c r="Y60" s="109">
        <f t="shared" si="15"/>
        <v>10</v>
      </c>
      <c r="Z60" s="352" t="str">
        <f t="shared" si="16"/>
        <v>Japan</v>
      </c>
      <c r="AA60" s="352" t="str">
        <f t="shared" si="16"/>
        <v>Engeland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7"/>
        <v>10</v>
      </c>
      <c r="AG60" s="108">
        <f t="shared" si="18"/>
        <v>1</v>
      </c>
      <c r="AH60" s="108">
        <f t="shared" si="19"/>
        <v>1</v>
      </c>
      <c r="AI60" s="108">
        <f t="shared" si="20"/>
        <v>10</v>
      </c>
      <c r="AJ60" s="108">
        <f t="shared" si="21"/>
        <v>5</v>
      </c>
      <c r="AK60" s="108">
        <f t="shared" si="22"/>
        <v>0</v>
      </c>
      <c r="AL60" s="108">
        <f t="shared" si="23"/>
        <v>0</v>
      </c>
      <c r="AZ60" s="138" t="str">
        <f>Uitslag!P60</f>
        <v>Stefan de Vrij (v)</v>
      </c>
      <c r="BA60" s="140">
        <f t="shared" si="12"/>
        <v>0</v>
      </c>
      <c r="BB60" s="139">
        <f t="shared" si="24"/>
        <v>0</v>
      </c>
    </row>
    <row r="61" spans="2:54">
      <c r="B61" s="364">
        <v>51</v>
      </c>
      <c r="C61" s="465">
        <v>41819</v>
      </c>
      <c r="D61" s="464" t="str">
        <f t="shared" si="13"/>
        <v>Spanje</v>
      </c>
      <c r="E61" s="367" t="s">
        <v>9</v>
      </c>
      <c r="F61" s="406" t="str">
        <f t="shared" si="14"/>
        <v>Kroatië</v>
      </c>
      <c r="G61" s="435">
        <v>2</v>
      </c>
      <c r="H61" s="367" t="s">
        <v>9</v>
      </c>
      <c r="I61" s="447">
        <v>0</v>
      </c>
      <c r="J61" s="448">
        <v>1</v>
      </c>
      <c r="K61" s="407" t="s">
        <v>52</v>
      </c>
      <c r="L61" s="407" t="s">
        <v>49</v>
      </c>
      <c r="M61" s="407"/>
      <c r="O61" s="458">
        <v>4</v>
      </c>
      <c r="P61" s="877" t="s">
        <v>209</v>
      </c>
      <c r="Q61" s="877"/>
      <c r="R61" s="877"/>
      <c r="S61" s="877"/>
      <c r="T61" s="878"/>
      <c r="V61" s="352" t="s">
        <v>132</v>
      </c>
      <c r="W61" s="352" t="s">
        <v>191</v>
      </c>
      <c r="X61" s="352" t="str">
        <f t="shared" si="11"/>
        <v>Tim Krul (k)</v>
      </c>
      <c r="Y61" s="109">
        <f t="shared" si="15"/>
        <v>6</v>
      </c>
      <c r="Z61" s="352" t="str">
        <f t="shared" si="16"/>
        <v>Spanje</v>
      </c>
      <c r="AA61" s="352" t="str">
        <f t="shared" si="16"/>
        <v>Kroatië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7"/>
        <v>6</v>
      </c>
      <c r="AG61" s="108">
        <f t="shared" si="18"/>
        <v>1</v>
      </c>
      <c r="AH61" s="108">
        <f t="shared" si="19"/>
        <v>0</v>
      </c>
      <c r="AI61" s="108">
        <f t="shared" si="20"/>
        <v>0</v>
      </c>
      <c r="AJ61" s="108">
        <f t="shared" si="21"/>
        <v>5</v>
      </c>
      <c r="AK61" s="108">
        <f t="shared" si="22"/>
        <v>0</v>
      </c>
      <c r="AL61" s="108">
        <f t="shared" si="23"/>
        <v>0</v>
      </c>
      <c r="AZ61" s="138" t="str">
        <f>Uitslag!P61</f>
        <v>Ron Vlaar (v)</v>
      </c>
      <c r="BA61" s="140">
        <f t="shared" si="12"/>
        <v>3</v>
      </c>
      <c r="BB61" s="139">
        <f t="shared" si="24"/>
        <v>3</v>
      </c>
    </row>
    <row r="62" spans="2:54">
      <c r="B62" s="376">
        <v>52</v>
      </c>
      <c r="C62" s="466">
        <v>41819</v>
      </c>
      <c r="D62" s="464" t="str">
        <f t="shared" si="13"/>
        <v>Italië</v>
      </c>
      <c r="E62" s="379" t="s">
        <v>9</v>
      </c>
      <c r="F62" s="409" t="str">
        <f t="shared" si="14"/>
        <v>Colombia</v>
      </c>
      <c r="G62" s="437">
        <v>3</v>
      </c>
      <c r="H62" s="379" t="s">
        <v>9</v>
      </c>
      <c r="I62" s="449">
        <v>0</v>
      </c>
      <c r="J62" s="450">
        <v>1</v>
      </c>
      <c r="K62" s="407" t="s">
        <v>62</v>
      </c>
      <c r="L62" s="407" t="s">
        <v>58</v>
      </c>
      <c r="M62" s="407"/>
      <c r="O62" s="458">
        <v>5</v>
      </c>
      <c r="P62" s="877" t="s">
        <v>220</v>
      </c>
      <c r="Q62" s="877"/>
      <c r="R62" s="877"/>
      <c r="S62" s="877"/>
      <c r="T62" s="878"/>
      <c r="V62" s="352" t="s">
        <v>132</v>
      </c>
      <c r="W62" s="352" t="s">
        <v>192</v>
      </c>
      <c r="X62" s="352" t="str">
        <f t="shared" si="11"/>
        <v>Maarten Stekelenburg (k)</v>
      </c>
      <c r="Y62" s="109">
        <f t="shared" si="15"/>
        <v>0</v>
      </c>
      <c r="Z62" s="352" t="str">
        <f t="shared" si="16"/>
        <v>Italië</v>
      </c>
      <c r="AA62" s="352" t="str">
        <f t="shared" si="16"/>
        <v>Colombia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7"/>
        <v>0</v>
      </c>
      <c r="AG62" s="108">
        <f t="shared" si="18"/>
        <v>0</v>
      </c>
      <c r="AH62" s="108">
        <f t="shared" si="19"/>
        <v>0</v>
      </c>
      <c r="AI62" s="108">
        <f t="shared" si="20"/>
        <v>0</v>
      </c>
      <c r="AJ62" s="108">
        <f t="shared" si="21"/>
        <v>0</v>
      </c>
      <c r="AK62" s="108">
        <f t="shared" si="22"/>
        <v>0</v>
      </c>
      <c r="AL62" s="108">
        <f t="shared" si="23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4"/>
        <v>3</v>
      </c>
    </row>
    <row r="63" spans="2:54">
      <c r="B63" s="364">
        <v>53</v>
      </c>
      <c r="C63" s="465">
        <v>41820</v>
      </c>
      <c r="D63" s="459" t="str">
        <f t="shared" si="13"/>
        <v>Frankrijk</v>
      </c>
      <c r="E63" s="367" t="s">
        <v>9</v>
      </c>
      <c r="F63" s="406" t="str">
        <f t="shared" si="14"/>
        <v>Bosnië H.</v>
      </c>
      <c r="G63" s="435">
        <v>2</v>
      </c>
      <c r="H63" s="367" t="s">
        <v>9</v>
      </c>
      <c r="I63" s="447">
        <v>1</v>
      </c>
      <c r="J63" s="448">
        <v>1</v>
      </c>
      <c r="K63" s="407" t="s">
        <v>67</v>
      </c>
      <c r="L63" s="407" t="s">
        <v>73</v>
      </c>
      <c r="M63" s="407"/>
      <c r="O63" s="458">
        <v>6</v>
      </c>
      <c r="P63" s="877" t="s">
        <v>229</v>
      </c>
      <c r="Q63" s="877"/>
      <c r="R63" s="877"/>
      <c r="S63" s="877"/>
      <c r="T63" s="878"/>
      <c r="V63" s="352" t="s">
        <v>132</v>
      </c>
      <c r="W63" s="352" t="s">
        <v>193</v>
      </c>
      <c r="X63" s="352" t="str">
        <f t="shared" si="11"/>
        <v>Michel Vorm (k)</v>
      </c>
      <c r="Y63" s="109">
        <f t="shared" si="15"/>
        <v>6</v>
      </c>
      <c r="Z63" s="352" t="str">
        <f t="shared" si="16"/>
        <v>Frankrijk</v>
      </c>
      <c r="AA63" s="352" t="str">
        <f t="shared" si="16"/>
        <v>Bosnië H.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7"/>
        <v>6</v>
      </c>
      <c r="AG63" s="108">
        <f t="shared" si="18"/>
        <v>1</v>
      </c>
      <c r="AH63" s="108">
        <f t="shared" si="19"/>
        <v>0</v>
      </c>
      <c r="AI63" s="108">
        <f t="shared" si="20"/>
        <v>0</v>
      </c>
      <c r="AJ63" s="108">
        <f t="shared" si="21"/>
        <v>5</v>
      </c>
      <c r="AK63" s="108">
        <f t="shared" si="22"/>
        <v>0</v>
      </c>
      <c r="AL63" s="108">
        <f t="shared" si="23"/>
        <v>0</v>
      </c>
      <c r="AZ63" s="138" t="str">
        <f>Uitslag!P63</f>
        <v>Daley Blind (v)</v>
      </c>
      <c r="BA63" s="140">
        <f t="shared" si="12"/>
        <v>0</v>
      </c>
      <c r="BB63" s="139">
        <f t="shared" si="24"/>
        <v>0</v>
      </c>
    </row>
    <row r="64" spans="2:54">
      <c r="B64" s="376">
        <v>54</v>
      </c>
      <c r="C64" s="466">
        <v>41820</v>
      </c>
      <c r="D64" s="460" t="str">
        <f t="shared" si="13"/>
        <v>Portugal</v>
      </c>
      <c r="E64" s="379" t="s">
        <v>9</v>
      </c>
      <c r="F64" s="409" t="str">
        <f t="shared" si="14"/>
        <v>Rusland</v>
      </c>
      <c r="G64" s="437">
        <v>1</v>
      </c>
      <c r="H64" s="379" t="s">
        <v>9</v>
      </c>
      <c r="I64" s="449">
        <v>2</v>
      </c>
      <c r="J64" s="450">
        <v>2</v>
      </c>
      <c r="K64" s="407" t="s">
        <v>77</v>
      </c>
      <c r="L64" s="407" t="s">
        <v>83</v>
      </c>
      <c r="M64" s="407"/>
      <c r="O64" s="458">
        <v>7</v>
      </c>
      <c r="P64" s="877" t="s">
        <v>221</v>
      </c>
      <c r="Q64" s="877"/>
      <c r="R64" s="877"/>
      <c r="S64" s="877"/>
      <c r="T64" s="878"/>
      <c r="V64" s="352" t="s">
        <v>133</v>
      </c>
      <c r="W64" s="352" t="s">
        <v>112</v>
      </c>
      <c r="X64" s="352" t="str">
        <f t="shared" si="11"/>
        <v>Joël Veltman (v)</v>
      </c>
      <c r="Y64" s="109">
        <f t="shared" si="15"/>
        <v>0</v>
      </c>
      <c r="Z64" s="352" t="str">
        <f t="shared" si="16"/>
        <v>Portugal</v>
      </c>
      <c r="AA64" s="352" t="str">
        <f t="shared" si="16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7"/>
        <v>0</v>
      </c>
      <c r="AG64" s="108">
        <f t="shared" si="18"/>
        <v>0</v>
      </c>
      <c r="AH64" s="108">
        <f t="shared" si="19"/>
        <v>0</v>
      </c>
      <c r="AI64" s="108">
        <f t="shared" si="20"/>
        <v>0</v>
      </c>
      <c r="AJ64" s="108">
        <f t="shared" si="21"/>
        <v>0</v>
      </c>
      <c r="AK64" s="108">
        <f t="shared" si="22"/>
        <v>0</v>
      </c>
      <c r="AL64" s="108">
        <f t="shared" si="23"/>
        <v>0</v>
      </c>
      <c r="AZ64" s="138" t="str">
        <f>Uitslag!P64</f>
        <v>Wesley Sneijder (m)</v>
      </c>
      <c r="BA64" s="140">
        <f t="shared" si="12"/>
        <v>0</v>
      </c>
      <c r="BB64" s="139">
        <f t="shared" si="24"/>
        <v>0</v>
      </c>
    </row>
    <row r="65" spans="2:54">
      <c r="B65" s="370">
        <v>55</v>
      </c>
      <c r="C65" s="467">
        <v>41821</v>
      </c>
      <c r="D65" s="459" t="str">
        <f t="shared" si="13"/>
        <v>Argentinië</v>
      </c>
      <c r="E65" s="373" t="s">
        <v>9</v>
      </c>
      <c r="F65" s="410" t="str">
        <f t="shared" si="14"/>
        <v>Zwitserland</v>
      </c>
      <c r="G65" s="436">
        <v>2</v>
      </c>
      <c r="H65" s="373" t="s">
        <v>9</v>
      </c>
      <c r="I65" s="451">
        <v>1</v>
      </c>
      <c r="J65" s="452">
        <v>1</v>
      </c>
      <c r="K65" s="407" t="s">
        <v>72</v>
      </c>
      <c r="L65" s="407" t="s">
        <v>68</v>
      </c>
      <c r="M65" s="407"/>
      <c r="O65" s="458">
        <v>8</v>
      </c>
      <c r="P65" s="877" t="s">
        <v>222</v>
      </c>
      <c r="Q65" s="877"/>
      <c r="R65" s="877"/>
      <c r="S65" s="877"/>
      <c r="T65" s="878"/>
      <c r="V65" s="352" t="s">
        <v>133</v>
      </c>
      <c r="W65" s="352" t="s">
        <v>109</v>
      </c>
      <c r="X65" s="352" t="str">
        <f t="shared" si="11"/>
        <v>Daley Blind (v)</v>
      </c>
      <c r="Y65" s="109">
        <f t="shared" si="15"/>
        <v>0</v>
      </c>
      <c r="Z65" s="352" t="str">
        <f t="shared" si="16"/>
        <v>Argentinië</v>
      </c>
      <c r="AA65" s="352" t="str">
        <f t="shared" si="16"/>
        <v>Zwitserland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7"/>
        <v>0</v>
      </c>
      <c r="AG65" s="108">
        <f t="shared" si="18"/>
        <v>0</v>
      </c>
      <c r="AH65" s="108">
        <f t="shared" si="19"/>
        <v>0</v>
      </c>
      <c r="AI65" s="108">
        <f t="shared" si="20"/>
        <v>0</v>
      </c>
      <c r="AJ65" s="108">
        <f t="shared" si="21"/>
        <v>0</v>
      </c>
      <c r="AK65" s="108">
        <f t="shared" si="22"/>
        <v>0</v>
      </c>
      <c r="AL65" s="108">
        <f t="shared" si="23"/>
        <v>0</v>
      </c>
      <c r="AZ65" s="138" t="str">
        <f>Uitslag!P65</f>
        <v>Nigel de Jong (m)</v>
      </c>
      <c r="BA65" s="140">
        <f t="shared" si="12"/>
        <v>0</v>
      </c>
      <c r="BB65" s="139">
        <f t="shared" si="24"/>
        <v>0</v>
      </c>
    </row>
    <row r="66" spans="2:54" ht="15.75" thickBot="1">
      <c r="B66" s="385">
        <v>56</v>
      </c>
      <c r="C66" s="462">
        <v>41821</v>
      </c>
      <c r="D66" s="461" t="str">
        <f t="shared" si="13"/>
        <v>België</v>
      </c>
      <c r="E66" s="388" t="s">
        <v>9</v>
      </c>
      <c r="F66" s="412" t="str">
        <f t="shared" si="14"/>
        <v>Duitsland</v>
      </c>
      <c r="G66" s="438">
        <v>0</v>
      </c>
      <c r="H66" s="388" t="s">
        <v>9</v>
      </c>
      <c r="I66" s="453">
        <v>2</v>
      </c>
      <c r="J66" s="454">
        <v>2</v>
      </c>
      <c r="K66" s="407" t="s">
        <v>82</v>
      </c>
      <c r="L66" s="407" t="s">
        <v>78</v>
      </c>
      <c r="M66" s="407"/>
      <c r="O66" s="458">
        <v>9</v>
      </c>
      <c r="P66" s="877" t="s">
        <v>214</v>
      </c>
      <c r="Q66" s="877"/>
      <c r="R66" s="877"/>
      <c r="S66" s="877"/>
      <c r="T66" s="878"/>
      <c r="V66" s="352" t="s">
        <v>133</v>
      </c>
      <c r="W66" s="352" t="s">
        <v>115</v>
      </c>
      <c r="X66" s="352" t="str">
        <f t="shared" si="11"/>
        <v>Daryl Janmaat (v)</v>
      </c>
      <c r="Y66" s="109">
        <f t="shared" si="15"/>
        <v>1</v>
      </c>
      <c r="Z66" s="352" t="str">
        <f>IF(K66=""," ",VLOOKUP(K66,$T$9:$V$54,3,FALSE))</f>
        <v>België</v>
      </c>
      <c r="AA66" s="352" t="str">
        <f>IF(L66=""," ",VLOOKUP(L66,$T$9:$V$54,3,FALSE))</f>
        <v>Duitsland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7"/>
        <v>1</v>
      </c>
      <c r="AG66" s="108">
        <f t="shared" si="18"/>
        <v>1</v>
      </c>
      <c r="AH66" s="108">
        <f t="shared" si="19"/>
        <v>0</v>
      </c>
      <c r="AI66" s="108">
        <f t="shared" si="20"/>
        <v>0</v>
      </c>
      <c r="AJ66" s="108">
        <f t="shared" si="21"/>
        <v>0</v>
      </c>
      <c r="AK66" s="108">
        <f t="shared" si="22"/>
        <v>0</v>
      </c>
      <c r="AL66" s="108">
        <f t="shared" si="23"/>
        <v>0</v>
      </c>
      <c r="AZ66" s="138" t="str">
        <f>Uitslag!P66</f>
        <v>Jonathan de Guzman (m)</v>
      </c>
      <c r="BA66" s="140">
        <f t="shared" si="12"/>
        <v>3</v>
      </c>
      <c r="BB66" s="139">
        <f t="shared" si="24"/>
        <v>3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O67" s="458">
        <v>10</v>
      </c>
      <c r="P67" s="877" t="s">
        <v>216</v>
      </c>
      <c r="Q67" s="877"/>
      <c r="R67" s="877"/>
      <c r="S67" s="877"/>
      <c r="T67" s="878"/>
      <c r="V67" s="352" t="s">
        <v>133</v>
      </c>
      <c r="W67" s="352" t="s">
        <v>118</v>
      </c>
      <c r="X67" s="352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4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79"/>
      <c r="K68" s="353"/>
      <c r="L68" s="353"/>
      <c r="M68" s="353"/>
      <c r="O68" s="458">
        <v>11</v>
      </c>
      <c r="P68" s="877" t="s">
        <v>215</v>
      </c>
      <c r="Q68" s="877"/>
      <c r="R68" s="877"/>
      <c r="S68" s="877"/>
      <c r="T68" s="878"/>
      <c r="V68" s="352" t="s">
        <v>133</v>
      </c>
      <c r="W68" s="352" t="s">
        <v>119</v>
      </c>
      <c r="X68" s="352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4"/>
        <v>3</v>
      </c>
    </row>
    <row r="69" spans="2:54">
      <c r="B69" s="428" t="s">
        <v>1</v>
      </c>
      <c r="C69" s="429" t="s">
        <v>2</v>
      </c>
      <c r="D69" s="476" t="s">
        <v>3</v>
      </c>
      <c r="E69" s="431"/>
      <c r="F69" s="477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V69" s="352" t="s">
        <v>133</v>
      </c>
      <c r="W69" s="352" t="s">
        <v>121</v>
      </c>
      <c r="X69" s="352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18</v>
      </c>
      <c r="BB69" s="139" t="str">
        <f>IF(AND(BA69&lt;&gt;"",BA69=33),15,"nvt")</f>
        <v>nvt</v>
      </c>
    </row>
    <row r="70" spans="2:54">
      <c r="B70" s="364">
        <v>57</v>
      </c>
      <c r="C70" s="365">
        <v>41824</v>
      </c>
      <c r="D70" s="405" t="str">
        <f>IF(J63="","Winnaar 53",IF(J63=1,D63,F63))</f>
        <v>Frankrijk</v>
      </c>
      <c r="E70" s="367" t="s">
        <v>9</v>
      </c>
      <c r="F70" s="406" t="str">
        <f>IF(J64="","Winnaar 54",IF(J64=1,D64,F64))</f>
        <v>Rusland</v>
      </c>
      <c r="G70" s="435">
        <v>2</v>
      </c>
      <c r="H70" s="367" t="s">
        <v>9</v>
      </c>
      <c r="I70" s="447">
        <v>0</v>
      </c>
      <c r="J70" s="448">
        <v>1</v>
      </c>
      <c r="K70" s="353"/>
      <c r="L70" s="353"/>
      <c r="M70" s="353"/>
      <c r="V70" s="352" t="s">
        <v>133</v>
      </c>
      <c r="W70" s="352" t="s">
        <v>126</v>
      </c>
      <c r="X70" s="352" t="str">
        <f t="shared" si="11"/>
        <v>Karim Rekik (v)</v>
      </c>
      <c r="Y70" s="109">
        <f>AF70</f>
        <v>0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0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0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Nederland</v>
      </c>
      <c r="E71" s="379" t="s">
        <v>9</v>
      </c>
      <c r="F71" s="409" t="str">
        <f>IF(J60="","Winnaar 50",IF(J60=1,D60,F60))</f>
        <v>Japan</v>
      </c>
      <c r="G71" s="437">
        <v>1</v>
      </c>
      <c r="H71" s="379" t="s">
        <v>9</v>
      </c>
      <c r="I71" s="449">
        <v>0</v>
      </c>
      <c r="J71" s="450">
        <v>1</v>
      </c>
      <c r="K71" s="353"/>
      <c r="L71" s="353"/>
      <c r="M71" s="353"/>
      <c r="V71" s="352" t="s">
        <v>133</v>
      </c>
      <c r="W71" s="352" t="s">
        <v>194</v>
      </c>
      <c r="X71" s="352" t="str">
        <f t="shared" si="11"/>
        <v>Ron Vlaar (v)</v>
      </c>
      <c r="Y71" s="109">
        <f>AF71</f>
        <v>5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5</v>
      </c>
      <c r="AG71" s="108">
        <f>IF(AC71="",0,(IF(G71=AC71,1,0)))</f>
        <v>0</v>
      </c>
      <c r="AH71" s="108">
        <f>IF(AD71="",0,(IF(I71=AD71,1,0)))</f>
        <v>0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Argentinië</v>
      </c>
      <c r="E72" s="367" t="s">
        <v>9</v>
      </c>
      <c r="F72" s="406" t="str">
        <f>IF(J66="","Winnaar 56",IF(J66=1,D66,F66))</f>
        <v>Duitsland</v>
      </c>
      <c r="G72" s="435">
        <v>2</v>
      </c>
      <c r="H72" s="367" t="s">
        <v>9</v>
      </c>
      <c r="I72" s="447">
        <v>1</v>
      </c>
      <c r="J72" s="448">
        <v>1</v>
      </c>
      <c r="K72" s="353"/>
      <c r="L72" s="353"/>
      <c r="M72" s="353"/>
      <c r="V72" s="352" t="s">
        <v>133</v>
      </c>
      <c r="W72" s="352" t="s">
        <v>195</v>
      </c>
      <c r="X72" s="352" t="str">
        <f t="shared" si="11"/>
        <v>John Heitinga (v)</v>
      </c>
      <c r="Y72" s="109">
        <f>AF72</f>
        <v>5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5</v>
      </c>
      <c r="AG72" s="108">
        <f>IF(AC72="",0,(IF(G72=AC72,1,0)))</f>
        <v>0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5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Spanje</v>
      </c>
      <c r="E73" s="388" t="s">
        <v>9</v>
      </c>
      <c r="F73" s="412" t="str">
        <f>IF(J62="","Winnaar 52",IF(J62=1,D62,F62))</f>
        <v>Italië</v>
      </c>
      <c r="G73" s="438">
        <v>2</v>
      </c>
      <c r="H73" s="388" t="s">
        <v>9</v>
      </c>
      <c r="I73" s="453">
        <v>1</v>
      </c>
      <c r="J73" s="454">
        <v>2</v>
      </c>
      <c r="K73" s="353"/>
      <c r="L73" s="353"/>
      <c r="M73" s="353"/>
      <c r="V73" s="352" t="s">
        <v>133</v>
      </c>
      <c r="W73" s="352" t="s">
        <v>196</v>
      </c>
      <c r="X73" s="352" t="str">
        <f t="shared" si="11"/>
        <v>Urby Emanuelson (v)</v>
      </c>
      <c r="Y73" s="109">
        <f>AF73</f>
        <v>0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0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V74" s="352" t="s">
        <v>133</v>
      </c>
      <c r="W74" s="352" t="s">
        <v>197</v>
      </c>
      <c r="X74" s="352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79"/>
      <c r="K75" s="353"/>
      <c r="L75" s="353"/>
      <c r="M75" s="353"/>
      <c r="V75" s="352" t="s">
        <v>133</v>
      </c>
      <c r="W75" s="352" t="s">
        <v>198</v>
      </c>
      <c r="X75" s="352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76" t="s">
        <v>3</v>
      </c>
      <c r="E76" s="431"/>
      <c r="F76" s="477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V76" s="352" t="s">
        <v>133</v>
      </c>
      <c r="W76" s="352" t="s">
        <v>202</v>
      </c>
      <c r="X76" s="352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Frankrijk</v>
      </c>
      <c r="E77" s="367" t="s">
        <v>9</v>
      </c>
      <c r="F77" s="406" t="str">
        <f>IF(J71="","Winnaar 58",IF(J71=1,D71,F71))</f>
        <v>Nederland</v>
      </c>
      <c r="G77" s="435">
        <v>1</v>
      </c>
      <c r="H77" s="367" t="s">
        <v>9</v>
      </c>
      <c r="I77" s="447">
        <v>2</v>
      </c>
      <c r="J77" s="448">
        <v>2</v>
      </c>
      <c r="K77" s="353"/>
      <c r="L77" s="353"/>
      <c r="M77" s="353"/>
      <c r="V77" s="352" t="s">
        <v>134</v>
      </c>
      <c r="W77" s="352" t="s">
        <v>203</v>
      </c>
      <c r="X77" s="352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Argentinië</v>
      </c>
      <c r="E78" s="388" t="s">
        <v>9</v>
      </c>
      <c r="F78" s="412" t="str">
        <f>IF(J73="","Winnaar 60",IF(J73=1,D73,F73))</f>
        <v>Italië</v>
      </c>
      <c r="G78" s="438">
        <v>0</v>
      </c>
      <c r="H78" s="388" t="s">
        <v>9</v>
      </c>
      <c r="I78" s="453">
        <v>1</v>
      </c>
      <c r="J78" s="454">
        <v>1</v>
      </c>
      <c r="K78" s="353"/>
      <c r="L78" s="353"/>
      <c r="M78" s="353"/>
      <c r="V78" s="352" t="s">
        <v>134</v>
      </c>
      <c r="W78" s="352" t="s">
        <v>199</v>
      </c>
      <c r="X78" s="352" t="str">
        <f t="shared" si="11"/>
        <v>Leroy Fer (m)</v>
      </c>
      <c r="Y78" s="109">
        <f>AF78</f>
        <v>1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1</v>
      </c>
      <c r="AG78" s="108">
        <f>IF(AC78="",0,(IF(G78=AC78,1,0)))</f>
        <v>1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V79" s="352" t="s">
        <v>134</v>
      </c>
      <c r="W79" s="352" t="s">
        <v>114</v>
      </c>
      <c r="X79" s="352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79"/>
      <c r="K80" s="353"/>
      <c r="L80" s="353"/>
      <c r="M80" s="353"/>
      <c r="V80" s="352" t="s">
        <v>134</v>
      </c>
      <c r="W80" s="352" t="s">
        <v>117</v>
      </c>
      <c r="X80" s="352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76" t="s">
        <v>3</v>
      </c>
      <c r="E81" s="431"/>
      <c r="F81" s="477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V81" s="352" t="s">
        <v>134</v>
      </c>
      <c r="W81" s="352" t="s">
        <v>120</v>
      </c>
      <c r="X81" s="352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Frankrijk</v>
      </c>
      <c r="E82" s="355" t="s">
        <v>9</v>
      </c>
      <c r="F82" s="415" t="str">
        <f>IF(J78="","Verliezer 62",IF(J78=1,F78,D78))</f>
        <v>Italië</v>
      </c>
      <c r="G82" s="455">
        <v>1</v>
      </c>
      <c r="H82" s="355" t="s">
        <v>9</v>
      </c>
      <c r="I82" s="456">
        <v>2</v>
      </c>
      <c r="J82" s="457">
        <v>2</v>
      </c>
      <c r="K82" s="353"/>
      <c r="L82" s="353"/>
      <c r="M82" s="353"/>
      <c r="V82" s="352" t="s">
        <v>134</v>
      </c>
      <c r="W82" s="352" t="s">
        <v>125</v>
      </c>
      <c r="X82" s="352" t="str">
        <f t="shared" si="11"/>
        <v>Georginio Wijnaldum (m)</v>
      </c>
      <c r="Y82" s="109">
        <f>AF82</f>
        <v>5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5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5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V83" s="352" t="s">
        <v>134</v>
      </c>
      <c r="W83" s="352" t="s">
        <v>136</v>
      </c>
      <c r="X83" s="352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79"/>
      <c r="K84" s="353"/>
      <c r="L84" s="353"/>
      <c r="M84" s="353"/>
      <c r="V84" s="352" t="s">
        <v>134</v>
      </c>
      <c r="W84" s="352" t="s">
        <v>137</v>
      </c>
      <c r="X84" s="352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76" t="s">
        <v>3</v>
      </c>
      <c r="E85" s="431"/>
      <c r="F85" s="477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V85" s="352" t="s">
        <v>134</v>
      </c>
      <c r="W85" s="352" t="s">
        <v>138</v>
      </c>
      <c r="X85" s="352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Nederland</v>
      </c>
      <c r="E86" s="355" t="s">
        <v>9</v>
      </c>
      <c r="F86" s="415" t="str">
        <f>IF(J78="","Winnaar 62",IF(J78=1,D78,F78))</f>
        <v>Argentinië</v>
      </c>
      <c r="G86" s="455">
        <v>2</v>
      </c>
      <c r="H86" s="355" t="s">
        <v>9</v>
      </c>
      <c r="I86" s="456">
        <v>1</v>
      </c>
      <c r="J86" s="457">
        <v>2</v>
      </c>
      <c r="K86" s="353"/>
      <c r="L86" s="353"/>
      <c r="M86" s="353"/>
      <c r="V86" s="352" t="s">
        <v>134</v>
      </c>
      <c r="W86" s="352" t="s">
        <v>139</v>
      </c>
      <c r="X86" s="352" t="str">
        <f t="shared" si="11"/>
        <v>Nigel de Jong (m)</v>
      </c>
      <c r="Y86" s="109">
        <f>AF86</f>
        <v>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0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353"/>
      <c r="C87" s="129"/>
      <c r="D87" s="392"/>
      <c r="E87" s="353"/>
      <c r="F87" s="392"/>
      <c r="G87" s="353"/>
      <c r="H87" s="353"/>
      <c r="I87" s="353"/>
      <c r="J87" s="353"/>
      <c r="K87" s="353"/>
      <c r="L87" s="353"/>
      <c r="M87" s="353"/>
      <c r="V87" s="352" t="s">
        <v>135</v>
      </c>
      <c r="W87" s="352" t="s">
        <v>205</v>
      </c>
      <c r="X87" s="352" t="str">
        <f t="shared" si="11"/>
        <v>Ricky van Wolfswinkel (a)</v>
      </c>
      <c r="AP87" s="136" t="s">
        <v>102</v>
      </c>
    </row>
    <row r="88" spans="2:50">
      <c r="B88" s="353"/>
      <c r="C88" s="129"/>
      <c r="D88" s="392"/>
      <c r="E88" s="353"/>
      <c r="F88" s="392"/>
      <c r="G88" s="353"/>
      <c r="H88" s="353"/>
      <c r="I88" s="353"/>
      <c r="J88" s="353"/>
      <c r="K88" s="353"/>
      <c r="L88" s="353"/>
      <c r="M88" s="353"/>
      <c r="V88" s="352" t="s">
        <v>135</v>
      </c>
      <c r="W88" s="352" t="s">
        <v>204</v>
      </c>
      <c r="X88" s="352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458"/>
    </row>
    <row r="89" spans="2:50" ht="20.25">
      <c r="C89" s="874" t="s">
        <v>101</v>
      </c>
      <c r="D89" s="871"/>
      <c r="E89" s="873" t="str">
        <f>IF(J86=1,D86,IF(J86=2,F86,"Wie zal het worden?"))</f>
        <v>Argentinië</v>
      </c>
      <c r="F89" s="873"/>
      <c r="G89" s="873"/>
      <c r="H89" s="873"/>
      <c r="I89" s="873"/>
      <c r="J89" s="873"/>
      <c r="K89" s="353"/>
      <c r="L89" s="353"/>
      <c r="M89" s="353"/>
      <c r="V89" s="352" t="s">
        <v>135</v>
      </c>
      <c r="W89" s="352" t="s">
        <v>201</v>
      </c>
      <c r="X89" s="352" t="str">
        <f t="shared" si="11"/>
        <v>Jermain Lens (a)</v>
      </c>
      <c r="AP89" s="109">
        <f>AU89</f>
        <v>15</v>
      </c>
      <c r="AQ89" s="131">
        <v>1</v>
      </c>
      <c r="AR89" s="904" t="str">
        <f>Uitslag!E89</f>
        <v>Duitsland</v>
      </c>
      <c r="AS89" s="905"/>
      <c r="AT89" s="906"/>
      <c r="AU89" s="352">
        <f>SUM(AV89:AX89)</f>
        <v>15</v>
      </c>
      <c r="AV89" s="352">
        <f>IF(AR89=0,0,IF(E89=AR89,50,0))</f>
        <v>0</v>
      </c>
      <c r="AW89" s="352">
        <f>IF(E89=0,0,IF(OR(E89=AR90),15,0))</f>
        <v>15</v>
      </c>
      <c r="AX89" s="352">
        <f>IF(E89=0,0,IF(OR(E89=AR91,E89=AR92),5,0))</f>
        <v>0</v>
      </c>
    </row>
    <row r="90" spans="2:50">
      <c r="C90" s="870">
        <v>2</v>
      </c>
      <c r="D90" s="871"/>
      <c r="E90" s="872" t="str">
        <f>IF(J86=2,D86,IF(J86=1,F86,"Wie wordt 2de?"))</f>
        <v>Nederland</v>
      </c>
      <c r="F90" s="872"/>
      <c r="G90" s="872"/>
      <c r="H90" s="872"/>
      <c r="I90" s="872"/>
      <c r="J90" s="872"/>
      <c r="V90" s="352" t="s">
        <v>135</v>
      </c>
      <c r="W90" s="352" t="s">
        <v>200</v>
      </c>
      <c r="X90" s="352" t="str">
        <f t="shared" si="11"/>
        <v>Dirk Kuyt (a)</v>
      </c>
      <c r="AP90" s="109">
        <f>AU90</f>
        <v>5</v>
      </c>
      <c r="AQ90" s="131">
        <v>2</v>
      </c>
      <c r="AR90" s="904" t="str">
        <f>Uitslag!E90</f>
        <v>Argentinië</v>
      </c>
      <c r="AS90" s="905"/>
      <c r="AT90" s="906"/>
      <c r="AU90" s="352">
        <f>SUM(AV90:AX90)</f>
        <v>5</v>
      </c>
      <c r="AV90" s="352">
        <f>IF(AR90=0,0,IF(AR90=E90,25,0))</f>
        <v>0</v>
      </c>
      <c r="AW90" s="352">
        <f>IF(E90=0,0,IF(OR(E90=AR89,),15,0))</f>
        <v>0</v>
      </c>
      <c r="AX90" s="352">
        <f>IF(E90=0,0,IF(OR(E90=AR91,E90=AR92),5,0))</f>
        <v>5</v>
      </c>
    </row>
    <row r="91" spans="2:50">
      <c r="C91" s="870">
        <v>3</v>
      </c>
      <c r="D91" s="871"/>
      <c r="E91" s="872" t="str">
        <f>IF(J82=1,D82,IF(J82=2,F82,"Wie wordt 3de?"))</f>
        <v>Italië</v>
      </c>
      <c r="F91" s="872"/>
      <c r="G91" s="872"/>
      <c r="H91" s="872"/>
      <c r="I91" s="872"/>
      <c r="J91" s="872"/>
      <c r="V91" s="352" t="s">
        <v>135</v>
      </c>
      <c r="W91" s="352" t="s">
        <v>128</v>
      </c>
      <c r="X91" s="352" t="str">
        <f t="shared" si="11"/>
        <v>Jürgen Locadia (a)</v>
      </c>
      <c r="AP91" s="109">
        <f>AU91</f>
        <v>0</v>
      </c>
      <c r="AQ91" s="131">
        <v>3</v>
      </c>
      <c r="AR91" s="904" t="str">
        <f>Uitslag!E91</f>
        <v>Nederland</v>
      </c>
      <c r="AS91" s="905"/>
      <c r="AT91" s="906"/>
      <c r="AU91" s="352">
        <f>SUM(AV91:AX91)</f>
        <v>0</v>
      </c>
      <c r="AV91" s="352">
        <f>IF(AR91=0,0,IF(AR91=E91,15,0))</f>
        <v>0</v>
      </c>
      <c r="AW91" s="352">
        <f>IF(E91=0,0,IF(OR(E91=AR92),10,0))</f>
        <v>0</v>
      </c>
      <c r="AX91" s="352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Frankrijk</v>
      </c>
      <c r="F92" s="872"/>
      <c r="G92" s="872"/>
      <c r="H92" s="872"/>
      <c r="I92" s="872"/>
      <c r="J92" s="872"/>
      <c r="V92" s="352" t="s">
        <v>135</v>
      </c>
      <c r="W92" s="352" t="s">
        <v>127</v>
      </c>
      <c r="X92" s="35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 s="352">
        <f>SUM(AV92:AX92)</f>
        <v>0</v>
      </c>
      <c r="AV92" s="352">
        <f>IF(AR92=0,0,IF(AR92=E92,15,0))</f>
        <v>0</v>
      </c>
      <c r="AW92" s="352">
        <f>IF(E92=0,0,IF(OR(E92=AR91,),10,0))</f>
        <v>0</v>
      </c>
      <c r="AX92" s="352">
        <f>IF(E92=0,0,IF(OR(E92=AR89,E92=AR90),5,0))</f>
        <v>0</v>
      </c>
    </row>
    <row r="93" spans="2:50" ht="15.75" thickBot="1">
      <c r="V93" s="352" t="s">
        <v>135</v>
      </c>
      <c r="W93" s="352" t="s">
        <v>123</v>
      </c>
      <c r="X93" s="352" t="str">
        <f t="shared" si="11"/>
        <v>Quincy Promes (a)</v>
      </c>
      <c r="AS93" s="132"/>
      <c r="AU93" s="133">
        <f>SUM(AU89:AU92)</f>
        <v>20</v>
      </c>
    </row>
    <row r="94" spans="2:50" ht="15.75" thickTop="1">
      <c r="V94" s="352" t="s">
        <v>135</v>
      </c>
      <c r="W94" s="352" t="s">
        <v>122</v>
      </c>
      <c r="X94" s="352" t="str">
        <f t="shared" si="11"/>
        <v>Luc Castaignos (a)</v>
      </c>
    </row>
    <row r="95" spans="2:50">
      <c r="V95" s="352" t="s">
        <v>135</v>
      </c>
      <c r="W95" s="352" t="s">
        <v>113</v>
      </c>
      <c r="X95" s="352" t="str">
        <f t="shared" si="11"/>
        <v>Jean-Paul Boëtius (a)</v>
      </c>
    </row>
    <row r="96" spans="2:50">
      <c r="V96" s="352" t="s">
        <v>135</v>
      </c>
      <c r="W96" s="352" t="s">
        <v>129</v>
      </c>
      <c r="X96" s="352" t="str">
        <f t="shared" si="11"/>
        <v>Luciano Narsingh (a)</v>
      </c>
    </row>
    <row r="97" spans="22:24">
      <c r="V97" s="352" t="s">
        <v>135</v>
      </c>
      <c r="W97" s="352" t="s">
        <v>130</v>
      </c>
      <c r="X97" s="352" t="str">
        <f t="shared" si="11"/>
        <v>Robin van Persie (a)</v>
      </c>
    </row>
    <row r="98" spans="22:24">
      <c r="V98" s="352" t="s">
        <v>135</v>
      </c>
      <c r="W98" s="352" t="s">
        <v>131</v>
      </c>
      <c r="X98" s="352" t="str">
        <f t="shared" si="11"/>
        <v>Arjen Robben (a)</v>
      </c>
    </row>
  </sheetData>
  <mergeCells count="36">
    <mergeCell ref="C91:D91"/>
    <mergeCell ref="E91:J91"/>
    <mergeCell ref="AR91:AT91"/>
    <mergeCell ref="C92:D92"/>
    <mergeCell ref="E92:J92"/>
    <mergeCell ref="AR92:AT92"/>
    <mergeCell ref="C89:D89"/>
    <mergeCell ref="E89:J89"/>
    <mergeCell ref="AR89:AT89"/>
    <mergeCell ref="C90:D90"/>
    <mergeCell ref="E90:J90"/>
    <mergeCell ref="AR90:AT90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</mergeCells>
  <conditionalFormatting sqref="AO9:AO12 AO15:AO18 AO21:AO24 AO27:AO30 AO33:AO36 AO39:AO42 AO45:AO48 AO51:AO54">
    <cfRule type="cellIs" dxfId="29" priority="3" operator="equal">
      <formula>10</formula>
    </cfRule>
  </conditionalFormatting>
  <conditionalFormatting sqref="P58:T58">
    <cfRule type="duplicateValues" dxfId="28" priority="2"/>
  </conditionalFormatting>
  <conditionalFormatting sqref="P58:T68">
    <cfRule type="duplicateValues" dxfId="27" priority="1"/>
  </conditionalFormatting>
  <dataValidations count="10">
    <dataValidation type="list" allowBlank="1" showInputMessage="1" showErrorMessage="1" sqref="T51:T54">
      <formula1>$W$51:$W$54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P58:P68">
      <formula1>$X$58:$X$98</formula1>
    </dataValidation>
  </dataValidation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>
  <dimension ref="B1:BB98"/>
  <sheetViews>
    <sheetView topLeftCell="A40" zoomScale="70" zoomScaleNormal="70" workbookViewId="0">
      <selection activeCell="P58" sqref="P58:T68"/>
    </sheetView>
  </sheetViews>
  <sheetFormatPr defaultRowHeight="15" outlineLevelCol="2"/>
  <cols>
    <col min="1" max="1" width="3.42578125" style="352" customWidth="1"/>
    <col min="2" max="2" width="3.5703125" style="352" bestFit="1" customWidth="1"/>
    <col min="3" max="3" width="11.5703125" style="123" bestFit="1" customWidth="1"/>
    <col min="4" max="4" width="19.7109375" style="352" bestFit="1" customWidth="1"/>
    <col min="5" max="5" width="3.42578125" style="352" customWidth="1"/>
    <col min="6" max="6" width="19.7109375" style="352" bestFit="1" customWidth="1"/>
    <col min="7" max="7" width="6.7109375" style="352" customWidth="1"/>
    <col min="8" max="8" width="1.5703125" style="352" bestFit="1" customWidth="1"/>
    <col min="9" max="9" width="6.7109375" style="352" customWidth="1"/>
    <col min="10" max="10" width="6.85546875" style="352" bestFit="1" customWidth="1"/>
    <col min="11" max="13" width="9.140625" style="352" hidden="1" customWidth="1" outlineLevel="1"/>
    <col min="14" max="14" width="11.42578125" style="352" bestFit="1" customWidth="1" collapsed="1"/>
    <col min="15" max="15" width="14.7109375" style="352" bestFit="1" customWidth="1"/>
    <col min="16" max="16" width="12.28515625" style="352" bestFit="1" customWidth="1"/>
    <col min="17" max="17" width="8.140625" style="352" bestFit="1" customWidth="1"/>
    <col min="18" max="18" width="7.7109375" style="352" bestFit="1" customWidth="1"/>
    <col min="19" max="19" width="9.140625" style="352"/>
    <col min="20" max="20" width="8.5703125" style="352" bestFit="1" customWidth="1"/>
    <col min="21" max="21" width="9.140625" style="352"/>
    <col min="22" max="23" width="9.140625" style="352" hidden="1" customWidth="1" outlineLevel="1"/>
    <col min="24" max="24" width="2" style="352" hidden="1" customWidth="1" outlineLevel="1"/>
    <col min="25" max="25" width="12.28515625" style="352" bestFit="1" customWidth="1" collapsed="1"/>
    <col min="26" max="27" width="12.28515625" style="352" hidden="1" customWidth="1" outlineLevel="1"/>
    <col min="28" max="28" width="4.7109375" style="352" hidden="1" customWidth="1" outlineLevel="1"/>
    <col min="29" max="38" width="9.140625" style="352" hidden="1" customWidth="1" outlineLevel="1"/>
    <col min="39" max="39" width="7.42578125" style="352" bestFit="1" customWidth="1" collapsed="1"/>
    <col min="40" max="40" width="19.7109375" style="352" hidden="1" customWidth="1" outlineLevel="1"/>
    <col min="41" max="41" width="9.140625" style="352" hidden="1" customWidth="1" outlineLevel="1"/>
    <col min="42" max="42" width="9.140625" style="352" collapsed="1"/>
    <col min="43" max="49" width="9.140625" style="352" hidden="1" customWidth="1" outlineLevel="2"/>
    <col min="50" max="50" width="11.5703125" style="352" hidden="1" customWidth="1" outlineLevel="2"/>
    <col min="51" max="51" width="11.85546875" style="352" hidden="1" customWidth="1" outlineLevel="1" collapsed="1"/>
    <col min="52" max="52" width="9.42578125" style="352" hidden="1" customWidth="1" outlineLevel="1"/>
    <col min="53" max="53" width="10.5703125" style="352" hidden="1" customWidth="1" outlineLevel="1"/>
    <col min="54" max="54" width="9.140625" style="352" collapsed="1"/>
    <col min="55" max="55" width="11.85546875" style="352" bestFit="1" customWidth="1"/>
    <col min="56" max="16384" width="9.140625" style="352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316</v>
      </c>
      <c r="E3" s="335"/>
      <c r="F3" s="335"/>
      <c r="N3" s="352" t="str">
        <f>D3</f>
        <v>Glen S.</v>
      </c>
      <c r="O3" s="144">
        <f>SUM(P3:S3)</f>
        <v>369</v>
      </c>
      <c r="P3" s="109">
        <f>SUM(Y8:Y86)</f>
        <v>184</v>
      </c>
      <c r="Q3" s="109">
        <f>SUM(AM4:AM55)</f>
        <v>160</v>
      </c>
      <c r="R3" s="109">
        <f>SUM(AP89:AP92)</f>
        <v>10</v>
      </c>
      <c r="S3" s="109">
        <f>SUM(BB58:BB69)</f>
        <v>15</v>
      </c>
      <c r="T3" s="109">
        <f>COUNTIF(AF8:AF86,10)</f>
        <v>2</v>
      </c>
      <c r="U3" s="109" t="str">
        <f>E89</f>
        <v>Brazilië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O6" s="392"/>
      <c r="P6" s="393"/>
      <c r="Q6" s="393"/>
      <c r="R6" s="393"/>
      <c r="S6" s="393"/>
      <c r="T6" s="393"/>
      <c r="U6" s="392"/>
      <c r="V6" s="392"/>
      <c r="W6" s="392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80" t="s">
        <v>3</v>
      </c>
      <c r="E7" s="419"/>
      <c r="F7" s="481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O7" s="353"/>
      <c r="P7" s="393"/>
      <c r="Q7" s="393"/>
      <c r="R7" s="393"/>
      <c r="S7" s="393"/>
      <c r="T7" s="393"/>
      <c r="U7" s="353"/>
      <c r="V7" s="353"/>
      <c r="W7" s="353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458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2</v>
      </c>
      <c r="H8" s="360" t="s">
        <v>9</v>
      </c>
      <c r="I8" s="478">
        <v>0</v>
      </c>
      <c r="J8" s="362">
        <f t="shared" ref="J8:J55" si="0">IF(I8="","",IF(G8&gt;I8,1,IF(G8&lt;I8,2,3)))</f>
        <v>1</v>
      </c>
      <c r="K8" s="363">
        <f t="shared" ref="K8:K55" si="1">IF(I8="","",IF($G8&gt;$I8,3,IF($G8=$I8,1,0)))</f>
        <v>3</v>
      </c>
      <c r="L8" s="363">
        <f t="shared" ref="L8:L55" si="2">IF(I8="","",IF($G8&lt;$I8,3,IF($G8=$I8,1,0)))</f>
        <v>0</v>
      </c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392"/>
      <c r="V8" s="392"/>
      <c r="W8" s="392"/>
      <c r="Y8" s="109">
        <f>AF8</f>
        <v>5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5</v>
      </c>
      <c r="AG8" s="108">
        <f t="shared" ref="AG8:AG55" si="3">IF(AC8="",0,(IF(G8=AC8,1,0)))</f>
        <v>0</v>
      </c>
      <c r="AH8" s="108">
        <f t="shared" ref="AH8:AH55" si="4">IF(AD8="",0,(IF(I8=AD8,1,0)))</f>
        <v>0</v>
      </c>
      <c r="AI8" s="108">
        <f>IF(AND(AG8=1,AH8=1),10,0)</f>
        <v>0</v>
      </c>
      <c r="AJ8" s="108">
        <f t="shared" ref="AJ8:AJ55" si="5">IF(AND(G8&gt;I8,AC8&gt;AD8),5,0)</f>
        <v>5</v>
      </c>
      <c r="AK8" s="108">
        <f t="shared" ref="AK8:AK55" si="6">IF(AND(G8&lt;I8,AC8&lt;AD8),5,0)</f>
        <v>0</v>
      </c>
      <c r="AL8" s="108">
        <f t="shared" ref="AL8:AL55" si="7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1</v>
      </c>
      <c r="H9" s="367" t="s">
        <v>9</v>
      </c>
      <c r="I9" s="440">
        <v>1</v>
      </c>
      <c r="J9" s="369">
        <f t="shared" si="0"/>
        <v>3</v>
      </c>
      <c r="K9" s="363">
        <f t="shared" si="1"/>
        <v>1</v>
      </c>
      <c r="L9" s="363">
        <f t="shared" si="2"/>
        <v>1</v>
      </c>
      <c r="O9" s="394" t="s">
        <v>8</v>
      </c>
      <c r="P9" s="395">
        <f>SUMIF($D$8:$D$55,$O9,$G$8:$G$55)+SUMIF($F$8:$F$55,$O9,$I$8:$I$55)</f>
        <v>6</v>
      </c>
      <c r="Q9" s="395">
        <f>SUMIF($D$8:$D$55,$O9,$I$8:$I$55)+SUMIF($F$8:$F$55,$O9,$G$8:$G$55)</f>
        <v>1</v>
      </c>
      <c r="R9" s="396">
        <f>P9-Q9</f>
        <v>5</v>
      </c>
      <c r="S9" s="397">
        <f>SUMIF($D$8:$D$55,$O9,$K$8:$K$55)+SUMIF($F$8:$F$55,$O9,$L$8:$L$55)</f>
        <v>9</v>
      </c>
      <c r="T9" s="444" t="s">
        <v>48</v>
      </c>
      <c r="U9" s="392"/>
      <c r="V9" s="392" t="str">
        <f>O9</f>
        <v>Brazilië</v>
      </c>
      <c r="W9" s="392" t="s">
        <v>48</v>
      </c>
      <c r="Y9" s="109">
        <f t="shared" ref="Y9:Y55" si="8">AF9</f>
        <v>1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1</v>
      </c>
      <c r="AG9" s="108">
        <f t="shared" si="3"/>
        <v>1</v>
      </c>
      <c r="AH9" s="108">
        <f t="shared" si="4"/>
        <v>0</v>
      </c>
      <c r="AI9" s="108">
        <f t="shared" ref="AI9:AI55" si="10">IF(AND(AG9=1,AH9=1),10,0)</f>
        <v>0</v>
      </c>
      <c r="AJ9" s="108">
        <f t="shared" si="5"/>
        <v>0</v>
      </c>
      <c r="AK9" s="108">
        <f t="shared" si="6"/>
        <v>0</v>
      </c>
      <c r="AL9" s="108">
        <f t="shared" si="7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2</v>
      </c>
      <c r="H10" s="373" t="s">
        <v>9</v>
      </c>
      <c r="I10" s="441">
        <v>0</v>
      </c>
      <c r="J10" s="375">
        <f t="shared" si="0"/>
        <v>1</v>
      </c>
      <c r="K10" s="363">
        <f t="shared" si="1"/>
        <v>3</v>
      </c>
      <c r="L10" s="363">
        <f t="shared" si="2"/>
        <v>0</v>
      </c>
      <c r="O10" s="398" t="s">
        <v>10</v>
      </c>
      <c r="P10" s="399">
        <f>SUMIF($D$8:$D$55,$O10,$G$8:$G$55)+SUMIF($F$8:$F$55,$O10,$I$8:$I$55)</f>
        <v>2</v>
      </c>
      <c r="Q10" s="399">
        <f>SUMIF($D$8:$D$55,$O10,$I$8:$I$55)+SUMIF($F$8:$F$55,$O10,$G$8:$G$55)</f>
        <v>5</v>
      </c>
      <c r="R10" s="399">
        <f>P10-Q10</f>
        <v>-3</v>
      </c>
      <c r="S10" s="400">
        <f>SUMIF($D$8:$D$55,$O10,$K$8:$K$55)+SUMIF($F$8:$F$55,$O10,$L$8:$L$55)</f>
        <v>1</v>
      </c>
      <c r="T10" s="445" t="s">
        <v>50</v>
      </c>
      <c r="U10" s="392"/>
      <c r="V10" s="392" t="str">
        <f>O10</f>
        <v>Kroatië</v>
      </c>
      <c r="W10" s="392" t="s">
        <v>49</v>
      </c>
      <c r="Y10" s="109">
        <f t="shared" si="8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0</v>
      </c>
      <c r="AG10" s="108">
        <f t="shared" si="3"/>
        <v>0</v>
      </c>
      <c r="AH10" s="108">
        <f t="shared" si="4"/>
        <v>0</v>
      </c>
      <c r="AI10" s="108">
        <f t="shared" si="10"/>
        <v>0</v>
      </c>
      <c r="AJ10" s="108">
        <f t="shared" si="5"/>
        <v>0</v>
      </c>
      <c r="AK10" s="108">
        <f t="shared" si="6"/>
        <v>0</v>
      </c>
      <c r="AL10" s="108">
        <f t="shared" si="7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1</v>
      </c>
      <c r="H11" s="379" t="s">
        <v>9</v>
      </c>
      <c r="I11" s="442">
        <v>1</v>
      </c>
      <c r="J11" s="381">
        <f t="shared" si="0"/>
        <v>3</v>
      </c>
      <c r="K11" s="363">
        <f t="shared" si="1"/>
        <v>1</v>
      </c>
      <c r="L11" s="363">
        <f t="shared" si="2"/>
        <v>1</v>
      </c>
      <c r="O11" s="398" t="s">
        <v>11</v>
      </c>
      <c r="P11" s="399">
        <f>SUMIF($D$8:$D$55,$O11,$G$8:$G$55)+SUMIF($F$8:$F$55,$O11,$I$8:$I$55)</f>
        <v>3</v>
      </c>
      <c r="Q11" s="399">
        <f>SUMIF($D$8:$D$55,$O11,$I$8:$I$55)+SUMIF($F$8:$F$55,$O11,$G$8:$G$55)</f>
        <v>4</v>
      </c>
      <c r="R11" s="399">
        <f>P11-Q11</f>
        <v>-1</v>
      </c>
      <c r="S11" s="400">
        <f>SUMIF($D$8:$D$55,$O11,$K$8:$K$55)+SUMIF($F$8:$F$55,$O11,$L$8:$L$55)</f>
        <v>4</v>
      </c>
      <c r="T11" s="445" t="s">
        <v>49</v>
      </c>
      <c r="U11" s="392"/>
      <c r="V11" s="392" t="str">
        <f>O11</f>
        <v>Mexico</v>
      </c>
      <c r="W11" s="392" t="s">
        <v>47</v>
      </c>
      <c r="Y11" s="109">
        <f t="shared" si="8"/>
        <v>1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1</v>
      </c>
      <c r="AG11" s="108">
        <f t="shared" si="3"/>
        <v>0</v>
      </c>
      <c r="AH11" s="108">
        <f t="shared" si="4"/>
        <v>1</v>
      </c>
      <c r="AI11" s="108">
        <f t="shared" si="10"/>
        <v>0</v>
      </c>
      <c r="AJ11" s="108">
        <f t="shared" si="5"/>
        <v>0</v>
      </c>
      <c r="AK11" s="108">
        <f t="shared" si="6"/>
        <v>0</v>
      </c>
      <c r="AL11" s="108">
        <f t="shared" si="7"/>
        <v>0</v>
      </c>
      <c r="AM11" s="120">
        <f>AO11</f>
        <v>10</v>
      </c>
      <c r="AN11" s="117" t="s">
        <v>11</v>
      </c>
      <c r="AO11" s="115">
        <f>IF(Uitslag!T11="",0,IF(T11=Uitslag!T11,10,0))</f>
        <v>10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1</v>
      </c>
      <c r="H12" s="367" t="s">
        <v>9</v>
      </c>
      <c r="I12" s="440">
        <v>1</v>
      </c>
      <c r="J12" s="369">
        <f t="shared" si="0"/>
        <v>3</v>
      </c>
      <c r="K12" s="363">
        <f t="shared" si="1"/>
        <v>1</v>
      </c>
      <c r="L12" s="363">
        <f t="shared" si="2"/>
        <v>1</v>
      </c>
      <c r="O12" s="401" t="s">
        <v>12</v>
      </c>
      <c r="P12" s="402">
        <f>SUMIF($D$8:$D$55,$O12,$G$8:$G$55)+SUMIF($F$8:$F$55,$O12,$I$8:$I$55)</f>
        <v>3</v>
      </c>
      <c r="Q12" s="402">
        <f>SUMIF($D$8:$D$55,$O12,$I$8:$I$55)+SUMIF($F$8:$F$55,$O12,$G$8:$G$55)</f>
        <v>4</v>
      </c>
      <c r="R12" s="402">
        <f>P12-Q12</f>
        <v>-1</v>
      </c>
      <c r="S12" s="403">
        <f>SUMIF($D$8:$D$55,$O12,$K$8:$K$55)+SUMIF($F$8:$F$55,$O12,$L$8:$L$55)</f>
        <v>2</v>
      </c>
      <c r="T12" s="446" t="s">
        <v>47</v>
      </c>
      <c r="U12" s="392"/>
      <c r="V12" s="392" t="str">
        <f>O12</f>
        <v>Kameroen</v>
      </c>
      <c r="W12" s="392" t="s">
        <v>50</v>
      </c>
      <c r="Y12" s="109">
        <f t="shared" si="8"/>
        <v>0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0</v>
      </c>
      <c r="AG12" s="108">
        <f t="shared" si="3"/>
        <v>0</v>
      </c>
      <c r="AH12" s="108">
        <f t="shared" si="4"/>
        <v>0</v>
      </c>
      <c r="AI12" s="108">
        <f t="shared" si="10"/>
        <v>0</v>
      </c>
      <c r="AJ12" s="108">
        <f t="shared" si="5"/>
        <v>0</v>
      </c>
      <c r="AK12" s="108">
        <f t="shared" si="6"/>
        <v>0</v>
      </c>
      <c r="AL12" s="108">
        <f t="shared" si="7"/>
        <v>0</v>
      </c>
      <c r="AM12" s="120">
        <f>AO12</f>
        <v>0</v>
      </c>
      <c r="AN12" s="118" t="s">
        <v>12</v>
      </c>
      <c r="AO12" s="115">
        <f>IF(Uitslag!T12="",0,IF(T12=Uitslag!T12,10,0))</f>
        <v>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2</v>
      </c>
      <c r="H13" s="373" t="s">
        <v>9</v>
      </c>
      <c r="I13" s="441">
        <v>0</v>
      </c>
      <c r="J13" s="375">
        <f t="shared" si="0"/>
        <v>1</v>
      </c>
      <c r="K13" s="363">
        <f t="shared" si="1"/>
        <v>3</v>
      </c>
      <c r="L13" s="363">
        <f t="shared" si="2"/>
        <v>0</v>
      </c>
      <c r="O13" s="392"/>
      <c r="P13" s="393"/>
      <c r="Q13" s="393"/>
      <c r="R13" s="393"/>
      <c r="S13" s="393"/>
      <c r="T13" s="393"/>
      <c r="U13" s="392"/>
      <c r="V13" s="392"/>
      <c r="W13" s="392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3"/>
        <v>0</v>
      </c>
      <c r="AH13" s="108">
        <f t="shared" si="4"/>
        <v>0</v>
      </c>
      <c r="AI13" s="108">
        <f t="shared" si="10"/>
        <v>0</v>
      </c>
      <c r="AJ13" s="108">
        <f t="shared" si="5"/>
        <v>0</v>
      </c>
      <c r="AK13" s="108">
        <f t="shared" si="6"/>
        <v>0</v>
      </c>
      <c r="AL13" s="108">
        <f t="shared" si="7"/>
        <v>0</v>
      </c>
      <c r="AN13" s="392"/>
      <c r="AO13" s="393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0</v>
      </c>
      <c r="H14" s="373" t="s">
        <v>9</v>
      </c>
      <c r="I14" s="441">
        <v>1</v>
      </c>
      <c r="J14" s="375">
        <f t="shared" si="0"/>
        <v>2</v>
      </c>
      <c r="K14" s="363">
        <f t="shared" si="1"/>
        <v>0</v>
      </c>
      <c r="L14" s="363">
        <f t="shared" si="2"/>
        <v>3</v>
      </c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392"/>
      <c r="V14" s="392"/>
      <c r="W14" s="392"/>
      <c r="Y14" s="109">
        <f t="shared" si="8"/>
        <v>5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5</v>
      </c>
      <c r="AG14" s="108">
        <f t="shared" si="3"/>
        <v>0</v>
      </c>
      <c r="AH14" s="108">
        <f t="shared" si="4"/>
        <v>0</v>
      </c>
      <c r="AI14" s="108">
        <f t="shared" si="10"/>
        <v>0</v>
      </c>
      <c r="AJ14" s="108">
        <f t="shared" si="5"/>
        <v>0</v>
      </c>
      <c r="AK14" s="108">
        <f t="shared" si="6"/>
        <v>5</v>
      </c>
      <c r="AL14" s="108">
        <f t="shared" si="7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1</v>
      </c>
      <c r="H15" s="379" t="s">
        <v>9</v>
      </c>
      <c r="I15" s="442">
        <v>2</v>
      </c>
      <c r="J15" s="381">
        <f t="shared" si="0"/>
        <v>2</v>
      </c>
      <c r="K15" s="363">
        <f t="shared" si="1"/>
        <v>0</v>
      </c>
      <c r="L15" s="363">
        <f t="shared" si="2"/>
        <v>3</v>
      </c>
      <c r="O15" s="394" t="s">
        <v>13</v>
      </c>
      <c r="P15" s="395">
        <f>SUMIF($D$8:$D$55,$O15,$G$8:$G$55)+SUMIF($F$8:$F$55,$O15,$I$8:$I$55)</f>
        <v>6</v>
      </c>
      <c r="Q15" s="395">
        <f>SUMIF($D$8:$D$55,$O15,$I$8:$I$55)+SUMIF($F$8:$F$55,$O15,$G$8:$G$55)</f>
        <v>1</v>
      </c>
      <c r="R15" s="396">
        <f>P15-Q15</f>
        <v>5</v>
      </c>
      <c r="S15" s="397">
        <f>SUMIF($D$8:$D$55,$O15,$K$8:$K$55)+SUMIF($F$8:$F$55,$O15,$L$8:$L$55)</f>
        <v>9</v>
      </c>
      <c r="T15" s="444" t="s">
        <v>52</v>
      </c>
      <c r="U15" s="392"/>
      <c r="V15" s="392" t="str">
        <f>O15</f>
        <v>Spanje</v>
      </c>
      <c r="W15" s="392" t="s">
        <v>52</v>
      </c>
      <c r="Y15" s="109">
        <f t="shared" si="8"/>
        <v>0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0</v>
      </c>
      <c r="AG15" s="108">
        <f t="shared" si="3"/>
        <v>0</v>
      </c>
      <c r="AH15" s="108">
        <f t="shared" si="4"/>
        <v>0</v>
      </c>
      <c r="AI15" s="108">
        <f t="shared" si="10"/>
        <v>0</v>
      </c>
      <c r="AJ15" s="108">
        <f t="shared" si="5"/>
        <v>0</v>
      </c>
      <c r="AK15" s="108">
        <f t="shared" si="6"/>
        <v>0</v>
      </c>
      <c r="AL15" s="108">
        <f t="shared" si="7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1</v>
      </c>
      <c r="H16" s="367" t="s">
        <v>9</v>
      </c>
      <c r="I16" s="440">
        <v>0</v>
      </c>
      <c r="J16" s="369">
        <f t="shared" si="0"/>
        <v>1</v>
      </c>
      <c r="K16" s="363">
        <f t="shared" si="1"/>
        <v>3</v>
      </c>
      <c r="L16" s="363">
        <f t="shared" si="2"/>
        <v>0</v>
      </c>
      <c r="O16" s="404" t="s">
        <v>14</v>
      </c>
      <c r="P16" s="399">
        <f>SUMIF($D$8:$D$55,$O16,$G$8:$G$55)+SUMIF($F$8:$F$55,$O16,$I$8:$I$55)</f>
        <v>3</v>
      </c>
      <c r="Q16" s="399">
        <f>SUMIF($D$8:$D$55,$O16,$I$8:$I$55)+SUMIF($F$8:$F$55,$O16,$G$8:$G$55)</f>
        <v>2</v>
      </c>
      <c r="R16" s="399">
        <f>P16-Q16</f>
        <v>1</v>
      </c>
      <c r="S16" s="400">
        <f>SUMIF($D$8:$D$55,$O16,$K$8:$K$55)+SUMIF($F$8:$F$55,$O16,$L$8:$L$55)</f>
        <v>6</v>
      </c>
      <c r="T16" s="445" t="s">
        <v>53</v>
      </c>
      <c r="U16" s="392"/>
      <c r="V16" s="392" t="str">
        <f>O16</f>
        <v>Nederland</v>
      </c>
      <c r="W16" s="392" t="s">
        <v>53</v>
      </c>
      <c r="Y16" s="109">
        <f t="shared" si="8"/>
        <v>5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5</v>
      </c>
      <c r="AG16" s="108">
        <f t="shared" si="3"/>
        <v>0</v>
      </c>
      <c r="AH16" s="108">
        <f t="shared" si="4"/>
        <v>0</v>
      </c>
      <c r="AI16" s="108">
        <f t="shared" si="10"/>
        <v>0</v>
      </c>
      <c r="AJ16" s="108">
        <f t="shared" si="5"/>
        <v>5</v>
      </c>
      <c r="AK16" s="108">
        <f t="shared" si="6"/>
        <v>0</v>
      </c>
      <c r="AL16" s="108">
        <f t="shared" si="7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2</v>
      </c>
      <c r="H17" s="373" t="s">
        <v>9</v>
      </c>
      <c r="I17" s="441">
        <v>0</v>
      </c>
      <c r="J17" s="375">
        <f t="shared" si="0"/>
        <v>1</v>
      </c>
      <c r="K17" s="363">
        <f t="shared" si="1"/>
        <v>3</v>
      </c>
      <c r="L17" s="363">
        <f t="shared" si="2"/>
        <v>0</v>
      </c>
      <c r="O17" s="398" t="s">
        <v>15</v>
      </c>
      <c r="P17" s="399">
        <f>SUMIF($D$8:$D$55,$O17,$G$8:$G$55)+SUMIF($F$8:$F$55,$O17,$I$8:$I$55)</f>
        <v>1</v>
      </c>
      <c r="Q17" s="399">
        <f>SUMIF($D$8:$D$55,$O17,$I$8:$I$55)+SUMIF($F$8:$F$55,$O17,$G$8:$G$55)</f>
        <v>4</v>
      </c>
      <c r="R17" s="399">
        <f>P17-Q17</f>
        <v>-3</v>
      </c>
      <c r="S17" s="400">
        <f>SUMIF($D$8:$D$55,$O17,$K$8:$K$55)+SUMIF($F$8:$F$55,$O17,$L$8:$L$55)</f>
        <v>1</v>
      </c>
      <c r="T17" s="445" t="s">
        <v>54</v>
      </c>
      <c r="U17" s="392"/>
      <c r="V17" s="392" t="str">
        <f>O17</f>
        <v>Chili</v>
      </c>
      <c r="W17" s="392" t="s">
        <v>54</v>
      </c>
      <c r="Y17" s="109">
        <f t="shared" si="8"/>
        <v>6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6</v>
      </c>
      <c r="AG17" s="108">
        <f t="shared" si="3"/>
        <v>0</v>
      </c>
      <c r="AH17" s="108">
        <f t="shared" si="4"/>
        <v>1</v>
      </c>
      <c r="AI17" s="108">
        <f t="shared" si="10"/>
        <v>0</v>
      </c>
      <c r="AJ17" s="108">
        <f t="shared" si="5"/>
        <v>5</v>
      </c>
      <c r="AK17" s="108">
        <f t="shared" si="6"/>
        <v>0</v>
      </c>
      <c r="AL17" s="108">
        <f t="shared" si="7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2</v>
      </c>
      <c r="H18" s="379" t="s">
        <v>9</v>
      </c>
      <c r="I18" s="442">
        <v>0</v>
      </c>
      <c r="J18" s="381">
        <f t="shared" si="0"/>
        <v>1</v>
      </c>
      <c r="K18" s="363">
        <f t="shared" si="1"/>
        <v>3</v>
      </c>
      <c r="L18" s="363">
        <f t="shared" si="2"/>
        <v>0</v>
      </c>
      <c r="O18" s="401" t="s">
        <v>16</v>
      </c>
      <c r="P18" s="402">
        <f>SUMIF($D$8:$D$55,$O18,$G$8:$G$55)+SUMIF($F$8:$F$55,$O18,$I$8:$I$55)</f>
        <v>2</v>
      </c>
      <c r="Q18" s="402">
        <f>SUMIF($D$8:$D$55,$O18,$I$8:$I$55)+SUMIF($F$8:$F$55,$O18,$G$8:$G$55)</f>
        <v>5</v>
      </c>
      <c r="R18" s="402">
        <f>P18-Q18</f>
        <v>-3</v>
      </c>
      <c r="S18" s="403">
        <f>SUMIF($D$8:$D$55,$O18,$K$8:$K$55)+SUMIF($F$8:$F$55,$O18,$L$8:$L$55)</f>
        <v>1</v>
      </c>
      <c r="T18" s="446" t="s">
        <v>55</v>
      </c>
      <c r="U18" s="392"/>
      <c r="V18" s="392" t="str">
        <f>O18</f>
        <v>Australië</v>
      </c>
      <c r="W18" s="392" t="s">
        <v>55</v>
      </c>
      <c r="Y18" s="109">
        <f t="shared" si="8"/>
        <v>6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6</v>
      </c>
      <c r="AG18" s="108">
        <f t="shared" si="3"/>
        <v>1</v>
      </c>
      <c r="AH18" s="108">
        <f t="shared" si="4"/>
        <v>0</v>
      </c>
      <c r="AI18" s="108">
        <f t="shared" si="10"/>
        <v>0</v>
      </c>
      <c r="AJ18" s="108">
        <f t="shared" si="5"/>
        <v>5</v>
      </c>
      <c r="AK18" s="108">
        <f t="shared" si="6"/>
        <v>0</v>
      </c>
      <c r="AL18" s="108">
        <f t="shared" si="7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1</v>
      </c>
      <c r="H19" s="367" t="s">
        <v>9</v>
      </c>
      <c r="I19" s="440">
        <v>1</v>
      </c>
      <c r="J19" s="369">
        <f t="shared" si="0"/>
        <v>3</v>
      </c>
      <c r="K19" s="363">
        <f t="shared" si="1"/>
        <v>1</v>
      </c>
      <c r="L19" s="363">
        <f t="shared" si="2"/>
        <v>1</v>
      </c>
      <c r="O19" s="392"/>
      <c r="P19" s="393"/>
      <c r="Q19" s="393"/>
      <c r="R19" s="393"/>
      <c r="S19" s="393"/>
      <c r="T19" s="393"/>
      <c r="U19" s="392"/>
      <c r="V19" s="392"/>
      <c r="W19" s="392"/>
      <c r="Y19" s="109">
        <f t="shared" si="8"/>
        <v>0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0</v>
      </c>
      <c r="AG19" s="108">
        <f t="shared" si="3"/>
        <v>0</v>
      </c>
      <c r="AH19" s="108">
        <f t="shared" si="4"/>
        <v>0</v>
      </c>
      <c r="AI19" s="108">
        <f t="shared" si="10"/>
        <v>0</v>
      </c>
      <c r="AJ19" s="108">
        <f t="shared" si="5"/>
        <v>0</v>
      </c>
      <c r="AK19" s="108">
        <f t="shared" si="6"/>
        <v>0</v>
      </c>
      <c r="AL19" s="108">
        <f t="shared" si="7"/>
        <v>0</v>
      </c>
      <c r="AN19" s="392"/>
      <c r="AO19" s="393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0</v>
      </c>
      <c r="H20" s="373" t="s">
        <v>9</v>
      </c>
      <c r="I20" s="441">
        <v>1</v>
      </c>
      <c r="J20" s="375">
        <f t="shared" si="0"/>
        <v>2</v>
      </c>
      <c r="K20" s="363">
        <f t="shared" si="1"/>
        <v>0</v>
      </c>
      <c r="L20" s="363">
        <f t="shared" si="2"/>
        <v>3</v>
      </c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392"/>
      <c r="V20" s="392"/>
      <c r="W20" s="392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3"/>
        <v>1</v>
      </c>
      <c r="AH20" s="108">
        <f t="shared" si="4"/>
        <v>0</v>
      </c>
      <c r="AI20" s="108">
        <f t="shared" si="10"/>
        <v>0</v>
      </c>
      <c r="AJ20" s="108">
        <f t="shared" si="5"/>
        <v>0</v>
      </c>
      <c r="AK20" s="108">
        <f t="shared" si="6"/>
        <v>0</v>
      </c>
      <c r="AL20" s="108">
        <f t="shared" si="7"/>
        <v>0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0</v>
      </c>
      <c r="H21" s="379" t="s">
        <v>9</v>
      </c>
      <c r="I21" s="442">
        <v>1</v>
      </c>
      <c r="J21" s="381">
        <f t="shared" si="0"/>
        <v>2</v>
      </c>
      <c r="K21" s="363">
        <f t="shared" si="1"/>
        <v>0</v>
      </c>
      <c r="L21" s="363">
        <f t="shared" si="2"/>
        <v>3</v>
      </c>
      <c r="O21" s="394" t="s">
        <v>17</v>
      </c>
      <c r="P21" s="395">
        <f>SUMIF($D$8:$D$55,$O21,$G$8:$G$55)+SUMIF($F$8:$F$55,$O21,$I$8:$I$55)</f>
        <v>3</v>
      </c>
      <c r="Q21" s="395">
        <f>SUMIF($D$8:$D$55,$O21,$I$8:$I$55)+SUMIF($F$8:$F$55,$O21,$G$8:$G$55)</f>
        <v>1</v>
      </c>
      <c r="R21" s="396">
        <f>P21-Q21</f>
        <v>2</v>
      </c>
      <c r="S21" s="397">
        <f>SUMIF($D$8:$D$55,$O21,$K$8:$K$55)+SUMIF($F$8:$F$55,$O21,$L$8:$L$55)</f>
        <v>7</v>
      </c>
      <c r="T21" s="444" t="s">
        <v>57</v>
      </c>
      <c r="U21" s="392"/>
      <c r="V21" s="392" t="str">
        <f>O21</f>
        <v>Colombia</v>
      </c>
      <c r="W21" s="392" t="s">
        <v>57</v>
      </c>
      <c r="Y21" s="109">
        <f t="shared" si="8"/>
        <v>5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5</v>
      </c>
      <c r="AG21" s="108">
        <f t="shared" si="3"/>
        <v>0</v>
      </c>
      <c r="AH21" s="108">
        <f t="shared" si="4"/>
        <v>0</v>
      </c>
      <c r="AI21" s="108">
        <f t="shared" si="10"/>
        <v>0</v>
      </c>
      <c r="AJ21" s="108">
        <f t="shared" si="5"/>
        <v>0</v>
      </c>
      <c r="AK21" s="108">
        <f t="shared" si="6"/>
        <v>5</v>
      </c>
      <c r="AL21" s="108">
        <f t="shared" si="7"/>
        <v>0</v>
      </c>
      <c r="AM21" s="120">
        <f>AO21</f>
        <v>10</v>
      </c>
      <c r="AN21" s="116" t="s">
        <v>17</v>
      </c>
      <c r="AO21" s="115">
        <f>IF(Uitslag!T21="",0,IF(T21=Uitslag!T21,10,0))</f>
        <v>10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1</v>
      </c>
      <c r="H22" s="367" t="s">
        <v>9</v>
      </c>
      <c r="I22" s="440">
        <v>0</v>
      </c>
      <c r="J22" s="369">
        <f t="shared" si="0"/>
        <v>1</v>
      </c>
      <c r="K22" s="363">
        <f t="shared" si="1"/>
        <v>3</v>
      </c>
      <c r="L22" s="363">
        <f t="shared" si="2"/>
        <v>0</v>
      </c>
      <c r="O22" s="398" t="s">
        <v>18</v>
      </c>
      <c r="P22" s="399">
        <f>SUMIF($D$8:$D$55,$O22,$G$8:$G$55)+SUMIF($F$8:$F$55,$O22,$I$8:$I$55)</f>
        <v>3</v>
      </c>
      <c r="Q22" s="399">
        <f>SUMIF($D$8:$D$55,$O22,$I$8:$I$55)+SUMIF($F$8:$F$55,$O22,$G$8:$G$55)</f>
        <v>1</v>
      </c>
      <c r="R22" s="399">
        <f>P22-Q22</f>
        <v>2</v>
      </c>
      <c r="S22" s="400">
        <f>SUMIF($D$8:$D$55,$O22,$K$8:$K$55)+SUMIF($F$8:$F$55,$O22,$L$8:$L$55)</f>
        <v>7</v>
      </c>
      <c r="T22" s="445" t="s">
        <v>58</v>
      </c>
      <c r="U22" s="392"/>
      <c r="V22" s="392" t="str">
        <f>O22</f>
        <v>Griekenland</v>
      </c>
      <c r="W22" s="392" t="s">
        <v>58</v>
      </c>
      <c r="Y22" s="109">
        <f t="shared" si="8"/>
        <v>5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5</v>
      </c>
      <c r="AG22" s="108">
        <f t="shared" si="3"/>
        <v>0</v>
      </c>
      <c r="AH22" s="108">
        <f t="shared" si="4"/>
        <v>0</v>
      </c>
      <c r="AI22" s="108">
        <f t="shared" si="10"/>
        <v>0</v>
      </c>
      <c r="AJ22" s="108">
        <f t="shared" si="5"/>
        <v>5</v>
      </c>
      <c r="AK22" s="108">
        <f t="shared" si="6"/>
        <v>0</v>
      </c>
      <c r="AL22" s="108">
        <f t="shared" si="7"/>
        <v>0</v>
      </c>
      <c r="AM22" s="120">
        <f>AO22</f>
        <v>10</v>
      </c>
      <c r="AN22" s="117" t="s">
        <v>18</v>
      </c>
      <c r="AO22" s="115">
        <f>IF(Uitslag!T22="",0,IF(T22=Uitslag!T22,10,0))</f>
        <v>10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2</v>
      </c>
      <c r="H23" s="373" t="s">
        <v>9</v>
      </c>
      <c r="I23" s="441">
        <v>0</v>
      </c>
      <c r="J23" s="375">
        <f t="shared" si="0"/>
        <v>1</v>
      </c>
      <c r="K23" s="363">
        <f t="shared" si="1"/>
        <v>3</v>
      </c>
      <c r="L23" s="363">
        <f t="shared" si="2"/>
        <v>0</v>
      </c>
      <c r="O23" s="398" t="s">
        <v>23</v>
      </c>
      <c r="P23" s="399">
        <f>SUMIF($D$8:$D$55,$O23,$G$8:$G$55)+SUMIF($F$8:$F$55,$O23,$I$8:$I$55)</f>
        <v>1</v>
      </c>
      <c r="Q23" s="399">
        <f>SUMIF($D$8:$D$55,$O23,$I$8:$I$55)+SUMIF($F$8:$F$55,$O23,$G$8:$G$55)</f>
        <v>4</v>
      </c>
      <c r="R23" s="399">
        <f>P23-Q23</f>
        <v>-3</v>
      </c>
      <c r="S23" s="400">
        <f>SUMIF($D$8:$D$55,$O23,$K$8:$K$55)+SUMIF($F$8:$F$55,$O23,$L$8:$L$55)</f>
        <v>0</v>
      </c>
      <c r="T23" s="445" t="s">
        <v>59</v>
      </c>
      <c r="U23" s="392"/>
      <c r="V23" s="392" t="str">
        <f>O23</f>
        <v>Ivoorkust</v>
      </c>
      <c r="W23" s="392" t="s">
        <v>59</v>
      </c>
      <c r="Y23" s="109">
        <f t="shared" si="8"/>
        <v>1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1</v>
      </c>
      <c r="AG23" s="108">
        <f t="shared" si="3"/>
        <v>0</v>
      </c>
      <c r="AH23" s="108">
        <f t="shared" si="4"/>
        <v>1</v>
      </c>
      <c r="AI23" s="108">
        <f t="shared" si="10"/>
        <v>0</v>
      </c>
      <c r="AJ23" s="108">
        <f t="shared" si="5"/>
        <v>0</v>
      </c>
      <c r="AK23" s="108">
        <f t="shared" si="6"/>
        <v>0</v>
      </c>
      <c r="AL23" s="108">
        <f t="shared" si="7"/>
        <v>0</v>
      </c>
      <c r="AM23" s="120">
        <f>AO23</f>
        <v>10</v>
      </c>
      <c r="AN23" s="117" t="s">
        <v>23</v>
      </c>
      <c r="AO23" s="115">
        <f>IF(Uitslag!T23="",0,IF(T23=Uitslag!T23,10,0))</f>
        <v>10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2</v>
      </c>
      <c r="H24" s="379" t="s">
        <v>9</v>
      </c>
      <c r="I24" s="442">
        <v>0</v>
      </c>
      <c r="J24" s="381">
        <f t="shared" si="0"/>
        <v>1</v>
      </c>
      <c r="K24" s="363">
        <f t="shared" si="1"/>
        <v>3</v>
      </c>
      <c r="L24" s="363">
        <f t="shared" si="2"/>
        <v>0</v>
      </c>
      <c r="O24" s="401" t="s">
        <v>24</v>
      </c>
      <c r="P24" s="402">
        <f>SUMIF($D$8:$D$55,$O24,$G$8:$G$55)+SUMIF($F$8:$F$55,$O24,$I$8:$I$55)</f>
        <v>2</v>
      </c>
      <c r="Q24" s="402">
        <f>SUMIF($D$8:$D$55,$O24,$I$8:$I$55)+SUMIF($F$8:$F$55,$O24,$G$8:$G$55)</f>
        <v>3</v>
      </c>
      <c r="R24" s="402">
        <f>P24-Q24</f>
        <v>-1</v>
      </c>
      <c r="S24" s="403">
        <f>SUMIF($D$8:$D$55,$O24,$K$8:$K$55)+SUMIF($F$8:$F$55,$O24,$L$8:$L$55)</f>
        <v>3</v>
      </c>
      <c r="T24" s="446" t="s">
        <v>60</v>
      </c>
      <c r="U24" s="392"/>
      <c r="V24" s="392" t="str">
        <f>O24</f>
        <v>Japan</v>
      </c>
      <c r="W24" s="392" t="s">
        <v>60</v>
      </c>
      <c r="Y24" s="109">
        <f t="shared" si="8"/>
        <v>0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0</v>
      </c>
      <c r="AG24" s="108">
        <f t="shared" si="3"/>
        <v>0</v>
      </c>
      <c r="AH24" s="108">
        <f t="shared" si="4"/>
        <v>0</v>
      </c>
      <c r="AI24" s="108">
        <f t="shared" si="10"/>
        <v>0</v>
      </c>
      <c r="AJ24" s="108">
        <f t="shared" si="5"/>
        <v>0</v>
      </c>
      <c r="AK24" s="108">
        <f t="shared" si="6"/>
        <v>0</v>
      </c>
      <c r="AL24" s="108">
        <f t="shared" si="7"/>
        <v>0</v>
      </c>
      <c r="AM24" s="120">
        <f>AO24</f>
        <v>10</v>
      </c>
      <c r="AN24" s="118" t="s">
        <v>24</v>
      </c>
      <c r="AO24" s="115">
        <f>IF(Uitslag!T24="",0,IF(T24=Uitslag!T24,10,0))</f>
        <v>10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0</v>
      </c>
      <c r="H25" s="367" t="s">
        <v>9</v>
      </c>
      <c r="I25" s="440">
        <v>2</v>
      </c>
      <c r="J25" s="369">
        <f t="shared" si="0"/>
        <v>2</v>
      </c>
      <c r="K25" s="363">
        <f t="shared" si="1"/>
        <v>0</v>
      </c>
      <c r="L25" s="363">
        <f t="shared" si="2"/>
        <v>3</v>
      </c>
      <c r="O25" s="392"/>
      <c r="P25" s="393"/>
      <c r="Q25" s="393"/>
      <c r="R25" s="393"/>
      <c r="S25" s="393"/>
      <c r="T25" s="393"/>
      <c r="U25" s="392"/>
      <c r="V25" s="392"/>
      <c r="W25" s="392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3"/>
        <v>0</v>
      </c>
      <c r="AH25" s="108">
        <f t="shared" si="4"/>
        <v>0</v>
      </c>
      <c r="AI25" s="108">
        <f t="shared" si="10"/>
        <v>0</v>
      </c>
      <c r="AJ25" s="108">
        <f t="shared" si="5"/>
        <v>0</v>
      </c>
      <c r="AK25" s="108">
        <f t="shared" si="6"/>
        <v>5</v>
      </c>
      <c r="AL25" s="108">
        <f t="shared" si="7"/>
        <v>0</v>
      </c>
      <c r="AN25" s="392"/>
      <c r="AO25" s="393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2</v>
      </c>
      <c r="H26" s="373" t="s">
        <v>9</v>
      </c>
      <c r="I26" s="441">
        <v>0</v>
      </c>
      <c r="J26" s="375">
        <f t="shared" si="0"/>
        <v>1</v>
      </c>
      <c r="K26" s="363">
        <f t="shared" si="1"/>
        <v>3</v>
      </c>
      <c r="L26" s="363">
        <f t="shared" si="2"/>
        <v>0</v>
      </c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392"/>
      <c r="V26" s="392"/>
      <c r="W26" s="392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3"/>
        <v>0</v>
      </c>
      <c r="AH26" s="108">
        <f t="shared" si="4"/>
        <v>0</v>
      </c>
      <c r="AI26" s="108">
        <f t="shared" si="10"/>
        <v>0</v>
      </c>
      <c r="AJ26" s="108">
        <f t="shared" si="5"/>
        <v>0</v>
      </c>
      <c r="AK26" s="108">
        <f t="shared" si="6"/>
        <v>0</v>
      </c>
      <c r="AL26" s="108">
        <f t="shared" si="7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1</v>
      </c>
      <c r="H27" s="379" t="s">
        <v>9</v>
      </c>
      <c r="I27" s="442">
        <v>1</v>
      </c>
      <c r="J27" s="381">
        <f t="shared" si="0"/>
        <v>3</v>
      </c>
      <c r="K27" s="363">
        <f t="shared" si="1"/>
        <v>1</v>
      </c>
      <c r="L27" s="363">
        <f t="shared" si="2"/>
        <v>1</v>
      </c>
      <c r="O27" s="394" t="s">
        <v>19</v>
      </c>
      <c r="P27" s="395">
        <f>SUMIF($D$8:$D$55,$O27,$G$8:$G$55)+SUMIF($F$8:$F$55,$O27,$I$8:$I$55)</f>
        <v>3</v>
      </c>
      <c r="Q27" s="395">
        <f>SUMIF($D$8:$D$55,$O27,$I$8:$I$55)+SUMIF($F$8:$F$55,$O27,$G$8:$G$55)</f>
        <v>3</v>
      </c>
      <c r="R27" s="396">
        <f>P27-Q27</f>
        <v>0</v>
      </c>
      <c r="S27" s="397">
        <f>SUMIF($D$8:$D$55,$O27,$K$8:$K$55)+SUMIF($F$8:$F$55,$O27,$L$8:$L$55)</f>
        <v>3</v>
      </c>
      <c r="T27" s="444" t="s">
        <v>64</v>
      </c>
      <c r="U27" s="392"/>
      <c r="V27" s="392" t="str">
        <f>O27</f>
        <v>Uruguay</v>
      </c>
      <c r="W27" s="392" t="s">
        <v>62</v>
      </c>
      <c r="Y27" s="109">
        <f t="shared" si="8"/>
        <v>0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0</v>
      </c>
      <c r="AG27" s="108">
        <f t="shared" si="3"/>
        <v>0</v>
      </c>
      <c r="AH27" s="108">
        <f t="shared" si="4"/>
        <v>0</v>
      </c>
      <c r="AI27" s="108">
        <f t="shared" si="10"/>
        <v>0</v>
      </c>
      <c r="AJ27" s="108">
        <f t="shared" si="5"/>
        <v>0</v>
      </c>
      <c r="AK27" s="108">
        <f t="shared" si="6"/>
        <v>0</v>
      </c>
      <c r="AL27" s="108">
        <f t="shared" si="7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1</v>
      </c>
      <c r="H28" s="367" t="s">
        <v>9</v>
      </c>
      <c r="I28" s="440">
        <v>0</v>
      </c>
      <c r="J28" s="369">
        <f t="shared" si="0"/>
        <v>1</v>
      </c>
      <c r="K28" s="363">
        <f t="shared" si="1"/>
        <v>3</v>
      </c>
      <c r="L28" s="363">
        <f t="shared" si="2"/>
        <v>0</v>
      </c>
      <c r="O28" s="398" t="s">
        <v>20</v>
      </c>
      <c r="P28" s="399">
        <f>SUMIF($D$8:$D$55,$O28,$G$8:$G$55)+SUMIF($F$8:$F$55,$O28,$I$8:$I$55)</f>
        <v>0</v>
      </c>
      <c r="Q28" s="399">
        <f>SUMIF($D$8:$D$55,$O28,$I$8:$I$55)+SUMIF($F$8:$F$55,$O28,$G$8:$G$55)</f>
        <v>4</v>
      </c>
      <c r="R28" s="399">
        <f>P28-Q28</f>
        <v>-4</v>
      </c>
      <c r="S28" s="400">
        <f>SUMIF($D$8:$D$55,$O28,$K$8:$K$55)+SUMIF($F$8:$F$55,$O28,$L$8:$L$55)</f>
        <v>0</v>
      </c>
      <c r="T28" s="445" t="s">
        <v>65</v>
      </c>
      <c r="U28" s="392"/>
      <c r="V28" s="392" t="str">
        <f>O28</f>
        <v>Costa Rica</v>
      </c>
      <c r="W28" s="392" t="s">
        <v>63</v>
      </c>
      <c r="Y28" s="109">
        <f t="shared" si="8"/>
        <v>5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5</v>
      </c>
      <c r="AG28" s="108">
        <f t="shared" si="3"/>
        <v>0</v>
      </c>
      <c r="AH28" s="108">
        <f t="shared" si="4"/>
        <v>0</v>
      </c>
      <c r="AI28" s="108">
        <f t="shared" si="10"/>
        <v>0</v>
      </c>
      <c r="AJ28" s="108">
        <f t="shared" si="5"/>
        <v>5</v>
      </c>
      <c r="AK28" s="108">
        <f t="shared" si="6"/>
        <v>0</v>
      </c>
      <c r="AL28" s="108">
        <f t="shared" si="7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1</v>
      </c>
      <c r="H29" s="373" t="s">
        <v>9</v>
      </c>
      <c r="I29" s="441">
        <v>2</v>
      </c>
      <c r="J29" s="375">
        <f t="shared" si="0"/>
        <v>2</v>
      </c>
      <c r="K29" s="363">
        <f t="shared" si="1"/>
        <v>0</v>
      </c>
      <c r="L29" s="363">
        <f t="shared" si="2"/>
        <v>3</v>
      </c>
      <c r="O29" s="398" t="s">
        <v>21</v>
      </c>
      <c r="P29" s="399">
        <f>SUMIF($D$8:$D$55,$O29,$G$8:$G$55)+SUMIF($F$8:$F$55,$O29,$I$8:$I$55)</f>
        <v>3</v>
      </c>
      <c r="Q29" s="399">
        <f>SUMIF($D$8:$D$55,$O29,$I$8:$I$55)+SUMIF($F$8:$F$55,$O29,$G$8:$G$55)</f>
        <v>2</v>
      </c>
      <c r="R29" s="399">
        <f>P29-Q29</f>
        <v>1</v>
      </c>
      <c r="S29" s="400">
        <f>SUMIF($D$8:$D$55,$O29,$K$8:$K$55)+SUMIF($F$8:$F$55,$O29,$L$8:$L$55)</f>
        <v>6</v>
      </c>
      <c r="T29" s="445" t="s">
        <v>63</v>
      </c>
      <c r="U29" s="392"/>
      <c r="V29" s="392" t="str">
        <f>O29</f>
        <v>Engeland</v>
      </c>
      <c r="W29" s="392" t="s">
        <v>64</v>
      </c>
      <c r="Y29" s="109">
        <f t="shared" si="8"/>
        <v>0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0</v>
      </c>
      <c r="AG29" s="108">
        <f t="shared" si="3"/>
        <v>0</v>
      </c>
      <c r="AH29" s="108">
        <f t="shared" si="4"/>
        <v>0</v>
      </c>
      <c r="AI29" s="108">
        <f t="shared" si="10"/>
        <v>0</v>
      </c>
      <c r="AJ29" s="108">
        <f t="shared" si="5"/>
        <v>0</v>
      </c>
      <c r="AK29" s="108">
        <f t="shared" si="6"/>
        <v>0</v>
      </c>
      <c r="AL29" s="108">
        <f t="shared" si="7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0</v>
      </c>
      <c r="H30" s="379" t="s">
        <v>9</v>
      </c>
      <c r="I30" s="442">
        <v>1</v>
      </c>
      <c r="J30" s="381">
        <f t="shared" si="0"/>
        <v>2</v>
      </c>
      <c r="K30" s="363">
        <f t="shared" si="1"/>
        <v>0</v>
      </c>
      <c r="L30" s="363">
        <f t="shared" si="2"/>
        <v>3</v>
      </c>
      <c r="O30" s="401" t="s">
        <v>22</v>
      </c>
      <c r="P30" s="402">
        <f>SUMIF($D$8:$D$55,$O30,$G$8:$G$55)+SUMIF($F$8:$F$55,$O30,$I$8:$I$55)</f>
        <v>3</v>
      </c>
      <c r="Q30" s="402">
        <f>SUMIF($D$8:$D$55,$O30,$I$8:$I$55)+SUMIF($F$8:$F$55,$O30,$G$8:$G$55)</f>
        <v>0</v>
      </c>
      <c r="R30" s="402">
        <f>P30-Q30</f>
        <v>3</v>
      </c>
      <c r="S30" s="403">
        <f>SUMIF($D$8:$D$55,$O30,$K$8:$K$55)+SUMIF($F$8:$F$55,$O30,$L$8:$L$55)</f>
        <v>9</v>
      </c>
      <c r="T30" s="446" t="s">
        <v>62</v>
      </c>
      <c r="U30" s="392"/>
      <c r="V30" s="392" t="str">
        <f>O30</f>
        <v>Italië</v>
      </c>
      <c r="W30" s="392" t="s">
        <v>65</v>
      </c>
      <c r="Y30" s="109">
        <f t="shared" si="8"/>
        <v>1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1</v>
      </c>
      <c r="AG30" s="108">
        <f t="shared" si="3"/>
        <v>1</v>
      </c>
      <c r="AH30" s="108">
        <f t="shared" si="4"/>
        <v>0</v>
      </c>
      <c r="AI30" s="108">
        <f t="shared" si="10"/>
        <v>0</v>
      </c>
      <c r="AJ30" s="108">
        <f t="shared" si="5"/>
        <v>0</v>
      </c>
      <c r="AK30" s="108">
        <f t="shared" si="6"/>
        <v>0</v>
      </c>
      <c r="AL30" s="108">
        <f t="shared" si="7"/>
        <v>0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1</v>
      </c>
      <c r="H31" s="367" t="s">
        <v>9</v>
      </c>
      <c r="I31" s="440">
        <v>0</v>
      </c>
      <c r="J31" s="369">
        <f t="shared" si="0"/>
        <v>1</v>
      </c>
      <c r="K31" s="363">
        <f t="shared" si="1"/>
        <v>3</v>
      </c>
      <c r="L31" s="363">
        <f t="shared" si="2"/>
        <v>0</v>
      </c>
      <c r="O31" s="392"/>
      <c r="P31" s="393"/>
      <c r="Q31" s="393"/>
      <c r="R31" s="393"/>
      <c r="S31" s="393"/>
      <c r="T31" s="393"/>
      <c r="U31" s="392"/>
      <c r="V31" s="392"/>
      <c r="W31" s="392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3"/>
        <v>0</v>
      </c>
      <c r="AH31" s="108">
        <f t="shared" si="4"/>
        <v>0</v>
      </c>
      <c r="AI31" s="108">
        <f t="shared" si="10"/>
        <v>0</v>
      </c>
      <c r="AJ31" s="108">
        <f t="shared" si="5"/>
        <v>0</v>
      </c>
      <c r="AK31" s="108">
        <f t="shared" si="6"/>
        <v>0</v>
      </c>
      <c r="AL31" s="108">
        <f t="shared" si="7"/>
        <v>0</v>
      </c>
      <c r="AN31" s="392"/>
      <c r="AO31" s="393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0</v>
      </c>
      <c r="H32" s="373" t="s">
        <v>9</v>
      </c>
      <c r="I32" s="441">
        <v>2</v>
      </c>
      <c r="J32" s="375">
        <f t="shared" si="0"/>
        <v>2</v>
      </c>
      <c r="K32" s="363">
        <f t="shared" si="1"/>
        <v>0</v>
      </c>
      <c r="L32" s="363">
        <f t="shared" si="2"/>
        <v>3</v>
      </c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392"/>
      <c r="V32" s="392"/>
      <c r="W32" s="392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3"/>
        <v>0</v>
      </c>
      <c r="AH32" s="108">
        <f t="shared" si="4"/>
        <v>0</v>
      </c>
      <c r="AI32" s="108">
        <f t="shared" si="10"/>
        <v>0</v>
      </c>
      <c r="AJ32" s="108">
        <f t="shared" si="5"/>
        <v>0</v>
      </c>
      <c r="AK32" s="108">
        <f t="shared" si="6"/>
        <v>5</v>
      </c>
      <c r="AL32" s="108">
        <f t="shared" si="7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1</v>
      </c>
      <c r="H33" s="379" t="s">
        <v>9</v>
      </c>
      <c r="I33" s="442">
        <v>1</v>
      </c>
      <c r="J33" s="381">
        <f t="shared" si="0"/>
        <v>3</v>
      </c>
      <c r="K33" s="363">
        <f t="shared" si="1"/>
        <v>1</v>
      </c>
      <c r="L33" s="363">
        <f t="shared" si="2"/>
        <v>1</v>
      </c>
      <c r="O33" s="394" t="s">
        <v>25</v>
      </c>
      <c r="P33" s="395">
        <f>SUMIF($D$8:$D$55,$O33,$G$8:$G$55)+SUMIF($F$8:$F$55,$O33,$I$8:$I$55)</f>
        <v>2</v>
      </c>
      <c r="Q33" s="395">
        <f>SUMIF($D$8:$D$55,$O33,$I$8:$I$55)+SUMIF($F$8:$F$55,$O33,$G$8:$G$55)</f>
        <v>3</v>
      </c>
      <c r="R33" s="396">
        <f>P33-Q33</f>
        <v>-1</v>
      </c>
      <c r="S33" s="397">
        <f>SUMIF($D$8:$D$55,$O33,$K$8:$K$55)+SUMIF($F$8:$F$55,$O33,$L$8:$L$55)</f>
        <v>4</v>
      </c>
      <c r="T33" s="444" t="s">
        <v>68</v>
      </c>
      <c r="U33" s="392"/>
      <c r="V33" s="392" t="str">
        <f>O33</f>
        <v>Zwitserland</v>
      </c>
      <c r="W33" s="392" t="s">
        <v>67</v>
      </c>
      <c r="Y33" s="109">
        <f t="shared" si="8"/>
        <v>1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1</v>
      </c>
      <c r="AG33" s="108">
        <f t="shared" si="3"/>
        <v>1</v>
      </c>
      <c r="AH33" s="108">
        <f t="shared" si="4"/>
        <v>0</v>
      </c>
      <c r="AI33" s="108">
        <f t="shared" si="10"/>
        <v>0</v>
      </c>
      <c r="AJ33" s="108">
        <f t="shared" si="5"/>
        <v>0</v>
      </c>
      <c r="AK33" s="108">
        <f t="shared" si="6"/>
        <v>0</v>
      </c>
      <c r="AL33" s="108">
        <f t="shared" si="7"/>
        <v>0</v>
      </c>
      <c r="AM33" s="120">
        <f>AO33</f>
        <v>10</v>
      </c>
      <c r="AN33" s="116" t="s">
        <v>25</v>
      </c>
      <c r="AO33" s="115">
        <f>IF(Uitslag!T33="",0,IF(T33=Uitslag!T33,10,0))</f>
        <v>10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2</v>
      </c>
      <c r="H34" s="367" t="s">
        <v>9</v>
      </c>
      <c r="I34" s="440">
        <v>0</v>
      </c>
      <c r="J34" s="369">
        <f t="shared" si="0"/>
        <v>1</v>
      </c>
      <c r="K34" s="363">
        <f t="shared" si="1"/>
        <v>3</v>
      </c>
      <c r="L34" s="363">
        <f t="shared" si="2"/>
        <v>0</v>
      </c>
      <c r="O34" s="398" t="s">
        <v>26</v>
      </c>
      <c r="P34" s="399">
        <f>SUMIF($D$8:$D$55,$O34,$G$8:$G$55)+SUMIF($F$8:$F$55,$O34,$I$8:$I$55)</f>
        <v>1</v>
      </c>
      <c r="Q34" s="399">
        <f>SUMIF($D$8:$D$55,$O34,$I$8:$I$55)+SUMIF($F$8:$F$55,$O34,$G$8:$G$55)</f>
        <v>4</v>
      </c>
      <c r="R34" s="399">
        <f>P34-Q34</f>
        <v>-3</v>
      </c>
      <c r="S34" s="400">
        <f>SUMIF($D$8:$D$55,$O34,$K$8:$K$55)+SUMIF($F$8:$F$55,$O34,$L$8:$L$55)</f>
        <v>1</v>
      </c>
      <c r="T34" s="445" t="s">
        <v>70</v>
      </c>
      <c r="U34" s="392"/>
      <c r="V34" s="392" t="str">
        <f>O34</f>
        <v>Ecuador</v>
      </c>
      <c r="W34" s="392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3"/>
        <v>0</v>
      </c>
      <c r="AH34" s="108">
        <f t="shared" si="4"/>
        <v>1</v>
      </c>
      <c r="AI34" s="108">
        <f t="shared" si="10"/>
        <v>0</v>
      </c>
      <c r="AJ34" s="108">
        <f t="shared" si="5"/>
        <v>5</v>
      </c>
      <c r="AK34" s="108">
        <f t="shared" si="6"/>
        <v>0</v>
      </c>
      <c r="AL34" s="108">
        <f t="shared" si="7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2</v>
      </c>
      <c r="H35" s="373" t="s">
        <v>9</v>
      </c>
      <c r="I35" s="441">
        <v>0</v>
      </c>
      <c r="J35" s="375">
        <f t="shared" si="0"/>
        <v>1</v>
      </c>
      <c r="K35" s="363">
        <f t="shared" si="1"/>
        <v>3</v>
      </c>
      <c r="L35" s="363">
        <f t="shared" si="2"/>
        <v>0</v>
      </c>
      <c r="O35" s="398" t="s">
        <v>27</v>
      </c>
      <c r="P35" s="399">
        <f>SUMIF($D$8:$D$55,$O35,$G$8:$G$55)+SUMIF($F$8:$F$55,$O35,$I$8:$I$55)</f>
        <v>6</v>
      </c>
      <c r="Q35" s="399">
        <f>SUMIF($D$8:$D$55,$O35,$I$8:$I$55)+SUMIF($F$8:$F$55,$O35,$G$8:$G$55)</f>
        <v>0</v>
      </c>
      <c r="R35" s="399">
        <f>P35-Q35</f>
        <v>6</v>
      </c>
      <c r="S35" s="400">
        <f>SUMIF($D$8:$D$55,$O35,$K$8:$K$55)+SUMIF($F$8:$F$55,$O35,$L$8:$L$55)</f>
        <v>9</v>
      </c>
      <c r="T35" s="445" t="s">
        <v>67</v>
      </c>
      <c r="U35" s="392"/>
      <c r="V35" s="392" t="str">
        <f>O35</f>
        <v>Frankrijk</v>
      </c>
      <c r="W35" s="392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3"/>
        <v>1</v>
      </c>
      <c r="AH35" s="108">
        <f t="shared" si="4"/>
        <v>0</v>
      </c>
      <c r="AI35" s="108">
        <f t="shared" si="10"/>
        <v>0</v>
      </c>
      <c r="AJ35" s="108">
        <f t="shared" si="5"/>
        <v>0</v>
      </c>
      <c r="AK35" s="108">
        <f t="shared" si="6"/>
        <v>0</v>
      </c>
      <c r="AL35" s="108">
        <f t="shared" si="7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1</v>
      </c>
      <c r="H36" s="379" t="s">
        <v>9</v>
      </c>
      <c r="I36" s="442">
        <v>1</v>
      </c>
      <c r="J36" s="381">
        <f t="shared" si="0"/>
        <v>3</v>
      </c>
      <c r="K36" s="363">
        <f t="shared" si="1"/>
        <v>1</v>
      </c>
      <c r="L36" s="363">
        <f t="shared" si="2"/>
        <v>1</v>
      </c>
      <c r="O36" s="401" t="s">
        <v>28</v>
      </c>
      <c r="P36" s="402">
        <f>SUMIF($D$8:$D$55,$O36,$G$8:$G$55)+SUMIF($F$8:$F$55,$O36,$I$8:$I$55)</f>
        <v>2</v>
      </c>
      <c r="Q36" s="402">
        <f>SUMIF($D$8:$D$55,$O36,$I$8:$I$55)+SUMIF($F$8:$F$55,$O36,$G$8:$G$55)</f>
        <v>4</v>
      </c>
      <c r="R36" s="402">
        <f>P36-Q36</f>
        <v>-2</v>
      </c>
      <c r="S36" s="403">
        <f>SUMIF($D$8:$D$55,$O36,$K$8:$K$55)+SUMIF($F$8:$F$55,$O36,$L$8:$L$55)</f>
        <v>2</v>
      </c>
      <c r="T36" s="446" t="s">
        <v>69</v>
      </c>
      <c r="U36" s="392"/>
      <c r="V36" s="392" t="str">
        <f>O36</f>
        <v>Honduras</v>
      </c>
      <c r="W36" s="392" t="s">
        <v>70</v>
      </c>
      <c r="Y36" s="109">
        <f t="shared" si="8"/>
        <v>1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1</v>
      </c>
      <c r="AG36" s="108">
        <f t="shared" si="3"/>
        <v>1</v>
      </c>
      <c r="AH36" s="108">
        <f t="shared" si="4"/>
        <v>0</v>
      </c>
      <c r="AI36" s="108">
        <f t="shared" si="10"/>
        <v>0</v>
      </c>
      <c r="AJ36" s="108">
        <f t="shared" si="5"/>
        <v>0</v>
      </c>
      <c r="AK36" s="108">
        <f t="shared" si="6"/>
        <v>0</v>
      </c>
      <c r="AL36" s="108">
        <f t="shared" si="7"/>
        <v>0</v>
      </c>
      <c r="AM36" s="120">
        <f>AO36</f>
        <v>0</v>
      </c>
      <c r="AN36" s="118" t="s">
        <v>28</v>
      </c>
      <c r="AO36" s="115">
        <f>IF(Uitslag!T36="",0,IF(T36=Uitslag!T36,10,0))</f>
        <v>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2</v>
      </c>
      <c r="H37" s="367" t="s">
        <v>9</v>
      </c>
      <c r="I37" s="440">
        <v>1</v>
      </c>
      <c r="J37" s="369">
        <f t="shared" si="0"/>
        <v>1</v>
      </c>
      <c r="K37" s="363">
        <f t="shared" si="1"/>
        <v>3</v>
      </c>
      <c r="L37" s="363">
        <f t="shared" si="2"/>
        <v>0</v>
      </c>
      <c r="O37" s="392"/>
      <c r="P37" s="393"/>
      <c r="Q37" s="393"/>
      <c r="R37" s="393"/>
      <c r="S37" s="393"/>
      <c r="T37" s="393"/>
      <c r="U37" s="392"/>
      <c r="V37" s="392"/>
      <c r="W37" s="392"/>
      <c r="Y37" s="109">
        <f t="shared" si="8"/>
        <v>5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5</v>
      </c>
      <c r="AG37" s="108">
        <f t="shared" si="3"/>
        <v>0</v>
      </c>
      <c r="AH37" s="108">
        <f t="shared" si="4"/>
        <v>0</v>
      </c>
      <c r="AI37" s="108">
        <f t="shared" si="10"/>
        <v>0</v>
      </c>
      <c r="AJ37" s="108">
        <f t="shared" si="5"/>
        <v>5</v>
      </c>
      <c r="AK37" s="108">
        <f t="shared" si="6"/>
        <v>0</v>
      </c>
      <c r="AL37" s="108">
        <f t="shared" si="7"/>
        <v>0</v>
      </c>
      <c r="AN37" s="392"/>
      <c r="AO37" s="393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1</v>
      </c>
      <c r="H38" s="373" t="s">
        <v>9</v>
      </c>
      <c r="I38" s="441">
        <v>0</v>
      </c>
      <c r="J38" s="375">
        <f t="shared" si="0"/>
        <v>1</v>
      </c>
      <c r="K38" s="363">
        <f t="shared" si="1"/>
        <v>3</v>
      </c>
      <c r="L38" s="363">
        <f t="shared" si="2"/>
        <v>0</v>
      </c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392"/>
      <c r="V38" s="392"/>
      <c r="W38" s="392"/>
      <c r="Y38" s="109">
        <f t="shared" si="8"/>
        <v>0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0</v>
      </c>
      <c r="AG38" s="108">
        <f t="shared" si="3"/>
        <v>0</v>
      </c>
      <c r="AH38" s="108">
        <f t="shared" si="4"/>
        <v>0</v>
      </c>
      <c r="AI38" s="108">
        <f t="shared" si="10"/>
        <v>0</v>
      </c>
      <c r="AJ38" s="108">
        <f t="shared" si="5"/>
        <v>0</v>
      </c>
      <c r="AK38" s="108">
        <f t="shared" si="6"/>
        <v>0</v>
      </c>
      <c r="AL38" s="108">
        <f t="shared" si="7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0</v>
      </c>
      <c r="H39" s="379" t="s">
        <v>9</v>
      </c>
      <c r="I39" s="442">
        <v>3</v>
      </c>
      <c r="J39" s="381">
        <f t="shared" si="0"/>
        <v>2</v>
      </c>
      <c r="K39" s="363">
        <f t="shared" si="1"/>
        <v>0</v>
      </c>
      <c r="L39" s="363">
        <f t="shared" si="2"/>
        <v>3</v>
      </c>
      <c r="O39" s="394" t="s">
        <v>29</v>
      </c>
      <c r="P39" s="395">
        <f>SUMIF($D$8:$D$55,$O39,$G$8:$G$55)+SUMIF($F$8:$F$55,$O39,$I$8:$I$55)</f>
        <v>6</v>
      </c>
      <c r="Q39" s="395">
        <f>SUMIF($D$8:$D$55,$O39,$I$8:$I$55)+SUMIF($F$8:$F$55,$O39,$G$8:$G$55)</f>
        <v>1</v>
      </c>
      <c r="R39" s="396">
        <f>P39-Q39</f>
        <v>5</v>
      </c>
      <c r="S39" s="397">
        <f>SUMIF($D$8:$D$55,$O39,$K$8:$K$55)+SUMIF($F$8:$F$55,$O39,$L$8:$L$55)</f>
        <v>9</v>
      </c>
      <c r="T39" s="444" t="s">
        <v>72</v>
      </c>
      <c r="U39" s="392"/>
      <c r="V39" s="392" t="str">
        <f>O39</f>
        <v>Argentinië</v>
      </c>
      <c r="W39" s="392" t="s">
        <v>72</v>
      </c>
      <c r="Y39" s="109">
        <f t="shared" si="8"/>
        <v>0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0</v>
      </c>
      <c r="AG39" s="108">
        <f t="shared" si="3"/>
        <v>0</v>
      </c>
      <c r="AH39" s="108">
        <f t="shared" si="4"/>
        <v>0</v>
      </c>
      <c r="AI39" s="108">
        <f t="shared" si="10"/>
        <v>0</v>
      </c>
      <c r="AJ39" s="108">
        <f t="shared" si="5"/>
        <v>0</v>
      </c>
      <c r="AK39" s="108">
        <f t="shared" si="6"/>
        <v>0</v>
      </c>
      <c r="AL39" s="108">
        <f t="shared" si="7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1</v>
      </c>
      <c r="H40" s="367" t="s">
        <v>9</v>
      </c>
      <c r="I40" s="440">
        <v>2</v>
      </c>
      <c r="J40" s="369">
        <f t="shared" si="0"/>
        <v>2</v>
      </c>
      <c r="K40" s="363">
        <f t="shared" si="1"/>
        <v>0</v>
      </c>
      <c r="L40" s="363">
        <f t="shared" si="2"/>
        <v>3</v>
      </c>
      <c r="O40" s="398" t="s">
        <v>30</v>
      </c>
      <c r="P40" s="399">
        <f>SUMIF($D$8:$D$55,$O40,$G$8:$G$55)+SUMIF($F$8:$F$55,$O40,$I$8:$I$55)</f>
        <v>2</v>
      </c>
      <c r="Q40" s="399">
        <f>SUMIF($D$8:$D$55,$O40,$I$8:$I$55)+SUMIF($F$8:$F$55,$O40,$G$8:$G$55)</f>
        <v>3</v>
      </c>
      <c r="R40" s="399">
        <f>P40-Q40</f>
        <v>-1</v>
      </c>
      <c r="S40" s="400">
        <f>SUMIF($D$8:$D$55,$O40,$K$8:$K$55)+SUMIF($F$8:$F$55,$O40,$L$8:$L$55)</f>
        <v>4</v>
      </c>
      <c r="T40" s="445" t="s">
        <v>74</v>
      </c>
      <c r="U40" s="392"/>
      <c r="V40" s="392" t="str">
        <f>O40</f>
        <v>Bosnië H.</v>
      </c>
      <c r="W40" s="392" t="s">
        <v>73</v>
      </c>
      <c r="Y40" s="109">
        <f t="shared" si="8"/>
        <v>5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5</v>
      </c>
      <c r="AG40" s="108">
        <f t="shared" si="3"/>
        <v>0</v>
      </c>
      <c r="AH40" s="108">
        <f t="shared" si="4"/>
        <v>0</v>
      </c>
      <c r="AI40" s="108">
        <f t="shared" si="10"/>
        <v>0</v>
      </c>
      <c r="AJ40" s="108">
        <f t="shared" si="5"/>
        <v>0</v>
      </c>
      <c r="AK40" s="108">
        <f t="shared" si="6"/>
        <v>5</v>
      </c>
      <c r="AL40" s="108">
        <f t="shared" si="7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1</v>
      </c>
      <c r="H41" s="373" t="s">
        <v>9</v>
      </c>
      <c r="I41" s="441">
        <v>0</v>
      </c>
      <c r="J41" s="375">
        <f t="shared" si="0"/>
        <v>1</v>
      </c>
      <c r="K41" s="363">
        <f t="shared" si="1"/>
        <v>3</v>
      </c>
      <c r="L41" s="363">
        <f t="shared" si="2"/>
        <v>0</v>
      </c>
      <c r="O41" s="398" t="s">
        <v>33</v>
      </c>
      <c r="P41" s="399">
        <f>SUMIF($D$8:$D$55,$O41,$G$8:$G$55)+SUMIF($F$8:$F$55,$O41,$I$8:$I$55)</f>
        <v>0</v>
      </c>
      <c r="Q41" s="399">
        <f>SUMIF($D$8:$D$55,$O41,$I$8:$I$55)+SUMIF($F$8:$F$55,$O41,$G$8:$G$55)</f>
        <v>4</v>
      </c>
      <c r="R41" s="399">
        <f>P41-Q41</f>
        <v>-4</v>
      </c>
      <c r="S41" s="400">
        <f>SUMIF($D$8:$D$55,$O41,$K$8:$K$55)+SUMIF($F$8:$F$55,$O41,$L$8:$L$55)</f>
        <v>0</v>
      </c>
      <c r="T41" s="445" t="s">
        <v>75</v>
      </c>
      <c r="U41" s="392"/>
      <c r="V41" s="392" t="str">
        <f>O41</f>
        <v>Iran</v>
      </c>
      <c r="W41" s="392" t="s">
        <v>74</v>
      </c>
      <c r="Y41" s="109">
        <f t="shared" si="8"/>
        <v>6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6</v>
      </c>
      <c r="AG41" s="108">
        <f t="shared" si="3"/>
        <v>0</v>
      </c>
      <c r="AH41" s="108">
        <f t="shared" si="4"/>
        <v>1</v>
      </c>
      <c r="AI41" s="108">
        <f t="shared" si="10"/>
        <v>0</v>
      </c>
      <c r="AJ41" s="108">
        <f t="shared" si="5"/>
        <v>5</v>
      </c>
      <c r="AK41" s="108">
        <f t="shared" si="6"/>
        <v>0</v>
      </c>
      <c r="AL41" s="108">
        <f t="shared" si="7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1</v>
      </c>
      <c r="H42" s="373" t="s">
        <v>9</v>
      </c>
      <c r="I42" s="441">
        <v>2</v>
      </c>
      <c r="J42" s="375">
        <f t="shared" si="0"/>
        <v>2</v>
      </c>
      <c r="K42" s="363">
        <f t="shared" si="1"/>
        <v>0</v>
      </c>
      <c r="L42" s="363">
        <f t="shared" si="2"/>
        <v>3</v>
      </c>
      <c r="O42" s="401" t="s">
        <v>34</v>
      </c>
      <c r="P42" s="402">
        <f>SUMIF($D$8:$D$55,$O42,$G$8:$G$55)+SUMIF($F$8:$F$55,$O42,$I$8:$I$55)</f>
        <v>3</v>
      </c>
      <c r="Q42" s="402">
        <f>SUMIF($D$8:$D$55,$O42,$I$8:$I$55)+SUMIF($F$8:$F$55,$O42,$G$8:$G$55)</f>
        <v>3</v>
      </c>
      <c r="R42" s="402">
        <f>P42-Q42</f>
        <v>0</v>
      </c>
      <c r="S42" s="403">
        <f>SUMIF($D$8:$D$55,$O42,$K$8:$K$55)+SUMIF($F$8:$F$55,$O42,$L$8:$L$55)</f>
        <v>4</v>
      </c>
      <c r="T42" s="446" t="s">
        <v>73</v>
      </c>
      <c r="U42" s="392"/>
      <c r="V42" s="392" t="str">
        <f>O42</f>
        <v>Nigeria</v>
      </c>
      <c r="W42" s="392" t="s">
        <v>75</v>
      </c>
      <c r="Y42" s="109">
        <f t="shared" si="8"/>
        <v>6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6</v>
      </c>
      <c r="AG42" s="108">
        <f t="shared" si="3"/>
        <v>1</v>
      </c>
      <c r="AH42" s="108">
        <f t="shared" si="4"/>
        <v>0</v>
      </c>
      <c r="AI42" s="108">
        <f t="shared" si="10"/>
        <v>0</v>
      </c>
      <c r="AJ42" s="108">
        <f t="shared" si="5"/>
        <v>0</v>
      </c>
      <c r="AK42" s="108">
        <f t="shared" si="6"/>
        <v>5</v>
      </c>
      <c r="AL42" s="108">
        <f t="shared" si="7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1</v>
      </c>
      <c r="H43" s="379" t="s">
        <v>9</v>
      </c>
      <c r="I43" s="442">
        <v>2</v>
      </c>
      <c r="J43" s="381">
        <f t="shared" si="0"/>
        <v>2</v>
      </c>
      <c r="K43" s="363">
        <f t="shared" si="1"/>
        <v>0</v>
      </c>
      <c r="L43" s="363">
        <f t="shared" si="2"/>
        <v>3</v>
      </c>
      <c r="O43" s="392"/>
      <c r="P43" s="393"/>
      <c r="Q43" s="393"/>
      <c r="R43" s="393"/>
      <c r="S43" s="393"/>
      <c r="T43" s="393"/>
      <c r="U43" s="392"/>
      <c r="V43" s="392"/>
      <c r="W43" s="392"/>
      <c r="Y43" s="109">
        <f t="shared" si="8"/>
        <v>6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6</v>
      </c>
      <c r="AG43" s="108">
        <f t="shared" si="3"/>
        <v>1</v>
      </c>
      <c r="AH43" s="108">
        <f t="shared" si="4"/>
        <v>0</v>
      </c>
      <c r="AI43" s="108">
        <f t="shared" si="10"/>
        <v>0</v>
      </c>
      <c r="AJ43" s="108">
        <f t="shared" si="5"/>
        <v>0</v>
      </c>
      <c r="AK43" s="108">
        <f t="shared" si="6"/>
        <v>5</v>
      </c>
      <c r="AL43" s="108">
        <f t="shared" si="7"/>
        <v>0</v>
      </c>
      <c r="AN43" s="392"/>
      <c r="AO43" s="393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1</v>
      </c>
      <c r="H44" s="367" t="s">
        <v>9</v>
      </c>
      <c r="I44" s="440">
        <v>0</v>
      </c>
      <c r="J44" s="369">
        <f t="shared" si="0"/>
        <v>1</v>
      </c>
      <c r="K44" s="363">
        <f t="shared" si="1"/>
        <v>3</v>
      </c>
      <c r="L44" s="363">
        <f t="shared" si="2"/>
        <v>0</v>
      </c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392"/>
      <c r="V44" s="392"/>
      <c r="W44" s="392"/>
      <c r="Y44" s="109">
        <f t="shared" si="8"/>
        <v>0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0</v>
      </c>
      <c r="AG44" s="108">
        <f t="shared" si="3"/>
        <v>0</v>
      </c>
      <c r="AH44" s="108">
        <f t="shared" si="4"/>
        <v>0</v>
      </c>
      <c r="AI44" s="108">
        <f t="shared" si="10"/>
        <v>0</v>
      </c>
      <c r="AJ44" s="108">
        <f t="shared" si="5"/>
        <v>0</v>
      </c>
      <c r="AK44" s="108">
        <f t="shared" si="6"/>
        <v>0</v>
      </c>
      <c r="AL44" s="108">
        <f t="shared" si="7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0</v>
      </c>
      <c r="H45" s="373" t="s">
        <v>9</v>
      </c>
      <c r="I45" s="441">
        <v>1</v>
      </c>
      <c r="J45" s="375">
        <f t="shared" si="0"/>
        <v>2</v>
      </c>
      <c r="K45" s="363">
        <f t="shared" si="1"/>
        <v>0</v>
      </c>
      <c r="L45" s="363">
        <f t="shared" si="2"/>
        <v>3</v>
      </c>
      <c r="O45" s="394" t="s">
        <v>31</v>
      </c>
      <c r="P45" s="395">
        <f>SUMIF($D$8:$D$55,$O45,$G$8:$G$55)+SUMIF($F$8:$F$55,$O45,$I$8:$I$55)</f>
        <v>5</v>
      </c>
      <c r="Q45" s="395">
        <f>SUMIF($D$8:$D$55,$O45,$I$8:$I$55)+SUMIF($F$8:$F$55,$O45,$G$8:$G$55)</f>
        <v>1</v>
      </c>
      <c r="R45" s="396">
        <f>P45-Q45</f>
        <v>4</v>
      </c>
      <c r="S45" s="397">
        <f>SUMIF($D$8:$D$55,$O45,$K$8:$K$55)+SUMIF($F$8:$F$55,$O45,$L$8:$L$55)</f>
        <v>7</v>
      </c>
      <c r="T45" s="444" t="s">
        <v>77</v>
      </c>
      <c r="U45" s="392"/>
      <c r="V45" s="392" t="str">
        <f>O45</f>
        <v>Duitsland</v>
      </c>
      <c r="W45" s="392" t="s">
        <v>77</v>
      </c>
      <c r="Y45" s="109">
        <f t="shared" si="8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1</v>
      </c>
      <c r="AG45" s="108">
        <f t="shared" si="3"/>
        <v>1</v>
      </c>
      <c r="AH45" s="108">
        <f t="shared" si="4"/>
        <v>0</v>
      </c>
      <c r="AI45" s="108">
        <f t="shared" si="10"/>
        <v>0</v>
      </c>
      <c r="AJ45" s="108">
        <f t="shared" si="5"/>
        <v>0</v>
      </c>
      <c r="AK45" s="108">
        <f t="shared" si="6"/>
        <v>0</v>
      </c>
      <c r="AL45" s="108">
        <f t="shared" si="7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0</v>
      </c>
      <c r="H46" s="373" t="s">
        <v>9</v>
      </c>
      <c r="I46" s="441">
        <v>1</v>
      </c>
      <c r="J46" s="375">
        <f t="shared" si="0"/>
        <v>2</v>
      </c>
      <c r="K46" s="363">
        <f t="shared" si="1"/>
        <v>0</v>
      </c>
      <c r="L46" s="363">
        <f t="shared" si="2"/>
        <v>3</v>
      </c>
      <c r="O46" s="398" t="s">
        <v>32</v>
      </c>
      <c r="P46" s="399">
        <f>SUMIF($D$8:$D$55,$O46,$G$8:$G$55)+SUMIF($F$8:$F$55,$O46,$I$8:$I$55)</f>
        <v>6</v>
      </c>
      <c r="Q46" s="399">
        <f>SUMIF($D$8:$D$55,$O46,$I$8:$I$55)+SUMIF($F$8:$F$55,$O46,$G$8:$G$55)</f>
        <v>1</v>
      </c>
      <c r="R46" s="399">
        <f>P46-Q46</f>
        <v>5</v>
      </c>
      <c r="S46" s="400">
        <f>SUMIF($D$8:$D$55,$O46,$K$8:$K$55)+SUMIF($F$8:$F$55,$O46,$L$8:$L$55)</f>
        <v>7</v>
      </c>
      <c r="T46" s="445" t="s">
        <v>78</v>
      </c>
      <c r="U46" s="392"/>
      <c r="V46" s="392" t="str">
        <f>O46</f>
        <v>Portugal</v>
      </c>
      <c r="W46" s="392" t="s">
        <v>78</v>
      </c>
      <c r="Y46" s="109">
        <f t="shared" si="8"/>
        <v>5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5</v>
      </c>
      <c r="AG46" s="108">
        <f t="shared" si="3"/>
        <v>0</v>
      </c>
      <c r="AH46" s="108">
        <f t="shared" si="4"/>
        <v>0</v>
      </c>
      <c r="AI46" s="108">
        <f t="shared" si="10"/>
        <v>0</v>
      </c>
      <c r="AJ46" s="108">
        <f t="shared" si="5"/>
        <v>0</v>
      </c>
      <c r="AK46" s="108">
        <f t="shared" si="6"/>
        <v>5</v>
      </c>
      <c r="AL46" s="108">
        <f t="shared" si="7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1</v>
      </c>
      <c r="H47" s="379" t="s">
        <v>9</v>
      </c>
      <c r="I47" s="442">
        <v>0</v>
      </c>
      <c r="J47" s="381">
        <f t="shared" si="0"/>
        <v>1</v>
      </c>
      <c r="K47" s="363">
        <f t="shared" si="1"/>
        <v>3</v>
      </c>
      <c r="L47" s="363">
        <f t="shared" si="2"/>
        <v>0</v>
      </c>
      <c r="O47" s="398" t="s">
        <v>35</v>
      </c>
      <c r="P47" s="399">
        <f>SUMIF($D$8:$D$55,$O47,$G$8:$G$55)+SUMIF($F$8:$F$55,$O47,$I$8:$I$55)</f>
        <v>0</v>
      </c>
      <c r="Q47" s="399">
        <f>SUMIF($D$8:$D$55,$O47,$I$8:$I$55)+SUMIF($F$8:$F$55,$O47,$G$8:$G$55)</f>
        <v>5</v>
      </c>
      <c r="R47" s="399">
        <f>P47-Q47</f>
        <v>-5</v>
      </c>
      <c r="S47" s="400">
        <f>SUMIF($D$8:$D$55,$O47,$K$8:$K$55)+SUMIF($F$8:$F$55,$O47,$L$8:$L$55)</f>
        <v>0</v>
      </c>
      <c r="T47" s="445" t="s">
        <v>80</v>
      </c>
      <c r="U47" s="392"/>
      <c r="V47" s="392" t="str">
        <f>O47</f>
        <v>Ghana</v>
      </c>
      <c r="W47" s="392" t="s">
        <v>79</v>
      </c>
      <c r="Y47" s="109">
        <f t="shared" si="8"/>
        <v>5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5</v>
      </c>
      <c r="AG47" s="108">
        <f t="shared" si="3"/>
        <v>0</v>
      </c>
      <c r="AH47" s="108">
        <f t="shared" si="4"/>
        <v>0</v>
      </c>
      <c r="AI47" s="108">
        <f t="shared" si="10"/>
        <v>0</v>
      </c>
      <c r="AJ47" s="108">
        <f t="shared" si="5"/>
        <v>5</v>
      </c>
      <c r="AK47" s="108">
        <f t="shared" si="6"/>
        <v>0</v>
      </c>
      <c r="AL47" s="108">
        <f t="shared" si="7"/>
        <v>0</v>
      </c>
      <c r="AM47" s="120">
        <f>AO47</f>
        <v>10</v>
      </c>
      <c r="AN47" s="117" t="s">
        <v>35</v>
      </c>
      <c r="AO47" s="115">
        <f>IF(Uitslag!T47="",0,IF(T47=Uitslag!T47,10,0))</f>
        <v>10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1</v>
      </c>
      <c r="H48" s="367" t="s">
        <v>9</v>
      </c>
      <c r="I48" s="440">
        <v>2</v>
      </c>
      <c r="J48" s="369">
        <f t="shared" si="0"/>
        <v>2</v>
      </c>
      <c r="K48" s="363">
        <f t="shared" si="1"/>
        <v>0</v>
      </c>
      <c r="L48" s="363">
        <f t="shared" si="2"/>
        <v>3</v>
      </c>
      <c r="O48" s="401" t="s">
        <v>36</v>
      </c>
      <c r="P48" s="402">
        <f>SUMIF($D$8:$D$55,$O48,$G$8:$G$55)+SUMIF($F$8:$F$55,$O48,$I$8:$I$55)</f>
        <v>1</v>
      </c>
      <c r="Q48" s="402">
        <f>SUMIF($D$8:$D$55,$O48,$I$8:$I$55)+SUMIF($F$8:$F$55,$O48,$G$8:$G$55)</f>
        <v>5</v>
      </c>
      <c r="R48" s="402">
        <f>P48-Q48</f>
        <v>-4</v>
      </c>
      <c r="S48" s="403">
        <f>SUMIF($D$8:$D$55,$O48,$K$8:$K$55)+SUMIF($F$8:$F$55,$O48,$L$8:$L$55)</f>
        <v>3</v>
      </c>
      <c r="T48" s="446" t="s">
        <v>79</v>
      </c>
      <c r="U48" s="392"/>
      <c r="V48" s="392" t="str">
        <f>O48</f>
        <v>Verenigde Staten</v>
      </c>
      <c r="W48" s="392" t="s">
        <v>80</v>
      </c>
      <c r="Y48" s="109">
        <f t="shared" si="8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5</v>
      </c>
      <c r="AG48" s="108">
        <f t="shared" si="3"/>
        <v>0</v>
      </c>
      <c r="AH48" s="108">
        <f t="shared" si="4"/>
        <v>0</v>
      </c>
      <c r="AI48" s="108">
        <f t="shared" si="10"/>
        <v>0</v>
      </c>
      <c r="AJ48" s="108">
        <f t="shared" si="5"/>
        <v>0</v>
      </c>
      <c r="AK48" s="108">
        <f t="shared" si="6"/>
        <v>5</v>
      </c>
      <c r="AL48" s="108">
        <f t="shared" si="7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1</v>
      </c>
      <c r="H49" s="373" t="s">
        <v>9</v>
      </c>
      <c r="I49" s="441">
        <v>0</v>
      </c>
      <c r="J49" s="375">
        <f t="shared" si="0"/>
        <v>1</v>
      </c>
      <c r="K49" s="363">
        <f t="shared" si="1"/>
        <v>3</v>
      </c>
      <c r="L49" s="363">
        <f t="shared" si="2"/>
        <v>0</v>
      </c>
      <c r="O49" s="392"/>
      <c r="P49" s="393"/>
      <c r="Q49" s="393"/>
      <c r="R49" s="393"/>
      <c r="S49" s="393"/>
      <c r="T49" s="393"/>
      <c r="U49" s="392"/>
      <c r="V49" s="392"/>
      <c r="W49" s="392"/>
      <c r="Y49" s="109">
        <f t="shared" si="8"/>
        <v>5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5</v>
      </c>
      <c r="AG49" s="108">
        <f t="shared" si="3"/>
        <v>0</v>
      </c>
      <c r="AH49" s="108">
        <f t="shared" si="4"/>
        <v>0</v>
      </c>
      <c r="AI49" s="108">
        <f t="shared" si="10"/>
        <v>0</v>
      </c>
      <c r="AJ49" s="108">
        <f t="shared" si="5"/>
        <v>5</v>
      </c>
      <c r="AK49" s="108">
        <f t="shared" si="6"/>
        <v>0</v>
      </c>
      <c r="AL49" s="108">
        <f t="shared" si="7"/>
        <v>0</v>
      </c>
      <c r="AN49" s="392"/>
      <c r="AO49" s="393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1</v>
      </c>
      <c r="H50" s="373" t="s">
        <v>9</v>
      </c>
      <c r="I50" s="441">
        <v>1</v>
      </c>
      <c r="J50" s="375">
        <f t="shared" si="0"/>
        <v>3</v>
      </c>
      <c r="K50" s="363">
        <f t="shared" si="1"/>
        <v>1</v>
      </c>
      <c r="L50" s="363">
        <f t="shared" si="2"/>
        <v>1</v>
      </c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392"/>
      <c r="V50" s="392"/>
      <c r="W50" s="392"/>
      <c r="Y50" s="109">
        <f t="shared" si="8"/>
        <v>0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0</v>
      </c>
      <c r="AG50" s="108">
        <f t="shared" si="3"/>
        <v>0</v>
      </c>
      <c r="AH50" s="108">
        <f t="shared" si="4"/>
        <v>0</v>
      </c>
      <c r="AI50" s="108">
        <f t="shared" si="10"/>
        <v>0</v>
      </c>
      <c r="AJ50" s="108">
        <f t="shared" si="5"/>
        <v>0</v>
      </c>
      <c r="AK50" s="108">
        <f t="shared" si="6"/>
        <v>0</v>
      </c>
      <c r="AL50" s="108">
        <f t="shared" si="7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0</v>
      </c>
      <c r="H51" s="379" t="s">
        <v>9</v>
      </c>
      <c r="I51" s="442">
        <v>2</v>
      </c>
      <c r="J51" s="381">
        <f t="shared" si="0"/>
        <v>2</v>
      </c>
      <c r="K51" s="363">
        <f t="shared" si="1"/>
        <v>0</v>
      </c>
      <c r="L51" s="363">
        <f t="shared" si="2"/>
        <v>3</v>
      </c>
      <c r="O51" s="394" t="s">
        <v>37</v>
      </c>
      <c r="P51" s="395">
        <f>SUMIF($D$8:$D$55,$O51,$G$8:$G$55)+SUMIF($F$8:$F$55,$O51,$I$8:$I$55)</f>
        <v>5</v>
      </c>
      <c r="Q51" s="395">
        <f>SUMIF($D$8:$D$55,$O51,$I$8:$I$55)+SUMIF($F$8:$F$55,$O51,$G$8:$G$55)</f>
        <v>1</v>
      </c>
      <c r="R51" s="396">
        <f>P51-Q51</f>
        <v>4</v>
      </c>
      <c r="S51" s="397">
        <f>SUMIF($D$8:$D$55,$O51,$K$8:$K$55)+SUMIF($F$8:$F$55,$O51,$L$8:$L$55)</f>
        <v>9</v>
      </c>
      <c r="T51" s="444" t="s">
        <v>82</v>
      </c>
      <c r="U51" s="392"/>
      <c r="V51" s="392" t="str">
        <f>O51</f>
        <v>België</v>
      </c>
      <c r="W51" s="392" t="s">
        <v>82</v>
      </c>
      <c r="Y51" s="109">
        <f t="shared" si="8"/>
        <v>1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1</v>
      </c>
      <c r="AG51" s="108">
        <f t="shared" si="3"/>
        <v>1</v>
      </c>
      <c r="AH51" s="108">
        <f t="shared" si="4"/>
        <v>0</v>
      </c>
      <c r="AI51" s="108">
        <f t="shared" si="10"/>
        <v>0</v>
      </c>
      <c r="AJ51" s="108">
        <f t="shared" si="5"/>
        <v>0</v>
      </c>
      <c r="AK51" s="108">
        <f t="shared" si="6"/>
        <v>0</v>
      </c>
      <c r="AL51" s="108">
        <f t="shared" si="7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0</v>
      </c>
      <c r="H52" s="373" t="s">
        <v>9</v>
      </c>
      <c r="I52" s="441">
        <v>2</v>
      </c>
      <c r="J52" s="369">
        <f t="shared" si="0"/>
        <v>2</v>
      </c>
      <c r="K52" s="363">
        <f t="shared" si="1"/>
        <v>0</v>
      </c>
      <c r="L52" s="363">
        <f t="shared" si="2"/>
        <v>3</v>
      </c>
      <c r="O52" s="398" t="s">
        <v>38</v>
      </c>
      <c r="P52" s="399">
        <f>SUMIF($D$8:$D$55,$O52,$G$8:$G$55)+SUMIF($F$8:$F$55,$O52,$I$8:$I$55)</f>
        <v>0</v>
      </c>
      <c r="Q52" s="399">
        <f>SUMIF($D$8:$D$55,$O52,$I$8:$I$55)+SUMIF($F$8:$F$55,$O52,$G$8:$G$55)</f>
        <v>4</v>
      </c>
      <c r="R52" s="399">
        <f>P52-Q52</f>
        <v>-4</v>
      </c>
      <c r="S52" s="400">
        <f>SUMIF($D$8:$D$55,$O52,$K$8:$K$55)+SUMIF($F$8:$F$55,$O52,$L$8:$L$55)</f>
        <v>0</v>
      </c>
      <c r="T52" s="445" t="s">
        <v>85</v>
      </c>
      <c r="U52" s="392"/>
      <c r="V52" s="392" t="str">
        <f>O52</f>
        <v>Algerije</v>
      </c>
      <c r="W52" s="392" t="s">
        <v>83</v>
      </c>
      <c r="Y52" s="109">
        <f t="shared" si="8"/>
        <v>6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6</v>
      </c>
      <c r="AG52" s="108">
        <f t="shared" si="3"/>
        <v>1</v>
      </c>
      <c r="AH52" s="108">
        <f t="shared" si="4"/>
        <v>0</v>
      </c>
      <c r="AI52" s="108">
        <f t="shared" si="10"/>
        <v>0</v>
      </c>
      <c r="AJ52" s="108">
        <f t="shared" si="5"/>
        <v>0</v>
      </c>
      <c r="AK52" s="108">
        <f t="shared" si="6"/>
        <v>5</v>
      </c>
      <c r="AL52" s="108">
        <f t="shared" si="7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2</v>
      </c>
      <c r="H53" s="373" t="s">
        <v>9</v>
      </c>
      <c r="I53" s="441">
        <v>0</v>
      </c>
      <c r="J53" s="375">
        <f t="shared" si="0"/>
        <v>1</v>
      </c>
      <c r="K53" s="363">
        <f t="shared" si="1"/>
        <v>3</v>
      </c>
      <c r="L53" s="363">
        <f t="shared" si="2"/>
        <v>0</v>
      </c>
      <c r="O53" s="398" t="s">
        <v>39</v>
      </c>
      <c r="P53" s="399">
        <f>SUMIF($D$8:$D$55,$O53,$G$8:$G$55)+SUMIF($F$8:$F$55,$O53,$I$8:$I$55)</f>
        <v>5</v>
      </c>
      <c r="Q53" s="399">
        <f>SUMIF($D$8:$D$55,$O53,$I$8:$I$55)+SUMIF($F$8:$F$55,$O53,$G$8:$G$55)</f>
        <v>2</v>
      </c>
      <c r="R53" s="399">
        <f>P53-Q53</f>
        <v>3</v>
      </c>
      <c r="S53" s="400">
        <f>SUMIF($D$8:$D$55,$O53,$K$8:$K$55)+SUMIF($F$8:$F$55,$O53,$L$8:$L$55)</f>
        <v>6</v>
      </c>
      <c r="T53" s="445" t="s">
        <v>83</v>
      </c>
      <c r="U53" s="392"/>
      <c r="V53" s="392" t="str">
        <f>O53</f>
        <v>Rusland</v>
      </c>
      <c r="W53" s="392" t="s">
        <v>84</v>
      </c>
      <c r="Y53" s="109">
        <f t="shared" si="8"/>
        <v>6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6</v>
      </c>
      <c r="AG53" s="108">
        <f t="shared" si="3"/>
        <v>1</v>
      </c>
      <c r="AH53" s="108">
        <f t="shared" si="4"/>
        <v>0</v>
      </c>
      <c r="AI53" s="108">
        <f t="shared" si="10"/>
        <v>0</v>
      </c>
      <c r="AJ53" s="108">
        <f t="shared" si="5"/>
        <v>5</v>
      </c>
      <c r="AK53" s="108">
        <f t="shared" si="6"/>
        <v>0</v>
      </c>
      <c r="AL53" s="108">
        <f t="shared" si="7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0</v>
      </c>
      <c r="H54" s="373" t="s">
        <v>9</v>
      </c>
      <c r="I54" s="441">
        <v>2</v>
      </c>
      <c r="J54" s="375">
        <f t="shared" si="0"/>
        <v>2</v>
      </c>
      <c r="K54" s="363">
        <f t="shared" si="1"/>
        <v>0</v>
      </c>
      <c r="L54" s="363">
        <f t="shared" si="2"/>
        <v>3</v>
      </c>
      <c r="O54" s="401" t="s">
        <v>40</v>
      </c>
      <c r="P54" s="402">
        <f>SUMIF($D$8:$D$55,$O54,$G$8:$G$55)+SUMIF($F$8:$F$55,$O54,$I$8:$I$55)</f>
        <v>1</v>
      </c>
      <c r="Q54" s="402">
        <f>SUMIF($D$8:$D$55,$O54,$I$8:$I$55)+SUMIF($F$8:$F$55,$O54,$G$8:$G$55)</f>
        <v>4</v>
      </c>
      <c r="R54" s="402">
        <f>P54-Q54</f>
        <v>-3</v>
      </c>
      <c r="S54" s="403">
        <f>SUMIF($D$8:$D$55,$O54,$K$8:$K$55)+SUMIF($F$8:$F$55,$O54,$L$8:$L$55)</f>
        <v>3</v>
      </c>
      <c r="T54" s="446" t="s">
        <v>84</v>
      </c>
      <c r="U54" s="392"/>
      <c r="V54" s="392" t="str">
        <f>O54</f>
        <v>Zuid Korea</v>
      </c>
      <c r="W54" s="392" t="s">
        <v>85</v>
      </c>
      <c r="Y54" s="109">
        <f t="shared" si="8"/>
        <v>6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6</v>
      </c>
      <c r="AG54" s="108">
        <f t="shared" si="3"/>
        <v>1</v>
      </c>
      <c r="AH54" s="108">
        <f t="shared" si="4"/>
        <v>0</v>
      </c>
      <c r="AI54" s="108">
        <f t="shared" si="10"/>
        <v>0</v>
      </c>
      <c r="AJ54" s="108">
        <f t="shared" si="5"/>
        <v>0</v>
      </c>
      <c r="AK54" s="108">
        <f t="shared" si="6"/>
        <v>5</v>
      </c>
      <c r="AL54" s="108">
        <f t="shared" si="7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0</v>
      </c>
      <c r="H55" s="388" t="s">
        <v>9</v>
      </c>
      <c r="I55" s="443">
        <v>2</v>
      </c>
      <c r="J55" s="390">
        <f t="shared" si="0"/>
        <v>2</v>
      </c>
      <c r="K55" s="363">
        <f t="shared" si="1"/>
        <v>0</v>
      </c>
      <c r="L55" s="363">
        <f t="shared" si="2"/>
        <v>3</v>
      </c>
      <c r="O55" s="392"/>
      <c r="P55" s="393"/>
      <c r="Q55" s="393"/>
      <c r="R55" s="393"/>
      <c r="S55" s="393"/>
      <c r="T55" s="393"/>
      <c r="U55" s="392"/>
      <c r="V55" s="392"/>
      <c r="W55" s="392"/>
      <c r="Y55" s="109">
        <f t="shared" si="8"/>
        <v>0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0</v>
      </c>
      <c r="AG55" s="108">
        <f t="shared" si="3"/>
        <v>0</v>
      </c>
      <c r="AH55" s="108">
        <f t="shared" si="4"/>
        <v>0</v>
      </c>
      <c r="AI55" s="108">
        <f t="shared" si="10"/>
        <v>0</v>
      </c>
      <c r="AJ55" s="108">
        <f t="shared" si="5"/>
        <v>0</v>
      </c>
      <c r="AK55" s="108">
        <f t="shared" si="6"/>
        <v>0</v>
      </c>
      <c r="AL55" s="108">
        <f t="shared" si="7"/>
        <v>0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79"/>
      <c r="K57" s="353"/>
      <c r="L57" s="353"/>
      <c r="M57" s="353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77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O58" s="458">
        <v>1</v>
      </c>
      <c r="P58" s="877" t="s">
        <v>218</v>
      </c>
      <c r="Q58" s="877"/>
      <c r="R58" s="877"/>
      <c r="S58" s="877"/>
      <c r="T58" s="878"/>
      <c r="V58" s="352" t="s">
        <v>132</v>
      </c>
      <c r="W58" s="352" t="s">
        <v>124</v>
      </c>
      <c r="X58" s="352" t="str">
        <f t="shared" ref="X58:X98" si="11">CONCATENATE(W58," ",V58)</f>
        <v>Jeroen Zoet (k)</v>
      </c>
      <c r="Y58" s="113" t="s">
        <v>91</v>
      </c>
      <c r="Z58" s="352" t="str">
        <f>IF(K58=""," ",VLOOKUP(K58,$T$9:$V$54,3,FALSE))</f>
        <v xml:space="preserve"> </v>
      </c>
      <c r="AA58" s="352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0</v>
      </c>
      <c r="BB58" s="139">
        <f>BA58</f>
        <v>0</v>
      </c>
    </row>
    <row r="59" spans="2:54">
      <c r="B59" s="364">
        <v>49</v>
      </c>
      <c r="C59" s="465">
        <v>41818</v>
      </c>
      <c r="D59" s="459" t="str">
        <f t="shared" ref="D59:D66" si="13">IF(ISERROR(Z59),K59,Z59)</f>
        <v>Brazilië</v>
      </c>
      <c r="E59" s="367" t="s">
        <v>9</v>
      </c>
      <c r="F59" s="406" t="str">
        <f t="shared" ref="F59:F66" si="14">IF(ISERROR(AA59),L59,AA59)</f>
        <v>Nederland</v>
      </c>
      <c r="G59" s="435">
        <v>2</v>
      </c>
      <c r="H59" s="367" t="s">
        <v>9</v>
      </c>
      <c r="I59" s="447">
        <v>0</v>
      </c>
      <c r="J59" s="448">
        <v>1</v>
      </c>
      <c r="K59" s="407" t="s">
        <v>48</v>
      </c>
      <c r="L59" s="407" t="s">
        <v>53</v>
      </c>
      <c r="M59" s="407">
        <v>1</v>
      </c>
      <c r="O59" s="458">
        <v>2</v>
      </c>
      <c r="P59" s="877" t="s">
        <v>239</v>
      </c>
      <c r="Q59" s="877"/>
      <c r="R59" s="877"/>
      <c r="S59" s="877"/>
      <c r="T59" s="878"/>
      <c r="V59" s="352" t="s">
        <v>132</v>
      </c>
      <c r="W59" s="352" t="s">
        <v>111</v>
      </c>
      <c r="X59" s="352" t="str">
        <f t="shared" si="11"/>
        <v>Jasper Cillessen (k)</v>
      </c>
      <c r="Y59" s="109">
        <f t="shared" ref="Y59:Y66" si="15">AF59</f>
        <v>0</v>
      </c>
      <c r="Z59" s="352" t="str">
        <f t="shared" ref="Z59:AA65" si="16">IF(K59=""," ",VLOOKUP(K59,$T$9:$V$54,3,FALSE))</f>
        <v>Brazilië</v>
      </c>
      <c r="AA59" s="352" t="str">
        <f t="shared" si="16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7">IF(OR(AC59="",AD59=""),0,(IF(SUM(AG59:AL59)&gt;10,10,SUM(AG59:AL59))))</f>
        <v>0</v>
      </c>
      <c r="AG59" s="108">
        <f t="shared" ref="AG59:AG66" si="18">IF(AC59="",0,(IF(G59=AC59,1,0)))</f>
        <v>0</v>
      </c>
      <c r="AH59" s="108">
        <f t="shared" ref="AH59:AH66" si="19">IF(AD59="",0,(IF(I59=AD59,1,0)))</f>
        <v>0</v>
      </c>
      <c r="AI59" s="108">
        <f t="shared" ref="AI59:AI66" si="20">IF(AND(AG59=1,AH59=1),10,0)</f>
        <v>0</v>
      </c>
      <c r="AJ59" s="108">
        <f t="shared" ref="AJ59:AJ66" si="21">IF(AND(G59&gt;I59,AC59&gt;AD59),5,0)</f>
        <v>0</v>
      </c>
      <c r="AK59" s="108">
        <f t="shared" ref="AK59:AK66" si="22">IF(AND(G59&lt;I59,AC59&lt;AD59),5,0)</f>
        <v>0</v>
      </c>
      <c r="AL59" s="108">
        <f t="shared" ref="AL59:AL66" si="23">IF(AND(G59=I59,AC59=AD59),5,0)</f>
        <v>0</v>
      </c>
      <c r="AZ59" s="138" t="str">
        <f>Uitslag!P59</f>
        <v>Daryl Janmaat (v)</v>
      </c>
      <c r="BA59" s="140">
        <f t="shared" si="12"/>
        <v>0</v>
      </c>
      <c r="BB59" s="139">
        <f t="shared" ref="BB59:BB68" si="24">BA59</f>
        <v>0</v>
      </c>
    </row>
    <row r="60" spans="2:54">
      <c r="B60" s="376">
        <v>50</v>
      </c>
      <c r="C60" s="466">
        <v>41818</v>
      </c>
      <c r="D60" s="460" t="str">
        <f t="shared" si="13"/>
        <v>Colombia</v>
      </c>
      <c r="E60" s="379" t="s">
        <v>9</v>
      </c>
      <c r="F60" s="409" t="str">
        <f t="shared" si="14"/>
        <v>Engeland</v>
      </c>
      <c r="G60" s="437">
        <v>2</v>
      </c>
      <c r="H60" s="379" t="s">
        <v>9</v>
      </c>
      <c r="I60" s="449">
        <v>0</v>
      </c>
      <c r="J60" s="450">
        <v>1</v>
      </c>
      <c r="K60" s="407" t="s">
        <v>57</v>
      </c>
      <c r="L60" s="407" t="s">
        <v>63</v>
      </c>
      <c r="M60" s="407">
        <v>2</v>
      </c>
      <c r="O60" s="458">
        <v>3</v>
      </c>
      <c r="P60" s="877" t="s">
        <v>212</v>
      </c>
      <c r="Q60" s="877"/>
      <c r="R60" s="877"/>
      <c r="S60" s="877"/>
      <c r="T60" s="878"/>
      <c r="V60" s="352" t="s">
        <v>132</v>
      </c>
      <c r="W60" s="352" t="s">
        <v>110</v>
      </c>
      <c r="X60" s="352" t="str">
        <f t="shared" si="11"/>
        <v>Kenneth Vermeer (k)</v>
      </c>
      <c r="Y60" s="109">
        <f t="shared" si="15"/>
        <v>10</v>
      </c>
      <c r="Z60" s="352" t="str">
        <f t="shared" si="16"/>
        <v>Colombia</v>
      </c>
      <c r="AA60" s="352" t="str">
        <f t="shared" si="16"/>
        <v>Engeland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7"/>
        <v>10</v>
      </c>
      <c r="AG60" s="108">
        <f t="shared" si="18"/>
        <v>1</v>
      </c>
      <c r="AH60" s="108">
        <f t="shared" si="19"/>
        <v>1</v>
      </c>
      <c r="AI60" s="108">
        <f t="shared" si="20"/>
        <v>10</v>
      </c>
      <c r="AJ60" s="108">
        <f t="shared" si="21"/>
        <v>5</v>
      </c>
      <c r="AK60" s="108">
        <f t="shared" si="22"/>
        <v>0</v>
      </c>
      <c r="AL60" s="108">
        <f t="shared" si="23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4"/>
        <v>3</v>
      </c>
    </row>
    <row r="61" spans="2:54">
      <c r="B61" s="364">
        <v>51</v>
      </c>
      <c r="C61" s="465">
        <v>41819</v>
      </c>
      <c r="D61" s="464" t="str">
        <f t="shared" si="13"/>
        <v>Spanje</v>
      </c>
      <c r="E61" s="367" t="s">
        <v>9</v>
      </c>
      <c r="F61" s="406" t="str">
        <f t="shared" si="14"/>
        <v>Mexico</v>
      </c>
      <c r="G61" s="435">
        <v>2</v>
      </c>
      <c r="H61" s="367" t="s">
        <v>9</v>
      </c>
      <c r="I61" s="447">
        <v>0</v>
      </c>
      <c r="J61" s="448">
        <v>1</v>
      </c>
      <c r="K61" s="407" t="s">
        <v>52</v>
      </c>
      <c r="L61" s="407" t="s">
        <v>49</v>
      </c>
      <c r="M61" s="407"/>
      <c r="O61" s="458">
        <v>4</v>
      </c>
      <c r="P61" s="877" t="s">
        <v>211</v>
      </c>
      <c r="Q61" s="877"/>
      <c r="R61" s="877"/>
      <c r="S61" s="877"/>
      <c r="T61" s="878"/>
      <c r="V61" s="352" t="s">
        <v>132</v>
      </c>
      <c r="W61" s="352" t="s">
        <v>191</v>
      </c>
      <c r="X61" s="352" t="str">
        <f t="shared" si="11"/>
        <v>Tim Krul (k)</v>
      </c>
      <c r="Y61" s="109">
        <f t="shared" si="15"/>
        <v>6</v>
      </c>
      <c r="Z61" s="352" t="str">
        <f t="shared" si="16"/>
        <v>Spanje</v>
      </c>
      <c r="AA61" s="352" t="str">
        <f t="shared" si="16"/>
        <v>Mexico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7"/>
        <v>6</v>
      </c>
      <c r="AG61" s="108">
        <f t="shared" si="18"/>
        <v>1</v>
      </c>
      <c r="AH61" s="108">
        <f t="shared" si="19"/>
        <v>0</v>
      </c>
      <c r="AI61" s="108">
        <f t="shared" si="20"/>
        <v>0</v>
      </c>
      <c r="AJ61" s="108">
        <f t="shared" si="21"/>
        <v>5</v>
      </c>
      <c r="AK61" s="108">
        <f t="shared" si="22"/>
        <v>0</v>
      </c>
      <c r="AL61" s="108">
        <f t="shared" si="23"/>
        <v>0</v>
      </c>
      <c r="AZ61" s="138" t="str">
        <f>Uitslag!P61</f>
        <v>Ron Vlaar (v)</v>
      </c>
      <c r="BA61" s="140">
        <f t="shared" si="12"/>
        <v>3</v>
      </c>
      <c r="BB61" s="139">
        <f t="shared" si="24"/>
        <v>3</v>
      </c>
    </row>
    <row r="62" spans="2:54">
      <c r="B62" s="376">
        <v>52</v>
      </c>
      <c r="C62" s="466">
        <v>41819</v>
      </c>
      <c r="D62" s="464" t="str">
        <f t="shared" si="13"/>
        <v>Italië</v>
      </c>
      <c r="E62" s="379" t="s">
        <v>9</v>
      </c>
      <c r="F62" s="409" t="str">
        <f t="shared" si="14"/>
        <v>Griekenland</v>
      </c>
      <c r="G62" s="437">
        <v>2</v>
      </c>
      <c r="H62" s="379" t="s">
        <v>9</v>
      </c>
      <c r="I62" s="449">
        <v>0</v>
      </c>
      <c r="J62" s="450">
        <v>1</v>
      </c>
      <c r="K62" s="407" t="s">
        <v>62</v>
      </c>
      <c r="L62" s="407" t="s">
        <v>58</v>
      </c>
      <c r="M62" s="407"/>
      <c r="O62" s="458">
        <v>5</v>
      </c>
      <c r="P62" s="877" t="s">
        <v>258</v>
      </c>
      <c r="Q62" s="877"/>
      <c r="R62" s="877"/>
      <c r="S62" s="877"/>
      <c r="T62" s="878"/>
      <c r="V62" s="352" t="s">
        <v>132</v>
      </c>
      <c r="W62" s="352" t="s">
        <v>192</v>
      </c>
      <c r="X62" s="352" t="str">
        <f t="shared" si="11"/>
        <v>Maarten Stekelenburg (k)</v>
      </c>
      <c r="Y62" s="109">
        <f t="shared" si="15"/>
        <v>0</v>
      </c>
      <c r="Z62" s="352" t="str">
        <f t="shared" si="16"/>
        <v>Italië</v>
      </c>
      <c r="AA62" s="352" t="str">
        <f t="shared" si="16"/>
        <v>Griekenland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7"/>
        <v>0</v>
      </c>
      <c r="AG62" s="108">
        <f t="shared" si="18"/>
        <v>0</v>
      </c>
      <c r="AH62" s="108">
        <f t="shared" si="19"/>
        <v>0</v>
      </c>
      <c r="AI62" s="108">
        <f t="shared" si="20"/>
        <v>0</v>
      </c>
      <c r="AJ62" s="108">
        <f t="shared" si="21"/>
        <v>0</v>
      </c>
      <c r="AK62" s="108">
        <f t="shared" si="22"/>
        <v>0</v>
      </c>
      <c r="AL62" s="108">
        <f t="shared" si="23"/>
        <v>0</v>
      </c>
      <c r="AZ62" s="138" t="str">
        <f>Uitslag!P62</f>
        <v>Bruno Martins Indi (v)</v>
      </c>
      <c r="BA62" s="140">
        <f t="shared" si="12"/>
        <v>0</v>
      </c>
      <c r="BB62" s="139">
        <f t="shared" si="24"/>
        <v>0</v>
      </c>
    </row>
    <row r="63" spans="2:54">
      <c r="B63" s="364">
        <v>53</v>
      </c>
      <c r="C63" s="465">
        <v>41820</v>
      </c>
      <c r="D63" s="459" t="str">
        <f t="shared" si="13"/>
        <v>Frankrijk</v>
      </c>
      <c r="E63" s="367" t="s">
        <v>9</v>
      </c>
      <c r="F63" s="406" t="str">
        <f t="shared" si="14"/>
        <v>Nigeria</v>
      </c>
      <c r="G63" s="435">
        <v>2</v>
      </c>
      <c r="H63" s="367" t="s">
        <v>9</v>
      </c>
      <c r="I63" s="447">
        <v>0</v>
      </c>
      <c r="J63" s="448">
        <v>1</v>
      </c>
      <c r="K63" s="407" t="s">
        <v>67</v>
      </c>
      <c r="L63" s="407" t="s">
        <v>73</v>
      </c>
      <c r="M63" s="407"/>
      <c r="O63" s="458">
        <v>6</v>
      </c>
      <c r="P63" s="877" t="s">
        <v>225</v>
      </c>
      <c r="Q63" s="877"/>
      <c r="R63" s="877"/>
      <c r="S63" s="877"/>
      <c r="T63" s="878"/>
      <c r="V63" s="352" t="s">
        <v>132</v>
      </c>
      <c r="W63" s="352" t="s">
        <v>193</v>
      </c>
      <c r="X63" s="352" t="str">
        <f t="shared" si="11"/>
        <v>Michel Vorm (k)</v>
      </c>
      <c r="Y63" s="109">
        <f t="shared" si="15"/>
        <v>10</v>
      </c>
      <c r="Z63" s="352" t="str">
        <f t="shared" si="16"/>
        <v>Frankrijk</v>
      </c>
      <c r="AA63" s="352" t="str">
        <f t="shared" si="16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7"/>
        <v>10</v>
      </c>
      <c r="AG63" s="108">
        <f t="shared" si="18"/>
        <v>1</v>
      </c>
      <c r="AH63" s="108">
        <f t="shared" si="19"/>
        <v>1</v>
      </c>
      <c r="AI63" s="108">
        <f t="shared" si="20"/>
        <v>10</v>
      </c>
      <c r="AJ63" s="108">
        <f t="shared" si="21"/>
        <v>5</v>
      </c>
      <c r="AK63" s="108">
        <f t="shared" si="22"/>
        <v>0</v>
      </c>
      <c r="AL63" s="108">
        <f t="shared" si="23"/>
        <v>0</v>
      </c>
      <c r="AZ63" s="138" t="str">
        <f>Uitslag!P63</f>
        <v>Daley Blind (v)</v>
      </c>
      <c r="BA63" s="140">
        <f t="shared" si="12"/>
        <v>3</v>
      </c>
      <c r="BB63" s="139">
        <f t="shared" si="24"/>
        <v>3</v>
      </c>
    </row>
    <row r="64" spans="2:54">
      <c r="B64" s="376">
        <v>54</v>
      </c>
      <c r="C64" s="466">
        <v>41820</v>
      </c>
      <c r="D64" s="460" t="str">
        <f t="shared" si="13"/>
        <v>Duitsland</v>
      </c>
      <c r="E64" s="379" t="s">
        <v>9</v>
      </c>
      <c r="F64" s="409" t="str">
        <f t="shared" si="14"/>
        <v>Rusland</v>
      </c>
      <c r="G64" s="437">
        <v>2</v>
      </c>
      <c r="H64" s="379" t="s">
        <v>9</v>
      </c>
      <c r="I64" s="449">
        <v>0</v>
      </c>
      <c r="J64" s="450">
        <v>1</v>
      </c>
      <c r="K64" s="407" t="s">
        <v>77</v>
      </c>
      <c r="L64" s="407" t="s">
        <v>83</v>
      </c>
      <c r="M64" s="407"/>
      <c r="O64" s="458">
        <v>7</v>
      </c>
      <c r="P64" s="877" t="s">
        <v>314</v>
      </c>
      <c r="Q64" s="877"/>
      <c r="R64" s="877"/>
      <c r="S64" s="877"/>
      <c r="T64" s="878"/>
      <c r="V64" s="352" t="s">
        <v>133</v>
      </c>
      <c r="W64" s="352" t="s">
        <v>112</v>
      </c>
      <c r="X64" s="352" t="str">
        <f t="shared" si="11"/>
        <v>Joël Veltman (v)</v>
      </c>
      <c r="Y64" s="109">
        <f t="shared" si="15"/>
        <v>1</v>
      </c>
      <c r="Z64" s="352" t="str">
        <f t="shared" si="16"/>
        <v>Duitsland</v>
      </c>
      <c r="AA64" s="352" t="str">
        <f t="shared" si="16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7"/>
        <v>1</v>
      </c>
      <c r="AG64" s="108">
        <f t="shared" si="18"/>
        <v>0</v>
      </c>
      <c r="AH64" s="108">
        <f t="shared" si="19"/>
        <v>1</v>
      </c>
      <c r="AI64" s="108">
        <f t="shared" si="20"/>
        <v>0</v>
      </c>
      <c r="AJ64" s="108">
        <f t="shared" si="21"/>
        <v>0</v>
      </c>
      <c r="AK64" s="108">
        <f t="shared" si="22"/>
        <v>0</v>
      </c>
      <c r="AL64" s="108">
        <f t="shared" si="23"/>
        <v>0</v>
      </c>
      <c r="AZ64" s="138" t="str">
        <f>Uitslag!P64</f>
        <v>Wesley Sneijder (m)</v>
      </c>
      <c r="BA64" s="140">
        <f t="shared" si="12"/>
        <v>0</v>
      </c>
      <c r="BB64" s="139">
        <f t="shared" si="24"/>
        <v>0</v>
      </c>
    </row>
    <row r="65" spans="2:54">
      <c r="B65" s="370">
        <v>55</v>
      </c>
      <c r="C65" s="467">
        <v>41821</v>
      </c>
      <c r="D65" s="459" t="str">
        <f t="shared" si="13"/>
        <v>Argentinië</v>
      </c>
      <c r="E65" s="373" t="s">
        <v>9</v>
      </c>
      <c r="F65" s="410" t="str">
        <f t="shared" si="14"/>
        <v>Zwitserland</v>
      </c>
      <c r="G65" s="436">
        <v>2</v>
      </c>
      <c r="H65" s="373" t="s">
        <v>9</v>
      </c>
      <c r="I65" s="451">
        <v>0</v>
      </c>
      <c r="J65" s="452">
        <v>1</v>
      </c>
      <c r="K65" s="407" t="s">
        <v>72</v>
      </c>
      <c r="L65" s="407" t="s">
        <v>68</v>
      </c>
      <c r="M65" s="407"/>
      <c r="O65" s="458">
        <v>8</v>
      </c>
      <c r="P65" s="877" t="s">
        <v>315</v>
      </c>
      <c r="Q65" s="877"/>
      <c r="R65" s="877"/>
      <c r="S65" s="877"/>
      <c r="T65" s="878"/>
      <c r="V65" s="352" t="s">
        <v>133</v>
      </c>
      <c r="W65" s="352" t="s">
        <v>109</v>
      </c>
      <c r="X65" s="352" t="str">
        <f t="shared" si="11"/>
        <v>Daley Blind (v)</v>
      </c>
      <c r="Y65" s="109">
        <f t="shared" si="15"/>
        <v>1</v>
      </c>
      <c r="Z65" s="352" t="str">
        <f t="shared" si="16"/>
        <v>Argentinië</v>
      </c>
      <c r="AA65" s="352" t="str">
        <f t="shared" si="16"/>
        <v>Zwitserland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7"/>
        <v>1</v>
      </c>
      <c r="AG65" s="108">
        <f t="shared" si="18"/>
        <v>0</v>
      </c>
      <c r="AH65" s="108">
        <f t="shared" si="19"/>
        <v>1</v>
      </c>
      <c r="AI65" s="108">
        <f t="shared" si="20"/>
        <v>0</v>
      </c>
      <c r="AJ65" s="108">
        <f t="shared" si="21"/>
        <v>0</v>
      </c>
      <c r="AK65" s="108">
        <f t="shared" si="22"/>
        <v>0</v>
      </c>
      <c r="AL65" s="108">
        <f t="shared" si="23"/>
        <v>0</v>
      </c>
      <c r="AZ65" s="138" t="str">
        <f>Uitslag!P65</f>
        <v>Nigel de Jong (m)</v>
      </c>
      <c r="BA65" s="140">
        <f t="shared" si="12"/>
        <v>0</v>
      </c>
      <c r="BB65" s="139">
        <f t="shared" si="24"/>
        <v>0</v>
      </c>
    </row>
    <row r="66" spans="2:54" ht="15.75" thickBot="1">
      <c r="B66" s="385">
        <v>56</v>
      </c>
      <c r="C66" s="462">
        <v>41821</v>
      </c>
      <c r="D66" s="461" t="str">
        <f t="shared" si="13"/>
        <v>België</v>
      </c>
      <c r="E66" s="388" t="s">
        <v>9</v>
      </c>
      <c r="F66" s="412" t="str">
        <f t="shared" si="14"/>
        <v>Portugal</v>
      </c>
      <c r="G66" s="438">
        <v>2</v>
      </c>
      <c r="H66" s="388" t="s">
        <v>9</v>
      </c>
      <c r="I66" s="453">
        <v>0</v>
      </c>
      <c r="J66" s="454">
        <v>1</v>
      </c>
      <c r="K66" s="407" t="s">
        <v>82</v>
      </c>
      <c r="L66" s="407" t="s">
        <v>78</v>
      </c>
      <c r="M66" s="407"/>
      <c r="O66" s="458">
        <v>9</v>
      </c>
      <c r="P66" s="877" t="s">
        <v>216</v>
      </c>
      <c r="Q66" s="877"/>
      <c r="R66" s="877"/>
      <c r="S66" s="877"/>
      <c r="T66" s="878"/>
      <c r="V66" s="352" t="s">
        <v>133</v>
      </c>
      <c r="W66" s="352" t="s">
        <v>115</v>
      </c>
      <c r="X66" s="352" t="str">
        <f t="shared" si="11"/>
        <v>Daryl Janmaat (v)</v>
      </c>
      <c r="Y66" s="109">
        <f t="shared" si="15"/>
        <v>1</v>
      </c>
      <c r="Z66" s="352" t="str">
        <f>IF(K66=""," ",VLOOKUP(K66,$T$9:$V$54,3,FALSE))</f>
        <v>België</v>
      </c>
      <c r="AA66" s="352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7"/>
        <v>1</v>
      </c>
      <c r="AG66" s="108">
        <f t="shared" si="18"/>
        <v>0</v>
      </c>
      <c r="AH66" s="108">
        <f t="shared" si="19"/>
        <v>1</v>
      </c>
      <c r="AI66" s="108">
        <f t="shared" si="20"/>
        <v>0</v>
      </c>
      <c r="AJ66" s="108">
        <f t="shared" si="21"/>
        <v>0</v>
      </c>
      <c r="AK66" s="108">
        <f t="shared" si="22"/>
        <v>0</v>
      </c>
      <c r="AL66" s="108">
        <f t="shared" si="23"/>
        <v>0</v>
      </c>
      <c r="AZ66" s="138" t="str">
        <f>Uitslag!P66</f>
        <v>Jonathan de Guzman (m)</v>
      </c>
      <c r="BA66" s="140">
        <f t="shared" si="12"/>
        <v>3</v>
      </c>
      <c r="BB66" s="139">
        <f t="shared" si="24"/>
        <v>3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O67" s="458">
        <v>10</v>
      </c>
      <c r="P67" s="877" t="s">
        <v>215</v>
      </c>
      <c r="Q67" s="877"/>
      <c r="R67" s="877"/>
      <c r="S67" s="877"/>
      <c r="T67" s="878"/>
      <c r="V67" s="352" t="s">
        <v>133</v>
      </c>
      <c r="W67" s="352" t="s">
        <v>118</v>
      </c>
      <c r="X67" s="352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4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79"/>
      <c r="K68" s="353"/>
      <c r="L68" s="353"/>
      <c r="M68" s="353"/>
      <c r="O68" s="458">
        <v>11</v>
      </c>
      <c r="P68" s="877" t="s">
        <v>257</v>
      </c>
      <c r="Q68" s="877"/>
      <c r="R68" s="877"/>
      <c r="S68" s="877"/>
      <c r="T68" s="878"/>
      <c r="V68" s="352" t="s">
        <v>133</v>
      </c>
      <c r="W68" s="352" t="s">
        <v>119</v>
      </c>
      <c r="X68" s="352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0</v>
      </c>
      <c r="BB68" s="139">
        <f t="shared" si="24"/>
        <v>0</v>
      </c>
    </row>
    <row r="69" spans="2:54">
      <c r="B69" s="428" t="s">
        <v>1</v>
      </c>
      <c r="C69" s="429" t="s">
        <v>2</v>
      </c>
      <c r="D69" s="476" t="s">
        <v>3</v>
      </c>
      <c r="E69" s="431"/>
      <c r="F69" s="477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V69" s="352" t="s">
        <v>133</v>
      </c>
      <c r="W69" s="352" t="s">
        <v>121</v>
      </c>
      <c r="X69" s="352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15</v>
      </c>
      <c r="BB69" s="139" t="str">
        <f>IF(AND(BA69&lt;&gt;"",BA69=33),15,"nvt")</f>
        <v>nvt</v>
      </c>
    </row>
    <row r="70" spans="2:54">
      <c r="B70" s="364">
        <v>57</v>
      </c>
      <c r="C70" s="365">
        <v>41824</v>
      </c>
      <c r="D70" s="405" t="str">
        <f>IF(J63="","Winnaar 53",IF(J63=1,D63,F63))</f>
        <v>Frankrijk</v>
      </c>
      <c r="E70" s="367" t="s">
        <v>9</v>
      </c>
      <c r="F70" s="406" t="str">
        <f>IF(J64="","Winnaar 54",IF(J64=1,D64,F64))</f>
        <v>Duitsland</v>
      </c>
      <c r="G70" s="435">
        <v>2</v>
      </c>
      <c r="H70" s="367" t="s">
        <v>9</v>
      </c>
      <c r="I70" s="447">
        <v>0</v>
      </c>
      <c r="J70" s="448">
        <v>1</v>
      </c>
      <c r="K70" s="353"/>
      <c r="L70" s="353"/>
      <c r="M70" s="353"/>
      <c r="V70" s="352" t="s">
        <v>133</v>
      </c>
      <c r="W70" s="352" t="s">
        <v>126</v>
      </c>
      <c r="X70" s="352" t="str">
        <f t="shared" si="11"/>
        <v>Karim Rekik (v)</v>
      </c>
      <c r="Y70" s="109">
        <f>AF70</f>
        <v>0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0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0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Brazilië</v>
      </c>
      <c r="E71" s="379" t="s">
        <v>9</v>
      </c>
      <c r="F71" s="409" t="str">
        <f>IF(J60="","Winnaar 50",IF(J60=1,D60,F60))</f>
        <v>Colombia</v>
      </c>
      <c r="G71" s="437">
        <v>2</v>
      </c>
      <c r="H71" s="379" t="s">
        <v>9</v>
      </c>
      <c r="I71" s="449">
        <v>0</v>
      </c>
      <c r="J71" s="450">
        <v>1</v>
      </c>
      <c r="K71" s="353"/>
      <c r="L71" s="353"/>
      <c r="M71" s="353"/>
      <c r="V71" s="352" t="s">
        <v>133</v>
      </c>
      <c r="W71" s="352" t="s">
        <v>194</v>
      </c>
      <c r="X71" s="352" t="str">
        <f t="shared" si="11"/>
        <v>Ron Vlaar (v)</v>
      </c>
      <c r="Y71" s="109">
        <f>AF71</f>
        <v>6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6</v>
      </c>
      <c r="AG71" s="108">
        <f>IF(AC71="",0,(IF(G71=AC71,1,0)))</f>
        <v>1</v>
      </c>
      <c r="AH71" s="108">
        <f>IF(AD71="",0,(IF(I71=AD71,1,0)))</f>
        <v>0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Argentinië</v>
      </c>
      <c r="E72" s="367" t="s">
        <v>9</v>
      </c>
      <c r="F72" s="406" t="str">
        <f>IF(J66="","Winnaar 56",IF(J66=1,D66,F66))</f>
        <v>België</v>
      </c>
      <c r="G72" s="435">
        <v>2</v>
      </c>
      <c r="H72" s="367" t="s">
        <v>9</v>
      </c>
      <c r="I72" s="447">
        <v>0</v>
      </c>
      <c r="J72" s="448">
        <v>1</v>
      </c>
      <c r="K72" s="353"/>
      <c r="L72" s="353"/>
      <c r="M72" s="353"/>
      <c r="V72" s="352" t="s">
        <v>133</v>
      </c>
      <c r="W72" s="352" t="s">
        <v>195</v>
      </c>
      <c r="X72" s="352" t="str">
        <f t="shared" si="11"/>
        <v>John Heitinga (v)</v>
      </c>
      <c r="Y72" s="109">
        <f>AF72</f>
        <v>6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6</v>
      </c>
      <c r="AG72" s="108">
        <f>IF(AC72="",0,(IF(G72=AC72,1,0)))</f>
        <v>0</v>
      </c>
      <c r="AH72" s="108">
        <f>IF(AD72="",0,(IF(I72=AD72,1,0)))</f>
        <v>1</v>
      </c>
      <c r="AI72" s="108">
        <f>IF(AND(AG72=1,AH72=1),10,0)</f>
        <v>0</v>
      </c>
      <c r="AJ72" s="108">
        <f>IF(AND(G72&gt;I72,AC72&gt;AD72),5,0)</f>
        <v>5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Spanje</v>
      </c>
      <c r="E73" s="388" t="s">
        <v>9</v>
      </c>
      <c r="F73" s="412" t="str">
        <f>IF(J62="","Winnaar 52",IF(J62=1,D62,F62))</f>
        <v>Italië</v>
      </c>
      <c r="G73" s="438">
        <v>2</v>
      </c>
      <c r="H73" s="388" t="s">
        <v>9</v>
      </c>
      <c r="I73" s="453">
        <v>0</v>
      </c>
      <c r="J73" s="454">
        <v>1</v>
      </c>
      <c r="K73" s="353"/>
      <c r="L73" s="353"/>
      <c r="M73" s="353"/>
      <c r="V73" s="352" t="s">
        <v>133</v>
      </c>
      <c r="W73" s="352" t="s">
        <v>196</v>
      </c>
      <c r="X73" s="352" t="str">
        <f t="shared" si="11"/>
        <v>Urby Emanuelson (v)</v>
      </c>
      <c r="Y73" s="109">
        <f>AF73</f>
        <v>1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1</v>
      </c>
      <c r="AG73" s="108">
        <f>IF(AC73="",0,(IF(G73=AC73,1,0)))</f>
        <v>0</v>
      </c>
      <c r="AH73" s="108">
        <f>IF(AD73="",0,(IF(I73=AD73,1,0)))</f>
        <v>1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V74" s="352" t="s">
        <v>133</v>
      </c>
      <c r="W74" s="352" t="s">
        <v>197</v>
      </c>
      <c r="X74" s="352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79"/>
      <c r="K75" s="353"/>
      <c r="L75" s="353"/>
      <c r="M75" s="353"/>
      <c r="V75" s="352" t="s">
        <v>133</v>
      </c>
      <c r="W75" s="352" t="s">
        <v>198</v>
      </c>
      <c r="X75" s="352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76" t="s">
        <v>3</v>
      </c>
      <c r="E76" s="431"/>
      <c r="F76" s="477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V76" s="352" t="s">
        <v>133</v>
      </c>
      <c r="W76" s="352" t="s">
        <v>202</v>
      </c>
      <c r="X76" s="352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Frankrijk</v>
      </c>
      <c r="E77" s="367" t="s">
        <v>9</v>
      </c>
      <c r="F77" s="406" t="str">
        <f>IF(J71="","Winnaar 58",IF(J71=1,D71,F71))</f>
        <v>Brazilië</v>
      </c>
      <c r="G77" s="435">
        <v>0</v>
      </c>
      <c r="H77" s="367" t="s">
        <v>9</v>
      </c>
      <c r="I77" s="447">
        <v>2</v>
      </c>
      <c r="J77" s="448">
        <v>2</v>
      </c>
      <c r="K77" s="353"/>
      <c r="L77" s="353"/>
      <c r="M77" s="353"/>
      <c r="V77" s="352" t="s">
        <v>134</v>
      </c>
      <c r="W77" s="352" t="s">
        <v>203</v>
      </c>
      <c r="X77" s="352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Argentinië</v>
      </c>
      <c r="E78" s="388" t="s">
        <v>9</v>
      </c>
      <c r="F78" s="412" t="str">
        <f>IF(J73="","Winnaar 60",IF(J73=1,D73,F73))</f>
        <v>Spanje</v>
      </c>
      <c r="G78" s="438">
        <v>0</v>
      </c>
      <c r="H78" s="388" t="s">
        <v>9</v>
      </c>
      <c r="I78" s="453">
        <v>2</v>
      </c>
      <c r="J78" s="454">
        <v>2</v>
      </c>
      <c r="K78" s="353"/>
      <c r="L78" s="353"/>
      <c r="M78" s="353"/>
      <c r="V78" s="352" t="s">
        <v>134</v>
      </c>
      <c r="W78" s="352" t="s">
        <v>199</v>
      </c>
      <c r="X78" s="352" t="str">
        <f t="shared" si="11"/>
        <v>Leroy Fer (m)</v>
      </c>
      <c r="Y78" s="109">
        <f>AF78</f>
        <v>1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1</v>
      </c>
      <c r="AG78" s="108">
        <f>IF(AC78="",0,(IF(G78=AC78,1,0)))</f>
        <v>1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V79" s="352" t="s">
        <v>134</v>
      </c>
      <c r="W79" s="352" t="s">
        <v>114</v>
      </c>
      <c r="X79" s="352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79"/>
      <c r="K80" s="353"/>
      <c r="L80" s="353"/>
      <c r="M80" s="353"/>
      <c r="V80" s="352" t="s">
        <v>134</v>
      </c>
      <c r="W80" s="352" t="s">
        <v>117</v>
      </c>
      <c r="X80" s="352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76" t="s">
        <v>3</v>
      </c>
      <c r="E81" s="431"/>
      <c r="F81" s="477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V81" s="352" t="s">
        <v>134</v>
      </c>
      <c r="W81" s="352" t="s">
        <v>120</v>
      </c>
      <c r="X81" s="352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Frankrijk</v>
      </c>
      <c r="E82" s="355" t="s">
        <v>9</v>
      </c>
      <c r="F82" s="415" t="str">
        <f>IF(J78="","Verliezer 62",IF(J78=1,F78,D78))</f>
        <v>Argentinië</v>
      </c>
      <c r="G82" s="455">
        <v>0</v>
      </c>
      <c r="H82" s="355" t="s">
        <v>9</v>
      </c>
      <c r="I82" s="456">
        <v>2</v>
      </c>
      <c r="J82" s="457">
        <v>2</v>
      </c>
      <c r="K82" s="353"/>
      <c r="L82" s="353"/>
      <c r="M82" s="353"/>
      <c r="V82" s="352" t="s">
        <v>134</v>
      </c>
      <c r="W82" s="352" t="s">
        <v>125</v>
      </c>
      <c r="X82" s="352" t="str">
        <f t="shared" si="11"/>
        <v>Georginio Wijnaldum (m)</v>
      </c>
      <c r="Y82" s="109">
        <f>AF82</f>
        <v>6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6</v>
      </c>
      <c r="AG82" s="108">
        <f>IF(AC82="",0,(IF(G82=AC82,1,0)))</f>
        <v>1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5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V83" s="352" t="s">
        <v>134</v>
      </c>
      <c r="W83" s="352" t="s">
        <v>136</v>
      </c>
      <c r="X83" s="352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79"/>
      <c r="K84" s="353"/>
      <c r="L84" s="353"/>
      <c r="M84" s="353"/>
      <c r="V84" s="352" t="s">
        <v>134</v>
      </c>
      <c r="W84" s="352" t="s">
        <v>137</v>
      </c>
      <c r="X84" s="352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76" t="s">
        <v>3</v>
      </c>
      <c r="E85" s="431"/>
      <c r="F85" s="477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V85" s="352" t="s">
        <v>134</v>
      </c>
      <c r="W85" s="352" t="s">
        <v>138</v>
      </c>
      <c r="X85" s="352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Brazilië</v>
      </c>
      <c r="E86" s="355" t="s">
        <v>9</v>
      </c>
      <c r="F86" s="415" t="str">
        <f>IF(J78="","Winnaar 62",IF(J78=1,D78,F78))</f>
        <v>Spanje</v>
      </c>
      <c r="G86" s="455">
        <v>2</v>
      </c>
      <c r="H86" s="355" t="s">
        <v>9</v>
      </c>
      <c r="I86" s="456">
        <v>0</v>
      </c>
      <c r="J86" s="457">
        <v>1</v>
      </c>
      <c r="K86" s="353"/>
      <c r="L86" s="353"/>
      <c r="M86" s="353"/>
      <c r="V86" s="352" t="s">
        <v>134</v>
      </c>
      <c r="W86" s="352" t="s">
        <v>139</v>
      </c>
      <c r="X86" s="352" t="str">
        <f t="shared" si="11"/>
        <v>Nigel de Jong (m)</v>
      </c>
      <c r="Y86" s="109">
        <f>AF86</f>
        <v>1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1</v>
      </c>
      <c r="AG86" s="108">
        <f>IF(AC86="",0,(IF(G86=AC86,1,0)))</f>
        <v>0</v>
      </c>
      <c r="AH86" s="108">
        <f>IF(AD86="",0,(IF(I86=AD86,1,0)))</f>
        <v>1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353"/>
      <c r="C87" s="129"/>
      <c r="D87" s="392"/>
      <c r="E87" s="353"/>
      <c r="F87" s="392"/>
      <c r="G87" s="353"/>
      <c r="H87" s="353"/>
      <c r="I87" s="353"/>
      <c r="J87" s="353"/>
      <c r="K87" s="353"/>
      <c r="L87" s="353"/>
      <c r="M87" s="353"/>
      <c r="V87" s="352" t="s">
        <v>135</v>
      </c>
      <c r="W87" s="352" t="s">
        <v>205</v>
      </c>
      <c r="X87" s="352" t="str">
        <f t="shared" si="11"/>
        <v>Ricky van Wolfswinkel (a)</v>
      </c>
      <c r="AP87" s="136" t="s">
        <v>102</v>
      </c>
    </row>
    <row r="88" spans="2:50">
      <c r="B88" s="353"/>
      <c r="C88" s="129"/>
      <c r="D88" s="392"/>
      <c r="E88" s="353"/>
      <c r="F88" s="392"/>
      <c r="G88" s="353"/>
      <c r="H88" s="353"/>
      <c r="I88" s="353"/>
      <c r="J88" s="353"/>
      <c r="K88" s="353"/>
      <c r="L88" s="353"/>
      <c r="M88" s="353"/>
      <c r="V88" s="352" t="s">
        <v>135</v>
      </c>
      <c r="W88" s="352" t="s">
        <v>204</v>
      </c>
      <c r="X88" s="352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458"/>
    </row>
    <row r="89" spans="2:50" ht="20.25">
      <c r="C89" s="874" t="s">
        <v>101</v>
      </c>
      <c r="D89" s="871"/>
      <c r="E89" s="873" t="str">
        <f>IF(J86=1,D86,IF(J86=2,F86,"Wie zal het worden?"))</f>
        <v>Brazilië</v>
      </c>
      <c r="F89" s="873"/>
      <c r="G89" s="873"/>
      <c r="H89" s="873"/>
      <c r="I89" s="873"/>
      <c r="J89" s="873"/>
      <c r="K89" s="353"/>
      <c r="L89" s="353"/>
      <c r="M89" s="353"/>
      <c r="V89" s="352" t="s">
        <v>135</v>
      </c>
      <c r="W89" s="352" t="s">
        <v>201</v>
      </c>
      <c r="X89" s="352" t="str">
        <f t="shared" si="11"/>
        <v>Jermain Lens (a)</v>
      </c>
      <c r="AP89" s="109">
        <f>AU89</f>
        <v>5</v>
      </c>
      <c r="AQ89" s="131">
        <v>1</v>
      </c>
      <c r="AR89" s="904" t="str">
        <f>Uitslag!E89</f>
        <v>Duitsland</v>
      </c>
      <c r="AS89" s="905"/>
      <c r="AT89" s="906"/>
      <c r="AU89" s="352">
        <f>SUM(AV89:AX89)</f>
        <v>5</v>
      </c>
      <c r="AV89" s="352">
        <f>IF(AR89=0,0,IF(E89=AR89,50,0))</f>
        <v>0</v>
      </c>
      <c r="AW89" s="352">
        <f>IF(E89=0,0,IF(OR(E89=AR90),15,0))</f>
        <v>0</v>
      </c>
      <c r="AX89" s="352">
        <f>IF(E89=0,0,IF(OR(E89=AR91,E89=AR92),5,0))</f>
        <v>5</v>
      </c>
    </row>
    <row r="90" spans="2:50">
      <c r="C90" s="870">
        <v>2</v>
      </c>
      <c r="D90" s="871"/>
      <c r="E90" s="872" t="str">
        <f>IF(J86=2,D86,IF(J86=1,F86,"Wie wordt 2de?"))</f>
        <v>Spanje</v>
      </c>
      <c r="F90" s="872"/>
      <c r="G90" s="872"/>
      <c r="H90" s="872"/>
      <c r="I90" s="872"/>
      <c r="J90" s="872"/>
      <c r="V90" s="352" t="s">
        <v>135</v>
      </c>
      <c r="W90" s="352" t="s">
        <v>200</v>
      </c>
      <c r="X90" s="352" t="str">
        <f t="shared" si="11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 s="352">
        <f>SUM(AV90:AX90)</f>
        <v>0</v>
      </c>
      <c r="AV90" s="352">
        <f>IF(AR90=0,0,IF(AR90=E90,25,0))</f>
        <v>0</v>
      </c>
      <c r="AW90" s="352">
        <f>IF(E90=0,0,IF(OR(E90=AR89,),15,0))</f>
        <v>0</v>
      </c>
      <c r="AX90" s="352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Argentinië</v>
      </c>
      <c r="F91" s="872"/>
      <c r="G91" s="872"/>
      <c r="H91" s="872"/>
      <c r="I91" s="872"/>
      <c r="J91" s="872"/>
      <c r="V91" s="352" t="s">
        <v>135</v>
      </c>
      <c r="W91" s="352" t="s">
        <v>128</v>
      </c>
      <c r="X91" s="352" t="str">
        <f t="shared" si="11"/>
        <v>Jürgen Locadia (a)</v>
      </c>
      <c r="AP91" s="109">
        <f>AU91</f>
        <v>5</v>
      </c>
      <c r="AQ91" s="131">
        <v>3</v>
      </c>
      <c r="AR91" s="904" t="str">
        <f>Uitslag!E91</f>
        <v>Nederland</v>
      </c>
      <c r="AS91" s="905"/>
      <c r="AT91" s="906"/>
      <c r="AU91" s="352">
        <f>SUM(AV91:AX91)</f>
        <v>5</v>
      </c>
      <c r="AV91" s="352">
        <f>IF(AR91=0,0,IF(AR91=E91,15,0))</f>
        <v>0</v>
      </c>
      <c r="AW91" s="352">
        <f>IF(E91=0,0,IF(OR(E91=AR92),10,0))</f>
        <v>0</v>
      </c>
      <c r="AX91" s="352">
        <f>IF(E91=0,0,IF(OR(E91=AR89,E91=AR90),5,0))</f>
        <v>5</v>
      </c>
    </row>
    <row r="92" spans="2:50">
      <c r="C92" s="870">
        <v>4</v>
      </c>
      <c r="D92" s="871"/>
      <c r="E92" s="872" t="str">
        <f>IF(J82=2,D82,IF(J82=1,F82,"Wie wordt 4de?"))</f>
        <v>Frankrijk</v>
      </c>
      <c r="F92" s="872"/>
      <c r="G92" s="872"/>
      <c r="H92" s="872"/>
      <c r="I92" s="872"/>
      <c r="J92" s="872"/>
      <c r="V92" s="352" t="s">
        <v>135</v>
      </c>
      <c r="W92" s="352" t="s">
        <v>127</v>
      </c>
      <c r="X92" s="35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 s="352">
        <f>SUM(AV92:AX92)</f>
        <v>0</v>
      </c>
      <c r="AV92" s="352">
        <f>IF(AR92=0,0,IF(AR92=E92,15,0))</f>
        <v>0</v>
      </c>
      <c r="AW92" s="352">
        <f>IF(E92=0,0,IF(OR(E92=AR91,),10,0))</f>
        <v>0</v>
      </c>
      <c r="AX92" s="352">
        <f>IF(E92=0,0,IF(OR(E92=AR89,E92=AR90),5,0))</f>
        <v>0</v>
      </c>
    </row>
    <row r="93" spans="2:50" ht="15.75" thickBot="1">
      <c r="V93" s="352" t="s">
        <v>135</v>
      </c>
      <c r="W93" s="352" t="s">
        <v>123</v>
      </c>
      <c r="X93" s="352" t="str">
        <f t="shared" si="11"/>
        <v>Quincy Promes (a)</v>
      </c>
      <c r="AS93" s="132"/>
      <c r="AU93" s="133">
        <f>SUM(AU89:AU92)</f>
        <v>10</v>
      </c>
    </row>
    <row r="94" spans="2:50" ht="15.75" thickTop="1">
      <c r="V94" s="352" t="s">
        <v>135</v>
      </c>
      <c r="W94" s="352" t="s">
        <v>122</v>
      </c>
      <c r="X94" s="352" t="str">
        <f t="shared" si="11"/>
        <v>Luc Castaignos (a)</v>
      </c>
    </row>
    <row r="95" spans="2:50">
      <c r="V95" s="352" t="s">
        <v>135</v>
      </c>
      <c r="W95" s="352" t="s">
        <v>113</v>
      </c>
      <c r="X95" s="352" t="str">
        <f t="shared" si="11"/>
        <v>Jean-Paul Boëtius (a)</v>
      </c>
    </row>
    <row r="96" spans="2:50">
      <c r="V96" s="352" t="s">
        <v>135</v>
      </c>
      <c r="W96" s="352" t="s">
        <v>129</v>
      </c>
      <c r="X96" s="352" t="str">
        <f t="shared" si="11"/>
        <v>Luciano Narsingh (a)</v>
      </c>
    </row>
    <row r="97" spans="22:24">
      <c r="V97" s="352" t="s">
        <v>135</v>
      </c>
      <c r="W97" s="352" t="s">
        <v>130</v>
      </c>
      <c r="X97" s="352" t="str">
        <f t="shared" si="11"/>
        <v>Robin van Persie (a)</v>
      </c>
    </row>
    <row r="98" spans="22:24">
      <c r="V98" s="352" t="s">
        <v>135</v>
      </c>
      <c r="W98" s="352" t="s">
        <v>131</v>
      </c>
      <c r="X98" s="352" t="str">
        <f t="shared" si="11"/>
        <v>Arjen Robben (a)</v>
      </c>
    </row>
  </sheetData>
  <mergeCells count="36">
    <mergeCell ref="C91:D91"/>
    <mergeCell ref="E91:J91"/>
    <mergeCell ref="AR91:AT91"/>
    <mergeCell ref="C92:D92"/>
    <mergeCell ref="E92:J92"/>
    <mergeCell ref="AR92:AT92"/>
    <mergeCell ref="C89:D89"/>
    <mergeCell ref="E89:J89"/>
    <mergeCell ref="AR89:AT89"/>
    <mergeCell ref="C90:D90"/>
    <mergeCell ref="E90:J90"/>
    <mergeCell ref="AR90:AT90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</mergeCells>
  <conditionalFormatting sqref="AO9:AO12 AO15:AO18 AO21:AO24 AO27:AO30 AO33:AO36 AO39:AO42 AO45:AO48 AO51:AO54">
    <cfRule type="cellIs" dxfId="26" priority="3" operator="equal">
      <formula>10</formula>
    </cfRule>
  </conditionalFormatting>
  <conditionalFormatting sqref="P58:T58">
    <cfRule type="duplicateValues" dxfId="25" priority="2"/>
  </conditionalFormatting>
  <conditionalFormatting sqref="P58:T68">
    <cfRule type="duplicateValues" dxfId="24" priority="1"/>
  </conditionalFormatting>
  <dataValidations count="10">
    <dataValidation type="list" allowBlank="1" showInputMessage="1" showErrorMessage="1" sqref="T51:T54">
      <formula1>$W$51:$W$54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P58:P68">
      <formula1>$X$58:$X$98</formula1>
    </dataValidation>
  </dataValidation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>
  <dimension ref="B1:BB98"/>
  <sheetViews>
    <sheetView topLeftCell="A46" zoomScale="70" zoomScaleNormal="70" workbookViewId="0">
      <selection activeCell="P58" sqref="P58:T68"/>
    </sheetView>
  </sheetViews>
  <sheetFormatPr defaultRowHeight="15" outlineLevelCol="2"/>
  <cols>
    <col min="1" max="1" width="3.42578125" style="352" customWidth="1"/>
    <col min="2" max="2" width="3.5703125" style="352" bestFit="1" customWidth="1"/>
    <col min="3" max="3" width="11.5703125" style="123" bestFit="1" customWidth="1"/>
    <col min="4" max="4" width="19.7109375" style="352" bestFit="1" customWidth="1"/>
    <col min="5" max="5" width="3.42578125" style="352" customWidth="1"/>
    <col min="6" max="6" width="19.7109375" style="352" bestFit="1" customWidth="1"/>
    <col min="7" max="7" width="6.7109375" style="352" customWidth="1"/>
    <col min="8" max="8" width="1.5703125" style="352" bestFit="1" customWidth="1"/>
    <col min="9" max="9" width="6.7109375" style="352" customWidth="1"/>
    <col min="10" max="10" width="6.85546875" style="352" bestFit="1" customWidth="1"/>
    <col min="11" max="13" width="9.140625" style="352" hidden="1" customWidth="1" outlineLevel="1"/>
    <col min="14" max="14" width="11.42578125" style="352" bestFit="1" customWidth="1" collapsed="1"/>
    <col min="15" max="15" width="14.7109375" style="352" bestFit="1" customWidth="1"/>
    <col min="16" max="16" width="12.28515625" style="352" bestFit="1" customWidth="1"/>
    <col min="17" max="17" width="8.140625" style="352" bestFit="1" customWidth="1"/>
    <col min="18" max="18" width="7.7109375" style="352" bestFit="1" customWidth="1"/>
    <col min="19" max="19" width="9.140625" style="352"/>
    <col min="20" max="20" width="8.5703125" style="352" bestFit="1" customWidth="1"/>
    <col min="21" max="21" width="9.140625" style="352"/>
    <col min="22" max="23" width="9.140625" style="352" hidden="1" customWidth="1" outlineLevel="1"/>
    <col min="24" max="24" width="2" style="352" hidden="1" customWidth="1" outlineLevel="1"/>
    <col min="25" max="25" width="12.28515625" style="352" bestFit="1" customWidth="1" collapsed="1"/>
    <col min="26" max="27" width="12.28515625" style="352" hidden="1" customWidth="1" outlineLevel="1"/>
    <col min="28" max="28" width="4.7109375" style="352" hidden="1" customWidth="1" outlineLevel="1"/>
    <col min="29" max="38" width="9.140625" style="352" hidden="1" customWidth="1" outlineLevel="1"/>
    <col min="39" max="39" width="7.42578125" style="352" bestFit="1" customWidth="1" collapsed="1"/>
    <col min="40" max="40" width="19.7109375" style="352" hidden="1" customWidth="1" outlineLevel="1"/>
    <col min="41" max="41" width="9.140625" style="352" hidden="1" customWidth="1" outlineLevel="1"/>
    <col min="42" max="42" width="9.140625" style="352" collapsed="1"/>
    <col min="43" max="49" width="9.140625" style="352" hidden="1" customWidth="1" outlineLevel="2"/>
    <col min="50" max="50" width="11.5703125" style="352" hidden="1" customWidth="1" outlineLevel="2"/>
    <col min="51" max="51" width="11.85546875" style="352" hidden="1" customWidth="1" outlineLevel="1" collapsed="1"/>
    <col min="52" max="52" width="9.42578125" style="352" hidden="1" customWidth="1" outlineLevel="1"/>
    <col min="53" max="53" width="10.5703125" style="352" hidden="1" customWidth="1" outlineLevel="1"/>
    <col min="54" max="54" width="9.140625" style="352" collapsed="1"/>
    <col min="55" max="55" width="11.85546875" style="352" bestFit="1" customWidth="1"/>
    <col min="56" max="16384" width="9.140625" style="352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332</v>
      </c>
      <c r="E3" s="335"/>
      <c r="F3" s="335"/>
      <c r="N3" s="352" t="str">
        <f>D3</f>
        <v>Sanne D. (introducee Kay L.)</v>
      </c>
      <c r="O3" s="144">
        <f>SUM(P3:S3)</f>
        <v>428</v>
      </c>
      <c r="P3" s="109">
        <f>SUM(Y8:Y86)</f>
        <v>210</v>
      </c>
      <c r="Q3" s="109">
        <f>SUM(AM4:AM55)</f>
        <v>110</v>
      </c>
      <c r="R3" s="109">
        <f>SUM(AP89:AP92)</f>
        <v>60</v>
      </c>
      <c r="S3" s="109">
        <f>SUM(BB58:BB69)</f>
        <v>48</v>
      </c>
      <c r="T3" s="109">
        <f>COUNTIF(AF8:AF86,10)</f>
        <v>7</v>
      </c>
      <c r="U3" s="109" t="str">
        <f>E89</f>
        <v>Duitsland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O6" s="392"/>
      <c r="P6" s="393"/>
      <c r="Q6" s="393"/>
      <c r="R6" s="393"/>
      <c r="S6" s="393"/>
      <c r="T6" s="393"/>
      <c r="U6" s="392"/>
      <c r="V6" s="392"/>
      <c r="W6" s="392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80" t="s">
        <v>3</v>
      </c>
      <c r="E7" s="419"/>
      <c r="F7" s="481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O7" s="353"/>
      <c r="P7" s="393"/>
      <c r="Q7" s="393"/>
      <c r="R7" s="393"/>
      <c r="S7" s="393"/>
      <c r="T7" s="393"/>
      <c r="U7" s="353"/>
      <c r="V7" s="353"/>
      <c r="W7" s="353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458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3</v>
      </c>
      <c r="H8" s="360" t="s">
        <v>9</v>
      </c>
      <c r="I8" s="478">
        <v>0</v>
      </c>
      <c r="J8" s="362">
        <f>IF(I8="","",IF(G8&gt;I8,1,IF(G8&lt;I8,2,3)))</f>
        <v>1</v>
      </c>
      <c r="K8" s="363">
        <f>IF(I8="","",IF($G8&gt;$I8,3,IF($G8=$I8,1,0)))</f>
        <v>3</v>
      </c>
      <c r="L8" s="363">
        <f>IF(I8="","",IF($G8&lt;$I8,3,IF($G8=$I8,1,0)))</f>
        <v>0</v>
      </c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392"/>
      <c r="V8" s="392"/>
      <c r="W8" s="392"/>
      <c r="Y8" s="109">
        <f>AF8</f>
        <v>6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6</v>
      </c>
      <c r="AG8" s="108">
        <f t="shared" ref="AG8:AG55" si="0">IF(AC8="",0,(IF(G8=AC8,1,0)))</f>
        <v>1</v>
      </c>
      <c r="AH8" s="108">
        <f t="shared" ref="AH8:AH55" si="1">IF(AD8="",0,(IF(I8=AD8,1,0)))</f>
        <v>0</v>
      </c>
      <c r="AI8" s="108">
        <f>IF(AND(AG8=1,AH8=1),10,0)</f>
        <v>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1</v>
      </c>
      <c r="H9" s="367" t="s">
        <v>9</v>
      </c>
      <c r="I9" s="440">
        <v>1</v>
      </c>
      <c r="J9" s="369">
        <f t="shared" ref="J9:J55" si="5">IF(I9="","",IF(G9&gt;I9,1,IF(G9&lt;I9,2,3)))</f>
        <v>3</v>
      </c>
      <c r="K9" s="363">
        <f t="shared" ref="K9:K55" si="6">IF(I9="","",IF($G9&gt;$I9,3,IF($G9=$I9,1,0)))</f>
        <v>1</v>
      </c>
      <c r="L9" s="363">
        <f t="shared" ref="L9:L55" si="7">IF(I9="","",IF($G9&lt;$I9,3,IF($G9=$I9,1,0)))</f>
        <v>1</v>
      </c>
      <c r="O9" s="394" t="s">
        <v>8</v>
      </c>
      <c r="P9" s="395">
        <f>SUMIF($D$8:$D$55,$O9,$G$8:$G$55)+SUMIF($F$8:$F$55,$O9,$I$8:$I$55)</f>
        <v>6</v>
      </c>
      <c r="Q9" s="395">
        <f>SUMIF($D$8:$D$55,$O9,$I$8:$I$55)+SUMIF($F$8:$F$55,$O9,$G$8:$G$55)</f>
        <v>1</v>
      </c>
      <c r="R9" s="396">
        <f>P9-Q9</f>
        <v>5</v>
      </c>
      <c r="S9" s="397">
        <f>SUMIF($D$8:$D$55,$O9,$K$8:$K$55)+SUMIF($F$8:$F$55,$O9,$L$8:$L$55)</f>
        <v>9</v>
      </c>
      <c r="T9" s="444" t="s">
        <v>48</v>
      </c>
      <c r="U9" s="392"/>
      <c r="V9" s="392" t="str">
        <f>O9</f>
        <v>Brazilië</v>
      </c>
      <c r="W9" s="392" t="s">
        <v>48</v>
      </c>
      <c r="Y9" s="109">
        <f t="shared" ref="Y9:Y55" si="8">AF9</f>
        <v>1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1</v>
      </c>
      <c r="AG9" s="108">
        <f t="shared" si="0"/>
        <v>1</v>
      </c>
      <c r="AH9" s="108">
        <f t="shared" si="1"/>
        <v>0</v>
      </c>
      <c r="AI9" s="108">
        <f t="shared" ref="AI9:AI55" si="10">IF(AND(AG9=1,AH9=1),10,0)</f>
        <v>0</v>
      </c>
      <c r="AJ9" s="108">
        <f t="shared" si="2"/>
        <v>0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2</v>
      </c>
      <c r="H10" s="373" t="s">
        <v>9</v>
      </c>
      <c r="I10" s="441">
        <v>0</v>
      </c>
      <c r="J10" s="375">
        <f t="shared" si="5"/>
        <v>1</v>
      </c>
      <c r="K10" s="363">
        <f t="shared" si="6"/>
        <v>3</v>
      </c>
      <c r="L10" s="363">
        <f t="shared" si="7"/>
        <v>0</v>
      </c>
      <c r="O10" s="398" t="s">
        <v>10</v>
      </c>
      <c r="P10" s="399">
        <f>SUMIF($D$8:$D$55,$O10,$G$8:$G$55)+SUMIF($F$8:$F$55,$O10,$I$8:$I$55)</f>
        <v>0</v>
      </c>
      <c r="Q10" s="399">
        <f>SUMIF($D$8:$D$55,$O10,$I$8:$I$55)+SUMIF($F$8:$F$55,$O10,$G$8:$G$55)</f>
        <v>8</v>
      </c>
      <c r="R10" s="399">
        <f>P10-Q10</f>
        <v>-8</v>
      </c>
      <c r="S10" s="400">
        <f>SUMIF($D$8:$D$55,$O10,$K$8:$K$55)+SUMIF($F$8:$F$55,$O10,$L$8:$L$55)</f>
        <v>0</v>
      </c>
      <c r="T10" s="445" t="s">
        <v>50</v>
      </c>
      <c r="U10" s="392"/>
      <c r="V10" s="392" t="str">
        <f>O10</f>
        <v>Kroatië</v>
      </c>
      <c r="W10" s="392" t="s">
        <v>49</v>
      </c>
      <c r="Y10" s="109">
        <f t="shared" si="8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0</v>
      </c>
      <c r="AG10" s="108">
        <f t="shared" si="0"/>
        <v>0</v>
      </c>
      <c r="AH10" s="108">
        <f t="shared" si="1"/>
        <v>0</v>
      </c>
      <c r="AI10" s="108">
        <f t="shared" si="10"/>
        <v>0</v>
      </c>
      <c r="AJ10" s="108">
        <f t="shared" si="2"/>
        <v>0</v>
      </c>
      <c r="AK10" s="108">
        <f t="shared" si="3"/>
        <v>0</v>
      </c>
      <c r="AL10" s="108">
        <f t="shared" si="4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1</v>
      </c>
      <c r="H11" s="379" t="s">
        <v>9</v>
      </c>
      <c r="I11" s="442">
        <v>0</v>
      </c>
      <c r="J11" s="381">
        <f t="shared" si="5"/>
        <v>1</v>
      </c>
      <c r="K11" s="363">
        <f t="shared" si="6"/>
        <v>3</v>
      </c>
      <c r="L11" s="363">
        <f t="shared" si="7"/>
        <v>0</v>
      </c>
      <c r="O11" s="398" t="s">
        <v>11</v>
      </c>
      <c r="P11" s="399">
        <f>SUMIF($D$8:$D$55,$O11,$G$8:$G$55)+SUMIF($F$8:$F$55,$O11,$I$8:$I$55)</f>
        <v>5</v>
      </c>
      <c r="Q11" s="399">
        <f>SUMIF($D$8:$D$55,$O11,$I$8:$I$55)+SUMIF($F$8:$F$55,$O11,$G$8:$G$55)</f>
        <v>3</v>
      </c>
      <c r="R11" s="399">
        <f>P11-Q11</f>
        <v>2</v>
      </c>
      <c r="S11" s="400">
        <f>SUMIF($D$8:$D$55,$O11,$K$8:$K$55)+SUMIF($F$8:$F$55,$O11,$L$8:$L$55)</f>
        <v>4</v>
      </c>
      <c r="T11" s="445" t="s">
        <v>49</v>
      </c>
      <c r="U11" s="392"/>
      <c r="V11" s="392" t="str">
        <f>O11</f>
        <v>Mexico</v>
      </c>
      <c r="W11" s="392" t="s">
        <v>47</v>
      </c>
      <c r="Y11" s="109">
        <f t="shared" si="8"/>
        <v>5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5</v>
      </c>
      <c r="AG11" s="108">
        <f t="shared" si="0"/>
        <v>0</v>
      </c>
      <c r="AH11" s="108">
        <f t="shared" si="1"/>
        <v>0</v>
      </c>
      <c r="AI11" s="108">
        <f t="shared" si="10"/>
        <v>0</v>
      </c>
      <c r="AJ11" s="108">
        <f t="shared" si="2"/>
        <v>5</v>
      </c>
      <c r="AK11" s="108">
        <f t="shared" si="3"/>
        <v>0</v>
      </c>
      <c r="AL11" s="108">
        <f t="shared" si="4"/>
        <v>0</v>
      </c>
      <c r="AM11" s="120">
        <f>AO11</f>
        <v>10</v>
      </c>
      <c r="AN11" s="117" t="s">
        <v>11</v>
      </c>
      <c r="AO11" s="115">
        <f>IF(Uitslag!T11="",0,IF(T11=Uitslag!T11,10,0))</f>
        <v>10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2</v>
      </c>
      <c r="H12" s="367" t="s">
        <v>9</v>
      </c>
      <c r="I12" s="440">
        <v>0</v>
      </c>
      <c r="J12" s="369">
        <f t="shared" si="5"/>
        <v>1</v>
      </c>
      <c r="K12" s="363">
        <f t="shared" si="6"/>
        <v>3</v>
      </c>
      <c r="L12" s="363">
        <f t="shared" si="7"/>
        <v>0</v>
      </c>
      <c r="O12" s="401" t="s">
        <v>12</v>
      </c>
      <c r="P12" s="402">
        <f>SUMIF($D$8:$D$55,$O12,$G$8:$G$55)+SUMIF($F$8:$F$55,$O12,$I$8:$I$55)</f>
        <v>3</v>
      </c>
      <c r="Q12" s="402">
        <f>SUMIF($D$8:$D$55,$O12,$I$8:$I$55)+SUMIF($F$8:$F$55,$O12,$G$8:$G$55)</f>
        <v>2</v>
      </c>
      <c r="R12" s="402">
        <f>P12-Q12</f>
        <v>1</v>
      </c>
      <c r="S12" s="403">
        <f>SUMIF($D$8:$D$55,$O12,$K$8:$K$55)+SUMIF($F$8:$F$55,$O12,$L$8:$L$55)</f>
        <v>4</v>
      </c>
      <c r="T12" s="446" t="s">
        <v>47</v>
      </c>
      <c r="U12" s="392"/>
      <c r="V12" s="392" t="str">
        <f>O12</f>
        <v>Kameroen</v>
      </c>
      <c r="W12" s="392" t="s">
        <v>50</v>
      </c>
      <c r="Y12" s="109">
        <f t="shared" si="8"/>
        <v>6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6</v>
      </c>
      <c r="AG12" s="108">
        <f t="shared" si="0"/>
        <v>0</v>
      </c>
      <c r="AH12" s="108">
        <f t="shared" si="1"/>
        <v>1</v>
      </c>
      <c r="AI12" s="108">
        <f t="shared" si="10"/>
        <v>0</v>
      </c>
      <c r="AJ12" s="108">
        <f t="shared" si="2"/>
        <v>5</v>
      </c>
      <c r="AK12" s="108">
        <f t="shared" si="3"/>
        <v>0</v>
      </c>
      <c r="AL12" s="108">
        <f t="shared" si="4"/>
        <v>0</v>
      </c>
      <c r="AM12" s="120">
        <f>AO12</f>
        <v>0</v>
      </c>
      <c r="AN12" s="118" t="s">
        <v>12</v>
      </c>
      <c r="AO12" s="115">
        <f>IF(Uitslag!T12="",0,IF(T12=Uitslag!T12,10,0))</f>
        <v>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2</v>
      </c>
      <c r="H13" s="373" t="s">
        <v>9</v>
      </c>
      <c r="I13" s="441">
        <v>0</v>
      </c>
      <c r="J13" s="375">
        <f t="shared" si="5"/>
        <v>1</v>
      </c>
      <c r="K13" s="363">
        <f t="shared" si="6"/>
        <v>3</v>
      </c>
      <c r="L13" s="363">
        <f t="shared" si="7"/>
        <v>0</v>
      </c>
      <c r="O13" s="392"/>
      <c r="P13" s="393"/>
      <c r="Q13" s="393"/>
      <c r="R13" s="393"/>
      <c r="S13" s="393"/>
      <c r="T13" s="393"/>
      <c r="U13" s="392"/>
      <c r="V13" s="392"/>
      <c r="W13" s="392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0"/>
        <v>0</v>
      </c>
      <c r="AH13" s="108">
        <f t="shared" si="1"/>
        <v>0</v>
      </c>
      <c r="AI13" s="108">
        <f t="shared" si="10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392"/>
      <c r="AO13" s="393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1</v>
      </c>
      <c r="H14" s="373" t="s">
        <v>9</v>
      </c>
      <c r="I14" s="441">
        <v>2</v>
      </c>
      <c r="J14" s="375">
        <f t="shared" si="5"/>
        <v>2</v>
      </c>
      <c r="K14" s="363">
        <f t="shared" si="6"/>
        <v>0</v>
      </c>
      <c r="L14" s="363">
        <f t="shared" si="7"/>
        <v>3</v>
      </c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392"/>
      <c r="V14" s="392"/>
      <c r="W14" s="392"/>
      <c r="Y14" s="109">
        <f t="shared" si="8"/>
        <v>10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10</v>
      </c>
      <c r="AG14" s="108">
        <f t="shared" si="0"/>
        <v>1</v>
      </c>
      <c r="AH14" s="108">
        <f t="shared" si="1"/>
        <v>1</v>
      </c>
      <c r="AI14" s="108">
        <f t="shared" si="10"/>
        <v>10</v>
      </c>
      <c r="AJ14" s="108">
        <f t="shared" si="2"/>
        <v>0</v>
      </c>
      <c r="AK14" s="108">
        <f t="shared" si="3"/>
        <v>5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2</v>
      </c>
      <c r="H15" s="379" t="s">
        <v>9</v>
      </c>
      <c r="I15" s="442">
        <v>0</v>
      </c>
      <c r="J15" s="381">
        <f t="shared" si="5"/>
        <v>1</v>
      </c>
      <c r="K15" s="363">
        <f t="shared" si="6"/>
        <v>3</v>
      </c>
      <c r="L15" s="363">
        <f t="shared" si="7"/>
        <v>0</v>
      </c>
      <c r="O15" s="394" t="s">
        <v>13</v>
      </c>
      <c r="P15" s="395">
        <f>SUMIF($D$8:$D$55,$O15,$G$8:$G$55)+SUMIF($F$8:$F$55,$O15,$I$8:$I$55)</f>
        <v>6</v>
      </c>
      <c r="Q15" s="395">
        <f>SUMIF($D$8:$D$55,$O15,$I$8:$I$55)+SUMIF($F$8:$F$55,$O15,$G$8:$G$55)</f>
        <v>0</v>
      </c>
      <c r="R15" s="396">
        <f>P15-Q15</f>
        <v>6</v>
      </c>
      <c r="S15" s="397">
        <f>SUMIF($D$8:$D$55,$O15,$K$8:$K$55)+SUMIF($F$8:$F$55,$O15,$L$8:$L$55)</f>
        <v>9</v>
      </c>
      <c r="T15" s="444" t="s">
        <v>52</v>
      </c>
      <c r="U15" s="392"/>
      <c r="V15" s="392" t="str">
        <f>O15</f>
        <v>Spanje</v>
      </c>
      <c r="W15" s="392" t="s">
        <v>52</v>
      </c>
      <c r="Y15" s="109">
        <f t="shared" si="8"/>
        <v>6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6</v>
      </c>
      <c r="AG15" s="108">
        <f t="shared" si="0"/>
        <v>1</v>
      </c>
      <c r="AH15" s="108">
        <f t="shared" si="1"/>
        <v>0</v>
      </c>
      <c r="AI15" s="108">
        <f t="shared" si="10"/>
        <v>0</v>
      </c>
      <c r="AJ15" s="108">
        <f t="shared" si="2"/>
        <v>5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0</v>
      </c>
      <c r="H16" s="367" t="s">
        <v>9</v>
      </c>
      <c r="I16" s="440">
        <v>1</v>
      </c>
      <c r="J16" s="369">
        <f t="shared" si="5"/>
        <v>2</v>
      </c>
      <c r="K16" s="363">
        <f t="shared" si="6"/>
        <v>0</v>
      </c>
      <c r="L16" s="363">
        <f t="shared" si="7"/>
        <v>3</v>
      </c>
      <c r="O16" s="404" t="s">
        <v>14</v>
      </c>
      <c r="P16" s="399">
        <f>SUMIF($D$8:$D$55,$O16,$G$8:$G$55)+SUMIF($F$8:$F$55,$O16,$I$8:$I$55)</f>
        <v>3</v>
      </c>
      <c r="Q16" s="399">
        <f>SUMIF($D$8:$D$55,$O16,$I$8:$I$55)+SUMIF($F$8:$F$55,$O16,$G$8:$G$55)</f>
        <v>4</v>
      </c>
      <c r="R16" s="399">
        <f>P16-Q16</f>
        <v>-1</v>
      </c>
      <c r="S16" s="400">
        <f>SUMIF($D$8:$D$55,$O16,$K$8:$K$55)+SUMIF($F$8:$F$55,$O16,$L$8:$L$55)</f>
        <v>4</v>
      </c>
      <c r="T16" s="445" t="s">
        <v>54</v>
      </c>
      <c r="U16" s="392"/>
      <c r="V16" s="392" t="str">
        <f>O16</f>
        <v>Nederland</v>
      </c>
      <c r="W16" s="392" t="s">
        <v>53</v>
      </c>
      <c r="Y16" s="109">
        <f t="shared" si="8"/>
        <v>1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1</v>
      </c>
      <c r="AG16" s="108">
        <f t="shared" si="0"/>
        <v>0</v>
      </c>
      <c r="AH16" s="108">
        <f t="shared" si="1"/>
        <v>1</v>
      </c>
      <c r="AI16" s="108">
        <f t="shared" si="10"/>
        <v>0</v>
      </c>
      <c r="AJ16" s="108">
        <f t="shared" si="2"/>
        <v>0</v>
      </c>
      <c r="AK16" s="108">
        <f t="shared" si="3"/>
        <v>0</v>
      </c>
      <c r="AL16" s="108">
        <f t="shared" si="4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2</v>
      </c>
      <c r="H17" s="373" t="s">
        <v>9</v>
      </c>
      <c r="I17" s="441">
        <v>0</v>
      </c>
      <c r="J17" s="375">
        <f t="shared" si="5"/>
        <v>1</v>
      </c>
      <c r="K17" s="363">
        <f t="shared" si="6"/>
        <v>3</v>
      </c>
      <c r="L17" s="363">
        <f t="shared" si="7"/>
        <v>0</v>
      </c>
      <c r="O17" s="398" t="s">
        <v>15</v>
      </c>
      <c r="P17" s="399">
        <f>SUMIF($D$8:$D$55,$O17,$G$8:$G$55)+SUMIF($F$8:$F$55,$O17,$I$8:$I$55)</f>
        <v>2</v>
      </c>
      <c r="Q17" s="399">
        <f>SUMIF($D$8:$D$55,$O17,$I$8:$I$55)+SUMIF($F$8:$F$55,$O17,$G$8:$G$55)</f>
        <v>3</v>
      </c>
      <c r="R17" s="399">
        <f>P17-Q17</f>
        <v>-1</v>
      </c>
      <c r="S17" s="400">
        <f>SUMIF($D$8:$D$55,$O17,$K$8:$K$55)+SUMIF($F$8:$F$55,$O17,$L$8:$L$55)</f>
        <v>4</v>
      </c>
      <c r="T17" s="445" t="s">
        <v>53</v>
      </c>
      <c r="U17" s="392"/>
      <c r="V17" s="392" t="str">
        <f>O17</f>
        <v>Chili</v>
      </c>
      <c r="W17" s="392" t="s">
        <v>54</v>
      </c>
      <c r="Y17" s="109">
        <f t="shared" si="8"/>
        <v>6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6</v>
      </c>
      <c r="AG17" s="108">
        <f t="shared" si="0"/>
        <v>0</v>
      </c>
      <c r="AH17" s="108">
        <f t="shared" si="1"/>
        <v>1</v>
      </c>
      <c r="AI17" s="108">
        <f t="shared" si="10"/>
        <v>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10</v>
      </c>
      <c r="AN17" s="117" t="s">
        <v>15</v>
      </c>
      <c r="AO17" s="115">
        <f>IF(Uitslag!T17="",0,IF(T17=Uitslag!T17,10,0))</f>
        <v>10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3</v>
      </c>
      <c r="H18" s="379" t="s">
        <v>9</v>
      </c>
      <c r="I18" s="442">
        <v>0</v>
      </c>
      <c r="J18" s="381">
        <f t="shared" si="5"/>
        <v>1</v>
      </c>
      <c r="K18" s="363">
        <f t="shared" si="6"/>
        <v>3</v>
      </c>
      <c r="L18" s="363">
        <f t="shared" si="7"/>
        <v>0</v>
      </c>
      <c r="O18" s="401" t="s">
        <v>16</v>
      </c>
      <c r="P18" s="402">
        <f>SUMIF($D$8:$D$55,$O18,$G$8:$G$55)+SUMIF($F$8:$F$55,$O18,$I$8:$I$55)</f>
        <v>1</v>
      </c>
      <c r="Q18" s="402">
        <f>SUMIF($D$8:$D$55,$O18,$I$8:$I$55)+SUMIF($F$8:$F$55,$O18,$G$8:$G$55)</f>
        <v>5</v>
      </c>
      <c r="R18" s="402">
        <f>P18-Q18</f>
        <v>-4</v>
      </c>
      <c r="S18" s="403">
        <f>SUMIF($D$8:$D$55,$O18,$K$8:$K$55)+SUMIF($F$8:$F$55,$O18,$L$8:$L$55)</f>
        <v>0</v>
      </c>
      <c r="T18" s="446" t="s">
        <v>55</v>
      </c>
      <c r="U18" s="392"/>
      <c r="V18" s="392" t="str">
        <f>O18</f>
        <v>Australië</v>
      </c>
      <c r="W18" s="392" t="s">
        <v>55</v>
      </c>
      <c r="Y18" s="109">
        <f t="shared" si="8"/>
        <v>5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5</v>
      </c>
      <c r="AG18" s="108">
        <f t="shared" si="0"/>
        <v>0</v>
      </c>
      <c r="AH18" s="108">
        <f t="shared" si="1"/>
        <v>0</v>
      </c>
      <c r="AI18" s="108">
        <f t="shared" si="10"/>
        <v>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2</v>
      </c>
      <c r="H19" s="367" t="s">
        <v>9</v>
      </c>
      <c r="I19" s="440">
        <v>1</v>
      </c>
      <c r="J19" s="369">
        <f t="shared" si="5"/>
        <v>1</v>
      </c>
      <c r="K19" s="363">
        <f t="shared" si="6"/>
        <v>3</v>
      </c>
      <c r="L19" s="363">
        <f t="shared" si="7"/>
        <v>0</v>
      </c>
      <c r="O19" s="392"/>
      <c r="P19" s="393"/>
      <c r="Q19" s="393"/>
      <c r="R19" s="393"/>
      <c r="S19" s="393"/>
      <c r="T19" s="393"/>
      <c r="U19" s="392"/>
      <c r="V19" s="392"/>
      <c r="W19" s="392"/>
      <c r="Y19" s="109">
        <f t="shared" si="8"/>
        <v>5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5</v>
      </c>
      <c r="AG19" s="108">
        <f t="shared" si="0"/>
        <v>0</v>
      </c>
      <c r="AH19" s="108">
        <f t="shared" si="1"/>
        <v>0</v>
      </c>
      <c r="AI19" s="108">
        <f t="shared" si="10"/>
        <v>0</v>
      </c>
      <c r="AJ19" s="108">
        <f t="shared" si="2"/>
        <v>5</v>
      </c>
      <c r="AK19" s="108">
        <f t="shared" si="3"/>
        <v>0</v>
      </c>
      <c r="AL19" s="108">
        <f t="shared" si="4"/>
        <v>0</v>
      </c>
      <c r="AN19" s="392"/>
      <c r="AO19" s="393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0</v>
      </c>
      <c r="H20" s="373" t="s">
        <v>9</v>
      </c>
      <c r="I20" s="441">
        <v>2</v>
      </c>
      <c r="J20" s="375">
        <f t="shared" si="5"/>
        <v>2</v>
      </c>
      <c r="K20" s="363">
        <f t="shared" si="6"/>
        <v>0</v>
      </c>
      <c r="L20" s="363">
        <f t="shared" si="7"/>
        <v>3</v>
      </c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392"/>
      <c r="V20" s="392"/>
      <c r="W20" s="392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0"/>
        <v>1</v>
      </c>
      <c r="AH20" s="108">
        <f t="shared" si="1"/>
        <v>0</v>
      </c>
      <c r="AI20" s="108">
        <f t="shared" si="10"/>
        <v>0</v>
      </c>
      <c r="AJ20" s="108">
        <f t="shared" si="2"/>
        <v>0</v>
      </c>
      <c r="AK20" s="108">
        <f t="shared" si="3"/>
        <v>0</v>
      </c>
      <c r="AL20" s="108">
        <f t="shared" si="4"/>
        <v>0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1</v>
      </c>
      <c r="H21" s="379" t="s">
        <v>9</v>
      </c>
      <c r="I21" s="442">
        <v>0</v>
      </c>
      <c r="J21" s="381">
        <f t="shared" si="5"/>
        <v>1</v>
      </c>
      <c r="K21" s="363">
        <f t="shared" si="6"/>
        <v>3</v>
      </c>
      <c r="L21" s="363">
        <f t="shared" si="7"/>
        <v>0</v>
      </c>
      <c r="O21" s="394" t="s">
        <v>17</v>
      </c>
      <c r="P21" s="395">
        <f>SUMIF($D$8:$D$55,$O21,$G$8:$G$55)+SUMIF($F$8:$F$55,$O21,$I$8:$I$55)</f>
        <v>4</v>
      </c>
      <c r="Q21" s="395">
        <f>SUMIF($D$8:$D$55,$O21,$I$8:$I$55)+SUMIF($F$8:$F$55,$O21,$G$8:$G$55)</f>
        <v>1</v>
      </c>
      <c r="R21" s="396">
        <f>P21-Q21</f>
        <v>3</v>
      </c>
      <c r="S21" s="397">
        <f>SUMIF($D$8:$D$55,$O21,$K$8:$K$55)+SUMIF($F$8:$F$55,$O21,$L$8:$L$55)</f>
        <v>7</v>
      </c>
      <c r="T21" s="444" t="s">
        <v>58</v>
      </c>
      <c r="U21" s="392"/>
      <c r="V21" s="392" t="str">
        <f>O21</f>
        <v>Colombia</v>
      </c>
      <c r="W21" s="392" t="s">
        <v>57</v>
      </c>
      <c r="Y21" s="109">
        <f t="shared" si="8"/>
        <v>1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1</v>
      </c>
      <c r="AG21" s="108">
        <f t="shared" si="0"/>
        <v>1</v>
      </c>
      <c r="AH21" s="108">
        <f t="shared" si="1"/>
        <v>0</v>
      </c>
      <c r="AI21" s="108">
        <f t="shared" si="10"/>
        <v>0</v>
      </c>
      <c r="AJ21" s="108">
        <f t="shared" si="2"/>
        <v>0</v>
      </c>
      <c r="AK21" s="108">
        <f t="shared" si="3"/>
        <v>0</v>
      </c>
      <c r="AL21" s="108">
        <f t="shared" si="4"/>
        <v>0</v>
      </c>
      <c r="AM21" s="120">
        <f>AO21</f>
        <v>0</v>
      </c>
      <c r="AN21" s="116" t="s">
        <v>17</v>
      </c>
      <c r="AO21" s="115">
        <f>IF(Uitslag!T21="",0,IF(T21=Uitslag!T21,10,0))</f>
        <v>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1</v>
      </c>
      <c r="H22" s="367" t="s">
        <v>9</v>
      </c>
      <c r="I22" s="440">
        <v>0</v>
      </c>
      <c r="J22" s="369">
        <f t="shared" si="5"/>
        <v>1</v>
      </c>
      <c r="K22" s="363">
        <f t="shared" si="6"/>
        <v>3</v>
      </c>
      <c r="L22" s="363">
        <f t="shared" si="7"/>
        <v>0</v>
      </c>
      <c r="O22" s="398" t="s">
        <v>18</v>
      </c>
      <c r="P22" s="399">
        <f>SUMIF($D$8:$D$55,$O22,$G$8:$G$55)+SUMIF($F$8:$F$55,$O22,$I$8:$I$55)</f>
        <v>0</v>
      </c>
      <c r="Q22" s="399">
        <f>SUMIF($D$8:$D$55,$O22,$I$8:$I$55)+SUMIF($F$8:$F$55,$O22,$G$8:$G$55)</f>
        <v>6</v>
      </c>
      <c r="R22" s="399">
        <f>P22-Q22</f>
        <v>-6</v>
      </c>
      <c r="S22" s="400">
        <f>SUMIF($D$8:$D$55,$O22,$K$8:$K$55)+SUMIF($F$8:$F$55,$O22,$L$8:$L$55)</f>
        <v>0</v>
      </c>
      <c r="T22" s="445" t="s">
        <v>60</v>
      </c>
      <c r="U22" s="392"/>
      <c r="V22" s="392" t="str">
        <f>O22</f>
        <v>Griekenland</v>
      </c>
      <c r="W22" s="392" t="s">
        <v>58</v>
      </c>
      <c r="Y22" s="109">
        <f t="shared" si="8"/>
        <v>5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5</v>
      </c>
      <c r="AG22" s="108">
        <f t="shared" si="0"/>
        <v>0</v>
      </c>
      <c r="AH22" s="108">
        <f t="shared" si="1"/>
        <v>0</v>
      </c>
      <c r="AI22" s="108">
        <f t="shared" si="10"/>
        <v>0</v>
      </c>
      <c r="AJ22" s="108">
        <f t="shared" si="2"/>
        <v>5</v>
      </c>
      <c r="AK22" s="108">
        <f t="shared" si="3"/>
        <v>0</v>
      </c>
      <c r="AL22" s="108">
        <f t="shared" si="4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2</v>
      </c>
      <c r="H23" s="373" t="s">
        <v>9</v>
      </c>
      <c r="I23" s="441">
        <v>1</v>
      </c>
      <c r="J23" s="375">
        <f t="shared" si="5"/>
        <v>1</v>
      </c>
      <c r="K23" s="363">
        <f t="shared" si="6"/>
        <v>3</v>
      </c>
      <c r="L23" s="363">
        <f t="shared" si="7"/>
        <v>0</v>
      </c>
      <c r="O23" s="398" t="s">
        <v>23</v>
      </c>
      <c r="P23" s="399">
        <f>SUMIF($D$8:$D$55,$O23,$G$8:$G$55)+SUMIF($F$8:$F$55,$O23,$I$8:$I$55)</f>
        <v>5</v>
      </c>
      <c r="Q23" s="399">
        <f>SUMIF($D$8:$D$55,$O23,$I$8:$I$55)+SUMIF($F$8:$F$55,$O23,$G$8:$G$55)</f>
        <v>1</v>
      </c>
      <c r="R23" s="399">
        <f>P23-Q23</f>
        <v>4</v>
      </c>
      <c r="S23" s="400">
        <f>SUMIF($D$8:$D$55,$O23,$K$8:$K$55)+SUMIF($F$8:$F$55,$O23,$L$8:$L$55)</f>
        <v>7</v>
      </c>
      <c r="T23" s="445" t="s">
        <v>57</v>
      </c>
      <c r="U23" s="392"/>
      <c r="V23" s="392" t="str">
        <f>O23</f>
        <v>Ivoorkust</v>
      </c>
      <c r="W23" s="392" t="s">
        <v>59</v>
      </c>
      <c r="Y23" s="109">
        <f t="shared" si="8"/>
        <v>0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0</v>
      </c>
      <c r="AG23" s="108">
        <f t="shared" si="0"/>
        <v>0</v>
      </c>
      <c r="AH23" s="108">
        <f t="shared" si="1"/>
        <v>0</v>
      </c>
      <c r="AI23" s="108">
        <f t="shared" si="10"/>
        <v>0</v>
      </c>
      <c r="AJ23" s="108">
        <f t="shared" si="2"/>
        <v>0</v>
      </c>
      <c r="AK23" s="108">
        <f t="shared" si="3"/>
        <v>0</v>
      </c>
      <c r="AL23" s="108">
        <f t="shared" si="4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1</v>
      </c>
      <c r="H24" s="379" t="s">
        <v>9</v>
      </c>
      <c r="I24" s="442">
        <v>1</v>
      </c>
      <c r="J24" s="381">
        <f t="shared" si="5"/>
        <v>3</v>
      </c>
      <c r="K24" s="363">
        <f t="shared" si="6"/>
        <v>1</v>
      </c>
      <c r="L24" s="363">
        <f t="shared" si="7"/>
        <v>1</v>
      </c>
      <c r="O24" s="401" t="s">
        <v>24</v>
      </c>
      <c r="P24" s="402">
        <f>SUMIF($D$8:$D$55,$O24,$G$8:$G$55)+SUMIF($F$8:$F$55,$O24,$I$8:$I$55)</f>
        <v>2</v>
      </c>
      <c r="Q24" s="402">
        <f>SUMIF($D$8:$D$55,$O24,$I$8:$I$55)+SUMIF($F$8:$F$55,$O24,$G$8:$G$55)</f>
        <v>3</v>
      </c>
      <c r="R24" s="402">
        <f>P24-Q24</f>
        <v>-1</v>
      </c>
      <c r="S24" s="403">
        <f>SUMIF($D$8:$D$55,$O24,$K$8:$K$55)+SUMIF($F$8:$F$55,$O24,$L$8:$L$55)</f>
        <v>3</v>
      </c>
      <c r="T24" s="446" t="s">
        <v>59</v>
      </c>
      <c r="U24" s="392"/>
      <c r="V24" s="392" t="str">
        <f>O24</f>
        <v>Japan</v>
      </c>
      <c r="W24" s="392" t="s">
        <v>60</v>
      </c>
      <c r="Y24" s="109">
        <f t="shared" si="8"/>
        <v>10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10</v>
      </c>
      <c r="AG24" s="108">
        <f t="shared" si="0"/>
        <v>1</v>
      </c>
      <c r="AH24" s="108">
        <f t="shared" si="1"/>
        <v>1</v>
      </c>
      <c r="AI24" s="108">
        <f t="shared" si="10"/>
        <v>10</v>
      </c>
      <c r="AJ24" s="108">
        <f t="shared" si="2"/>
        <v>0</v>
      </c>
      <c r="AK24" s="108">
        <f t="shared" si="3"/>
        <v>0</v>
      </c>
      <c r="AL24" s="108">
        <f t="shared" si="4"/>
        <v>5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1</v>
      </c>
      <c r="H25" s="367" t="s">
        <v>9</v>
      </c>
      <c r="I25" s="440">
        <v>2</v>
      </c>
      <c r="J25" s="369">
        <f t="shared" si="5"/>
        <v>2</v>
      </c>
      <c r="K25" s="363">
        <f t="shared" si="6"/>
        <v>0</v>
      </c>
      <c r="L25" s="363">
        <f t="shared" si="7"/>
        <v>3</v>
      </c>
      <c r="O25" s="392"/>
      <c r="P25" s="393"/>
      <c r="Q25" s="393"/>
      <c r="R25" s="393"/>
      <c r="S25" s="393"/>
      <c r="T25" s="393"/>
      <c r="U25" s="392"/>
      <c r="V25" s="392"/>
      <c r="W25" s="392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0"/>
        <v>0</v>
      </c>
      <c r="AH25" s="108">
        <f t="shared" si="1"/>
        <v>0</v>
      </c>
      <c r="AI25" s="108">
        <f t="shared" si="10"/>
        <v>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392"/>
      <c r="AO25" s="393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2</v>
      </c>
      <c r="H26" s="373" t="s">
        <v>9</v>
      </c>
      <c r="I26" s="441">
        <v>0</v>
      </c>
      <c r="J26" s="375">
        <f t="shared" si="5"/>
        <v>1</v>
      </c>
      <c r="K26" s="363">
        <f t="shared" si="6"/>
        <v>3</v>
      </c>
      <c r="L26" s="363">
        <f t="shared" si="7"/>
        <v>0</v>
      </c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392"/>
      <c r="V26" s="392"/>
      <c r="W26" s="392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0"/>
        <v>0</v>
      </c>
      <c r="AH26" s="108">
        <f t="shared" si="1"/>
        <v>0</v>
      </c>
      <c r="AI26" s="108">
        <f t="shared" si="10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2</v>
      </c>
      <c r="H27" s="379" t="s">
        <v>9</v>
      </c>
      <c r="I27" s="442">
        <v>0</v>
      </c>
      <c r="J27" s="381">
        <f t="shared" si="5"/>
        <v>1</v>
      </c>
      <c r="K27" s="363">
        <f t="shared" si="6"/>
        <v>3</v>
      </c>
      <c r="L27" s="363">
        <f t="shared" si="7"/>
        <v>0</v>
      </c>
      <c r="O27" s="394" t="s">
        <v>19</v>
      </c>
      <c r="P27" s="395">
        <f>SUMIF($D$8:$D$55,$O27,$G$8:$G$55)+SUMIF($F$8:$F$55,$O27,$I$8:$I$55)</f>
        <v>6</v>
      </c>
      <c r="Q27" s="395">
        <f>SUMIF($D$8:$D$55,$O27,$I$8:$I$55)+SUMIF($F$8:$F$55,$O27,$G$8:$G$55)</f>
        <v>3</v>
      </c>
      <c r="R27" s="396">
        <f>P27-Q27</f>
        <v>3</v>
      </c>
      <c r="S27" s="397">
        <f>SUMIF($D$8:$D$55,$O27,$K$8:$K$55)+SUMIF($F$8:$F$55,$O27,$L$8:$L$55)</f>
        <v>7</v>
      </c>
      <c r="T27" s="444" t="s">
        <v>63</v>
      </c>
      <c r="U27" s="392"/>
      <c r="V27" s="392" t="str">
        <f>O27</f>
        <v>Uruguay</v>
      </c>
      <c r="W27" s="392" t="s">
        <v>62</v>
      </c>
      <c r="Y27" s="109">
        <f t="shared" si="8"/>
        <v>0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0</v>
      </c>
      <c r="AG27" s="108">
        <f t="shared" si="0"/>
        <v>0</v>
      </c>
      <c r="AH27" s="108">
        <f t="shared" si="1"/>
        <v>0</v>
      </c>
      <c r="AI27" s="108">
        <f t="shared" si="10"/>
        <v>0</v>
      </c>
      <c r="AJ27" s="108">
        <f t="shared" si="2"/>
        <v>0</v>
      </c>
      <c r="AK27" s="108">
        <f t="shared" si="3"/>
        <v>0</v>
      </c>
      <c r="AL27" s="108">
        <f t="shared" si="4"/>
        <v>0</v>
      </c>
      <c r="AM27" s="120">
        <f>AO27</f>
        <v>10</v>
      </c>
      <c r="AN27" s="116" t="s">
        <v>19</v>
      </c>
      <c r="AO27" s="115">
        <f>IF(Uitslag!T27="",0,IF(T27=Uitslag!T27,10,0))</f>
        <v>10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1</v>
      </c>
      <c r="H28" s="367" t="s">
        <v>9</v>
      </c>
      <c r="I28" s="440">
        <v>1</v>
      </c>
      <c r="J28" s="369">
        <f t="shared" si="5"/>
        <v>3</v>
      </c>
      <c r="K28" s="363">
        <f t="shared" si="6"/>
        <v>1</v>
      </c>
      <c r="L28" s="363">
        <f t="shared" si="7"/>
        <v>1</v>
      </c>
      <c r="O28" s="398" t="s">
        <v>20</v>
      </c>
      <c r="P28" s="399">
        <f>SUMIF($D$8:$D$55,$O28,$G$8:$G$55)+SUMIF($F$8:$F$55,$O28,$I$8:$I$55)</f>
        <v>0</v>
      </c>
      <c r="Q28" s="399">
        <f>SUMIF($D$8:$D$55,$O28,$I$8:$I$55)+SUMIF($F$8:$F$55,$O28,$G$8:$G$55)</f>
        <v>6</v>
      </c>
      <c r="R28" s="399">
        <f>P28-Q28</f>
        <v>-6</v>
      </c>
      <c r="S28" s="400">
        <f>SUMIF($D$8:$D$55,$O28,$K$8:$K$55)+SUMIF($F$8:$F$55,$O28,$L$8:$L$55)</f>
        <v>0</v>
      </c>
      <c r="T28" s="445" t="s">
        <v>65</v>
      </c>
      <c r="U28" s="392"/>
      <c r="V28" s="392" t="str">
        <f>O28</f>
        <v>Costa Rica</v>
      </c>
      <c r="W28" s="392" t="s">
        <v>63</v>
      </c>
      <c r="Y28" s="109">
        <f t="shared" si="8"/>
        <v>1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1</v>
      </c>
      <c r="AG28" s="108">
        <f t="shared" si="0"/>
        <v>0</v>
      </c>
      <c r="AH28" s="108">
        <f t="shared" si="1"/>
        <v>1</v>
      </c>
      <c r="AI28" s="108">
        <f t="shared" si="10"/>
        <v>0</v>
      </c>
      <c r="AJ28" s="108">
        <f t="shared" si="2"/>
        <v>0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2</v>
      </c>
      <c r="H29" s="373" t="s">
        <v>9</v>
      </c>
      <c r="I29" s="441">
        <v>1</v>
      </c>
      <c r="J29" s="375">
        <f t="shared" si="5"/>
        <v>1</v>
      </c>
      <c r="K29" s="363">
        <f t="shared" si="6"/>
        <v>3</v>
      </c>
      <c r="L29" s="363">
        <f t="shared" si="7"/>
        <v>0</v>
      </c>
      <c r="O29" s="398" t="s">
        <v>21</v>
      </c>
      <c r="P29" s="399">
        <f>SUMIF($D$8:$D$55,$O29,$G$8:$G$55)+SUMIF($F$8:$F$55,$O29,$I$8:$I$55)</f>
        <v>3</v>
      </c>
      <c r="Q29" s="399">
        <f>SUMIF($D$8:$D$55,$O29,$I$8:$I$55)+SUMIF($F$8:$F$55,$O29,$G$8:$G$55)</f>
        <v>4</v>
      </c>
      <c r="R29" s="399">
        <f>P29-Q29</f>
        <v>-1</v>
      </c>
      <c r="S29" s="400">
        <f>SUMIF($D$8:$D$55,$O29,$K$8:$K$55)+SUMIF($F$8:$F$55,$O29,$L$8:$L$55)</f>
        <v>3</v>
      </c>
      <c r="T29" s="445" t="s">
        <v>64</v>
      </c>
      <c r="U29" s="392"/>
      <c r="V29" s="392" t="str">
        <f>O29</f>
        <v>Engeland</v>
      </c>
      <c r="W29" s="392" t="s">
        <v>64</v>
      </c>
      <c r="Y29" s="109">
        <f t="shared" si="8"/>
        <v>10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10</v>
      </c>
      <c r="AG29" s="108">
        <f t="shared" si="0"/>
        <v>1</v>
      </c>
      <c r="AH29" s="108">
        <f t="shared" si="1"/>
        <v>1</v>
      </c>
      <c r="AI29" s="108">
        <f t="shared" si="10"/>
        <v>10</v>
      </c>
      <c r="AJ29" s="108">
        <f t="shared" si="2"/>
        <v>5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2</v>
      </c>
      <c r="H30" s="379" t="s">
        <v>9</v>
      </c>
      <c r="I30" s="442">
        <v>0</v>
      </c>
      <c r="J30" s="381">
        <f t="shared" si="5"/>
        <v>1</v>
      </c>
      <c r="K30" s="363">
        <f t="shared" si="6"/>
        <v>3</v>
      </c>
      <c r="L30" s="363">
        <f t="shared" si="7"/>
        <v>0</v>
      </c>
      <c r="O30" s="401" t="s">
        <v>22</v>
      </c>
      <c r="P30" s="402">
        <f>SUMIF($D$8:$D$55,$O30,$G$8:$G$55)+SUMIF($F$8:$F$55,$O30,$I$8:$I$55)</f>
        <v>7</v>
      </c>
      <c r="Q30" s="402">
        <f>SUMIF($D$8:$D$55,$O30,$I$8:$I$55)+SUMIF($F$8:$F$55,$O30,$G$8:$G$55)</f>
        <v>3</v>
      </c>
      <c r="R30" s="402">
        <f>P30-Q30</f>
        <v>4</v>
      </c>
      <c r="S30" s="403">
        <f>SUMIF($D$8:$D$55,$O30,$K$8:$K$55)+SUMIF($F$8:$F$55,$O30,$L$8:$L$55)</f>
        <v>7</v>
      </c>
      <c r="T30" s="446" t="s">
        <v>62</v>
      </c>
      <c r="U30" s="392"/>
      <c r="V30" s="392" t="str">
        <f>O30</f>
        <v>Italië</v>
      </c>
      <c r="W30" s="392" t="s">
        <v>65</v>
      </c>
      <c r="Y30" s="109">
        <f t="shared" si="8"/>
        <v>1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1</v>
      </c>
      <c r="AG30" s="108">
        <f t="shared" si="0"/>
        <v>0</v>
      </c>
      <c r="AH30" s="108">
        <f t="shared" si="1"/>
        <v>1</v>
      </c>
      <c r="AI30" s="108">
        <f t="shared" si="10"/>
        <v>0</v>
      </c>
      <c r="AJ30" s="108">
        <f t="shared" si="2"/>
        <v>0</v>
      </c>
      <c r="AK30" s="108">
        <f t="shared" si="3"/>
        <v>0</v>
      </c>
      <c r="AL30" s="108">
        <f t="shared" si="4"/>
        <v>0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3</v>
      </c>
      <c r="H31" s="367" t="s">
        <v>9</v>
      </c>
      <c r="I31" s="440">
        <v>0</v>
      </c>
      <c r="J31" s="369">
        <f t="shared" si="5"/>
        <v>1</v>
      </c>
      <c r="K31" s="363">
        <f t="shared" si="6"/>
        <v>3</v>
      </c>
      <c r="L31" s="363">
        <f t="shared" si="7"/>
        <v>0</v>
      </c>
      <c r="O31" s="392"/>
      <c r="P31" s="393"/>
      <c r="Q31" s="393"/>
      <c r="R31" s="393"/>
      <c r="S31" s="393"/>
      <c r="T31" s="393"/>
      <c r="U31" s="392"/>
      <c r="V31" s="392"/>
      <c r="W31" s="392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0"/>
        <v>0</v>
      </c>
      <c r="AH31" s="108">
        <f t="shared" si="1"/>
        <v>0</v>
      </c>
      <c r="AI31" s="108">
        <f t="shared" si="10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392"/>
      <c r="AO31" s="393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0</v>
      </c>
      <c r="H32" s="373" t="s">
        <v>9</v>
      </c>
      <c r="I32" s="441">
        <v>3</v>
      </c>
      <c r="J32" s="375">
        <f t="shared" si="5"/>
        <v>2</v>
      </c>
      <c r="K32" s="363">
        <f t="shared" si="6"/>
        <v>0</v>
      </c>
      <c r="L32" s="363">
        <f t="shared" si="7"/>
        <v>3</v>
      </c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392"/>
      <c r="V32" s="392"/>
      <c r="W32" s="392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0"/>
        <v>0</v>
      </c>
      <c r="AH32" s="108">
        <f t="shared" si="1"/>
        <v>0</v>
      </c>
      <c r="AI32" s="108">
        <f t="shared" si="10"/>
        <v>0</v>
      </c>
      <c r="AJ32" s="108">
        <f t="shared" si="2"/>
        <v>0</v>
      </c>
      <c r="AK32" s="108">
        <f t="shared" si="3"/>
        <v>5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0</v>
      </c>
      <c r="H33" s="379" t="s">
        <v>9</v>
      </c>
      <c r="I33" s="442">
        <v>2</v>
      </c>
      <c r="J33" s="381">
        <f t="shared" si="5"/>
        <v>2</v>
      </c>
      <c r="K33" s="363">
        <f t="shared" si="6"/>
        <v>0</v>
      </c>
      <c r="L33" s="363">
        <f t="shared" si="7"/>
        <v>3</v>
      </c>
      <c r="O33" s="394" t="s">
        <v>25</v>
      </c>
      <c r="P33" s="395">
        <f>SUMIF($D$8:$D$55,$O33,$G$8:$G$55)+SUMIF($F$8:$F$55,$O33,$I$8:$I$55)</f>
        <v>0</v>
      </c>
      <c r="Q33" s="395">
        <f>SUMIF($D$8:$D$55,$O33,$I$8:$I$55)+SUMIF($F$8:$F$55,$O33,$G$8:$G$55)</f>
        <v>5</v>
      </c>
      <c r="R33" s="396">
        <f>P33-Q33</f>
        <v>-5</v>
      </c>
      <c r="S33" s="397">
        <f>SUMIF($D$8:$D$55,$O33,$K$8:$K$55)+SUMIF($F$8:$F$55,$O33,$L$8:$L$55)</f>
        <v>0</v>
      </c>
      <c r="T33" s="444" t="s">
        <v>70</v>
      </c>
      <c r="U33" s="392"/>
      <c r="V33" s="392" t="str">
        <f>O33</f>
        <v>Zwitserland</v>
      </c>
      <c r="W33" s="392" t="s">
        <v>67</v>
      </c>
      <c r="Y33" s="109">
        <f t="shared" si="8"/>
        <v>6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6</v>
      </c>
      <c r="AG33" s="108">
        <f t="shared" si="0"/>
        <v>0</v>
      </c>
      <c r="AH33" s="108">
        <f t="shared" si="1"/>
        <v>1</v>
      </c>
      <c r="AI33" s="108">
        <f t="shared" si="10"/>
        <v>0</v>
      </c>
      <c r="AJ33" s="108">
        <f t="shared" si="2"/>
        <v>0</v>
      </c>
      <c r="AK33" s="108">
        <f t="shared" si="3"/>
        <v>5</v>
      </c>
      <c r="AL33" s="108">
        <f t="shared" si="4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2</v>
      </c>
      <c r="H34" s="367" t="s">
        <v>9</v>
      </c>
      <c r="I34" s="440">
        <v>0</v>
      </c>
      <c r="J34" s="369">
        <f t="shared" si="5"/>
        <v>1</v>
      </c>
      <c r="K34" s="363">
        <f t="shared" si="6"/>
        <v>3</v>
      </c>
      <c r="L34" s="363">
        <f t="shared" si="7"/>
        <v>0</v>
      </c>
      <c r="O34" s="398" t="s">
        <v>26</v>
      </c>
      <c r="P34" s="399">
        <f>SUMIF($D$8:$D$55,$O34,$G$8:$G$55)+SUMIF($F$8:$F$55,$O34,$I$8:$I$55)</f>
        <v>3</v>
      </c>
      <c r="Q34" s="399">
        <f>SUMIF($D$8:$D$55,$O34,$I$8:$I$55)+SUMIF($F$8:$F$55,$O34,$G$8:$G$55)</f>
        <v>3</v>
      </c>
      <c r="R34" s="399">
        <f>P34-Q34</f>
        <v>0</v>
      </c>
      <c r="S34" s="400">
        <f>SUMIF($D$8:$D$55,$O34,$K$8:$K$55)+SUMIF($F$8:$F$55,$O34,$L$8:$L$55)</f>
        <v>6</v>
      </c>
      <c r="T34" s="445" t="s">
        <v>68</v>
      </c>
      <c r="U34" s="392"/>
      <c r="V34" s="392" t="str">
        <f>O34</f>
        <v>Ecuador</v>
      </c>
      <c r="W34" s="392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0"/>
        <v>0</v>
      </c>
      <c r="AH34" s="108">
        <f t="shared" si="1"/>
        <v>1</v>
      </c>
      <c r="AI34" s="108">
        <f t="shared" si="10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2</v>
      </c>
      <c r="H35" s="373" t="s">
        <v>9</v>
      </c>
      <c r="I35" s="441">
        <v>0</v>
      </c>
      <c r="J35" s="375">
        <f t="shared" si="5"/>
        <v>1</v>
      </c>
      <c r="K35" s="363">
        <f t="shared" si="6"/>
        <v>3</v>
      </c>
      <c r="L35" s="363">
        <f t="shared" si="7"/>
        <v>0</v>
      </c>
      <c r="O35" s="398" t="s">
        <v>27</v>
      </c>
      <c r="P35" s="399">
        <f>SUMIF($D$8:$D$55,$O35,$G$8:$G$55)+SUMIF($F$8:$F$55,$O35,$I$8:$I$55)</f>
        <v>8</v>
      </c>
      <c r="Q35" s="399">
        <f>SUMIF($D$8:$D$55,$O35,$I$8:$I$55)+SUMIF($F$8:$F$55,$O35,$G$8:$G$55)</f>
        <v>0</v>
      </c>
      <c r="R35" s="399">
        <f>P35-Q35</f>
        <v>8</v>
      </c>
      <c r="S35" s="400">
        <f>SUMIF($D$8:$D$55,$O35,$K$8:$K$55)+SUMIF($F$8:$F$55,$O35,$L$8:$L$55)</f>
        <v>9</v>
      </c>
      <c r="T35" s="445" t="s">
        <v>67</v>
      </c>
      <c r="U35" s="392"/>
      <c r="V35" s="392" t="str">
        <f>O35</f>
        <v>Frankrijk</v>
      </c>
      <c r="W35" s="392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0"/>
        <v>1</v>
      </c>
      <c r="AH35" s="108">
        <f t="shared" si="1"/>
        <v>0</v>
      </c>
      <c r="AI35" s="108">
        <f t="shared" si="10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2</v>
      </c>
      <c r="H36" s="379" t="s">
        <v>9</v>
      </c>
      <c r="I36" s="442">
        <v>0</v>
      </c>
      <c r="J36" s="381">
        <f t="shared" si="5"/>
        <v>1</v>
      </c>
      <c r="K36" s="363">
        <f t="shared" si="6"/>
        <v>3</v>
      </c>
      <c r="L36" s="363">
        <f t="shared" si="7"/>
        <v>0</v>
      </c>
      <c r="O36" s="401" t="s">
        <v>28</v>
      </c>
      <c r="P36" s="402">
        <f>SUMIF($D$8:$D$55,$O36,$G$8:$G$55)+SUMIF($F$8:$F$55,$O36,$I$8:$I$55)</f>
        <v>1</v>
      </c>
      <c r="Q36" s="402">
        <f>SUMIF($D$8:$D$55,$O36,$I$8:$I$55)+SUMIF($F$8:$F$55,$O36,$G$8:$G$55)</f>
        <v>4</v>
      </c>
      <c r="R36" s="402">
        <f>P36-Q36</f>
        <v>-3</v>
      </c>
      <c r="S36" s="403">
        <f>SUMIF($D$8:$D$55,$O36,$K$8:$K$55)+SUMIF($F$8:$F$55,$O36,$L$8:$L$55)</f>
        <v>3</v>
      </c>
      <c r="T36" s="446" t="s">
        <v>69</v>
      </c>
      <c r="U36" s="392"/>
      <c r="V36" s="392" t="str">
        <f>O36</f>
        <v>Honduras</v>
      </c>
      <c r="W36" s="392" t="s">
        <v>70</v>
      </c>
      <c r="Y36" s="109">
        <f t="shared" si="8"/>
        <v>6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6</v>
      </c>
      <c r="AG36" s="108">
        <f t="shared" si="0"/>
        <v>0</v>
      </c>
      <c r="AH36" s="108">
        <f t="shared" si="1"/>
        <v>1</v>
      </c>
      <c r="AI36" s="108">
        <f t="shared" si="10"/>
        <v>0</v>
      </c>
      <c r="AJ36" s="108">
        <f t="shared" si="2"/>
        <v>5</v>
      </c>
      <c r="AK36" s="108">
        <f t="shared" si="3"/>
        <v>0</v>
      </c>
      <c r="AL36" s="108">
        <f t="shared" si="4"/>
        <v>0</v>
      </c>
      <c r="AM36" s="120">
        <f>AO36</f>
        <v>0</v>
      </c>
      <c r="AN36" s="118" t="s">
        <v>28</v>
      </c>
      <c r="AO36" s="115">
        <f>IF(Uitslag!T36="",0,IF(T36=Uitslag!T36,10,0))</f>
        <v>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1</v>
      </c>
      <c r="H37" s="367" t="s">
        <v>9</v>
      </c>
      <c r="I37" s="440">
        <v>0</v>
      </c>
      <c r="J37" s="369">
        <f t="shared" si="5"/>
        <v>1</v>
      </c>
      <c r="K37" s="363">
        <f t="shared" si="6"/>
        <v>3</v>
      </c>
      <c r="L37" s="363">
        <f t="shared" si="7"/>
        <v>0</v>
      </c>
      <c r="O37" s="392"/>
      <c r="P37" s="393"/>
      <c r="Q37" s="393"/>
      <c r="R37" s="393"/>
      <c r="S37" s="393"/>
      <c r="T37" s="393"/>
      <c r="U37" s="392"/>
      <c r="V37" s="392"/>
      <c r="W37" s="392"/>
      <c r="Y37" s="109">
        <f t="shared" si="8"/>
        <v>10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10</v>
      </c>
      <c r="AG37" s="108">
        <f t="shared" si="0"/>
        <v>1</v>
      </c>
      <c r="AH37" s="108">
        <f t="shared" si="1"/>
        <v>1</v>
      </c>
      <c r="AI37" s="108">
        <f t="shared" si="10"/>
        <v>10</v>
      </c>
      <c r="AJ37" s="108">
        <f t="shared" si="2"/>
        <v>5</v>
      </c>
      <c r="AK37" s="108">
        <f t="shared" si="3"/>
        <v>0</v>
      </c>
      <c r="AL37" s="108">
        <f t="shared" si="4"/>
        <v>0</v>
      </c>
      <c r="AN37" s="392"/>
      <c r="AO37" s="393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2</v>
      </c>
      <c r="H38" s="373" t="s">
        <v>9</v>
      </c>
      <c r="I38" s="441">
        <v>0</v>
      </c>
      <c r="J38" s="375">
        <f t="shared" si="5"/>
        <v>1</v>
      </c>
      <c r="K38" s="363">
        <f t="shared" si="6"/>
        <v>3</v>
      </c>
      <c r="L38" s="363">
        <f t="shared" si="7"/>
        <v>0</v>
      </c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392"/>
      <c r="V38" s="392"/>
      <c r="W38" s="392"/>
      <c r="Y38" s="109">
        <f t="shared" si="8"/>
        <v>1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1</v>
      </c>
      <c r="AG38" s="108">
        <f t="shared" si="0"/>
        <v>1</v>
      </c>
      <c r="AH38" s="108">
        <f t="shared" si="1"/>
        <v>0</v>
      </c>
      <c r="AI38" s="108">
        <f t="shared" si="10"/>
        <v>0</v>
      </c>
      <c r="AJ38" s="108">
        <f t="shared" si="2"/>
        <v>0</v>
      </c>
      <c r="AK38" s="108">
        <f t="shared" si="3"/>
        <v>0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0</v>
      </c>
      <c r="H39" s="379" t="s">
        <v>9</v>
      </c>
      <c r="I39" s="442">
        <v>2</v>
      </c>
      <c r="J39" s="381">
        <f t="shared" si="5"/>
        <v>2</v>
      </c>
      <c r="K39" s="363">
        <f t="shared" si="6"/>
        <v>0</v>
      </c>
      <c r="L39" s="363">
        <f t="shared" si="7"/>
        <v>3</v>
      </c>
      <c r="O39" s="394" t="s">
        <v>29</v>
      </c>
      <c r="P39" s="395">
        <f>SUMIF($D$8:$D$55,$O39,$G$8:$G$55)+SUMIF($F$8:$F$55,$O39,$I$8:$I$55)</f>
        <v>7</v>
      </c>
      <c r="Q39" s="395">
        <f>SUMIF($D$8:$D$55,$O39,$I$8:$I$55)+SUMIF($F$8:$F$55,$O39,$G$8:$G$55)</f>
        <v>1</v>
      </c>
      <c r="R39" s="396">
        <f>P39-Q39</f>
        <v>6</v>
      </c>
      <c r="S39" s="397">
        <f>SUMIF($D$8:$D$55,$O39,$K$8:$K$55)+SUMIF($F$8:$F$55,$O39,$L$8:$L$55)</f>
        <v>9</v>
      </c>
      <c r="T39" s="444" t="s">
        <v>72</v>
      </c>
      <c r="U39" s="392"/>
      <c r="V39" s="392" t="str">
        <f>O39</f>
        <v>Argentinië</v>
      </c>
      <c r="W39" s="392" t="s">
        <v>72</v>
      </c>
      <c r="Y39" s="109">
        <f t="shared" si="8"/>
        <v>1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1</v>
      </c>
      <c r="AG39" s="108">
        <f t="shared" si="0"/>
        <v>0</v>
      </c>
      <c r="AH39" s="108">
        <f t="shared" si="1"/>
        <v>1</v>
      </c>
      <c r="AI39" s="108">
        <f t="shared" si="10"/>
        <v>0</v>
      </c>
      <c r="AJ39" s="108">
        <f t="shared" si="2"/>
        <v>0</v>
      </c>
      <c r="AK39" s="108">
        <f t="shared" si="3"/>
        <v>0</v>
      </c>
      <c r="AL39" s="108">
        <f t="shared" si="4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0</v>
      </c>
      <c r="H40" s="367" t="s">
        <v>9</v>
      </c>
      <c r="I40" s="440">
        <v>2</v>
      </c>
      <c r="J40" s="369">
        <f t="shared" si="5"/>
        <v>2</v>
      </c>
      <c r="K40" s="363">
        <f t="shared" si="6"/>
        <v>0</v>
      </c>
      <c r="L40" s="363">
        <f t="shared" si="7"/>
        <v>3</v>
      </c>
      <c r="O40" s="398" t="s">
        <v>30</v>
      </c>
      <c r="P40" s="399">
        <f>SUMIF($D$8:$D$55,$O40,$G$8:$G$55)+SUMIF($F$8:$F$55,$O40,$I$8:$I$55)</f>
        <v>0</v>
      </c>
      <c r="Q40" s="399">
        <f>SUMIF($D$8:$D$55,$O40,$I$8:$I$55)+SUMIF($F$8:$F$55,$O40,$G$8:$G$55)</f>
        <v>6</v>
      </c>
      <c r="R40" s="399">
        <f>P40-Q40</f>
        <v>-6</v>
      </c>
      <c r="S40" s="400">
        <f>SUMIF($D$8:$D$55,$O40,$K$8:$K$55)+SUMIF($F$8:$F$55,$O40,$L$8:$L$55)</f>
        <v>0</v>
      </c>
      <c r="T40" s="445" t="s">
        <v>75</v>
      </c>
      <c r="U40" s="392"/>
      <c r="V40" s="392" t="str">
        <f>O40</f>
        <v>Bosnië H.</v>
      </c>
      <c r="W40" s="392" t="s">
        <v>73</v>
      </c>
      <c r="Y40" s="109">
        <f t="shared" si="8"/>
        <v>6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6</v>
      </c>
      <c r="AG40" s="108">
        <f t="shared" si="0"/>
        <v>1</v>
      </c>
      <c r="AH40" s="108">
        <f t="shared" si="1"/>
        <v>0</v>
      </c>
      <c r="AI40" s="108">
        <f t="shared" si="10"/>
        <v>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0</v>
      </c>
      <c r="AN40" s="117" t="s">
        <v>30</v>
      </c>
      <c r="AO40" s="115">
        <f>IF(Uitslag!T40="",0,IF(T40=Uitslag!T40,10,0))</f>
        <v>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1</v>
      </c>
      <c r="H41" s="373" t="s">
        <v>9</v>
      </c>
      <c r="I41" s="441">
        <v>1</v>
      </c>
      <c r="J41" s="375">
        <f t="shared" si="5"/>
        <v>3</v>
      </c>
      <c r="K41" s="363">
        <f t="shared" si="6"/>
        <v>1</v>
      </c>
      <c r="L41" s="363">
        <f t="shared" si="7"/>
        <v>1</v>
      </c>
      <c r="O41" s="398" t="s">
        <v>33</v>
      </c>
      <c r="P41" s="399">
        <f>SUMIF($D$8:$D$55,$O41,$G$8:$G$55)+SUMIF($F$8:$F$55,$O41,$I$8:$I$55)</f>
        <v>1</v>
      </c>
      <c r="Q41" s="399">
        <f>SUMIF($D$8:$D$55,$O41,$I$8:$I$55)+SUMIF($F$8:$F$55,$O41,$G$8:$G$55)</f>
        <v>4</v>
      </c>
      <c r="R41" s="399">
        <f>P41-Q41</f>
        <v>-3</v>
      </c>
      <c r="S41" s="400">
        <f>SUMIF($D$8:$D$55,$O41,$K$8:$K$55)+SUMIF($F$8:$F$55,$O41,$L$8:$L$55)</f>
        <v>3</v>
      </c>
      <c r="T41" s="445" t="s">
        <v>74</v>
      </c>
      <c r="U41" s="392"/>
      <c r="V41" s="392" t="str">
        <f>O41</f>
        <v>Iran</v>
      </c>
      <c r="W41" s="392" t="s">
        <v>74</v>
      </c>
      <c r="Y41" s="109">
        <f t="shared" si="8"/>
        <v>0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0</v>
      </c>
      <c r="AG41" s="108">
        <f t="shared" si="0"/>
        <v>0</v>
      </c>
      <c r="AH41" s="108">
        <f t="shared" si="1"/>
        <v>0</v>
      </c>
      <c r="AI41" s="108">
        <f t="shared" si="10"/>
        <v>0</v>
      </c>
      <c r="AJ41" s="108">
        <f t="shared" si="2"/>
        <v>0</v>
      </c>
      <c r="AK41" s="108">
        <f t="shared" si="3"/>
        <v>0</v>
      </c>
      <c r="AL41" s="108">
        <f t="shared" si="4"/>
        <v>0</v>
      </c>
      <c r="AM41" s="120">
        <f>AO41</f>
        <v>0</v>
      </c>
      <c r="AN41" s="117" t="s">
        <v>33</v>
      </c>
      <c r="AO41" s="115">
        <f>IF(Uitslag!T41="",0,IF(T41=Uitslag!T41,10,0))</f>
        <v>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0</v>
      </c>
      <c r="H42" s="373" t="s">
        <v>9</v>
      </c>
      <c r="I42" s="441">
        <v>1</v>
      </c>
      <c r="J42" s="375">
        <f t="shared" si="5"/>
        <v>2</v>
      </c>
      <c r="K42" s="363">
        <f t="shared" si="6"/>
        <v>0</v>
      </c>
      <c r="L42" s="363">
        <f t="shared" si="7"/>
        <v>3</v>
      </c>
      <c r="O42" s="401" t="s">
        <v>34</v>
      </c>
      <c r="P42" s="402">
        <f>SUMIF($D$8:$D$55,$O42,$G$8:$G$55)+SUMIF($F$8:$F$55,$O42,$I$8:$I$55)</f>
        <v>5</v>
      </c>
      <c r="Q42" s="402">
        <f>SUMIF($D$8:$D$55,$O42,$I$8:$I$55)+SUMIF($F$8:$F$55,$O42,$G$8:$G$55)</f>
        <v>2</v>
      </c>
      <c r="R42" s="402">
        <f>P42-Q42</f>
        <v>3</v>
      </c>
      <c r="S42" s="403">
        <f>SUMIF($D$8:$D$55,$O42,$K$8:$K$55)+SUMIF($F$8:$F$55,$O42,$L$8:$L$55)</f>
        <v>6</v>
      </c>
      <c r="T42" s="446" t="s">
        <v>73</v>
      </c>
      <c r="U42" s="392"/>
      <c r="V42" s="392" t="str">
        <f>O42</f>
        <v>Nigeria</v>
      </c>
      <c r="W42" s="392" t="s">
        <v>75</v>
      </c>
      <c r="Y42" s="109">
        <f t="shared" si="8"/>
        <v>5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5</v>
      </c>
      <c r="AG42" s="108">
        <f t="shared" si="0"/>
        <v>0</v>
      </c>
      <c r="AH42" s="108">
        <f t="shared" si="1"/>
        <v>0</v>
      </c>
      <c r="AI42" s="108">
        <f t="shared" si="10"/>
        <v>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0</v>
      </c>
      <c r="H43" s="379" t="s">
        <v>9</v>
      </c>
      <c r="I43" s="442">
        <v>3</v>
      </c>
      <c r="J43" s="381">
        <f t="shared" si="5"/>
        <v>2</v>
      </c>
      <c r="K43" s="363">
        <f t="shared" si="6"/>
        <v>0</v>
      </c>
      <c r="L43" s="363">
        <f t="shared" si="7"/>
        <v>3</v>
      </c>
      <c r="O43" s="392"/>
      <c r="P43" s="393"/>
      <c r="Q43" s="393"/>
      <c r="R43" s="393"/>
      <c r="S43" s="393"/>
      <c r="T43" s="393"/>
      <c r="U43" s="392"/>
      <c r="V43" s="392"/>
      <c r="W43" s="392"/>
      <c r="Y43" s="109">
        <f t="shared" si="8"/>
        <v>6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6</v>
      </c>
      <c r="AG43" s="108">
        <f t="shared" si="0"/>
        <v>0</v>
      </c>
      <c r="AH43" s="108">
        <f t="shared" si="1"/>
        <v>1</v>
      </c>
      <c r="AI43" s="108">
        <f t="shared" si="10"/>
        <v>0</v>
      </c>
      <c r="AJ43" s="108">
        <f t="shared" si="2"/>
        <v>0</v>
      </c>
      <c r="AK43" s="108">
        <f t="shared" si="3"/>
        <v>5</v>
      </c>
      <c r="AL43" s="108">
        <f t="shared" si="4"/>
        <v>0</v>
      </c>
      <c r="AN43" s="392"/>
      <c r="AO43" s="393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2</v>
      </c>
      <c r="H44" s="367" t="s">
        <v>9</v>
      </c>
      <c r="I44" s="440">
        <v>2</v>
      </c>
      <c r="J44" s="369">
        <f t="shared" si="5"/>
        <v>3</v>
      </c>
      <c r="K44" s="363">
        <f t="shared" si="6"/>
        <v>1</v>
      </c>
      <c r="L44" s="363">
        <f t="shared" si="7"/>
        <v>1</v>
      </c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392"/>
      <c r="V44" s="392"/>
      <c r="W44" s="392"/>
      <c r="Y44" s="109">
        <f t="shared" si="8"/>
        <v>0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0</v>
      </c>
      <c r="AG44" s="108">
        <f t="shared" si="0"/>
        <v>0</v>
      </c>
      <c r="AH44" s="108">
        <f t="shared" si="1"/>
        <v>0</v>
      </c>
      <c r="AI44" s="108">
        <f t="shared" si="10"/>
        <v>0</v>
      </c>
      <c r="AJ44" s="108">
        <f t="shared" si="2"/>
        <v>0</v>
      </c>
      <c r="AK44" s="108">
        <f t="shared" si="3"/>
        <v>0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0</v>
      </c>
      <c r="H45" s="373" t="s">
        <v>9</v>
      </c>
      <c r="I45" s="441">
        <v>1</v>
      </c>
      <c r="J45" s="375">
        <f t="shared" si="5"/>
        <v>2</v>
      </c>
      <c r="K45" s="363">
        <f t="shared" si="6"/>
        <v>0</v>
      </c>
      <c r="L45" s="363">
        <f t="shared" si="7"/>
        <v>3</v>
      </c>
      <c r="O45" s="394" t="s">
        <v>31</v>
      </c>
      <c r="P45" s="395">
        <f>SUMIF($D$8:$D$55,$O45,$G$8:$G$55)+SUMIF($F$8:$F$55,$O45,$I$8:$I$55)</f>
        <v>6</v>
      </c>
      <c r="Q45" s="395">
        <f>SUMIF($D$8:$D$55,$O45,$I$8:$I$55)+SUMIF($F$8:$F$55,$O45,$G$8:$G$55)</f>
        <v>1</v>
      </c>
      <c r="R45" s="396">
        <f>P45-Q45</f>
        <v>5</v>
      </c>
      <c r="S45" s="397">
        <f>SUMIF($D$8:$D$55,$O45,$K$8:$K$55)+SUMIF($F$8:$F$55,$O45,$L$8:$L$55)</f>
        <v>9</v>
      </c>
      <c r="T45" s="444" t="s">
        <v>77</v>
      </c>
      <c r="U45" s="392"/>
      <c r="V45" s="392" t="str">
        <f>O45</f>
        <v>Duitsland</v>
      </c>
      <c r="W45" s="392" t="s">
        <v>77</v>
      </c>
      <c r="Y45" s="109">
        <f t="shared" si="8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1</v>
      </c>
      <c r="AG45" s="108">
        <f t="shared" si="0"/>
        <v>1</v>
      </c>
      <c r="AH45" s="108">
        <f t="shared" si="1"/>
        <v>0</v>
      </c>
      <c r="AI45" s="108">
        <f t="shared" si="10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0</v>
      </c>
      <c r="H46" s="373" t="s">
        <v>9</v>
      </c>
      <c r="I46" s="441">
        <v>1</v>
      </c>
      <c r="J46" s="375">
        <f t="shared" si="5"/>
        <v>2</v>
      </c>
      <c r="K46" s="363">
        <f t="shared" si="6"/>
        <v>0</v>
      </c>
      <c r="L46" s="363">
        <f t="shared" si="7"/>
        <v>3</v>
      </c>
      <c r="O46" s="398" t="s">
        <v>32</v>
      </c>
      <c r="P46" s="399">
        <f>SUMIF($D$8:$D$55,$O46,$G$8:$G$55)+SUMIF($F$8:$F$55,$O46,$I$8:$I$55)</f>
        <v>5</v>
      </c>
      <c r="Q46" s="399">
        <f>SUMIF($D$8:$D$55,$O46,$I$8:$I$55)+SUMIF($F$8:$F$55,$O46,$G$8:$G$55)</f>
        <v>3</v>
      </c>
      <c r="R46" s="399">
        <f>P46-Q46</f>
        <v>2</v>
      </c>
      <c r="S46" s="400">
        <f>SUMIF($D$8:$D$55,$O46,$K$8:$K$55)+SUMIF($F$8:$F$55,$O46,$L$8:$L$55)</f>
        <v>6</v>
      </c>
      <c r="T46" s="445" t="s">
        <v>78</v>
      </c>
      <c r="U46" s="392"/>
      <c r="V46" s="392" t="str">
        <f>O46</f>
        <v>Portugal</v>
      </c>
      <c r="W46" s="392" t="s">
        <v>78</v>
      </c>
      <c r="Y46" s="109">
        <f t="shared" si="8"/>
        <v>5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5</v>
      </c>
      <c r="AG46" s="108">
        <f t="shared" si="0"/>
        <v>0</v>
      </c>
      <c r="AH46" s="108">
        <f t="shared" si="1"/>
        <v>0</v>
      </c>
      <c r="AI46" s="108">
        <f t="shared" si="10"/>
        <v>0</v>
      </c>
      <c r="AJ46" s="108">
        <f t="shared" si="2"/>
        <v>0</v>
      </c>
      <c r="AK46" s="108">
        <f t="shared" si="3"/>
        <v>5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0</v>
      </c>
      <c r="H47" s="379" t="s">
        <v>9</v>
      </c>
      <c r="I47" s="442">
        <v>2</v>
      </c>
      <c r="J47" s="381">
        <f t="shared" si="5"/>
        <v>2</v>
      </c>
      <c r="K47" s="363">
        <f t="shared" si="6"/>
        <v>0</v>
      </c>
      <c r="L47" s="363">
        <f t="shared" si="7"/>
        <v>3</v>
      </c>
      <c r="O47" s="398" t="s">
        <v>35</v>
      </c>
      <c r="P47" s="399">
        <f>SUMIF($D$8:$D$55,$O47,$G$8:$G$55)+SUMIF($F$8:$F$55,$O47,$I$8:$I$55)</f>
        <v>2</v>
      </c>
      <c r="Q47" s="399">
        <f>SUMIF($D$8:$D$55,$O47,$I$8:$I$55)+SUMIF($F$8:$F$55,$O47,$G$8:$G$55)</f>
        <v>4</v>
      </c>
      <c r="R47" s="399">
        <f>P47-Q47</f>
        <v>-2</v>
      </c>
      <c r="S47" s="400">
        <f>SUMIF($D$8:$D$55,$O47,$K$8:$K$55)+SUMIF($F$8:$F$55,$O47,$L$8:$L$55)</f>
        <v>3</v>
      </c>
      <c r="T47" s="445" t="s">
        <v>79</v>
      </c>
      <c r="U47" s="392"/>
      <c r="V47" s="392" t="str">
        <f>O47</f>
        <v>Ghana</v>
      </c>
      <c r="W47" s="392" t="s">
        <v>79</v>
      </c>
      <c r="Y47" s="109">
        <f t="shared" si="8"/>
        <v>0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0</v>
      </c>
      <c r="AG47" s="108">
        <f t="shared" si="0"/>
        <v>0</v>
      </c>
      <c r="AH47" s="108">
        <f t="shared" si="1"/>
        <v>0</v>
      </c>
      <c r="AI47" s="108">
        <f t="shared" si="10"/>
        <v>0</v>
      </c>
      <c r="AJ47" s="108">
        <f t="shared" si="2"/>
        <v>0</v>
      </c>
      <c r="AK47" s="108">
        <f t="shared" si="3"/>
        <v>0</v>
      </c>
      <c r="AL47" s="108">
        <f t="shared" si="4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1</v>
      </c>
      <c r="H48" s="367" t="s">
        <v>9</v>
      </c>
      <c r="I48" s="440">
        <v>2</v>
      </c>
      <c r="J48" s="369">
        <f t="shared" si="5"/>
        <v>2</v>
      </c>
      <c r="K48" s="363">
        <f t="shared" si="6"/>
        <v>0</v>
      </c>
      <c r="L48" s="363">
        <f t="shared" si="7"/>
        <v>3</v>
      </c>
      <c r="O48" s="401" t="s">
        <v>36</v>
      </c>
      <c r="P48" s="402">
        <f>SUMIF($D$8:$D$55,$O48,$G$8:$G$55)+SUMIF($F$8:$F$55,$O48,$I$8:$I$55)</f>
        <v>0</v>
      </c>
      <c r="Q48" s="402">
        <f>SUMIF($D$8:$D$55,$O48,$I$8:$I$55)+SUMIF($F$8:$F$55,$O48,$G$8:$G$55)</f>
        <v>5</v>
      </c>
      <c r="R48" s="402">
        <f>P48-Q48</f>
        <v>-5</v>
      </c>
      <c r="S48" s="403">
        <f>SUMIF($D$8:$D$55,$O48,$K$8:$K$55)+SUMIF($F$8:$F$55,$O48,$L$8:$L$55)</f>
        <v>0</v>
      </c>
      <c r="T48" s="446" t="s">
        <v>80</v>
      </c>
      <c r="U48" s="392"/>
      <c r="V48" s="392" t="str">
        <f>O48</f>
        <v>Verenigde Staten</v>
      </c>
      <c r="W48" s="392" t="s">
        <v>80</v>
      </c>
      <c r="Y48" s="109">
        <f t="shared" si="8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5</v>
      </c>
      <c r="AG48" s="108">
        <f t="shared" si="0"/>
        <v>0</v>
      </c>
      <c r="AH48" s="108">
        <f t="shared" si="1"/>
        <v>0</v>
      </c>
      <c r="AI48" s="108">
        <f t="shared" si="10"/>
        <v>0</v>
      </c>
      <c r="AJ48" s="108">
        <f t="shared" si="2"/>
        <v>0</v>
      </c>
      <c r="AK48" s="108">
        <f t="shared" si="3"/>
        <v>5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0</v>
      </c>
      <c r="H49" s="373" t="s">
        <v>9</v>
      </c>
      <c r="I49" s="441">
        <v>1</v>
      </c>
      <c r="J49" s="375">
        <f t="shared" si="5"/>
        <v>2</v>
      </c>
      <c r="K49" s="363">
        <f t="shared" si="6"/>
        <v>0</v>
      </c>
      <c r="L49" s="363">
        <f t="shared" si="7"/>
        <v>3</v>
      </c>
      <c r="O49" s="392"/>
      <c r="P49" s="393"/>
      <c r="Q49" s="393"/>
      <c r="R49" s="393"/>
      <c r="S49" s="393"/>
      <c r="T49" s="393"/>
      <c r="U49" s="392"/>
      <c r="V49" s="392"/>
      <c r="W49" s="392"/>
      <c r="Y49" s="109">
        <f t="shared" si="8"/>
        <v>1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1</v>
      </c>
      <c r="AG49" s="108">
        <f t="shared" si="0"/>
        <v>0</v>
      </c>
      <c r="AH49" s="108">
        <f t="shared" si="1"/>
        <v>1</v>
      </c>
      <c r="AI49" s="108">
        <f t="shared" si="10"/>
        <v>0</v>
      </c>
      <c r="AJ49" s="108">
        <f t="shared" si="2"/>
        <v>0</v>
      </c>
      <c r="AK49" s="108">
        <f t="shared" si="3"/>
        <v>0</v>
      </c>
      <c r="AL49" s="108">
        <f t="shared" si="4"/>
        <v>0</v>
      </c>
      <c r="AN49" s="392"/>
      <c r="AO49" s="393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1</v>
      </c>
      <c r="H50" s="373" t="s">
        <v>9</v>
      </c>
      <c r="I50" s="441">
        <v>0</v>
      </c>
      <c r="J50" s="375">
        <f t="shared" si="5"/>
        <v>1</v>
      </c>
      <c r="K50" s="363">
        <f t="shared" si="6"/>
        <v>3</v>
      </c>
      <c r="L50" s="363">
        <f t="shared" si="7"/>
        <v>0</v>
      </c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392"/>
      <c r="V50" s="392"/>
      <c r="W50" s="392"/>
      <c r="Y50" s="109">
        <f t="shared" si="8"/>
        <v>0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0</v>
      </c>
      <c r="AG50" s="108">
        <f t="shared" si="0"/>
        <v>0</v>
      </c>
      <c r="AH50" s="108">
        <f t="shared" si="1"/>
        <v>0</v>
      </c>
      <c r="AI50" s="108">
        <f t="shared" si="10"/>
        <v>0</v>
      </c>
      <c r="AJ50" s="108">
        <f t="shared" si="2"/>
        <v>0</v>
      </c>
      <c r="AK50" s="108">
        <f t="shared" si="3"/>
        <v>0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0</v>
      </c>
      <c r="H51" s="379" t="s">
        <v>9</v>
      </c>
      <c r="I51" s="442">
        <v>3</v>
      </c>
      <c r="J51" s="381">
        <f t="shared" si="5"/>
        <v>2</v>
      </c>
      <c r="K51" s="363">
        <f t="shared" si="6"/>
        <v>0</v>
      </c>
      <c r="L51" s="363">
        <f>IF(I51="","",IF($G51&lt;$I51,3,IF($G51=$I51,1,0)))</f>
        <v>3</v>
      </c>
      <c r="O51" s="394" t="s">
        <v>37</v>
      </c>
      <c r="P51" s="395">
        <f>SUMIF($D$8:$D$55,$O51,$G$8:$G$55)+SUMIF($F$8:$F$55,$O51,$I$8:$I$55)</f>
        <v>3</v>
      </c>
      <c r="Q51" s="395">
        <f>SUMIF($D$8:$D$55,$O51,$I$8:$I$55)+SUMIF($F$8:$F$55,$O51,$G$8:$G$55)</f>
        <v>0</v>
      </c>
      <c r="R51" s="396">
        <f>P51-Q51</f>
        <v>3</v>
      </c>
      <c r="S51" s="397">
        <f>SUMIF($D$8:$D$55,$O51,$K$8:$K$55)+SUMIF($F$8:$F$55,$O51,$L$8:$L$55)</f>
        <v>9</v>
      </c>
      <c r="T51" s="444" t="s">
        <v>82</v>
      </c>
      <c r="U51" s="392"/>
      <c r="V51" s="392" t="str">
        <f>O51</f>
        <v>België</v>
      </c>
      <c r="W51" s="392" t="s">
        <v>82</v>
      </c>
      <c r="Y51" s="109">
        <f t="shared" si="8"/>
        <v>1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1</v>
      </c>
      <c r="AG51" s="108">
        <f t="shared" si="0"/>
        <v>1</v>
      </c>
      <c r="AH51" s="108">
        <f t="shared" si="1"/>
        <v>0</v>
      </c>
      <c r="AI51" s="108">
        <f t="shared" si="10"/>
        <v>0</v>
      </c>
      <c r="AJ51" s="108">
        <f t="shared" si="2"/>
        <v>0</v>
      </c>
      <c r="AK51" s="108">
        <f t="shared" si="3"/>
        <v>0</v>
      </c>
      <c r="AL51" s="108">
        <f t="shared" si="4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0</v>
      </c>
      <c r="H52" s="373" t="s">
        <v>9</v>
      </c>
      <c r="I52" s="441">
        <v>2</v>
      </c>
      <c r="J52" s="369">
        <f t="shared" si="5"/>
        <v>2</v>
      </c>
      <c r="K52" s="363">
        <f t="shared" si="6"/>
        <v>0</v>
      </c>
      <c r="L52" s="363">
        <f t="shared" si="7"/>
        <v>3</v>
      </c>
      <c r="O52" s="398" t="s">
        <v>38</v>
      </c>
      <c r="P52" s="399">
        <f>SUMIF($D$8:$D$55,$O52,$G$8:$G$55)+SUMIF($F$8:$F$55,$O52,$I$8:$I$55)</f>
        <v>0</v>
      </c>
      <c r="Q52" s="399">
        <f>SUMIF($D$8:$D$55,$O52,$I$8:$I$55)+SUMIF($F$8:$F$55,$O52,$G$8:$G$55)</f>
        <v>4</v>
      </c>
      <c r="R52" s="399">
        <f>P52-Q52</f>
        <v>-4</v>
      </c>
      <c r="S52" s="400">
        <f>SUMIF($D$8:$D$55,$O52,$K$8:$K$55)+SUMIF($F$8:$F$55,$O52,$L$8:$L$55)</f>
        <v>0</v>
      </c>
      <c r="T52" s="445" t="s">
        <v>85</v>
      </c>
      <c r="U52" s="392"/>
      <c r="V52" s="392" t="str">
        <f>O52</f>
        <v>Algerije</v>
      </c>
      <c r="W52" s="392" t="s">
        <v>83</v>
      </c>
      <c r="Y52" s="109">
        <f t="shared" si="8"/>
        <v>6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6</v>
      </c>
      <c r="AG52" s="108">
        <f t="shared" si="0"/>
        <v>1</v>
      </c>
      <c r="AH52" s="108">
        <f t="shared" si="1"/>
        <v>0</v>
      </c>
      <c r="AI52" s="108">
        <f t="shared" si="10"/>
        <v>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2</v>
      </c>
      <c r="H53" s="373" t="s">
        <v>9</v>
      </c>
      <c r="I53" s="441">
        <v>1</v>
      </c>
      <c r="J53" s="375">
        <f t="shared" si="5"/>
        <v>1</v>
      </c>
      <c r="K53" s="363">
        <f t="shared" si="6"/>
        <v>3</v>
      </c>
      <c r="L53" s="363">
        <f t="shared" si="7"/>
        <v>0</v>
      </c>
      <c r="O53" s="398" t="s">
        <v>39</v>
      </c>
      <c r="P53" s="399">
        <f>SUMIF($D$8:$D$55,$O53,$G$8:$G$55)+SUMIF($F$8:$F$55,$O53,$I$8:$I$55)</f>
        <v>2</v>
      </c>
      <c r="Q53" s="399">
        <f>SUMIF($D$8:$D$55,$O53,$I$8:$I$55)+SUMIF($F$8:$F$55,$O53,$G$8:$G$55)</f>
        <v>2</v>
      </c>
      <c r="R53" s="399">
        <f>P53-Q53</f>
        <v>0</v>
      </c>
      <c r="S53" s="400">
        <f>SUMIF($D$8:$D$55,$O53,$K$8:$K$55)+SUMIF($F$8:$F$55,$O53,$L$8:$L$55)</f>
        <v>4</v>
      </c>
      <c r="T53" s="445" t="s">
        <v>84</v>
      </c>
      <c r="U53" s="392"/>
      <c r="V53" s="392" t="str">
        <f>O53</f>
        <v>Rusland</v>
      </c>
      <c r="W53" s="392" t="s">
        <v>84</v>
      </c>
      <c r="Y53" s="109">
        <f t="shared" si="8"/>
        <v>10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10</v>
      </c>
      <c r="AG53" s="108">
        <f t="shared" si="0"/>
        <v>1</v>
      </c>
      <c r="AH53" s="108">
        <f t="shared" si="1"/>
        <v>1</v>
      </c>
      <c r="AI53" s="108">
        <f t="shared" si="10"/>
        <v>10</v>
      </c>
      <c r="AJ53" s="108">
        <f t="shared" si="2"/>
        <v>5</v>
      </c>
      <c r="AK53" s="108">
        <f t="shared" si="3"/>
        <v>0</v>
      </c>
      <c r="AL53" s="108">
        <f t="shared" si="4"/>
        <v>0</v>
      </c>
      <c r="AM53" s="120">
        <f>AO53</f>
        <v>10</v>
      </c>
      <c r="AN53" s="117" t="s">
        <v>39</v>
      </c>
      <c r="AO53" s="115">
        <f>IF(Uitslag!T53="",0,IF(T53=Uitslag!T53,10,0))</f>
        <v>10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0</v>
      </c>
      <c r="H54" s="373" t="s">
        <v>9</v>
      </c>
      <c r="I54" s="441">
        <v>1</v>
      </c>
      <c r="J54" s="375">
        <f t="shared" si="5"/>
        <v>2</v>
      </c>
      <c r="K54" s="363">
        <f t="shared" si="6"/>
        <v>0</v>
      </c>
      <c r="L54" s="363">
        <f t="shared" si="7"/>
        <v>3</v>
      </c>
      <c r="O54" s="401" t="s">
        <v>40</v>
      </c>
      <c r="P54" s="402">
        <f>SUMIF($D$8:$D$55,$O54,$G$8:$G$55)+SUMIF($F$8:$F$55,$O54,$I$8:$I$55)</f>
        <v>3</v>
      </c>
      <c r="Q54" s="402">
        <f>SUMIF($D$8:$D$55,$O54,$I$8:$I$55)+SUMIF($F$8:$F$55,$O54,$G$8:$G$55)</f>
        <v>2</v>
      </c>
      <c r="R54" s="402">
        <f>P54-Q54</f>
        <v>1</v>
      </c>
      <c r="S54" s="403">
        <f>SUMIF($D$8:$D$55,$O54,$K$8:$K$55)+SUMIF($F$8:$F$55,$O54,$L$8:$L$55)</f>
        <v>4</v>
      </c>
      <c r="T54" s="446" t="s">
        <v>83</v>
      </c>
      <c r="U54" s="392"/>
      <c r="V54" s="392" t="str">
        <f>O54</f>
        <v>Zuid Korea</v>
      </c>
      <c r="W54" s="392" t="s">
        <v>85</v>
      </c>
      <c r="Y54" s="109">
        <f t="shared" si="8"/>
        <v>10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10</v>
      </c>
      <c r="AG54" s="108">
        <f t="shared" si="0"/>
        <v>1</v>
      </c>
      <c r="AH54" s="108">
        <f t="shared" si="1"/>
        <v>1</v>
      </c>
      <c r="AI54" s="108">
        <f t="shared" si="10"/>
        <v>10</v>
      </c>
      <c r="AJ54" s="108">
        <f t="shared" si="2"/>
        <v>0</v>
      </c>
      <c r="AK54" s="108">
        <f t="shared" si="3"/>
        <v>5</v>
      </c>
      <c r="AL54" s="108">
        <f t="shared" si="4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0</v>
      </c>
      <c r="H55" s="388" t="s">
        <v>9</v>
      </c>
      <c r="I55" s="443">
        <v>1</v>
      </c>
      <c r="J55" s="390">
        <f t="shared" si="5"/>
        <v>2</v>
      </c>
      <c r="K55" s="363">
        <f t="shared" si="6"/>
        <v>0</v>
      </c>
      <c r="L55" s="363">
        <f t="shared" si="7"/>
        <v>3</v>
      </c>
      <c r="O55" s="392"/>
      <c r="P55" s="393"/>
      <c r="Q55" s="393"/>
      <c r="R55" s="393"/>
      <c r="S55" s="393"/>
      <c r="T55" s="393"/>
      <c r="U55" s="392"/>
      <c r="V55" s="392"/>
      <c r="W55" s="392"/>
      <c r="Y55" s="109">
        <f t="shared" si="8"/>
        <v>1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</v>
      </c>
      <c r="AG55" s="108">
        <f t="shared" si="0"/>
        <v>0</v>
      </c>
      <c r="AH55" s="108">
        <f t="shared" si="1"/>
        <v>1</v>
      </c>
      <c r="AI55" s="108">
        <f t="shared" si="10"/>
        <v>0</v>
      </c>
      <c r="AJ55" s="108">
        <f t="shared" si="2"/>
        <v>0</v>
      </c>
      <c r="AK55" s="108">
        <f t="shared" si="3"/>
        <v>0</v>
      </c>
      <c r="AL55" s="108">
        <f t="shared" si="4"/>
        <v>0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79"/>
      <c r="K57" s="353"/>
      <c r="L57" s="353"/>
      <c r="M57" s="353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77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O58" s="458">
        <v>1</v>
      </c>
      <c r="P58" s="877" t="s">
        <v>224</v>
      </c>
      <c r="Q58" s="877"/>
      <c r="R58" s="877"/>
      <c r="S58" s="877"/>
      <c r="T58" s="878"/>
      <c r="V58" s="352" t="s">
        <v>132</v>
      </c>
      <c r="W58" s="352" t="s">
        <v>124</v>
      </c>
      <c r="X58" s="352" t="str">
        <f t="shared" ref="X58:X98" si="11">CONCATENATE(W58," ",V58)</f>
        <v>Jeroen Zoet (k)</v>
      </c>
      <c r="Y58" s="113" t="s">
        <v>91</v>
      </c>
      <c r="Z58" s="352" t="str">
        <f>IF(K58=""," ",VLOOKUP(K58,$T$9:$V$54,3,FALSE))</f>
        <v xml:space="preserve"> </v>
      </c>
      <c r="AA58" s="352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>IF(ISERROR(Z59),K59,Z59)</f>
        <v>Brazilië</v>
      </c>
      <c r="E59" s="367" t="s">
        <v>9</v>
      </c>
      <c r="F59" s="406" t="str">
        <f>IF(ISERROR(AA59),L59,AA59)</f>
        <v>Chili</v>
      </c>
      <c r="G59" s="435">
        <v>2</v>
      </c>
      <c r="H59" s="367" t="s">
        <v>9</v>
      </c>
      <c r="I59" s="447">
        <v>0</v>
      </c>
      <c r="J59" s="448">
        <v>1</v>
      </c>
      <c r="K59" s="407" t="s">
        <v>48</v>
      </c>
      <c r="L59" s="407" t="s">
        <v>53</v>
      </c>
      <c r="M59" s="407">
        <v>1</v>
      </c>
      <c r="O59" s="458">
        <v>2</v>
      </c>
      <c r="P59" s="877" t="s">
        <v>220</v>
      </c>
      <c r="Q59" s="877"/>
      <c r="R59" s="877"/>
      <c r="S59" s="877"/>
      <c r="T59" s="878"/>
      <c r="V59" s="352" t="s">
        <v>132</v>
      </c>
      <c r="W59" s="352" t="s">
        <v>111</v>
      </c>
      <c r="X59" s="352" t="str">
        <f t="shared" si="11"/>
        <v>Jasper Cillessen (k)</v>
      </c>
      <c r="Y59" s="109">
        <f t="shared" ref="Y59:Y66" si="13">AF59</f>
        <v>0</v>
      </c>
      <c r="Z59" s="352" t="str">
        <f t="shared" ref="Z59:AA65" si="14">IF(K59=""," ",VLOOKUP(K59,$T$9:$V$54,3,FALSE))</f>
        <v>Brazilië</v>
      </c>
      <c r="AA59" s="352" t="str">
        <f t="shared" si="14"/>
        <v>Chili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0</v>
      </c>
      <c r="AG59" s="108">
        <f t="shared" ref="AG59:AG66" si="16">IF(AC59="",0,(IF(G59=AC59,1,0)))</f>
        <v>0</v>
      </c>
      <c r="AH59" s="108">
        <f t="shared" ref="AH59:AH66" si="17">IF(AD59="",0,(IF(I59=AD59,1,0)))</f>
        <v>0</v>
      </c>
      <c r="AI59" s="108">
        <f t="shared" ref="AI59:AI66" si="18">IF(AND(AG59=1,AH59=1),10,0)</f>
        <v>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376">
        <v>50</v>
      </c>
      <c r="C60" s="466">
        <v>41818</v>
      </c>
      <c r="D60" s="460" t="str">
        <f t="shared" ref="D60:D66" si="23">IF(ISERROR(Z60),K60,Z60)</f>
        <v>Ivoorkust</v>
      </c>
      <c r="E60" s="379" t="s">
        <v>9</v>
      </c>
      <c r="F60" s="409" t="str">
        <f t="shared" ref="F60:F66" si="24">IF(ISERROR(AA60),L60,AA60)</f>
        <v>Uruguay</v>
      </c>
      <c r="G60" s="437">
        <v>1</v>
      </c>
      <c r="H60" s="379" t="s">
        <v>9</v>
      </c>
      <c r="I60" s="449">
        <v>2</v>
      </c>
      <c r="J60" s="450">
        <v>2</v>
      </c>
      <c r="K60" s="407" t="s">
        <v>57</v>
      </c>
      <c r="L60" s="407" t="s">
        <v>63</v>
      </c>
      <c r="M60" s="407">
        <v>2</v>
      </c>
      <c r="O60" s="458">
        <v>3</v>
      </c>
      <c r="P60" s="877" t="s">
        <v>225</v>
      </c>
      <c r="Q60" s="877"/>
      <c r="R60" s="877"/>
      <c r="S60" s="877"/>
      <c r="T60" s="878"/>
      <c r="V60" s="352" t="s">
        <v>132</v>
      </c>
      <c r="W60" s="352" t="s">
        <v>110</v>
      </c>
      <c r="X60" s="352" t="str">
        <f t="shared" si="11"/>
        <v>Kenneth Vermeer (k)</v>
      </c>
      <c r="Y60" s="109">
        <f t="shared" si="13"/>
        <v>0</v>
      </c>
      <c r="Z60" s="352" t="str">
        <f t="shared" si="14"/>
        <v>Ivoorkust</v>
      </c>
      <c r="AA60" s="352" t="str">
        <f t="shared" si="14"/>
        <v>Uruguay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0</v>
      </c>
      <c r="AG60" s="108">
        <f t="shared" si="16"/>
        <v>0</v>
      </c>
      <c r="AH60" s="108">
        <f t="shared" si="17"/>
        <v>0</v>
      </c>
      <c r="AI60" s="108">
        <f t="shared" si="18"/>
        <v>0</v>
      </c>
      <c r="AJ60" s="108">
        <f t="shared" si="19"/>
        <v>0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2"/>
        <v>3</v>
      </c>
    </row>
    <row r="61" spans="2:54">
      <c r="B61" s="364">
        <v>51</v>
      </c>
      <c r="C61" s="465">
        <v>41819</v>
      </c>
      <c r="D61" s="464" t="str">
        <f t="shared" si="23"/>
        <v>Spanje</v>
      </c>
      <c r="E61" s="367" t="s">
        <v>9</v>
      </c>
      <c r="F61" s="406" t="str">
        <f t="shared" si="24"/>
        <v>Mexico</v>
      </c>
      <c r="G61" s="435">
        <v>2</v>
      </c>
      <c r="H61" s="367" t="s">
        <v>9</v>
      </c>
      <c r="I61" s="447">
        <v>0</v>
      </c>
      <c r="J61" s="448">
        <v>1</v>
      </c>
      <c r="K61" s="407" t="s">
        <v>52</v>
      </c>
      <c r="L61" s="407" t="s">
        <v>49</v>
      </c>
      <c r="M61" s="407"/>
      <c r="O61" s="458">
        <v>4</v>
      </c>
      <c r="P61" s="877" t="s">
        <v>209</v>
      </c>
      <c r="Q61" s="877"/>
      <c r="R61" s="877"/>
      <c r="S61" s="877"/>
      <c r="T61" s="878"/>
      <c r="V61" s="352" t="s">
        <v>132</v>
      </c>
      <c r="W61" s="352" t="s">
        <v>191</v>
      </c>
      <c r="X61" s="352" t="str">
        <f t="shared" si="11"/>
        <v>Tim Krul (k)</v>
      </c>
      <c r="Y61" s="109">
        <f t="shared" si="13"/>
        <v>6</v>
      </c>
      <c r="Z61" s="352" t="str">
        <f t="shared" si="14"/>
        <v>Spanje</v>
      </c>
      <c r="AA61" s="352" t="str">
        <f t="shared" si="14"/>
        <v>Mexico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6</v>
      </c>
      <c r="AG61" s="108">
        <f t="shared" si="16"/>
        <v>1</v>
      </c>
      <c r="AH61" s="108">
        <f t="shared" si="17"/>
        <v>0</v>
      </c>
      <c r="AI61" s="108">
        <f t="shared" si="18"/>
        <v>0</v>
      </c>
      <c r="AJ61" s="108">
        <f t="shared" si="19"/>
        <v>5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3</v>
      </c>
      <c r="BB61" s="139">
        <f t="shared" si="22"/>
        <v>3</v>
      </c>
    </row>
    <row r="62" spans="2:54">
      <c r="B62" s="376">
        <v>52</v>
      </c>
      <c r="C62" s="466">
        <v>41819</v>
      </c>
      <c r="D62" s="464" t="str">
        <f t="shared" si="23"/>
        <v>Italië</v>
      </c>
      <c r="E62" s="379" t="s">
        <v>9</v>
      </c>
      <c r="F62" s="409" t="str">
        <f t="shared" si="24"/>
        <v>Colombia</v>
      </c>
      <c r="G62" s="437">
        <v>2</v>
      </c>
      <c r="H62" s="379" t="s">
        <v>9</v>
      </c>
      <c r="I62" s="449">
        <v>0</v>
      </c>
      <c r="J62" s="450">
        <v>1</v>
      </c>
      <c r="K62" s="407" t="s">
        <v>62</v>
      </c>
      <c r="L62" s="407" t="s">
        <v>58</v>
      </c>
      <c r="M62" s="407"/>
      <c r="O62" s="458">
        <v>5</v>
      </c>
      <c r="P62" s="877" t="s">
        <v>211</v>
      </c>
      <c r="Q62" s="877"/>
      <c r="R62" s="877"/>
      <c r="S62" s="877"/>
      <c r="T62" s="878"/>
      <c r="V62" s="352" t="s">
        <v>132</v>
      </c>
      <c r="W62" s="352" t="s">
        <v>192</v>
      </c>
      <c r="X62" s="352" t="str">
        <f t="shared" si="11"/>
        <v>Maarten Stekelenburg (k)</v>
      </c>
      <c r="Y62" s="109">
        <f t="shared" si="13"/>
        <v>0</v>
      </c>
      <c r="Z62" s="352" t="str">
        <f t="shared" si="14"/>
        <v>Italië</v>
      </c>
      <c r="AA62" s="352" t="str">
        <f t="shared" si="14"/>
        <v>Colombia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0</v>
      </c>
      <c r="AG62" s="108">
        <f t="shared" si="16"/>
        <v>0</v>
      </c>
      <c r="AH62" s="108">
        <f t="shared" si="17"/>
        <v>0</v>
      </c>
      <c r="AI62" s="108">
        <f t="shared" si="18"/>
        <v>0</v>
      </c>
      <c r="AJ62" s="108">
        <f t="shared" si="19"/>
        <v>0</v>
      </c>
      <c r="AK62" s="108">
        <f t="shared" si="20"/>
        <v>0</v>
      </c>
      <c r="AL62" s="108">
        <f t="shared" si="21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2"/>
        <v>3</v>
      </c>
    </row>
    <row r="63" spans="2:54">
      <c r="B63" s="364">
        <v>53</v>
      </c>
      <c r="C63" s="465">
        <v>41820</v>
      </c>
      <c r="D63" s="459" t="str">
        <f t="shared" si="23"/>
        <v>Frankrijk</v>
      </c>
      <c r="E63" s="367" t="s">
        <v>9</v>
      </c>
      <c r="F63" s="406" t="str">
        <f t="shared" si="24"/>
        <v>Nigeria</v>
      </c>
      <c r="G63" s="435">
        <v>1</v>
      </c>
      <c r="H63" s="367" t="s">
        <v>9</v>
      </c>
      <c r="I63" s="447">
        <v>2</v>
      </c>
      <c r="J63" s="448">
        <v>2</v>
      </c>
      <c r="K63" s="407" t="s">
        <v>67</v>
      </c>
      <c r="L63" s="407" t="s">
        <v>73</v>
      </c>
      <c r="M63" s="407"/>
      <c r="O63" s="458">
        <v>6</v>
      </c>
      <c r="P63" s="877" t="s">
        <v>212</v>
      </c>
      <c r="Q63" s="877"/>
      <c r="R63" s="877"/>
      <c r="S63" s="877"/>
      <c r="T63" s="878"/>
      <c r="V63" s="352" t="s">
        <v>132</v>
      </c>
      <c r="W63" s="352" t="s">
        <v>193</v>
      </c>
      <c r="X63" s="352" t="str">
        <f t="shared" si="11"/>
        <v>Michel Vorm (k)</v>
      </c>
      <c r="Y63" s="109">
        <f t="shared" si="13"/>
        <v>0</v>
      </c>
      <c r="Z63" s="352" t="str">
        <f t="shared" si="14"/>
        <v>Frankrijk</v>
      </c>
      <c r="AA63" s="352" t="str">
        <f t="shared" si="14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0</v>
      </c>
      <c r="AG63" s="108">
        <f t="shared" si="16"/>
        <v>0</v>
      </c>
      <c r="AH63" s="108">
        <f t="shared" si="17"/>
        <v>0</v>
      </c>
      <c r="AI63" s="108">
        <f t="shared" si="18"/>
        <v>0</v>
      </c>
      <c r="AJ63" s="108">
        <f t="shared" si="19"/>
        <v>0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3</v>
      </c>
      <c r="BB63" s="139">
        <f t="shared" si="22"/>
        <v>3</v>
      </c>
    </row>
    <row r="64" spans="2:54">
      <c r="B64" s="376">
        <v>54</v>
      </c>
      <c r="C64" s="466">
        <v>41820</v>
      </c>
      <c r="D64" s="460" t="str">
        <f t="shared" si="23"/>
        <v>Duitsland</v>
      </c>
      <c r="E64" s="379" t="s">
        <v>9</v>
      </c>
      <c r="F64" s="409" t="str">
        <f t="shared" si="24"/>
        <v>Zuid Korea</v>
      </c>
      <c r="G64" s="437">
        <v>3</v>
      </c>
      <c r="H64" s="379" t="s">
        <v>9</v>
      </c>
      <c r="I64" s="449">
        <v>0</v>
      </c>
      <c r="J64" s="450">
        <v>1</v>
      </c>
      <c r="K64" s="407" t="s">
        <v>77</v>
      </c>
      <c r="L64" s="407" t="s">
        <v>83</v>
      </c>
      <c r="M64" s="407"/>
      <c r="O64" s="458">
        <v>7</v>
      </c>
      <c r="P64" s="877" t="s">
        <v>213</v>
      </c>
      <c r="Q64" s="877"/>
      <c r="R64" s="877"/>
      <c r="S64" s="877"/>
      <c r="T64" s="878"/>
      <c r="V64" s="352" t="s">
        <v>133</v>
      </c>
      <c r="W64" s="352" t="s">
        <v>112</v>
      </c>
      <c r="X64" s="352" t="str">
        <f t="shared" si="11"/>
        <v>Joël Veltman (v)</v>
      </c>
      <c r="Y64" s="109">
        <f t="shared" si="13"/>
        <v>1</v>
      </c>
      <c r="Z64" s="352" t="str">
        <f t="shared" si="14"/>
        <v>Duitsland</v>
      </c>
      <c r="AA64" s="352" t="str">
        <f t="shared" si="14"/>
        <v>Zuid Korea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1</v>
      </c>
      <c r="AG64" s="108">
        <f t="shared" si="16"/>
        <v>0</v>
      </c>
      <c r="AH64" s="108">
        <f t="shared" si="17"/>
        <v>1</v>
      </c>
      <c r="AI64" s="108">
        <f t="shared" si="18"/>
        <v>0</v>
      </c>
      <c r="AJ64" s="108">
        <f t="shared" si="19"/>
        <v>0</v>
      </c>
      <c r="AK64" s="108">
        <f t="shared" si="20"/>
        <v>0</v>
      </c>
      <c r="AL64" s="108">
        <f t="shared" si="21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2"/>
        <v>3</v>
      </c>
    </row>
    <row r="65" spans="2:54">
      <c r="B65" s="370">
        <v>55</v>
      </c>
      <c r="C65" s="467">
        <v>41821</v>
      </c>
      <c r="D65" s="459" t="str">
        <f t="shared" si="23"/>
        <v>Argentinië</v>
      </c>
      <c r="E65" s="373" t="s">
        <v>9</v>
      </c>
      <c r="F65" s="410" t="str">
        <f t="shared" si="24"/>
        <v>Ecuador</v>
      </c>
      <c r="G65" s="436">
        <v>3</v>
      </c>
      <c r="H65" s="373" t="s">
        <v>9</v>
      </c>
      <c r="I65" s="451">
        <v>0</v>
      </c>
      <c r="J65" s="452">
        <v>1</v>
      </c>
      <c r="K65" s="407" t="s">
        <v>72</v>
      </c>
      <c r="L65" s="407" t="s">
        <v>68</v>
      </c>
      <c r="M65" s="407"/>
      <c r="O65" s="458">
        <v>8</v>
      </c>
      <c r="P65" s="877" t="s">
        <v>226</v>
      </c>
      <c r="Q65" s="877"/>
      <c r="R65" s="877"/>
      <c r="S65" s="877"/>
      <c r="T65" s="878"/>
      <c r="V65" s="352" t="s">
        <v>133</v>
      </c>
      <c r="W65" s="352" t="s">
        <v>109</v>
      </c>
      <c r="X65" s="352" t="str">
        <f t="shared" si="11"/>
        <v>Daley Blind (v)</v>
      </c>
      <c r="Y65" s="109">
        <f t="shared" si="13"/>
        <v>1</v>
      </c>
      <c r="Z65" s="352" t="str">
        <f t="shared" si="14"/>
        <v>Argentinië</v>
      </c>
      <c r="AA65" s="352" t="str">
        <f t="shared" si="14"/>
        <v>Ecuador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1</v>
      </c>
      <c r="AG65" s="108">
        <f t="shared" si="16"/>
        <v>0</v>
      </c>
      <c r="AH65" s="108">
        <f t="shared" si="17"/>
        <v>1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2"/>
        <v>3</v>
      </c>
    </row>
    <row r="66" spans="2:54" ht="15.75" thickBot="1">
      <c r="B66" s="385">
        <v>56</v>
      </c>
      <c r="C66" s="462">
        <v>41821</v>
      </c>
      <c r="D66" s="461" t="str">
        <f t="shared" si="23"/>
        <v>België</v>
      </c>
      <c r="E66" s="388" t="s">
        <v>9</v>
      </c>
      <c r="F66" s="412" t="str">
        <f t="shared" si="24"/>
        <v>Portugal</v>
      </c>
      <c r="G66" s="438">
        <v>1</v>
      </c>
      <c r="H66" s="388" t="s">
        <v>9</v>
      </c>
      <c r="I66" s="453">
        <v>0</v>
      </c>
      <c r="J66" s="454">
        <v>1</v>
      </c>
      <c r="K66" s="407" t="s">
        <v>82</v>
      </c>
      <c r="L66" s="407" t="s">
        <v>78</v>
      </c>
      <c r="M66" s="407"/>
      <c r="O66" s="458">
        <v>9</v>
      </c>
      <c r="P66" s="877" t="s">
        <v>215</v>
      </c>
      <c r="Q66" s="877"/>
      <c r="R66" s="877"/>
      <c r="S66" s="877"/>
      <c r="T66" s="878"/>
      <c r="V66" s="352" t="s">
        <v>133</v>
      </c>
      <c r="W66" s="352" t="s">
        <v>115</v>
      </c>
      <c r="X66" s="352" t="str">
        <f t="shared" si="11"/>
        <v>Daryl Janmaat (v)</v>
      </c>
      <c r="Y66" s="109">
        <f t="shared" si="13"/>
        <v>1</v>
      </c>
      <c r="Z66" s="352" t="str">
        <f>IF(K66=""," ",VLOOKUP(K66,$T$9:$V$54,3,FALSE))</f>
        <v>België</v>
      </c>
      <c r="AA66" s="352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1</v>
      </c>
      <c r="AG66" s="108">
        <f t="shared" si="16"/>
        <v>0</v>
      </c>
      <c r="AH66" s="108">
        <f t="shared" si="17"/>
        <v>1</v>
      </c>
      <c r="AI66" s="108">
        <f t="shared" si="18"/>
        <v>0</v>
      </c>
      <c r="AJ66" s="108">
        <f t="shared" si="19"/>
        <v>0</v>
      </c>
      <c r="AK66" s="108">
        <f t="shared" si="20"/>
        <v>0</v>
      </c>
      <c r="AL66" s="108">
        <f t="shared" si="21"/>
        <v>0</v>
      </c>
      <c r="AZ66" s="138" t="str">
        <f>Uitslag!P66</f>
        <v>Jonathan de Guzman (m)</v>
      </c>
      <c r="BA66" s="140">
        <f t="shared" si="12"/>
        <v>3</v>
      </c>
      <c r="BB66" s="139">
        <f t="shared" si="22"/>
        <v>3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O67" s="458">
        <v>10</v>
      </c>
      <c r="P67" s="877" t="s">
        <v>216</v>
      </c>
      <c r="Q67" s="877"/>
      <c r="R67" s="877"/>
      <c r="S67" s="877"/>
      <c r="T67" s="878"/>
      <c r="V67" s="352" t="s">
        <v>133</v>
      </c>
      <c r="W67" s="352" t="s">
        <v>118</v>
      </c>
      <c r="X67" s="352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2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79"/>
      <c r="K68" s="353"/>
      <c r="L68" s="353"/>
      <c r="M68" s="353"/>
      <c r="O68" s="458">
        <v>11</v>
      </c>
      <c r="P68" s="877" t="s">
        <v>214</v>
      </c>
      <c r="Q68" s="877"/>
      <c r="R68" s="877"/>
      <c r="S68" s="877"/>
      <c r="T68" s="878"/>
      <c r="V68" s="352" t="s">
        <v>133</v>
      </c>
      <c r="W68" s="352" t="s">
        <v>119</v>
      </c>
      <c r="X68" s="352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2"/>
        <v>3</v>
      </c>
    </row>
    <row r="69" spans="2:54">
      <c r="B69" s="428" t="s">
        <v>1</v>
      </c>
      <c r="C69" s="429" t="s">
        <v>2</v>
      </c>
      <c r="D69" s="476" t="s">
        <v>3</v>
      </c>
      <c r="E69" s="431"/>
      <c r="F69" s="477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V69" s="352" t="s">
        <v>133</v>
      </c>
      <c r="W69" s="352" t="s">
        <v>121</v>
      </c>
      <c r="X69" s="352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33</v>
      </c>
      <c r="BB69" s="139">
        <f>IF(AND(BA69&lt;&gt;"",BA69=33),15,"nvt")</f>
        <v>15</v>
      </c>
    </row>
    <row r="70" spans="2:54">
      <c r="B70" s="364">
        <v>57</v>
      </c>
      <c r="C70" s="365">
        <v>41824</v>
      </c>
      <c r="D70" s="405" t="str">
        <f>IF(J63="","Winnaar 53",IF(J63=1,D63,F63))</f>
        <v>Nigeria</v>
      </c>
      <c r="E70" s="367" t="s">
        <v>9</v>
      </c>
      <c r="F70" s="406" t="str">
        <f>IF(J64="","Winnaar 54",IF(J64=1,D64,F64))</f>
        <v>Duitsland</v>
      </c>
      <c r="G70" s="435">
        <v>0</v>
      </c>
      <c r="H70" s="367" t="s">
        <v>9</v>
      </c>
      <c r="I70" s="447">
        <v>1</v>
      </c>
      <c r="J70" s="448">
        <v>2</v>
      </c>
      <c r="K70" s="353"/>
      <c r="L70" s="353"/>
      <c r="M70" s="353"/>
      <c r="V70" s="352" t="s">
        <v>133</v>
      </c>
      <c r="W70" s="352" t="s">
        <v>126</v>
      </c>
      <c r="X70" s="352" t="str">
        <f t="shared" si="11"/>
        <v>Karim Rekik (v)</v>
      </c>
      <c r="Y70" s="109">
        <f>AF70</f>
        <v>10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10</v>
      </c>
      <c r="AG70" s="108">
        <f>IF(AC70="",0,(IF(G70=AC70,1,0)))</f>
        <v>1</v>
      </c>
      <c r="AH70" s="108">
        <f>IF(AD70="",0,(IF(I70=AD70,1,0)))</f>
        <v>1</v>
      </c>
      <c r="AI70" s="108">
        <f>IF(AND(AG70=1,AH70=1),10,0)</f>
        <v>10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Brazilië</v>
      </c>
      <c r="E71" s="379" t="s">
        <v>9</v>
      </c>
      <c r="F71" s="409" t="str">
        <f>IF(J60="","Winnaar 50",IF(J60=1,D60,F60))</f>
        <v>Uruguay</v>
      </c>
      <c r="G71" s="437">
        <v>1</v>
      </c>
      <c r="H71" s="379" t="s">
        <v>9</v>
      </c>
      <c r="I71" s="449">
        <v>0</v>
      </c>
      <c r="J71" s="450">
        <v>1</v>
      </c>
      <c r="K71" s="353"/>
      <c r="L71" s="353"/>
      <c r="M71" s="353"/>
      <c r="V71" s="352" t="s">
        <v>133</v>
      </c>
      <c r="W71" s="352" t="s">
        <v>194</v>
      </c>
      <c r="X71" s="352" t="str">
        <f t="shared" si="11"/>
        <v>Ron Vlaar (v)</v>
      </c>
      <c r="Y71" s="109">
        <f>AF71</f>
        <v>5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5</v>
      </c>
      <c r="AG71" s="108">
        <f>IF(AC71="",0,(IF(G71=AC71,1,0)))</f>
        <v>0</v>
      </c>
      <c r="AH71" s="108">
        <f>IF(AD71="",0,(IF(I71=AD71,1,0)))</f>
        <v>0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Argentinië</v>
      </c>
      <c r="E72" s="367" t="s">
        <v>9</v>
      </c>
      <c r="F72" s="406" t="str">
        <f>IF(J66="","Winnaar 56",IF(J66=1,D66,F66))</f>
        <v>België</v>
      </c>
      <c r="G72" s="435">
        <v>1</v>
      </c>
      <c r="H72" s="367" t="s">
        <v>9</v>
      </c>
      <c r="I72" s="447">
        <v>2</v>
      </c>
      <c r="J72" s="448">
        <v>2</v>
      </c>
      <c r="K72" s="353"/>
      <c r="L72" s="353"/>
      <c r="M72" s="353"/>
      <c r="V72" s="352" t="s">
        <v>133</v>
      </c>
      <c r="W72" s="352" t="s">
        <v>195</v>
      </c>
      <c r="X72" s="352" t="str">
        <f t="shared" si="11"/>
        <v>John Heitinga (v)</v>
      </c>
      <c r="Y72" s="109">
        <f>AF72</f>
        <v>1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1</v>
      </c>
      <c r="AG72" s="108">
        <f>IF(AC72="",0,(IF(G72=AC72,1,0)))</f>
        <v>1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0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Spanje</v>
      </c>
      <c r="E73" s="388" t="s">
        <v>9</v>
      </c>
      <c r="F73" s="412" t="str">
        <f>IF(J62="","Winnaar 52",IF(J62=1,D62,F62))</f>
        <v>Italië</v>
      </c>
      <c r="G73" s="438">
        <v>2</v>
      </c>
      <c r="H73" s="388" t="s">
        <v>9</v>
      </c>
      <c r="I73" s="453">
        <v>0</v>
      </c>
      <c r="J73" s="454">
        <v>1</v>
      </c>
      <c r="K73" s="353"/>
      <c r="L73" s="353"/>
      <c r="M73" s="353"/>
      <c r="V73" s="352" t="s">
        <v>133</v>
      </c>
      <c r="W73" s="352" t="s">
        <v>196</v>
      </c>
      <c r="X73" s="352" t="str">
        <f t="shared" si="11"/>
        <v>Urby Emanuelson (v)</v>
      </c>
      <c r="Y73" s="109">
        <f>AF73</f>
        <v>1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1</v>
      </c>
      <c r="AG73" s="108">
        <f>IF(AC73="",0,(IF(G73=AC73,1,0)))</f>
        <v>0</v>
      </c>
      <c r="AH73" s="108">
        <f>IF(AD73="",0,(IF(I73=AD73,1,0)))</f>
        <v>1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V74" s="352" t="s">
        <v>133</v>
      </c>
      <c r="W74" s="352" t="s">
        <v>197</v>
      </c>
      <c r="X74" s="352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79"/>
      <c r="K75" s="353"/>
      <c r="L75" s="353"/>
      <c r="M75" s="353"/>
      <c r="V75" s="352" t="s">
        <v>133</v>
      </c>
      <c r="W75" s="352" t="s">
        <v>198</v>
      </c>
      <c r="X75" s="352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76" t="s">
        <v>3</v>
      </c>
      <c r="E76" s="431"/>
      <c r="F76" s="477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V76" s="352" t="s">
        <v>133</v>
      </c>
      <c r="W76" s="352" t="s">
        <v>202</v>
      </c>
      <c r="X76" s="352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Duitsland</v>
      </c>
      <c r="E77" s="367" t="s">
        <v>9</v>
      </c>
      <c r="F77" s="406" t="str">
        <f>IF(J71="","Winnaar 58",IF(J71=1,D71,F71))</f>
        <v>Brazilië</v>
      </c>
      <c r="G77" s="435">
        <v>1</v>
      </c>
      <c r="H77" s="367" t="s">
        <v>9</v>
      </c>
      <c r="I77" s="447">
        <v>0</v>
      </c>
      <c r="J77" s="448">
        <v>1</v>
      </c>
      <c r="K77" s="353"/>
      <c r="L77" s="353"/>
      <c r="M77" s="353"/>
      <c r="V77" s="352" t="s">
        <v>134</v>
      </c>
      <c r="W77" s="352" t="s">
        <v>203</v>
      </c>
      <c r="X77" s="352" t="str">
        <f t="shared" si="11"/>
        <v>Marco van Ginkel (m)</v>
      </c>
      <c r="Y77" s="109">
        <f>AF77</f>
        <v>5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5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5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België</v>
      </c>
      <c r="E78" s="388" t="s">
        <v>9</v>
      </c>
      <c r="F78" s="412" t="str">
        <f>IF(J73="","Winnaar 60",IF(J73=1,D73,F73))</f>
        <v>Spanje</v>
      </c>
      <c r="G78" s="438">
        <v>0</v>
      </c>
      <c r="H78" s="388" t="s">
        <v>9</v>
      </c>
      <c r="I78" s="453">
        <v>2</v>
      </c>
      <c r="J78" s="454">
        <v>2</v>
      </c>
      <c r="K78" s="353"/>
      <c r="L78" s="353"/>
      <c r="M78" s="353"/>
      <c r="V78" s="352" t="s">
        <v>134</v>
      </c>
      <c r="W78" s="352" t="s">
        <v>199</v>
      </c>
      <c r="X78" s="352" t="str">
        <f t="shared" si="11"/>
        <v>Leroy Fer (m)</v>
      </c>
      <c r="Y78" s="109">
        <f>AF78</f>
        <v>1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1</v>
      </c>
      <c r="AG78" s="108">
        <f>IF(AC78="",0,(IF(G78=AC78,1,0)))</f>
        <v>1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V79" s="352" t="s">
        <v>134</v>
      </c>
      <c r="W79" s="352" t="s">
        <v>114</v>
      </c>
      <c r="X79" s="352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79"/>
      <c r="K80" s="353"/>
      <c r="L80" s="353"/>
      <c r="M80" s="353"/>
      <c r="V80" s="352" t="s">
        <v>134</v>
      </c>
      <c r="W80" s="352" t="s">
        <v>117</v>
      </c>
      <c r="X80" s="352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76" t="s">
        <v>3</v>
      </c>
      <c r="E81" s="431"/>
      <c r="F81" s="477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V81" s="352" t="s">
        <v>134</v>
      </c>
      <c r="W81" s="352" t="s">
        <v>120</v>
      </c>
      <c r="X81" s="352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Brazilië</v>
      </c>
      <c r="E82" s="355" t="s">
        <v>9</v>
      </c>
      <c r="F82" s="415" t="str">
        <f>IF(J78="","Verliezer 62",IF(J78=1,F78,D78))</f>
        <v>België</v>
      </c>
      <c r="G82" s="455">
        <v>2</v>
      </c>
      <c r="H82" s="355" t="s">
        <v>9</v>
      </c>
      <c r="I82" s="456">
        <v>0</v>
      </c>
      <c r="J82" s="457">
        <v>1</v>
      </c>
      <c r="K82" s="353"/>
      <c r="L82" s="353"/>
      <c r="M82" s="353"/>
      <c r="V82" s="352" t="s">
        <v>134</v>
      </c>
      <c r="W82" s="352" t="s">
        <v>125</v>
      </c>
      <c r="X82" s="35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V83" s="352" t="s">
        <v>134</v>
      </c>
      <c r="W83" s="352" t="s">
        <v>136</v>
      </c>
      <c r="X83" s="352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79"/>
      <c r="K84" s="353"/>
      <c r="L84" s="353"/>
      <c r="M84" s="353"/>
      <c r="V84" s="352" t="s">
        <v>134</v>
      </c>
      <c r="W84" s="352" t="s">
        <v>137</v>
      </c>
      <c r="X84" s="352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76" t="s">
        <v>3</v>
      </c>
      <c r="E85" s="431"/>
      <c r="F85" s="477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V85" s="352" t="s">
        <v>134</v>
      </c>
      <c r="W85" s="352" t="s">
        <v>138</v>
      </c>
      <c r="X85" s="352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Duitsland</v>
      </c>
      <c r="E86" s="355" t="s">
        <v>9</v>
      </c>
      <c r="F86" s="415" t="str">
        <f>IF(J78="","Winnaar 62",IF(J78=1,D78,F78))</f>
        <v>Spanje</v>
      </c>
      <c r="G86" s="455">
        <v>2</v>
      </c>
      <c r="H86" s="355" t="s">
        <v>9</v>
      </c>
      <c r="I86" s="456">
        <v>1</v>
      </c>
      <c r="J86" s="457">
        <v>1</v>
      </c>
      <c r="K86" s="353"/>
      <c r="L86" s="353"/>
      <c r="M86" s="353"/>
      <c r="V86" s="352" t="s">
        <v>134</v>
      </c>
      <c r="W86" s="352" t="s">
        <v>139</v>
      </c>
      <c r="X86" s="352" t="str">
        <f t="shared" si="11"/>
        <v>Nigel de Jong (m)</v>
      </c>
      <c r="Y86" s="109">
        <f>AF86</f>
        <v>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0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353"/>
      <c r="C87" s="129"/>
      <c r="D87" s="392"/>
      <c r="E87" s="353"/>
      <c r="F87" s="392"/>
      <c r="G87" s="353"/>
      <c r="H87" s="353"/>
      <c r="I87" s="353"/>
      <c r="J87" s="353"/>
      <c r="K87" s="353"/>
      <c r="L87" s="353"/>
      <c r="M87" s="353"/>
      <c r="V87" s="352" t="s">
        <v>135</v>
      </c>
      <c r="W87" s="352" t="s">
        <v>205</v>
      </c>
      <c r="X87" s="352" t="str">
        <f t="shared" si="11"/>
        <v>Ricky van Wolfswinkel (a)</v>
      </c>
      <c r="AP87" s="136" t="s">
        <v>102</v>
      </c>
    </row>
    <row r="88" spans="2:50">
      <c r="B88" s="353"/>
      <c r="C88" s="129"/>
      <c r="D88" s="392"/>
      <c r="E88" s="353"/>
      <c r="F88" s="392"/>
      <c r="G88" s="353"/>
      <c r="H88" s="353"/>
      <c r="I88" s="353"/>
      <c r="J88" s="353"/>
      <c r="K88" s="353"/>
      <c r="L88" s="353"/>
      <c r="M88" s="353"/>
      <c r="V88" s="352" t="s">
        <v>135</v>
      </c>
      <c r="W88" s="352" t="s">
        <v>204</v>
      </c>
      <c r="X88" s="352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458"/>
    </row>
    <row r="89" spans="2:50" ht="20.25">
      <c r="C89" s="874" t="s">
        <v>101</v>
      </c>
      <c r="D89" s="871"/>
      <c r="E89" s="873" t="str">
        <f>IF(J86=1,D86,IF(J86=2,F86,"Wie zal het worden?"))</f>
        <v>Duitsland</v>
      </c>
      <c r="F89" s="873"/>
      <c r="G89" s="873"/>
      <c r="H89" s="873"/>
      <c r="I89" s="873"/>
      <c r="J89" s="873"/>
      <c r="K89" s="353"/>
      <c r="L89" s="353"/>
      <c r="M89" s="353"/>
      <c r="V89" s="352" t="s">
        <v>135</v>
      </c>
      <c r="W89" s="352" t="s">
        <v>201</v>
      </c>
      <c r="X89" s="352" t="str">
        <f t="shared" si="11"/>
        <v>Jermain Lens (a)</v>
      </c>
      <c r="AP89" s="109">
        <f>AU89</f>
        <v>50</v>
      </c>
      <c r="AQ89" s="131">
        <v>1</v>
      </c>
      <c r="AR89" s="904" t="str">
        <f>Uitslag!E89</f>
        <v>Duitsland</v>
      </c>
      <c r="AS89" s="905"/>
      <c r="AT89" s="906"/>
      <c r="AU89" s="352">
        <f>SUM(AV89:AX89)</f>
        <v>50</v>
      </c>
      <c r="AV89" s="352">
        <f>IF(AR89=0,0,IF(E89=AR89,50,0))</f>
        <v>50</v>
      </c>
      <c r="AW89" s="352">
        <f>IF(E89=0,0,IF(OR(E89=AR90),15,0))</f>
        <v>0</v>
      </c>
      <c r="AX89" s="352">
        <f>IF(E89=0,0,IF(OR(E89=AR91,E89=AR92),5,0))</f>
        <v>0</v>
      </c>
    </row>
    <row r="90" spans="2:50">
      <c r="C90" s="870">
        <v>2</v>
      </c>
      <c r="D90" s="871"/>
      <c r="E90" s="872" t="str">
        <f>IF(J86=2,D86,IF(J86=1,F86,"Wie wordt 2de?"))</f>
        <v>Spanje</v>
      </c>
      <c r="F90" s="872"/>
      <c r="G90" s="872"/>
      <c r="H90" s="872"/>
      <c r="I90" s="872"/>
      <c r="J90" s="872"/>
      <c r="V90" s="352" t="s">
        <v>135</v>
      </c>
      <c r="W90" s="352" t="s">
        <v>200</v>
      </c>
      <c r="X90" s="352" t="str">
        <f t="shared" si="11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 s="352">
        <f>SUM(AV90:AX90)</f>
        <v>0</v>
      </c>
      <c r="AV90" s="352">
        <f>IF(AR90=0,0,IF(AR90=E90,25,0))</f>
        <v>0</v>
      </c>
      <c r="AW90" s="352">
        <f>IF(E90=0,0,IF(OR(E90=AR89,),15,0))</f>
        <v>0</v>
      </c>
      <c r="AX90" s="352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Brazilië</v>
      </c>
      <c r="F91" s="872"/>
      <c r="G91" s="872"/>
      <c r="H91" s="872"/>
      <c r="I91" s="872"/>
      <c r="J91" s="872"/>
      <c r="V91" s="352" t="s">
        <v>135</v>
      </c>
      <c r="W91" s="352" t="s">
        <v>128</v>
      </c>
      <c r="X91" s="352" t="str">
        <f t="shared" si="11"/>
        <v>Jürgen Locadia (a)</v>
      </c>
      <c r="AP91" s="109">
        <f>AU91</f>
        <v>10</v>
      </c>
      <c r="AQ91" s="131">
        <v>3</v>
      </c>
      <c r="AR91" s="904" t="str">
        <f>Uitslag!E91</f>
        <v>Nederland</v>
      </c>
      <c r="AS91" s="905"/>
      <c r="AT91" s="906"/>
      <c r="AU91" s="352">
        <f>SUM(AV91:AX91)</f>
        <v>10</v>
      </c>
      <c r="AV91" s="352">
        <f>IF(AR91=0,0,IF(AR91=E91,15,0))</f>
        <v>0</v>
      </c>
      <c r="AW91" s="352">
        <f>IF(E91=0,0,IF(OR(E91=AR92),10,0))</f>
        <v>10</v>
      </c>
      <c r="AX91" s="352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België</v>
      </c>
      <c r="F92" s="872"/>
      <c r="G92" s="872"/>
      <c r="H92" s="872"/>
      <c r="I92" s="872"/>
      <c r="J92" s="872"/>
      <c r="V92" s="352" t="s">
        <v>135</v>
      </c>
      <c r="W92" s="352" t="s">
        <v>127</v>
      </c>
      <c r="X92" s="35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 s="352">
        <f>SUM(AV92:AX92)</f>
        <v>0</v>
      </c>
      <c r="AV92" s="352">
        <f>IF(AR92=0,0,IF(AR92=E92,15,0))</f>
        <v>0</v>
      </c>
      <c r="AW92" s="352">
        <f>IF(E92=0,0,IF(OR(E92=AR91,),10,0))</f>
        <v>0</v>
      </c>
      <c r="AX92" s="352">
        <f>IF(E92=0,0,IF(OR(E92=AR89,E92=AR90),5,0))</f>
        <v>0</v>
      </c>
    </row>
    <row r="93" spans="2:50" ht="15.75" thickBot="1">
      <c r="V93" s="352" t="s">
        <v>135</v>
      </c>
      <c r="W93" s="352" t="s">
        <v>123</v>
      </c>
      <c r="X93" s="352" t="str">
        <f t="shared" si="11"/>
        <v>Quincy Promes (a)</v>
      </c>
      <c r="AS93" s="132"/>
      <c r="AU93" s="133">
        <f>SUM(AU89:AU92)</f>
        <v>60</v>
      </c>
    </row>
    <row r="94" spans="2:50" ht="15.75" thickTop="1">
      <c r="V94" s="352" t="s">
        <v>135</v>
      </c>
      <c r="W94" s="352" t="s">
        <v>122</v>
      </c>
      <c r="X94" s="352" t="str">
        <f t="shared" si="11"/>
        <v>Luc Castaignos (a)</v>
      </c>
    </row>
    <row r="95" spans="2:50">
      <c r="V95" s="352" t="s">
        <v>135</v>
      </c>
      <c r="W95" s="352" t="s">
        <v>113</v>
      </c>
      <c r="X95" s="352" t="str">
        <f t="shared" si="11"/>
        <v>Jean-Paul Boëtius (a)</v>
      </c>
    </row>
    <row r="96" spans="2:50">
      <c r="V96" s="352" t="s">
        <v>135</v>
      </c>
      <c r="W96" s="352" t="s">
        <v>129</v>
      </c>
      <c r="X96" s="352" t="str">
        <f t="shared" si="11"/>
        <v>Luciano Narsingh (a)</v>
      </c>
    </row>
    <row r="97" spans="22:24">
      <c r="V97" s="352" t="s">
        <v>135</v>
      </c>
      <c r="W97" s="352" t="s">
        <v>130</v>
      </c>
      <c r="X97" s="352" t="str">
        <f t="shared" si="11"/>
        <v>Robin van Persie (a)</v>
      </c>
    </row>
    <row r="98" spans="22:24">
      <c r="V98" s="352" t="s">
        <v>135</v>
      </c>
      <c r="W98" s="352" t="s">
        <v>131</v>
      </c>
      <c r="X98" s="352" t="str">
        <f t="shared" si="11"/>
        <v>Arjen Robben (a)</v>
      </c>
    </row>
  </sheetData>
  <mergeCells count="36">
    <mergeCell ref="C91:D91"/>
    <mergeCell ref="E91:J91"/>
    <mergeCell ref="AR91:AT91"/>
    <mergeCell ref="C92:D92"/>
    <mergeCell ref="E92:J92"/>
    <mergeCell ref="AR92:AT92"/>
    <mergeCell ref="C89:D89"/>
    <mergeCell ref="E89:J89"/>
    <mergeCell ref="AR89:AT89"/>
    <mergeCell ref="C90:D90"/>
    <mergeCell ref="E90:J90"/>
    <mergeCell ref="AR90:AT90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</mergeCells>
  <conditionalFormatting sqref="AO9:AO12 AO15:AO18 AO21:AO24 AO27:AO30 AO33:AO36 AO39:AO42 AO45:AO48 AO51:AO54">
    <cfRule type="cellIs" dxfId="23" priority="3" operator="equal">
      <formula>10</formula>
    </cfRule>
  </conditionalFormatting>
  <conditionalFormatting sqref="P58:T58">
    <cfRule type="duplicateValues" dxfId="22" priority="2"/>
  </conditionalFormatting>
  <conditionalFormatting sqref="P58:T68">
    <cfRule type="duplicateValues" dxfId="21" priority="1"/>
  </conditionalFormatting>
  <dataValidations count="10">
    <dataValidation type="list" allowBlank="1" showInputMessage="1" showErrorMessage="1" sqref="P58:P68">
      <formula1>$X$58:$X$98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51:T54">
      <formula1>$W$51:$W$54</formula1>
    </dataValidation>
  </dataValidation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>
  <dimension ref="B1:BB98"/>
  <sheetViews>
    <sheetView topLeftCell="A37" zoomScale="70" zoomScaleNormal="70" workbookViewId="0">
      <selection activeCell="P58" sqref="P58:T68"/>
    </sheetView>
  </sheetViews>
  <sheetFormatPr defaultRowHeight="15" outlineLevelCol="2"/>
  <cols>
    <col min="1" max="1" width="3.42578125" style="352" customWidth="1"/>
    <col min="2" max="2" width="3.5703125" style="352" bestFit="1" customWidth="1"/>
    <col min="3" max="3" width="11.5703125" style="123" bestFit="1" customWidth="1"/>
    <col min="4" max="4" width="19.7109375" style="352" bestFit="1" customWidth="1"/>
    <col min="5" max="5" width="3.42578125" style="352" customWidth="1"/>
    <col min="6" max="6" width="19.7109375" style="352" bestFit="1" customWidth="1"/>
    <col min="7" max="7" width="6.7109375" style="352" customWidth="1"/>
    <col min="8" max="8" width="1.5703125" style="352" bestFit="1" customWidth="1"/>
    <col min="9" max="9" width="6.7109375" style="352" customWidth="1"/>
    <col min="10" max="10" width="6.85546875" style="352" bestFit="1" customWidth="1"/>
    <col min="11" max="13" width="9.140625" style="352" hidden="1" customWidth="1" outlineLevel="1"/>
    <col min="14" max="14" width="11.42578125" style="352" bestFit="1" customWidth="1" collapsed="1"/>
    <col min="15" max="15" width="14.7109375" style="352" bestFit="1" customWidth="1"/>
    <col min="16" max="16" width="12.28515625" style="352" bestFit="1" customWidth="1"/>
    <col min="17" max="17" width="8.140625" style="352" bestFit="1" customWidth="1"/>
    <col min="18" max="18" width="7.7109375" style="352" bestFit="1" customWidth="1"/>
    <col min="19" max="19" width="9.140625" style="352"/>
    <col min="20" max="20" width="8.5703125" style="352" bestFit="1" customWidth="1"/>
    <col min="21" max="21" width="9.140625" style="352"/>
    <col min="22" max="23" width="9.140625" style="352" hidden="1" customWidth="1" outlineLevel="1"/>
    <col min="24" max="24" width="2" style="352" hidden="1" customWidth="1" outlineLevel="1"/>
    <col min="25" max="25" width="12.28515625" style="352" bestFit="1" customWidth="1" collapsed="1"/>
    <col min="26" max="27" width="12.28515625" style="352" hidden="1" customWidth="1" outlineLevel="1"/>
    <col min="28" max="28" width="4.7109375" style="352" hidden="1" customWidth="1" outlineLevel="1"/>
    <col min="29" max="38" width="9.140625" style="352" hidden="1" customWidth="1" outlineLevel="1"/>
    <col min="39" max="39" width="7.42578125" style="352" bestFit="1" customWidth="1" collapsed="1"/>
    <col min="40" max="40" width="19.7109375" style="352" hidden="1" customWidth="1" outlineLevel="1"/>
    <col min="41" max="41" width="9.140625" style="352" hidden="1" customWidth="1" outlineLevel="1"/>
    <col min="42" max="42" width="9.140625" style="352" collapsed="1"/>
    <col min="43" max="49" width="9.140625" style="352" hidden="1" customWidth="1" outlineLevel="2"/>
    <col min="50" max="50" width="11.5703125" style="352" hidden="1" customWidth="1" outlineLevel="2"/>
    <col min="51" max="51" width="11.85546875" style="352" hidden="1" customWidth="1" outlineLevel="1" collapsed="1"/>
    <col min="52" max="52" width="9.42578125" style="352" hidden="1" customWidth="1" outlineLevel="1"/>
    <col min="53" max="53" width="10.5703125" style="352" hidden="1" customWidth="1" outlineLevel="1"/>
    <col min="54" max="54" width="9.140625" style="352" collapsed="1"/>
    <col min="55" max="55" width="11.85546875" style="352" bestFit="1" customWidth="1"/>
    <col min="56" max="16384" width="9.140625" style="352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326</v>
      </c>
      <c r="E3" s="335"/>
      <c r="F3" s="335"/>
      <c r="N3" s="352" t="str">
        <f>D3</f>
        <v>Kees H. (introducee Thomas H.)</v>
      </c>
      <c r="O3" s="144">
        <f>SUM(P3:S3)</f>
        <v>337</v>
      </c>
      <c r="P3" s="109">
        <f>SUM(Y8:Y86)</f>
        <v>198</v>
      </c>
      <c r="Q3" s="109">
        <f>SUM(AM4:AM55)</f>
        <v>110</v>
      </c>
      <c r="R3" s="109">
        <f>SUM(AP89:AP92)</f>
        <v>5</v>
      </c>
      <c r="S3" s="109">
        <f>SUM(BB58:BB69)</f>
        <v>24</v>
      </c>
      <c r="T3" s="109">
        <f>COUNTIF(AF8:AF86,10)</f>
        <v>5</v>
      </c>
      <c r="U3" s="109" t="str">
        <f>E89</f>
        <v>Brazilië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O6" s="392"/>
      <c r="P6" s="393"/>
      <c r="Q6" s="393"/>
      <c r="R6" s="393"/>
      <c r="S6" s="393"/>
      <c r="T6" s="393"/>
      <c r="U6" s="392"/>
      <c r="V6" s="392"/>
      <c r="W6" s="392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80" t="s">
        <v>3</v>
      </c>
      <c r="E7" s="419"/>
      <c r="F7" s="481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O7" s="353"/>
      <c r="P7" s="393"/>
      <c r="Q7" s="393"/>
      <c r="R7" s="393"/>
      <c r="S7" s="393"/>
      <c r="T7" s="393"/>
      <c r="U7" s="353"/>
      <c r="V7" s="353"/>
      <c r="W7" s="353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458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2</v>
      </c>
      <c r="H8" s="360" t="s">
        <v>9</v>
      </c>
      <c r="I8" s="478">
        <v>1</v>
      </c>
      <c r="J8" s="362">
        <f>IF(I8="","",IF(G8&gt;I8,1,IF(G8&lt;I8,2,3)))</f>
        <v>1</v>
      </c>
      <c r="K8" s="363">
        <f>IF(I8="","",IF($G8&gt;$I8,3,IF($G8=$I8,1,0)))</f>
        <v>3</v>
      </c>
      <c r="L8" s="363">
        <f>IF(I8="","",IF($G8&lt;$I8,3,IF($G8=$I8,1,0)))</f>
        <v>0</v>
      </c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392"/>
      <c r="V8" s="392"/>
      <c r="W8" s="392"/>
      <c r="Y8" s="109">
        <f>AF8</f>
        <v>6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6</v>
      </c>
      <c r="AG8" s="108">
        <f t="shared" ref="AG8:AG55" si="0">IF(AC8="",0,(IF(G8=AC8,1,0)))</f>
        <v>0</v>
      </c>
      <c r="AH8" s="108">
        <f t="shared" ref="AH8:AH55" si="1">IF(AD8="",0,(IF(I8=AD8,1,0)))</f>
        <v>1</v>
      </c>
      <c r="AI8" s="108">
        <f>IF(AND(AG8=1,AH8=1),10,0)</f>
        <v>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2</v>
      </c>
      <c r="H9" s="367" t="s">
        <v>9</v>
      </c>
      <c r="I9" s="440">
        <v>1</v>
      </c>
      <c r="J9" s="369">
        <f t="shared" ref="J9:J55" si="5">IF(I9="","",IF(G9&gt;I9,1,IF(G9&lt;I9,2,3)))</f>
        <v>1</v>
      </c>
      <c r="K9" s="363">
        <f t="shared" ref="K9:K55" si="6">IF(I9="","",IF($G9&gt;$I9,3,IF($G9=$I9,1,0)))</f>
        <v>3</v>
      </c>
      <c r="L9" s="363">
        <f t="shared" ref="L9:L55" si="7">IF(I9="","",IF($G9&lt;$I9,3,IF($G9=$I9,1,0)))</f>
        <v>0</v>
      </c>
      <c r="O9" s="394" t="s">
        <v>8</v>
      </c>
      <c r="P9" s="395">
        <f>SUMIF($D$8:$D$55,$O9,$G$8:$G$55)+SUMIF($F$8:$F$55,$O9,$I$8:$I$55)</f>
        <v>8</v>
      </c>
      <c r="Q9" s="395">
        <f>SUMIF($D$8:$D$55,$O9,$I$8:$I$55)+SUMIF($F$8:$F$55,$O9,$G$8:$G$55)</f>
        <v>4</v>
      </c>
      <c r="R9" s="396">
        <f>P9-Q9</f>
        <v>4</v>
      </c>
      <c r="S9" s="397">
        <f>SUMIF($D$8:$D$55,$O9,$K$8:$K$55)+SUMIF($F$8:$F$55,$O9,$L$8:$L$55)</f>
        <v>9</v>
      </c>
      <c r="T9" s="444" t="s">
        <v>48</v>
      </c>
      <c r="U9" s="392"/>
      <c r="V9" s="392" t="str">
        <f>O9</f>
        <v>Brazilië</v>
      </c>
      <c r="W9" s="392" t="s">
        <v>48</v>
      </c>
      <c r="Y9" s="109">
        <f t="shared" ref="Y9:Y55" si="8">AF9</f>
        <v>5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5</v>
      </c>
      <c r="AG9" s="108">
        <f t="shared" si="0"/>
        <v>0</v>
      </c>
      <c r="AH9" s="108">
        <f t="shared" si="1"/>
        <v>0</v>
      </c>
      <c r="AI9" s="108">
        <f t="shared" ref="AI9:AI55" si="10">IF(AND(AG9=1,AH9=1),10,0)</f>
        <v>0</v>
      </c>
      <c r="AJ9" s="108">
        <f t="shared" si="2"/>
        <v>5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3</v>
      </c>
      <c r="H10" s="373" t="s">
        <v>9</v>
      </c>
      <c r="I10" s="441">
        <v>1</v>
      </c>
      <c r="J10" s="375">
        <f t="shared" si="5"/>
        <v>1</v>
      </c>
      <c r="K10" s="363">
        <f t="shared" si="6"/>
        <v>3</v>
      </c>
      <c r="L10" s="363">
        <f t="shared" si="7"/>
        <v>0</v>
      </c>
      <c r="O10" s="398" t="s">
        <v>10</v>
      </c>
      <c r="P10" s="399">
        <f>SUMIF($D$8:$D$55,$O10,$G$8:$G$55)+SUMIF($F$8:$F$55,$O10,$I$8:$I$55)</f>
        <v>3</v>
      </c>
      <c r="Q10" s="399">
        <f>SUMIF($D$8:$D$55,$O10,$I$8:$I$55)+SUMIF($F$8:$F$55,$O10,$G$8:$G$55)</f>
        <v>6</v>
      </c>
      <c r="R10" s="399">
        <f>P10-Q10</f>
        <v>-3</v>
      </c>
      <c r="S10" s="400">
        <f>SUMIF($D$8:$D$55,$O10,$K$8:$K$55)+SUMIF($F$8:$F$55,$O10,$L$8:$L$55)</f>
        <v>0</v>
      </c>
      <c r="T10" s="445" t="s">
        <v>50</v>
      </c>
      <c r="U10" s="392"/>
      <c r="V10" s="392" t="str">
        <f>O10</f>
        <v>Kroatië</v>
      </c>
      <c r="W10" s="392" t="s">
        <v>49</v>
      </c>
      <c r="Y10" s="109">
        <f t="shared" si="8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0</v>
      </c>
      <c r="AG10" s="108">
        <f t="shared" si="0"/>
        <v>0</v>
      </c>
      <c r="AH10" s="108">
        <f t="shared" si="1"/>
        <v>0</v>
      </c>
      <c r="AI10" s="108">
        <f t="shared" si="10"/>
        <v>0</v>
      </c>
      <c r="AJ10" s="108">
        <f t="shared" si="2"/>
        <v>0</v>
      </c>
      <c r="AK10" s="108">
        <f t="shared" si="3"/>
        <v>0</v>
      </c>
      <c r="AL10" s="108">
        <f t="shared" si="4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2</v>
      </c>
      <c r="H11" s="379" t="s">
        <v>9</v>
      </c>
      <c r="I11" s="442">
        <v>1</v>
      </c>
      <c r="J11" s="381">
        <f t="shared" si="5"/>
        <v>1</v>
      </c>
      <c r="K11" s="363">
        <f t="shared" si="6"/>
        <v>3</v>
      </c>
      <c r="L11" s="363">
        <f t="shared" si="7"/>
        <v>0</v>
      </c>
      <c r="O11" s="398" t="s">
        <v>11</v>
      </c>
      <c r="P11" s="399">
        <f>SUMIF($D$8:$D$55,$O11,$G$8:$G$55)+SUMIF($F$8:$F$55,$O11,$I$8:$I$55)</f>
        <v>6</v>
      </c>
      <c r="Q11" s="399">
        <f>SUMIF($D$8:$D$55,$O11,$I$8:$I$55)+SUMIF($F$8:$F$55,$O11,$G$8:$G$55)</f>
        <v>5</v>
      </c>
      <c r="R11" s="399">
        <f>P11-Q11</f>
        <v>1</v>
      </c>
      <c r="S11" s="400">
        <f>SUMIF($D$8:$D$55,$O11,$K$8:$K$55)+SUMIF($F$8:$F$55,$O11,$L$8:$L$55)</f>
        <v>6</v>
      </c>
      <c r="T11" s="445" t="s">
        <v>49</v>
      </c>
      <c r="U11" s="392"/>
      <c r="V11" s="392" t="str">
        <f>O11</f>
        <v>Mexico</v>
      </c>
      <c r="W11" s="392" t="s">
        <v>47</v>
      </c>
      <c r="Y11" s="109">
        <f t="shared" si="8"/>
        <v>6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6</v>
      </c>
      <c r="AG11" s="108">
        <f t="shared" si="0"/>
        <v>0</v>
      </c>
      <c r="AH11" s="108">
        <f t="shared" si="1"/>
        <v>1</v>
      </c>
      <c r="AI11" s="108">
        <f t="shared" si="10"/>
        <v>0</v>
      </c>
      <c r="AJ11" s="108">
        <f t="shared" si="2"/>
        <v>5</v>
      </c>
      <c r="AK11" s="108">
        <f t="shared" si="3"/>
        <v>0</v>
      </c>
      <c r="AL11" s="108">
        <f t="shared" si="4"/>
        <v>0</v>
      </c>
      <c r="AM11" s="120">
        <f>AO11</f>
        <v>10</v>
      </c>
      <c r="AN11" s="117" t="s">
        <v>11</v>
      </c>
      <c r="AO11" s="115">
        <f>IF(Uitslag!T11="",0,IF(T11=Uitslag!T11,10,0))</f>
        <v>10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2</v>
      </c>
      <c r="H12" s="367" t="s">
        <v>9</v>
      </c>
      <c r="I12" s="440">
        <v>1</v>
      </c>
      <c r="J12" s="369">
        <f t="shared" si="5"/>
        <v>1</v>
      </c>
      <c r="K12" s="363">
        <f t="shared" si="6"/>
        <v>3</v>
      </c>
      <c r="L12" s="363">
        <f t="shared" si="7"/>
        <v>0</v>
      </c>
      <c r="O12" s="401" t="s">
        <v>12</v>
      </c>
      <c r="P12" s="402">
        <f>SUMIF($D$8:$D$55,$O12,$G$8:$G$55)+SUMIF($F$8:$F$55,$O12,$I$8:$I$55)</f>
        <v>4</v>
      </c>
      <c r="Q12" s="402">
        <f>SUMIF($D$8:$D$55,$O12,$I$8:$I$55)+SUMIF($F$8:$F$55,$O12,$G$8:$G$55)</f>
        <v>6</v>
      </c>
      <c r="R12" s="402">
        <f>P12-Q12</f>
        <v>-2</v>
      </c>
      <c r="S12" s="403">
        <f>SUMIF($D$8:$D$55,$O12,$K$8:$K$55)+SUMIF($F$8:$F$55,$O12,$L$8:$L$55)</f>
        <v>3</v>
      </c>
      <c r="T12" s="446" t="s">
        <v>47</v>
      </c>
      <c r="U12" s="392"/>
      <c r="V12" s="392" t="str">
        <f>O12</f>
        <v>Kameroen</v>
      </c>
      <c r="W12" s="392" t="s">
        <v>50</v>
      </c>
      <c r="Y12" s="109">
        <f t="shared" si="8"/>
        <v>5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5</v>
      </c>
      <c r="AG12" s="108">
        <f t="shared" si="0"/>
        <v>0</v>
      </c>
      <c r="AH12" s="108">
        <f t="shared" si="1"/>
        <v>0</v>
      </c>
      <c r="AI12" s="108">
        <f t="shared" si="10"/>
        <v>0</v>
      </c>
      <c r="AJ12" s="108">
        <f t="shared" si="2"/>
        <v>5</v>
      </c>
      <c r="AK12" s="108">
        <f t="shared" si="3"/>
        <v>0</v>
      </c>
      <c r="AL12" s="108">
        <f t="shared" si="4"/>
        <v>0</v>
      </c>
      <c r="AM12" s="120">
        <f>AO12</f>
        <v>0</v>
      </c>
      <c r="AN12" s="118" t="s">
        <v>12</v>
      </c>
      <c r="AO12" s="115">
        <f>IF(Uitslag!T12="",0,IF(T12=Uitslag!T12,10,0))</f>
        <v>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3</v>
      </c>
      <c r="H13" s="373" t="s">
        <v>9</v>
      </c>
      <c r="I13" s="441">
        <v>1</v>
      </c>
      <c r="J13" s="375">
        <f t="shared" si="5"/>
        <v>1</v>
      </c>
      <c r="K13" s="363">
        <f t="shared" si="6"/>
        <v>3</v>
      </c>
      <c r="L13" s="363">
        <f t="shared" si="7"/>
        <v>0</v>
      </c>
      <c r="O13" s="392"/>
      <c r="P13" s="393"/>
      <c r="Q13" s="393"/>
      <c r="R13" s="393"/>
      <c r="S13" s="393"/>
      <c r="T13" s="393"/>
      <c r="U13" s="392"/>
      <c r="V13" s="392"/>
      <c r="W13" s="392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0"/>
        <v>0</v>
      </c>
      <c r="AH13" s="108">
        <f t="shared" si="1"/>
        <v>0</v>
      </c>
      <c r="AI13" s="108">
        <f t="shared" si="10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392"/>
      <c r="AO13" s="393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2</v>
      </c>
      <c r="H14" s="373" t="s">
        <v>9</v>
      </c>
      <c r="I14" s="441">
        <v>3</v>
      </c>
      <c r="J14" s="375">
        <f t="shared" si="5"/>
        <v>2</v>
      </c>
      <c r="K14" s="363">
        <f t="shared" si="6"/>
        <v>0</v>
      </c>
      <c r="L14" s="363">
        <f t="shared" si="7"/>
        <v>3</v>
      </c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392"/>
      <c r="V14" s="392"/>
      <c r="W14" s="392"/>
      <c r="Y14" s="109">
        <f t="shared" si="8"/>
        <v>5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5</v>
      </c>
      <c r="AG14" s="108">
        <f t="shared" si="0"/>
        <v>0</v>
      </c>
      <c r="AH14" s="108">
        <f t="shared" si="1"/>
        <v>0</v>
      </c>
      <c r="AI14" s="108">
        <f t="shared" si="10"/>
        <v>0</v>
      </c>
      <c r="AJ14" s="108">
        <f t="shared" si="2"/>
        <v>0</v>
      </c>
      <c r="AK14" s="108">
        <f t="shared" si="3"/>
        <v>5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2</v>
      </c>
      <c r="H15" s="379" t="s">
        <v>9</v>
      </c>
      <c r="I15" s="442">
        <v>1</v>
      </c>
      <c r="J15" s="381">
        <f t="shared" si="5"/>
        <v>1</v>
      </c>
      <c r="K15" s="363">
        <f t="shared" si="6"/>
        <v>3</v>
      </c>
      <c r="L15" s="363">
        <f t="shared" si="7"/>
        <v>0</v>
      </c>
      <c r="O15" s="394" t="s">
        <v>13</v>
      </c>
      <c r="P15" s="395">
        <f>SUMIF($D$8:$D$55,$O15,$G$8:$G$55)+SUMIF($F$8:$F$55,$O15,$I$8:$I$55)</f>
        <v>9</v>
      </c>
      <c r="Q15" s="395">
        <f>SUMIF($D$8:$D$55,$O15,$I$8:$I$55)+SUMIF($F$8:$F$55,$O15,$G$8:$G$55)</f>
        <v>3</v>
      </c>
      <c r="R15" s="396">
        <f>P15-Q15</f>
        <v>6</v>
      </c>
      <c r="S15" s="397">
        <f>SUMIF($D$8:$D$55,$O15,$K$8:$K$55)+SUMIF($F$8:$F$55,$O15,$L$8:$L$55)</f>
        <v>9</v>
      </c>
      <c r="T15" s="444" t="s">
        <v>52</v>
      </c>
      <c r="U15" s="392"/>
      <c r="V15" s="392" t="str">
        <f>O15</f>
        <v>Spanje</v>
      </c>
      <c r="W15" s="392" t="s">
        <v>52</v>
      </c>
      <c r="Y15" s="109">
        <f t="shared" si="8"/>
        <v>10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10</v>
      </c>
      <c r="AG15" s="108">
        <f t="shared" si="0"/>
        <v>1</v>
      </c>
      <c r="AH15" s="108">
        <f t="shared" si="1"/>
        <v>1</v>
      </c>
      <c r="AI15" s="108">
        <f t="shared" si="10"/>
        <v>10</v>
      </c>
      <c r="AJ15" s="108">
        <f t="shared" si="2"/>
        <v>5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0</v>
      </c>
      <c r="H16" s="367" t="s">
        <v>9</v>
      </c>
      <c r="I16" s="440">
        <v>1</v>
      </c>
      <c r="J16" s="369">
        <f t="shared" si="5"/>
        <v>2</v>
      </c>
      <c r="K16" s="363">
        <f t="shared" si="6"/>
        <v>0</v>
      </c>
      <c r="L16" s="363">
        <f t="shared" si="7"/>
        <v>3</v>
      </c>
      <c r="O16" s="404" t="s">
        <v>14</v>
      </c>
      <c r="P16" s="399">
        <f>SUMIF($D$8:$D$55,$O16,$G$8:$G$55)+SUMIF($F$8:$F$55,$O16,$I$8:$I$55)</f>
        <v>5</v>
      </c>
      <c r="Q16" s="399">
        <f>SUMIF($D$8:$D$55,$O16,$I$8:$I$55)+SUMIF($F$8:$F$55,$O16,$G$8:$G$55)</f>
        <v>5</v>
      </c>
      <c r="R16" s="399">
        <f>P16-Q16</f>
        <v>0</v>
      </c>
      <c r="S16" s="400">
        <f>SUMIF($D$8:$D$55,$O16,$K$8:$K$55)+SUMIF($F$8:$F$55,$O16,$L$8:$L$55)</f>
        <v>6</v>
      </c>
      <c r="T16" s="445" t="s">
        <v>53</v>
      </c>
      <c r="U16" s="392"/>
      <c r="V16" s="392" t="str">
        <f>O16</f>
        <v>Nederland</v>
      </c>
      <c r="W16" s="392" t="s">
        <v>53</v>
      </c>
      <c r="Y16" s="109">
        <f t="shared" si="8"/>
        <v>1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1</v>
      </c>
      <c r="AG16" s="108">
        <f t="shared" si="0"/>
        <v>0</v>
      </c>
      <c r="AH16" s="108">
        <f t="shared" si="1"/>
        <v>1</v>
      </c>
      <c r="AI16" s="108">
        <f t="shared" si="10"/>
        <v>0</v>
      </c>
      <c r="AJ16" s="108">
        <f t="shared" si="2"/>
        <v>0</v>
      </c>
      <c r="AK16" s="108">
        <f t="shared" si="3"/>
        <v>0</v>
      </c>
      <c r="AL16" s="108">
        <f t="shared" si="4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4</v>
      </c>
      <c r="H17" s="373" t="s">
        <v>9</v>
      </c>
      <c r="I17" s="441">
        <v>1</v>
      </c>
      <c r="J17" s="375">
        <f t="shared" si="5"/>
        <v>1</v>
      </c>
      <c r="K17" s="363">
        <f t="shared" si="6"/>
        <v>3</v>
      </c>
      <c r="L17" s="363">
        <f t="shared" si="7"/>
        <v>0</v>
      </c>
      <c r="O17" s="398" t="s">
        <v>15</v>
      </c>
      <c r="P17" s="399">
        <f>SUMIF($D$8:$D$55,$O17,$G$8:$G$55)+SUMIF($F$8:$F$55,$O17,$I$8:$I$55)</f>
        <v>4</v>
      </c>
      <c r="Q17" s="399">
        <f>SUMIF($D$8:$D$55,$O17,$I$8:$I$55)+SUMIF($F$8:$F$55,$O17,$G$8:$G$55)</f>
        <v>6</v>
      </c>
      <c r="R17" s="399">
        <f>P17-Q17</f>
        <v>-2</v>
      </c>
      <c r="S17" s="400">
        <f>SUMIF($D$8:$D$55,$O17,$K$8:$K$55)+SUMIF($F$8:$F$55,$O17,$L$8:$L$55)</f>
        <v>3</v>
      </c>
      <c r="T17" s="445" t="s">
        <v>54</v>
      </c>
      <c r="U17" s="392"/>
      <c r="V17" s="392" t="str">
        <f>O17</f>
        <v>Chili</v>
      </c>
      <c r="W17" s="392" t="s">
        <v>54</v>
      </c>
      <c r="Y17" s="109">
        <f t="shared" si="8"/>
        <v>5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5</v>
      </c>
      <c r="AG17" s="108">
        <f t="shared" si="0"/>
        <v>0</v>
      </c>
      <c r="AH17" s="108">
        <f t="shared" si="1"/>
        <v>0</v>
      </c>
      <c r="AI17" s="108">
        <f t="shared" si="10"/>
        <v>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3</v>
      </c>
      <c r="H18" s="379" t="s">
        <v>9</v>
      </c>
      <c r="I18" s="442">
        <v>1</v>
      </c>
      <c r="J18" s="381">
        <f t="shared" si="5"/>
        <v>1</v>
      </c>
      <c r="K18" s="363">
        <f t="shared" si="6"/>
        <v>3</v>
      </c>
      <c r="L18" s="363">
        <f t="shared" si="7"/>
        <v>0</v>
      </c>
      <c r="O18" s="401" t="s">
        <v>16</v>
      </c>
      <c r="P18" s="402">
        <f>SUMIF($D$8:$D$55,$O18,$G$8:$G$55)+SUMIF($F$8:$F$55,$O18,$I$8:$I$55)</f>
        <v>3</v>
      </c>
      <c r="Q18" s="402">
        <f>SUMIF($D$8:$D$55,$O18,$I$8:$I$55)+SUMIF($F$8:$F$55,$O18,$G$8:$G$55)</f>
        <v>7</v>
      </c>
      <c r="R18" s="402">
        <f>P18-Q18</f>
        <v>-4</v>
      </c>
      <c r="S18" s="403">
        <f>SUMIF($D$8:$D$55,$O18,$K$8:$K$55)+SUMIF($F$8:$F$55,$O18,$L$8:$L$55)</f>
        <v>0</v>
      </c>
      <c r="T18" s="446" t="s">
        <v>55</v>
      </c>
      <c r="U18" s="392"/>
      <c r="V18" s="392" t="str">
        <f>O18</f>
        <v>Australië</v>
      </c>
      <c r="W18" s="392" t="s">
        <v>55</v>
      </c>
      <c r="Y18" s="109">
        <f t="shared" si="8"/>
        <v>6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6</v>
      </c>
      <c r="AG18" s="108">
        <f t="shared" si="0"/>
        <v>0</v>
      </c>
      <c r="AH18" s="108">
        <f t="shared" si="1"/>
        <v>1</v>
      </c>
      <c r="AI18" s="108">
        <f t="shared" si="10"/>
        <v>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2</v>
      </c>
      <c r="H19" s="367" t="s">
        <v>9</v>
      </c>
      <c r="I19" s="440">
        <v>1</v>
      </c>
      <c r="J19" s="369">
        <f t="shared" si="5"/>
        <v>1</v>
      </c>
      <c r="K19" s="363">
        <f t="shared" si="6"/>
        <v>3</v>
      </c>
      <c r="L19" s="363">
        <f t="shared" si="7"/>
        <v>0</v>
      </c>
      <c r="O19" s="392"/>
      <c r="P19" s="393"/>
      <c r="Q19" s="393"/>
      <c r="R19" s="393"/>
      <c r="S19" s="393"/>
      <c r="T19" s="393"/>
      <c r="U19" s="392"/>
      <c r="V19" s="392"/>
      <c r="W19" s="392"/>
      <c r="Y19" s="109">
        <f t="shared" si="8"/>
        <v>5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5</v>
      </c>
      <c r="AG19" s="108">
        <f t="shared" si="0"/>
        <v>0</v>
      </c>
      <c r="AH19" s="108">
        <f t="shared" si="1"/>
        <v>0</v>
      </c>
      <c r="AI19" s="108">
        <f t="shared" si="10"/>
        <v>0</v>
      </c>
      <c r="AJ19" s="108">
        <f t="shared" si="2"/>
        <v>5</v>
      </c>
      <c r="AK19" s="108">
        <f t="shared" si="3"/>
        <v>0</v>
      </c>
      <c r="AL19" s="108">
        <f t="shared" si="4"/>
        <v>0</v>
      </c>
      <c r="AN19" s="392"/>
      <c r="AO19" s="393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2</v>
      </c>
      <c r="H20" s="373" t="s">
        <v>9</v>
      </c>
      <c r="I20" s="441">
        <v>2</v>
      </c>
      <c r="J20" s="375">
        <f t="shared" si="5"/>
        <v>3</v>
      </c>
      <c r="K20" s="363">
        <f t="shared" si="6"/>
        <v>1</v>
      </c>
      <c r="L20" s="363">
        <f t="shared" si="7"/>
        <v>1</v>
      </c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392"/>
      <c r="V20" s="392"/>
      <c r="W20" s="392"/>
      <c r="Y20" s="109">
        <f t="shared" si="8"/>
        <v>5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5</v>
      </c>
      <c r="AG20" s="108">
        <f t="shared" si="0"/>
        <v>0</v>
      </c>
      <c r="AH20" s="108">
        <f t="shared" si="1"/>
        <v>0</v>
      </c>
      <c r="AI20" s="108">
        <f t="shared" si="10"/>
        <v>0</v>
      </c>
      <c r="AJ20" s="108">
        <f t="shared" si="2"/>
        <v>0</v>
      </c>
      <c r="AK20" s="108">
        <f t="shared" si="3"/>
        <v>0</v>
      </c>
      <c r="AL20" s="108">
        <f t="shared" si="4"/>
        <v>5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2</v>
      </c>
      <c r="H21" s="379" t="s">
        <v>9</v>
      </c>
      <c r="I21" s="442">
        <v>1</v>
      </c>
      <c r="J21" s="381">
        <f t="shared" si="5"/>
        <v>1</v>
      </c>
      <c r="K21" s="363">
        <f t="shared" si="6"/>
        <v>3</v>
      </c>
      <c r="L21" s="363">
        <f t="shared" si="7"/>
        <v>0</v>
      </c>
      <c r="O21" s="394" t="s">
        <v>17</v>
      </c>
      <c r="P21" s="395">
        <f>SUMIF($D$8:$D$55,$O21,$G$8:$G$55)+SUMIF($F$8:$F$55,$O21,$I$8:$I$55)</f>
        <v>6</v>
      </c>
      <c r="Q21" s="395">
        <f>SUMIF($D$8:$D$55,$O21,$I$8:$I$55)+SUMIF($F$8:$F$55,$O21,$G$8:$G$55)</f>
        <v>3</v>
      </c>
      <c r="R21" s="396">
        <f>P21-Q21</f>
        <v>3</v>
      </c>
      <c r="S21" s="397">
        <f>SUMIF($D$8:$D$55,$O21,$K$8:$K$55)+SUMIF($F$8:$F$55,$O21,$L$8:$L$55)</f>
        <v>9</v>
      </c>
      <c r="T21" s="444" t="s">
        <v>57</v>
      </c>
      <c r="U21" s="392"/>
      <c r="V21" s="392" t="str">
        <f>O21</f>
        <v>Colombia</v>
      </c>
      <c r="W21" s="392" t="s">
        <v>57</v>
      </c>
      <c r="Y21" s="109">
        <f t="shared" si="8"/>
        <v>0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0</v>
      </c>
      <c r="AG21" s="108">
        <f t="shared" si="0"/>
        <v>0</v>
      </c>
      <c r="AH21" s="108">
        <f t="shared" si="1"/>
        <v>0</v>
      </c>
      <c r="AI21" s="108">
        <f t="shared" si="10"/>
        <v>0</v>
      </c>
      <c r="AJ21" s="108">
        <f t="shared" si="2"/>
        <v>0</v>
      </c>
      <c r="AK21" s="108">
        <f t="shared" si="3"/>
        <v>0</v>
      </c>
      <c r="AL21" s="108">
        <f t="shared" si="4"/>
        <v>0</v>
      </c>
      <c r="AM21" s="120">
        <f>AO21</f>
        <v>10</v>
      </c>
      <c r="AN21" s="116" t="s">
        <v>17</v>
      </c>
      <c r="AO21" s="115">
        <f>IF(Uitslag!T21="",0,IF(T21=Uitslag!T21,10,0))</f>
        <v>10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3</v>
      </c>
      <c r="H22" s="367" t="s">
        <v>9</v>
      </c>
      <c r="I22" s="440">
        <v>1</v>
      </c>
      <c r="J22" s="369">
        <f t="shared" si="5"/>
        <v>1</v>
      </c>
      <c r="K22" s="363">
        <f t="shared" si="6"/>
        <v>3</v>
      </c>
      <c r="L22" s="363">
        <f t="shared" si="7"/>
        <v>0</v>
      </c>
      <c r="O22" s="398" t="s">
        <v>18</v>
      </c>
      <c r="P22" s="399">
        <f>SUMIF($D$8:$D$55,$O22,$G$8:$G$55)+SUMIF($F$8:$F$55,$O22,$I$8:$I$55)</f>
        <v>5</v>
      </c>
      <c r="Q22" s="399">
        <f>SUMIF($D$8:$D$55,$O22,$I$8:$I$55)+SUMIF($F$8:$F$55,$O22,$G$8:$G$55)</f>
        <v>6</v>
      </c>
      <c r="R22" s="399">
        <f>P22-Q22</f>
        <v>-1</v>
      </c>
      <c r="S22" s="400">
        <f>SUMIF($D$8:$D$55,$O22,$K$8:$K$55)+SUMIF($F$8:$F$55,$O22,$L$8:$L$55)</f>
        <v>3</v>
      </c>
      <c r="T22" s="445" t="s">
        <v>59</v>
      </c>
      <c r="U22" s="392"/>
      <c r="V22" s="392" t="str">
        <f>O22</f>
        <v>Griekenland</v>
      </c>
      <c r="W22" s="392" t="s">
        <v>58</v>
      </c>
      <c r="Y22" s="109">
        <f t="shared" si="8"/>
        <v>6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6</v>
      </c>
      <c r="AG22" s="108">
        <f t="shared" si="0"/>
        <v>0</v>
      </c>
      <c r="AH22" s="108">
        <f t="shared" si="1"/>
        <v>1</v>
      </c>
      <c r="AI22" s="108">
        <f t="shared" si="10"/>
        <v>0</v>
      </c>
      <c r="AJ22" s="108">
        <f t="shared" si="2"/>
        <v>5</v>
      </c>
      <c r="AK22" s="108">
        <f t="shared" si="3"/>
        <v>0</v>
      </c>
      <c r="AL22" s="108">
        <f t="shared" si="4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3</v>
      </c>
      <c r="H23" s="373" t="s">
        <v>9</v>
      </c>
      <c r="I23" s="441">
        <v>2</v>
      </c>
      <c r="J23" s="375">
        <f t="shared" si="5"/>
        <v>1</v>
      </c>
      <c r="K23" s="363">
        <f t="shared" si="6"/>
        <v>3</v>
      </c>
      <c r="L23" s="363">
        <f t="shared" si="7"/>
        <v>0</v>
      </c>
      <c r="O23" s="398" t="s">
        <v>23</v>
      </c>
      <c r="P23" s="399">
        <f>SUMIF($D$8:$D$55,$O23,$G$8:$G$55)+SUMIF($F$8:$F$55,$O23,$I$8:$I$55)</f>
        <v>6</v>
      </c>
      <c r="Q23" s="399">
        <f>SUMIF($D$8:$D$55,$O23,$I$8:$I$55)+SUMIF($F$8:$F$55,$O23,$G$8:$G$55)</f>
        <v>5</v>
      </c>
      <c r="R23" s="399">
        <f>P23-Q23</f>
        <v>1</v>
      </c>
      <c r="S23" s="400">
        <f>SUMIF($D$8:$D$55,$O23,$K$8:$K$55)+SUMIF($F$8:$F$55,$O23,$L$8:$L$55)</f>
        <v>6</v>
      </c>
      <c r="T23" s="445" t="s">
        <v>58</v>
      </c>
      <c r="U23" s="392"/>
      <c r="V23" s="392" t="str">
        <f>O23</f>
        <v>Ivoorkust</v>
      </c>
      <c r="W23" s="392" t="s">
        <v>59</v>
      </c>
      <c r="Y23" s="109">
        <f t="shared" si="8"/>
        <v>0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0</v>
      </c>
      <c r="AG23" s="108">
        <f t="shared" si="0"/>
        <v>0</v>
      </c>
      <c r="AH23" s="108">
        <f t="shared" si="1"/>
        <v>0</v>
      </c>
      <c r="AI23" s="108">
        <f t="shared" si="10"/>
        <v>0</v>
      </c>
      <c r="AJ23" s="108">
        <f t="shared" si="2"/>
        <v>0</v>
      </c>
      <c r="AK23" s="108">
        <f t="shared" si="3"/>
        <v>0</v>
      </c>
      <c r="AL23" s="108">
        <f t="shared" si="4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2</v>
      </c>
      <c r="H24" s="379" t="s">
        <v>9</v>
      </c>
      <c r="I24" s="442">
        <v>1</v>
      </c>
      <c r="J24" s="381">
        <f t="shared" si="5"/>
        <v>1</v>
      </c>
      <c r="K24" s="363">
        <f t="shared" si="6"/>
        <v>3</v>
      </c>
      <c r="L24" s="363">
        <f t="shared" si="7"/>
        <v>0</v>
      </c>
      <c r="O24" s="401" t="s">
        <v>24</v>
      </c>
      <c r="P24" s="402">
        <f>SUMIF($D$8:$D$55,$O24,$G$8:$G$55)+SUMIF($F$8:$F$55,$O24,$I$8:$I$55)</f>
        <v>3</v>
      </c>
      <c r="Q24" s="402">
        <f>SUMIF($D$8:$D$55,$O24,$I$8:$I$55)+SUMIF($F$8:$F$55,$O24,$G$8:$G$55)</f>
        <v>6</v>
      </c>
      <c r="R24" s="402">
        <f>P24-Q24</f>
        <v>-3</v>
      </c>
      <c r="S24" s="403">
        <f>SUMIF($D$8:$D$55,$O24,$K$8:$K$55)+SUMIF($F$8:$F$55,$O24,$L$8:$L$55)</f>
        <v>0</v>
      </c>
      <c r="T24" s="446" t="s">
        <v>60</v>
      </c>
      <c r="U24" s="392"/>
      <c r="V24" s="392" t="str">
        <f>O24</f>
        <v>Japan</v>
      </c>
      <c r="W24" s="392" t="s">
        <v>60</v>
      </c>
      <c r="Y24" s="109">
        <f t="shared" si="8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</v>
      </c>
      <c r="AG24" s="108">
        <f t="shared" si="0"/>
        <v>0</v>
      </c>
      <c r="AH24" s="108">
        <f t="shared" si="1"/>
        <v>1</v>
      </c>
      <c r="AI24" s="108">
        <f t="shared" si="10"/>
        <v>0</v>
      </c>
      <c r="AJ24" s="108">
        <f t="shared" si="2"/>
        <v>0</v>
      </c>
      <c r="AK24" s="108">
        <f t="shared" si="3"/>
        <v>0</v>
      </c>
      <c r="AL24" s="108">
        <f t="shared" si="4"/>
        <v>0</v>
      </c>
      <c r="AM24" s="120">
        <f>AO24</f>
        <v>10</v>
      </c>
      <c r="AN24" s="118" t="s">
        <v>24</v>
      </c>
      <c r="AO24" s="115">
        <f>IF(Uitslag!T24="",0,IF(T24=Uitslag!T24,10,0))</f>
        <v>10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1</v>
      </c>
      <c r="H25" s="367" t="s">
        <v>9</v>
      </c>
      <c r="I25" s="440">
        <v>2</v>
      </c>
      <c r="J25" s="369">
        <f t="shared" si="5"/>
        <v>2</v>
      </c>
      <c r="K25" s="363">
        <f t="shared" si="6"/>
        <v>0</v>
      </c>
      <c r="L25" s="363">
        <f t="shared" si="7"/>
        <v>3</v>
      </c>
      <c r="O25" s="392"/>
      <c r="P25" s="393"/>
      <c r="Q25" s="393"/>
      <c r="R25" s="393"/>
      <c r="S25" s="393"/>
      <c r="T25" s="393"/>
      <c r="U25" s="392"/>
      <c r="V25" s="392"/>
      <c r="W25" s="392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0"/>
        <v>0</v>
      </c>
      <c r="AH25" s="108">
        <f t="shared" si="1"/>
        <v>0</v>
      </c>
      <c r="AI25" s="108">
        <f t="shared" si="10"/>
        <v>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392"/>
      <c r="AO25" s="393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3</v>
      </c>
      <c r="H26" s="373" t="s">
        <v>9</v>
      </c>
      <c r="I26" s="441">
        <v>1</v>
      </c>
      <c r="J26" s="375">
        <f t="shared" si="5"/>
        <v>1</v>
      </c>
      <c r="K26" s="363">
        <f t="shared" si="6"/>
        <v>3</v>
      </c>
      <c r="L26" s="363">
        <f t="shared" si="7"/>
        <v>0</v>
      </c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392"/>
      <c r="V26" s="392"/>
      <c r="W26" s="392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0"/>
        <v>0</v>
      </c>
      <c r="AH26" s="108">
        <f t="shared" si="1"/>
        <v>0</v>
      </c>
      <c r="AI26" s="108">
        <f t="shared" si="10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2</v>
      </c>
      <c r="H27" s="379" t="s">
        <v>9</v>
      </c>
      <c r="I27" s="442">
        <v>1</v>
      </c>
      <c r="J27" s="381">
        <f t="shared" si="5"/>
        <v>1</v>
      </c>
      <c r="K27" s="363">
        <f t="shared" si="6"/>
        <v>3</v>
      </c>
      <c r="L27" s="363">
        <f t="shared" si="7"/>
        <v>0</v>
      </c>
      <c r="O27" s="394" t="s">
        <v>19</v>
      </c>
      <c r="P27" s="395">
        <f>SUMIF($D$8:$D$55,$O27,$G$8:$G$55)+SUMIF($F$8:$F$55,$O27,$I$8:$I$55)</f>
        <v>5</v>
      </c>
      <c r="Q27" s="395">
        <f>SUMIF($D$8:$D$55,$O27,$I$8:$I$55)+SUMIF($F$8:$F$55,$O27,$G$8:$G$55)</f>
        <v>5</v>
      </c>
      <c r="R27" s="396">
        <f>P27-Q27</f>
        <v>0</v>
      </c>
      <c r="S27" s="397">
        <f>SUMIF($D$8:$D$55,$O27,$K$8:$K$55)+SUMIF($F$8:$F$55,$O27,$L$8:$L$55)</f>
        <v>3</v>
      </c>
      <c r="T27" s="444" t="s">
        <v>64</v>
      </c>
      <c r="U27" s="392"/>
      <c r="V27" s="392" t="str">
        <f>O27</f>
        <v>Uruguay</v>
      </c>
      <c r="W27" s="392" t="s">
        <v>62</v>
      </c>
      <c r="Y27" s="109">
        <f t="shared" si="8"/>
        <v>0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0</v>
      </c>
      <c r="AG27" s="108">
        <f t="shared" si="0"/>
        <v>0</v>
      </c>
      <c r="AH27" s="108">
        <f t="shared" si="1"/>
        <v>0</v>
      </c>
      <c r="AI27" s="108">
        <f t="shared" si="10"/>
        <v>0</v>
      </c>
      <c r="AJ27" s="108">
        <f t="shared" si="2"/>
        <v>0</v>
      </c>
      <c r="AK27" s="108">
        <f t="shared" si="3"/>
        <v>0</v>
      </c>
      <c r="AL27" s="108">
        <f t="shared" si="4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2</v>
      </c>
      <c r="H28" s="367" t="s">
        <v>9</v>
      </c>
      <c r="I28" s="440">
        <v>1</v>
      </c>
      <c r="J28" s="369">
        <f t="shared" si="5"/>
        <v>1</v>
      </c>
      <c r="K28" s="363">
        <f t="shared" si="6"/>
        <v>3</v>
      </c>
      <c r="L28" s="363">
        <f t="shared" si="7"/>
        <v>0</v>
      </c>
      <c r="O28" s="398" t="s">
        <v>20</v>
      </c>
      <c r="P28" s="399">
        <f>SUMIF($D$8:$D$55,$O28,$G$8:$G$55)+SUMIF($F$8:$F$55,$O28,$I$8:$I$55)</f>
        <v>2</v>
      </c>
      <c r="Q28" s="399">
        <f>SUMIF($D$8:$D$55,$O28,$I$8:$I$55)+SUMIF($F$8:$F$55,$O28,$G$8:$G$55)</f>
        <v>8</v>
      </c>
      <c r="R28" s="399">
        <f>P28-Q28</f>
        <v>-6</v>
      </c>
      <c r="S28" s="400">
        <f>SUMIF($D$8:$D$55,$O28,$K$8:$K$55)+SUMIF($F$8:$F$55,$O28,$L$8:$L$55)</f>
        <v>0</v>
      </c>
      <c r="T28" s="445" t="s">
        <v>65</v>
      </c>
      <c r="U28" s="392"/>
      <c r="V28" s="392" t="str">
        <f>O28</f>
        <v>Costa Rica</v>
      </c>
      <c r="W28" s="392" t="s">
        <v>63</v>
      </c>
      <c r="Y28" s="109">
        <f t="shared" si="8"/>
        <v>10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10</v>
      </c>
      <c r="AG28" s="108">
        <f t="shared" si="0"/>
        <v>1</v>
      </c>
      <c r="AH28" s="108">
        <f t="shared" si="1"/>
        <v>1</v>
      </c>
      <c r="AI28" s="108">
        <f t="shared" si="10"/>
        <v>10</v>
      </c>
      <c r="AJ28" s="108">
        <f t="shared" si="2"/>
        <v>5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1</v>
      </c>
      <c r="H29" s="373" t="s">
        <v>9</v>
      </c>
      <c r="I29" s="441">
        <v>2</v>
      </c>
      <c r="J29" s="375">
        <f t="shared" si="5"/>
        <v>2</v>
      </c>
      <c r="K29" s="363">
        <f t="shared" si="6"/>
        <v>0</v>
      </c>
      <c r="L29" s="363">
        <f t="shared" si="7"/>
        <v>3</v>
      </c>
      <c r="O29" s="398" t="s">
        <v>21</v>
      </c>
      <c r="P29" s="399">
        <f>SUMIF($D$8:$D$55,$O29,$G$8:$G$55)+SUMIF($F$8:$F$55,$O29,$I$8:$I$55)</f>
        <v>6</v>
      </c>
      <c r="Q29" s="399">
        <f>SUMIF($D$8:$D$55,$O29,$I$8:$I$55)+SUMIF($F$8:$F$55,$O29,$G$8:$G$55)</f>
        <v>4</v>
      </c>
      <c r="R29" s="399">
        <f>P29-Q29</f>
        <v>2</v>
      </c>
      <c r="S29" s="400">
        <f>SUMIF($D$8:$D$55,$O29,$K$8:$K$55)+SUMIF($F$8:$F$55,$O29,$L$8:$L$55)</f>
        <v>6</v>
      </c>
      <c r="T29" s="445" t="s">
        <v>63</v>
      </c>
      <c r="U29" s="392"/>
      <c r="V29" s="392" t="str">
        <f>O29</f>
        <v>Engeland</v>
      </c>
      <c r="W29" s="392" t="s">
        <v>64</v>
      </c>
      <c r="Y29" s="109">
        <f t="shared" si="8"/>
        <v>0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0</v>
      </c>
      <c r="AG29" s="108">
        <f t="shared" si="0"/>
        <v>0</v>
      </c>
      <c r="AH29" s="108">
        <f t="shared" si="1"/>
        <v>0</v>
      </c>
      <c r="AI29" s="108">
        <f t="shared" si="10"/>
        <v>0</v>
      </c>
      <c r="AJ29" s="108">
        <f t="shared" si="2"/>
        <v>0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1</v>
      </c>
      <c r="H30" s="379" t="s">
        <v>9</v>
      </c>
      <c r="I30" s="442">
        <v>2</v>
      </c>
      <c r="J30" s="381">
        <f t="shared" si="5"/>
        <v>2</v>
      </c>
      <c r="K30" s="363">
        <f t="shared" si="6"/>
        <v>0</v>
      </c>
      <c r="L30" s="363">
        <f t="shared" si="7"/>
        <v>3</v>
      </c>
      <c r="O30" s="401" t="s">
        <v>22</v>
      </c>
      <c r="P30" s="402">
        <f>SUMIF($D$8:$D$55,$O30,$G$8:$G$55)+SUMIF($F$8:$F$55,$O30,$I$8:$I$55)</f>
        <v>8</v>
      </c>
      <c r="Q30" s="402">
        <f>SUMIF($D$8:$D$55,$O30,$I$8:$I$55)+SUMIF($F$8:$F$55,$O30,$G$8:$G$55)</f>
        <v>4</v>
      </c>
      <c r="R30" s="402">
        <f>P30-Q30</f>
        <v>4</v>
      </c>
      <c r="S30" s="403">
        <f>SUMIF($D$8:$D$55,$O30,$K$8:$K$55)+SUMIF($F$8:$F$55,$O30,$L$8:$L$55)</f>
        <v>9</v>
      </c>
      <c r="T30" s="446" t="s">
        <v>62</v>
      </c>
      <c r="U30" s="392"/>
      <c r="V30" s="392" t="str">
        <f>O30</f>
        <v>Italië</v>
      </c>
      <c r="W30" s="392" t="s">
        <v>65</v>
      </c>
      <c r="Y30" s="109">
        <f t="shared" si="8"/>
        <v>0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0</v>
      </c>
      <c r="AG30" s="108">
        <f t="shared" si="0"/>
        <v>0</v>
      </c>
      <c r="AH30" s="108">
        <f t="shared" si="1"/>
        <v>0</v>
      </c>
      <c r="AI30" s="108">
        <f t="shared" si="10"/>
        <v>0</v>
      </c>
      <c r="AJ30" s="108">
        <f t="shared" si="2"/>
        <v>0</v>
      </c>
      <c r="AK30" s="108">
        <f t="shared" si="3"/>
        <v>0</v>
      </c>
      <c r="AL30" s="108">
        <f t="shared" si="4"/>
        <v>0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3</v>
      </c>
      <c r="H31" s="367" t="s">
        <v>9</v>
      </c>
      <c r="I31" s="440">
        <v>1</v>
      </c>
      <c r="J31" s="369">
        <f t="shared" si="5"/>
        <v>1</v>
      </c>
      <c r="K31" s="363">
        <f t="shared" si="6"/>
        <v>3</v>
      </c>
      <c r="L31" s="363">
        <f t="shared" si="7"/>
        <v>0</v>
      </c>
      <c r="O31" s="392"/>
      <c r="P31" s="393"/>
      <c r="Q31" s="393"/>
      <c r="R31" s="393"/>
      <c r="S31" s="393"/>
      <c r="T31" s="393"/>
      <c r="U31" s="392"/>
      <c r="V31" s="392"/>
      <c r="W31" s="392"/>
      <c r="Y31" s="109">
        <f t="shared" si="8"/>
        <v>1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1</v>
      </c>
      <c r="AG31" s="108">
        <f t="shared" si="0"/>
        <v>0</v>
      </c>
      <c r="AH31" s="108">
        <f t="shared" si="1"/>
        <v>1</v>
      </c>
      <c r="AI31" s="108">
        <f t="shared" si="10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392"/>
      <c r="AO31" s="393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1</v>
      </c>
      <c r="H32" s="373" t="s">
        <v>9</v>
      </c>
      <c r="I32" s="441">
        <v>2</v>
      </c>
      <c r="J32" s="375">
        <f t="shared" si="5"/>
        <v>2</v>
      </c>
      <c r="K32" s="363">
        <f t="shared" si="6"/>
        <v>0</v>
      </c>
      <c r="L32" s="363">
        <f t="shared" si="7"/>
        <v>3</v>
      </c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392"/>
      <c r="V32" s="392"/>
      <c r="W32" s="392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0"/>
        <v>0</v>
      </c>
      <c r="AH32" s="108">
        <f t="shared" si="1"/>
        <v>0</v>
      </c>
      <c r="AI32" s="108">
        <f t="shared" si="10"/>
        <v>0</v>
      </c>
      <c r="AJ32" s="108">
        <f t="shared" si="2"/>
        <v>0</v>
      </c>
      <c r="AK32" s="108">
        <f t="shared" si="3"/>
        <v>5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1</v>
      </c>
      <c r="H33" s="379" t="s">
        <v>9</v>
      </c>
      <c r="I33" s="442">
        <v>2</v>
      </c>
      <c r="J33" s="381">
        <f t="shared" si="5"/>
        <v>2</v>
      </c>
      <c r="K33" s="363">
        <f t="shared" si="6"/>
        <v>0</v>
      </c>
      <c r="L33" s="363">
        <f t="shared" si="7"/>
        <v>3</v>
      </c>
      <c r="O33" s="394" t="s">
        <v>25</v>
      </c>
      <c r="P33" s="395">
        <f>SUMIF($D$8:$D$55,$O33,$G$8:$G$55)+SUMIF($F$8:$F$55,$O33,$I$8:$I$55)</f>
        <v>2</v>
      </c>
      <c r="Q33" s="395">
        <f>SUMIF($D$8:$D$55,$O33,$I$8:$I$55)+SUMIF($F$8:$F$55,$O33,$G$8:$G$55)</f>
        <v>5</v>
      </c>
      <c r="R33" s="396">
        <f>P33-Q33</f>
        <v>-3</v>
      </c>
      <c r="S33" s="397">
        <f>SUMIF($D$8:$D$55,$O33,$K$8:$K$55)+SUMIF($F$8:$F$55,$O33,$L$8:$L$55)</f>
        <v>0</v>
      </c>
      <c r="T33" s="444" t="s">
        <v>70</v>
      </c>
      <c r="U33" s="392"/>
      <c r="V33" s="392" t="str">
        <f>O33</f>
        <v>Zwitserland</v>
      </c>
      <c r="W33" s="392" t="s">
        <v>67</v>
      </c>
      <c r="Y33" s="109">
        <f t="shared" si="8"/>
        <v>10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10</v>
      </c>
      <c r="AG33" s="108">
        <f t="shared" si="0"/>
        <v>1</v>
      </c>
      <c r="AH33" s="108">
        <f t="shared" si="1"/>
        <v>1</v>
      </c>
      <c r="AI33" s="108">
        <f t="shared" si="10"/>
        <v>10</v>
      </c>
      <c r="AJ33" s="108">
        <f t="shared" si="2"/>
        <v>0</v>
      </c>
      <c r="AK33" s="108">
        <f t="shared" si="3"/>
        <v>5</v>
      </c>
      <c r="AL33" s="108">
        <f t="shared" si="4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3</v>
      </c>
      <c r="H34" s="367" t="s">
        <v>9</v>
      </c>
      <c r="I34" s="440">
        <v>1</v>
      </c>
      <c r="J34" s="369">
        <f t="shared" si="5"/>
        <v>1</v>
      </c>
      <c r="K34" s="363">
        <f t="shared" si="6"/>
        <v>3</v>
      </c>
      <c r="L34" s="363">
        <f t="shared" si="7"/>
        <v>0</v>
      </c>
      <c r="O34" s="398" t="s">
        <v>26</v>
      </c>
      <c r="P34" s="399">
        <f>SUMIF($D$8:$D$55,$O34,$G$8:$G$55)+SUMIF($F$8:$F$55,$O34,$I$8:$I$55)</f>
        <v>4</v>
      </c>
      <c r="Q34" s="399">
        <f>SUMIF($D$8:$D$55,$O34,$I$8:$I$55)+SUMIF($F$8:$F$55,$O34,$G$8:$G$55)</f>
        <v>3</v>
      </c>
      <c r="R34" s="399">
        <f>P34-Q34</f>
        <v>1</v>
      </c>
      <c r="S34" s="400">
        <f>SUMIF($D$8:$D$55,$O34,$K$8:$K$55)+SUMIF($F$8:$F$55,$O34,$L$8:$L$55)</f>
        <v>6</v>
      </c>
      <c r="T34" s="445" t="s">
        <v>68</v>
      </c>
      <c r="U34" s="392"/>
      <c r="V34" s="392" t="str">
        <f>O34</f>
        <v>Ecuador</v>
      </c>
      <c r="W34" s="392" t="s">
        <v>68</v>
      </c>
      <c r="Y34" s="109">
        <f t="shared" si="8"/>
        <v>5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5</v>
      </c>
      <c r="AG34" s="108">
        <f t="shared" si="0"/>
        <v>0</v>
      </c>
      <c r="AH34" s="108">
        <f t="shared" si="1"/>
        <v>0</v>
      </c>
      <c r="AI34" s="108">
        <f t="shared" si="10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2</v>
      </c>
      <c r="H35" s="373" t="s">
        <v>9</v>
      </c>
      <c r="I35" s="441">
        <v>1</v>
      </c>
      <c r="J35" s="375">
        <f t="shared" si="5"/>
        <v>1</v>
      </c>
      <c r="K35" s="363">
        <f t="shared" si="6"/>
        <v>3</v>
      </c>
      <c r="L35" s="363">
        <f t="shared" si="7"/>
        <v>0</v>
      </c>
      <c r="O35" s="398" t="s">
        <v>27</v>
      </c>
      <c r="P35" s="399">
        <f>SUMIF($D$8:$D$55,$O35,$G$8:$G$55)+SUMIF($F$8:$F$55,$O35,$I$8:$I$55)</f>
        <v>8</v>
      </c>
      <c r="Q35" s="399">
        <f>SUMIF($D$8:$D$55,$O35,$I$8:$I$55)+SUMIF($F$8:$F$55,$O35,$G$8:$G$55)</f>
        <v>3</v>
      </c>
      <c r="R35" s="399">
        <f>P35-Q35</f>
        <v>5</v>
      </c>
      <c r="S35" s="400">
        <f>SUMIF($D$8:$D$55,$O35,$K$8:$K$55)+SUMIF($F$8:$F$55,$O35,$L$8:$L$55)</f>
        <v>9</v>
      </c>
      <c r="T35" s="445" t="s">
        <v>67</v>
      </c>
      <c r="U35" s="392"/>
      <c r="V35" s="392" t="str">
        <f>O35</f>
        <v>Frankrijk</v>
      </c>
      <c r="W35" s="392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0"/>
        <v>1</v>
      </c>
      <c r="AH35" s="108">
        <f t="shared" si="1"/>
        <v>0</v>
      </c>
      <c r="AI35" s="108">
        <f t="shared" si="10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3</v>
      </c>
      <c r="H36" s="379" t="s">
        <v>9</v>
      </c>
      <c r="I36" s="442">
        <v>2</v>
      </c>
      <c r="J36" s="381">
        <f t="shared" si="5"/>
        <v>1</v>
      </c>
      <c r="K36" s="363">
        <f t="shared" si="6"/>
        <v>3</v>
      </c>
      <c r="L36" s="363">
        <f t="shared" si="7"/>
        <v>0</v>
      </c>
      <c r="O36" s="401" t="s">
        <v>28</v>
      </c>
      <c r="P36" s="402">
        <f>SUMIF($D$8:$D$55,$O36,$G$8:$G$55)+SUMIF($F$8:$F$55,$O36,$I$8:$I$55)</f>
        <v>4</v>
      </c>
      <c r="Q36" s="402">
        <f>SUMIF($D$8:$D$55,$O36,$I$8:$I$55)+SUMIF($F$8:$F$55,$O36,$G$8:$G$55)</f>
        <v>7</v>
      </c>
      <c r="R36" s="402">
        <f>P36-Q36</f>
        <v>-3</v>
      </c>
      <c r="S36" s="403">
        <f>SUMIF($D$8:$D$55,$O36,$K$8:$K$55)+SUMIF($F$8:$F$55,$O36,$L$8:$L$55)</f>
        <v>3</v>
      </c>
      <c r="T36" s="446" t="s">
        <v>69</v>
      </c>
      <c r="U36" s="392"/>
      <c r="V36" s="392" t="str">
        <f>O36</f>
        <v>Honduras</v>
      </c>
      <c r="W36" s="392" t="s">
        <v>70</v>
      </c>
      <c r="Y36" s="109">
        <f t="shared" si="8"/>
        <v>5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5</v>
      </c>
      <c r="AG36" s="108">
        <f t="shared" si="0"/>
        <v>0</v>
      </c>
      <c r="AH36" s="108">
        <f t="shared" si="1"/>
        <v>0</v>
      </c>
      <c r="AI36" s="108">
        <f t="shared" si="10"/>
        <v>0</v>
      </c>
      <c r="AJ36" s="108">
        <f t="shared" si="2"/>
        <v>5</v>
      </c>
      <c r="AK36" s="108">
        <f t="shared" si="3"/>
        <v>0</v>
      </c>
      <c r="AL36" s="108">
        <f t="shared" si="4"/>
        <v>0</v>
      </c>
      <c r="AM36" s="120">
        <f>AO36</f>
        <v>0</v>
      </c>
      <c r="AN36" s="118" t="s">
        <v>28</v>
      </c>
      <c r="AO36" s="115">
        <f>IF(Uitslag!T36="",0,IF(T36=Uitslag!T36,10,0))</f>
        <v>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2</v>
      </c>
      <c r="H37" s="367" t="s">
        <v>9</v>
      </c>
      <c r="I37" s="440">
        <v>2</v>
      </c>
      <c r="J37" s="369">
        <f t="shared" si="5"/>
        <v>3</v>
      </c>
      <c r="K37" s="363">
        <f t="shared" si="6"/>
        <v>1</v>
      </c>
      <c r="L37" s="363">
        <f t="shared" si="7"/>
        <v>1</v>
      </c>
      <c r="O37" s="392"/>
      <c r="P37" s="393"/>
      <c r="Q37" s="393"/>
      <c r="R37" s="393"/>
      <c r="S37" s="393"/>
      <c r="T37" s="393"/>
      <c r="U37" s="392"/>
      <c r="V37" s="392"/>
      <c r="W37" s="392"/>
      <c r="Y37" s="109">
        <f t="shared" si="8"/>
        <v>0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0</v>
      </c>
      <c r="AG37" s="108">
        <f t="shared" si="0"/>
        <v>0</v>
      </c>
      <c r="AH37" s="108">
        <f t="shared" si="1"/>
        <v>0</v>
      </c>
      <c r="AI37" s="108">
        <f t="shared" si="10"/>
        <v>0</v>
      </c>
      <c r="AJ37" s="108">
        <f t="shared" si="2"/>
        <v>0</v>
      </c>
      <c r="AK37" s="108">
        <f t="shared" si="3"/>
        <v>0</v>
      </c>
      <c r="AL37" s="108">
        <f t="shared" si="4"/>
        <v>0</v>
      </c>
      <c r="AN37" s="392"/>
      <c r="AO37" s="393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2</v>
      </c>
      <c r="H38" s="373" t="s">
        <v>9</v>
      </c>
      <c r="I38" s="441">
        <v>1</v>
      </c>
      <c r="J38" s="375">
        <f t="shared" si="5"/>
        <v>1</v>
      </c>
      <c r="K38" s="363">
        <f t="shared" si="6"/>
        <v>3</v>
      </c>
      <c r="L38" s="363">
        <f t="shared" si="7"/>
        <v>0</v>
      </c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392"/>
      <c r="V38" s="392"/>
      <c r="W38" s="392"/>
      <c r="Y38" s="109">
        <f t="shared" si="8"/>
        <v>1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1</v>
      </c>
      <c r="AG38" s="108">
        <f t="shared" si="0"/>
        <v>1</v>
      </c>
      <c r="AH38" s="108">
        <f t="shared" si="1"/>
        <v>0</v>
      </c>
      <c r="AI38" s="108">
        <f t="shared" si="10"/>
        <v>0</v>
      </c>
      <c r="AJ38" s="108">
        <f t="shared" si="2"/>
        <v>0</v>
      </c>
      <c r="AK38" s="108">
        <f t="shared" si="3"/>
        <v>0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0</v>
      </c>
      <c r="H39" s="379" t="s">
        <v>9</v>
      </c>
      <c r="I39" s="442">
        <v>3</v>
      </c>
      <c r="J39" s="381">
        <f t="shared" si="5"/>
        <v>2</v>
      </c>
      <c r="K39" s="363">
        <f t="shared" si="6"/>
        <v>0</v>
      </c>
      <c r="L39" s="363">
        <f t="shared" si="7"/>
        <v>3</v>
      </c>
      <c r="O39" s="394" t="s">
        <v>29</v>
      </c>
      <c r="P39" s="395">
        <f>SUMIF($D$8:$D$55,$O39,$G$8:$G$55)+SUMIF($F$8:$F$55,$O39,$I$8:$I$55)</f>
        <v>9</v>
      </c>
      <c r="Q39" s="395">
        <f>SUMIF($D$8:$D$55,$O39,$I$8:$I$55)+SUMIF($F$8:$F$55,$O39,$G$8:$G$55)</f>
        <v>3</v>
      </c>
      <c r="R39" s="396">
        <f>P39-Q39</f>
        <v>6</v>
      </c>
      <c r="S39" s="397">
        <f>SUMIF($D$8:$D$55,$O39,$K$8:$K$55)+SUMIF($F$8:$F$55,$O39,$L$8:$L$55)</f>
        <v>9</v>
      </c>
      <c r="T39" s="444" t="s">
        <v>72</v>
      </c>
      <c r="U39" s="392"/>
      <c r="V39" s="392" t="str">
        <f>O39</f>
        <v>Argentinië</v>
      </c>
      <c r="W39" s="392" t="s">
        <v>72</v>
      </c>
      <c r="Y39" s="109">
        <f t="shared" si="8"/>
        <v>0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0</v>
      </c>
      <c r="AG39" s="108">
        <f t="shared" si="0"/>
        <v>0</v>
      </c>
      <c r="AH39" s="108">
        <f t="shared" si="1"/>
        <v>0</v>
      </c>
      <c r="AI39" s="108">
        <f t="shared" si="10"/>
        <v>0</v>
      </c>
      <c r="AJ39" s="108">
        <f t="shared" si="2"/>
        <v>0</v>
      </c>
      <c r="AK39" s="108">
        <f t="shared" si="3"/>
        <v>0</v>
      </c>
      <c r="AL39" s="108">
        <f t="shared" si="4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1</v>
      </c>
      <c r="H40" s="367" t="s">
        <v>9</v>
      </c>
      <c r="I40" s="440">
        <v>3</v>
      </c>
      <c r="J40" s="369">
        <f t="shared" si="5"/>
        <v>2</v>
      </c>
      <c r="K40" s="363">
        <f t="shared" si="6"/>
        <v>0</v>
      </c>
      <c r="L40" s="363">
        <f t="shared" si="7"/>
        <v>3</v>
      </c>
      <c r="O40" s="398" t="s">
        <v>30</v>
      </c>
      <c r="P40" s="399">
        <f>SUMIF($D$8:$D$55,$O40,$G$8:$G$55)+SUMIF($F$8:$F$55,$O40,$I$8:$I$55)</f>
        <v>5</v>
      </c>
      <c r="Q40" s="399">
        <f>SUMIF($D$8:$D$55,$O40,$I$8:$I$55)+SUMIF($F$8:$F$55,$O40,$G$8:$G$55)</f>
        <v>7</v>
      </c>
      <c r="R40" s="399">
        <f>P40-Q40</f>
        <v>-2</v>
      </c>
      <c r="S40" s="400">
        <f>SUMIF($D$8:$D$55,$O40,$K$8:$K$55)+SUMIF($F$8:$F$55,$O40,$L$8:$L$55)</f>
        <v>3</v>
      </c>
      <c r="T40" s="445" t="s">
        <v>74</v>
      </c>
      <c r="U40" s="392"/>
      <c r="V40" s="392" t="str">
        <f>O40</f>
        <v>Bosnië H.</v>
      </c>
      <c r="W40" s="392" t="s">
        <v>73</v>
      </c>
      <c r="Y40" s="109">
        <f t="shared" si="8"/>
        <v>6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6</v>
      </c>
      <c r="AG40" s="108">
        <f t="shared" si="0"/>
        <v>0</v>
      </c>
      <c r="AH40" s="108">
        <f t="shared" si="1"/>
        <v>1</v>
      </c>
      <c r="AI40" s="108">
        <f t="shared" si="10"/>
        <v>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2</v>
      </c>
      <c r="H41" s="373" t="s">
        <v>9</v>
      </c>
      <c r="I41" s="441">
        <v>1</v>
      </c>
      <c r="J41" s="375">
        <f t="shared" si="5"/>
        <v>1</v>
      </c>
      <c r="K41" s="363">
        <f t="shared" si="6"/>
        <v>3</v>
      </c>
      <c r="L41" s="363">
        <f t="shared" si="7"/>
        <v>0</v>
      </c>
      <c r="O41" s="398" t="s">
        <v>33</v>
      </c>
      <c r="P41" s="399">
        <f>SUMIF($D$8:$D$55,$O41,$G$8:$G$55)+SUMIF($F$8:$F$55,$O41,$I$8:$I$55)</f>
        <v>4</v>
      </c>
      <c r="Q41" s="399">
        <f>SUMIF($D$8:$D$55,$O41,$I$8:$I$55)+SUMIF($F$8:$F$55,$O41,$G$8:$G$55)</f>
        <v>7</v>
      </c>
      <c r="R41" s="399">
        <f>P41-Q41</f>
        <v>-3</v>
      </c>
      <c r="S41" s="400">
        <f>SUMIF($D$8:$D$55,$O41,$K$8:$K$55)+SUMIF($F$8:$F$55,$O41,$L$8:$L$55)</f>
        <v>1</v>
      </c>
      <c r="T41" s="445" t="s">
        <v>75</v>
      </c>
      <c r="U41" s="392"/>
      <c r="V41" s="392" t="str">
        <f>O41</f>
        <v>Iran</v>
      </c>
      <c r="W41" s="392" t="s">
        <v>74</v>
      </c>
      <c r="Y41" s="109">
        <f t="shared" si="8"/>
        <v>6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6</v>
      </c>
      <c r="AG41" s="108">
        <f t="shared" si="0"/>
        <v>1</v>
      </c>
      <c r="AH41" s="108">
        <f t="shared" si="1"/>
        <v>0</v>
      </c>
      <c r="AI41" s="108">
        <f t="shared" si="10"/>
        <v>0</v>
      </c>
      <c r="AJ41" s="108">
        <f t="shared" si="2"/>
        <v>5</v>
      </c>
      <c r="AK41" s="108">
        <f t="shared" si="3"/>
        <v>0</v>
      </c>
      <c r="AL41" s="108">
        <f t="shared" si="4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1</v>
      </c>
      <c r="H42" s="373" t="s">
        <v>9</v>
      </c>
      <c r="I42" s="441">
        <v>3</v>
      </c>
      <c r="J42" s="375">
        <f t="shared" si="5"/>
        <v>2</v>
      </c>
      <c r="K42" s="363">
        <f t="shared" si="6"/>
        <v>0</v>
      </c>
      <c r="L42" s="363">
        <f t="shared" si="7"/>
        <v>3</v>
      </c>
      <c r="O42" s="401" t="s">
        <v>34</v>
      </c>
      <c r="P42" s="402">
        <f>SUMIF($D$8:$D$55,$O42,$G$8:$G$55)+SUMIF($F$8:$F$55,$O42,$I$8:$I$55)</f>
        <v>6</v>
      </c>
      <c r="Q42" s="402">
        <f>SUMIF($D$8:$D$55,$O42,$I$8:$I$55)+SUMIF($F$8:$F$55,$O42,$G$8:$G$55)</f>
        <v>7</v>
      </c>
      <c r="R42" s="402">
        <f>P42-Q42</f>
        <v>-1</v>
      </c>
      <c r="S42" s="403">
        <f>SUMIF($D$8:$D$55,$O42,$K$8:$K$55)+SUMIF($F$8:$F$55,$O42,$L$8:$L$55)</f>
        <v>4</v>
      </c>
      <c r="T42" s="446" t="s">
        <v>73</v>
      </c>
      <c r="U42" s="392"/>
      <c r="V42" s="392" t="str">
        <f>O42</f>
        <v>Nigeria</v>
      </c>
      <c r="W42" s="392" t="s">
        <v>75</v>
      </c>
      <c r="Y42" s="109">
        <f t="shared" si="8"/>
        <v>6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6</v>
      </c>
      <c r="AG42" s="108">
        <f t="shared" si="0"/>
        <v>1</v>
      </c>
      <c r="AH42" s="108">
        <f t="shared" si="1"/>
        <v>0</v>
      </c>
      <c r="AI42" s="108">
        <f t="shared" si="10"/>
        <v>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1</v>
      </c>
      <c r="H43" s="379" t="s">
        <v>9</v>
      </c>
      <c r="I43" s="442">
        <v>2</v>
      </c>
      <c r="J43" s="381">
        <f t="shared" si="5"/>
        <v>2</v>
      </c>
      <c r="K43" s="363">
        <f t="shared" si="6"/>
        <v>0</v>
      </c>
      <c r="L43" s="363">
        <f t="shared" si="7"/>
        <v>3</v>
      </c>
      <c r="O43" s="392"/>
      <c r="P43" s="393"/>
      <c r="Q43" s="393"/>
      <c r="R43" s="393"/>
      <c r="S43" s="393"/>
      <c r="T43" s="393"/>
      <c r="U43" s="392"/>
      <c r="V43" s="392"/>
      <c r="W43" s="392"/>
      <c r="Y43" s="109">
        <f t="shared" si="8"/>
        <v>6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6</v>
      </c>
      <c r="AG43" s="108">
        <f t="shared" si="0"/>
        <v>1</v>
      </c>
      <c r="AH43" s="108">
        <f t="shared" si="1"/>
        <v>0</v>
      </c>
      <c r="AI43" s="108">
        <f t="shared" si="10"/>
        <v>0</v>
      </c>
      <c r="AJ43" s="108">
        <f t="shared" si="2"/>
        <v>0</v>
      </c>
      <c r="AK43" s="108">
        <f t="shared" si="3"/>
        <v>5</v>
      </c>
      <c r="AL43" s="108">
        <f t="shared" si="4"/>
        <v>0</v>
      </c>
      <c r="AN43" s="392"/>
      <c r="AO43" s="393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2</v>
      </c>
      <c r="H44" s="367" t="s">
        <v>9</v>
      </c>
      <c r="I44" s="440">
        <v>1</v>
      </c>
      <c r="J44" s="369">
        <f t="shared" si="5"/>
        <v>1</v>
      </c>
      <c r="K44" s="363">
        <f t="shared" si="6"/>
        <v>3</v>
      </c>
      <c r="L44" s="363">
        <f t="shared" si="7"/>
        <v>0</v>
      </c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392"/>
      <c r="V44" s="392"/>
      <c r="W44" s="392"/>
      <c r="Y44" s="109">
        <f t="shared" si="8"/>
        <v>1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1</v>
      </c>
      <c r="AG44" s="108">
        <f t="shared" si="0"/>
        <v>0</v>
      </c>
      <c r="AH44" s="108">
        <f t="shared" si="1"/>
        <v>1</v>
      </c>
      <c r="AI44" s="108">
        <f t="shared" si="10"/>
        <v>0</v>
      </c>
      <c r="AJ44" s="108">
        <f t="shared" si="2"/>
        <v>0</v>
      </c>
      <c r="AK44" s="108">
        <f t="shared" si="3"/>
        <v>0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0</v>
      </c>
      <c r="H45" s="373" t="s">
        <v>9</v>
      </c>
      <c r="I45" s="441">
        <v>2</v>
      </c>
      <c r="J45" s="375">
        <f t="shared" si="5"/>
        <v>2</v>
      </c>
      <c r="K45" s="363">
        <f t="shared" si="6"/>
        <v>0</v>
      </c>
      <c r="L45" s="363">
        <f t="shared" si="7"/>
        <v>3</v>
      </c>
      <c r="O45" s="394" t="s">
        <v>31</v>
      </c>
      <c r="P45" s="395">
        <f>SUMIF($D$8:$D$55,$O45,$G$8:$G$55)+SUMIF($F$8:$F$55,$O45,$I$8:$I$55)</f>
        <v>7</v>
      </c>
      <c r="Q45" s="395">
        <f>SUMIF($D$8:$D$55,$O45,$I$8:$I$55)+SUMIF($F$8:$F$55,$O45,$G$8:$G$55)</f>
        <v>2</v>
      </c>
      <c r="R45" s="396">
        <f>P45-Q45</f>
        <v>5</v>
      </c>
      <c r="S45" s="397">
        <f>SUMIF($D$8:$D$55,$O45,$K$8:$K$55)+SUMIF($F$8:$F$55,$O45,$L$8:$L$55)</f>
        <v>9</v>
      </c>
      <c r="T45" s="444" t="s">
        <v>77</v>
      </c>
      <c r="U45" s="392"/>
      <c r="V45" s="392" t="str">
        <f>O45</f>
        <v>Duitsland</v>
      </c>
      <c r="W45" s="392" t="s">
        <v>77</v>
      </c>
      <c r="Y45" s="109">
        <f t="shared" si="8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1</v>
      </c>
      <c r="AG45" s="108">
        <f t="shared" si="0"/>
        <v>1</v>
      </c>
      <c r="AH45" s="108">
        <f t="shared" si="1"/>
        <v>0</v>
      </c>
      <c r="AI45" s="108">
        <f t="shared" si="10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1</v>
      </c>
      <c r="H46" s="373" t="s">
        <v>9</v>
      </c>
      <c r="I46" s="441">
        <v>2</v>
      </c>
      <c r="J46" s="375">
        <f t="shared" si="5"/>
        <v>2</v>
      </c>
      <c r="K46" s="363">
        <f t="shared" si="6"/>
        <v>0</v>
      </c>
      <c r="L46" s="363">
        <f t="shared" si="7"/>
        <v>3</v>
      </c>
      <c r="O46" s="398" t="s">
        <v>32</v>
      </c>
      <c r="P46" s="399">
        <f>SUMIF($D$8:$D$55,$O46,$G$8:$G$55)+SUMIF($F$8:$F$55,$O46,$I$8:$I$55)</f>
        <v>6</v>
      </c>
      <c r="Q46" s="399">
        <f>SUMIF($D$8:$D$55,$O46,$I$8:$I$55)+SUMIF($F$8:$F$55,$O46,$G$8:$G$55)</f>
        <v>3</v>
      </c>
      <c r="R46" s="399">
        <f>P46-Q46</f>
        <v>3</v>
      </c>
      <c r="S46" s="400">
        <f>SUMIF($D$8:$D$55,$O46,$K$8:$K$55)+SUMIF($F$8:$F$55,$O46,$L$8:$L$55)</f>
        <v>6</v>
      </c>
      <c r="T46" s="445" t="s">
        <v>78</v>
      </c>
      <c r="U46" s="392"/>
      <c r="V46" s="392" t="str">
        <f>O46</f>
        <v>Portugal</v>
      </c>
      <c r="W46" s="392" t="s">
        <v>78</v>
      </c>
      <c r="Y46" s="109">
        <f t="shared" si="8"/>
        <v>6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6</v>
      </c>
      <c r="AG46" s="108">
        <f t="shared" si="0"/>
        <v>1</v>
      </c>
      <c r="AH46" s="108">
        <f t="shared" si="1"/>
        <v>0</v>
      </c>
      <c r="AI46" s="108">
        <f t="shared" si="10"/>
        <v>0</v>
      </c>
      <c r="AJ46" s="108">
        <f t="shared" si="2"/>
        <v>0</v>
      </c>
      <c r="AK46" s="108">
        <f t="shared" si="3"/>
        <v>5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2</v>
      </c>
      <c r="H47" s="379" t="s">
        <v>9</v>
      </c>
      <c r="I47" s="442">
        <v>3</v>
      </c>
      <c r="J47" s="381">
        <f t="shared" si="5"/>
        <v>2</v>
      </c>
      <c r="K47" s="363">
        <f t="shared" si="6"/>
        <v>0</v>
      </c>
      <c r="L47" s="363">
        <f t="shared" si="7"/>
        <v>3</v>
      </c>
      <c r="O47" s="398" t="s">
        <v>35</v>
      </c>
      <c r="P47" s="399">
        <f>SUMIF($D$8:$D$55,$O47,$G$8:$G$55)+SUMIF($F$8:$F$55,$O47,$I$8:$I$55)</f>
        <v>4</v>
      </c>
      <c r="Q47" s="399">
        <f>SUMIF($D$8:$D$55,$O47,$I$8:$I$55)+SUMIF($F$8:$F$55,$O47,$G$8:$G$55)</f>
        <v>5</v>
      </c>
      <c r="R47" s="399">
        <f>P47-Q47</f>
        <v>-1</v>
      </c>
      <c r="S47" s="400">
        <f>SUMIF($D$8:$D$55,$O47,$K$8:$K$55)+SUMIF($F$8:$F$55,$O47,$L$8:$L$55)</f>
        <v>3</v>
      </c>
      <c r="T47" s="445" t="s">
        <v>79</v>
      </c>
      <c r="U47" s="392"/>
      <c r="V47" s="392" t="str">
        <f>O47</f>
        <v>Ghana</v>
      </c>
      <c r="W47" s="392" t="s">
        <v>79</v>
      </c>
      <c r="Y47" s="109">
        <f t="shared" si="8"/>
        <v>1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1</v>
      </c>
      <c r="AG47" s="108">
        <f t="shared" si="0"/>
        <v>1</v>
      </c>
      <c r="AH47" s="108">
        <f t="shared" si="1"/>
        <v>0</v>
      </c>
      <c r="AI47" s="108">
        <f t="shared" si="10"/>
        <v>0</v>
      </c>
      <c r="AJ47" s="108">
        <f t="shared" si="2"/>
        <v>0</v>
      </c>
      <c r="AK47" s="108">
        <f t="shared" si="3"/>
        <v>0</v>
      </c>
      <c r="AL47" s="108">
        <f t="shared" si="4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1</v>
      </c>
      <c r="H48" s="367" t="s">
        <v>9</v>
      </c>
      <c r="I48" s="440">
        <v>3</v>
      </c>
      <c r="J48" s="369">
        <f t="shared" si="5"/>
        <v>2</v>
      </c>
      <c r="K48" s="363">
        <f t="shared" si="6"/>
        <v>0</v>
      </c>
      <c r="L48" s="363">
        <f t="shared" si="7"/>
        <v>3</v>
      </c>
      <c r="O48" s="401" t="s">
        <v>36</v>
      </c>
      <c r="P48" s="402">
        <f>SUMIF($D$8:$D$55,$O48,$G$8:$G$55)+SUMIF($F$8:$F$55,$O48,$I$8:$I$55)</f>
        <v>1</v>
      </c>
      <c r="Q48" s="402">
        <f>SUMIF($D$8:$D$55,$O48,$I$8:$I$55)+SUMIF($F$8:$F$55,$O48,$G$8:$G$55)</f>
        <v>8</v>
      </c>
      <c r="R48" s="402">
        <f>P48-Q48</f>
        <v>-7</v>
      </c>
      <c r="S48" s="403">
        <f>SUMIF($D$8:$D$55,$O48,$K$8:$K$55)+SUMIF($F$8:$F$55,$O48,$L$8:$L$55)</f>
        <v>0</v>
      </c>
      <c r="T48" s="446" t="s">
        <v>80</v>
      </c>
      <c r="U48" s="392"/>
      <c r="V48" s="392" t="str">
        <f>O48</f>
        <v>Verenigde Staten</v>
      </c>
      <c r="W48" s="392" t="s">
        <v>80</v>
      </c>
      <c r="Y48" s="109">
        <f t="shared" si="8"/>
        <v>6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6</v>
      </c>
      <c r="AG48" s="108">
        <f t="shared" si="0"/>
        <v>0</v>
      </c>
      <c r="AH48" s="108">
        <f t="shared" si="1"/>
        <v>1</v>
      </c>
      <c r="AI48" s="108">
        <f t="shared" si="10"/>
        <v>0</v>
      </c>
      <c r="AJ48" s="108">
        <f t="shared" si="2"/>
        <v>0</v>
      </c>
      <c r="AK48" s="108">
        <f t="shared" si="3"/>
        <v>5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2</v>
      </c>
      <c r="H49" s="373" t="s">
        <v>9</v>
      </c>
      <c r="I49" s="441">
        <v>1</v>
      </c>
      <c r="J49" s="375">
        <f t="shared" si="5"/>
        <v>1</v>
      </c>
      <c r="K49" s="363">
        <f t="shared" si="6"/>
        <v>3</v>
      </c>
      <c r="L49" s="363">
        <f t="shared" si="7"/>
        <v>0</v>
      </c>
      <c r="O49" s="392"/>
      <c r="P49" s="393"/>
      <c r="Q49" s="393"/>
      <c r="R49" s="393"/>
      <c r="S49" s="393"/>
      <c r="T49" s="393"/>
      <c r="U49" s="392"/>
      <c r="V49" s="392"/>
      <c r="W49" s="392"/>
      <c r="Y49" s="109">
        <f t="shared" si="8"/>
        <v>6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6</v>
      </c>
      <c r="AG49" s="108">
        <f t="shared" si="0"/>
        <v>0</v>
      </c>
      <c r="AH49" s="108">
        <f t="shared" si="1"/>
        <v>1</v>
      </c>
      <c r="AI49" s="108">
        <f t="shared" si="10"/>
        <v>0</v>
      </c>
      <c r="AJ49" s="108">
        <f t="shared" si="2"/>
        <v>5</v>
      </c>
      <c r="AK49" s="108">
        <f t="shared" si="3"/>
        <v>0</v>
      </c>
      <c r="AL49" s="108">
        <f t="shared" si="4"/>
        <v>0</v>
      </c>
      <c r="AN49" s="392"/>
      <c r="AO49" s="393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2</v>
      </c>
      <c r="H50" s="373" t="s">
        <v>9</v>
      </c>
      <c r="I50" s="441">
        <v>1</v>
      </c>
      <c r="J50" s="375">
        <f t="shared" si="5"/>
        <v>1</v>
      </c>
      <c r="K50" s="363">
        <f t="shared" si="6"/>
        <v>3</v>
      </c>
      <c r="L50" s="363">
        <f t="shared" si="7"/>
        <v>0</v>
      </c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392"/>
      <c r="V50" s="392"/>
      <c r="W50" s="392"/>
      <c r="Y50" s="109">
        <f t="shared" si="8"/>
        <v>0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0</v>
      </c>
      <c r="AG50" s="108">
        <f t="shared" si="0"/>
        <v>0</v>
      </c>
      <c r="AH50" s="108">
        <f t="shared" si="1"/>
        <v>0</v>
      </c>
      <c r="AI50" s="108">
        <f t="shared" si="10"/>
        <v>0</v>
      </c>
      <c r="AJ50" s="108">
        <f t="shared" si="2"/>
        <v>0</v>
      </c>
      <c r="AK50" s="108">
        <f t="shared" si="3"/>
        <v>0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1</v>
      </c>
      <c r="H51" s="379" t="s">
        <v>9</v>
      </c>
      <c r="I51" s="442">
        <v>2</v>
      </c>
      <c r="J51" s="381">
        <f t="shared" si="5"/>
        <v>2</v>
      </c>
      <c r="K51" s="363">
        <f t="shared" si="6"/>
        <v>0</v>
      </c>
      <c r="L51" s="363">
        <f>IF(I51="","",IF($G51&lt;$I51,3,IF($G51=$I51,1,0)))</f>
        <v>3</v>
      </c>
      <c r="O51" s="394" t="s">
        <v>37</v>
      </c>
      <c r="P51" s="395">
        <f>SUMIF($D$8:$D$55,$O51,$G$8:$G$55)+SUMIF($F$8:$F$55,$O51,$I$8:$I$55)</f>
        <v>6</v>
      </c>
      <c r="Q51" s="395">
        <f>SUMIF($D$8:$D$55,$O51,$I$8:$I$55)+SUMIF($F$8:$F$55,$O51,$G$8:$G$55)</f>
        <v>5</v>
      </c>
      <c r="R51" s="396">
        <f>P51-Q51</f>
        <v>1</v>
      </c>
      <c r="S51" s="397">
        <f>SUMIF($D$8:$D$55,$O51,$K$8:$K$55)+SUMIF($F$8:$F$55,$O51,$L$8:$L$55)</f>
        <v>4</v>
      </c>
      <c r="T51" s="444" t="s">
        <v>84</v>
      </c>
      <c r="U51" s="392"/>
      <c r="V51" s="392" t="str">
        <f>O51</f>
        <v>België</v>
      </c>
      <c r="W51" s="392" t="s">
        <v>82</v>
      </c>
      <c r="Y51" s="109">
        <f t="shared" si="8"/>
        <v>0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0</v>
      </c>
      <c r="AG51" s="108">
        <f t="shared" si="0"/>
        <v>0</v>
      </c>
      <c r="AH51" s="108">
        <f t="shared" si="1"/>
        <v>0</v>
      </c>
      <c r="AI51" s="108">
        <f t="shared" si="10"/>
        <v>0</v>
      </c>
      <c r="AJ51" s="108">
        <f t="shared" si="2"/>
        <v>0</v>
      </c>
      <c r="AK51" s="108">
        <f t="shared" si="3"/>
        <v>0</v>
      </c>
      <c r="AL51" s="108">
        <f t="shared" si="4"/>
        <v>0</v>
      </c>
      <c r="AM51" s="120">
        <f>AO51</f>
        <v>0</v>
      </c>
      <c r="AN51" s="116" t="s">
        <v>37</v>
      </c>
      <c r="AO51" s="115">
        <f>IF(Uitslag!T51="",0,IF(T51=Uitslag!T51,10,0))</f>
        <v>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0</v>
      </c>
      <c r="H52" s="373" t="s">
        <v>9</v>
      </c>
      <c r="I52" s="441">
        <v>3</v>
      </c>
      <c r="J52" s="369">
        <f t="shared" si="5"/>
        <v>2</v>
      </c>
      <c r="K52" s="363">
        <f t="shared" si="6"/>
        <v>0</v>
      </c>
      <c r="L52" s="363">
        <f t="shared" si="7"/>
        <v>3</v>
      </c>
      <c r="O52" s="398" t="s">
        <v>38</v>
      </c>
      <c r="P52" s="399">
        <f>SUMIF($D$8:$D$55,$O52,$G$8:$G$55)+SUMIF($F$8:$F$55,$O52,$I$8:$I$55)</f>
        <v>3</v>
      </c>
      <c r="Q52" s="399">
        <f>SUMIF($D$8:$D$55,$O52,$I$8:$I$55)+SUMIF($F$8:$F$55,$O52,$G$8:$G$55)</f>
        <v>8</v>
      </c>
      <c r="R52" s="399">
        <f>P52-Q52</f>
        <v>-5</v>
      </c>
      <c r="S52" s="400">
        <f>SUMIF($D$8:$D$55,$O52,$K$8:$K$55)+SUMIF($F$8:$F$55,$O52,$L$8:$L$55)</f>
        <v>0</v>
      </c>
      <c r="T52" s="445" t="s">
        <v>85</v>
      </c>
      <c r="U52" s="392"/>
      <c r="V52" s="392" t="str">
        <f>O52</f>
        <v>Algerije</v>
      </c>
      <c r="W52" s="392" t="s">
        <v>83</v>
      </c>
      <c r="Y52" s="109">
        <f t="shared" si="8"/>
        <v>6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6</v>
      </c>
      <c r="AG52" s="108">
        <f t="shared" si="0"/>
        <v>1</v>
      </c>
      <c r="AH52" s="108">
        <f t="shared" si="1"/>
        <v>0</v>
      </c>
      <c r="AI52" s="108">
        <f t="shared" si="10"/>
        <v>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2</v>
      </c>
      <c r="H53" s="373" t="s">
        <v>9</v>
      </c>
      <c r="I53" s="441">
        <v>1</v>
      </c>
      <c r="J53" s="375">
        <f t="shared" si="5"/>
        <v>1</v>
      </c>
      <c r="K53" s="363">
        <f t="shared" si="6"/>
        <v>3</v>
      </c>
      <c r="L53" s="363">
        <f t="shared" si="7"/>
        <v>0</v>
      </c>
      <c r="O53" s="398" t="s">
        <v>39</v>
      </c>
      <c r="P53" s="399">
        <f>SUMIF($D$8:$D$55,$O53,$G$8:$G$55)+SUMIF($F$8:$F$55,$O53,$I$8:$I$55)</f>
        <v>7</v>
      </c>
      <c r="Q53" s="399">
        <f>SUMIF($D$8:$D$55,$O53,$I$8:$I$55)+SUMIF($F$8:$F$55,$O53,$G$8:$G$55)</f>
        <v>4</v>
      </c>
      <c r="R53" s="399">
        <f>P53-Q53</f>
        <v>3</v>
      </c>
      <c r="S53" s="400">
        <f>SUMIF($D$8:$D$55,$O53,$K$8:$K$55)+SUMIF($F$8:$F$55,$O53,$L$8:$L$55)</f>
        <v>7</v>
      </c>
      <c r="T53" s="445" t="s">
        <v>82</v>
      </c>
      <c r="U53" s="392"/>
      <c r="V53" s="392" t="str">
        <f>O53</f>
        <v>Rusland</v>
      </c>
      <c r="W53" s="392" t="s">
        <v>84</v>
      </c>
      <c r="Y53" s="109">
        <f t="shared" si="8"/>
        <v>10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10</v>
      </c>
      <c r="AG53" s="108">
        <f t="shared" si="0"/>
        <v>1</v>
      </c>
      <c r="AH53" s="108">
        <f t="shared" si="1"/>
        <v>1</v>
      </c>
      <c r="AI53" s="108">
        <f t="shared" si="10"/>
        <v>10</v>
      </c>
      <c r="AJ53" s="108">
        <f t="shared" si="2"/>
        <v>5</v>
      </c>
      <c r="AK53" s="108">
        <f t="shared" si="3"/>
        <v>0</v>
      </c>
      <c r="AL53" s="108">
        <f t="shared" si="4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2</v>
      </c>
      <c r="H54" s="373" t="s">
        <v>9</v>
      </c>
      <c r="I54" s="441">
        <v>1</v>
      </c>
      <c r="J54" s="375">
        <f t="shared" si="5"/>
        <v>1</v>
      </c>
      <c r="K54" s="363">
        <f t="shared" si="6"/>
        <v>3</v>
      </c>
      <c r="L54" s="363">
        <f t="shared" si="7"/>
        <v>0</v>
      </c>
      <c r="O54" s="401" t="s">
        <v>40</v>
      </c>
      <c r="P54" s="402">
        <f>SUMIF($D$8:$D$55,$O54,$G$8:$G$55)+SUMIF($F$8:$F$55,$O54,$I$8:$I$55)</f>
        <v>5</v>
      </c>
      <c r="Q54" s="402">
        <f>SUMIF($D$8:$D$55,$O54,$I$8:$I$55)+SUMIF($F$8:$F$55,$O54,$G$8:$G$55)</f>
        <v>4</v>
      </c>
      <c r="R54" s="402">
        <f>P54-Q54</f>
        <v>1</v>
      </c>
      <c r="S54" s="403">
        <f>SUMIF($D$8:$D$55,$O54,$K$8:$K$55)+SUMIF($F$8:$F$55,$O54,$L$8:$L$55)</f>
        <v>6</v>
      </c>
      <c r="T54" s="446" t="s">
        <v>83</v>
      </c>
      <c r="U54" s="392"/>
      <c r="V54" s="392" t="str">
        <f>O54</f>
        <v>Zuid Korea</v>
      </c>
      <c r="W54" s="392" t="s">
        <v>85</v>
      </c>
      <c r="Y54" s="109">
        <f t="shared" si="8"/>
        <v>1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1</v>
      </c>
      <c r="AG54" s="108">
        <f t="shared" si="0"/>
        <v>0</v>
      </c>
      <c r="AH54" s="108">
        <f t="shared" si="1"/>
        <v>1</v>
      </c>
      <c r="AI54" s="108">
        <f t="shared" si="10"/>
        <v>0</v>
      </c>
      <c r="AJ54" s="108">
        <f t="shared" si="2"/>
        <v>0</v>
      </c>
      <c r="AK54" s="108">
        <f t="shared" si="3"/>
        <v>0</v>
      </c>
      <c r="AL54" s="108">
        <f t="shared" si="4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1</v>
      </c>
      <c r="H55" s="388" t="s">
        <v>9</v>
      </c>
      <c r="I55" s="443">
        <v>3</v>
      </c>
      <c r="J55" s="390">
        <f t="shared" si="5"/>
        <v>2</v>
      </c>
      <c r="K55" s="363">
        <f t="shared" si="6"/>
        <v>0</v>
      </c>
      <c r="L55" s="363">
        <f t="shared" si="7"/>
        <v>3</v>
      </c>
      <c r="O55" s="392"/>
      <c r="P55" s="393"/>
      <c r="Q55" s="393"/>
      <c r="R55" s="393"/>
      <c r="S55" s="393"/>
      <c r="T55" s="393"/>
      <c r="U55" s="392"/>
      <c r="V55" s="392"/>
      <c r="W55" s="392"/>
      <c r="Y55" s="109">
        <f t="shared" si="8"/>
        <v>1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</v>
      </c>
      <c r="AG55" s="108">
        <f t="shared" si="0"/>
        <v>1</v>
      </c>
      <c r="AH55" s="108">
        <f t="shared" si="1"/>
        <v>0</v>
      </c>
      <c r="AI55" s="108">
        <f t="shared" si="10"/>
        <v>0</v>
      </c>
      <c r="AJ55" s="108">
        <f t="shared" si="2"/>
        <v>0</v>
      </c>
      <c r="AK55" s="108">
        <f t="shared" si="3"/>
        <v>0</v>
      </c>
      <c r="AL55" s="108">
        <f t="shared" si="4"/>
        <v>0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79"/>
      <c r="K57" s="353"/>
      <c r="L57" s="353"/>
      <c r="M57" s="353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77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O58" s="458">
        <v>1</v>
      </c>
      <c r="P58" s="877" t="s">
        <v>224</v>
      </c>
      <c r="Q58" s="877"/>
      <c r="R58" s="877"/>
      <c r="S58" s="877"/>
      <c r="T58" s="878"/>
      <c r="V58" s="352" t="s">
        <v>132</v>
      </c>
      <c r="W58" s="352" t="s">
        <v>124</v>
      </c>
      <c r="X58" s="352" t="str">
        <f t="shared" ref="X58:X98" si="11">CONCATENATE(W58," ",V58)</f>
        <v>Jeroen Zoet (k)</v>
      </c>
      <c r="Y58" s="113" t="s">
        <v>91</v>
      </c>
      <c r="Z58" s="352" t="str">
        <f>IF(K58=""," ",VLOOKUP(K58,$T$9:$V$54,3,FALSE))</f>
        <v xml:space="preserve"> </v>
      </c>
      <c r="AA58" s="352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>IF(ISERROR(Z59),K59,Z59)</f>
        <v>Brazilië</v>
      </c>
      <c r="E59" s="367" t="s">
        <v>9</v>
      </c>
      <c r="F59" s="406" t="str">
        <f>IF(ISERROR(AA59),L59,AA59)</f>
        <v>Nederland</v>
      </c>
      <c r="G59" s="435">
        <v>3</v>
      </c>
      <c r="H59" s="367" t="s">
        <v>9</v>
      </c>
      <c r="I59" s="447">
        <v>1</v>
      </c>
      <c r="J59" s="448">
        <v>1</v>
      </c>
      <c r="K59" s="407" t="s">
        <v>48</v>
      </c>
      <c r="L59" s="407" t="s">
        <v>53</v>
      </c>
      <c r="M59" s="407">
        <v>1</v>
      </c>
      <c r="O59" s="458">
        <v>2</v>
      </c>
      <c r="P59" s="877" t="s">
        <v>212</v>
      </c>
      <c r="Q59" s="877"/>
      <c r="R59" s="877"/>
      <c r="S59" s="877"/>
      <c r="T59" s="878"/>
      <c r="V59" s="352" t="s">
        <v>132</v>
      </c>
      <c r="W59" s="352" t="s">
        <v>111</v>
      </c>
      <c r="X59" s="352" t="str">
        <f t="shared" si="11"/>
        <v>Jasper Cillessen (k)</v>
      </c>
      <c r="Y59" s="109">
        <f t="shared" ref="Y59:Y66" si="13">AF59</f>
        <v>1</v>
      </c>
      <c r="Z59" s="352" t="str">
        <f t="shared" ref="Z59:AA65" si="14">IF(K59=""," ",VLOOKUP(K59,$T$9:$V$54,3,FALSE))</f>
        <v>Brazilië</v>
      </c>
      <c r="AA59" s="352" t="str">
        <f t="shared" si="14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1</v>
      </c>
      <c r="AG59" s="108">
        <f t="shared" ref="AG59:AG66" si="16">IF(AC59="",0,(IF(G59=AC59,1,0)))</f>
        <v>0</v>
      </c>
      <c r="AH59" s="108">
        <f t="shared" ref="AH59:AH66" si="17">IF(AD59="",0,(IF(I59=AD59,1,0)))</f>
        <v>1</v>
      </c>
      <c r="AI59" s="108">
        <f t="shared" ref="AI59:AI66" si="18">IF(AND(AG59=1,AH59=1),10,0)</f>
        <v>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376">
        <v>50</v>
      </c>
      <c r="C60" s="466">
        <v>41818</v>
      </c>
      <c r="D60" s="460" t="str">
        <f t="shared" ref="D60:D66" si="23">IF(ISERROR(Z60),K60,Z60)</f>
        <v>Colombia</v>
      </c>
      <c r="E60" s="379" t="s">
        <v>9</v>
      </c>
      <c r="F60" s="409" t="str">
        <f t="shared" ref="F60:F66" si="24">IF(ISERROR(AA60),L60,AA60)</f>
        <v>Engeland</v>
      </c>
      <c r="G60" s="437">
        <v>0</v>
      </c>
      <c r="H60" s="379" t="s">
        <v>9</v>
      </c>
      <c r="I60" s="449">
        <v>3</v>
      </c>
      <c r="J60" s="450">
        <v>2</v>
      </c>
      <c r="K60" s="407" t="s">
        <v>57</v>
      </c>
      <c r="L60" s="407" t="s">
        <v>63</v>
      </c>
      <c r="M60" s="407">
        <v>2</v>
      </c>
      <c r="O60" s="458">
        <v>3</v>
      </c>
      <c r="P60" s="877" t="s">
        <v>220</v>
      </c>
      <c r="Q60" s="877"/>
      <c r="R60" s="877"/>
      <c r="S60" s="877"/>
      <c r="T60" s="878"/>
      <c r="V60" s="352" t="s">
        <v>132</v>
      </c>
      <c r="W60" s="352" t="s">
        <v>110</v>
      </c>
      <c r="X60" s="352" t="str">
        <f t="shared" si="11"/>
        <v>Kenneth Vermeer (k)</v>
      </c>
      <c r="Y60" s="109">
        <f t="shared" si="13"/>
        <v>0</v>
      </c>
      <c r="Z60" s="352" t="str">
        <f t="shared" si="14"/>
        <v>Colombia</v>
      </c>
      <c r="AA60" s="352" t="str">
        <f t="shared" si="14"/>
        <v>Engeland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0</v>
      </c>
      <c r="AG60" s="108">
        <f t="shared" si="16"/>
        <v>0</v>
      </c>
      <c r="AH60" s="108">
        <f t="shared" si="17"/>
        <v>0</v>
      </c>
      <c r="AI60" s="108">
        <f t="shared" si="18"/>
        <v>0</v>
      </c>
      <c r="AJ60" s="108">
        <f t="shared" si="19"/>
        <v>0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2"/>
        <v>3</v>
      </c>
    </row>
    <row r="61" spans="2:54">
      <c r="B61" s="364">
        <v>51</v>
      </c>
      <c r="C61" s="465">
        <v>41819</v>
      </c>
      <c r="D61" s="464" t="str">
        <f t="shared" si="23"/>
        <v>Spanje</v>
      </c>
      <c r="E61" s="367" t="s">
        <v>9</v>
      </c>
      <c r="F61" s="406" t="str">
        <f t="shared" si="24"/>
        <v>Mexico</v>
      </c>
      <c r="G61" s="435">
        <v>3</v>
      </c>
      <c r="H61" s="367" t="s">
        <v>9</v>
      </c>
      <c r="I61" s="447">
        <v>1</v>
      </c>
      <c r="J61" s="448">
        <v>1</v>
      </c>
      <c r="K61" s="407" t="s">
        <v>52</v>
      </c>
      <c r="L61" s="407" t="s">
        <v>49</v>
      </c>
      <c r="M61" s="407"/>
      <c r="O61" s="458">
        <v>4</v>
      </c>
      <c r="P61" s="877" t="s">
        <v>211</v>
      </c>
      <c r="Q61" s="877"/>
      <c r="R61" s="877"/>
      <c r="S61" s="877"/>
      <c r="T61" s="878"/>
      <c r="V61" s="352" t="s">
        <v>132</v>
      </c>
      <c r="W61" s="352" t="s">
        <v>191</v>
      </c>
      <c r="X61" s="352" t="str">
        <f t="shared" si="11"/>
        <v>Tim Krul (k)</v>
      </c>
      <c r="Y61" s="109">
        <f t="shared" si="13"/>
        <v>6</v>
      </c>
      <c r="Z61" s="352" t="str">
        <f t="shared" si="14"/>
        <v>Spanje</v>
      </c>
      <c r="AA61" s="352" t="str">
        <f t="shared" si="14"/>
        <v>Mexico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6</v>
      </c>
      <c r="AG61" s="108">
        <f t="shared" si="16"/>
        <v>0</v>
      </c>
      <c r="AH61" s="108">
        <f t="shared" si="17"/>
        <v>1</v>
      </c>
      <c r="AI61" s="108">
        <f t="shared" si="18"/>
        <v>0</v>
      </c>
      <c r="AJ61" s="108">
        <f t="shared" si="19"/>
        <v>5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3</v>
      </c>
      <c r="BB61" s="139">
        <f t="shared" si="22"/>
        <v>3</v>
      </c>
    </row>
    <row r="62" spans="2:54">
      <c r="B62" s="376">
        <v>52</v>
      </c>
      <c r="C62" s="466">
        <v>41819</v>
      </c>
      <c r="D62" s="464" t="str">
        <f t="shared" si="23"/>
        <v>Italië</v>
      </c>
      <c r="E62" s="379" t="s">
        <v>9</v>
      </c>
      <c r="F62" s="409" t="str">
        <f t="shared" si="24"/>
        <v>Ivoorkust</v>
      </c>
      <c r="G62" s="437">
        <v>2</v>
      </c>
      <c r="H62" s="379" t="s">
        <v>9</v>
      </c>
      <c r="I62" s="449">
        <v>1</v>
      </c>
      <c r="J62" s="450">
        <v>1</v>
      </c>
      <c r="K62" s="407" t="s">
        <v>62</v>
      </c>
      <c r="L62" s="407" t="s">
        <v>58</v>
      </c>
      <c r="M62" s="407"/>
      <c r="O62" s="458">
        <v>5</v>
      </c>
      <c r="P62" s="877" t="s">
        <v>234</v>
      </c>
      <c r="Q62" s="877"/>
      <c r="R62" s="877"/>
      <c r="S62" s="877"/>
      <c r="T62" s="878"/>
      <c r="V62" s="352" t="s">
        <v>132</v>
      </c>
      <c r="W62" s="352" t="s">
        <v>192</v>
      </c>
      <c r="X62" s="352" t="str">
        <f t="shared" si="11"/>
        <v>Maarten Stekelenburg (k)</v>
      </c>
      <c r="Y62" s="109">
        <f t="shared" si="13"/>
        <v>1</v>
      </c>
      <c r="Z62" s="352" t="str">
        <f t="shared" si="14"/>
        <v>Italië</v>
      </c>
      <c r="AA62" s="352" t="str">
        <f t="shared" si="14"/>
        <v>Ivoorkust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1</v>
      </c>
      <c r="AG62" s="108">
        <f t="shared" si="16"/>
        <v>0</v>
      </c>
      <c r="AH62" s="108">
        <f t="shared" si="17"/>
        <v>1</v>
      </c>
      <c r="AI62" s="108">
        <f t="shared" si="18"/>
        <v>0</v>
      </c>
      <c r="AJ62" s="108">
        <f t="shared" si="19"/>
        <v>0</v>
      </c>
      <c r="AK62" s="108">
        <f t="shared" si="20"/>
        <v>0</v>
      </c>
      <c r="AL62" s="108">
        <f t="shared" si="21"/>
        <v>0</v>
      </c>
      <c r="AZ62" s="138" t="str">
        <f>Uitslag!P62</f>
        <v>Bruno Martins Indi (v)</v>
      </c>
      <c r="BA62" s="140">
        <f t="shared" si="12"/>
        <v>0</v>
      </c>
      <c r="BB62" s="139">
        <f t="shared" si="22"/>
        <v>0</v>
      </c>
    </row>
    <row r="63" spans="2:54">
      <c r="B63" s="364">
        <v>53</v>
      </c>
      <c r="C63" s="465">
        <v>41820</v>
      </c>
      <c r="D63" s="459" t="str">
        <f t="shared" si="23"/>
        <v>Frankrijk</v>
      </c>
      <c r="E63" s="367" t="s">
        <v>9</v>
      </c>
      <c r="F63" s="406" t="str">
        <f t="shared" si="24"/>
        <v>Nigeria</v>
      </c>
      <c r="G63" s="435">
        <v>2</v>
      </c>
      <c r="H63" s="367" t="s">
        <v>9</v>
      </c>
      <c r="I63" s="447">
        <v>0</v>
      </c>
      <c r="J63" s="448">
        <v>1</v>
      </c>
      <c r="K63" s="407" t="s">
        <v>67</v>
      </c>
      <c r="L63" s="407" t="s">
        <v>73</v>
      </c>
      <c r="M63" s="407"/>
      <c r="O63" s="458">
        <v>6</v>
      </c>
      <c r="P63" s="877" t="s">
        <v>209</v>
      </c>
      <c r="Q63" s="877"/>
      <c r="R63" s="877"/>
      <c r="S63" s="877"/>
      <c r="T63" s="878"/>
      <c r="V63" s="352" t="s">
        <v>132</v>
      </c>
      <c r="W63" s="352" t="s">
        <v>193</v>
      </c>
      <c r="X63" s="352" t="str">
        <f t="shared" si="11"/>
        <v>Michel Vorm (k)</v>
      </c>
      <c r="Y63" s="109">
        <f t="shared" si="13"/>
        <v>10</v>
      </c>
      <c r="Z63" s="352" t="str">
        <f t="shared" si="14"/>
        <v>Frankrijk</v>
      </c>
      <c r="AA63" s="352" t="str">
        <f t="shared" si="14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10</v>
      </c>
      <c r="AG63" s="108">
        <f t="shared" si="16"/>
        <v>1</v>
      </c>
      <c r="AH63" s="108">
        <f t="shared" si="17"/>
        <v>1</v>
      </c>
      <c r="AI63" s="108">
        <f t="shared" si="18"/>
        <v>10</v>
      </c>
      <c r="AJ63" s="108">
        <f t="shared" si="19"/>
        <v>5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3</v>
      </c>
      <c r="BB63" s="139">
        <f t="shared" si="22"/>
        <v>3</v>
      </c>
    </row>
    <row r="64" spans="2:54">
      <c r="B64" s="376">
        <v>54</v>
      </c>
      <c r="C64" s="466">
        <v>41820</v>
      </c>
      <c r="D64" s="460" t="str">
        <f t="shared" si="23"/>
        <v>Duitsland</v>
      </c>
      <c r="E64" s="379" t="s">
        <v>9</v>
      </c>
      <c r="F64" s="409" t="str">
        <f t="shared" si="24"/>
        <v>Zuid Korea</v>
      </c>
      <c r="G64" s="437">
        <v>3</v>
      </c>
      <c r="H64" s="379" t="s">
        <v>9</v>
      </c>
      <c r="I64" s="449">
        <v>1</v>
      </c>
      <c r="J64" s="450">
        <v>1</v>
      </c>
      <c r="K64" s="407" t="s">
        <v>77</v>
      </c>
      <c r="L64" s="407" t="s">
        <v>83</v>
      </c>
      <c r="M64" s="407"/>
      <c r="O64" s="458">
        <v>7</v>
      </c>
      <c r="P64" s="877" t="s">
        <v>213</v>
      </c>
      <c r="Q64" s="877"/>
      <c r="R64" s="877"/>
      <c r="S64" s="877"/>
      <c r="T64" s="878"/>
      <c r="V64" s="352" t="s">
        <v>133</v>
      </c>
      <c r="W64" s="352" t="s">
        <v>112</v>
      </c>
      <c r="X64" s="352" t="str">
        <f t="shared" si="11"/>
        <v>Joël Veltman (v)</v>
      </c>
      <c r="Y64" s="109">
        <f t="shared" si="13"/>
        <v>0</v>
      </c>
      <c r="Z64" s="352" t="str">
        <f t="shared" si="14"/>
        <v>Duitsland</v>
      </c>
      <c r="AA64" s="352" t="str">
        <f t="shared" si="14"/>
        <v>Zuid Korea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0</v>
      </c>
      <c r="AG64" s="108">
        <f t="shared" si="16"/>
        <v>0</v>
      </c>
      <c r="AH64" s="108">
        <f t="shared" si="17"/>
        <v>0</v>
      </c>
      <c r="AI64" s="108">
        <f t="shared" si="18"/>
        <v>0</v>
      </c>
      <c r="AJ64" s="108">
        <f t="shared" si="19"/>
        <v>0</v>
      </c>
      <c r="AK64" s="108">
        <f t="shared" si="20"/>
        <v>0</v>
      </c>
      <c r="AL64" s="108">
        <f t="shared" si="21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2"/>
        <v>3</v>
      </c>
    </row>
    <row r="65" spans="2:54">
      <c r="B65" s="370">
        <v>55</v>
      </c>
      <c r="C65" s="467">
        <v>41821</v>
      </c>
      <c r="D65" s="459" t="str">
        <f t="shared" si="23"/>
        <v>Argentinië</v>
      </c>
      <c r="E65" s="373" t="s">
        <v>9</v>
      </c>
      <c r="F65" s="410" t="str">
        <f t="shared" si="24"/>
        <v>Ecuador</v>
      </c>
      <c r="G65" s="436">
        <v>2</v>
      </c>
      <c r="H65" s="373" t="s">
        <v>9</v>
      </c>
      <c r="I65" s="451">
        <v>1</v>
      </c>
      <c r="J65" s="452">
        <v>1</v>
      </c>
      <c r="K65" s="407" t="s">
        <v>72</v>
      </c>
      <c r="L65" s="407" t="s">
        <v>68</v>
      </c>
      <c r="M65" s="407"/>
      <c r="O65" s="458">
        <v>8</v>
      </c>
      <c r="P65" s="877" t="s">
        <v>282</v>
      </c>
      <c r="Q65" s="877"/>
      <c r="R65" s="877"/>
      <c r="S65" s="877"/>
      <c r="T65" s="878"/>
      <c r="V65" s="352" t="s">
        <v>133</v>
      </c>
      <c r="W65" s="352" t="s">
        <v>109</v>
      </c>
      <c r="X65" s="352" t="str">
        <f t="shared" si="11"/>
        <v>Daley Blind (v)</v>
      </c>
      <c r="Y65" s="109">
        <f t="shared" si="13"/>
        <v>0</v>
      </c>
      <c r="Z65" s="352" t="str">
        <f t="shared" si="14"/>
        <v>Argentinië</v>
      </c>
      <c r="AA65" s="352" t="str">
        <f t="shared" si="14"/>
        <v>Ecuador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0</v>
      </c>
      <c r="AG65" s="108">
        <f t="shared" si="16"/>
        <v>0</v>
      </c>
      <c r="AH65" s="108">
        <f t="shared" si="17"/>
        <v>0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0</v>
      </c>
      <c r="AZ65" s="138" t="str">
        <f>Uitslag!P65</f>
        <v>Nigel de Jong (m)</v>
      </c>
      <c r="BA65" s="140">
        <f t="shared" si="12"/>
        <v>0</v>
      </c>
      <c r="BB65" s="139">
        <f t="shared" si="22"/>
        <v>0</v>
      </c>
    </row>
    <row r="66" spans="2:54" ht="15.75" thickBot="1">
      <c r="B66" s="385">
        <v>56</v>
      </c>
      <c r="C66" s="462">
        <v>41821</v>
      </c>
      <c r="D66" s="461" t="str">
        <f t="shared" si="23"/>
        <v>Rusland</v>
      </c>
      <c r="E66" s="388" t="s">
        <v>9</v>
      </c>
      <c r="F66" s="412" t="str">
        <f t="shared" si="24"/>
        <v>Portugal</v>
      </c>
      <c r="G66" s="438">
        <v>0</v>
      </c>
      <c r="H66" s="388" t="s">
        <v>9</v>
      </c>
      <c r="I66" s="453">
        <v>2</v>
      </c>
      <c r="J66" s="454">
        <v>2</v>
      </c>
      <c r="K66" s="407" t="s">
        <v>82</v>
      </c>
      <c r="L66" s="407" t="s">
        <v>78</v>
      </c>
      <c r="M66" s="407"/>
      <c r="O66" s="458">
        <v>9</v>
      </c>
      <c r="P66" s="877" t="s">
        <v>230</v>
      </c>
      <c r="Q66" s="877"/>
      <c r="R66" s="877"/>
      <c r="S66" s="877"/>
      <c r="T66" s="878"/>
      <c r="V66" s="352" t="s">
        <v>133</v>
      </c>
      <c r="W66" s="352" t="s">
        <v>115</v>
      </c>
      <c r="X66" s="352" t="str">
        <f t="shared" si="11"/>
        <v>Daryl Janmaat (v)</v>
      </c>
      <c r="Y66" s="109">
        <f t="shared" si="13"/>
        <v>1</v>
      </c>
      <c r="Z66" s="352" t="str">
        <f>IF(K66=""," ",VLOOKUP(K66,$T$9:$V$54,3,FALSE))</f>
        <v>Rusland</v>
      </c>
      <c r="AA66" s="352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1</v>
      </c>
      <c r="AG66" s="108">
        <f t="shared" si="16"/>
        <v>1</v>
      </c>
      <c r="AH66" s="108">
        <f t="shared" si="17"/>
        <v>0</v>
      </c>
      <c r="AI66" s="108">
        <f t="shared" si="18"/>
        <v>0</v>
      </c>
      <c r="AJ66" s="108">
        <f t="shared" si="19"/>
        <v>0</v>
      </c>
      <c r="AK66" s="108">
        <f t="shared" si="20"/>
        <v>0</v>
      </c>
      <c r="AL66" s="108">
        <f t="shared" si="21"/>
        <v>0</v>
      </c>
      <c r="AZ66" s="138" t="str">
        <f>Uitslag!P66</f>
        <v>Jonathan de Guzman (m)</v>
      </c>
      <c r="BA66" s="140">
        <f t="shared" si="12"/>
        <v>0</v>
      </c>
      <c r="BB66" s="139">
        <f t="shared" si="22"/>
        <v>0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O67" s="458">
        <v>10</v>
      </c>
      <c r="P67" s="877" t="s">
        <v>216</v>
      </c>
      <c r="Q67" s="877"/>
      <c r="R67" s="877"/>
      <c r="S67" s="877"/>
      <c r="T67" s="878"/>
      <c r="V67" s="352" t="s">
        <v>133</v>
      </c>
      <c r="W67" s="352" t="s">
        <v>118</v>
      </c>
      <c r="X67" s="352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2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79"/>
      <c r="K68" s="353"/>
      <c r="L68" s="353"/>
      <c r="M68" s="353"/>
      <c r="O68" s="458">
        <v>11</v>
      </c>
      <c r="P68" s="877" t="s">
        <v>215</v>
      </c>
      <c r="Q68" s="877"/>
      <c r="R68" s="877"/>
      <c r="S68" s="877"/>
      <c r="T68" s="878"/>
      <c r="V68" s="352" t="s">
        <v>133</v>
      </c>
      <c r="W68" s="352" t="s">
        <v>119</v>
      </c>
      <c r="X68" s="352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2"/>
        <v>3</v>
      </c>
    </row>
    <row r="69" spans="2:54">
      <c r="B69" s="428" t="s">
        <v>1</v>
      </c>
      <c r="C69" s="429" t="s">
        <v>2</v>
      </c>
      <c r="D69" s="476" t="s">
        <v>3</v>
      </c>
      <c r="E69" s="431"/>
      <c r="F69" s="477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V69" s="352" t="s">
        <v>133</v>
      </c>
      <c r="W69" s="352" t="s">
        <v>121</v>
      </c>
      <c r="X69" s="352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24</v>
      </c>
      <c r="BB69" s="139" t="str">
        <f>IF(AND(BA69&lt;&gt;"",BA69=33),15,"nvt")</f>
        <v>nvt</v>
      </c>
    </row>
    <row r="70" spans="2:54">
      <c r="B70" s="364">
        <v>57</v>
      </c>
      <c r="C70" s="365">
        <v>41824</v>
      </c>
      <c r="D70" s="405" t="str">
        <f>IF(J63="","Winnaar 53",IF(J63=1,D63,F63))</f>
        <v>Frankrijk</v>
      </c>
      <c r="E70" s="367" t="s">
        <v>9</v>
      </c>
      <c r="F70" s="406" t="str">
        <f>IF(J64="","Winnaar 54",IF(J64=1,D64,F64))</f>
        <v>Duitsland</v>
      </c>
      <c r="G70" s="435">
        <v>3</v>
      </c>
      <c r="H70" s="367" t="s">
        <v>9</v>
      </c>
      <c r="I70" s="447">
        <v>2</v>
      </c>
      <c r="J70" s="448">
        <v>1</v>
      </c>
      <c r="K70" s="353"/>
      <c r="L70" s="353"/>
      <c r="M70" s="353"/>
      <c r="V70" s="352" t="s">
        <v>133</v>
      </c>
      <c r="W70" s="352" t="s">
        <v>126</v>
      </c>
      <c r="X70" s="352" t="str">
        <f t="shared" si="11"/>
        <v>Karim Rekik (v)</v>
      </c>
      <c r="Y70" s="109">
        <f>AF70</f>
        <v>0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0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0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Brazilië</v>
      </c>
      <c r="E71" s="379" t="s">
        <v>9</v>
      </c>
      <c r="F71" s="409" t="str">
        <f>IF(J60="","Winnaar 50",IF(J60=1,D60,F60))</f>
        <v>Engeland</v>
      </c>
      <c r="G71" s="437">
        <v>3</v>
      </c>
      <c r="H71" s="379" t="s">
        <v>9</v>
      </c>
      <c r="I71" s="449">
        <v>1</v>
      </c>
      <c r="J71" s="450">
        <v>1</v>
      </c>
      <c r="K71" s="353"/>
      <c r="L71" s="353"/>
      <c r="M71" s="353"/>
      <c r="V71" s="352" t="s">
        <v>133</v>
      </c>
      <c r="W71" s="352" t="s">
        <v>194</v>
      </c>
      <c r="X71" s="352" t="str">
        <f t="shared" si="11"/>
        <v>Ron Vlaar (v)</v>
      </c>
      <c r="Y71" s="109">
        <f>AF71</f>
        <v>6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6</v>
      </c>
      <c r="AG71" s="108">
        <f>IF(AC71="",0,(IF(G71=AC71,1,0)))</f>
        <v>0</v>
      </c>
      <c r="AH71" s="108">
        <f>IF(AD71="",0,(IF(I71=AD71,1,0)))</f>
        <v>1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Argentinië</v>
      </c>
      <c r="E72" s="367" t="s">
        <v>9</v>
      </c>
      <c r="F72" s="406" t="str">
        <f>IF(J66="","Winnaar 56",IF(J66=1,D66,F66))</f>
        <v>Portugal</v>
      </c>
      <c r="G72" s="435">
        <v>1</v>
      </c>
      <c r="H72" s="367" t="s">
        <v>9</v>
      </c>
      <c r="I72" s="447">
        <v>2</v>
      </c>
      <c r="J72" s="448">
        <v>2</v>
      </c>
      <c r="K72" s="353"/>
      <c r="L72" s="353"/>
      <c r="M72" s="353"/>
      <c r="V72" s="352" t="s">
        <v>133</v>
      </c>
      <c r="W72" s="352" t="s">
        <v>195</v>
      </c>
      <c r="X72" s="352" t="str">
        <f t="shared" si="11"/>
        <v>John Heitinga (v)</v>
      </c>
      <c r="Y72" s="109">
        <f>AF72</f>
        <v>1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1</v>
      </c>
      <c r="AG72" s="108">
        <f>IF(AC72="",0,(IF(G72=AC72,1,0)))</f>
        <v>1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0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Spanje</v>
      </c>
      <c r="E73" s="388" t="s">
        <v>9</v>
      </c>
      <c r="F73" s="412" t="str">
        <f>IF(J62="","Winnaar 52",IF(J62=1,D62,F62))</f>
        <v>Italië</v>
      </c>
      <c r="G73" s="438">
        <v>2</v>
      </c>
      <c r="H73" s="388" t="s">
        <v>9</v>
      </c>
      <c r="I73" s="453">
        <v>1</v>
      </c>
      <c r="J73" s="454">
        <v>1</v>
      </c>
      <c r="K73" s="353"/>
      <c r="L73" s="353"/>
      <c r="M73" s="353"/>
      <c r="V73" s="352" t="s">
        <v>133</v>
      </c>
      <c r="W73" s="352" t="s">
        <v>196</v>
      </c>
      <c r="X73" s="352" t="str">
        <f t="shared" si="11"/>
        <v>Urby Emanuelson (v)</v>
      </c>
      <c r="Y73" s="109">
        <f>AF73</f>
        <v>0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0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V74" s="352" t="s">
        <v>133</v>
      </c>
      <c r="W74" s="352" t="s">
        <v>197</v>
      </c>
      <c r="X74" s="352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79"/>
      <c r="K75" s="353"/>
      <c r="L75" s="353"/>
      <c r="M75" s="353"/>
      <c r="V75" s="352" t="s">
        <v>133</v>
      </c>
      <c r="W75" s="352" t="s">
        <v>198</v>
      </c>
      <c r="X75" s="352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76" t="s">
        <v>3</v>
      </c>
      <c r="E76" s="431"/>
      <c r="F76" s="477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V76" s="352" t="s">
        <v>133</v>
      </c>
      <c r="W76" s="352" t="s">
        <v>202</v>
      </c>
      <c r="X76" s="352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Frankrijk</v>
      </c>
      <c r="E77" s="367" t="s">
        <v>9</v>
      </c>
      <c r="F77" s="406" t="str">
        <f>IF(J71="","Winnaar 58",IF(J71=1,D71,F71))</f>
        <v>Brazilië</v>
      </c>
      <c r="G77" s="435">
        <v>1</v>
      </c>
      <c r="H77" s="367" t="s">
        <v>9</v>
      </c>
      <c r="I77" s="447">
        <v>3</v>
      </c>
      <c r="J77" s="448">
        <v>2</v>
      </c>
      <c r="K77" s="353"/>
      <c r="L77" s="353"/>
      <c r="M77" s="353"/>
      <c r="V77" s="352" t="s">
        <v>134</v>
      </c>
      <c r="W77" s="352" t="s">
        <v>203</v>
      </c>
      <c r="X77" s="352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Portugal</v>
      </c>
      <c r="E78" s="388" t="s">
        <v>9</v>
      </c>
      <c r="F78" s="412" t="str">
        <f>IF(J73="","Winnaar 60",IF(J73=1,D73,F73))</f>
        <v>Spanje</v>
      </c>
      <c r="G78" s="438">
        <v>1</v>
      </c>
      <c r="H78" s="388" t="s">
        <v>9</v>
      </c>
      <c r="I78" s="453">
        <v>3</v>
      </c>
      <c r="J78" s="454">
        <v>2</v>
      </c>
      <c r="K78" s="353"/>
      <c r="L78" s="353"/>
      <c r="M78" s="353"/>
      <c r="V78" s="352" t="s">
        <v>134</v>
      </c>
      <c r="W78" s="352" t="s">
        <v>199</v>
      </c>
      <c r="X78" s="352" t="str">
        <f t="shared" si="11"/>
        <v>Leroy Fer (m)</v>
      </c>
      <c r="Y78" s="109">
        <f>AF78</f>
        <v>0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0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V79" s="352" t="s">
        <v>134</v>
      </c>
      <c r="W79" s="352" t="s">
        <v>114</v>
      </c>
      <c r="X79" s="352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79"/>
      <c r="K80" s="353"/>
      <c r="L80" s="353"/>
      <c r="M80" s="353"/>
      <c r="V80" s="352" t="s">
        <v>134</v>
      </c>
      <c r="W80" s="352" t="s">
        <v>117</v>
      </c>
      <c r="X80" s="352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76" t="s">
        <v>3</v>
      </c>
      <c r="E81" s="431"/>
      <c r="F81" s="477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V81" s="352" t="s">
        <v>134</v>
      </c>
      <c r="W81" s="352" t="s">
        <v>120</v>
      </c>
      <c r="X81" s="352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Frankrijk</v>
      </c>
      <c r="E82" s="355" t="s">
        <v>9</v>
      </c>
      <c r="F82" s="415" t="str">
        <f>IF(J78="","Verliezer 62",IF(J78=1,F78,D78))</f>
        <v>Portugal</v>
      </c>
      <c r="G82" s="455">
        <v>3</v>
      </c>
      <c r="H82" s="355" t="s">
        <v>9</v>
      </c>
      <c r="I82" s="456">
        <v>1</v>
      </c>
      <c r="J82" s="457">
        <v>1</v>
      </c>
      <c r="K82" s="353"/>
      <c r="L82" s="353"/>
      <c r="M82" s="353"/>
      <c r="V82" s="352" t="s">
        <v>134</v>
      </c>
      <c r="W82" s="352" t="s">
        <v>125</v>
      </c>
      <c r="X82" s="35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V83" s="352" t="s">
        <v>134</v>
      </c>
      <c r="W83" s="352" t="s">
        <v>136</v>
      </c>
      <c r="X83" s="352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79"/>
      <c r="K84" s="353"/>
      <c r="L84" s="353"/>
      <c r="M84" s="353"/>
      <c r="V84" s="352" t="s">
        <v>134</v>
      </c>
      <c r="W84" s="352" t="s">
        <v>137</v>
      </c>
      <c r="X84" s="352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76" t="s">
        <v>3</v>
      </c>
      <c r="E85" s="431"/>
      <c r="F85" s="477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V85" s="352" t="s">
        <v>134</v>
      </c>
      <c r="W85" s="352" t="s">
        <v>138</v>
      </c>
      <c r="X85" s="352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Brazilië</v>
      </c>
      <c r="E86" s="355" t="s">
        <v>9</v>
      </c>
      <c r="F86" s="415" t="str">
        <f>IF(J78="","Winnaar 62",IF(J78=1,D78,F78))</f>
        <v>Spanje</v>
      </c>
      <c r="G86" s="455">
        <v>3</v>
      </c>
      <c r="H86" s="355" t="s">
        <v>9</v>
      </c>
      <c r="I86" s="456">
        <v>2</v>
      </c>
      <c r="J86" s="457">
        <v>1</v>
      </c>
      <c r="K86" s="353"/>
      <c r="L86" s="353"/>
      <c r="M86" s="353"/>
      <c r="V86" s="352" t="s">
        <v>134</v>
      </c>
      <c r="W86" s="352" t="s">
        <v>139</v>
      </c>
      <c r="X86" s="352" t="str">
        <f t="shared" si="11"/>
        <v>Nigel de Jong (m)</v>
      </c>
      <c r="Y86" s="109">
        <f>AF86</f>
        <v>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0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353"/>
      <c r="C87" s="129"/>
      <c r="D87" s="392"/>
      <c r="E87" s="353"/>
      <c r="F87" s="392"/>
      <c r="G87" s="353"/>
      <c r="H87" s="353"/>
      <c r="I87" s="353"/>
      <c r="J87" s="353"/>
      <c r="K87" s="353"/>
      <c r="L87" s="353"/>
      <c r="M87" s="353"/>
      <c r="V87" s="352" t="s">
        <v>135</v>
      </c>
      <c r="W87" s="352" t="s">
        <v>205</v>
      </c>
      <c r="X87" s="352" t="str">
        <f t="shared" si="11"/>
        <v>Ricky van Wolfswinkel (a)</v>
      </c>
      <c r="AP87" s="136" t="s">
        <v>102</v>
      </c>
    </row>
    <row r="88" spans="2:50">
      <c r="B88" s="353"/>
      <c r="C88" s="129"/>
      <c r="D88" s="392"/>
      <c r="E88" s="353"/>
      <c r="F88" s="392"/>
      <c r="G88" s="353"/>
      <c r="H88" s="353"/>
      <c r="I88" s="353"/>
      <c r="J88" s="353"/>
      <c r="K88" s="353"/>
      <c r="L88" s="353"/>
      <c r="M88" s="353"/>
      <c r="V88" s="352" t="s">
        <v>135</v>
      </c>
      <c r="W88" s="352" t="s">
        <v>204</v>
      </c>
      <c r="X88" s="352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458"/>
    </row>
    <row r="89" spans="2:50" ht="20.25">
      <c r="C89" s="874" t="s">
        <v>101</v>
      </c>
      <c r="D89" s="871"/>
      <c r="E89" s="873" t="str">
        <f>IF(J86=1,D86,IF(J86=2,F86,"Wie zal het worden?"))</f>
        <v>Brazilië</v>
      </c>
      <c r="F89" s="873"/>
      <c r="G89" s="873"/>
      <c r="H89" s="873"/>
      <c r="I89" s="873"/>
      <c r="J89" s="873"/>
      <c r="K89" s="353"/>
      <c r="L89" s="353"/>
      <c r="M89" s="353"/>
      <c r="V89" s="352" t="s">
        <v>135</v>
      </c>
      <c r="W89" s="352" t="s">
        <v>201</v>
      </c>
      <c r="X89" s="352" t="str">
        <f t="shared" si="11"/>
        <v>Jermain Lens (a)</v>
      </c>
      <c r="AP89" s="109">
        <f>AU89</f>
        <v>5</v>
      </c>
      <c r="AQ89" s="131">
        <v>1</v>
      </c>
      <c r="AR89" s="904" t="str">
        <f>Uitslag!E89</f>
        <v>Duitsland</v>
      </c>
      <c r="AS89" s="905"/>
      <c r="AT89" s="906"/>
      <c r="AU89" s="352">
        <f>SUM(AV89:AX89)</f>
        <v>5</v>
      </c>
      <c r="AV89" s="352">
        <f>IF(AR89=0,0,IF(E89=AR89,50,0))</f>
        <v>0</v>
      </c>
      <c r="AW89" s="352">
        <f>IF(E89=0,0,IF(OR(E89=AR90),15,0))</f>
        <v>0</v>
      </c>
      <c r="AX89" s="352">
        <f>IF(E89=0,0,IF(OR(E89=AR91,E89=AR92),5,0))</f>
        <v>5</v>
      </c>
    </row>
    <row r="90" spans="2:50">
      <c r="C90" s="870">
        <v>2</v>
      </c>
      <c r="D90" s="871"/>
      <c r="E90" s="872" t="str">
        <f>IF(J86=2,D86,IF(J86=1,F86,"Wie wordt 2de?"))</f>
        <v>Spanje</v>
      </c>
      <c r="F90" s="872"/>
      <c r="G90" s="872"/>
      <c r="H90" s="872"/>
      <c r="I90" s="872"/>
      <c r="J90" s="872"/>
      <c r="V90" s="352" t="s">
        <v>135</v>
      </c>
      <c r="W90" s="352" t="s">
        <v>200</v>
      </c>
      <c r="X90" s="352" t="str">
        <f t="shared" si="11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 s="352">
        <f>SUM(AV90:AX90)</f>
        <v>0</v>
      </c>
      <c r="AV90" s="352">
        <f>IF(AR90=0,0,IF(AR90=E90,25,0))</f>
        <v>0</v>
      </c>
      <c r="AW90" s="352">
        <f>IF(E90=0,0,IF(OR(E90=AR89,),15,0))</f>
        <v>0</v>
      </c>
      <c r="AX90" s="352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Frankrijk</v>
      </c>
      <c r="F91" s="872"/>
      <c r="G91" s="872"/>
      <c r="H91" s="872"/>
      <c r="I91" s="872"/>
      <c r="J91" s="872"/>
      <c r="V91" s="352" t="s">
        <v>135</v>
      </c>
      <c r="W91" s="352" t="s">
        <v>128</v>
      </c>
      <c r="X91" s="352" t="str">
        <f t="shared" si="11"/>
        <v>Jürgen Locadia (a)</v>
      </c>
      <c r="AP91" s="109">
        <f>AU91</f>
        <v>0</v>
      </c>
      <c r="AQ91" s="131">
        <v>3</v>
      </c>
      <c r="AR91" s="904" t="str">
        <f>Uitslag!E91</f>
        <v>Nederland</v>
      </c>
      <c r="AS91" s="905"/>
      <c r="AT91" s="906"/>
      <c r="AU91" s="352">
        <f>SUM(AV91:AX91)</f>
        <v>0</v>
      </c>
      <c r="AV91" s="352">
        <f>IF(AR91=0,0,IF(AR91=E91,15,0))</f>
        <v>0</v>
      </c>
      <c r="AW91" s="352">
        <f>IF(E91=0,0,IF(OR(E91=AR92),10,0))</f>
        <v>0</v>
      </c>
      <c r="AX91" s="352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Portugal</v>
      </c>
      <c r="F92" s="872"/>
      <c r="G92" s="872"/>
      <c r="H92" s="872"/>
      <c r="I92" s="872"/>
      <c r="J92" s="872"/>
      <c r="V92" s="352" t="s">
        <v>135</v>
      </c>
      <c r="W92" s="352" t="s">
        <v>127</v>
      </c>
      <c r="X92" s="35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 s="352">
        <f>SUM(AV92:AX92)</f>
        <v>0</v>
      </c>
      <c r="AV92" s="352">
        <f>IF(AR92=0,0,IF(AR92=E92,15,0))</f>
        <v>0</v>
      </c>
      <c r="AW92" s="352">
        <f>IF(E92=0,0,IF(OR(E92=AR91,),10,0))</f>
        <v>0</v>
      </c>
      <c r="AX92" s="352">
        <f>IF(E92=0,0,IF(OR(E92=AR89,E92=AR90),5,0))</f>
        <v>0</v>
      </c>
    </row>
    <row r="93" spans="2:50" ht="15.75" thickBot="1">
      <c r="V93" s="352" t="s">
        <v>135</v>
      </c>
      <c r="W93" s="352" t="s">
        <v>123</v>
      </c>
      <c r="X93" s="352" t="str">
        <f t="shared" si="11"/>
        <v>Quincy Promes (a)</v>
      </c>
      <c r="AS93" s="132"/>
      <c r="AU93" s="133">
        <f>SUM(AU89:AU92)</f>
        <v>5</v>
      </c>
    </row>
    <row r="94" spans="2:50" ht="15.75" thickTop="1">
      <c r="V94" s="352" t="s">
        <v>135</v>
      </c>
      <c r="W94" s="352" t="s">
        <v>122</v>
      </c>
      <c r="X94" s="352" t="str">
        <f t="shared" si="11"/>
        <v>Luc Castaignos (a)</v>
      </c>
    </row>
    <row r="95" spans="2:50">
      <c r="V95" s="352" t="s">
        <v>135</v>
      </c>
      <c r="W95" s="352" t="s">
        <v>113</v>
      </c>
      <c r="X95" s="352" t="str">
        <f t="shared" si="11"/>
        <v>Jean-Paul Boëtius (a)</v>
      </c>
    </row>
    <row r="96" spans="2:50">
      <c r="V96" s="352" t="s">
        <v>135</v>
      </c>
      <c r="W96" s="352" t="s">
        <v>129</v>
      </c>
      <c r="X96" s="352" t="str">
        <f t="shared" si="11"/>
        <v>Luciano Narsingh (a)</v>
      </c>
    </row>
    <row r="97" spans="22:24">
      <c r="V97" s="352" t="s">
        <v>135</v>
      </c>
      <c r="W97" s="352" t="s">
        <v>130</v>
      </c>
      <c r="X97" s="352" t="str">
        <f t="shared" si="11"/>
        <v>Robin van Persie (a)</v>
      </c>
    </row>
    <row r="98" spans="22:24">
      <c r="V98" s="352" t="s">
        <v>135</v>
      </c>
      <c r="W98" s="352" t="s">
        <v>131</v>
      </c>
      <c r="X98" s="352" t="str">
        <f t="shared" si="11"/>
        <v>Arjen Robben (a)</v>
      </c>
    </row>
  </sheetData>
  <mergeCells count="36">
    <mergeCell ref="C91:D91"/>
    <mergeCell ref="E91:J91"/>
    <mergeCell ref="AR91:AT91"/>
    <mergeCell ref="C92:D92"/>
    <mergeCell ref="E92:J92"/>
    <mergeCell ref="AR92:AT92"/>
    <mergeCell ref="C89:D89"/>
    <mergeCell ref="E89:J89"/>
    <mergeCell ref="AR89:AT89"/>
    <mergeCell ref="C90:D90"/>
    <mergeCell ref="E90:J90"/>
    <mergeCell ref="AR90:AT90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</mergeCells>
  <conditionalFormatting sqref="AO9:AO12 AO15:AO18 AO21:AO24 AO27:AO30 AO33:AO36 AO39:AO42 AO45:AO48 AO51:AO54">
    <cfRule type="cellIs" dxfId="20" priority="3" operator="equal">
      <formula>10</formula>
    </cfRule>
  </conditionalFormatting>
  <conditionalFormatting sqref="P58:T58">
    <cfRule type="duplicateValues" dxfId="19" priority="2"/>
  </conditionalFormatting>
  <conditionalFormatting sqref="P58:T68">
    <cfRule type="duplicateValues" dxfId="18" priority="1"/>
  </conditionalFormatting>
  <dataValidations count="10">
    <dataValidation type="list" allowBlank="1" showInputMessage="1" showErrorMessage="1" sqref="P58:P68">
      <formula1>$X$58:$X$98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51:T54">
      <formula1>$W$51:$W$54</formula1>
    </dataValidation>
  </dataValidation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>
  <dimension ref="B1:BB98"/>
  <sheetViews>
    <sheetView topLeftCell="A43" zoomScale="70" zoomScaleNormal="70" workbookViewId="0">
      <selection activeCell="P58" sqref="P58:T68"/>
    </sheetView>
  </sheetViews>
  <sheetFormatPr defaultRowHeight="15" outlineLevelCol="2"/>
  <cols>
    <col min="1" max="1" width="3.42578125" style="352" customWidth="1"/>
    <col min="2" max="2" width="3.5703125" style="352" bestFit="1" customWidth="1"/>
    <col min="3" max="3" width="11.5703125" style="123" bestFit="1" customWidth="1"/>
    <col min="4" max="4" width="19.7109375" style="352" bestFit="1" customWidth="1"/>
    <col min="5" max="5" width="3.42578125" style="352" customWidth="1"/>
    <col min="6" max="6" width="19.7109375" style="352" bestFit="1" customWidth="1"/>
    <col min="7" max="7" width="6.7109375" style="352" customWidth="1"/>
    <col min="8" max="8" width="1.5703125" style="352" bestFit="1" customWidth="1"/>
    <col min="9" max="9" width="6.7109375" style="352" customWidth="1"/>
    <col min="10" max="10" width="6.85546875" style="352" bestFit="1" customWidth="1"/>
    <col min="11" max="13" width="9.140625" style="352" hidden="1" customWidth="1" outlineLevel="1"/>
    <col min="14" max="14" width="11.42578125" style="352" bestFit="1" customWidth="1" collapsed="1"/>
    <col min="15" max="15" width="14.7109375" style="352" bestFit="1" customWidth="1"/>
    <col min="16" max="16" width="12.28515625" style="352" bestFit="1" customWidth="1"/>
    <col min="17" max="17" width="8.140625" style="352" bestFit="1" customWidth="1"/>
    <col min="18" max="18" width="7.7109375" style="352" bestFit="1" customWidth="1"/>
    <col min="19" max="19" width="9.140625" style="352"/>
    <col min="20" max="20" width="8.5703125" style="352" bestFit="1" customWidth="1"/>
    <col min="21" max="21" width="9.140625" style="352"/>
    <col min="22" max="23" width="9.140625" style="352" hidden="1" customWidth="1" outlineLevel="1"/>
    <col min="24" max="24" width="2" style="352" hidden="1" customWidth="1" outlineLevel="1"/>
    <col min="25" max="25" width="12.28515625" style="352" bestFit="1" customWidth="1" collapsed="1"/>
    <col min="26" max="27" width="12.28515625" style="352" hidden="1" customWidth="1" outlineLevel="1"/>
    <col min="28" max="28" width="4.7109375" style="352" hidden="1" customWidth="1" outlineLevel="1"/>
    <col min="29" max="38" width="9.140625" style="352" hidden="1" customWidth="1" outlineLevel="1"/>
    <col min="39" max="39" width="7.42578125" style="352" bestFit="1" customWidth="1" collapsed="1"/>
    <col min="40" max="40" width="19.7109375" style="352" hidden="1" customWidth="1" outlineLevel="1"/>
    <col min="41" max="41" width="9.140625" style="352" hidden="1" customWidth="1" outlineLevel="1"/>
    <col min="42" max="42" width="9.140625" style="352" collapsed="1"/>
    <col min="43" max="49" width="9.140625" style="352" hidden="1" customWidth="1" outlineLevel="2"/>
    <col min="50" max="50" width="11.5703125" style="352" hidden="1" customWidth="1" outlineLevel="2"/>
    <col min="51" max="51" width="11.85546875" style="352" hidden="1" customWidth="1" outlineLevel="1" collapsed="1"/>
    <col min="52" max="52" width="9.42578125" style="352" hidden="1" customWidth="1" outlineLevel="1"/>
    <col min="53" max="53" width="10.5703125" style="352" hidden="1" customWidth="1" outlineLevel="1"/>
    <col min="54" max="54" width="9.140625" style="352" collapsed="1"/>
    <col min="55" max="55" width="11.85546875" style="352" bestFit="1" customWidth="1"/>
    <col min="56" max="16384" width="9.140625" style="352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317</v>
      </c>
      <c r="E3" s="335"/>
      <c r="F3" s="335"/>
      <c r="N3" s="352" t="str">
        <f>D3</f>
        <v>Marjan V.</v>
      </c>
      <c r="O3" s="144">
        <f>SUM(P3:S3)</f>
        <v>334</v>
      </c>
      <c r="P3" s="109">
        <f>SUM(Y8:Y86)</f>
        <v>182</v>
      </c>
      <c r="Q3" s="109">
        <f>SUM(AM4:AM55)</f>
        <v>70</v>
      </c>
      <c r="R3" s="109">
        <f>SUM(AP89:AP92)</f>
        <v>55</v>
      </c>
      <c r="S3" s="109">
        <f>SUM(BB58:BB69)</f>
        <v>27</v>
      </c>
      <c r="T3" s="109">
        <f>COUNTIF(AF8:AF86,10)</f>
        <v>6</v>
      </c>
      <c r="U3" s="109" t="str">
        <f>E89</f>
        <v>Duitsland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O6" s="392"/>
      <c r="P6" s="393"/>
      <c r="Q6" s="393"/>
      <c r="R6" s="393"/>
      <c r="S6" s="393"/>
      <c r="T6" s="393"/>
      <c r="U6" s="392"/>
      <c r="V6" s="392"/>
      <c r="W6" s="392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80" t="s">
        <v>3</v>
      </c>
      <c r="E7" s="419"/>
      <c r="F7" s="481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O7" s="353"/>
      <c r="P7" s="393"/>
      <c r="Q7" s="393"/>
      <c r="R7" s="393"/>
      <c r="S7" s="393"/>
      <c r="T7" s="393"/>
      <c r="U7" s="353"/>
      <c r="V7" s="353"/>
      <c r="W7" s="353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458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3</v>
      </c>
      <c r="H8" s="360" t="s">
        <v>9</v>
      </c>
      <c r="I8" s="478">
        <v>0</v>
      </c>
      <c r="J8" s="362">
        <f t="shared" ref="J8:J55" si="0">IF(I8="","",IF(G8&gt;I8,1,IF(G8&lt;I8,2,3)))</f>
        <v>1</v>
      </c>
      <c r="K8" s="363">
        <f t="shared" ref="K8:K55" si="1">IF(I8="","",IF($G8&gt;$I8,3,IF($G8=$I8,1,0)))</f>
        <v>3</v>
      </c>
      <c r="L8" s="363">
        <f t="shared" ref="L8:L55" si="2">IF(I8="","",IF($G8&lt;$I8,3,IF($G8=$I8,1,0)))</f>
        <v>0</v>
      </c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392"/>
      <c r="V8" s="392"/>
      <c r="W8" s="392"/>
      <c r="Y8" s="109">
        <f>AF8</f>
        <v>6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6</v>
      </c>
      <c r="AG8" s="108">
        <f t="shared" ref="AG8:AG55" si="3">IF(AC8="",0,(IF(G8=AC8,1,0)))</f>
        <v>1</v>
      </c>
      <c r="AH8" s="108">
        <f t="shared" ref="AH8:AH55" si="4">IF(AD8="",0,(IF(I8=AD8,1,0)))</f>
        <v>0</v>
      </c>
      <c r="AI8" s="108">
        <f>IF(AND(AG8=1,AH8=1),10,0)</f>
        <v>0</v>
      </c>
      <c r="AJ8" s="108">
        <f t="shared" ref="AJ8:AJ55" si="5">IF(AND(G8&gt;I8,AC8&gt;AD8),5,0)</f>
        <v>5</v>
      </c>
      <c r="AK8" s="108">
        <f t="shared" ref="AK8:AK55" si="6">IF(AND(G8&lt;I8,AC8&lt;AD8),5,0)</f>
        <v>0</v>
      </c>
      <c r="AL8" s="108">
        <f t="shared" ref="AL8:AL55" si="7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1</v>
      </c>
      <c r="H9" s="367" t="s">
        <v>9</v>
      </c>
      <c r="I9" s="440">
        <v>1</v>
      </c>
      <c r="J9" s="369">
        <f t="shared" si="0"/>
        <v>3</v>
      </c>
      <c r="K9" s="363">
        <f t="shared" si="1"/>
        <v>1</v>
      </c>
      <c r="L9" s="363">
        <f t="shared" si="2"/>
        <v>1</v>
      </c>
      <c r="O9" s="394" t="s">
        <v>8</v>
      </c>
      <c r="P9" s="395">
        <f>SUMIF($D$8:$D$55,$O9,$G$8:$G$55)+SUMIF($F$8:$F$55,$O9,$I$8:$I$55)</f>
        <v>7</v>
      </c>
      <c r="Q9" s="395">
        <f>SUMIF($D$8:$D$55,$O9,$I$8:$I$55)+SUMIF($F$8:$F$55,$O9,$G$8:$G$55)</f>
        <v>3</v>
      </c>
      <c r="R9" s="396">
        <f>P9-Q9</f>
        <v>4</v>
      </c>
      <c r="S9" s="397">
        <f>SUMIF($D$8:$D$55,$O9,$K$8:$K$55)+SUMIF($F$8:$F$55,$O9,$L$8:$L$55)</f>
        <v>7</v>
      </c>
      <c r="T9" s="444" t="s">
        <v>48</v>
      </c>
      <c r="U9" s="392"/>
      <c r="V9" s="392" t="str">
        <f>O9</f>
        <v>Brazilië</v>
      </c>
      <c r="W9" s="392" t="s">
        <v>48</v>
      </c>
      <c r="Y9" s="109">
        <f t="shared" ref="Y9:Y55" si="8">AF9</f>
        <v>1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1</v>
      </c>
      <c r="AG9" s="108">
        <f t="shared" si="3"/>
        <v>1</v>
      </c>
      <c r="AH9" s="108">
        <f t="shared" si="4"/>
        <v>0</v>
      </c>
      <c r="AI9" s="108">
        <f t="shared" ref="AI9:AI55" si="10">IF(AND(AG9=1,AH9=1),10,0)</f>
        <v>0</v>
      </c>
      <c r="AJ9" s="108">
        <f t="shared" si="5"/>
        <v>0</v>
      </c>
      <c r="AK9" s="108">
        <f t="shared" si="6"/>
        <v>0</v>
      </c>
      <c r="AL9" s="108">
        <f t="shared" si="7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2</v>
      </c>
      <c r="H10" s="373" t="s">
        <v>9</v>
      </c>
      <c r="I10" s="441">
        <v>1</v>
      </c>
      <c r="J10" s="375">
        <f t="shared" si="0"/>
        <v>1</v>
      </c>
      <c r="K10" s="363">
        <f t="shared" si="1"/>
        <v>3</v>
      </c>
      <c r="L10" s="363">
        <f t="shared" si="2"/>
        <v>0</v>
      </c>
      <c r="O10" s="398" t="s">
        <v>10</v>
      </c>
      <c r="P10" s="399">
        <f>SUMIF($D$8:$D$55,$O10,$G$8:$G$55)+SUMIF($F$8:$F$55,$O10,$I$8:$I$55)</f>
        <v>2</v>
      </c>
      <c r="Q10" s="399">
        <f>SUMIF($D$8:$D$55,$O10,$I$8:$I$55)+SUMIF($F$8:$F$55,$O10,$G$8:$G$55)</f>
        <v>5</v>
      </c>
      <c r="R10" s="399">
        <f>P10-Q10</f>
        <v>-3</v>
      </c>
      <c r="S10" s="400">
        <f>SUMIF($D$8:$D$55,$O10,$K$8:$K$55)+SUMIF($F$8:$F$55,$O10,$L$8:$L$55)</f>
        <v>2</v>
      </c>
      <c r="T10" s="445" t="s">
        <v>50</v>
      </c>
      <c r="U10" s="392"/>
      <c r="V10" s="392" t="str">
        <f>O10</f>
        <v>Kroatië</v>
      </c>
      <c r="W10" s="392" t="s">
        <v>49</v>
      </c>
      <c r="Y10" s="109">
        <f t="shared" si="8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0</v>
      </c>
      <c r="AG10" s="108">
        <f t="shared" si="3"/>
        <v>0</v>
      </c>
      <c r="AH10" s="108">
        <f t="shared" si="4"/>
        <v>0</v>
      </c>
      <c r="AI10" s="108">
        <f t="shared" si="10"/>
        <v>0</v>
      </c>
      <c r="AJ10" s="108">
        <f t="shared" si="5"/>
        <v>0</v>
      </c>
      <c r="AK10" s="108">
        <f t="shared" si="6"/>
        <v>0</v>
      </c>
      <c r="AL10" s="108">
        <f t="shared" si="7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2</v>
      </c>
      <c r="H11" s="379" t="s">
        <v>9</v>
      </c>
      <c r="I11" s="442">
        <v>1</v>
      </c>
      <c r="J11" s="381">
        <f t="shared" si="0"/>
        <v>1</v>
      </c>
      <c r="K11" s="363">
        <f t="shared" si="1"/>
        <v>3</v>
      </c>
      <c r="L11" s="363">
        <f t="shared" si="2"/>
        <v>0</v>
      </c>
      <c r="O11" s="398" t="s">
        <v>11</v>
      </c>
      <c r="P11" s="399">
        <f>SUMIF($D$8:$D$55,$O11,$G$8:$G$55)+SUMIF($F$8:$F$55,$O11,$I$8:$I$55)</f>
        <v>3</v>
      </c>
      <c r="Q11" s="399">
        <f>SUMIF($D$8:$D$55,$O11,$I$8:$I$55)+SUMIF($F$8:$F$55,$O11,$G$8:$G$55)</f>
        <v>4</v>
      </c>
      <c r="R11" s="399">
        <f>P11-Q11</f>
        <v>-1</v>
      </c>
      <c r="S11" s="400">
        <f>SUMIF($D$8:$D$55,$O11,$K$8:$K$55)+SUMIF($F$8:$F$55,$O11,$L$8:$L$55)</f>
        <v>2</v>
      </c>
      <c r="T11" s="445" t="s">
        <v>47</v>
      </c>
      <c r="U11" s="392"/>
      <c r="V11" s="392" t="str">
        <f>O11</f>
        <v>Mexico</v>
      </c>
      <c r="W11" s="392" t="s">
        <v>47</v>
      </c>
      <c r="Y11" s="109">
        <f t="shared" si="8"/>
        <v>6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6</v>
      </c>
      <c r="AG11" s="108">
        <f t="shared" si="3"/>
        <v>0</v>
      </c>
      <c r="AH11" s="108">
        <f t="shared" si="4"/>
        <v>1</v>
      </c>
      <c r="AI11" s="108">
        <f t="shared" si="10"/>
        <v>0</v>
      </c>
      <c r="AJ11" s="108">
        <f t="shared" si="5"/>
        <v>5</v>
      </c>
      <c r="AK11" s="108">
        <f t="shared" si="6"/>
        <v>0</v>
      </c>
      <c r="AL11" s="108">
        <f t="shared" si="7"/>
        <v>0</v>
      </c>
      <c r="AM11" s="120">
        <f>AO11</f>
        <v>0</v>
      </c>
      <c r="AN11" s="117" t="s">
        <v>11</v>
      </c>
      <c r="AO11" s="115">
        <f>IF(Uitslag!T11="",0,IF(T11=Uitslag!T11,10,0))</f>
        <v>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0</v>
      </c>
      <c r="H12" s="367" t="s">
        <v>9</v>
      </c>
      <c r="I12" s="440">
        <v>0</v>
      </c>
      <c r="J12" s="369">
        <f t="shared" si="0"/>
        <v>3</v>
      </c>
      <c r="K12" s="363">
        <f t="shared" si="1"/>
        <v>1</v>
      </c>
      <c r="L12" s="363">
        <f t="shared" si="2"/>
        <v>1</v>
      </c>
      <c r="O12" s="401" t="s">
        <v>12</v>
      </c>
      <c r="P12" s="402">
        <f>SUMIF($D$8:$D$55,$O12,$G$8:$G$55)+SUMIF($F$8:$F$55,$O12,$I$8:$I$55)</f>
        <v>4</v>
      </c>
      <c r="Q12" s="402">
        <f>SUMIF($D$8:$D$55,$O12,$I$8:$I$55)+SUMIF($F$8:$F$55,$O12,$G$8:$G$55)</f>
        <v>4</v>
      </c>
      <c r="R12" s="402">
        <f>P12-Q12</f>
        <v>0</v>
      </c>
      <c r="S12" s="403">
        <f>SUMIF($D$8:$D$55,$O12,$K$8:$K$55)+SUMIF($F$8:$F$55,$O12,$L$8:$L$55)</f>
        <v>3</v>
      </c>
      <c r="T12" s="446" t="s">
        <v>49</v>
      </c>
      <c r="U12" s="392"/>
      <c r="V12" s="392" t="str">
        <f>O12</f>
        <v>Kameroen</v>
      </c>
      <c r="W12" s="392" t="s">
        <v>50</v>
      </c>
      <c r="Y12" s="109">
        <f t="shared" si="8"/>
        <v>1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1</v>
      </c>
      <c r="AG12" s="108">
        <f t="shared" si="3"/>
        <v>0</v>
      </c>
      <c r="AH12" s="108">
        <f t="shared" si="4"/>
        <v>1</v>
      </c>
      <c r="AI12" s="108">
        <f t="shared" si="10"/>
        <v>0</v>
      </c>
      <c r="AJ12" s="108">
        <f t="shared" si="5"/>
        <v>0</v>
      </c>
      <c r="AK12" s="108">
        <f t="shared" si="6"/>
        <v>0</v>
      </c>
      <c r="AL12" s="108">
        <f t="shared" si="7"/>
        <v>0</v>
      </c>
      <c r="AM12" s="120">
        <f>AO12</f>
        <v>0</v>
      </c>
      <c r="AN12" s="118" t="s">
        <v>12</v>
      </c>
      <c r="AO12" s="115">
        <f>IF(Uitslag!T12="",0,IF(T12=Uitslag!T12,10,0))</f>
        <v>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1</v>
      </c>
      <c r="H13" s="373" t="s">
        <v>9</v>
      </c>
      <c r="I13" s="441">
        <v>0</v>
      </c>
      <c r="J13" s="375">
        <f t="shared" si="0"/>
        <v>1</v>
      </c>
      <c r="K13" s="363">
        <f t="shared" si="1"/>
        <v>3</v>
      </c>
      <c r="L13" s="363">
        <f t="shared" si="2"/>
        <v>0</v>
      </c>
      <c r="O13" s="392"/>
      <c r="P13" s="393"/>
      <c r="Q13" s="393"/>
      <c r="R13" s="393"/>
      <c r="S13" s="393"/>
      <c r="T13" s="393"/>
      <c r="U13" s="392"/>
      <c r="V13" s="392"/>
      <c r="W13" s="392"/>
      <c r="Y13" s="109">
        <f t="shared" si="8"/>
        <v>1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1</v>
      </c>
      <c r="AG13" s="108">
        <f t="shared" si="3"/>
        <v>1</v>
      </c>
      <c r="AH13" s="108">
        <f t="shared" si="4"/>
        <v>0</v>
      </c>
      <c r="AI13" s="108">
        <f t="shared" si="10"/>
        <v>0</v>
      </c>
      <c r="AJ13" s="108">
        <f t="shared" si="5"/>
        <v>0</v>
      </c>
      <c r="AK13" s="108">
        <f t="shared" si="6"/>
        <v>0</v>
      </c>
      <c r="AL13" s="108">
        <f t="shared" si="7"/>
        <v>0</v>
      </c>
      <c r="AN13" s="392"/>
      <c r="AO13" s="393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2</v>
      </c>
      <c r="H14" s="373" t="s">
        <v>9</v>
      </c>
      <c r="I14" s="441">
        <v>1</v>
      </c>
      <c r="J14" s="375">
        <f t="shared" si="0"/>
        <v>1</v>
      </c>
      <c r="K14" s="363">
        <f t="shared" si="1"/>
        <v>3</v>
      </c>
      <c r="L14" s="363">
        <f t="shared" si="2"/>
        <v>0</v>
      </c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392"/>
      <c r="V14" s="392"/>
      <c r="W14" s="392"/>
      <c r="Y14" s="109">
        <f t="shared" si="8"/>
        <v>0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0</v>
      </c>
      <c r="AG14" s="108">
        <f t="shared" si="3"/>
        <v>0</v>
      </c>
      <c r="AH14" s="108">
        <f t="shared" si="4"/>
        <v>0</v>
      </c>
      <c r="AI14" s="108">
        <f t="shared" si="10"/>
        <v>0</v>
      </c>
      <c r="AJ14" s="108">
        <f t="shared" si="5"/>
        <v>0</v>
      </c>
      <c r="AK14" s="108">
        <f t="shared" si="6"/>
        <v>0</v>
      </c>
      <c r="AL14" s="108">
        <f t="shared" si="7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1</v>
      </c>
      <c r="H15" s="379" t="s">
        <v>9</v>
      </c>
      <c r="I15" s="442">
        <v>1</v>
      </c>
      <c r="J15" s="381">
        <f t="shared" si="0"/>
        <v>3</v>
      </c>
      <c r="K15" s="363">
        <f t="shared" si="1"/>
        <v>1</v>
      </c>
      <c r="L15" s="363">
        <f t="shared" si="2"/>
        <v>1</v>
      </c>
      <c r="O15" s="394" t="s">
        <v>13</v>
      </c>
      <c r="P15" s="395">
        <f>SUMIF($D$8:$D$55,$O15,$G$8:$G$55)+SUMIF($F$8:$F$55,$O15,$I$8:$I$55)</f>
        <v>7</v>
      </c>
      <c r="Q15" s="395">
        <f>SUMIF($D$8:$D$55,$O15,$I$8:$I$55)+SUMIF($F$8:$F$55,$O15,$G$8:$G$55)</f>
        <v>3</v>
      </c>
      <c r="R15" s="396">
        <f>P15-Q15</f>
        <v>4</v>
      </c>
      <c r="S15" s="397">
        <f>SUMIF($D$8:$D$55,$O15,$K$8:$K$55)+SUMIF($F$8:$F$55,$O15,$L$8:$L$55)</f>
        <v>9</v>
      </c>
      <c r="T15" s="444" t="s">
        <v>52</v>
      </c>
      <c r="U15" s="392"/>
      <c r="V15" s="392" t="str">
        <f>O15</f>
        <v>Spanje</v>
      </c>
      <c r="W15" s="392" t="s">
        <v>52</v>
      </c>
      <c r="Y15" s="109">
        <f t="shared" si="8"/>
        <v>1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1</v>
      </c>
      <c r="AG15" s="108">
        <f t="shared" si="3"/>
        <v>0</v>
      </c>
      <c r="AH15" s="108">
        <f t="shared" si="4"/>
        <v>1</v>
      </c>
      <c r="AI15" s="108">
        <f t="shared" si="10"/>
        <v>0</v>
      </c>
      <c r="AJ15" s="108">
        <f t="shared" si="5"/>
        <v>0</v>
      </c>
      <c r="AK15" s="108">
        <f t="shared" si="6"/>
        <v>0</v>
      </c>
      <c r="AL15" s="108">
        <f t="shared" si="7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0</v>
      </c>
      <c r="H16" s="367" t="s">
        <v>9</v>
      </c>
      <c r="I16" s="440">
        <v>1</v>
      </c>
      <c r="J16" s="369">
        <f t="shared" si="0"/>
        <v>2</v>
      </c>
      <c r="K16" s="363">
        <f t="shared" si="1"/>
        <v>0</v>
      </c>
      <c r="L16" s="363">
        <f t="shared" si="2"/>
        <v>3</v>
      </c>
      <c r="O16" s="404" t="s">
        <v>14</v>
      </c>
      <c r="P16" s="399">
        <f>SUMIF($D$8:$D$55,$O16,$G$8:$G$55)+SUMIF($F$8:$F$55,$O16,$I$8:$I$55)</f>
        <v>5</v>
      </c>
      <c r="Q16" s="399">
        <f>SUMIF($D$8:$D$55,$O16,$I$8:$I$55)+SUMIF($F$8:$F$55,$O16,$G$8:$G$55)</f>
        <v>2</v>
      </c>
      <c r="R16" s="399">
        <f>P16-Q16</f>
        <v>3</v>
      </c>
      <c r="S16" s="400">
        <f>SUMIF($D$8:$D$55,$O16,$K$8:$K$55)+SUMIF($F$8:$F$55,$O16,$L$8:$L$55)</f>
        <v>6</v>
      </c>
      <c r="T16" s="445" t="s">
        <v>53</v>
      </c>
      <c r="U16" s="392"/>
      <c r="V16" s="392" t="str">
        <f>O16</f>
        <v>Nederland</v>
      </c>
      <c r="W16" s="392" t="s">
        <v>53</v>
      </c>
      <c r="Y16" s="109">
        <f t="shared" si="8"/>
        <v>1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1</v>
      </c>
      <c r="AG16" s="108">
        <f t="shared" si="3"/>
        <v>0</v>
      </c>
      <c r="AH16" s="108">
        <f t="shared" si="4"/>
        <v>1</v>
      </c>
      <c r="AI16" s="108">
        <f t="shared" si="10"/>
        <v>0</v>
      </c>
      <c r="AJ16" s="108">
        <f t="shared" si="5"/>
        <v>0</v>
      </c>
      <c r="AK16" s="108">
        <f t="shared" si="6"/>
        <v>0</v>
      </c>
      <c r="AL16" s="108">
        <f t="shared" si="7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2</v>
      </c>
      <c r="H17" s="373" t="s">
        <v>9</v>
      </c>
      <c r="I17" s="441">
        <v>0</v>
      </c>
      <c r="J17" s="375">
        <f t="shared" si="0"/>
        <v>1</v>
      </c>
      <c r="K17" s="363">
        <f t="shared" si="1"/>
        <v>3</v>
      </c>
      <c r="L17" s="363">
        <f t="shared" si="2"/>
        <v>0</v>
      </c>
      <c r="O17" s="398" t="s">
        <v>15</v>
      </c>
      <c r="P17" s="399">
        <f>SUMIF($D$8:$D$55,$O17,$G$8:$G$55)+SUMIF($F$8:$F$55,$O17,$I$8:$I$55)</f>
        <v>3</v>
      </c>
      <c r="Q17" s="399">
        <f>SUMIF($D$8:$D$55,$O17,$I$8:$I$55)+SUMIF($F$8:$F$55,$O17,$G$8:$G$55)</f>
        <v>6</v>
      </c>
      <c r="R17" s="399">
        <f>P17-Q17</f>
        <v>-3</v>
      </c>
      <c r="S17" s="400">
        <f>SUMIF($D$8:$D$55,$O17,$K$8:$K$55)+SUMIF($F$8:$F$55,$O17,$L$8:$L$55)</f>
        <v>3</v>
      </c>
      <c r="T17" s="445" t="s">
        <v>54</v>
      </c>
      <c r="U17" s="392"/>
      <c r="V17" s="392" t="str">
        <f>O17</f>
        <v>Chili</v>
      </c>
      <c r="W17" s="392" t="s">
        <v>54</v>
      </c>
      <c r="Y17" s="109">
        <f t="shared" si="8"/>
        <v>6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6</v>
      </c>
      <c r="AG17" s="108">
        <f t="shared" si="3"/>
        <v>0</v>
      </c>
      <c r="AH17" s="108">
        <f t="shared" si="4"/>
        <v>1</v>
      </c>
      <c r="AI17" s="108">
        <f t="shared" si="10"/>
        <v>0</v>
      </c>
      <c r="AJ17" s="108">
        <f t="shared" si="5"/>
        <v>5</v>
      </c>
      <c r="AK17" s="108">
        <f t="shared" si="6"/>
        <v>0</v>
      </c>
      <c r="AL17" s="108">
        <f t="shared" si="7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3</v>
      </c>
      <c r="H18" s="379" t="s">
        <v>9</v>
      </c>
      <c r="I18" s="442">
        <v>0</v>
      </c>
      <c r="J18" s="381">
        <f t="shared" si="0"/>
        <v>1</v>
      </c>
      <c r="K18" s="363">
        <f t="shared" si="1"/>
        <v>3</v>
      </c>
      <c r="L18" s="363">
        <f t="shared" si="2"/>
        <v>0</v>
      </c>
      <c r="O18" s="401" t="s">
        <v>16</v>
      </c>
      <c r="P18" s="402">
        <f>SUMIF($D$8:$D$55,$O18,$G$8:$G$55)+SUMIF($F$8:$F$55,$O18,$I$8:$I$55)</f>
        <v>2</v>
      </c>
      <c r="Q18" s="402">
        <f>SUMIF($D$8:$D$55,$O18,$I$8:$I$55)+SUMIF($F$8:$F$55,$O18,$G$8:$G$55)</f>
        <v>6</v>
      </c>
      <c r="R18" s="402">
        <f>P18-Q18</f>
        <v>-4</v>
      </c>
      <c r="S18" s="403">
        <f>SUMIF($D$8:$D$55,$O18,$K$8:$K$55)+SUMIF($F$8:$F$55,$O18,$L$8:$L$55)</f>
        <v>0</v>
      </c>
      <c r="T18" s="446" t="s">
        <v>55</v>
      </c>
      <c r="U18" s="392"/>
      <c r="V18" s="392" t="str">
        <f>O18</f>
        <v>Australië</v>
      </c>
      <c r="W18" s="392" t="s">
        <v>55</v>
      </c>
      <c r="Y18" s="109">
        <f t="shared" si="8"/>
        <v>5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5</v>
      </c>
      <c r="AG18" s="108">
        <f t="shared" si="3"/>
        <v>0</v>
      </c>
      <c r="AH18" s="108">
        <f t="shared" si="4"/>
        <v>0</v>
      </c>
      <c r="AI18" s="108">
        <f t="shared" si="10"/>
        <v>0</v>
      </c>
      <c r="AJ18" s="108">
        <f t="shared" si="5"/>
        <v>5</v>
      </c>
      <c r="AK18" s="108">
        <f t="shared" si="6"/>
        <v>0</v>
      </c>
      <c r="AL18" s="108">
        <f t="shared" si="7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3</v>
      </c>
      <c r="H19" s="367" t="s">
        <v>9</v>
      </c>
      <c r="I19" s="440">
        <v>2</v>
      </c>
      <c r="J19" s="369">
        <f t="shared" si="0"/>
        <v>1</v>
      </c>
      <c r="K19" s="363">
        <f t="shared" si="1"/>
        <v>3</v>
      </c>
      <c r="L19" s="363">
        <f t="shared" si="2"/>
        <v>0</v>
      </c>
      <c r="O19" s="392"/>
      <c r="P19" s="393"/>
      <c r="Q19" s="393"/>
      <c r="R19" s="393"/>
      <c r="S19" s="393"/>
      <c r="T19" s="393"/>
      <c r="U19" s="392"/>
      <c r="V19" s="392"/>
      <c r="W19" s="392"/>
      <c r="Y19" s="109">
        <f t="shared" si="8"/>
        <v>5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5</v>
      </c>
      <c r="AG19" s="108">
        <f t="shared" si="3"/>
        <v>0</v>
      </c>
      <c r="AH19" s="108">
        <f t="shared" si="4"/>
        <v>0</v>
      </c>
      <c r="AI19" s="108">
        <f t="shared" si="10"/>
        <v>0</v>
      </c>
      <c r="AJ19" s="108">
        <f t="shared" si="5"/>
        <v>5</v>
      </c>
      <c r="AK19" s="108">
        <f t="shared" si="6"/>
        <v>0</v>
      </c>
      <c r="AL19" s="108">
        <f t="shared" si="7"/>
        <v>0</v>
      </c>
      <c r="AN19" s="392"/>
      <c r="AO19" s="393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0</v>
      </c>
      <c r="H20" s="373" t="s">
        <v>9</v>
      </c>
      <c r="I20" s="441">
        <v>0</v>
      </c>
      <c r="J20" s="375">
        <f t="shared" si="0"/>
        <v>3</v>
      </c>
      <c r="K20" s="363">
        <f t="shared" si="1"/>
        <v>1</v>
      </c>
      <c r="L20" s="363">
        <f t="shared" si="2"/>
        <v>1</v>
      </c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392"/>
      <c r="V20" s="392"/>
      <c r="W20" s="392"/>
      <c r="Y20" s="109">
        <f t="shared" si="8"/>
        <v>10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10</v>
      </c>
      <c r="AG20" s="108">
        <f t="shared" si="3"/>
        <v>1</v>
      </c>
      <c r="AH20" s="108">
        <f t="shared" si="4"/>
        <v>1</v>
      </c>
      <c r="AI20" s="108">
        <f t="shared" si="10"/>
        <v>10</v>
      </c>
      <c r="AJ20" s="108">
        <f t="shared" si="5"/>
        <v>0</v>
      </c>
      <c r="AK20" s="108">
        <f t="shared" si="6"/>
        <v>0</v>
      </c>
      <c r="AL20" s="108">
        <f t="shared" si="7"/>
        <v>5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2</v>
      </c>
      <c r="H21" s="379" t="s">
        <v>9</v>
      </c>
      <c r="I21" s="442">
        <v>0</v>
      </c>
      <c r="J21" s="381">
        <f t="shared" si="0"/>
        <v>1</v>
      </c>
      <c r="K21" s="363">
        <f t="shared" si="1"/>
        <v>3</v>
      </c>
      <c r="L21" s="363">
        <f t="shared" si="2"/>
        <v>0</v>
      </c>
      <c r="O21" s="394" t="s">
        <v>17</v>
      </c>
      <c r="P21" s="395">
        <f>SUMIF($D$8:$D$55,$O21,$G$8:$G$55)+SUMIF($F$8:$F$55,$O21,$I$8:$I$55)</f>
        <v>1</v>
      </c>
      <c r="Q21" s="395">
        <f>SUMIF($D$8:$D$55,$O21,$I$8:$I$55)+SUMIF($F$8:$F$55,$O21,$G$8:$G$55)</f>
        <v>1</v>
      </c>
      <c r="R21" s="396">
        <f>P21-Q21</f>
        <v>0</v>
      </c>
      <c r="S21" s="397">
        <f>SUMIF($D$8:$D$55,$O21,$K$8:$K$55)+SUMIF($F$8:$F$55,$O21,$L$8:$L$55)</f>
        <v>3</v>
      </c>
      <c r="T21" s="444" t="s">
        <v>59</v>
      </c>
      <c r="U21" s="392"/>
      <c r="V21" s="392" t="str">
        <f>O21</f>
        <v>Colombia</v>
      </c>
      <c r="W21" s="392" t="s">
        <v>57</v>
      </c>
      <c r="Y21" s="109">
        <f t="shared" si="8"/>
        <v>0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0</v>
      </c>
      <c r="AG21" s="108">
        <f t="shared" si="3"/>
        <v>0</v>
      </c>
      <c r="AH21" s="108">
        <f t="shared" si="4"/>
        <v>0</v>
      </c>
      <c r="AI21" s="108">
        <f t="shared" si="10"/>
        <v>0</v>
      </c>
      <c r="AJ21" s="108">
        <f t="shared" si="5"/>
        <v>0</v>
      </c>
      <c r="AK21" s="108">
        <f t="shared" si="6"/>
        <v>0</v>
      </c>
      <c r="AL21" s="108">
        <f t="shared" si="7"/>
        <v>0</v>
      </c>
      <c r="AM21" s="120">
        <f>AO21</f>
        <v>0</v>
      </c>
      <c r="AN21" s="116" t="s">
        <v>17</v>
      </c>
      <c r="AO21" s="115">
        <f>IF(Uitslag!T21="",0,IF(T21=Uitslag!T21,10,0))</f>
        <v>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0</v>
      </c>
      <c r="H22" s="367" t="s">
        <v>9</v>
      </c>
      <c r="I22" s="440">
        <v>0</v>
      </c>
      <c r="J22" s="369">
        <f t="shared" si="0"/>
        <v>3</v>
      </c>
      <c r="K22" s="363">
        <f t="shared" si="1"/>
        <v>1</v>
      </c>
      <c r="L22" s="363">
        <f t="shared" si="2"/>
        <v>1</v>
      </c>
      <c r="O22" s="398" t="s">
        <v>18</v>
      </c>
      <c r="P22" s="399">
        <f>SUMIF($D$8:$D$55,$O22,$G$8:$G$55)+SUMIF($F$8:$F$55,$O22,$I$8:$I$55)</f>
        <v>1</v>
      </c>
      <c r="Q22" s="399">
        <f>SUMIF($D$8:$D$55,$O22,$I$8:$I$55)+SUMIF($F$8:$F$55,$O22,$G$8:$G$55)</f>
        <v>0</v>
      </c>
      <c r="R22" s="399">
        <f>P22-Q22</f>
        <v>1</v>
      </c>
      <c r="S22" s="400">
        <f>SUMIF($D$8:$D$55,$O22,$K$8:$K$55)+SUMIF($F$8:$F$55,$O22,$L$8:$L$55)</f>
        <v>5</v>
      </c>
      <c r="T22" s="445" t="s">
        <v>57</v>
      </c>
      <c r="U22" s="392"/>
      <c r="V22" s="392" t="str">
        <f>O22</f>
        <v>Griekenland</v>
      </c>
      <c r="W22" s="392" t="s">
        <v>58</v>
      </c>
      <c r="Y22" s="109">
        <f t="shared" si="8"/>
        <v>0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0</v>
      </c>
      <c r="AG22" s="108">
        <f t="shared" si="3"/>
        <v>0</v>
      </c>
      <c r="AH22" s="108">
        <f t="shared" si="4"/>
        <v>0</v>
      </c>
      <c r="AI22" s="108">
        <f t="shared" si="10"/>
        <v>0</v>
      </c>
      <c r="AJ22" s="108">
        <f t="shared" si="5"/>
        <v>0</v>
      </c>
      <c r="AK22" s="108">
        <f t="shared" si="6"/>
        <v>0</v>
      </c>
      <c r="AL22" s="108">
        <f t="shared" si="7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2</v>
      </c>
      <c r="H23" s="373" t="s">
        <v>9</v>
      </c>
      <c r="I23" s="441">
        <v>1</v>
      </c>
      <c r="J23" s="375">
        <f t="shared" si="0"/>
        <v>1</v>
      </c>
      <c r="K23" s="363">
        <f t="shared" si="1"/>
        <v>3</v>
      </c>
      <c r="L23" s="363">
        <f t="shared" si="2"/>
        <v>0</v>
      </c>
      <c r="O23" s="398" t="s">
        <v>23</v>
      </c>
      <c r="P23" s="399">
        <f>SUMIF($D$8:$D$55,$O23,$G$8:$G$55)+SUMIF($F$8:$F$55,$O23,$I$8:$I$55)</f>
        <v>2</v>
      </c>
      <c r="Q23" s="399">
        <f>SUMIF($D$8:$D$55,$O23,$I$8:$I$55)+SUMIF($F$8:$F$55,$O23,$G$8:$G$55)</f>
        <v>3</v>
      </c>
      <c r="R23" s="399">
        <f>P23-Q23</f>
        <v>-1</v>
      </c>
      <c r="S23" s="400">
        <f>SUMIF($D$8:$D$55,$O23,$K$8:$K$55)+SUMIF($F$8:$F$55,$O23,$L$8:$L$55)</f>
        <v>2</v>
      </c>
      <c r="T23" s="445" t="s">
        <v>60</v>
      </c>
      <c r="U23" s="392"/>
      <c r="V23" s="392" t="str">
        <f>O23</f>
        <v>Ivoorkust</v>
      </c>
      <c r="W23" s="392" t="s">
        <v>59</v>
      </c>
      <c r="Y23" s="109">
        <f t="shared" si="8"/>
        <v>0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0</v>
      </c>
      <c r="AG23" s="108">
        <f t="shared" si="3"/>
        <v>0</v>
      </c>
      <c r="AH23" s="108">
        <f t="shared" si="4"/>
        <v>0</v>
      </c>
      <c r="AI23" s="108">
        <f t="shared" si="10"/>
        <v>0</v>
      </c>
      <c r="AJ23" s="108">
        <f t="shared" si="5"/>
        <v>0</v>
      </c>
      <c r="AK23" s="108">
        <f t="shared" si="6"/>
        <v>0</v>
      </c>
      <c r="AL23" s="108">
        <f t="shared" si="7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0</v>
      </c>
      <c r="H24" s="379" t="s">
        <v>9</v>
      </c>
      <c r="I24" s="442">
        <v>1</v>
      </c>
      <c r="J24" s="381">
        <f t="shared" si="0"/>
        <v>2</v>
      </c>
      <c r="K24" s="363">
        <f t="shared" si="1"/>
        <v>0</v>
      </c>
      <c r="L24" s="363">
        <f t="shared" si="2"/>
        <v>3</v>
      </c>
      <c r="O24" s="401" t="s">
        <v>24</v>
      </c>
      <c r="P24" s="402">
        <f>SUMIF($D$8:$D$55,$O24,$G$8:$G$55)+SUMIF($F$8:$F$55,$O24,$I$8:$I$55)</f>
        <v>1</v>
      </c>
      <c r="Q24" s="402">
        <f>SUMIF($D$8:$D$55,$O24,$I$8:$I$55)+SUMIF($F$8:$F$55,$O24,$G$8:$G$55)</f>
        <v>1</v>
      </c>
      <c r="R24" s="402">
        <f>P24-Q24</f>
        <v>0</v>
      </c>
      <c r="S24" s="403">
        <f>SUMIF($D$8:$D$55,$O24,$K$8:$K$55)+SUMIF($F$8:$F$55,$O24,$L$8:$L$55)</f>
        <v>3</v>
      </c>
      <c r="T24" s="446" t="s">
        <v>58</v>
      </c>
      <c r="U24" s="392"/>
      <c r="V24" s="392" t="str">
        <f>O24</f>
        <v>Japan</v>
      </c>
      <c r="W24" s="392" t="s">
        <v>60</v>
      </c>
      <c r="Y24" s="109">
        <f t="shared" si="8"/>
        <v>1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1</v>
      </c>
      <c r="AG24" s="108">
        <f t="shared" si="3"/>
        <v>0</v>
      </c>
      <c r="AH24" s="108">
        <f t="shared" si="4"/>
        <v>1</v>
      </c>
      <c r="AI24" s="108">
        <f t="shared" si="10"/>
        <v>0</v>
      </c>
      <c r="AJ24" s="108">
        <f t="shared" si="5"/>
        <v>0</v>
      </c>
      <c r="AK24" s="108">
        <f t="shared" si="6"/>
        <v>0</v>
      </c>
      <c r="AL24" s="108">
        <f t="shared" si="7"/>
        <v>0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0</v>
      </c>
      <c r="H25" s="367" t="s">
        <v>9</v>
      </c>
      <c r="I25" s="440">
        <v>2</v>
      </c>
      <c r="J25" s="369">
        <f t="shared" si="0"/>
        <v>2</v>
      </c>
      <c r="K25" s="363">
        <f t="shared" si="1"/>
        <v>0</v>
      </c>
      <c r="L25" s="363">
        <f t="shared" si="2"/>
        <v>3</v>
      </c>
      <c r="O25" s="392"/>
      <c r="P25" s="393"/>
      <c r="Q25" s="393"/>
      <c r="R25" s="393"/>
      <c r="S25" s="393"/>
      <c r="T25" s="393"/>
      <c r="U25" s="392"/>
      <c r="V25" s="392"/>
      <c r="W25" s="392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3"/>
        <v>0</v>
      </c>
      <c r="AH25" s="108">
        <f t="shared" si="4"/>
        <v>0</v>
      </c>
      <c r="AI25" s="108">
        <f t="shared" si="10"/>
        <v>0</v>
      </c>
      <c r="AJ25" s="108">
        <f t="shared" si="5"/>
        <v>0</v>
      </c>
      <c r="AK25" s="108">
        <f t="shared" si="6"/>
        <v>5</v>
      </c>
      <c r="AL25" s="108">
        <f t="shared" si="7"/>
        <v>0</v>
      </c>
      <c r="AN25" s="392"/>
      <c r="AO25" s="393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3</v>
      </c>
      <c r="H26" s="373" t="s">
        <v>9</v>
      </c>
      <c r="I26" s="441">
        <v>1</v>
      </c>
      <c r="J26" s="375">
        <f t="shared" si="0"/>
        <v>1</v>
      </c>
      <c r="K26" s="363">
        <f t="shared" si="1"/>
        <v>3</v>
      </c>
      <c r="L26" s="363">
        <f t="shared" si="2"/>
        <v>0</v>
      </c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392"/>
      <c r="V26" s="392"/>
      <c r="W26" s="392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3"/>
        <v>0</v>
      </c>
      <c r="AH26" s="108">
        <f t="shared" si="4"/>
        <v>0</v>
      </c>
      <c r="AI26" s="108">
        <f t="shared" si="10"/>
        <v>0</v>
      </c>
      <c r="AJ26" s="108">
        <f t="shared" si="5"/>
        <v>0</v>
      </c>
      <c r="AK26" s="108">
        <f t="shared" si="6"/>
        <v>0</v>
      </c>
      <c r="AL26" s="108">
        <f t="shared" si="7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1</v>
      </c>
      <c r="H27" s="379" t="s">
        <v>9</v>
      </c>
      <c r="I27" s="442">
        <v>1</v>
      </c>
      <c r="J27" s="381">
        <f t="shared" si="0"/>
        <v>3</v>
      </c>
      <c r="K27" s="363">
        <f t="shared" si="1"/>
        <v>1</v>
      </c>
      <c r="L27" s="363">
        <f t="shared" si="2"/>
        <v>1</v>
      </c>
      <c r="O27" s="394" t="s">
        <v>19</v>
      </c>
      <c r="P27" s="395">
        <f>SUMIF($D$8:$D$55,$O27,$G$8:$G$55)+SUMIF($F$8:$F$55,$O27,$I$8:$I$55)</f>
        <v>1</v>
      </c>
      <c r="Q27" s="395">
        <f>SUMIF($D$8:$D$55,$O27,$I$8:$I$55)+SUMIF($F$8:$F$55,$O27,$G$8:$G$55)</f>
        <v>4</v>
      </c>
      <c r="R27" s="396">
        <f>P27-Q27</f>
        <v>-3</v>
      </c>
      <c r="S27" s="397">
        <f>SUMIF($D$8:$D$55,$O27,$K$8:$K$55)+SUMIF($F$8:$F$55,$O27,$L$8:$L$55)</f>
        <v>3</v>
      </c>
      <c r="T27" s="444" t="s">
        <v>64</v>
      </c>
      <c r="U27" s="392"/>
      <c r="V27" s="392" t="str">
        <f>O27</f>
        <v>Uruguay</v>
      </c>
      <c r="W27" s="392" t="s">
        <v>62</v>
      </c>
      <c r="Y27" s="109">
        <f t="shared" si="8"/>
        <v>0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0</v>
      </c>
      <c r="AG27" s="108">
        <f t="shared" si="3"/>
        <v>0</v>
      </c>
      <c r="AH27" s="108">
        <f t="shared" si="4"/>
        <v>0</v>
      </c>
      <c r="AI27" s="108">
        <f t="shared" si="10"/>
        <v>0</v>
      </c>
      <c r="AJ27" s="108">
        <f t="shared" si="5"/>
        <v>0</v>
      </c>
      <c r="AK27" s="108">
        <f t="shared" si="6"/>
        <v>0</v>
      </c>
      <c r="AL27" s="108">
        <f t="shared" si="7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1</v>
      </c>
      <c r="H28" s="367" t="s">
        <v>9</v>
      </c>
      <c r="I28" s="440">
        <v>1</v>
      </c>
      <c r="J28" s="369">
        <f t="shared" si="0"/>
        <v>3</v>
      </c>
      <c r="K28" s="363">
        <f t="shared" si="1"/>
        <v>1</v>
      </c>
      <c r="L28" s="363">
        <f t="shared" si="2"/>
        <v>1</v>
      </c>
      <c r="O28" s="398" t="s">
        <v>20</v>
      </c>
      <c r="P28" s="399">
        <f>SUMIF($D$8:$D$55,$O28,$G$8:$G$55)+SUMIF($F$8:$F$55,$O28,$I$8:$I$55)</f>
        <v>0</v>
      </c>
      <c r="Q28" s="399">
        <f>SUMIF($D$8:$D$55,$O28,$I$8:$I$55)+SUMIF($F$8:$F$55,$O28,$G$8:$G$55)</f>
        <v>5</v>
      </c>
      <c r="R28" s="399">
        <f>P28-Q28</f>
        <v>-5</v>
      </c>
      <c r="S28" s="400">
        <f>SUMIF($D$8:$D$55,$O28,$K$8:$K$55)+SUMIF($F$8:$F$55,$O28,$L$8:$L$55)</f>
        <v>0</v>
      </c>
      <c r="T28" s="445" t="s">
        <v>65</v>
      </c>
      <c r="U28" s="392"/>
      <c r="V28" s="392" t="str">
        <f>O28</f>
        <v>Costa Rica</v>
      </c>
      <c r="W28" s="392" t="s">
        <v>63</v>
      </c>
      <c r="Y28" s="109">
        <f t="shared" si="8"/>
        <v>1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1</v>
      </c>
      <c r="AG28" s="108">
        <f t="shared" si="3"/>
        <v>0</v>
      </c>
      <c r="AH28" s="108">
        <f t="shared" si="4"/>
        <v>1</v>
      </c>
      <c r="AI28" s="108">
        <f t="shared" si="10"/>
        <v>0</v>
      </c>
      <c r="AJ28" s="108">
        <f t="shared" si="5"/>
        <v>0</v>
      </c>
      <c r="AK28" s="108">
        <f t="shared" si="6"/>
        <v>0</v>
      </c>
      <c r="AL28" s="108">
        <f t="shared" si="7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0</v>
      </c>
      <c r="H29" s="373" t="s">
        <v>9</v>
      </c>
      <c r="I29" s="441">
        <v>2</v>
      </c>
      <c r="J29" s="375">
        <f t="shared" si="0"/>
        <v>2</v>
      </c>
      <c r="K29" s="363">
        <f t="shared" si="1"/>
        <v>0</v>
      </c>
      <c r="L29" s="363">
        <f t="shared" si="2"/>
        <v>3</v>
      </c>
      <c r="O29" s="398" t="s">
        <v>21</v>
      </c>
      <c r="P29" s="399">
        <f>SUMIF($D$8:$D$55,$O29,$G$8:$G$55)+SUMIF($F$8:$F$55,$O29,$I$8:$I$55)</f>
        <v>6</v>
      </c>
      <c r="Q29" s="399">
        <f>SUMIF($D$8:$D$55,$O29,$I$8:$I$55)+SUMIF($F$8:$F$55,$O29,$G$8:$G$55)</f>
        <v>1</v>
      </c>
      <c r="R29" s="399">
        <f>P29-Q29</f>
        <v>5</v>
      </c>
      <c r="S29" s="400">
        <f>SUMIF($D$8:$D$55,$O29,$K$8:$K$55)+SUMIF($F$8:$F$55,$O29,$L$8:$L$55)</f>
        <v>9</v>
      </c>
      <c r="T29" s="445" t="s">
        <v>62</v>
      </c>
      <c r="U29" s="392"/>
      <c r="V29" s="392" t="str">
        <f>O29</f>
        <v>Engeland</v>
      </c>
      <c r="W29" s="392" t="s">
        <v>64</v>
      </c>
      <c r="Y29" s="109">
        <f t="shared" si="8"/>
        <v>0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0</v>
      </c>
      <c r="AG29" s="108">
        <f t="shared" si="3"/>
        <v>0</v>
      </c>
      <c r="AH29" s="108">
        <f t="shared" si="4"/>
        <v>0</v>
      </c>
      <c r="AI29" s="108">
        <f t="shared" si="10"/>
        <v>0</v>
      </c>
      <c r="AJ29" s="108">
        <f t="shared" si="5"/>
        <v>0</v>
      </c>
      <c r="AK29" s="108">
        <f t="shared" si="6"/>
        <v>0</v>
      </c>
      <c r="AL29" s="108">
        <f t="shared" si="7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0</v>
      </c>
      <c r="H30" s="379" t="s">
        <v>9</v>
      </c>
      <c r="I30" s="442">
        <v>0</v>
      </c>
      <c r="J30" s="381">
        <f t="shared" si="0"/>
        <v>3</v>
      </c>
      <c r="K30" s="363">
        <f t="shared" si="1"/>
        <v>1</v>
      </c>
      <c r="L30" s="363">
        <f t="shared" si="2"/>
        <v>1</v>
      </c>
      <c r="O30" s="401" t="s">
        <v>22</v>
      </c>
      <c r="P30" s="402">
        <f>SUMIF($D$8:$D$55,$O30,$G$8:$G$55)+SUMIF($F$8:$F$55,$O30,$I$8:$I$55)</f>
        <v>5</v>
      </c>
      <c r="Q30" s="402">
        <f>SUMIF($D$8:$D$55,$O30,$I$8:$I$55)+SUMIF($F$8:$F$55,$O30,$G$8:$G$55)</f>
        <v>2</v>
      </c>
      <c r="R30" s="402">
        <f>P30-Q30</f>
        <v>3</v>
      </c>
      <c r="S30" s="403">
        <f>SUMIF($D$8:$D$55,$O30,$K$8:$K$55)+SUMIF($F$8:$F$55,$O30,$L$8:$L$55)</f>
        <v>6</v>
      </c>
      <c r="T30" s="446" t="s">
        <v>63</v>
      </c>
      <c r="U30" s="392"/>
      <c r="V30" s="392" t="str">
        <f>O30</f>
        <v>Italië</v>
      </c>
      <c r="W30" s="392" t="s">
        <v>65</v>
      </c>
      <c r="Y30" s="109">
        <f t="shared" si="8"/>
        <v>10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10</v>
      </c>
      <c r="AG30" s="108">
        <f t="shared" si="3"/>
        <v>1</v>
      </c>
      <c r="AH30" s="108">
        <f t="shared" si="4"/>
        <v>1</v>
      </c>
      <c r="AI30" s="108">
        <f t="shared" si="10"/>
        <v>10</v>
      </c>
      <c r="AJ30" s="108">
        <f t="shared" si="5"/>
        <v>0</v>
      </c>
      <c r="AK30" s="108">
        <f t="shared" si="6"/>
        <v>0</v>
      </c>
      <c r="AL30" s="108">
        <f t="shared" si="7"/>
        <v>5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2</v>
      </c>
      <c r="H31" s="367" t="s">
        <v>9</v>
      </c>
      <c r="I31" s="440">
        <v>0</v>
      </c>
      <c r="J31" s="369">
        <f t="shared" si="0"/>
        <v>1</v>
      </c>
      <c r="K31" s="363">
        <f t="shared" si="1"/>
        <v>3</v>
      </c>
      <c r="L31" s="363">
        <f t="shared" si="2"/>
        <v>0</v>
      </c>
      <c r="O31" s="392"/>
      <c r="P31" s="393"/>
      <c r="Q31" s="393"/>
      <c r="R31" s="393"/>
      <c r="S31" s="393"/>
      <c r="T31" s="393"/>
      <c r="U31" s="392"/>
      <c r="V31" s="392"/>
      <c r="W31" s="392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3"/>
        <v>0</v>
      </c>
      <c r="AH31" s="108">
        <f t="shared" si="4"/>
        <v>0</v>
      </c>
      <c r="AI31" s="108">
        <f t="shared" si="10"/>
        <v>0</v>
      </c>
      <c r="AJ31" s="108">
        <f t="shared" si="5"/>
        <v>0</v>
      </c>
      <c r="AK31" s="108">
        <f t="shared" si="6"/>
        <v>0</v>
      </c>
      <c r="AL31" s="108">
        <f t="shared" si="7"/>
        <v>0</v>
      </c>
      <c r="AN31" s="392"/>
      <c r="AO31" s="393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0</v>
      </c>
      <c r="H32" s="373" t="s">
        <v>9</v>
      </c>
      <c r="I32" s="441">
        <v>1</v>
      </c>
      <c r="J32" s="375">
        <f t="shared" si="0"/>
        <v>2</v>
      </c>
      <c r="K32" s="363">
        <f t="shared" si="1"/>
        <v>0</v>
      </c>
      <c r="L32" s="363">
        <f t="shared" si="2"/>
        <v>3</v>
      </c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392"/>
      <c r="V32" s="392"/>
      <c r="W32" s="392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3"/>
        <v>0</v>
      </c>
      <c r="AH32" s="108">
        <f t="shared" si="4"/>
        <v>0</v>
      </c>
      <c r="AI32" s="108">
        <f t="shared" si="10"/>
        <v>0</v>
      </c>
      <c r="AJ32" s="108">
        <f t="shared" si="5"/>
        <v>0</v>
      </c>
      <c r="AK32" s="108">
        <f t="shared" si="6"/>
        <v>5</v>
      </c>
      <c r="AL32" s="108">
        <f t="shared" si="7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0</v>
      </c>
      <c r="H33" s="379" t="s">
        <v>9</v>
      </c>
      <c r="I33" s="442">
        <v>0</v>
      </c>
      <c r="J33" s="381">
        <f t="shared" si="0"/>
        <v>3</v>
      </c>
      <c r="K33" s="363">
        <f t="shared" si="1"/>
        <v>1</v>
      </c>
      <c r="L33" s="363">
        <f t="shared" si="2"/>
        <v>1</v>
      </c>
      <c r="O33" s="394" t="s">
        <v>25</v>
      </c>
      <c r="P33" s="395">
        <f>SUMIF($D$8:$D$55,$O33,$G$8:$G$55)+SUMIF($F$8:$F$55,$O33,$I$8:$I$55)</f>
        <v>0</v>
      </c>
      <c r="Q33" s="395">
        <f>SUMIF($D$8:$D$55,$O33,$I$8:$I$55)+SUMIF($F$8:$F$55,$O33,$G$8:$G$55)</f>
        <v>2</v>
      </c>
      <c r="R33" s="396">
        <f>P33-Q33</f>
        <v>-2</v>
      </c>
      <c r="S33" s="397">
        <f>SUMIF($D$8:$D$55,$O33,$K$8:$K$55)+SUMIF($F$8:$F$55,$O33,$L$8:$L$55)</f>
        <v>1</v>
      </c>
      <c r="T33" s="444" t="s">
        <v>70</v>
      </c>
      <c r="U33" s="392"/>
      <c r="V33" s="392" t="str">
        <f>O33</f>
        <v>Zwitserland</v>
      </c>
      <c r="W33" s="392" t="s">
        <v>67</v>
      </c>
      <c r="Y33" s="109">
        <f t="shared" si="8"/>
        <v>0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0</v>
      </c>
      <c r="AG33" s="108">
        <f t="shared" si="3"/>
        <v>0</v>
      </c>
      <c r="AH33" s="108">
        <f t="shared" si="4"/>
        <v>0</v>
      </c>
      <c r="AI33" s="108">
        <f t="shared" si="10"/>
        <v>0</v>
      </c>
      <c r="AJ33" s="108">
        <f t="shared" si="5"/>
        <v>0</v>
      </c>
      <c r="AK33" s="108">
        <f t="shared" si="6"/>
        <v>0</v>
      </c>
      <c r="AL33" s="108">
        <f t="shared" si="7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2</v>
      </c>
      <c r="H34" s="367" t="s">
        <v>9</v>
      </c>
      <c r="I34" s="440">
        <v>0</v>
      </c>
      <c r="J34" s="369">
        <f t="shared" si="0"/>
        <v>1</v>
      </c>
      <c r="K34" s="363">
        <f t="shared" si="1"/>
        <v>3</v>
      </c>
      <c r="L34" s="363">
        <f t="shared" si="2"/>
        <v>0</v>
      </c>
      <c r="O34" s="398" t="s">
        <v>26</v>
      </c>
      <c r="P34" s="399">
        <f>SUMIF($D$8:$D$55,$O34,$G$8:$G$55)+SUMIF($F$8:$F$55,$O34,$I$8:$I$55)</f>
        <v>1</v>
      </c>
      <c r="Q34" s="399">
        <f>SUMIF($D$8:$D$55,$O34,$I$8:$I$55)+SUMIF($F$8:$F$55,$O34,$G$8:$G$55)</f>
        <v>2</v>
      </c>
      <c r="R34" s="399">
        <f>P34-Q34</f>
        <v>-1</v>
      </c>
      <c r="S34" s="400">
        <f>SUMIF($D$8:$D$55,$O34,$K$8:$K$55)+SUMIF($F$8:$F$55,$O34,$L$8:$L$55)</f>
        <v>4</v>
      </c>
      <c r="T34" s="445" t="s">
        <v>68</v>
      </c>
      <c r="U34" s="392"/>
      <c r="V34" s="392" t="str">
        <f>O34</f>
        <v>Ecuador</v>
      </c>
      <c r="W34" s="392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3"/>
        <v>0</v>
      </c>
      <c r="AH34" s="108">
        <f t="shared" si="4"/>
        <v>1</v>
      </c>
      <c r="AI34" s="108">
        <f t="shared" si="10"/>
        <v>0</v>
      </c>
      <c r="AJ34" s="108">
        <f t="shared" si="5"/>
        <v>5</v>
      </c>
      <c r="AK34" s="108">
        <f t="shared" si="6"/>
        <v>0</v>
      </c>
      <c r="AL34" s="108">
        <f t="shared" si="7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2</v>
      </c>
      <c r="H35" s="373" t="s">
        <v>9</v>
      </c>
      <c r="I35" s="441">
        <v>0</v>
      </c>
      <c r="J35" s="375">
        <f t="shared" si="0"/>
        <v>1</v>
      </c>
      <c r="K35" s="363">
        <f t="shared" si="1"/>
        <v>3</v>
      </c>
      <c r="L35" s="363">
        <f t="shared" si="2"/>
        <v>0</v>
      </c>
      <c r="O35" s="398" t="s">
        <v>27</v>
      </c>
      <c r="P35" s="399">
        <f>SUMIF($D$8:$D$55,$O35,$G$8:$G$55)+SUMIF($F$8:$F$55,$O35,$I$8:$I$55)</f>
        <v>5</v>
      </c>
      <c r="Q35" s="399">
        <f>SUMIF($D$8:$D$55,$O35,$I$8:$I$55)+SUMIF($F$8:$F$55,$O35,$G$8:$G$55)</f>
        <v>0</v>
      </c>
      <c r="R35" s="399">
        <f>P35-Q35</f>
        <v>5</v>
      </c>
      <c r="S35" s="400">
        <f>SUMIF($D$8:$D$55,$O35,$K$8:$K$55)+SUMIF($F$8:$F$55,$O35,$L$8:$L$55)</f>
        <v>9</v>
      </c>
      <c r="T35" s="445" t="s">
        <v>67</v>
      </c>
      <c r="U35" s="392"/>
      <c r="V35" s="392" t="str">
        <f>O35</f>
        <v>Frankrijk</v>
      </c>
      <c r="W35" s="392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3"/>
        <v>1</v>
      </c>
      <c r="AH35" s="108">
        <f t="shared" si="4"/>
        <v>0</v>
      </c>
      <c r="AI35" s="108">
        <f t="shared" si="10"/>
        <v>0</v>
      </c>
      <c r="AJ35" s="108">
        <f t="shared" si="5"/>
        <v>0</v>
      </c>
      <c r="AK35" s="108">
        <f t="shared" si="6"/>
        <v>0</v>
      </c>
      <c r="AL35" s="108">
        <f t="shared" si="7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1</v>
      </c>
      <c r="H36" s="379" t="s">
        <v>9</v>
      </c>
      <c r="I36" s="442">
        <v>0</v>
      </c>
      <c r="J36" s="381">
        <f t="shared" si="0"/>
        <v>1</v>
      </c>
      <c r="K36" s="363">
        <f t="shared" si="1"/>
        <v>3</v>
      </c>
      <c r="L36" s="363">
        <f t="shared" si="2"/>
        <v>0</v>
      </c>
      <c r="O36" s="401" t="s">
        <v>28</v>
      </c>
      <c r="P36" s="402">
        <f>SUMIF($D$8:$D$55,$O36,$G$8:$G$55)+SUMIF($F$8:$F$55,$O36,$I$8:$I$55)</f>
        <v>0</v>
      </c>
      <c r="Q36" s="402">
        <f>SUMIF($D$8:$D$55,$O36,$I$8:$I$55)+SUMIF($F$8:$F$55,$O36,$G$8:$G$55)</f>
        <v>2</v>
      </c>
      <c r="R36" s="402">
        <f>P36-Q36</f>
        <v>-2</v>
      </c>
      <c r="S36" s="403">
        <f>SUMIF($D$8:$D$55,$O36,$K$8:$K$55)+SUMIF($F$8:$F$55,$O36,$L$8:$L$55)</f>
        <v>2</v>
      </c>
      <c r="T36" s="446" t="s">
        <v>69</v>
      </c>
      <c r="U36" s="392"/>
      <c r="V36" s="392" t="str">
        <f>O36</f>
        <v>Honduras</v>
      </c>
      <c r="W36" s="392" t="s">
        <v>70</v>
      </c>
      <c r="Y36" s="109">
        <f t="shared" si="8"/>
        <v>10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10</v>
      </c>
      <c r="AG36" s="108">
        <f t="shared" si="3"/>
        <v>1</v>
      </c>
      <c r="AH36" s="108">
        <f t="shared" si="4"/>
        <v>1</v>
      </c>
      <c r="AI36" s="108">
        <f t="shared" si="10"/>
        <v>10</v>
      </c>
      <c r="AJ36" s="108">
        <f t="shared" si="5"/>
        <v>5</v>
      </c>
      <c r="AK36" s="108">
        <f t="shared" si="6"/>
        <v>0</v>
      </c>
      <c r="AL36" s="108">
        <f t="shared" si="7"/>
        <v>0</v>
      </c>
      <c r="AM36" s="120">
        <f>AO36</f>
        <v>0</v>
      </c>
      <c r="AN36" s="118" t="s">
        <v>28</v>
      </c>
      <c r="AO36" s="115">
        <f>IF(Uitslag!T36="",0,IF(T36=Uitslag!T36,10,0))</f>
        <v>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0</v>
      </c>
      <c r="H37" s="367" t="s">
        <v>9</v>
      </c>
      <c r="I37" s="440">
        <v>0</v>
      </c>
      <c r="J37" s="369">
        <f t="shared" si="0"/>
        <v>3</v>
      </c>
      <c r="K37" s="363">
        <f t="shared" si="1"/>
        <v>1</v>
      </c>
      <c r="L37" s="363">
        <f t="shared" si="2"/>
        <v>1</v>
      </c>
      <c r="O37" s="392"/>
      <c r="P37" s="393"/>
      <c r="Q37" s="393"/>
      <c r="R37" s="393"/>
      <c r="S37" s="393"/>
      <c r="T37" s="393"/>
      <c r="U37" s="392"/>
      <c r="V37" s="392"/>
      <c r="W37" s="392"/>
      <c r="Y37" s="109">
        <f t="shared" si="8"/>
        <v>1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1</v>
      </c>
      <c r="AG37" s="108">
        <f t="shared" si="3"/>
        <v>0</v>
      </c>
      <c r="AH37" s="108">
        <f t="shared" si="4"/>
        <v>1</v>
      </c>
      <c r="AI37" s="108">
        <f t="shared" si="10"/>
        <v>0</v>
      </c>
      <c r="AJ37" s="108">
        <f t="shared" si="5"/>
        <v>0</v>
      </c>
      <c r="AK37" s="108">
        <f t="shared" si="6"/>
        <v>0</v>
      </c>
      <c r="AL37" s="108">
        <f t="shared" si="7"/>
        <v>0</v>
      </c>
      <c r="AN37" s="392"/>
      <c r="AO37" s="393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1</v>
      </c>
      <c r="H38" s="373" t="s">
        <v>9</v>
      </c>
      <c r="I38" s="441">
        <v>0</v>
      </c>
      <c r="J38" s="375">
        <f t="shared" si="0"/>
        <v>1</v>
      </c>
      <c r="K38" s="363">
        <f t="shared" si="1"/>
        <v>3</v>
      </c>
      <c r="L38" s="363">
        <f t="shared" si="2"/>
        <v>0</v>
      </c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392"/>
      <c r="V38" s="392"/>
      <c r="W38" s="392"/>
      <c r="Y38" s="109">
        <f t="shared" si="8"/>
        <v>0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0</v>
      </c>
      <c r="AG38" s="108">
        <f t="shared" si="3"/>
        <v>0</v>
      </c>
      <c r="AH38" s="108">
        <f t="shared" si="4"/>
        <v>0</v>
      </c>
      <c r="AI38" s="108">
        <f t="shared" si="10"/>
        <v>0</v>
      </c>
      <c r="AJ38" s="108">
        <f t="shared" si="5"/>
        <v>0</v>
      </c>
      <c r="AK38" s="108">
        <f t="shared" si="6"/>
        <v>0</v>
      </c>
      <c r="AL38" s="108">
        <f t="shared" si="7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1</v>
      </c>
      <c r="H39" s="379" t="s">
        <v>9</v>
      </c>
      <c r="I39" s="442">
        <v>2</v>
      </c>
      <c r="J39" s="381">
        <f t="shared" si="0"/>
        <v>2</v>
      </c>
      <c r="K39" s="363">
        <f t="shared" si="1"/>
        <v>0</v>
      </c>
      <c r="L39" s="363">
        <f t="shared" si="2"/>
        <v>3</v>
      </c>
      <c r="O39" s="394" t="s">
        <v>29</v>
      </c>
      <c r="P39" s="395">
        <f>SUMIF($D$8:$D$55,$O39,$G$8:$G$55)+SUMIF($F$8:$F$55,$O39,$I$8:$I$55)</f>
        <v>8</v>
      </c>
      <c r="Q39" s="395">
        <f>SUMIF($D$8:$D$55,$O39,$I$8:$I$55)+SUMIF($F$8:$F$55,$O39,$G$8:$G$55)</f>
        <v>0</v>
      </c>
      <c r="R39" s="396">
        <f>P39-Q39</f>
        <v>8</v>
      </c>
      <c r="S39" s="397">
        <f>SUMIF($D$8:$D$55,$O39,$K$8:$K$55)+SUMIF($F$8:$F$55,$O39,$L$8:$L$55)</f>
        <v>9</v>
      </c>
      <c r="T39" s="444" t="s">
        <v>72</v>
      </c>
      <c r="U39" s="392"/>
      <c r="V39" s="392" t="str">
        <f>O39</f>
        <v>Argentinië</v>
      </c>
      <c r="W39" s="392" t="s">
        <v>72</v>
      </c>
      <c r="Y39" s="109">
        <f t="shared" si="8"/>
        <v>1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1</v>
      </c>
      <c r="AG39" s="108">
        <f t="shared" si="3"/>
        <v>0</v>
      </c>
      <c r="AH39" s="108">
        <f t="shared" si="4"/>
        <v>1</v>
      </c>
      <c r="AI39" s="108">
        <f t="shared" si="10"/>
        <v>0</v>
      </c>
      <c r="AJ39" s="108">
        <f t="shared" si="5"/>
        <v>0</v>
      </c>
      <c r="AK39" s="108">
        <f t="shared" si="6"/>
        <v>0</v>
      </c>
      <c r="AL39" s="108">
        <f t="shared" si="7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1</v>
      </c>
      <c r="H40" s="367" t="s">
        <v>9</v>
      </c>
      <c r="I40" s="440">
        <v>2</v>
      </c>
      <c r="J40" s="369">
        <f t="shared" si="0"/>
        <v>2</v>
      </c>
      <c r="K40" s="363">
        <f t="shared" si="1"/>
        <v>0</v>
      </c>
      <c r="L40" s="363">
        <f t="shared" si="2"/>
        <v>3</v>
      </c>
      <c r="O40" s="398" t="s">
        <v>30</v>
      </c>
      <c r="P40" s="399">
        <f>SUMIF($D$8:$D$55,$O40,$G$8:$G$55)+SUMIF($F$8:$F$55,$O40,$I$8:$I$55)</f>
        <v>0</v>
      </c>
      <c r="Q40" s="399">
        <f>SUMIF($D$8:$D$55,$O40,$I$8:$I$55)+SUMIF($F$8:$F$55,$O40,$G$8:$G$55)</f>
        <v>4</v>
      </c>
      <c r="R40" s="399">
        <f>P40-Q40</f>
        <v>-4</v>
      </c>
      <c r="S40" s="400">
        <f>SUMIF($D$8:$D$55,$O40,$K$8:$K$55)+SUMIF($F$8:$F$55,$O40,$L$8:$L$55)</f>
        <v>1</v>
      </c>
      <c r="T40" s="445" t="s">
        <v>75</v>
      </c>
      <c r="U40" s="392"/>
      <c r="V40" s="392" t="str">
        <f>O40</f>
        <v>Bosnië H.</v>
      </c>
      <c r="W40" s="392" t="s">
        <v>73</v>
      </c>
      <c r="Y40" s="109">
        <f t="shared" si="8"/>
        <v>5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5</v>
      </c>
      <c r="AG40" s="108">
        <f t="shared" si="3"/>
        <v>0</v>
      </c>
      <c r="AH40" s="108">
        <f t="shared" si="4"/>
        <v>0</v>
      </c>
      <c r="AI40" s="108">
        <f t="shared" si="10"/>
        <v>0</v>
      </c>
      <c r="AJ40" s="108">
        <f t="shared" si="5"/>
        <v>0</v>
      </c>
      <c r="AK40" s="108">
        <f t="shared" si="6"/>
        <v>5</v>
      </c>
      <c r="AL40" s="108">
        <f t="shared" si="7"/>
        <v>0</v>
      </c>
      <c r="AM40" s="120">
        <f>AO40</f>
        <v>0</v>
      </c>
      <c r="AN40" s="117" t="s">
        <v>30</v>
      </c>
      <c r="AO40" s="115">
        <f>IF(Uitslag!T40="",0,IF(T40=Uitslag!T40,10,0))</f>
        <v>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2</v>
      </c>
      <c r="H41" s="373" t="s">
        <v>9</v>
      </c>
      <c r="I41" s="441">
        <v>0</v>
      </c>
      <c r="J41" s="375">
        <f t="shared" si="0"/>
        <v>1</v>
      </c>
      <c r="K41" s="363">
        <f t="shared" si="1"/>
        <v>3</v>
      </c>
      <c r="L41" s="363">
        <f t="shared" si="2"/>
        <v>0</v>
      </c>
      <c r="O41" s="398" t="s">
        <v>33</v>
      </c>
      <c r="P41" s="399">
        <f>SUMIF($D$8:$D$55,$O41,$G$8:$G$55)+SUMIF($F$8:$F$55,$O41,$I$8:$I$55)</f>
        <v>0</v>
      </c>
      <c r="Q41" s="399">
        <f>SUMIF($D$8:$D$55,$O41,$I$8:$I$55)+SUMIF($F$8:$F$55,$O41,$G$8:$G$55)</f>
        <v>2</v>
      </c>
      <c r="R41" s="399">
        <f>P41-Q41</f>
        <v>-2</v>
      </c>
      <c r="S41" s="400">
        <f>SUMIF($D$8:$D$55,$O41,$K$8:$K$55)+SUMIF($F$8:$F$55,$O41,$L$8:$L$55)</f>
        <v>2</v>
      </c>
      <c r="T41" s="445" t="s">
        <v>74</v>
      </c>
      <c r="U41" s="392"/>
      <c r="V41" s="392" t="str">
        <f>O41</f>
        <v>Iran</v>
      </c>
      <c r="W41" s="392" t="s">
        <v>74</v>
      </c>
      <c r="Y41" s="109">
        <f t="shared" si="8"/>
        <v>10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10</v>
      </c>
      <c r="AG41" s="108">
        <f t="shared" si="3"/>
        <v>1</v>
      </c>
      <c r="AH41" s="108">
        <f t="shared" si="4"/>
        <v>1</v>
      </c>
      <c r="AI41" s="108">
        <f t="shared" si="10"/>
        <v>10</v>
      </c>
      <c r="AJ41" s="108">
        <f t="shared" si="5"/>
        <v>5</v>
      </c>
      <c r="AK41" s="108">
        <f t="shared" si="6"/>
        <v>0</v>
      </c>
      <c r="AL41" s="108">
        <f t="shared" si="7"/>
        <v>0</v>
      </c>
      <c r="AM41" s="120">
        <f>AO41</f>
        <v>0</v>
      </c>
      <c r="AN41" s="117" t="s">
        <v>33</v>
      </c>
      <c r="AO41" s="115">
        <f>IF(Uitslag!T41="",0,IF(T41=Uitslag!T41,10,0))</f>
        <v>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2</v>
      </c>
      <c r="H42" s="373" t="s">
        <v>9</v>
      </c>
      <c r="I42" s="441">
        <v>2</v>
      </c>
      <c r="J42" s="375">
        <f t="shared" si="0"/>
        <v>3</v>
      </c>
      <c r="K42" s="363">
        <f t="shared" si="1"/>
        <v>1</v>
      </c>
      <c r="L42" s="363">
        <f t="shared" si="2"/>
        <v>1</v>
      </c>
      <c r="O42" s="401" t="s">
        <v>34</v>
      </c>
      <c r="P42" s="402">
        <f>SUMIF($D$8:$D$55,$O42,$G$8:$G$55)+SUMIF($F$8:$F$55,$O42,$I$8:$I$55)</f>
        <v>1</v>
      </c>
      <c r="Q42" s="402">
        <f>SUMIF($D$8:$D$55,$O42,$I$8:$I$55)+SUMIF($F$8:$F$55,$O42,$G$8:$G$55)</f>
        <v>3</v>
      </c>
      <c r="R42" s="402">
        <f>P42-Q42</f>
        <v>-2</v>
      </c>
      <c r="S42" s="403">
        <f>SUMIF($D$8:$D$55,$O42,$K$8:$K$55)+SUMIF($F$8:$F$55,$O42,$L$8:$L$55)</f>
        <v>4</v>
      </c>
      <c r="T42" s="446" t="s">
        <v>73</v>
      </c>
      <c r="U42" s="392"/>
      <c r="V42" s="392" t="str">
        <f>O42</f>
        <v>Nigeria</v>
      </c>
      <c r="W42" s="392" t="s">
        <v>75</v>
      </c>
      <c r="Y42" s="109">
        <f t="shared" si="8"/>
        <v>0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0</v>
      </c>
      <c r="AG42" s="108">
        <f t="shared" si="3"/>
        <v>0</v>
      </c>
      <c r="AH42" s="108">
        <f t="shared" si="4"/>
        <v>0</v>
      </c>
      <c r="AI42" s="108">
        <f t="shared" si="10"/>
        <v>0</v>
      </c>
      <c r="AJ42" s="108">
        <f t="shared" si="5"/>
        <v>0</v>
      </c>
      <c r="AK42" s="108">
        <f t="shared" si="6"/>
        <v>0</v>
      </c>
      <c r="AL42" s="108">
        <f t="shared" si="7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1</v>
      </c>
      <c r="H43" s="379" t="s">
        <v>9</v>
      </c>
      <c r="I43" s="442">
        <v>1</v>
      </c>
      <c r="J43" s="381">
        <f t="shared" si="0"/>
        <v>3</v>
      </c>
      <c r="K43" s="363">
        <f t="shared" si="1"/>
        <v>1</v>
      </c>
      <c r="L43" s="363">
        <f t="shared" si="2"/>
        <v>1</v>
      </c>
      <c r="O43" s="392"/>
      <c r="P43" s="393"/>
      <c r="Q43" s="393"/>
      <c r="R43" s="393"/>
      <c r="S43" s="393"/>
      <c r="T43" s="393"/>
      <c r="U43" s="392"/>
      <c r="V43" s="392"/>
      <c r="W43" s="392"/>
      <c r="Y43" s="109">
        <f t="shared" si="8"/>
        <v>1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1</v>
      </c>
      <c r="AG43" s="108">
        <f t="shared" si="3"/>
        <v>1</v>
      </c>
      <c r="AH43" s="108">
        <f t="shared" si="4"/>
        <v>0</v>
      </c>
      <c r="AI43" s="108">
        <f t="shared" si="10"/>
        <v>0</v>
      </c>
      <c r="AJ43" s="108">
        <f t="shared" si="5"/>
        <v>0</v>
      </c>
      <c r="AK43" s="108">
        <f t="shared" si="6"/>
        <v>0</v>
      </c>
      <c r="AL43" s="108">
        <f t="shared" si="7"/>
        <v>0</v>
      </c>
      <c r="AN43" s="392"/>
      <c r="AO43" s="393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2</v>
      </c>
      <c r="H44" s="367" t="s">
        <v>9</v>
      </c>
      <c r="I44" s="440">
        <v>0</v>
      </c>
      <c r="J44" s="369">
        <f t="shared" si="0"/>
        <v>1</v>
      </c>
      <c r="K44" s="363">
        <f t="shared" si="1"/>
        <v>3</v>
      </c>
      <c r="L44" s="363">
        <f t="shared" si="2"/>
        <v>0</v>
      </c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392"/>
      <c r="V44" s="392"/>
      <c r="W44" s="392"/>
      <c r="Y44" s="109">
        <f t="shared" si="8"/>
        <v>0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0</v>
      </c>
      <c r="AG44" s="108">
        <f t="shared" si="3"/>
        <v>0</v>
      </c>
      <c r="AH44" s="108">
        <f t="shared" si="4"/>
        <v>0</v>
      </c>
      <c r="AI44" s="108">
        <f t="shared" si="10"/>
        <v>0</v>
      </c>
      <c r="AJ44" s="108">
        <f t="shared" si="5"/>
        <v>0</v>
      </c>
      <c r="AK44" s="108">
        <f t="shared" si="6"/>
        <v>0</v>
      </c>
      <c r="AL44" s="108">
        <f t="shared" si="7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0</v>
      </c>
      <c r="H45" s="373" t="s">
        <v>9</v>
      </c>
      <c r="I45" s="441">
        <v>2</v>
      </c>
      <c r="J45" s="375">
        <f t="shared" si="0"/>
        <v>2</v>
      </c>
      <c r="K45" s="363">
        <f t="shared" si="1"/>
        <v>0</v>
      </c>
      <c r="L45" s="363">
        <f t="shared" si="2"/>
        <v>3</v>
      </c>
      <c r="O45" s="394" t="s">
        <v>31</v>
      </c>
      <c r="P45" s="395">
        <f>SUMIF($D$8:$D$55,$O45,$G$8:$G$55)+SUMIF($F$8:$F$55,$O45,$I$8:$I$55)</f>
        <v>7</v>
      </c>
      <c r="Q45" s="395">
        <f>SUMIF($D$8:$D$55,$O45,$I$8:$I$55)+SUMIF($F$8:$F$55,$O45,$G$8:$G$55)</f>
        <v>3</v>
      </c>
      <c r="R45" s="396">
        <f>P45-Q45</f>
        <v>4</v>
      </c>
      <c r="S45" s="397">
        <f>SUMIF($D$8:$D$55,$O45,$K$8:$K$55)+SUMIF($F$8:$F$55,$O45,$L$8:$L$55)</f>
        <v>9</v>
      </c>
      <c r="T45" s="444" t="s">
        <v>77</v>
      </c>
      <c r="U45" s="392"/>
      <c r="V45" s="392" t="str">
        <f>O45</f>
        <v>Duitsland</v>
      </c>
      <c r="W45" s="392" t="s">
        <v>77</v>
      </c>
      <c r="Y45" s="109">
        <f t="shared" si="8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1</v>
      </c>
      <c r="AG45" s="108">
        <f t="shared" si="3"/>
        <v>1</v>
      </c>
      <c r="AH45" s="108">
        <f t="shared" si="4"/>
        <v>0</v>
      </c>
      <c r="AI45" s="108">
        <f t="shared" si="10"/>
        <v>0</v>
      </c>
      <c r="AJ45" s="108">
        <f t="shared" si="5"/>
        <v>0</v>
      </c>
      <c r="AK45" s="108">
        <f t="shared" si="6"/>
        <v>0</v>
      </c>
      <c r="AL45" s="108">
        <f t="shared" si="7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0</v>
      </c>
      <c r="H46" s="373" t="s">
        <v>9</v>
      </c>
      <c r="I46" s="441">
        <v>0</v>
      </c>
      <c r="J46" s="375">
        <f t="shared" si="0"/>
        <v>3</v>
      </c>
      <c r="K46" s="363">
        <f t="shared" si="1"/>
        <v>1</v>
      </c>
      <c r="L46" s="363">
        <f t="shared" si="2"/>
        <v>1</v>
      </c>
      <c r="O46" s="398" t="s">
        <v>32</v>
      </c>
      <c r="P46" s="399">
        <f>SUMIF($D$8:$D$55,$O46,$G$8:$G$55)+SUMIF($F$8:$F$55,$O46,$I$8:$I$55)</f>
        <v>6</v>
      </c>
      <c r="Q46" s="399">
        <f>SUMIF($D$8:$D$55,$O46,$I$8:$I$55)+SUMIF($F$8:$F$55,$O46,$G$8:$G$55)</f>
        <v>4</v>
      </c>
      <c r="R46" s="399">
        <f>P46-Q46</f>
        <v>2</v>
      </c>
      <c r="S46" s="400">
        <f>SUMIF($D$8:$D$55,$O46,$K$8:$K$55)+SUMIF($F$8:$F$55,$O46,$L$8:$L$55)</f>
        <v>6</v>
      </c>
      <c r="T46" s="445" t="s">
        <v>78</v>
      </c>
      <c r="U46" s="392"/>
      <c r="V46" s="392" t="str">
        <f>O46</f>
        <v>Portugal</v>
      </c>
      <c r="W46" s="392" t="s">
        <v>78</v>
      </c>
      <c r="Y46" s="109">
        <f t="shared" si="8"/>
        <v>0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0</v>
      </c>
      <c r="AG46" s="108">
        <f t="shared" si="3"/>
        <v>0</v>
      </c>
      <c r="AH46" s="108">
        <f t="shared" si="4"/>
        <v>0</v>
      </c>
      <c r="AI46" s="108">
        <f t="shared" si="10"/>
        <v>0</v>
      </c>
      <c r="AJ46" s="108">
        <f t="shared" si="5"/>
        <v>0</v>
      </c>
      <c r="AK46" s="108">
        <f t="shared" si="6"/>
        <v>0</v>
      </c>
      <c r="AL46" s="108">
        <f t="shared" si="7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1</v>
      </c>
      <c r="H47" s="379" t="s">
        <v>9</v>
      </c>
      <c r="I47" s="442">
        <v>0</v>
      </c>
      <c r="J47" s="381">
        <f t="shared" si="0"/>
        <v>1</v>
      </c>
      <c r="K47" s="363">
        <f t="shared" si="1"/>
        <v>3</v>
      </c>
      <c r="L47" s="363">
        <f t="shared" si="2"/>
        <v>0</v>
      </c>
      <c r="O47" s="398" t="s">
        <v>35</v>
      </c>
      <c r="P47" s="399">
        <f>SUMIF($D$8:$D$55,$O47,$G$8:$G$55)+SUMIF($F$8:$F$55,$O47,$I$8:$I$55)</f>
        <v>2</v>
      </c>
      <c r="Q47" s="399">
        <f>SUMIF($D$8:$D$55,$O47,$I$8:$I$55)+SUMIF($F$8:$F$55,$O47,$G$8:$G$55)</f>
        <v>4</v>
      </c>
      <c r="R47" s="399">
        <f>P47-Q47</f>
        <v>-2</v>
      </c>
      <c r="S47" s="400">
        <f>SUMIF($D$8:$D$55,$O47,$K$8:$K$55)+SUMIF($F$8:$F$55,$O47,$L$8:$L$55)</f>
        <v>3</v>
      </c>
      <c r="T47" s="445" t="s">
        <v>79</v>
      </c>
      <c r="U47" s="392"/>
      <c r="V47" s="392" t="str">
        <f>O47</f>
        <v>Ghana</v>
      </c>
      <c r="W47" s="392" t="s">
        <v>79</v>
      </c>
      <c r="Y47" s="109">
        <f t="shared" si="8"/>
        <v>5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5</v>
      </c>
      <c r="AG47" s="108">
        <f t="shared" si="3"/>
        <v>0</v>
      </c>
      <c r="AH47" s="108">
        <f t="shared" si="4"/>
        <v>0</v>
      </c>
      <c r="AI47" s="108">
        <f t="shared" si="10"/>
        <v>0</v>
      </c>
      <c r="AJ47" s="108">
        <f t="shared" si="5"/>
        <v>5</v>
      </c>
      <c r="AK47" s="108">
        <f t="shared" si="6"/>
        <v>0</v>
      </c>
      <c r="AL47" s="108">
        <f t="shared" si="7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0</v>
      </c>
      <c r="H48" s="367" t="s">
        <v>9</v>
      </c>
      <c r="I48" s="440">
        <v>3</v>
      </c>
      <c r="J48" s="369">
        <f t="shared" si="0"/>
        <v>2</v>
      </c>
      <c r="K48" s="363">
        <f t="shared" si="1"/>
        <v>0</v>
      </c>
      <c r="L48" s="363">
        <f t="shared" si="2"/>
        <v>3</v>
      </c>
      <c r="O48" s="401" t="s">
        <v>36</v>
      </c>
      <c r="P48" s="402">
        <f>SUMIF($D$8:$D$55,$O48,$G$8:$G$55)+SUMIF($F$8:$F$55,$O48,$I$8:$I$55)</f>
        <v>2</v>
      </c>
      <c r="Q48" s="402">
        <f>SUMIF($D$8:$D$55,$O48,$I$8:$I$55)+SUMIF($F$8:$F$55,$O48,$G$8:$G$55)</f>
        <v>6</v>
      </c>
      <c r="R48" s="402">
        <f>P48-Q48</f>
        <v>-4</v>
      </c>
      <c r="S48" s="403">
        <f>SUMIF($D$8:$D$55,$O48,$K$8:$K$55)+SUMIF($F$8:$F$55,$O48,$L$8:$L$55)</f>
        <v>0</v>
      </c>
      <c r="T48" s="446" t="s">
        <v>80</v>
      </c>
      <c r="U48" s="392"/>
      <c r="V48" s="392" t="str">
        <f>O48</f>
        <v>Verenigde Staten</v>
      </c>
      <c r="W48" s="392" t="s">
        <v>80</v>
      </c>
      <c r="Y48" s="109">
        <f t="shared" si="8"/>
        <v>6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6</v>
      </c>
      <c r="AG48" s="108">
        <f t="shared" si="3"/>
        <v>0</v>
      </c>
      <c r="AH48" s="108">
        <f t="shared" si="4"/>
        <v>1</v>
      </c>
      <c r="AI48" s="108">
        <f t="shared" si="10"/>
        <v>0</v>
      </c>
      <c r="AJ48" s="108">
        <f t="shared" si="5"/>
        <v>0</v>
      </c>
      <c r="AK48" s="108">
        <f t="shared" si="6"/>
        <v>5</v>
      </c>
      <c r="AL48" s="108">
        <f t="shared" si="7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0</v>
      </c>
      <c r="H49" s="373" t="s">
        <v>9</v>
      </c>
      <c r="I49" s="441">
        <v>0</v>
      </c>
      <c r="J49" s="375">
        <f t="shared" si="0"/>
        <v>3</v>
      </c>
      <c r="K49" s="363">
        <f t="shared" si="1"/>
        <v>1</v>
      </c>
      <c r="L49" s="363">
        <f t="shared" si="2"/>
        <v>1</v>
      </c>
      <c r="O49" s="392"/>
      <c r="P49" s="393"/>
      <c r="Q49" s="393"/>
      <c r="R49" s="393"/>
      <c r="S49" s="393"/>
      <c r="T49" s="393"/>
      <c r="U49" s="392"/>
      <c r="V49" s="392"/>
      <c r="W49" s="392"/>
      <c r="Y49" s="109">
        <f t="shared" si="8"/>
        <v>0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0</v>
      </c>
      <c r="AG49" s="108">
        <f t="shared" si="3"/>
        <v>0</v>
      </c>
      <c r="AH49" s="108">
        <f t="shared" si="4"/>
        <v>0</v>
      </c>
      <c r="AI49" s="108">
        <f t="shared" si="10"/>
        <v>0</v>
      </c>
      <c r="AJ49" s="108">
        <f t="shared" si="5"/>
        <v>0</v>
      </c>
      <c r="AK49" s="108">
        <f t="shared" si="6"/>
        <v>0</v>
      </c>
      <c r="AL49" s="108">
        <f t="shared" si="7"/>
        <v>0</v>
      </c>
      <c r="AN49" s="392"/>
      <c r="AO49" s="393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0</v>
      </c>
      <c r="H50" s="373" t="s">
        <v>9</v>
      </c>
      <c r="I50" s="441">
        <v>0</v>
      </c>
      <c r="J50" s="375">
        <f t="shared" si="0"/>
        <v>3</v>
      </c>
      <c r="K50" s="363">
        <f t="shared" si="1"/>
        <v>1</v>
      </c>
      <c r="L50" s="363">
        <f t="shared" si="2"/>
        <v>1</v>
      </c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392"/>
      <c r="V50" s="392"/>
      <c r="W50" s="392"/>
      <c r="Y50" s="109">
        <f t="shared" si="8"/>
        <v>1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1</v>
      </c>
      <c r="AG50" s="108">
        <f t="shared" si="3"/>
        <v>1</v>
      </c>
      <c r="AH50" s="108">
        <f t="shared" si="4"/>
        <v>0</v>
      </c>
      <c r="AI50" s="108">
        <f t="shared" si="10"/>
        <v>0</v>
      </c>
      <c r="AJ50" s="108">
        <f t="shared" si="5"/>
        <v>0</v>
      </c>
      <c r="AK50" s="108">
        <f t="shared" si="6"/>
        <v>0</v>
      </c>
      <c r="AL50" s="108">
        <f t="shared" si="7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0</v>
      </c>
      <c r="H51" s="379" t="s">
        <v>9</v>
      </c>
      <c r="I51" s="442">
        <v>2</v>
      </c>
      <c r="J51" s="381">
        <f t="shared" si="0"/>
        <v>2</v>
      </c>
      <c r="K51" s="363">
        <f t="shared" si="1"/>
        <v>0</v>
      </c>
      <c r="L51" s="363">
        <f t="shared" si="2"/>
        <v>3</v>
      </c>
      <c r="O51" s="394" t="s">
        <v>37</v>
      </c>
      <c r="P51" s="395">
        <f>SUMIF($D$8:$D$55,$O51,$G$8:$G$55)+SUMIF($F$8:$F$55,$O51,$I$8:$I$55)</f>
        <v>0</v>
      </c>
      <c r="Q51" s="395">
        <f>SUMIF($D$8:$D$55,$O51,$I$8:$I$55)+SUMIF($F$8:$F$55,$O51,$G$8:$G$55)</f>
        <v>1</v>
      </c>
      <c r="R51" s="396">
        <f>P51-Q51</f>
        <v>-1</v>
      </c>
      <c r="S51" s="397">
        <f>SUMIF($D$8:$D$55,$O51,$K$8:$K$55)+SUMIF($F$8:$F$55,$O51,$L$8:$L$55)</f>
        <v>2</v>
      </c>
      <c r="T51" s="444" t="s">
        <v>84</v>
      </c>
      <c r="U51" s="392"/>
      <c r="V51" s="392" t="str">
        <f>O51</f>
        <v>België</v>
      </c>
      <c r="W51" s="392" t="s">
        <v>82</v>
      </c>
      <c r="Y51" s="109">
        <f t="shared" si="8"/>
        <v>1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1</v>
      </c>
      <c r="AG51" s="108">
        <f t="shared" si="3"/>
        <v>1</v>
      </c>
      <c r="AH51" s="108">
        <f t="shared" si="4"/>
        <v>0</v>
      </c>
      <c r="AI51" s="108">
        <f t="shared" si="10"/>
        <v>0</v>
      </c>
      <c r="AJ51" s="108">
        <f t="shared" si="5"/>
        <v>0</v>
      </c>
      <c r="AK51" s="108">
        <f t="shared" si="6"/>
        <v>0</v>
      </c>
      <c r="AL51" s="108">
        <f t="shared" si="7"/>
        <v>0</v>
      </c>
      <c r="AM51" s="120">
        <f>AO51</f>
        <v>0</v>
      </c>
      <c r="AN51" s="116" t="s">
        <v>37</v>
      </c>
      <c r="AO51" s="115">
        <f>IF(Uitslag!T51="",0,IF(T51=Uitslag!T51,10,0))</f>
        <v>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1</v>
      </c>
      <c r="H52" s="373" t="s">
        <v>9</v>
      </c>
      <c r="I52" s="441">
        <v>2</v>
      </c>
      <c r="J52" s="369">
        <f t="shared" si="0"/>
        <v>2</v>
      </c>
      <c r="K52" s="363">
        <f t="shared" si="1"/>
        <v>0</v>
      </c>
      <c r="L52" s="363">
        <f t="shared" si="2"/>
        <v>3</v>
      </c>
      <c r="O52" s="398" t="s">
        <v>38</v>
      </c>
      <c r="P52" s="399">
        <f>SUMIF($D$8:$D$55,$O52,$G$8:$G$55)+SUMIF($F$8:$F$55,$O52,$I$8:$I$55)</f>
        <v>1</v>
      </c>
      <c r="Q52" s="399">
        <f>SUMIF($D$8:$D$55,$O52,$I$8:$I$55)+SUMIF($F$8:$F$55,$O52,$G$8:$G$55)</f>
        <v>1</v>
      </c>
      <c r="R52" s="399">
        <f>P52-Q52</f>
        <v>0</v>
      </c>
      <c r="S52" s="400">
        <f>SUMIF($D$8:$D$55,$O52,$K$8:$K$55)+SUMIF($F$8:$F$55,$O52,$L$8:$L$55)</f>
        <v>4</v>
      </c>
      <c r="T52" s="445" t="s">
        <v>83</v>
      </c>
      <c r="U52" s="392"/>
      <c r="V52" s="392" t="str">
        <f>O52</f>
        <v>Algerije</v>
      </c>
      <c r="W52" s="392" t="s">
        <v>83</v>
      </c>
      <c r="Y52" s="109">
        <f t="shared" si="8"/>
        <v>5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5</v>
      </c>
      <c r="AG52" s="108">
        <f t="shared" si="3"/>
        <v>0</v>
      </c>
      <c r="AH52" s="108">
        <f t="shared" si="4"/>
        <v>0</v>
      </c>
      <c r="AI52" s="108">
        <f t="shared" si="10"/>
        <v>0</v>
      </c>
      <c r="AJ52" s="108">
        <f t="shared" si="5"/>
        <v>0</v>
      </c>
      <c r="AK52" s="108">
        <f t="shared" si="6"/>
        <v>5</v>
      </c>
      <c r="AL52" s="108">
        <f t="shared" si="7"/>
        <v>0</v>
      </c>
      <c r="AM52" s="120">
        <f>AO52</f>
        <v>10</v>
      </c>
      <c r="AN52" s="117" t="s">
        <v>38</v>
      </c>
      <c r="AO52" s="115">
        <f>IF(Uitslag!T52="",0,IF(T52=Uitslag!T52,10,0))</f>
        <v>10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2</v>
      </c>
      <c r="H53" s="373" t="s">
        <v>9</v>
      </c>
      <c r="I53" s="441">
        <v>0</v>
      </c>
      <c r="J53" s="375">
        <f t="shared" si="0"/>
        <v>1</v>
      </c>
      <c r="K53" s="363">
        <f t="shared" si="1"/>
        <v>3</v>
      </c>
      <c r="L53" s="363">
        <f t="shared" si="2"/>
        <v>0</v>
      </c>
      <c r="O53" s="398" t="s">
        <v>39</v>
      </c>
      <c r="P53" s="399">
        <f>SUMIF($D$8:$D$55,$O53,$G$8:$G$55)+SUMIF($F$8:$F$55,$O53,$I$8:$I$55)</f>
        <v>0</v>
      </c>
      <c r="Q53" s="399">
        <f>SUMIF($D$8:$D$55,$O53,$I$8:$I$55)+SUMIF($F$8:$F$55,$O53,$G$8:$G$55)</f>
        <v>2</v>
      </c>
      <c r="R53" s="399">
        <f>P53-Q53</f>
        <v>-2</v>
      </c>
      <c r="S53" s="400">
        <f>SUMIF($D$8:$D$55,$O53,$K$8:$K$55)+SUMIF($F$8:$F$55,$O53,$L$8:$L$55)</f>
        <v>1</v>
      </c>
      <c r="T53" s="445" t="s">
        <v>85</v>
      </c>
      <c r="U53" s="392"/>
      <c r="V53" s="392" t="str">
        <f>O53</f>
        <v>Rusland</v>
      </c>
      <c r="W53" s="392" t="s">
        <v>84</v>
      </c>
      <c r="Y53" s="109">
        <f t="shared" si="8"/>
        <v>6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6</v>
      </c>
      <c r="AG53" s="108">
        <f t="shared" si="3"/>
        <v>1</v>
      </c>
      <c r="AH53" s="108">
        <f t="shared" si="4"/>
        <v>0</v>
      </c>
      <c r="AI53" s="108">
        <f t="shared" si="10"/>
        <v>0</v>
      </c>
      <c r="AJ53" s="108">
        <f t="shared" si="5"/>
        <v>5</v>
      </c>
      <c r="AK53" s="108">
        <f t="shared" si="6"/>
        <v>0</v>
      </c>
      <c r="AL53" s="108">
        <f t="shared" si="7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1</v>
      </c>
      <c r="H54" s="373" t="s">
        <v>9</v>
      </c>
      <c r="I54" s="441">
        <v>0</v>
      </c>
      <c r="J54" s="375">
        <f t="shared" si="0"/>
        <v>1</v>
      </c>
      <c r="K54" s="363">
        <f t="shared" si="1"/>
        <v>3</v>
      </c>
      <c r="L54" s="363">
        <f t="shared" si="2"/>
        <v>0</v>
      </c>
      <c r="O54" s="401" t="s">
        <v>40</v>
      </c>
      <c r="P54" s="402">
        <f>SUMIF($D$8:$D$55,$O54,$G$8:$G$55)+SUMIF($F$8:$F$55,$O54,$I$8:$I$55)</f>
        <v>3</v>
      </c>
      <c r="Q54" s="402">
        <f>SUMIF($D$8:$D$55,$O54,$I$8:$I$55)+SUMIF($F$8:$F$55,$O54,$G$8:$G$55)</f>
        <v>0</v>
      </c>
      <c r="R54" s="402">
        <f>P54-Q54</f>
        <v>3</v>
      </c>
      <c r="S54" s="403">
        <f>SUMIF($D$8:$D$55,$O54,$K$8:$K$55)+SUMIF($F$8:$F$55,$O54,$L$8:$L$55)</f>
        <v>9</v>
      </c>
      <c r="T54" s="446" t="s">
        <v>82</v>
      </c>
      <c r="U54" s="392"/>
      <c r="V54" s="392" t="str">
        <f>O54</f>
        <v>Zuid Korea</v>
      </c>
      <c r="W54" s="392" t="s">
        <v>85</v>
      </c>
      <c r="Y54" s="109">
        <f t="shared" si="8"/>
        <v>0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0</v>
      </c>
      <c r="AG54" s="108">
        <f t="shared" si="3"/>
        <v>0</v>
      </c>
      <c r="AH54" s="108">
        <f t="shared" si="4"/>
        <v>0</v>
      </c>
      <c r="AI54" s="108">
        <f t="shared" si="10"/>
        <v>0</v>
      </c>
      <c r="AJ54" s="108">
        <f t="shared" si="5"/>
        <v>0</v>
      </c>
      <c r="AK54" s="108">
        <f t="shared" si="6"/>
        <v>0</v>
      </c>
      <c r="AL54" s="108">
        <f t="shared" si="7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1</v>
      </c>
      <c r="H55" s="388" t="s">
        <v>9</v>
      </c>
      <c r="I55" s="443">
        <v>0</v>
      </c>
      <c r="J55" s="390">
        <f t="shared" si="0"/>
        <v>1</v>
      </c>
      <c r="K55" s="363">
        <f t="shared" si="1"/>
        <v>3</v>
      </c>
      <c r="L55" s="363">
        <f t="shared" si="2"/>
        <v>0</v>
      </c>
      <c r="O55" s="392"/>
      <c r="P55" s="393"/>
      <c r="Q55" s="393"/>
      <c r="R55" s="393"/>
      <c r="S55" s="393"/>
      <c r="T55" s="393"/>
      <c r="U55" s="392"/>
      <c r="V55" s="392"/>
      <c r="W55" s="392"/>
      <c r="Y55" s="109">
        <f t="shared" si="8"/>
        <v>1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</v>
      </c>
      <c r="AG55" s="108">
        <f t="shared" si="3"/>
        <v>1</v>
      </c>
      <c r="AH55" s="108">
        <f t="shared" si="4"/>
        <v>0</v>
      </c>
      <c r="AI55" s="108">
        <f t="shared" si="10"/>
        <v>0</v>
      </c>
      <c r="AJ55" s="108">
        <f t="shared" si="5"/>
        <v>0</v>
      </c>
      <c r="AK55" s="108">
        <f t="shared" si="6"/>
        <v>0</v>
      </c>
      <c r="AL55" s="108">
        <f t="shared" si="7"/>
        <v>0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79"/>
      <c r="K57" s="353"/>
      <c r="L57" s="353"/>
      <c r="M57" s="353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77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O58" s="458">
        <v>1</v>
      </c>
      <c r="P58" s="877" t="s">
        <v>224</v>
      </c>
      <c r="Q58" s="877"/>
      <c r="R58" s="877"/>
      <c r="S58" s="877"/>
      <c r="T58" s="878"/>
      <c r="V58" s="352" t="s">
        <v>132</v>
      </c>
      <c r="W58" s="352" t="s">
        <v>124</v>
      </c>
      <c r="X58" s="352" t="str">
        <f t="shared" ref="X58:X98" si="11">CONCATENATE(W58," ",V58)</f>
        <v>Jeroen Zoet (k)</v>
      </c>
      <c r="Y58" s="113" t="s">
        <v>91</v>
      </c>
      <c r="Z58" s="352" t="str">
        <f>IF(K58=""," ",VLOOKUP(K58,$T$9:$V$54,3,FALSE))</f>
        <v xml:space="preserve"> </v>
      </c>
      <c r="AA58" s="352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 t="shared" ref="D59:D66" si="13">IF(ISERROR(Z59),K59,Z59)</f>
        <v>Brazilië</v>
      </c>
      <c r="E59" s="367" t="s">
        <v>9</v>
      </c>
      <c r="F59" s="406" t="str">
        <f t="shared" ref="F59:F66" si="14">IF(ISERROR(AA59),L59,AA59)</f>
        <v>Nederland</v>
      </c>
      <c r="G59" s="435">
        <v>1</v>
      </c>
      <c r="H59" s="367" t="s">
        <v>9</v>
      </c>
      <c r="I59" s="447">
        <v>1</v>
      </c>
      <c r="J59" s="448">
        <v>2</v>
      </c>
      <c r="K59" s="407" t="s">
        <v>48</v>
      </c>
      <c r="L59" s="407" t="s">
        <v>53</v>
      </c>
      <c r="M59" s="407">
        <v>1</v>
      </c>
      <c r="O59" s="458">
        <v>2</v>
      </c>
      <c r="P59" s="877" t="s">
        <v>211</v>
      </c>
      <c r="Q59" s="877"/>
      <c r="R59" s="877"/>
      <c r="S59" s="877"/>
      <c r="T59" s="878"/>
      <c r="V59" s="352" t="s">
        <v>132</v>
      </c>
      <c r="W59" s="352" t="s">
        <v>111</v>
      </c>
      <c r="X59" s="352" t="str">
        <f t="shared" si="11"/>
        <v>Jasper Cillessen (k)</v>
      </c>
      <c r="Y59" s="109">
        <f t="shared" ref="Y59:Y66" si="15">AF59</f>
        <v>10</v>
      </c>
      <c r="Z59" s="352" t="str">
        <f t="shared" ref="Z59:AA65" si="16">IF(K59=""," ",VLOOKUP(K59,$T$9:$V$54,3,FALSE))</f>
        <v>Brazilië</v>
      </c>
      <c r="AA59" s="352" t="str">
        <f t="shared" si="16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7">IF(OR(AC59="",AD59=""),0,(IF(SUM(AG59:AL59)&gt;10,10,SUM(AG59:AL59))))</f>
        <v>10</v>
      </c>
      <c r="AG59" s="108">
        <f t="shared" ref="AG59:AG66" si="18">IF(AC59="",0,(IF(G59=AC59,1,0)))</f>
        <v>1</v>
      </c>
      <c r="AH59" s="108">
        <f t="shared" ref="AH59:AH66" si="19">IF(AD59="",0,(IF(I59=AD59,1,0)))</f>
        <v>1</v>
      </c>
      <c r="AI59" s="108">
        <f t="shared" ref="AI59:AI66" si="20">IF(AND(AG59=1,AH59=1),10,0)</f>
        <v>10</v>
      </c>
      <c r="AJ59" s="108">
        <f t="shared" ref="AJ59:AJ66" si="21">IF(AND(G59&gt;I59,AC59&gt;AD59),5,0)</f>
        <v>0</v>
      </c>
      <c r="AK59" s="108">
        <f t="shared" ref="AK59:AK66" si="22">IF(AND(G59&lt;I59,AC59&lt;AD59),5,0)</f>
        <v>0</v>
      </c>
      <c r="AL59" s="108">
        <f t="shared" ref="AL59:AL66" si="23">IF(AND(G59=I59,AC59=AD59),5,0)</f>
        <v>5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4">BA59</f>
        <v>3</v>
      </c>
    </row>
    <row r="60" spans="2:54">
      <c r="B60" s="376">
        <v>50</v>
      </c>
      <c r="C60" s="466">
        <v>41818</v>
      </c>
      <c r="D60" s="460" t="str">
        <f t="shared" si="13"/>
        <v>Griekenland</v>
      </c>
      <c r="E60" s="379" t="s">
        <v>9</v>
      </c>
      <c r="F60" s="409" t="str">
        <f t="shared" si="14"/>
        <v>Italië</v>
      </c>
      <c r="G60" s="437">
        <v>0</v>
      </c>
      <c r="H60" s="379" t="s">
        <v>9</v>
      </c>
      <c r="I60" s="449">
        <v>2</v>
      </c>
      <c r="J60" s="450">
        <v>2</v>
      </c>
      <c r="K60" s="407" t="s">
        <v>57</v>
      </c>
      <c r="L60" s="407" t="s">
        <v>63</v>
      </c>
      <c r="M60" s="407">
        <v>2</v>
      </c>
      <c r="O60" s="458">
        <v>3</v>
      </c>
      <c r="P60" s="877" t="s">
        <v>215</v>
      </c>
      <c r="Q60" s="877"/>
      <c r="R60" s="877"/>
      <c r="S60" s="877"/>
      <c r="T60" s="878"/>
      <c r="V60" s="352" t="s">
        <v>132</v>
      </c>
      <c r="W60" s="352" t="s">
        <v>110</v>
      </c>
      <c r="X60" s="352" t="str">
        <f t="shared" si="11"/>
        <v>Kenneth Vermeer (k)</v>
      </c>
      <c r="Y60" s="109">
        <f t="shared" si="15"/>
        <v>0</v>
      </c>
      <c r="Z60" s="352" t="str">
        <f t="shared" si="16"/>
        <v>Griekenland</v>
      </c>
      <c r="AA60" s="352" t="str">
        <f t="shared" si="16"/>
        <v>Italië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7"/>
        <v>0</v>
      </c>
      <c r="AG60" s="108">
        <f t="shared" si="18"/>
        <v>0</v>
      </c>
      <c r="AH60" s="108">
        <f t="shared" si="19"/>
        <v>0</v>
      </c>
      <c r="AI60" s="108">
        <f t="shared" si="20"/>
        <v>0</v>
      </c>
      <c r="AJ60" s="108">
        <f t="shared" si="21"/>
        <v>0</v>
      </c>
      <c r="AK60" s="108">
        <f t="shared" si="22"/>
        <v>0</v>
      </c>
      <c r="AL60" s="108">
        <f t="shared" si="23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4"/>
        <v>3</v>
      </c>
    </row>
    <row r="61" spans="2:54">
      <c r="B61" s="364">
        <v>51</v>
      </c>
      <c r="C61" s="465">
        <v>41819</v>
      </c>
      <c r="D61" s="464" t="str">
        <f t="shared" si="13"/>
        <v>Spanje</v>
      </c>
      <c r="E61" s="367" t="s">
        <v>9</v>
      </c>
      <c r="F61" s="406" t="str">
        <f t="shared" si="14"/>
        <v>Kameroen</v>
      </c>
      <c r="G61" s="435">
        <v>1</v>
      </c>
      <c r="H61" s="367" t="s">
        <v>9</v>
      </c>
      <c r="I61" s="447">
        <v>0</v>
      </c>
      <c r="J61" s="448">
        <v>1</v>
      </c>
      <c r="K61" s="407" t="s">
        <v>52</v>
      </c>
      <c r="L61" s="407" t="s">
        <v>49</v>
      </c>
      <c r="M61" s="407"/>
      <c r="O61" s="458">
        <v>4</v>
      </c>
      <c r="P61" s="877" t="s">
        <v>216</v>
      </c>
      <c r="Q61" s="877"/>
      <c r="R61" s="877"/>
      <c r="S61" s="877"/>
      <c r="T61" s="878"/>
      <c r="V61" s="352" t="s">
        <v>132</v>
      </c>
      <c r="W61" s="352" t="s">
        <v>191</v>
      </c>
      <c r="X61" s="352" t="str">
        <f t="shared" si="11"/>
        <v>Tim Krul (k)</v>
      </c>
      <c r="Y61" s="109">
        <f t="shared" si="15"/>
        <v>5</v>
      </c>
      <c r="Z61" s="352" t="str">
        <f t="shared" si="16"/>
        <v>Spanje</v>
      </c>
      <c r="AA61" s="352" t="str">
        <f t="shared" si="16"/>
        <v>Kameroen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7"/>
        <v>5</v>
      </c>
      <c r="AG61" s="108">
        <f t="shared" si="18"/>
        <v>0</v>
      </c>
      <c r="AH61" s="108">
        <f t="shared" si="19"/>
        <v>0</v>
      </c>
      <c r="AI61" s="108">
        <f t="shared" si="20"/>
        <v>0</v>
      </c>
      <c r="AJ61" s="108">
        <f t="shared" si="21"/>
        <v>5</v>
      </c>
      <c r="AK61" s="108">
        <f t="shared" si="22"/>
        <v>0</v>
      </c>
      <c r="AL61" s="108">
        <f t="shared" si="23"/>
        <v>0</v>
      </c>
      <c r="AZ61" s="138" t="str">
        <f>Uitslag!P61</f>
        <v>Ron Vlaar (v)</v>
      </c>
      <c r="BA61" s="140">
        <f t="shared" si="12"/>
        <v>3</v>
      </c>
      <c r="BB61" s="139">
        <f t="shared" si="24"/>
        <v>3</v>
      </c>
    </row>
    <row r="62" spans="2:54">
      <c r="B62" s="376">
        <v>52</v>
      </c>
      <c r="C62" s="466">
        <v>41819</v>
      </c>
      <c r="D62" s="464" t="str">
        <f t="shared" si="13"/>
        <v>Engeland</v>
      </c>
      <c r="E62" s="379" t="s">
        <v>9</v>
      </c>
      <c r="F62" s="409" t="str">
        <f t="shared" si="14"/>
        <v>Japan</v>
      </c>
      <c r="G62" s="437">
        <v>2</v>
      </c>
      <c r="H62" s="379" t="s">
        <v>9</v>
      </c>
      <c r="I62" s="449">
        <v>1</v>
      </c>
      <c r="J62" s="450">
        <v>1</v>
      </c>
      <c r="K62" s="407" t="s">
        <v>62</v>
      </c>
      <c r="L62" s="407" t="s">
        <v>58</v>
      </c>
      <c r="M62" s="407"/>
      <c r="O62" s="458">
        <v>5</v>
      </c>
      <c r="P62" s="877" t="s">
        <v>214</v>
      </c>
      <c r="Q62" s="877"/>
      <c r="R62" s="877"/>
      <c r="S62" s="877"/>
      <c r="T62" s="878"/>
      <c r="V62" s="352" t="s">
        <v>132</v>
      </c>
      <c r="W62" s="352" t="s">
        <v>192</v>
      </c>
      <c r="X62" s="352" t="str">
        <f t="shared" si="11"/>
        <v>Maarten Stekelenburg (k)</v>
      </c>
      <c r="Y62" s="109">
        <f t="shared" si="15"/>
        <v>1</v>
      </c>
      <c r="Z62" s="352" t="str">
        <f t="shared" si="16"/>
        <v>Engeland</v>
      </c>
      <c r="AA62" s="352" t="str">
        <f t="shared" si="16"/>
        <v>Japan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7"/>
        <v>1</v>
      </c>
      <c r="AG62" s="108">
        <f t="shared" si="18"/>
        <v>0</v>
      </c>
      <c r="AH62" s="108">
        <f t="shared" si="19"/>
        <v>1</v>
      </c>
      <c r="AI62" s="108">
        <f t="shared" si="20"/>
        <v>0</v>
      </c>
      <c r="AJ62" s="108">
        <f t="shared" si="21"/>
        <v>0</v>
      </c>
      <c r="AK62" s="108">
        <f t="shared" si="22"/>
        <v>0</v>
      </c>
      <c r="AL62" s="108">
        <f t="shared" si="23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4"/>
        <v>3</v>
      </c>
    </row>
    <row r="63" spans="2:54">
      <c r="B63" s="364">
        <v>53</v>
      </c>
      <c r="C63" s="465">
        <v>41820</v>
      </c>
      <c r="D63" s="459" t="str">
        <f t="shared" si="13"/>
        <v>Frankrijk</v>
      </c>
      <c r="E63" s="367" t="s">
        <v>9</v>
      </c>
      <c r="F63" s="406" t="str">
        <f t="shared" si="14"/>
        <v>Nigeria</v>
      </c>
      <c r="G63" s="435">
        <v>2</v>
      </c>
      <c r="H63" s="367" t="s">
        <v>9</v>
      </c>
      <c r="I63" s="447">
        <v>0</v>
      </c>
      <c r="J63" s="448">
        <v>1</v>
      </c>
      <c r="K63" s="407" t="s">
        <v>67</v>
      </c>
      <c r="L63" s="407" t="s">
        <v>73</v>
      </c>
      <c r="M63" s="407"/>
      <c r="O63" s="458">
        <v>6</v>
      </c>
      <c r="P63" s="877" t="s">
        <v>230</v>
      </c>
      <c r="Q63" s="877"/>
      <c r="R63" s="877"/>
      <c r="S63" s="877"/>
      <c r="T63" s="878"/>
      <c r="V63" s="352" t="s">
        <v>132</v>
      </c>
      <c r="W63" s="352" t="s">
        <v>193</v>
      </c>
      <c r="X63" s="352" t="str">
        <f t="shared" si="11"/>
        <v>Michel Vorm (k)</v>
      </c>
      <c r="Y63" s="109">
        <f t="shared" si="15"/>
        <v>10</v>
      </c>
      <c r="Z63" s="352" t="str">
        <f t="shared" si="16"/>
        <v>Frankrijk</v>
      </c>
      <c r="AA63" s="352" t="str">
        <f t="shared" si="16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7"/>
        <v>10</v>
      </c>
      <c r="AG63" s="108">
        <f t="shared" si="18"/>
        <v>1</v>
      </c>
      <c r="AH63" s="108">
        <f t="shared" si="19"/>
        <v>1</v>
      </c>
      <c r="AI63" s="108">
        <f t="shared" si="20"/>
        <v>10</v>
      </c>
      <c r="AJ63" s="108">
        <f t="shared" si="21"/>
        <v>5</v>
      </c>
      <c r="AK63" s="108">
        <f t="shared" si="22"/>
        <v>0</v>
      </c>
      <c r="AL63" s="108">
        <f t="shared" si="23"/>
        <v>0</v>
      </c>
      <c r="AZ63" s="138" t="str">
        <f>Uitslag!P63</f>
        <v>Daley Blind (v)</v>
      </c>
      <c r="BA63" s="140">
        <f t="shared" si="12"/>
        <v>0</v>
      </c>
      <c r="BB63" s="139">
        <f t="shared" si="24"/>
        <v>0</v>
      </c>
    </row>
    <row r="64" spans="2:54">
      <c r="B64" s="376">
        <v>54</v>
      </c>
      <c r="C64" s="466">
        <v>41820</v>
      </c>
      <c r="D64" s="460" t="str">
        <f t="shared" si="13"/>
        <v>Duitsland</v>
      </c>
      <c r="E64" s="379" t="s">
        <v>9</v>
      </c>
      <c r="F64" s="409" t="str">
        <f t="shared" si="14"/>
        <v>Algerije</v>
      </c>
      <c r="G64" s="437">
        <v>2</v>
      </c>
      <c r="H64" s="379" t="s">
        <v>9</v>
      </c>
      <c r="I64" s="449">
        <v>0</v>
      </c>
      <c r="J64" s="450">
        <v>1</v>
      </c>
      <c r="K64" s="407" t="s">
        <v>77</v>
      </c>
      <c r="L64" s="407" t="s">
        <v>83</v>
      </c>
      <c r="M64" s="407"/>
      <c r="O64" s="458">
        <v>7</v>
      </c>
      <c r="P64" s="877" t="s">
        <v>221</v>
      </c>
      <c r="Q64" s="877"/>
      <c r="R64" s="877"/>
      <c r="S64" s="877"/>
      <c r="T64" s="878"/>
      <c r="V64" s="352" t="s">
        <v>133</v>
      </c>
      <c r="W64" s="352" t="s">
        <v>112</v>
      </c>
      <c r="X64" s="352" t="str">
        <f t="shared" si="11"/>
        <v>Joël Veltman (v)</v>
      </c>
      <c r="Y64" s="109">
        <f t="shared" si="15"/>
        <v>1</v>
      </c>
      <c r="Z64" s="352" t="str">
        <f t="shared" si="16"/>
        <v>Duitsland</v>
      </c>
      <c r="AA64" s="352" t="str">
        <f t="shared" si="16"/>
        <v>Algerije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7"/>
        <v>1</v>
      </c>
      <c r="AG64" s="108">
        <f t="shared" si="18"/>
        <v>0</v>
      </c>
      <c r="AH64" s="108">
        <f t="shared" si="19"/>
        <v>1</v>
      </c>
      <c r="AI64" s="108">
        <f t="shared" si="20"/>
        <v>0</v>
      </c>
      <c r="AJ64" s="108">
        <f t="shared" si="21"/>
        <v>0</v>
      </c>
      <c r="AK64" s="108">
        <f t="shared" si="22"/>
        <v>0</v>
      </c>
      <c r="AL64" s="108">
        <f t="shared" si="23"/>
        <v>0</v>
      </c>
      <c r="AZ64" s="138" t="str">
        <f>Uitslag!P64</f>
        <v>Wesley Sneijder (m)</v>
      </c>
      <c r="BA64" s="140">
        <f t="shared" si="12"/>
        <v>0</v>
      </c>
      <c r="BB64" s="139">
        <f t="shared" si="24"/>
        <v>0</v>
      </c>
    </row>
    <row r="65" spans="2:54">
      <c r="B65" s="370">
        <v>55</v>
      </c>
      <c r="C65" s="467">
        <v>41821</v>
      </c>
      <c r="D65" s="459" t="str">
        <f t="shared" si="13"/>
        <v>Argentinië</v>
      </c>
      <c r="E65" s="373" t="s">
        <v>9</v>
      </c>
      <c r="F65" s="410" t="str">
        <f t="shared" si="14"/>
        <v>Ecuador</v>
      </c>
      <c r="G65" s="436">
        <v>1</v>
      </c>
      <c r="H65" s="373" t="s">
        <v>9</v>
      </c>
      <c r="I65" s="451">
        <v>0</v>
      </c>
      <c r="J65" s="452">
        <v>1</v>
      </c>
      <c r="K65" s="407" t="s">
        <v>72</v>
      </c>
      <c r="L65" s="407" t="s">
        <v>68</v>
      </c>
      <c r="M65" s="407"/>
      <c r="O65" s="458">
        <v>8</v>
      </c>
      <c r="P65" s="877" t="s">
        <v>213</v>
      </c>
      <c r="Q65" s="877"/>
      <c r="R65" s="877"/>
      <c r="S65" s="877"/>
      <c r="T65" s="878"/>
      <c r="V65" s="352" t="s">
        <v>133</v>
      </c>
      <c r="W65" s="352" t="s">
        <v>109</v>
      </c>
      <c r="X65" s="352" t="str">
        <f t="shared" si="11"/>
        <v>Daley Blind (v)</v>
      </c>
      <c r="Y65" s="109">
        <f t="shared" si="15"/>
        <v>1</v>
      </c>
      <c r="Z65" s="352" t="str">
        <f t="shared" si="16"/>
        <v>Argentinië</v>
      </c>
      <c r="AA65" s="352" t="str">
        <f t="shared" si="16"/>
        <v>Ecuador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7"/>
        <v>1</v>
      </c>
      <c r="AG65" s="108">
        <f t="shared" si="18"/>
        <v>0</v>
      </c>
      <c r="AH65" s="108">
        <f t="shared" si="19"/>
        <v>1</v>
      </c>
      <c r="AI65" s="108">
        <f t="shared" si="20"/>
        <v>0</v>
      </c>
      <c r="AJ65" s="108">
        <f t="shared" si="21"/>
        <v>0</v>
      </c>
      <c r="AK65" s="108">
        <f t="shared" si="22"/>
        <v>0</v>
      </c>
      <c r="AL65" s="108">
        <f t="shared" si="23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4"/>
        <v>3</v>
      </c>
    </row>
    <row r="66" spans="2:54" ht="15.75" thickBot="1">
      <c r="B66" s="385">
        <v>56</v>
      </c>
      <c r="C66" s="462">
        <v>41821</v>
      </c>
      <c r="D66" s="461" t="str">
        <f t="shared" si="13"/>
        <v>Zuid Korea</v>
      </c>
      <c r="E66" s="388" t="s">
        <v>9</v>
      </c>
      <c r="F66" s="412" t="str">
        <f t="shared" si="14"/>
        <v>Portugal</v>
      </c>
      <c r="G66" s="438">
        <v>0</v>
      </c>
      <c r="H66" s="388" t="s">
        <v>9</v>
      </c>
      <c r="I66" s="453">
        <v>3</v>
      </c>
      <c r="J66" s="454">
        <v>2</v>
      </c>
      <c r="K66" s="407" t="s">
        <v>82</v>
      </c>
      <c r="L66" s="407" t="s">
        <v>78</v>
      </c>
      <c r="M66" s="407"/>
      <c r="O66" s="458">
        <v>9</v>
      </c>
      <c r="P66" s="877" t="s">
        <v>212</v>
      </c>
      <c r="Q66" s="877"/>
      <c r="R66" s="877"/>
      <c r="S66" s="877"/>
      <c r="T66" s="878"/>
      <c r="V66" s="352" t="s">
        <v>133</v>
      </c>
      <c r="W66" s="352" t="s">
        <v>115</v>
      </c>
      <c r="X66" s="352" t="str">
        <f t="shared" si="11"/>
        <v>Daryl Janmaat (v)</v>
      </c>
      <c r="Y66" s="109">
        <f t="shared" si="15"/>
        <v>1</v>
      </c>
      <c r="Z66" s="352" t="str">
        <f>IF(K66=""," ",VLOOKUP(K66,$T$9:$V$54,3,FALSE))</f>
        <v>Zuid Korea</v>
      </c>
      <c r="AA66" s="352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7"/>
        <v>1</v>
      </c>
      <c r="AG66" s="108">
        <f t="shared" si="18"/>
        <v>1</v>
      </c>
      <c r="AH66" s="108">
        <f t="shared" si="19"/>
        <v>0</v>
      </c>
      <c r="AI66" s="108">
        <f t="shared" si="20"/>
        <v>0</v>
      </c>
      <c r="AJ66" s="108">
        <f t="shared" si="21"/>
        <v>0</v>
      </c>
      <c r="AK66" s="108">
        <f t="shared" si="22"/>
        <v>0</v>
      </c>
      <c r="AL66" s="108">
        <f t="shared" si="23"/>
        <v>0</v>
      </c>
      <c r="AZ66" s="138" t="str">
        <f>Uitslag!P66</f>
        <v>Jonathan de Guzman (m)</v>
      </c>
      <c r="BA66" s="140">
        <f t="shared" si="12"/>
        <v>3</v>
      </c>
      <c r="BB66" s="139">
        <f t="shared" si="24"/>
        <v>3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O67" s="458">
        <v>10</v>
      </c>
      <c r="P67" s="877" t="s">
        <v>220</v>
      </c>
      <c r="Q67" s="877"/>
      <c r="R67" s="877"/>
      <c r="S67" s="877"/>
      <c r="T67" s="878"/>
      <c r="V67" s="352" t="s">
        <v>133</v>
      </c>
      <c r="W67" s="352" t="s">
        <v>118</v>
      </c>
      <c r="X67" s="352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4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79"/>
      <c r="K68" s="353"/>
      <c r="L68" s="353"/>
      <c r="M68" s="353"/>
      <c r="O68" s="458">
        <v>11</v>
      </c>
      <c r="P68" s="877" t="s">
        <v>225</v>
      </c>
      <c r="Q68" s="877"/>
      <c r="R68" s="877"/>
      <c r="S68" s="877"/>
      <c r="T68" s="878"/>
      <c r="V68" s="352" t="s">
        <v>133</v>
      </c>
      <c r="W68" s="352" t="s">
        <v>119</v>
      </c>
      <c r="X68" s="352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4"/>
        <v>3</v>
      </c>
    </row>
    <row r="69" spans="2:54">
      <c r="B69" s="428" t="s">
        <v>1</v>
      </c>
      <c r="C69" s="429" t="s">
        <v>2</v>
      </c>
      <c r="D69" s="476" t="s">
        <v>3</v>
      </c>
      <c r="E69" s="431"/>
      <c r="F69" s="477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V69" s="352" t="s">
        <v>133</v>
      </c>
      <c r="W69" s="352" t="s">
        <v>121</v>
      </c>
      <c r="X69" s="352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27</v>
      </c>
      <c r="BB69" s="139" t="str">
        <f>IF(AND(BA69&lt;&gt;"",BA69=33),15,"nvt")</f>
        <v>nvt</v>
      </c>
    </row>
    <row r="70" spans="2:54">
      <c r="B70" s="364">
        <v>57</v>
      </c>
      <c r="C70" s="365">
        <v>41824</v>
      </c>
      <c r="D70" s="405" t="str">
        <f>IF(J63="","Winnaar 53",IF(J63=1,D63,F63))</f>
        <v>Frankrijk</v>
      </c>
      <c r="E70" s="367" t="s">
        <v>9</v>
      </c>
      <c r="F70" s="406" t="str">
        <f>IF(J64="","Winnaar 54",IF(J64=1,D64,F64))</f>
        <v>Duitsland</v>
      </c>
      <c r="G70" s="435">
        <v>1</v>
      </c>
      <c r="H70" s="367" t="s">
        <v>9</v>
      </c>
      <c r="I70" s="447">
        <v>2</v>
      </c>
      <c r="J70" s="448">
        <v>2</v>
      </c>
      <c r="K70" s="353"/>
      <c r="L70" s="353"/>
      <c r="M70" s="353"/>
      <c r="V70" s="352" t="s">
        <v>133</v>
      </c>
      <c r="W70" s="352" t="s">
        <v>126</v>
      </c>
      <c r="X70" s="352" t="str">
        <f t="shared" si="11"/>
        <v>Karim Rekik (v)</v>
      </c>
      <c r="Y70" s="109">
        <f>AF70</f>
        <v>5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5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Nederland</v>
      </c>
      <c r="E71" s="379" t="s">
        <v>9</v>
      </c>
      <c r="F71" s="409" t="str">
        <f>IF(J60="","Winnaar 50",IF(J60=1,D60,F60))</f>
        <v>Italië</v>
      </c>
      <c r="G71" s="437">
        <v>1</v>
      </c>
      <c r="H71" s="379" t="s">
        <v>9</v>
      </c>
      <c r="I71" s="449">
        <v>1</v>
      </c>
      <c r="J71" s="450">
        <v>2</v>
      </c>
      <c r="K71" s="353"/>
      <c r="L71" s="353"/>
      <c r="M71" s="353"/>
      <c r="V71" s="352" t="s">
        <v>133</v>
      </c>
      <c r="W71" s="352" t="s">
        <v>194</v>
      </c>
      <c r="X71" s="352" t="str">
        <f t="shared" si="11"/>
        <v>Ron Vlaar (v)</v>
      </c>
      <c r="Y71" s="109">
        <f>AF71</f>
        <v>1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1</v>
      </c>
      <c r="AG71" s="108">
        <f>IF(AC71="",0,(IF(G71=AC71,1,0)))</f>
        <v>0</v>
      </c>
      <c r="AH71" s="108">
        <f>IF(AD71="",0,(IF(I71=AD71,1,0)))</f>
        <v>1</v>
      </c>
      <c r="AI71" s="108">
        <f>IF(AND(AG71=1,AH71=1),10,0)</f>
        <v>0</v>
      </c>
      <c r="AJ71" s="108">
        <f>IF(AND(G71&gt;I71,AC71&gt;AD71),5,0)</f>
        <v>0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Argentinië</v>
      </c>
      <c r="E72" s="367" t="s">
        <v>9</v>
      </c>
      <c r="F72" s="406" t="str">
        <f>IF(J66="","Winnaar 56",IF(J66=1,D66,F66))</f>
        <v>Portugal</v>
      </c>
      <c r="G72" s="435">
        <v>2</v>
      </c>
      <c r="H72" s="367" t="s">
        <v>9</v>
      </c>
      <c r="I72" s="447">
        <v>1</v>
      </c>
      <c r="J72" s="448">
        <v>1</v>
      </c>
      <c r="K72" s="353"/>
      <c r="L72" s="353"/>
      <c r="M72" s="353"/>
      <c r="V72" s="352" t="s">
        <v>133</v>
      </c>
      <c r="W72" s="352" t="s">
        <v>195</v>
      </c>
      <c r="X72" s="352" t="str">
        <f t="shared" si="11"/>
        <v>John Heitinga (v)</v>
      </c>
      <c r="Y72" s="109">
        <f>AF72</f>
        <v>5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5</v>
      </c>
      <c r="AG72" s="108">
        <f>IF(AC72="",0,(IF(G72=AC72,1,0)))</f>
        <v>0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5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Spanje</v>
      </c>
      <c r="E73" s="388" t="s">
        <v>9</v>
      </c>
      <c r="F73" s="412" t="str">
        <f>IF(J62="","Winnaar 52",IF(J62=1,D62,F62))</f>
        <v>Engeland</v>
      </c>
      <c r="G73" s="438">
        <v>2</v>
      </c>
      <c r="H73" s="388" t="s">
        <v>9</v>
      </c>
      <c r="I73" s="453">
        <v>2</v>
      </c>
      <c r="J73" s="454">
        <v>1</v>
      </c>
      <c r="K73" s="353"/>
      <c r="L73" s="353"/>
      <c r="M73" s="353"/>
      <c r="V73" s="352" t="s">
        <v>133</v>
      </c>
      <c r="W73" s="352" t="s">
        <v>196</v>
      </c>
      <c r="X73" s="352" t="str">
        <f t="shared" si="11"/>
        <v>Urby Emanuelson (v)</v>
      </c>
      <c r="Y73" s="109">
        <f>AF73</f>
        <v>5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5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5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V74" s="352" t="s">
        <v>133</v>
      </c>
      <c r="W74" s="352" t="s">
        <v>197</v>
      </c>
      <c r="X74" s="352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79"/>
      <c r="K75" s="353"/>
      <c r="L75" s="353"/>
      <c r="M75" s="353"/>
      <c r="V75" s="352" t="s">
        <v>133</v>
      </c>
      <c r="W75" s="352" t="s">
        <v>198</v>
      </c>
      <c r="X75" s="352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76" t="s">
        <v>3</v>
      </c>
      <c r="E76" s="431"/>
      <c r="F76" s="477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V76" s="352" t="s">
        <v>133</v>
      </c>
      <c r="W76" s="352" t="s">
        <v>202</v>
      </c>
      <c r="X76" s="352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Duitsland</v>
      </c>
      <c r="E77" s="367" t="s">
        <v>9</v>
      </c>
      <c r="F77" s="406" t="str">
        <f>IF(J71="","Winnaar 58",IF(J71=1,D71,F71))</f>
        <v>Italië</v>
      </c>
      <c r="G77" s="435">
        <v>2</v>
      </c>
      <c r="H77" s="367" t="s">
        <v>9</v>
      </c>
      <c r="I77" s="447">
        <v>1</v>
      </c>
      <c r="J77" s="448">
        <v>1</v>
      </c>
      <c r="K77" s="353"/>
      <c r="L77" s="353"/>
      <c r="M77" s="353"/>
      <c r="V77" s="352" t="s">
        <v>134</v>
      </c>
      <c r="W77" s="352" t="s">
        <v>203</v>
      </c>
      <c r="X77" s="352" t="str">
        <f t="shared" si="11"/>
        <v>Marco van Ginkel (m)</v>
      </c>
      <c r="Y77" s="109">
        <f>AF77</f>
        <v>6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6</v>
      </c>
      <c r="AG77" s="108">
        <f>IF(AC77="",0,(IF(G77=AC77,1,0)))</f>
        <v>0</v>
      </c>
      <c r="AH77" s="108">
        <f>IF(AD77="",0,(IF(I77=AD77,1,0)))</f>
        <v>1</v>
      </c>
      <c r="AI77" s="108">
        <f>IF(AND(AG77=1,AH77=1),10,0)</f>
        <v>0</v>
      </c>
      <c r="AJ77" s="108">
        <f>IF(AND(G77&gt;I77,AC77&gt;AD77),5,0)</f>
        <v>5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Argentinië</v>
      </c>
      <c r="E78" s="388" t="s">
        <v>9</v>
      </c>
      <c r="F78" s="412" t="str">
        <f>IF(J73="","Winnaar 60",IF(J73=1,D73,F73))</f>
        <v>Spanje</v>
      </c>
      <c r="G78" s="438">
        <v>1</v>
      </c>
      <c r="H78" s="388" t="s">
        <v>9</v>
      </c>
      <c r="I78" s="453">
        <v>2</v>
      </c>
      <c r="J78" s="454">
        <v>2</v>
      </c>
      <c r="K78" s="353"/>
      <c r="L78" s="353"/>
      <c r="M78" s="353"/>
      <c r="V78" s="352" t="s">
        <v>134</v>
      </c>
      <c r="W78" s="352" t="s">
        <v>199</v>
      </c>
      <c r="X78" s="352" t="str">
        <f t="shared" si="11"/>
        <v>Leroy Fer (m)</v>
      </c>
      <c r="Y78" s="109">
        <f>AF78</f>
        <v>0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0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V79" s="352" t="s">
        <v>134</v>
      </c>
      <c r="W79" s="352" t="s">
        <v>114</v>
      </c>
      <c r="X79" s="352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79"/>
      <c r="K80" s="353"/>
      <c r="L80" s="353"/>
      <c r="M80" s="353"/>
      <c r="V80" s="352" t="s">
        <v>134</v>
      </c>
      <c r="W80" s="352" t="s">
        <v>117</v>
      </c>
      <c r="X80" s="352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76" t="s">
        <v>3</v>
      </c>
      <c r="E81" s="431"/>
      <c r="F81" s="477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V81" s="352" t="s">
        <v>134</v>
      </c>
      <c r="W81" s="352" t="s">
        <v>120</v>
      </c>
      <c r="X81" s="352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Italië</v>
      </c>
      <c r="E82" s="355" t="s">
        <v>9</v>
      </c>
      <c r="F82" s="415" t="str">
        <f>IF(J78="","Verliezer 62",IF(J78=1,F78,D78))</f>
        <v>Argentinië</v>
      </c>
      <c r="G82" s="455">
        <v>2</v>
      </c>
      <c r="H82" s="355" t="s">
        <v>9</v>
      </c>
      <c r="I82" s="456">
        <v>1</v>
      </c>
      <c r="J82" s="457">
        <v>1</v>
      </c>
      <c r="K82" s="353"/>
      <c r="L82" s="353"/>
      <c r="M82" s="353"/>
      <c r="V82" s="352" t="s">
        <v>134</v>
      </c>
      <c r="W82" s="352" t="s">
        <v>125</v>
      </c>
      <c r="X82" s="35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V83" s="352" t="s">
        <v>134</v>
      </c>
      <c r="W83" s="352" t="s">
        <v>136</v>
      </c>
      <c r="X83" s="352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79"/>
      <c r="K84" s="353"/>
      <c r="L84" s="353"/>
      <c r="M84" s="353"/>
      <c r="V84" s="352" t="s">
        <v>134</v>
      </c>
      <c r="W84" s="352" t="s">
        <v>137</v>
      </c>
      <c r="X84" s="352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76" t="s">
        <v>3</v>
      </c>
      <c r="E85" s="431"/>
      <c r="F85" s="477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V85" s="352" t="s">
        <v>134</v>
      </c>
      <c r="W85" s="352" t="s">
        <v>138</v>
      </c>
      <c r="X85" s="352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Duitsland</v>
      </c>
      <c r="E86" s="355" t="s">
        <v>9</v>
      </c>
      <c r="F86" s="415" t="str">
        <f>IF(J78="","Winnaar 62",IF(J78=1,D78,F78))</f>
        <v>Spanje</v>
      </c>
      <c r="G86" s="455">
        <v>1</v>
      </c>
      <c r="H86" s="355" t="s">
        <v>9</v>
      </c>
      <c r="I86" s="456">
        <v>1</v>
      </c>
      <c r="J86" s="457">
        <v>1</v>
      </c>
      <c r="K86" s="353"/>
      <c r="L86" s="353"/>
      <c r="M86" s="353"/>
      <c r="V86" s="352" t="s">
        <v>134</v>
      </c>
      <c r="W86" s="352" t="s">
        <v>139</v>
      </c>
      <c r="X86" s="352" t="str">
        <f t="shared" si="11"/>
        <v>Nigel de Jong (m)</v>
      </c>
      <c r="Y86" s="109">
        <f>AF86</f>
        <v>5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5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5</v>
      </c>
    </row>
    <row r="87" spans="2:50">
      <c r="B87" s="353"/>
      <c r="C87" s="129"/>
      <c r="D87" s="392"/>
      <c r="E87" s="353"/>
      <c r="F87" s="392"/>
      <c r="G87" s="353"/>
      <c r="H87" s="353"/>
      <c r="I87" s="353"/>
      <c r="J87" s="353"/>
      <c r="K87" s="353"/>
      <c r="L87" s="353"/>
      <c r="M87" s="353"/>
      <c r="V87" s="352" t="s">
        <v>135</v>
      </c>
      <c r="W87" s="352" t="s">
        <v>205</v>
      </c>
      <c r="X87" s="352" t="str">
        <f t="shared" si="11"/>
        <v>Ricky van Wolfswinkel (a)</v>
      </c>
      <c r="AP87" s="136" t="s">
        <v>102</v>
      </c>
    </row>
    <row r="88" spans="2:50">
      <c r="B88" s="353"/>
      <c r="C88" s="129"/>
      <c r="D88" s="392"/>
      <c r="E88" s="353"/>
      <c r="F88" s="392"/>
      <c r="G88" s="353"/>
      <c r="H88" s="353"/>
      <c r="I88" s="353"/>
      <c r="J88" s="353"/>
      <c r="K88" s="353"/>
      <c r="L88" s="353"/>
      <c r="M88" s="353"/>
      <c r="V88" s="352" t="s">
        <v>135</v>
      </c>
      <c r="W88" s="352" t="s">
        <v>204</v>
      </c>
      <c r="X88" s="352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458"/>
    </row>
    <row r="89" spans="2:50" ht="20.25">
      <c r="C89" s="874" t="s">
        <v>101</v>
      </c>
      <c r="D89" s="871"/>
      <c r="E89" s="873" t="str">
        <f>IF(J86=1,D86,IF(J86=2,F86,"Wie zal het worden?"))</f>
        <v>Duitsland</v>
      </c>
      <c r="F89" s="873"/>
      <c r="G89" s="873"/>
      <c r="H89" s="873"/>
      <c r="I89" s="873"/>
      <c r="J89" s="873"/>
      <c r="K89" s="353"/>
      <c r="L89" s="353"/>
      <c r="M89" s="353"/>
      <c r="V89" s="352" t="s">
        <v>135</v>
      </c>
      <c r="W89" s="352" t="s">
        <v>201</v>
      </c>
      <c r="X89" s="352" t="str">
        <f t="shared" si="11"/>
        <v>Jermain Lens (a)</v>
      </c>
      <c r="AP89" s="109">
        <f>AU89</f>
        <v>50</v>
      </c>
      <c r="AQ89" s="131">
        <v>1</v>
      </c>
      <c r="AR89" s="904" t="str">
        <f>Uitslag!E89</f>
        <v>Duitsland</v>
      </c>
      <c r="AS89" s="905"/>
      <c r="AT89" s="906"/>
      <c r="AU89" s="352">
        <f>SUM(AV89:AX89)</f>
        <v>50</v>
      </c>
      <c r="AV89" s="352">
        <f>IF(AR89=0,0,IF(E89=AR89,50,0))</f>
        <v>50</v>
      </c>
      <c r="AW89" s="352">
        <f>IF(E89=0,0,IF(OR(E89=AR90),15,0))</f>
        <v>0</v>
      </c>
      <c r="AX89" s="352">
        <f>IF(E89=0,0,IF(OR(E89=AR91,E89=AR92),5,0))</f>
        <v>0</v>
      </c>
    </row>
    <row r="90" spans="2:50">
      <c r="C90" s="870">
        <v>2</v>
      </c>
      <c r="D90" s="871"/>
      <c r="E90" s="872" t="str">
        <f>IF(J86=2,D86,IF(J86=1,F86,"Wie wordt 2de?"))</f>
        <v>Spanje</v>
      </c>
      <c r="F90" s="872"/>
      <c r="G90" s="872"/>
      <c r="H90" s="872"/>
      <c r="I90" s="872"/>
      <c r="J90" s="872"/>
      <c r="V90" s="352" t="s">
        <v>135</v>
      </c>
      <c r="W90" s="352" t="s">
        <v>200</v>
      </c>
      <c r="X90" s="352" t="str">
        <f t="shared" si="11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 s="352">
        <f>SUM(AV90:AX90)</f>
        <v>0</v>
      </c>
      <c r="AV90" s="352">
        <f>IF(AR90=0,0,IF(AR90=E90,25,0))</f>
        <v>0</v>
      </c>
      <c r="AW90" s="352">
        <f>IF(E90=0,0,IF(OR(E90=AR89,),15,0))</f>
        <v>0</v>
      </c>
      <c r="AX90" s="352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Italië</v>
      </c>
      <c r="F91" s="872"/>
      <c r="G91" s="872"/>
      <c r="H91" s="872"/>
      <c r="I91" s="872"/>
      <c r="J91" s="872"/>
      <c r="V91" s="352" t="s">
        <v>135</v>
      </c>
      <c r="W91" s="352" t="s">
        <v>128</v>
      </c>
      <c r="X91" s="352" t="str">
        <f t="shared" si="11"/>
        <v>Jürgen Locadia (a)</v>
      </c>
      <c r="AP91" s="109">
        <f>AU91</f>
        <v>0</v>
      </c>
      <c r="AQ91" s="131">
        <v>3</v>
      </c>
      <c r="AR91" s="904" t="str">
        <f>Uitslag!E91</f>
        <v>Nederland</v>
      </c>
      <c r="AS91" s="905"/>
      <c r="AT91" s="906"/>
      <c r="AU91" s="352">
        <f>SUM(AV91:AX91)</f>
        <v>0</v>
      </c>
      <c r="AV91" s="352">
        <f>IF(AR91=0,0,IF(AR91=E91,15,0))</f>
        <v>0</v>
      </c>
      <c r="AW91" s="352">
        <f>IF(E91=0,0,IF(OR(E91=AR92),10,0))</f>
        <v>0</v>
      </c>
      <c r="AX91" s="352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Argentinië</v>
      </c>
      <c r="F92" s="872"/>
      <c r="G92" s="872"/>
      <c r="H92" s="872"/>
      <c r="I92" s="872"/>
      <c r="J92" s="872"/>
      <c r="V92" s="352" t="s">
        <v>135</v>
      </c>
      <c r="W92" s="352" t="s">
        <v>127</v>
      </c>
      <c r="X92" s="352" t="str">
        <f t="shared" si="11"/>
        <v>Memphis Depay (a)</v>
      </c>
      <c r="AP92" s="109">
        <f>AU92</f>
        <v>5</v>
      </c>
      <c r="AQ92" s="131">
        <v>4</v>
      </c>
      <c r="AR92" s="904" t="str">
        <f>Uitslag!E92</f>
        <v>Brazilië</v>
      </c>
      <c r="AS92" s="905"/>
      <c r="AT92" s="906"/>
      <c r="AU92" s="352">
        <f>SUM(AV92:AX92)</f>
        <v>5</v>
      </c>
      <c r="AV92" s="352">
        <f>IF(AR92=0,0,IF(AR92=E92,15,0))</f>
        <v>0</v>
      </c>
      <c r="AW92" s="352">
        <f>IF(E92=0,0,IF(OR(E92=AR91,),10,0))</f>
        <v>0</v>
      </c>
      <c r="AX92" s="352">
        <f>IF(E92=0,0,IF(OR(E92=AR89,E92=AR90),5,0))</f>
        <v>5</v>
      </c>
    </row>
    <row r="93" spans="2:50" ht="15.75" thickBot="1">
      <c r="V93" s="352" t="s">
        <v>135</v>
      </c>
      <c r="W93" s="352" t="s">
        <v>123</v>
      </c>
      <c r="X93" s="352" t="str">
        <f t="shared" si="11"/>
        <v>Quincy Promes (a)</v>
      </c>
      <c r="AS93" s="132"/>
      <c r="AU93" s="133">
        <f>SUM(AU89:AU92)</f>
        <v>55</v>
      </c>
    </row>
    <row r="94" spans="2:50" ht="15.75" thickTop="1">
      <c r="V94" s="352" t="s">
        <v>135</v>
      </c>
      <c r="W94" s="352" t="s">
        <v>122</v>
      </c>
      <c r="X94" s="352" t="str">
        <f t="shared" si="11"/>
        <v>Luc Castaignos (a)</v>
      </c>
    </row>
    <row r="95" spans="2:50">
      <c r="V95" s="352" t="s">
        <v>135</v>
      </c>
      <c r="W95" s="352" t="s">
        <v>113</v>
      </c>
      <c r="X95" s="352" t="str">
        <f t="shared" si="11"/>
        <v>Jean-Paul Boëtius (a)</v>
      </c>
    </row>
    <row r="96" spans="2:50">
      <c r="V96" s="352" t="s">
        <v>135</v>
      </c>
      <c r="W96" s="352" t="s">
        <v>129</v>
      </c>
      <c r="X96" s="352" t="str">
        <f t="shared" si="11"/>
        <v>Luciano Narsingh (a)</v>
      </c>
    </row>
    <row r="97" spans="22:24">
      <c r="V97" s="352" t="s">
        <v>135</v>
      </c>
      <c r="W97" s="352" t="s">
        <v>130</v>
      </c>
      <c r="X97" s="352" t="str">
        <f t="shared" si="11"/>
        <v>Robin van Persie (a)</v>
      </c>
    </row>
    <row r="98" spans="22:24">
      <c r="V98" s="352" t="s">
        <v>135</v>
      </c>
      <c r="W98" s="352" t="s">
        <v>131</v>
      </c>
      <c r="X98" s="352" t="str">
        <f t="shared" si="11"/>
        <v>Arjen Robben (a)</v>
      </c>
    </row>
  </sheetData>
  <mergeCells count="36">
    <mergeCell ref="C91:D91"/>
    <mergeCell ref="E91:J91"/>
    <mergeCell ref="AR91:AT91"/>
    <mergeCell ref="C92:D92"/>
    <mergeCell ref="E92:J92"/>
    <mergeCell ref="AR92:AT92"/>
    <mergeCell ref="C89:D89"/>
    <mergeCell ref="E89:J89"/>
    <mergeCell ref="AR89:AT89"/>
    <mergeCell ref="C90:D90"/>
    <mergeCell ref="E90:J90"/>
    <mergeCell ref="AR90:AT90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</mergeCells>
  <conditionalFormatting sqref="AO9:AO12 AO15:AO18 AO21:AO24 AO27:AO30 AO33:AO36 AO39:AO42 AO45:AO48 AO51:AO54">
    <cfRule type="cellIs" dxfId="17" priority="3" operator="equal">
      <formula>10</formula>
    </cfRule>
  </conditionalFormatting>
  <conditionalFormatting sqref="P58:T58">
    <cfRule type="duplicateValues" dxfId="16" priority="2"/>
  </conditionalFormatting>
  <conditionalFormatting sqref="P58:T68">
    <cfRule type="duplicateValues" dxfId="15" priority="1"/>
  </conditionalFormatting>
  <dataValidations count="10">
    <dataValidation type="list" allowBlank="1" showInputMessage="1" showErrorMessage="1" sqref="T51:T54">
      <formula1>$W$51:$W$54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P58:P68">
      <formula1>$X$58:$X$98</formula1>
    </dataValidation>
  </dataValidation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>
  <dimension ref="B1:BB98"/>
  <sheetViews>
    <sheetView topLeftCell="A40" zoomScale="70" zoomScaleNormal="70" workbookViewId="0">
      <selection activeCell="P58" sqref="P58:T68"/>
    </sheetView>
  </sheetViews>
  <sheetFormatPr defaultRowHeight="15" outlineLevelCol="2"/>
  <cols>
    <col min="1" max="1" width="3.42578125" style="352" customWidth="1"/>
    <col min="2" max="2" width="3.5703125" style="352" bestFit="1" customWidth="1"/>
    <col min="3" max="3" width="11.5703125" style="123" bestFit="1" customWidth="1"/>
    <col min="4" max="4" width="19.7109375" style="352" bestFit="1" customWidth="1"/>
    <col min="5" max="5" width="3.42578125" style="352" customWidth="1"/>
    <col min="6" max="6" width="19.7109375" style="352" bestFit="1" customWidth="1"/>
    <col min="7" max="7" width="6.7109375" style="352" customWidth="1"/>
    <col min="8" max="8" width="1.5703125" style="352" bestFit="1" customWidth="1"/>
    <col min="9" max="9" width="6.7109375" style="352" customWidth="1"/>
    <col min="10" max="10" width="6.85546875" style="352" bestFit="1" customWidth="1"/>
    <col min="11" max="13" width="9.140625" style="352" hidden="1" customWidth="1" outlineLevel="1"/>
    <col min="14" max="14" width="11.42578125" style="352" bestFit="1" customWidth="1" collapsed="1"/>
    <col min="15" max="15" width="14.7109375" style="352" bestFit="1" customWidth="1"/>
    <col min="16" max="16" width="12.28515625" style="352" bestFit="1" customWidth="1"/>
    <col min="17" max="17" width="8.140625" style="352" bestFit="1" customWidth="1"/>
    <col min="18" max="18" width="7.7109375" style="352" bestFit="1" customWidth="1"/>
    <col min="19" max="19" width="9.140625" style="352"/>
    <col min="20" max="20" width="8.5703125" style="352" bestFit="1" customWidth="1"/>
    <col min="21" max="21" width="9.140625" style="352"/>
    <col min="22" max="23" width="9.140625" style="352" hidden="1" customWidth="1" outlineLevel="1"/>
    <col min="24" max="24" width="2" style="352" hidden="1" customWidth="1" outlineLevel="1"/>
    <col min="25" max="25" width="12.28515625" style="352" bestFit="1" customWidth="1" collapsed="1"/>
    <col min="26" max="27" width="12.28515625" style="352" hidden="1" customWidth="1" outlineLevel="1"/>
    <col min="28" max="28" width="4.7109375" style="352" hidden="1" customWidth="1" outlineLevel="1"/>
    <col min="29" max="38" width="9.140625" style="352" hidden="1" customWidth="1" outlineLevel="1"/>
    <col min="39" max="39" width="7.42578125" style="352" bestFit="1" customWidth="1" collapsed="1"/>
    <col min="40" max="40" width="19.7109375" style="352" hidden="1" customWidth="1" outlineLevel="1"/>
    <col min="41" max="41" width="9.140625" style="352" hidden="1" customWidth="1" outlineLevel="1"/>
    <col min="42" max="42" width="9.140625" style="352" collapsed="1"/>
    <col min="43" max="49" width="9.140625" style="352" hidden="1" customWidth="1" outlineLevel="2"/>
    <col min="50" max="50" width="11.5703125" style="352" hidden="1" customWidth="1" outlineLevel="2"/>
    <col min="51" max="51" width="11.85546875" style="352" hidden="1" customWidth="1" outlineLevel="1" collapsed="1"/>
    <col min="52" max="52" width="9.42578125" style="352" hidden="1" customWidth="1" outlineLevel="1"/>
    <col min="53" max="53" width="10.5703125" style="352" hidden="1" customWidth="1" outlineLevel="1"/>
    <col min="54" max="54" width="9.140625" style="352" collapsed="1"/>
    <col min="55" max="55" width="11.85546875" style="352" bestFit="1" customWidth="1"/>
    <col min="56" max="16384" width="9.140625" style="352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318</v>
      </c>
      <c r="E3" s="335"/>
      <c r="F3" s="335"/>
      <c r="N3" s="352" t="str">
        <f>D3</f>
        <v>Marina P.</v>
      </c>
      <c r="O3" s="144">
        <f>SUM(P3:S3)</f>
        <v>398</v>
      </c>
      <c r="P3" s="109">
        <f>SUM(Y8:Y86)</f>
        <v>193</v>
      </c>
      <c r="Q3" s="109">
        <f>SUM(AM4:AM55)</f>
        <v>160</v>
      </c>
      <c r="R3" s="109">
        <f>SUM(AP89:AP92)</f>
        <v>15</v>
      </c>
      <c r="S3" s="109">
        <f>SUM(BB58:BB69)</f>
        <v>30</v>
      </c>
      <c r="T3" s="109">
        <f>COUNTIF(AF8:AF86,10)</f>
        <v>4</v>
      </c>
      <c r="U3" s="109" t="str">
        <f>E89</f>
        <v>Brazilië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O6" s="392"/>
      <c r="P6" s="393"/>
      <c r="Q6" s="393"/>
      <c r="R6" s="393"/>
      <c r="S6" s="393"/>
      <c r="T6" s="393"/>
      <c r="U6" s="392"/>
      <c r="V6" s="392"/>
      <c r="W6" s="392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80" t="s">
        <v>3</v>
      </c>
      <c r="E7" s="419"/>
      <c r="F7" s="481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O7" s="353"/>
      <c r="P7" s="393"/>
      <c r="Q7" s="393"/>
      <c r="R7" s="393"/>
      <c r="S7" s="393"/>
      <c r="T7" s="393"/>
      <c r="U7" s="353"/>
      <c r="V7" s="353"/>
      <c r="W7" s="353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458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2</v>
      </c>
      <c r="H8" s="360" t="s">
        <v>9</v>
      </c>
      <c r="I8" s="478">
        <v>1</v>
      </c>
      <c r="J8" s="362">
        <f t="shared" ref="J8:J55" si="0">IF(I8="","",IF(G8&gt;I8,1,IF(G8&lt;I8,2,3)))</f>
        <v>1</v>
      </c>
      <c r="K8" s="363">
        <f t="shared" ref="K8:K55" si="1">IF(I8="","",IF($G8&gt;$I8,3,IF($G8=$I8,1,0)))</f>
        <v>3</v>
      </c>
      <c r="L8" s="363">
        <f t="shared" ref="L8:L55" si="2">IF(I8="","",IF($G8&lt;$I8,3,IF($G8=$I8,1,0)))</f>
        <v>0</v>
      </c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392"/>
      <c r="V8" s="392"/>
      <c r="W8" s="392"/>
      <c r="Y8" s="109">
        <f>AF8</f>
        <v>6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6</v>
      </c>
      <c r="AG8" s="108">
        <f t="shared" ref="AG8:AG55" si="3">IF(AC8="",0,(IF(G8=AC8,1,0)))</f>
        <v>0</v>
      </c>
      <c r="AH8" s="108">
        <f t="shared" ref="AH8:AH55" si="4">IF(AD8="",0,(IF(I8=AD8,1,0)))</f>
        <v>1</v>
      </c>
      <c r="AI8" s="108">
        <f>IF(AND(AG8=1,AH8=1),10,0)</f>
        <v>0</v>
      </c>
      <c r="AJ8" s="108">
        <f t="shared" ref="AJ8:AJ55" si="5">IF(AND(G8&gt;I8,AC8&gt;AD8),5,0)</f>
        <v>5</v>
      </c>
      <c r="AK8" s="108">
        <f t="shared" ref="AK8:AK55" si="6">IF(AND(G8&lt;I8,AC8&lt;AD8),5,0)</f>
        <v>0</v>
      </c>
      <c r="AL8" s="108">
        <f t="shared" ref="AL8:AL55" si="7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2</v>
      </c>
      <c r="H9" s="367" t="s">
        <v>9</v>
      </c>
      <c r="I9" s="440">
        <v>0</v>
      </c>
      <c r="J9" s="369">
        <f t="shared" si="0"/>
        <v>1</v>
      </c>
      <c r="K9" s="363">
        <f t="shared" si="1"/>
        <v>3</v>
      </c>
      <c r="L9" s="363">
        <f t="shared" si="2"/>
        <v>0</v>
      </c>
      <c r="O9" s="394" t="s">
        <v>8</v>
      </c>
      <c r="P9" s="395">
        <f>SUMIF($D$8:$D$55,$O9,$G$8:$G$55)+SUMIF($F$8:$F$55,$O9,$I$8:$I$55)</f>
        <v>7</v>
      </c>
      <c r="Q9" s="395">
        <f>SUMIF($D$8:$D$55,$O9,$I$8:$I$55)+SUMIF($F$8:$F$55,$O9,$G$8:$G$55)</f>
        <v>3</v>
      </c>
      <c r="R9" s="396">
        <f>P9-Q9</f>
        <v>4</v>
      </c>
      <c r="S9" s="397">
        <f>SUMIF($D$8:$D$55,$O9,$K$8:$K$55)+SUMIF($F$8:$F$55,$O9,$L$8:$L$55)</f>
        <v>9</v>
      </c>
      <c r="T9" s="444" t="s">
        <v>48</v>
      </c>
      <c r="U9" s="392"/>
      <c r="V9" s="392" t="str">
        <f>O9</f>
        <v>Brazilië</v>
      </c>
      <c r="W9" s="392" t="s">
        <v>48</v>
      </c>
      <c r="Y9" s="109">
        <f t="shared" ref="Y9:Y55" si="8">AF9</f>
        <v>6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6</v>
      </c>
      <c r="AG9" s="108">
        <f t="shared" si="3"/>
        <v>0</v>
      </c>
      <c r="AH9" s="108">
        <f t="shared" si="4"/>
        <v>1</v>
      </c>
      <c r="AI9" s="108">
        <f t="shared" ref="AI9:AI55" si="10">IF(AND(AG9=1,AH9=1),10,0)</f>
        <v>0</v>
      </c>
      <c r="AJ9" s="108">
        <f t="shared" si="5"/>
        <v>5</v>
      </c>
      <c r="AK9" s="108">
        <f t="shared" si="6"/>
        <v>0</v>
      </c>
      <c r="AL9" s="108">
        <f t="shared" si="7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1</v>
      </c>
      <c r="H10" s="373" t="s">
        <v>9</v>
      </c>
      <c r="I10" s="441">
        <v>1</v>
      </c>
      <c r="J10" s="375">
        <f t="shared" si="0"/>
        <v>3</v>
      </c>
      <c r="K10" s="363">
        <f t="shared" si="1"/>
        <v>1</v>
      </c>
      <c r="L10" s="363">
        <f t="shared" si="2"/>
        <v>1</v>
      </c>
      <c r="O10" s="398" t="s">
        <v>10</v>
      </c>
      <c r="P10" s="399">
        <f>SUMIF($D$8:$D$55,$O10,$G$8:$G$55)+SUMIF($F$8:$F$55,$O10,$I$8:$I$55)</f>
        <v>4</v>
      </c>
      <c r="Q10" s="399">
        <f>SUMIF($D$8:$D$55,$O10,$I$8:$I$55)+SUMIF($F$8:$F$55,$O10,$G$8:$G$55)</f>
        <v>4</v>
      </c>
      <c r="R10" s="399">
        <f>P10-Q10</f>
        <v>0</v>
      </c>
      <c r="S10" s="400">
        <f>SUMIF($D$8:$D$55,$O10,$K$8:$K$55)+SUMIF($F$8:$F$55,$O10,$L$8:$L$55)</f>
        <v>4</v>
      </c>
      <c r="T10" s="445" t="s">
        <v>47</v>
      </c>
      <c r="U10" s="392"/>
      <c r="V10" s="392" t="str">
        <f>O10</f>
        <v>Kroatië</v>
      </c>
      <c r="W10" s="392" t="s">
        <v>49</v>
      </c>
      <c r="Y10" s="109">
        <f t="shared" si="8"/>
        <v>1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1</v>
      </c>
      <c r="AG10" s="108">
        <f t="shared" si="3"/>
        <v>1</v>
      </c>
      <c r="AH10" s="108">
        <f t="shared" si="4"/>
        <v>0</v>
      </c>
      <c r="AI10" s="108">
        <f t="shared" si="10"/>
        <v>0</v>
      </c>
      <c r="AJ10" s="108">
        <f t="shared" si="5"/>
        <v>0</v>
      </c>
      <c r="AK10" s="108">
        <f t="shared" si="6"/>
        <v>0</v>
      </c>
      <c r="AL10" s="108">
        <f t="shared" si="7"/>
        <v>0</v>
      </c>
      <c r="AM10" s="120">
        <f>AO10</f>
        <v>10</v>
      </c>
      <c r="AN10" s="117" t="s">
        <v>10</v>
      </c>
      <c r="AO10" s="115">
        <f>IF(Uitslag!T10="",0,IF(T10=Uitslag!T10,10,0))</f>
        <v>10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2</v>
      </c>
      <c r="H11" s="379" t="s">
        <v>9</v>
      </c>
      <c r="I11" s="442">
        <v>1</v>
      </c>
      <c r="J11" s="381">
        <f t="shared" si="0"/>
        <v>1</v>
      </c>
      <c r="K11" s="363">
        <f t="shared" si="1"/>
        <v>3</v>
      </c>
      <c r="L11" s="363">
        <f t="shared" si="2"/>
        <v>0</v>
      </c>
      <c r="O11" s="398" t="s">
        <v>11</v>
      </c>
      <c r="P11" s="399">
        <f>SUMIF($D$8:$D$55,$O11,$G$8:$G$55)+SUMIF($F$8:$F$55,$O11,$I$8:$I$55)</f>
        <v>4</v>
      </c>
      <c r="Q11" s="399">
        <f>SUMIF($D$8:$D$55,$O11,$I$8:$I$55)+SUMIF($F$8:$F$55,$O11,$G$8:$G$55)</f>
        <v>4</v>
      </c>
      <c r="R11" s="399">
        <f>P11-Q11</f>
        <v>0</v>
      </c>
      <c r="S11" s="400">
        <f>SUMIF($D$8:$D$55,$O11,$K$8:$K$55)+SUMIF($F$8:$F$55,$O11,$L$8:$L$55)</f>
        <v>4</v>
      </c>
      <c r="T11" s="445" t="s">
        <v>49</v>
      </c>
      <c r="U11" s="392"/>
      <c r="V11" s="392" t="str">
        <f>O11</f>
        <v>Mexico</v>
      </c>
      <c r="W11" s="392" t="s">
        <v>47</v>
      </c>
      <c r="Y11" s="109">
        <f t="shared" si="8"/>
        <v>6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6</v>
      </c>
      <c r="AG11" s="108">
        <f t="shared" si="3"/>
        <v>0</v>
      </c>
      <c r="AH11" s="108">
        <f t="shared" si="4"/>
        <v>1</v>
      </c>
      <c r="AI11" s="108">
        <f t="shared" si="10"/>
        <v>0</v>
      </c>
      <c r="AJ11" s="108">
        <f t="shared" si="5"/>
        <v>5</v>
      </c>
      <c r="AK11" s="108">
        <f t="shared" si="6"/>
        <v>0</v>
      </c>
      <c r="AL11" s="108">
        <f t="shared" si="7"/>
        <v>0</v>
      </c>
      <c r="AM11" s="120">
        <f>AO11</f>
        <v>10</v>
      </c>
      <c r="AN11" s="117" t="s">
        <v>11</v>
      </c>
      <c r="AO11" s="115">
        <f>IF(Uitslag!T11="",0,IF(T11=Uitslag!T11,10,0))</f>
        <v>10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1</v>
      </c>
      <c r="H12" s="367" t="s">
        <v>9</v>
      </c>
      <c r="I12" s="440">
        <v>0</v>
      </c>
      <c r="J12" s="369">
        <f t="shared" si="0"/>
        <v>1</v>
      </c>
      <c r="K12" s="363">
        <f t="shared" si="1"/>
        <v>3</v>
      </c>
      <c r="L12" s="363">
        <f t="shared" si="2"/>
        <v>0</v>
      </c>
      <c r="O12" s="401" t="s">
        <v>12</v>
      </c>
      <c r="P12" s="402">
        <f>SUMIF($D$8:$D$55,$O12,$G$8:$G$55)+SUMIF($F$8:$F$55,$O12,$I$8:$I$55)</f>
        <v>2</v>
      </c>
      <c r="Q12" s="402">
        <f>SUMIF($D$8:$D$55,$O12,$I$8:$I$55)+SUMIF($F$8:$F$55,$O12,$G$8:$G$55)</f>
        <v>6</v>
      </c>
      <c r="R12" s="402">
        <f>P12-Q12</f>
        <v>-4</v>
      </c>
      <c r="S12" s="403">
        <f>SUMIF($D$8:$D$55,$O12,$K$8:$K$55)+SUMIF($F$8:$F$55,$O12,$L$8:$L$55)</f>
        <v>0</v>
      </c>
      <c r="T12" s="446" t="s">
        <v>50</v>
      </c>
      <c r="U12" s="392"/>
      <c r="V12" s="392" t="str">
        <f>O12</f>
        <v>Kameroen</v>
      </c>
      <c r="W12" s="392" t="s">
        <v>50</v>
      </c>
      <c r="Y12" s="109">
        <f t="shared" si="8"/>
        <v>6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6</v>
      </c>
      <c r="AG12" s="108">
        <f t="shared" si="3"/>
        <v>0</v>
      </c>
      <c r="AH12" s="108">
        <f t="shared" si="4"/>
        <v>1</v>
      </c>
      <c r="AI12" s="108">
        <f t="shared" si="10"/>
        <v>0</v>
      </c>
      <c r="AJ12" s="108">
        <f t="shared" si="5"/>
        <v>5</v>
      </c>
      <c r="AK12" s="108">
        <f t="shared" si="6"/>
        <v>0</v>
      </c>
      <c r="AL12" s="108">
        <f t="shared" si="7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2</v>
      </c>
      <c r="H13" s="373" t="s">
        <v>9</v>
      </c>
      <c r="I13" s="441">
        <v>0</v>
      </c>
      <c r="J13" s="375">
        <f t="shared" si="0"/>
        <v>1</v>
      </c>
      <c r="K13" s="363">
        <f t="shared" si="1"/>
        <v>3</v>
      </c>
      <c r="L13" s="363">
        <f t="shared" si="2"/>
        <v>0</v>
      </c>
      <c r="O13" s="392"/>
      <c r="P13" s="393"/>
      <c r="Q13" s="393"/>
      <c r="R13" s="393"/>
      <c r="S13" s="393"/>
      <c r="T13" s="393"/>
      <c r="U13" s="392"/>
      <c r="V13" s="392"/>
      <c r="W13" s="392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3"/>
        <v>0</v>
      </c>
      <c r="AH13" s="108">
        <f t="shared" si="4"/>
        <v>0</v>
      </c>
      <c r="AI13" s="108">
        <f t="shared" si="10"/>
        <v>0</v>
      </c>
      <c r="AJ13" s="108">
        <f t="shared" si="5"/>
        <v>0</v>
      </c>
      <c r="AK13" s="108">
        <f t="shared" si="6"/>
        <v>0</v>
      </c>
      <c r="AL13" s="108">
        <f t="shared" si="7"/>
        <v>0</v>
      </c>
      <c r="AN13" s="392"/>
      <c r="AO13" s="393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1</v>
      </c>
      <c r="H14" s="373" t="s">
        <v>9</v>
      </c>
      <c r="I14" s="441">
        <v>1</v>
      </c>
      <c r="J14" s="375">
        <f t="shared" si="0"/>
        <v>3</v>
      </c>
      <c r="K14" s="363">
        <f t="shared" si="1"/>
        <v>1</v>
      </c>
      <c r="L14" s="363">
        <f t="shared" si="2"/>
        <v>1</v>
      </c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392"/>
      <c r="V14" s="392"/>
      <c r="W14" s="392"/>
      <c r="Y14" s="109">
        <f t="shared" si="8"/>
        <v>1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</v>
      </c>
      <c r="AG14" s="108">
        <f t="shared" si="3"/>
        <v>1</v>
      </c>
      <c r="AH14" s="108">
        <f t="shared" si="4"/>
        <v>0</v>
      </c>
      <c r="AI14" s="108">
        <f t="shared" si="10"/>
        <v>0</v>
      </c>
      <c r="AJ14" s="108">
        <f t="shared" si="5"/>
        <v>0</v>
      </c>
      <c r="AK14" s="108">
        <f t="shared" si="6"/>
        <v>0</v>
      </c>
      <c r="AL14" s="108">
        <f t="shared" si="7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1</v>
      </c>
      <c r="H15" s="379" t="s">
        <v>9</v>
      </c>
      <c r="I15" s="442">
        <v>2</v>
      </c>
      <c r="J15" s="381">
        <f t="shared" si="0"/>
        <v>2</v>
      </c>
      <c r="K15" s="363">
        <f t="shared" si="1"/>
        <v>0</v>
      </c>
      <c r="L15" s="363">
        <f t="shared" si="2"/>
        <v>3</v>
      </c>
      <c r="O15" s="394" t="s">
        <v>13</v>
      </c>
      <c r="P15" s="395">
        <f>SUMIF($D$8:$D$55,$O15,$G$8:$G$55)+SUMIF($F$8:$F$55,$O15,$I$8:$I$55)</f>
        <v>3</v>
      </c>
      <c r="Q15" s="395">
        <f>SUMIF($D$8:$D$55,$O15,$I$8:$I$55)+SUMIF($F$8:$F$55,$O15,$G$8:$G$55)</f>
        <v>3</v>
      </c>
      <c r="R15" s="396">
        <f>P15-Q15</f>
        <v>0</v>
      </c>
      <c r="S15" s="397">
        <f>SUMIF($D$8:$D$55,$O15,$K$8:$K$55)+SUMIF($F$8:$F$55,$O15,$L$8:$L$55)</f>
        <v>3</v>
      </c>
      <c r="T15" s="444" t="s">
        <v>54</v>
      </c>
      <c r="U15" s="392"/>
      <c r="V15" s="392" t="str">
        <f>O15</f>
        <v>Spanje</v>
      </c>
      <c r="W15" s="392" t="s">
        <v>52</v>
      </c>
      <c r="Y15" s="109">
        <f t="shared" si="8"/>
        <v>0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0</v>
      </c>
      <c r="AG15" s="108">
        <f t="shared" si="3"/>
        <v>0</v>
      </c>
      <c r="AH15" s="108">
        <f t="shared" si="4"/>
        <v>0</v>
      </c>
      <c r="AI15" s="108">
        <f t="shared" si="10"/>
        <v>0</v>
      </c>
      <c r="AJ15" s="108">
        <f t="shared" si="5"/>
        <v>0</v>
      </c>
      <c r="AK15" s="108">
        <f t="shared" si="6"/>
        <v>0</v>
      </c>
      <c r="AL15" s="108">
        <f t="shared" si="7"/>
        <v>0</v>
      </c>
      <c r="AM15" s="120">
        <f>AO15</f>
        <v>10</v>
      </c>
      <c r="AN15" s="116" t="s">
        <v>13</v>
      </c>
      <c r="AO15" s="115">
        <f>IF(Uitslag!T15="",0,IF(T15=Uitslag!T15,10,0))</f>
        <v>10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2</v>
      </c>
      <c r="H16" s="367" t="s">
        <v>9</v>
      </c>
      <c r="I16" s="440">
        <v>0</v>
      </c>
      <c r="J16" s="369">
        <f t="shared" si="0"/>
        <v>1</v>
      </c>
      <c r="K16" s="363">
        <f t="shared" si="1"/>
        <v>3</v>
      </c>
      <c r="L16" s="363">
        <f t="shared" si="2"/>
        <v>0</v>
      </c>
      <c r="O16" s="404" t="s">
        <v>14</v>
      </c>
      <c r="P16" s="399">
        <f>SUMIF($D$8:$D$55,$O16,$G$8:$G$55)+SUMIF($F$8:$F$55,$O16,$I$8:$I$55)</f>
        <v>4</v>
      </c>
      <c r="Q16" s="399">
        <f>SUMIF($D$8:$D$55,$O16,$I$8:$I$55)+SUMIF($F$8:$F$55,$O16,$G$8:$G$55)</f>
        <v>4</v>
      </c>
      <c r="R16" s="399">
        <f>P16-Q16</f>
        <v>0</v>
      </c>
      <c r="S16" s="400">
        <f>SUMIF($D$8:$D$55,$O16,$K$8:$K$55)+SUMIF($F$8:$F$55,$O16,$L$8:$L$55)</f>
        <v>4</v>
      </c>
      <c r="T16" s="445" t="s">
        <v>53</v>
      </c>
      <c r="U16" s="392"/>
      <c r="V16" s="392" t="str">
        <f>O16</f>
        <v>Nederland</v>
      </c>
      <c r="W16" s="392" t="s">
        <v>53</v>
      </c>
      <c r="Y16" s="109">
        <f t="shared" si="8"/>
        <v>6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6</v>
      </c>
      <c r="AG16" s="108">
        <f t="shared" si="3"/>
        <v>1</v>
      </c>
      <c r="AH16" s="108">
        <f t="shared" si="4"/>
        <v>0</v>
      </c>
      <c r="AI16" s="108">
        <f t="shared" si="10"/>
        <v>0</v>
      </c>
      <c r="AJ16" s="108">
        <f t="shared" si="5"/>
        <v>5</v>
      </c>
      <c r="AK16" s="108">
        <f t="shared" si="6"/>
        <v>0</v>
      </c>
      <c r="AL16" s="108">
        <f t="shared" si="7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1</v>
      </c>
      <c r="H17" s="373" t="s">
        <v>9</v>
      </c>
      <c r="I17" s="441">
        <v>0</v>
      </c>
      <c r="J17" s="375">
        <f t="shared" si="0"/>
        <v>1</v>
      </c>
      <c r="K17" s="363">
        <f t="shared" si="1"/>
        <v>3</v>
      </c>
      <c r="L17" s="363">
        <f t="shared" si="2"/>
        <v>0</v>
      </c>
      <c r="O17" s="398" t="s">
        <v>15</v>
      </c>
      <c r="P17" s="399">
        <f>SUMIF($D$8:$D$55,$O17,$G$8:$G$55)+SUMIF($F$8:$F$55,$O17,$I$8:$I$55)</f>
        <v>5</v>
      </c>
      <c r="Q17" s="399">
        <f>SUMIF($D$8:$D$55,$O17,$I$8:$I$55)+SUMIF($F$8:$F$55,$O17,$G$8:$G$55)</f>
        <v>3</v>
      </c>
      <c r="R17" s="399">
        <f>P17-Q17</f>
        <v>2</v>
      </c>
      <c r="S17" s="400">
        <f>SUMIF($D$8:$D$55,$O17,$K$8:$K$55)+SUMIF($F$8:$F$55,$O17,$L$8:$L$55)</f>
        <v>7</v>
      </c>
      <c r="T17" s="445" t="s">
        <v>52</v>
      </c>
      <c r="U17" s="392"/>
      <c r="V17" s="392" t="str">
        <f>O17</f>
        <v>Chili</v>
      </c>
      <c r="W17" s="392" t="s">
        <v>54</v>
      </c>
      <c r="Y17" s="109">
        <f t="shared" si="8"/>
        <v>6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6</v>
      </c>
      <c r="AG17" s="108">
        <f t="shared" si="3"/>
        <v>0</v>
      </c>
      <c r="AH17" s="108">
        <f t="shared" si="4"/>
        <v>1</v>
      </c>
      <c r="AI17" s="108">
        <f t="shared" si="10"/>
        <v>0</v>
      </c>
      <c r="AJ17" s="108">
        <f t="shared" si="5"/>
        <v>5</v>
      </c>
      <c r="AK17" s="108">
        <f t="shared" si="6"/>
        <v>0</v>
      </c>
      <c r="AL17" s="108">
        <f t="shared" si="7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3</v>
      </c>
      <c r="H18" s="379" t="s">
        <v>9</v>
      </c>
      <c r="I18" s="442">
        <v>1</v>
      </c>
      <c r="J18" s="381">
        <f t="shared" si="0"/>
        <v>1</v>
      </c>
      <c r="K18" s="363">
        <f t="shared" si="1"/>
        <v>3</v>
      </c>
      <c r="L18" s="363">
        <f t="shared" si="2"/>
        <v>0</v>
      </c>
      <c r="O18" s="401" t="s">
        <v>16</v>
      </c>
      <c r="P18" s="402">
        <f>SUMIF($D$8:$D$55,$O18,$G$8:$G$55)+SUMIF($F$8:$F$55,$O18,$I$8:$I$55)</f>
        <v>3</v>
      </c>
      <c r="Q18" s="402">
        <f>SUMIF($D$8:$D$55,$O18,$I$8:$I$55)+SUMIF($F$8:$F$55,$O18,$G$8:$G$55)</f>
        <v>5</v>
      </c>
      <c r="R18" s="402">
        <f>P18-Q18</f>
        <v>-2</v>
      </c>
      <c r="S18" s="403">
        <f>SUMIF($D$8:$D$55,$O18,$K$8:$K$55)+SUMIF($F$8:$F$55,$O18,$L$8:$L$55)</f>
        <v>1</v>
      </c>
      <c r="T18" s="446" t="s">
        <v>55</v>
      </c>
      <c r="U18" s="392"/>
      <c r="V18" s="392" t="str">
        <f>O18</f>
        <v>Australië</v>
      </c>
      <c r="W18" s="392" t="s">
        <v>55</v>
      </c>
      <c r="Y18" s="109">
        <f t="shared" si="8"/>
        <v>6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6</v>
      </c>
      <c r="AG18" s="108">
        <f t="shared" si="3"/>
        <v>0</v>
      </c>
      <c r="AH18" s="108">
        <f t="shared" si="4"/>
        <v>1</v>
      </c>
      <c r="AI18" s="108">
        <f t="shared" si="10"/>
        <v>0</v>
      </c>
      <c r="AJ18" s="108">
        <f t="shared" si="5"/>
        <v>5</v>
      </c>
      <c r="AK18" s="108">
        <f t="shared" si="6"/>
        <v>0</v>
      </c>
      <c r="AL18" s="108">
        <f t="shared" si="7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2</v>
      </c>
      <c r="H19" s="367" t="s">
        <v>9</v>
      </c>
      <c r="I19" s="440">
        <v>1</v>
      </c>
      <c r="J19" s="369">
        <f t="shared" si="0"/>
        <v>1</v>
      </c>
      <c r="K19" s="363">
        <f t="shared" si="1"/>
        <v>3</v>
      </c>
      <c r="L19" s="363">
        <f t="shared" si="2"/>
        <v>0</v>
      </c>
      <c r="O19" s="392"/>
      <c r="P19" s="393"/>
      <c r="Q19" s="393"/>
      <c r="R19" s="393"/>
      <c r="S19" s="393"/>
      <c r="T19" s="393"/>
      <c r="U19" s="392"/>
      <c r="V19" s="392"/>
      <c r="W19" s="392"/>
      <c r="Y19" s="109">
        <f t="shared" si="8"/>
        <v>5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5</v>
      </c>
      <c r="AG19" s="108">
        <f t="shared" si="3"/>
        <v>0</v>
      </c>
      <c r="AH19" s="108">
        <f t="shared" si="4"/>
        <v>0</v>
      </c>
      <c r="AI19" s="108">
        <f t="shared" si="10"/>
        <v>0</v>
      </c>
      <c r="AJ19" s="108">
        <f t="shared" si="5"/>
        <v>5</v>
      </c>
      <c r="AK19" s="108">
        <f t="shared" si="6"/>
        <v>0</v>
      </c>
      <c r="AL19" s="108">
        <f t="shared" si="7"/>
        <v>0</v>
      </c>
      <c r="AN19" s="392"/>
      <c r="AO19" s="393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1</v>
      </c>
      <c r="H20" s="373" t="s">
        <v>9</v>
      </c>
      <c r="I20" s="441">
        <v>1</v>
      </c>
      <c r="J20" s="375">
        <f t="shared" si="0"/>
        <v>3</v>
      </c>
      <c r="K20" s="363">
        <f t="shared" si="1"/>
        <v>1</v>
      </c>
      <c r="L20" s="363">
        <f t="shared" si="2"/>
        <v>1</v>
      </c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392"/>
      <c r="V20" s="392"/>
      <c r="W20" s="392"/>
      <c r="Y20" s="109">
        <f t="shared" si="8"/>
        <v>5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5</v>
      </c>
      <c r="AG20" s="108">
        <f t="shared" si="3"/>
        <v>0</v>
      </c>
      <c r="AH20" s="108">
        <f t="shared" si="4"/>
        <v>0</v>
      </c>
      <c r="AI20" s="108">
        <f t="shared" si="10"/>
        <v>0</v>
      </c>
      <c r="AJ20" s="108">
        <f t="shared" si="5"/>
        <v>0</v>
      </c>
      <c r="AK20" s="108">
        <f t="shared" si="6"/>
        <v>0</v>
      </c>
      <c r="AL20" s="108">
        <f t="shared" si="7"/>
        <v>5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2</v>
      </c>
      <c r="H21" s="379" t="s">
        <v>9</v>
      </c>
      <c r="I21" s="442">
        <v>0</v>
      </c>
      <c r="J21" s="381">
        <f t="shared" si="0"/>
        <v>1</v>
      </c>
      <c r="K21" s="363">
        <f t="shared" si="1"/>
        <v>3</v>
      </c>
      <c r="L21" s="363">
        <f t="shared" si="2"/>
        <v>0</v>
      </c>
      <c r="O21" s="394" t="s">
        <v>17</v>
      </c>
      <c r="P21" s="395">
        <f>SUMIF($D$8:$D$55,$O21,$G$8:$G$55)+SUMIF($F$8:$F$55,$O21,$I$8:$I$55)</f>
        <v>2</v>
      </c>
      <c r="Q21" s="395">
        <f>SUMIF($D$8:$D$55,$O21,$I$8:$I$55)+SUMIF($F$8:$F$55,$O21,$G$8:$G$55)</f>
        <v>3</v>
      </c>
      <c r="R21" s="396">
        <f>P21-Q21</f>
        <v>-1</v>
      </c>
      <c r="S21" s="397">
        <f>SUMIF($D$8:$D$55,$O21,$K$8:$K$55)+SUMIF($F$8:$F$55,$O21,$L$8:$L$55)</f>
        <v>6</v>
      </c>
      <c r="T21" s="444" t="s">
        <v>58</v>
      </c>
      <c r="U21" s="392"/>
      <c r="V21" s="392" t="str">
        <f>O21</f>
        <v>Colombia</v>
      </c>
      <c r="W21" s="392" t="s">
        <v>57</v>
      </c>
      <c r="Y21" s="109">
        <f t="shared" si="8"/>
        <v>0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0</v>
      </c>
      <c r="AG21" s="108">
        <f t="shared" si="3"/>
        <v>0</v>
      </c>
      <c r="AH21" s="108">
        <f t="shared" si="4"/>
        <v>0</v>
      </c>
      <c r="AI21" s="108">
        <f t="shared" si="10"/>
        <v>0</v>
      </c>
      <c r="AJ21" s="108">
        <f t="shared" si="5"/>
        <v>0</v>
      </c>
      <c r="AK21" s="108">
        <f t="shared" si="6"/>
        <v>0</v>
      </c>
      <c r="AL21" s="108">
        <f t="shared" si="7"/>
        <v>0</v>
      </c>
      <c r="AM21" s="120">
        <f>AO21</f>
        <v>0</v>
      </c>
      <c r="AN21" s="116" t="s">
        <v>17</v>
      </c>
      <c r="AO21" s="115">
        <f>IF(Uitslag!T21="",0,IF(T21=Uitslag!T21,10,0))</f>
        <v>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2</v>
      </c>
      <c r="H22" s="367" t="s">
        <v>9</v>
      </c>
      <c r="I22" s="440">
        <v>1</v>
      </c>
      <c r="J22" s="369">
        <f t="shared" si="0"/>
        <v>1</v>
      </c>
      <c r="K22" s="363">
        <f t="shared" si="1"/>
        <v>3</v>
      </c>
      <c r="L22" s="363">
        <f t="shared" si="2"/>
        <v>0</v>
      </c>
      <c r="O22" s="398" t="s">
        <v>18</v>
      </c>
      <c r="P22" s="399">
        <f>SUMIF($D$8:$D$55,$O22,$G$8:$G$55)+SUMIF($F$8:$F$55,$O22,$I$8:$I$55)</f>
        <v>2</v>
      </c>
      <c r="Q22" s="399">
        <f>SUMIF($D$8:$D$55,$O22,$I$8:$I$55)+SUMIF($F$8:$F$55,$O22,$G$8:$G$55)</f>
        <v>4</v>
      </c>
      <c r="R22" s="399">
        <f>P22-Q22</f>
        <v>-2</v>
      </c>
      <c r="S22" s="400">
        <f>SUMIF($D$8:$D$55,$O22,$K$8:$K$55)+SUMIF($F$8:$F$55,$O22,$L$8:$L$55)</f>
        <v>1</v>
      </c>
      <c r="T22" s="445" t="s">
        <v>60</v>
      </c>
      <c r="U22" s="392"/>
      <c r="V22" s="392" t="str">
        <f>O22</f>
        <v>Griekenland</v>
      </c>
      <c r="W22" s="392" t="s">
        <v>58</v>
      </c>
      <c r="Y22" s="109">
        <f t="shared" si="8"/>
        <v>10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10</v>
      </c>
      <c r="AG22" s="108">
        <f t="shared" si="3"/>
        <v>1</v>
      </c>
      <c r="AH22" s="108">
        <f t="shared" si="4"/>
        <v>1</v>
      </c>
      <c r="AI22" s="108">
        <f t="shared" si="10"/>
        <v>10</v>
      </c>
      <c r="AJ22" s="108">
        <f t="shared" si="5"/>
        <v>5</v>
      </c>
      <c r="AK22" s="108">
        <f t="shared" si="6"/>
        <v>0</v>
      </c>
      <c r="AL22" s="108">
        <f t="shared" si="7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3</v>
      </c>
      <c r="H23" s="373" t="s">
        <v>9</v>
      </c>
      <c r="I23" s="441">
        <v>1</v>
      </c>
      <c r="J23" s="375">
        <f t="shared" si="0"/>
        <v>1</v>
      </c>
      <c r="K23" s="363">
        <f t="shared" si="1"/>
        <v>3</v>
      </c>
      <c r="L23" s="363">
        <f t="shared" si="2"/>
        <v>0</v>
      </c>
      <c r="O23" s="398" t="s">
        <v>23</v>
      </c>
      <c r="P23" s="399">
        <f>SUMIF($D$8:$D$55,$O23,$G$8:$G$55)+SUMIF($F$8:$F$55,$O23,$I$8:$I$55)</f>
        <v>2</v>
      </c>
      <c r="Q23" s="399">
        <f>SUMIF($D$8:$D$55,$O23,$I$8:$I$55)+SUMIF($F$8:$F$55,$O23,$G$8:$G$55)</f>
        <v>4</v>
      </c>
      <c r="R23" s="399">
        <f>P23-Q23</f>
        <v>-2</v>
      </c>
      <c r="S23" s="400">
        <f>SUMIF($D$8:$D$55,$O23,$K$8:$K$55)+SUMIF($F$8:$F$55,$O23,$L$8:$L$55)</f>
        <v>1</v>
      </c>
      <c r="T23" s="445" t="s">
        <v>59</v>
      </c>
      <c r="U23" s="392"/>
      <c r="V23" s="392" t="str">
        <f>O23</f>
        <v>Ivoorkust</v>
      </c>
      <c r="W23" s="392" t="s">
        <v>59</v>
      </c>
      <c r="Y23" s="109">
        <f t="shared" si="8"/>
        <v>0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0</v>
      </c>
      <c r="AG23" s="108">
        <f t="shared" si="3"/>
        <v>0</v>
      </c>
      <c r="AH23" s="108">
        <f t="shared" si="4"/>
        <v>0</v>
      </c>
      <c r="AI23" s="108">
        <f t="shared" si="10"/>
        <v>0</v>
      </c>
      <c r="AJ23" s="108">
        <f t="shared" si="5"/>
        <v>0</v>
      </c>
      <c r="AK23" s="108">
        <f t="shared" si="6"/>
        <v>0</v>
      </c>
      <c r="AL23" s="108">
        <f t="shared" si="7"/>
        <v>0</v>
      </c>
      <c r="AM23" s="120">
        <f>AO23</f>
        <v>10</v>
      </c>
      <c r="AN23" s="117" t="s">
        <v>23</v>
      </c>
      <c r="AO23" s="115">
        <f>IF(Uitslag!T23="",0,IF(T23=Uitslag!T23,10,0))</f>
        <v>10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2</v>
      </c>
      <c r="H24" s="379" t="s">
        <v>9</v>
      </c>
      <c r="I24" s="442">
        <v>0</v>
      </c>
      <c r="J24" s="381">
        <f t="shared" si="0"/>
        <v>1</v>
      </c>
      <c r="K24" s="363">
        <f t="shared" si="1"/>
        <v>3</v>
      </c>
      <c r="L24" s="363">
        <f t="shared" si="2"/>
        <v>0</v>
      </c>
      <c r="O24" s="401" t="s">
        <v>24</v>
      </c>
      <c r="P24" s="402">
        <f>SUMIF($D$8:$D$55,$O24,$G$8:$G$55)+SUMIF($F$8:$F$55,$O24,$I$8:$I$55)</f>
        <v>7</v>
      </c>
      <c r="Q24" s="402">
        <f>SUMIF($D$8:$D$55,$O24,$I$8:$I$55)+SUMIF($F$8:$F$55,$O24,$G$8:$G$55)</f>
        <v>2</v>
      </c>
      <c r="R24" s="402">
        <f>P24-Q24</f>
        <v>5</v>
      </c>
      <c r="S24" s="403">
        <f>SUMIF($D$8:$D$55,$O24,$K$8:$K$55)+SUMIF($F$8:$F$55,$O24,$L$8:$L$55)</f>
        <v>9</v>
      </c>
      <c r="T24" s="446" t="s">
        <v>57</v>
      </c>
      <c r="U24" s="392"/>
      <c r="V24" s="392" t="str">
        <f>O24</f>
        <v>Japan</v>
      </c>
      <c r="W24" s="392" t="s">
        <v>60</v>
      </c>
      <c r="Y24" s="109">
        <f t="shared" si="8"/>
        <v>0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0</v>
      </c>
      <c r="AG24" s="108">
        <f t="shared" si="3"/>
        <v>0</v>
      </c>
      <c r="AH24" s="108">
        <f t="shared" si="4"/>
        <v>0</v>
      </c>
      <c r="AI24" s="108">
        <f t="shared" si="10"/>
        <v>0</v>
      </c>
      <c r="AJ24" s="108">
        <f t="shared" si="5"/>
        <v>0</v>
      </c>
      <c r="AK24" s="108">
        <f t="shared" si="6"/>
        <v>0</v>
      </c>
      <c r="AL24" s="108">
        <f t="shared" si="7"/>
        <v>0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1</v>
      </c>
      <c r="H25" s="367" t="s">
        <v>9</v>
      </c>
      <c r="I25" s="440">
        <v>2</v>
      </c>
      <c r="J25" s="369">
        <f t="shared" si="0"/>
        <v>2</v>
      </c>
      <c r="K25" s="363">
        <f t="shared" si="1"/>
        <v>0</v>
      </c>
      <c r="L25" s="363">
        <f t="shared" si="2"/>
        <v>3</v>
      </c>
      <c r="O25" s="392"/>
      <c r="P25" s="393"/>
      <c r="Q25" s="393"/>
      <c r="R25" s="393"/>
      <c r="S25" s="393"/>
      <c r="T25" s="393"/>
      <c r="U25" s="392"/>
      <c r="V25" s="392"/>
      <c r="W25" s="392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3"/>
        <v>0</v>
      </c>
      <c r="AH25" s="108">
        <f t="shared" si="4"/>
        <v>0</v>
      </c>
      <c r="AI25" s="108">
        <f t="shared" si="10"/>
        <v>0</v>
      </c>
      <c r="AJ25" s="108">
        <f t="shared" si="5"/>
        <v>0</v>
      </c>
      <c r="AK25" s="108">
        <f t="shared" si="6"/>
        <v>5</v>
      </c>
      <c r="AL25" s="108">
        <f t="shared" si="7"/>
        <v>0</v>
      </c>
      <c r="AN25" s="392"/>
      <c r="AO25" s="393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1</v>
      </c>
      <c r="H26" s="373" t="s">
        <v>9</v>
      </c>
      <c r="I26" s="441">
        <v>1</v>
      </c>
      <c r="J26" s="375">
        <f t="shared" si="0"/>
        <v>3</v>
      </c>
      <c r="K26" s="363">
        <f t="shared" si="1"/>
        <v>1</v>
      </c>
      <c r="L26" s="363">
        <f t="shared" si="2"/>
        <v>1</v>
      </c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392"/>
      <c r="V26" s="392"/>
      <c r="W26" s="392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3"/>
        <v>0</v>
      </c>
      <c r="AH26" s="108">
        <f t="shared" si="4"/>
        <v>0</v>
      </c>
      <c r="AI26" s="108">
        <f t="shared" si="10"/>
        <v>0</v>
      </c>
      <c r="AJ26" s="108">
        <f t="shared" si="5"/>
        <v>0</v>
      </c>
      <c r="AK26" s="108">
        <f t="shared" si="6"/>
        <v>0</v>
      </c>
      <c r="AL26" s="108">
        <f t="shared" si="7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1</v>
      </c>
      <c r="H27" s="379" t="s">
        <v>9</v>
      </c>
      <c r="I27" s="442">
        <v>2</v>
      </c>
      <c r="J27" s="381">
        <f t="shared" si="0"/>
        <v>2</v>
      </c>
      <c r="K27" s="363">
        <f t="shared" si="1"/>
        <v>0</v>
      </c>
      <c r="L27" s="363">
        <f t="shared" si="2"/>
        <v>3</v>
      </c>
      <c r="O27" s="394" t="s">
        <v>19</v>
      </c>
      <c r="P27" s="395">
        <f>SUMIF($D$8:$D$55,$O27,$G$8:$G$55)+SUMIF($F$8:$F$55,$O27,$I$8:$I$55)</f>
        <v>7</v>
      </c>
      <c r="Q27" s="395">
        <f>SUMIF($D$8:$D$55,$O27,$I$8:$I$55)+SUMIF($F$8:$F$55,$O27,$G$8:$G$55)</f>
        <v>1</v>
      </c>
      <c r="R27" s="396">
        <f>P27-Q27</f>
        <v>6</v>
      </c>
      <c r="S27" s="397">
        <f>SUMIF($D$8:$D$55,$O27,$K$8:$K$55)+SUMIF($F$8:$F$55,$O27,$L$8:$L$55)</f>
        <v>9</v>
      </c>
      <c r="T27" s="444" t="s">
        <v>62</v>
      </c>
      <c r="U27" s="392"/>
      <c r="V27" s="392" t="str">
        <f>O27</f>
        <v>Uruguay</v>
      </c>
      <c r="W27" s="392" t="s">
        <v>62</v>
      </c>
      <c r="Y27" s="109">
        <f t="shared" si="8"/>
        <v>5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5</v>
      </c>
      <c r="AG27" s="108">
        <f t="shared" si="3"/>
        <v>0</v>
      </c>
      <c r="AH27" s="108">
        <f t="shared" si="4"/>
        <v>0</v>
      </c>
      <c r="AI27" s="108">
        <f t="shared" si="10"/>
        <v>0</v>
      </c>
      <c r="AJ27" s="108">
        <f t="shared" si="5"/>
        <v>0</v>
      </c>
      <c r="AK27" s="108">
        <f t="shared" si="6"/>
        <v>5</v>
      </c>
      <c r="AL27" s="108">
        <f t="shared" si="7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1</v>
      </c>
      <c r="H28" s="367" t="s">
        <v>9</v>
      </c>
      <c r="I28" s="440">
        <v>0</v>
      </c>
      <c r="J28" s="369">
        <f t="shared" si="0"/>
        <v>1</v>
      </c>
      <c r="K28" s="363">
        <f t="shared" si="1"/>
        <v>3</v>
      </c>
      <c r="L28" s="363">
        <f t="shared" si="2"/>
        <v>0</v>
      </c>
      <c r="O28" s="398" t="s">
        <v>20</v>
      </c>
      <c r="P28" s="399">
        <f>SUMIF($D$8:$D$55,$O28,$G$8:$G$55)+SUMIF($F$8:$F$55,$O28,$I$8:$I$55)</f>
        <v>1</v>
      </c>
      <c r="Q28" s="399">
        <f>SUMIF($D$8:$D$55,$O28,$I$8:$I$55)+SUMIF($F$8:$F$55,$O28,$G$8:$G$55)</f>
        <v>3</v>
      </c>
      <c r="R28" s="399">
        <f>P28-Q28</f>
        <v>-2</v>
      </c>
      <c r="S28" s="400">
        <f>SUMIF($D$8:$D$55,$O28,$K$8:$K$55)+SUMIF($F$8:$F$55,$O28,$L$8:$L$55)</f>
        <v>3</v>
      </c>
      <c r="T28" s="445" t="s">
        <v>64</v>
      </c>
      <c r="U28" s="392"/>
      <c r="V28" s="392" t="str">
        <f>O28</f>
        <v>Costa Rica</v>
      </c>
      <c r="W28" s="392" t="s">
        <v>63</v>
      </c>
      <c r="Y28" s="109">
        <f t="shared" si="8"/>
        <v>5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5</v>
      </c>
      <c r="AG28" s="108">
        <f t="shared" si="3"/>
        <v>0</v>
      </c>
      <c r="AH28" s="108">
        <f t="shared" si="4"/>
        <v>0</v>
      </c>
      <c r="AI28" s="108">
        <f t="shared" si="10"/>
        <v>0</v>
      </c>
      <c r="AJ28" s="108">
        <f t="shared" si="5"/>
        <v>5</v>
      </c>
      <c r="AK28" s="108">
        <f t="shared" si="6"/>
        <v>0</v>
      </c>
      <c r="AL28" s="108">
        <f t="shared" si="7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2</v>
      </c>
      <c r="H29" s="373" t="s">
        <v>9</v>
      </c>
      <c r="I29" s="441">
        <v>0</v>
      </c>
      <c r="J29" s="375">
        <f t="shared" si="0"/>
        <v>1</v>
      </c>
      <c r="K29" s="363">
        <f t="shared" si="1"/>
        <v>3</v>
      </c>
      <c r="L29" s="363">
        <f t="shared" si="2"/>
        <v>0</v>
      </c>
      <c r="O29" s="398" t="s">
        <v>21</v>
      </c>
      <c r="P29" s="399">
        <f>SUMIF($D$8:$D$55,$O29,$G$8:$G$55)+SUMIF($F$8:$F$55,$O29,$I$8:$I$55)</f>
        <v>1</v>
      </c>
      <c r="Q29" s="399">
        <f>SUMIF($D$8:$D$55,$O29,$I$8:$I$55)+SUMIF($F$8:$F$55,$O29,$G$8:$G$55)</f>
        <v>4</v>
      </c>
      <c r="R29" s="399">
        <f>P29-Q29</f>
        <v>-3</v>
      </c>
      <c r="S29" s="400">
        <f>SUMIF($D$8:$D$55,$O29,$K$8:$K$55)+SUMIF($F$8:$F$55,$O29,$L$8:$L$55)</f>
        <v>1</v>
      </c>
      <c r="T29" s="445" t="s">
        <v>65</v>
      </c>
      <c r="U29" s="392"/>
      <c r="V29" s="392" t="str">
        <f>O29</f>
        <v>Engeland</v>
      </c>
      <c r="W29" s="392" t="s">
        <v>64</v>
      </c>
      <c r="Y29" s="109">
        <f t="shared" si="8"/>
        <v>6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6</v>
      </c>
      <c r="AG29" s="108">
        <f t="shared" si="3"/>
        <v>1</v>
      </c>
      <c r="AH29" s="108">
        <f t="shared" si="4"/>
        <v>0</v>
      </c>
      <c r="AI29" s="108">
        <f t="shared" si="10"/>
        <v>0</v>
      </c>
      <c r="AJ29" s="108">
        <f t="shared" si="5"/>
        <v>5</v>
      </c>
      <c r="AK29" s="108">
        <f t="shared" si="6"/>
        <v>0</v>
      </c>
      <c r="AL29" s="108">
        <f t="shared" si="7"/>
        <v>0</v>
      </c>
      <c r="AM29" s="120">
        <f>AO29</f>
        <v>10</v>
      </c>
      <c r="AN29" s="117" t="s">
        <v>21</v>
      </c>
      <c r="AO29" s="115">
        <f>IF(Uitslag!T29="",0,IF(T29=Uitslag!T29,10,0))</f>
        <v>10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2</v>
      </c>
      <c r="H30" s="379" t="s">
        <v>9</v>
      </c>
      <c r="I30" s="442">
        <v>1</v>
      </c>
      <c r="J30" s="381">
        <f t="shared" si="0"/>
        <v>1</v>
      </c>
      <c r="K30" s="363">
        <f t="shared" si="1"/>
        <v>3</v>
      </c>
      <c r="L30" s="363">
        <f t="shared" si="2"/>
        <v>0</v>
      </c>
      <c r="O30" s="401" t="s">
        <v>22</v>
      </c>
      <c r="P30" s="402">
        <f>SUMIF($D$8:$D$55,$O30,$G$8:$G$55)+SUMIF($F$8:$F$55,$O30,$I$8:$I$55)</f>
        <v>3</v>
      </c>
      <c r="Q30" s="402">
        <f>SUMIF($D$8:$D$55,$O30,$I$8:$I$55)+SUMIF($F$8:$F$55,$O30,$G$8:$G$55)</f>
        <v>4</v>
      </c>
      <c r="R30" s="402">
        <f>P30-Q30</f>
        <v>-1</v>
      </c>
      <c r="S30" s="403">
        <f>SUMIF($D$8:$D$55,$O30,$K$8:$K$55)+SUMIF($F$8:$F$55,$O30,$L$8:$L$55)</f>
        <v>4</v>
      </c>
      <c r="T30" s="446" t="s">
        <v>63</v>
      </c>
      <c r="U30" s="392"/>
      <c r="V30" s="392" t="str">
        <f>O30</f>
        <v>Italië</v>
      </c>
      <c r="W30" s="392" t="s">
        <v>65</v>
      </c>
      <c r="Y30" s="109">
        <f t="shared" si="8"/>
        <v>0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0</v>
      </c>
      <c r="AG30" s="108">
        <f t="shared" si="3"/>
        <v>0</v>
      </c>
      <c r="AH30" s="108">
        <f t="shared" si="4"/>
        <v>0</v>
      </c>
      <c r="AI30" s="108">
        <f t="shared" si="10"/>
        <v>0</v>
      </c>
      <c r="AJ30" s="108">
        <f t="shared" si="5"/>
        <v>0</v>
      </c>
      <c r="AK30" s="108">
        <f t="shared" si="6"/>
        <v>0</v>
      </c>
      <c r="AL30" s="108">
        <f t="shared" si="7"/>
        <v>0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1</v>
      </c>
      <c r="H31" s="367" t="s">
        <v>9</v>
      </c>
      <c r="I31" s="440">
        <v>0</v>
      </c>
      <c r="J31" s="369">
        <f t="shared" si="0"/>
        <v>1</v>
      </c>
      <c r="K31" s="363">
        <f t="shared" si="1"/>
        <v>3</v>
      </c>
      <c r="L31" s="363">
        <f t="shared" si="2"/>
        <v>0</v>
      </c>
      <c r="O31" s="392"/>
      <c r="P31" s="393"/>
      <c r="Q31" s="393"/>
      <c r="R31" s="393"/>
      <c r="S31" s="393"/>
      <c r="T31" s="393"/>
      <c r="U31" s="392"/>
      <c r="V31" s="392"/>
      <c r="W31" s="392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3"/>
        <v>0</v>
      </c>
      <c r="AH31" s="108">
        <f t="shared" si="4"/>
        <v>0</v>
      </c>
      <c r="AI31" s="108">
        <f t="shared" si="10"/>
        <v>0</v>
      </c>
      <c r="AJ31" s="108">
        <f t="shared" si="5"/>
        <v>0</v>
      </c>
      <c r="AK31" s="108">
        <f t="shared" si="6"/>
        <v>0</v>
      </c>
      <c r="AL31" s="108">
        <f t="shared" si="7"/>
        <v>0</v>
      </c>
      <c r="AN31" s="392"/>
      <c r="AO31" s="393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2</v>
      </c>
      <c r="H32" s="373" t="s">
        <v>9</v>
      </c>
      <c r="I32" s="441">
        <v>2</v>
      </c>
      <c r="J32" s="375">
        <f t="shared" si="0"/>
        <v>3</v>
      </c>
      <c r="K32" s="363">
        <f t="shared" si="1"/>
        <v>1</v>
      </c>
      <c r="L32" s="363">
        <f t="shared" si="2"/>
        <v>1</v>
      </c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392"/>
      <c r="V32" s="392"/>
      <c r="W32" s="392"/>
      <c r="Y32" s="109">
        <f t="shared" si="8"/>
        <v>1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1</v>
      </c>
      <c r="AG32" s="108">
        <f t="shared" si="3"/>
        <v>1</v>
      </c>
      <c r="AH32" s="108">
        <f t="shared" si="4"/>
        <v>0</v>
      </c>
      <c r="AI32" s="108">
        <f t="shared" si="10"/>
        <v>0</v>
      </c>
      <c r="AJ32" s="108">
        <f t="shared" si="5"/>
        <v>0</v>
      </c>
      <c r="AK32" s="108">
        <f t="shared" si="6"/>
        <v>0</v>
      </c>
      <c r="AL32" s="108">
        <f t="shared" si="7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1</v>
      </c>
      <c r="H33" s="379" t="s">
        <v>9</v>
      </c>
      <c r="I33" s="442">
        <v>1</v>
      </c>
      <c r="J33" s="381">
        <f t="shared" si="0"/>
        <v>3</v>
      </c>
      <c r="K33" s="363">
        <f t="shared" si="1"/>
        <v>1</v>
      </c>
      <c r="L33" s="363">
        <f t="shared" si="2"/>
        <v>1</v>
      </c>
      <c r="O33" s="394" t="s">
        <v>25</v>
      </c>
      <c r="P33" s="395">
        <f>SUMIF($D$8:$D$55,$O33,$G$8:$G$55)+SUMIF($F$8:$F$55,$O33,$I$8:$I$55)</f>
        <v>6</v>
      </c>
      <c r="Q33" s="395">
        <f>SUMIF($D$8:$D$55,$O33,$I$8:$I$55)+SUMIF($F$8:$F$55,$O33,$G$8:$G$55)</f>
        <v>3</v>
      </c>
      <c r="R33" s="396">
        <f>P33-Q33</f>
        <v>3</v>
      </c>
      <c r="S33" s="397">
        <f>SUMIF($D$8:$D$55,$O33,$K$8:$K$55)+SUMIF($F$8:$F$55,$O33,$L$8:$L$55)</f>
        <v>7</v>
      </c>
      <c r="T33" s="444" t="s">
        <v>67</v>
      </c>
      <c r="U33" s="392"/>
      <c r="V33" s="392" t="str">
        <f>O33</f>
        <v>Zwitserland</v>
      </c>
      <c r="W33" s="392" t="s">
        <v>67</v>
      </c>
      <c r="Y33" s="109">
        <f t="shared" si="8"/>
        <v>1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1</v>
      </c>
      <c r="AG33" s="108">
        <f t="shared" si="3"/>
        <v>1</v>
      </c>
      <c r="AH33" s="108">
        <f t="shared" si="4"/>
        <v>0</v>
      </c>
      <c r="AI33" s="108">
        <f t="shared" si="10"/>
        <v>0</v>
      </c>
      <c r="AJ33" s="108">
        <f t="shared" si="5"/>
        <v>0</v>
      </c>
      <c r="AK33" s="108">
        <f t="shared" si="6"/>
        <v>0</v>
      </c>
      <c r="AL33" s="108">
        <f t="shared" si="7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2</v>
      </c>
      <c r="H34" s="367" t="s">
        <v>9</v>
      </c>
      <c r="I34" s="440">
        <v>0</v>
      </c>
      <c r="J34" s="369">
        <f t="shared" si="0"/>
        <v>1</v>
      </c>
      <c r="K34" s="363">
        <f t="shared" si="1"/>
        <v>3</v>
      </c>
      <c r="L34" s="363">
        <f t="shared" si="2"/>
        <v>0</v>
      </c>
      <c r="O34" s="398" t="s">
        <v>26</v>
      </c>
      <c r="P34" s="399">
        <f>SUMIF($D$8:$D$55,$O34,$G$8:$G$55)+SUMIF($F$8:$F$55,$O34,$I$8:$I$55)</f>
        <v>2</v>
      </c>
      <c r="Q34" s="399">
        <f>SUMIF($D$8:$D$55,$O34,$I$8:$I$55)+SUMIF($F$8:$F$55,$O34,$G$8:$G$55)</f>
        <v>6</v>
      </c>
      <c r="R34" s="399">
        <f>P34-Q34</f>
        <v>-4</v>
      </c>
      <c r="S34" s="400">
        <f>SUMIF($D$8:$D$55,$O34,$K$8:$K$55)+SUMIF($F$8:$F$55,$O34,$L$8:$L$55)</f>
        <v>1</v>
      </c>
      <c r="T34" s="445" t="s">
        <v>69</v>
      </c>
      <c r="U34" s="392"/>
      <c r="V34" s="392" t="str">
        <f>O34</f>
        <v>Ecuador</v>
      </c>
      <c r="W34" s="392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3"/>
        <v>0</v>
      </c>
      <c r="AH34" s="108">
        <f t="shared" si="4"/>
        <v>1</v>
      </c>
      <c r="AI34" s="108">
        <f t="shared" si="10"/>
        <v>0</v>
      </c>
      <c r="AJ34" s="108">
        <f t="shared" si="5"/>
        <v>5</v>
      </c>
      <c r="AK34" s="108">
        <f t="shared" si="6"/>
        <v>0</v>
      </c>
      <c r="AL34" s="108">
        <f t="shared" si="7"/>
        <v>0</v>
      </c>
      <c r="AM34" s="120">
        <f>AO34</f>
        <v>10</v>
      </c>
      <c r="AN34" s="117" t="s">
        <v>26</v>
      </c>
      <c r="AO34" s="115">
        <f>IF(Uitslag!T34="",0,IF(T34=Uitslag!T34,10,0))</f>
        <v>10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1</v>
      </c>
      <c r="H35" s="373" t="s">
        <v>9</v>
      </c>
      <c r="I35" s="441">
        <v>0</v>
      </c>
      <c r="J35" s="375">
        <f t="shared" si="0"/>
        <v>1</v>
      </c>
      <c r="K35" s="363">
        <f t="shared" si="1"/>
        <v>3</v>
      </c>
      <c r="L35" s="363">
        <f t="shared" si="2"/>
        <v>0</v>
      </c>
      <c r="O35" s="398" t="s">
        <v>27</v>
      </c>
      <c r="P35" s="399">
        <f>SUMIF($D$8:$D$55,$O35,$G$8:$G$55)+SUMIF($F$8:$F$55,$O35,$I$8:$I$55)</f>
        <v>6</v>
      </c>
      <c r="Q35" s="399">
        <f>SUMIF($D$8:$D$55,$O35,$I$8:$I$55)+SUMIF($F$8:$F$55,$O35,$G$8:$G$55)</f>
        <v>3</v>
      </c>
      <c r="R35" s="399">
        <f>P35-Q35</f>
        <v>3</v>
      </c>
      <c r="S35" s="400">
        <f>SUMIF($D$8:$D$55,$O35,$K$8:$K$55)+SUMIF($F$8:$F$55,$O35,$L$8:$L$55)</f>
        <v>7</v>
      </c>
      <c r="T35" s="445" t="s">
        <v>68</v>
      </c>
      <c r="U35" s="392"/>
      <c r="V35" s="392" t="str">
        <f>O35</f>
        <v>Frankrijk</v>
      </c>
      <c r="W35" s="392" t="s">
        <v>69</v>
      </c>
      <c r="Y35" s="109">
        <f t="shared" si="8"/>
        <v>0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0</v>
      </c>
      <c r="AG35" s="108">
        <f t="shared" si="3"/>
        <v>0</v>
      </c>
      <c r="AH35" s="108">
        <f t="shared" si="4"/>
        <v>0</v>
      </c>
      <c r="AI35" s="108">
        <f t="shared" si="10"/>
        <v>0</v>
      </c>
      <c r="AJ35" s="108">
        <f t="shared" si="5"/>
        <v>0</v>
      </c>
      <c r="AK35" s="108">
        <f t="shared" si="6"/>
        <v>0</v>
      </c>
      <c r="AL35" s="108">
        <f t="shared" si="7"/>
        <v>0</v>
      </c>
      <c r="AM35" s="120">
        <f>AO35</f>
        <v>0</v>
      </c>
      <c r="AN35" s="117" t="s">
        <v>27</v>
      </c>
      <c r="AO35" s="115">
        <f>IF(Uitslag!T35="",0,IF(T35=Uitslag!T35,10,0))</f>
        <v>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1</v>
      </c>
      <c r="H36" s="379" t="s">
        <v>9</v>
      </c>
      <c r="I36" s="442">
        <v>0</v>
      </c>
      <c r="J36" s="381">
        <f t="shared" si="0"/>
        <v>1</v>
      </c>
      <c r="K36" s="363">
        <f t="shared" si="1"/>
        <v>3</v>
      </c>
      <c r="L36" s="363">
        <f t="shared" si="2"/>
        <v>0</v>
      </c>
      <c r="O36" s="401" t="s">
        <v>28</v>
      </c>
      <c r="P36" s="402">
        <f>SUMIF($D$8:$D$55,$O36,$G$8:$G$55)+SUMIF($F$8:$F$55,$O36,$I$8:$I$55)</f>
        <v>2</v>
      </c>
      <c r="Q36" s="402">
        <f>SUMIF($D$8:$D$55,$O36,$I$8:$I$55)+SUMIF($F$8:$F$55,$O36,$G$8:$G$55)</f>
        <v>4</v>
      </c>
      <c r="R36" s="402">
        <f>P36-Q36</f>
        <v>-2</v>
      </c>
      <c r="S36" s="403">
        <f>SUMIF($D$8:$D$55,$O36,$K$8:$K$55)+SUMIF($F$8:$F$55,$O36,$L$8:$L$55)</f>
        <v>1</v>
      </c>
      <c r="T36" s="446" t="s">
        <v>70</v>
      </c>
      <c r="U36" s="392"/>
      <c r="V36" s="392" t="str">
        <f>O36</f>
        <v>Honduras</v>
      </c>
      <c r="W36" s="392" t="s">
        <v>70</v>
      </c>
      <c r="Y36" s="109">
        <f t="shared" si="8"/>
        <v>10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10</v>
      </c>
      <c r="AG36" s="108">
        <f t="shared" si="3"/>
        <v>1</v>
      </c>
      <c r="AH36" s="108">
        <f t="shared" si="4"/>
        <v>1</v>
      </c>
      <c r="AI36" s="108">
        <f t="shared" si="10"/>
        <v>10</v>
      </c>
      <c r="AJ36" s="108">
        <f t="shared" si="5"/>
        <v>5</v>
      </c>
      <c r="AK36" s="108">
        <f t="shared" si="6"/>
        <v>0</v>
      </c>
      <c r="AL36" s="108">
        <f t="shared" si="7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1</v>
      </c>
      <c r="H37" s="367" t="s">
        <v>9</v>
      </c>
      <c r="I37" s="440">
        <v>1</v>
      </c>
      <c r="J37" s="369">
        <f t="shared" si="0"/>
        <v>3</v>
      </c>
      <c r="K37" s="363">
        <f t="shared" si="1"/>
        <v>1</v>
      </c>
      <c r="L37" s="363">
        <f t="shared" si="2"/>
        <v>1</v>
      </c>
      <c r="O37" s="392"/>
      <c r="P37" s="393"/>
      <c r="Q37" s="393"/>
      <c r="R37" s="393"/>
      <c r="S37" s="393"/>
      <c r="T37" s="393"/>
      <c r="U37" s="392"/>
      <c r="V37" s="392"/>
      <c r="W37" s="392"/>
      <c r="Y37" s="109">
        <f t="shared" si="8"/>
        <v>1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1</v>
      </c>
      <c r="AG37" s="108">
        <f t="shared" si="3"/>
        <v>1</v>
      </c>
      <c r="AH37" s="108">
        <f t="shared" si="4"/>
        <v>0</v>
      </c>
      <c r="AI37" s="108">
        <f t="shared" si="10"/>
        <v>0</v>
      </c>
      <c r="AJ37" s="108">
        <f t="shared" si="5"/>
        <v>0</v>
      </c>
      <c r="AK37" s="108">
        <f t="shared" si="6"/>
        <v>0</v>
      </c>
      <c r="AL37" s="108">
        <f t="shared" si="7"/>
        <v>0</v>
      </c>
      <c r="AN37" s="392"/>
      <c r="AO37" s="393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1</v>
      </c>
      <c r="H38" s="373" t="s">
        <v>9</v>
      </c>
      <c r="I38" s="441">
        <v>2</v>
      </c>
      <c r="J38" s="375">
        <f t="shared" si="0"/>
        <v>2</v>
      </c>
      <c r="K38" s="363">
        <f t="shared" si="1"/>
        <v>0</v>
      </c>
      <c r="L38" s="363">
        <f t="shared" si="2"/>
        <v>3</v>
      </c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392"/>
      <c r="V38" s="392"/>
      <c r="W38" s="392"/>
      <c r="Y38" s="109">
        <f t="shared" si="8"/>
        <v>5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5</v>
      </c>
      <c r="AG38" s="108">
        <f t="shared" si="3"/>
        <v>0</v>
      </c>
      <c r="AH38" s="108">
        <f t="shared" si="4"/>
        <v>0</v>
      </c>
      <c r="AI38" s="108">
        <f t="shared" si="10"/>
        <v>0</v>
      </c>
      <c r="AJ38" s="108">
        <f t="shared" si="5"/>
        <v>0</v>
      </c>
      <c r="AK38" s="108">
        <f t="shared" si="6"/>
        <v>5</v>
      </c>
      <c r="AL38" s="108">
        <f t="shared" si="7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1</v>
      </c>
      <c r="H39" s="379" t="s">
        <v>9</v>
      </c>
      <c r="I39" s="442">
        <v>2</v>
      </c>
      <c r="J39" s="381">
        <f t="shared" si="0"/>
        <v>2</v>
      </c>
      <c r="K39" s="363">
        <f t="shared" si="1"/>
        <v>0</v>
      </c>
      <c r="L39" s="363">
        <f t="shared" si="2"/>
        <v>3</v>
      </c>
      <c r="O39" s="394" t="s">
        <v>29</v>
      </c>
      <c r="P39" s="395">
        <f>SUMIF($D$8:$D$55,$O39,$G$8:$G$55)+SUMIF($F$8:$F$55,$O39,$I$8:$I$55)</f>
        <v>8</v>
      </c>
      <c r="Q39" s="395">
        <f>SUMIF($D$8:$D$55,$O39,$I$8:$I$55)+SUMIF($F$8:$F$55,$O39,$G$8:$G$55)</f>
        <v>2</v>
      </c>
      <c r="R39" s="396">
        <f>P39-Q39</f>
        <v>6</v>
      </c>
      <c r="S39" s="397">
        <f>SUMIF($D$8:$D$55,$O39,$K$8:$K$55)+SUMIF($F$8:$F$55,$O39,$L$8:$L$55)</f>
        <v>9</v>
      </c>
      <c r="T39" s="444" t="s">
        <v>72</v>
      </c>
      <c r="U39" s="392"/>
      <c r="V39" s="392" t="str">
        <f>O39</f>
        <v>Argentinië</v>
      </c>
      <c r="W39" s="392" t="s">
        <v>72</v>
      </c>
      <c r="Y39" s="109">
        <f t="shared" si="8"/>
        <v>1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1</v>
      </c>
      <c r="AG39" s="108">
        <f t="shared" si="3"/>
        <v>0</v>
      </c>
      <c r="AH39" s="108">
        <f t="shared" si="4"/>
        <v>1</v>
      </c>
      <c r="AI39" s="108">
        <f t="shared" si="10"/>
        <v>0</v>
      </c>
      <c r="AJ39" s="108">
        <f t="shared" si="5"/>
        <v>0</v>
      </c>
      <c r="AK39" s="108">
        <f t="shared" si="6"/>
        <v>0</v>
      </c>
      <c r="AL39" s="108">
        <f t="shared" si="7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1</v>
      </c>
      <c r="H40" s="367" t="s">
        <v>9</v>
      </c>
      <c r="I40" s="440">
        <v>1</v>
      </c>
      <c r="J40" s="369">
        <f t="shared" si="0"/>
        <v>3</v>
      </c>
      <c r="K40" s="363">
        <f t="shared" si="1"/>
        <v>1</v>
      </c>
      <c r="L40" s="363">
        <f t="shared" si="2"/>
        <v>1</v>
      </c>
      <c r="O40" s="398" t="s">
        <v>30</v>
      </c>
      <c r="P40" s="399">
        <f>SUMIF($D$8:$D$55,$O40,$G$8:$G$55)+SUMIF($F$8:$F$55,$O40,$I$8:$I$55)</f>
        <v>2</v>
      </c>
      <c r="Q40" s="399">
        <f>SUMIF($D$8:$D$55,$O40,$I$8:$I$55)+SUMIF($F$8:$F$55,$O40,$G$8:$G$55)</f>
        <v>5</v>
      </c>
      <c r="R40" s="399">
        <f>P40-Q40</f>
        <v>-3</v>
      </c>
      <c r="S40" s="400">
        <f>SUMIF($D$8:$D$55,$O40,$K$8:$K$55)+SUMIF($F$8:$F$55,$O40,$L$8:$L$55)</f>
        <v>1</v>
      </c>
      <c r="T40" s="445" t="s">
        <v>75</v>
      </c>
      <c r="U40" s="392"/>
      <c r="V40" s="392" t="str">
        <f>O40</f>
        <v>Bosnië H.</v>
      </c>
      <c r="W40" s="392" t="s">
        <v>73</v>
      </c>
      <c r="Y40" s="109">
        <f t="shared" si="8"/>
        <v>0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0</v>
      </c>
      <c r="AG40" s="108">
        <f t="shared" si="3"/>
        <v>0</v>
      </c>
      <c r="AH40" s="108">
        <f t="shared" si="4"/>
        <v>0</v>
      </c>
      <c r="AI40" s="108">
        <f t="shared" si="10"/>
        <v>0</v>
      </c>
      <c r="AJ40" s="108">
        <f t="shared" si="5"/>
        <v>0</v>
      </c>
      <c r="AK40" s="108">
        <f t="shared" si="6"/>
        <v>0</v>
      </c>
      <c r="AL40" s="108">
        <f t="shared" si="7"/>
        <v>0</v>
      </c>
      <c r="AM40" s="120">
        <f>AO40</f>
        <v>0</v>
      </c>
      <c r="AN40" s="117" t="s">
        <v>30</v>
      </c>
      <c r="AO40" s="115">
        <f>IF(Uitslag!T40="",0,IF(T40=Uitslag!T40,10,0))</f>
        <v>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1</v>
      </c>
      <c r="H41" s="373" t="s">
        <v>9</v>
      </c>
      <c r="I41" s="441">
        <v>2</v>
      </c>
      <c r="J41" s="375">
        <f t="shared" si="0"/>
        <v>2</v>
      </c>
      <c r="K41" s="363">
        <f t="shared" si="1"/>
        <v>0</v>
      </c>
      <c r="L41" s="363">
        <f t="shared" si="2"/>
        <v>3</v>
      </c>
      <c r="O41" s="398" t="s">
        <v>33</v>
      </c>
      <c r="P41" s="399">
        <f>SUMIF($D$8:$D$55,$O41,$G$8:$G$55)+SUMIF($F$8:$F$55,$O41,$I$8:$I$55)</f>
        <v>2</v>
      </c>
      <c r="Q41" s="399">
        <f>SUMIF($D$8:$D$55,$O41,$I$8:$I$55)+SUMIF($F$8:$F$55,$O41,$G$8:$G$55)</f>
        <v>4</v>
      </c>
      <c r="R41" s="399">
        <f>P41-Q41</f>
        <v>-2</v>
      </c>
      <c r="S41" s="400">
        <f>SUMIF($D$8:$D$55,$O41,$K$8:$K$55)+SUMIF($F$8:$F$55,$O41,$L$8:$L$55)</f>
        <v>2</v>
      </c>
      <c r="T41" s="445" t="s">
        <v>74</v>
      </c>
      <c r="U41" s="392"/>
      <c r="V41" s="392" t="str">
        <f>O41</f>
        <v>Iran</v>
      </c>
      <c r="W41" s="392" t="s">
        <v>74</v>
      </c>
      <c r="Y41" s="109">
        <f t="shared" si="8"/>
        <v>0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0</v>
      </c>
      <c r="AG41" s="108">
        <f t="shared" si="3"/>
        <v>0</v>
      </c>
      <c r="AH41" s="108">
        <f t="shared" si="4"/>
        <v>0</v>
      </c>
      <c r="AI41" s="108">
        <f t="shared" si="10"/>
        <v>0</v>
      </c>
      <c r="AJ41" s="108">
        <f t="shared" si="5"/>
        <v>0</v>
      </c>
      <c r="AK41" s="108">
        <f t="shared" si="6"/>
        <v>0</v>
      </c>
      <c r="AL41" s="108">
        <f t="shared" si="7"/>
        <v>0</v>
      </c>
      <c r="AM41" s="120">
        <f>AO41</f>
        <v>0</v>
      </c>
      <c r="AN41" s="117" t="s">
        <v>33</v>
      </c>
      <c r="AO41" s="115">
        <f>IF(Uitslag!T41="",0,IF(T41=Uitslag!T41,10,0))</f>
        <v>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1</v>
      </c>
      <c r="H42" s="373" t="s">
        <v>9</v>
      </c>
      <c r="I42" s="441">
        <v>2</v>
      </c>
      <c r="J42" s="375">
        <f t="shared" si="0"/>
        <v>2</v>
      </c>
      <c r="K42" s="363">
        <f t="shared" si="1"/>
        <v>0</v>
      </c>
      <c r="L42" s="363">
        <f t="shared" si="2"/>
        <v>3</v>
      </c>
      <c r="O42" s="401" t="s">
        <v>34</v>
      </c>
      <c r="P42" s="402">
        <f>SUMIF($D$8:$D$55,$O42,$G$8:$G$55)+SUMIF($F$8:$F$55,$O42,$I$8:$I$55)</f>
        <v>3</v>
      </c>
      <c r="Q42" s="402">
        <f>SUMIF($D$8:$D$55,$O42,$I$8:$I$55)+SUMIF($F$8:$F$55,$O42,$G$8:$G$55)</f>
        <v>4</v>
      </c>
      <c r="R42" s="402">
        <f>P42-Q42</f>
        <v>-1</v>
      </c>
      <c r="S42" s="403">
        <f>SUMIF($D$8:$D$55,$O42,$K$8:$K$55)+SUMIF($F$8:$F$55,$O42,$L$8:$L$55)</f>
        <v>4</v>
      </c>
      <c r="T42" s="446" t="s">
        <v>73</v>
      </c>
      <c r="U42" s="392"/>
      <c r="V42" s="392" t="str">
        <f>O42</f>
        <v>Nigeria</v>
      </c>
      <c r="W42" s="392" t="s">
        <v>75</v>
      </c>
      <c r="Y42" s="109">
        <f t="shared" si="8"/>
        <v>6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6</v>
      </c>
      <c r="AG42" s="108">
        <f t="shared" si="3"/>
        <v>1</v>
      </c>
      <c r="AH42" s="108">
        <f t="shared" si="4"/>
        <v>0</v>
      </c>
      <c r="AI42" s="108">
        <f t="shared" si="10"/>
        <v>0</v>
      </c>
      <c r="AJ42" s="108">
        <f t="shared" si="5"/>
        <v>0</v>
      </c>
      <c r="AK42" s="108">
        <f t="shared" si="6"/>
        <v>5</v>
      </c>
      <c r="AL42" s="108">
        <f t="shared" si="7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1</v>
      </c>
      <c r="H43" s="379" t="s">
        <v>9</v>
      </c>
      <c r="I43" s="442">
        <v>1</v>
      </c>
      <c r="J43" s="381">
        <f t="shared" si="0"/>
        <v>3</v>
      </c>
      <c r="K43" s="363">
        <f t="shared" si="1"/>
        <v>1</v>
      </c>
      <c r="L43" s="363">
        <f t="shared" si="2"/>
        <v>1</v>
      </c>
      <c r="O43" s="392"/>
      <c r="P43" s="393"/>
      <c r="Q43" s="393"/>
      <c r="R43" s="393"/>
      <c r="S43" s="393"/>
      <c r="T43" s="393"/>
      <c r="U43" s="392"/>
      <c r="V43" s="392"/>
      <c r="W43" s="392"/>
      <c r="Y43" s="109">
        <f t="shared" si="8"/>
        <v>1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1</v>
      </c>
      <c r="AG43" s="108">
        <f t="shared" si="3"/>
        <v>1</v>
      </c>
      <c r="AH43" s="108">
        <f t="shared" si="4"/>
        <v>0</v>
      </c>
      <c r="AI43" s="108">
        <f t="shared" si="10"/>
        <v>0</v>
      </c>
      <c r="AJ43" s="108">
        <f t="shared" si="5"/>
        <v>0</v>
      </c>
      <c r="AK43" s="108">
        <f t="shared" si="6"/>
        <v>0</v>
      </c>
      <c r="AL43" s="108">
        <f t="shared" si="7"/>
        <v>0</v>
      </c>
      <c r="AN43" s="392"/>
      <c r="AO43" s="393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1</v>
      </c>
      <c r="H44" s="367" t="s">
        <v>9</v>
      </c>
      <c r="I44" s="440">
        <v>3</v>
      </c>
      <c r="J44" s="369">
        <f t="shared" si="0"/>
        <v>2</v>
      </c>
      <c r="K44" s="363">
        <f t="shared" si="1"/>
        <v>0</v>
      </c>
      <c r="L44" s="363">
        <f t="shared" si="2"/>
        <v>3</v>
      </c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392"/>
      <c r="V44" s="392"/>
      <c r="W44" s="392"/>
      <c r="Y44" s="109">
        <f t="shared" si="8"/>
        <v>5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5</v>
      </c>
      <c r="AG44" s="108">
        <f t="shared" si="3"/>
        <v>0</v>
      </c>
      <c r="AH44" s="108">
        <f t="shared" si="4"/>
        <v>0</v>
      </c>
      <c r="AI44" s="108">
        <f t="shared" si="10"/>
        <v>0</v>
      </c>
      <c r="AJ44" s="108">
        <f t="shared" si="5"/>
        <v>0</v>
      </c>
      <c r="AK44" s="108">
        <f t="shared" si="6"/>
        <v>5</v>
      </c>
      <c r="AL44" s="108">
        <f t="shared" si="7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1</v>
      </c>
      <c r="H45" s="373" t="s">
        <v>9</v>
      </c>
      <c r="I45" s="441">
        <v>0</v>
      </c>
      <c r="J45" s="375">
        <f t="shared" si="0"/>
        <v>1</v>
      </c>
      <c r="K45" s="363">
        <f t="shared" si="1"/>
        <v>3</v>
      </c>
      <c r="L45" s="363">
        <f t="shared" si="2"/>
        <v>0</v>
      </c>
      <c r="O45" s="394" t="s">
        <v>31</v>
      </c>
      <c r="P45" s="395">
        <f>SUMIF($D$8:$D$55,$O45,$G$8:$G$55)+SUMIF($F$8:$F$55,$O45,$I$8:$I$55)</f>
        <v>6</v>
      </c>
      <c r="Q45" s="395">
        <f>SUMIF($D$8:$D$55,$O45,$I$8:$I$55)+SUMIF($F$8:$F$55,$O45,$G$8:$G$55)</f>
        <v>2</v>
      </c>
      <c r="R45" s="396">
        <f>P45-Q45</f>
        <v>4</v>
      </c>
      <c r="S45" s="397">
        <f>SUMIF($D$8:$D$55,$O45,$K$8:$K$55)+SUMIF($F$8:$F$55,$O45,$L$8:$L$55)</f>
        <v>9</v>
      </c>
      <c r="T45" s="444" t="s">
        <v>77</v>
      </c>
      <c r="U45" s="392"/>
      <c r="V45" s="392" t="str">
        <f>O45</f>
        <v>Duitsland</v>
      </c>
      <c r="W45" s="392" t="s">
        <v>77</v>
      </c>
      <c r="Y45" s="109">
        <f t="shared" si="8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1</v>
      </c>
      <c r="AG45" s="108">
        <f t="shared" si="3"/>
        <v>0</v>
      </c>
      <c r="AH45" s="108">
        <f t="shared" si="4"/>
        <v>1</v>
      </c>
      <c r="AI45" s="108">
        <f t="shared" si="10"/>
        <v>0</v>
      </c>
      <c r="AJ45" s="108">
        <f t="shared" si="5"/>
        <v>0</v>
      </c>
      <c r="AK45" s="108">
        <f t="shared" si="6"/>
        <v>0</v>
      </c>
      <c r="AL45" s="108">
        <f t="shared" si="7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3</v>
      </c>
      <c r="H46" s="373" t="s">
        <v>9</v>
      </c>
      <c r="I46" s="441">
        <v>0</v>
      </c>
      <c r="J46" s="375">
        <f t="shared" si="0"/>
        <v>1</v>
      </c>
      <c r="K46" s="363">
        <f t="shared" si="1"/>
        <v>3</v>
      </c>
      <c r="L46" s="363">
        <f t="shared" si="2"/>
        <v>0</v>
      </c>
      <c r="O46" s="398" t="s">
        <v>32</v>
      </c>
      <c r="P46" s="399">
        <f>SUMIF($D$8:$D$55,$O46,$G$8:$G$55)+SUMIF($F$8:$F$55,$O46,$I$8:$I$55)</f>
        <v>4</v>
      </c>
      <c r="Q46" s="399">
        <f>SUMIF($D$8:$D$55,$O46,$I$8:$I$55)+SUMIF($F$8:$F$55,$O46,$G$8:$G$55)</f>
        <v>4</v>
      </c>
      <c r="R46" s="399">
        <f>P46-Q46</f>
        <v>0</v>
      </c>
      <c r="S46" s="400">
        <f>SUMIF($D$8:$D$55,$O46,$K$8:$K$55)+SUMIF($F$8:$F$55,$O46,$L$8:$L$55)</f>
        <v>4</v>
      </c>
      <c r="T46" s="445" t="s">
        <v>79</v>
      </c>
      <c r="U46" s="392"/>
      <c r="V46" s="392" t="str">
        <f>O46</f>
        <v>Portugal</v>
      </c>
      <c r="W46" s="392" t="s">
        <v>78</v>
      </c>
      <c r="Y46" s="109">
        <f t="shared" si="8"/>
        <v>0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0</v>
      </c>
      <c r="AG46" s="108">
        <f t="shared" si="3"/>
        <v>0</v>
      </c>
      <c r="AH46" s="108">
        <f t="shared" si="4"/>
        <v>0</v>
      </c>
      <c r="AI46" s="108">
        <f t="shared" si="10"/>
        <v>0</v>
      </c>
      <c r="AJ46" s="108">
        <f t="shared" si="5"/>
        <v>0</v>
      </c>
      <c r="AK46" s="108">
        <f t="shared" si="6"/>
        <v>0</v>
      </c>
      <c r="AL46" s="108">
        <f t="shared" si="7"/>
        <v>0</v>
      </c>
      <c r="AM46" s="120">
        <f>AO46</f>
        <v>10</v>
      </c>
      <c r="AN46" s="117" t="s">
        <v>32</v>
      </c>
      <c r="AO46" s="115">
        <f>IF(Uitslag!T46="",0,IF(T46=Uitslag!T46,10,0))</f>
        <v>10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1</v>
      </c>
      <c r="H47" s="379" t="s">
        <v>9</v>
      </c>
      <c r="I47" s="442">
        <v>1</v>
      </c>
      <c r="J47" s="381">
        <f t="shared" si="0"/>
        <v>3</v>
      </c>
      <c r="K47" s="363">
        <f t="shared" si="1"/>
        <v>1</v>
      </c>
      <c r="L47" s="363">
        <f t="shared" si="2"/>
        <v>1</v>
      </c>
      <c r="O47" s="398" t="s">
        <v>35</v>
      </c>
      <c r="P47" s="399">
        <f>SUMIF($D$8:$D$55,$O47,$G$8:$G$55)+SUMIF($F$8:$F$55,$O47,$I$8:$I$55)</f>
        <v>3</v>
      </c>
      <c r="Q47" s="399">
        <f>SUMIF($D$8:$D$55,$O47,$I$8:$I$55)+SUMIF($F$8:$F$55,$O47,$G$8:$G$55)</f>
        <v>2</v>
      </c>
      <c r="R47" s="399">
        <f>P47-Q47</f>
        <v>1</v>
      </c>
      <c r="S47" s="400">
        <f>SUMIF($D$8:$D$55,$O47,$K$8:$K$55)+SUMIF($F$8:$F$55,$O47,$L$8:$L$55)</f>
        <v>4</v>
      </c>
      <c r="T47" s="445" t="s">
        <v>78</v>
      </c>
      <c r="U47" s="392"/>
      <c r="V47" s="392" t="str">
        <f>O47</f>
        <v>Ghana</v>
      </c>
      <c r="W47" s="392" t="s">
        <v>79</v>
      </c>
      <c r="Y47" s="109">
        <f t="shared" si="8"/>
        <v>1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1</v>
      </c>
      <c r="AG47" s="108">
        <f t="shared" si="3"/>
        <v>0</v>
      </c>
      <c r="AH47" s="108">
        <f t="shared" si="4"/>
        <v>1</v>
      </c>
      <c r="AI47" s="108">
        <f t="shared" si="10"/>
        <v>0</v>
      </c>
      <c r="AJ47" s="108">
        <f t="shared" si="5"/>
        <v>0</v>
      </c>
      <c r="AK47" s="108">
        <f t="shared" si="6"/>
        <v>0</v>
      </c>
      <c r="AL47" s="108">
        <f t="shared" si="7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1</v>
      </c>
      <c r="H48" s="367" t="s">
        <v>9</v>
      </c>
      <c r="I48" s="440">
        <v>3</v>
      </c>
      <c r="J48" s="369">
        <f t="shared" si="0"/>
        <v>2</v>
      </c>
      <c r="K48" s="363">
        <f t="shared" si="1"/>
        <v>0</v>
      </c>
      <c r="L48" s="363">
        <f t="shared" si="2"/>
        <v>3</v>
      </c>
      <c r="O48" s="401" t="s">
        <v>36</v>
      </c>
      <c r="P48" s="402">
        <f>SUMIF($D$8:$D$55,$O48,$G$8:$G$55)+SUMIF($F$8:$F$55,$O48,$I$8:$I$55)</f>
        <v>2</v>
      </c>
      <c r="Q48" s="402">
        <f>SUMIF($D$8:$D$55,$O48,$I$8:$I$55)+SUMIF($F$8:$F$55,$O48,$G$8:$G$55)</f>
        <v>7</v>
      </c>
      <c r="R48" s="402">
        <f>P48-Q48</f>
        <v>-5</v>
      </c>
      <c r="S48" s="403">
        <f>SUMIF($D$8:$D$55,$O48,$K$8:$K$55)+SUMIF($F$8:$F$55,$O48,$L$8:$L$55)</f>
        <v>0</v>
      </c>
      <c r="T48" s="446" t="s">
        <v>80</v>
      </c>
      <c r="U48" s="392"/>
      <c r="V48" s="392" t="str">
        <f>O48</f>
        <v>Verenigde Staten</v>
      </c>
      <c r="W48" s="392" t="s">
        <v>80</v>
      </c>
      <c r="Y48" s="109">
        <f t="shared" si="8"/>
        <v>6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6</v>
      </c>
      <c r="AG48" s="108">
        <f t="shared" si="3"/>
        <v>0</v>
      </c>
      <c r="AH48" s="108">
        <f t="shared" si="4"/>
        <v>1</v>
      </c>
      <c r="AI48" s="108">
        <f t="shared" si="10"/>
        <v>0</v>
      </c>
      <c r="AJ48" s="108">
        <f t="shared" si="5"/>
        <v>0</v>
      </c>
      <c r="AK48" s="108">
        <f t="shared" si="6"/>
        <v>5</v>
      </c>
      <c r="AL48" s="108">
        <f t="shared" si="7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1</v>
      </c>
      <c r="H49" s="373" t="s">
        <v>9</v>
      </c>
      <c r="I49" s="441">
        <v>1</v>
      </c>
      <c r="J49" s="375">
        <f t="shared" si="0"/>
        <v>3</v>
      </c>
      <c r="K49" s="363">
        <f t="shared" si="1"/>
        <v>1</v>
      </c>
      <c r="L49" s="363">
        <f t="shared" si="2"/>
        <v>1</v>
      </c>
      <c r="O49" s="392"/>
      <c r="P49" s="393"/>
      <c r="Q49" s="393"/>
      <c r="R49" s="393"/>
      <c r="S49" s="393"/>
      <c r="T49" s="393"/>
      <c r="U49" s="392"/>
      <c r="V49" s="392"/>
      <c r="W49" s="392"/>
      <c r="Y49" s="109">
        <f t="shared" si="8"/>
        <v>1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1</v>
      </c>
      <c r="AG49" s="108">
        <f t="shared" si="3"/>
        <v>0</v>
      </c>
      <c r="AH49" s="108">
        <f t="shared" si="4"/>
        <v>1</v>
      </c>
      <c r="AI49" s="108">
        <f t="shared" si="10"/>
        <v>0</v>
      </c>
      <c r="AJ49" s="108">
        <f t="shared" si="5"/>
        <v>0</v>
      </c>
      <c r="AK49" s="108">
        <f t="shared" si="6"/>
        <v>0</v>
      </c>
      <c r="AL49" s="108">
        <f t="shared" si="7"/>
        <v>0</v>
      </c>
      <c r="AN49" s="392"/>
      <c r="AO49" s="393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1</v>
      </c>
      <c r="H50" s="373" t="s">
        <v>9</v>
      </c>
      <c r="I50" s="441">
        <v>2</v>
      </c>
      <c r="J50" s="375">
        <f t="shared" si="0"/>
        <v>2</v>
      </c>
      <c r="K50" s="363">
        <f t="shared" si="1"/>
        <v>0</v>
      </c>
      <c r="L50" s="363">
        <f t="shared" si="2"/>
        <v>3</v>
      </c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392"/>
      <c r="V50" s="392"/>
      <c r="W50" s="392"/>
      <c r="Y50" s="109">
        <f t="shared" si="8"/>
        <v>5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5</v>
      </c>
      <c r="AG50" s="108">
        <f t="shared" si="3"/>
        <v>0</v>
      </c>
      <c r="AH50" s="108">
        <f t="shared" si="4"/>
        <v>0</v>
      </c>
      <c r="AI50" s="108">
        <f t="shared" si="10"/>
        <v>0</v>
      </c>
      <c r="AJ50" s="108">
        <f t="shared" si="5"/>
        <v>0</v>
      </c>
      <c r="AK50" s="108">
        <f t="shared" si="6"/>
        <v>5</v>
      </c>
      <c r="AL50" s="108">
        <f t="shared" si="7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1</v>
      </c>
      <c r="H51" s="379" t="s">
        <v>9</v>
      </c>
      <c r="I51" s="442">
        <v>3</v>
      </c>
      <c r="J51" s="381">
        <f t="shared" si="0"/>
        <v>2</v>
      </c>
      <c r="K51" s="363">
        <f t="shared" si="1"/>
        <v>0</v>
      </c>
      <c r="L51" s="363">
        <f t="shared" si="2"/>
        <v>3</v>
      </c>
      <c r="O51" s="394" t="s">
        <v>37</v>
      </c>
      <c r="P51" s="395">
        <f>SUMIF($D$8:$D$55,$O51,$G$8:$G$55)+SUMIF($F$8:$F$55,$O51,$I$8:$I$55)</f>
        <v>5</v>
      </c>
      <c r="Q51" s="395">
        <f>SUMIF($D$8:$D$55,$O51,$I$8:$I$55)+SUMIF($F$8:$F$55,$O51,$G$8:$G$55)</f>
        <v>3</v>
      </c>
      <c r="R51" s="396">
        <f>P51-Q51</f>
        <v>2</v>
      </c>
      <c r="S51" s="397">
        <f>SUMIF($D$8:$D$55,$O51,$K$8:$K$55)+SUMIF($F$8:$F$55,$O51,$L$8:$L$55)</f>
        <v>7</v>
      </c>
      <c r="T51" s="444" t="s">
        <v>82</v>
      </c>
      <c r="U51" s="392"/>
      <c r="V51" s="392" t="str">
        <f>O51</f>
        <v>België</v>
      </c>
      <c r="W51" s="392" t="s">
        <v>82</v>
      </c>
      <c r="Y51" s="109">
        <f t="shared" si="8"/>
        <v>0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0</v>
      </c>
      <c r="AG51" s="108">
        <f t="shared" si="3"/>
        <v>0</v>
      </c>
      <c r="AH51" s="108">
        <f t="shared" si="4"/>
        <v>0</v>
      </c>
      <c r="AI51" s="108">
        <f t="shared" si="10"/>
        <v>0</v>
      </c>
      <c r="AJ51" s="108">
        <f t="shared" si="5"/>
        <v>0</v>
      </c>
      <c r="AK51" s="108">
        <f t="shared" si="6"/>
        <v>0</v>
      </c>
      <c r="AL51" s="108">
        <f t="shared" si="7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1</v>
      </c>
      <c r="H52" s="373" t="s">
        <v>9</v>
      </c>
      <c r="I52" s="441">
        <v>3</v>
      </c>
      <c r="J52" s="369">
        <f t="shared" si="0"/>
        <v>2</v>
      </c>
      <c r="K52" s="363">
        <f t="shared" si="1"/>
        <v>0</v>
      </c>
      <c r="L52" s="363">
        <f t="shared" si="2"/>
        <v>3</v>
      </c>
      <c r="O52" s="398" t="s">
        <v>38</v>
      </c>
      <c r="P52" s="399">
        <f>SUMIF($D$8:$D$55,$O52,$G$8:$G$55)+SUMIF($F$8:$F$55,$O52,$I$8:$I$55)</f>
        <v>4</v>
      </c>
      <c r="Q52" s="399">
        <f>SUMIF($D$8:$D$55,$O52,$I$8:$I$55)+SUMIF($F$8:$F$55,$O52,$G$8:$G$55)</f>
        <v>5</v>
      </c>
      <c r="R52" s="399">
        <f>P52-Q52</f>
        <v>-1</v>
      </c>
      <c r="S52" s="400">
        <f>SUMIF($D$8:$D$55,$O52,$K$8:$K$55)+SUMIF($F$8:$F$55,$O52,$L$8:$L$55)</f>
        <v>3</v>
      </c>
      <c r="T52" s="445" t="s">
        <v>84</v>
      </c>
      <c r="U52" s="392"/>
      <c r="V52" s="392" t="str">
        <f>O52</f>
        <v>Algerije</v>
      </c>
      <c r="W52" s="392" t="s">
        <v>83</v>
      </c>
      <c r="Y52" s="109">
        <f t="shared" si="8"/>
        <v>5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5</v>
      </c>
      <c r="AG52" s="108">
        <f t="shared" si="3"/>
        <v>0</v>
      </c>
      <c r="AH52" s="108">
        <f t="shared" si="4"/>
        <v>0</v>
      </c>
      <c r="AI52" s="108">
        <f t="shared" si="10"/>
        <v>0</v>
      </c>
      <c r="AJ52" s="108">
        <f t="shared" si="5"/>
        <v>0</v>
      </c>
      <c r="AK52" s="108">
        <f t="shared" si="6"/>
        <v>5</v>
      </c>
      <c r="AL52" s="108">
        <f t="shared" si="7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1</v>
      </c>
      <c r="H53" s="373" t="s">
        <v>9</v>
      </c>
      <c r="I53" s="441">
        <v>1</v>
      </c>
      <c r="J53" s="375">
        <f t="shared" si="0"/>
        <v>3</v>
      </c>
      <c r="K53" s="363">
        <f t="shared" si="1"/>
        <v>1</v>
      </c>
      <c r="L53" s="363">
        <f t="shared" si="2"/>
        <v>1</v>
      </c>
      <c r="O53" s="398" t="s">
        <v>39</v>
      </c>
      <c r="P53" s="399">
        <f>SUMIF($D$8:$D$55,$O53,$G$8:$G$55)+SUMIF($F$8:$F$55,$O53,$I$8:$I$55)</f>
        <v>5</v>
      </c>
      <c r="Q53" s="399">
        <f>SUMIF($D$8:$D$55,$O53,$I$8:$I$55)+SUMIF($F$8:$F$55,$O53,$G$8:$G$55)</f>
        <v>2</v>
      </c>
      <c r="R53" s="399">
        <f>P53-Q53</f>
        <v>3</v>
      </c>
      <c r="S53" s="400">
        <f>SUMIF($D$8:$D$55,$O53,$K$8:$K$55)+SUMIF($F$8:$F$55,$O53,$L$8:$L$55)</f>
        <v>7</v>
      </c>
      <c r="T53" s="445" t="s">
        <v>83</v>
      </c>
      <c r="U53" s="392"/>
      <c r="V53" s="392" t="str">
        <f>O53</f>
        <v>Rusland</v>
      </c>
      <c r="W53" s="392" t="s">
        <v>84</v>
      </c>
      <c r="Y53" s="109">
        <f t="shared" si="8"/>
        <v>1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1</v>
      </c>
      <c r="AG53" s="108">
        <f t="shared" si="3"/>
        <v>0</v>
      </c>
      <c r="AH53" s="108">
        <f t="shared" si="4"/>
        <v>1</v>
      </c>
      <c r="AI53" s="108">
        <f t="shared" si="10"/>
        <v>0</v>
      </c>
      <c r="AJ53" s="108">
        <f t="shared" si="5"/>
        <v>0</v>
      </c>
      <c r="AK53" s="108">
        <f t="shared" si="6"/>
        <v>0</v>
      </c>
      <c r="AL53" s="108">
        <f t="shared" si="7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1</v>
      </c>
      <c r="H54" s="373" t="s">
        <v>9</v>
      </c>
      <c r="I54" s="441">
        <v>2</v>
      </c>
      <c r="J54" s="375">
        <f t="shared" si="0"/>
        <v>2</v>
      </c>
      <c r="K54" s="363">
        <f t="shared" si="1"/>
        <v>0</v>
      </c>
      <c r="L54" s="363">
        <f t="shared" si="2"/>
        <v>3</v>
      </c>
      <c r="O54" s="401" t="s">
        <v>40</v>
      </c>
      <c r="P54" s="402">
        <f>SUMIF($D$8:$D$55,$O54,$G$8:$G$55)+SUMIF($F$8:$F$55,$O54,$I$8:$I$55)</f>
        <v>2</v>
      </c>
      <c r="Q54" s="402">
        <f>SUMIF($D$8:$D$55,$O54,$I$8:$I$55)+SUMIF($F$8:$F$55,$O54,$G$8:$G$55)</f>
        <v>6</v>
      </c>
      <c r="R54" s="402">
        <f>P54-Q54</f>
        <v>-4</v>
      </c>
      <c r="S54" s="403">
        <f>SUMIF($D$8:$D$55,$O54,$K$8:$K$55)+SUMIF($F$8:$F$55,$O54,$L$8:$L$55)</f>
        <v>0</v>
      </c>
      <c r="T54" s="446" t="s">
        <v>85</v>
      </c>
      <c r="U54" s="392"/>
      <c r="V54" s="392" t="str">
        <f>O54</f>
        <v>Zuid Korea</v>
      </c>
      <c r="W54" s="392" t="s">
        <v>85</v>
      </c>
      <c r="Y54" s="109">
        <f t="shared" si="8"/>
        <v>5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5</v>
      </c>
      <c r="AG54" s="108">
        <f t="shared" si="3"/>
        <v>0</v>
      </c>
      <c r="AH54" s="108">
        <f t="shared" si="4"/>
        <v>0</v>
      </c>
      <c r="AI54" s="108">
        <f t="shared" si="10"/>
        <v>0</v>
      </c>
      <c r="AJ54" s="108">
        <f t="shared" si="5"/>
        <v>0</v>
      </c>
      <c r="AK54" s="108">
        <f t="shared" si="6"/>
        <v>5</v>
      </c>
      <c r="AL54" s="108">
        <f t="shared" si="7"/>
        <v>0</v>
      </c>
      <c r="AM54" s="120">
        <f>AO54</f>
        <v>10</v>
      </c>
      <c r="AN54" s="118" t="s">
        <v>40</v>
      </c>
      <c r="AO54" s="115">
        <f>IF(Uitslag!T54="",0,IF(T54=Uitslag!T54,10,0))</f>
        <v>10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1</v>
      </c>
      <c r="H55" s="388" t="s">
        <v>9</v>
      </c>
      <c r="I55" s="443">
        <v>2</v>
      </c>
      <c r="J55" s="390">
        <f t="shared" si="0"/>
        <v>2</v>
      </c>
      <c r="K55" s="363">
        <f t="shared" si="1"/>
        <v>0</v>
      </c>
      <c r="L55" s="363">
        <f t="shared" si="2"/>
        <v>3</v>
      </c>
      <c r="O55" s="392"/>
      <c r="P55" s="393"/>
      <c r="Q55" s="393"/>
      <c r="R55" s="393"/>
      <c r="S55" s="393"/>
      <c r="T55" s="393"/>
      <c r="U55" s="392"/>
      <c r="V55" s="392"/>
      <c r="W55" s="392"/>
      <c r="Y55" s="109">
        <f t="shared" si="8"/>
        <v>1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</v>
      </c>
      <c r="AG55" s="108">
        <f t="shared" si="3"/>
        <v>1</v>
      </c>
      <c r="AH55" s="108">
        <f t="shared" si="4"/>
        <v>0</v>
      </c>
      <c r="AI55" s="108">
        <f t="shared" si="10"/>
        <v>0</v>
      </c>
      <c r="AJ55" s="108">
        <f t="shared" si="5"/>
        <v>0</v>
      </c>
      <c r="AK55" s="108">
        <f t="shared" si="6"/>
        <v>0</v>
      </c>
      <c r="AL55" s="108">
        <f t="shared" si="7"/>
        <v>0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79"/>
      <c r="K57" s="353"/>
      <c r="L57" s="353"/>
      <c r="M57" s="353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77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O58" s="458">
        <v>1</v>
      </c>
      <c r="P58" s="877" t="s">
        <v>224</v>
      </c>
      <c r="Q58" s="877"/>
      <c r="R58" s="877"/>
      <c r="S58" s="877"/>
      <c r="T58" s="878"/>
      <c r="V58" s="352" t="s">
        <v>132</v>
      </c>
      <c r="W58" s="352" t="s">
        <v>124</v>
      </c>
      <c r="X58" s="352" t="str">
        <f t="shared" ref="X58:X98" si="11">CONCATENATE(W58," ",V58)</f>
        <v>Jeroen Zoet (k)</v>
      </c>
      <c r="Y58" s="113" t="s">
        <v>91</v>
      </c>
      <c r="Z58" s="352" t="str">
        <f>IF(K58=""," ",VLOOKUP(K58,$T$9:$V$54,3,FALSE))</f>
        <v xml:space="preserve"> </v>
      </c>
      <c r="AA58" s="352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 t="shared" ref="D59:D66" si="13">IF(ISERROR(Z59),K59,Z59)</f>
        <v>Brazilië</v>
      </c>
      <c r="E59" s="367" t="s">
        <v>9</v>
      </c>
      <c r="F59" s="406" t="str">
        <f t="shared" ref="F59:F66" si="14">IF(ISERROR(AA59),L59,AA59)</f>
        <v>Nederland</v>
      </c>
      <c r="G59" s="435">
        <v>2</v>
      </c>
      <c r="H59" s="367" t="s">
        <v>9</v>
      </c>
      <c r="I59" s="447">
        <v>1</v>
      </c>
      <c r="J59" s="448">
        <v>1</v>
      </c>
      <c r="K59" s="407" t="s">
        <v>48</v>
      </c>
      <c r="L59" s="407" t="s">
        <v>53</v>
      </c>
      <c r="M59" s="407">
        <v>1</v>
      </c>
      <c r="O59" s="458">
        <v>2</v>
      </c>
      <c r="P59" s="877" t="s">
        <v>220</v>
      </c>
      <c r="Q59" s="877"/>
      <c r="R59" s="877"/>
      <c r="S59" s="877"/>
      <c r="T59" s="878"/>
      <c r="V59" s="352" t="s">
        <v>132</v>
      </c>
      <c r="W59" s="352" t="s">
        <v>111</v>
      </c>
      <c r="X59" s="352" t="str">
        <f t="shared" si="11"/>
        <v>Jasper Cillessen (k)</v>
      </c>
      <c r="Y59" s="109">
        <f t="shared" ref="Y59:Y66" si="15">AF59</f>
        <v>1</v>
      </c>
      <c r="Z59" s="352" t="str">
        <f t="shared" ref="Z59:AA65" si="16">IF(K59=""," ",VLOOKUP(K59,$T$9:$V$54,3,FALSE))</f>
        <v>Brazilië</v>
      </c>
      <c r="AA59" s="352" t="str">
        <f t="shared" si="16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7">IF(OR(AC59="",AD59=""),0,(IF(SUM(AG59:AL59)&gt;10,10,SUM(AG59:AL59))))</f>
        <v>1</v>
      </c>
      <c r="AG59" s="108">
        <f t="shared" ref="AG59:AG66" si="18">IF(AC59="",0,(IF(G59=AC59,1,0)))</f>
        <v>0</v>
      </c>
      <c r="AH59" s="108">
        <f t="shared" ref="AH59:AH66" si="19">IF(AD59="",0,(IF(I59=AD59,1,0)))</f>
        <v>1</v>
      </c>
      <c r="AI59" s="108">
        <f t="shared" ref="AI59:AI66" si="20">IF(AND(AG59=1,AH59=1),10,0)</f>
        <v>0</v>
      </c>
      <c r="AJ59" s="108">
        <f t="shared" ref="AJ59:AJ66" si="21">IF(AND(G59&gt;I59,AC59&gt;AD59),5,0)</f>
        <v>0</v>
      </c>
      <c r="AK59" s="108">
        <f t="shared" ref="AK59:AK66" si="22">IF(AND(G59&lt;I59,AC59&lt;AD59),5,0)</f>
        <v>0</v>
      </c>
      <c r="AL59" s="108">
        <f t="shared" ref="AL59:AL66" si="23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4">BA59</f>
        <v>3</v>
      </c>
    </row>
    <row r="60" spans="2:54">
      <c r="B60" s="376">
        <v>50</v>
      </c>
      <c r="C60" s="466">
        <v>41818</v>
      </c>
      <c r="D60" s="460" t="str">
        <f t="shared" si="13"/>
        <v>Japan</v>
      </c>
      <c r="E60" s="379" t="s">
        <v>9</v>
      </c>
      <c r="F60" s="409" t="str">
        <f t="shared" si="14"/>
        <v>Italië</v>
      </c>
      <c r="G60" s="437">
        <v>1</v>
      </c>
      <c r="H60" s="379" t="s">
        <v>9</v>
      </c>
      <c r="I60" s="449">
        <v>0</v>
      </c>
      <c r="J60" s="450">
        <v>1</v>
      </c>
      <c r="K60" s="407" t="s">
        <v>57</v>
      </c>
      <c r="L60" s="407" t="s">
        <v>63</v>
      </c>
      <c r="M60" s="407">
        <v>2</v>
      </c>
      <c r="O60" s="458">
        <v>3</v>
      </c>
      <c r="P60" s="877" t="s">
        <v>225</v>
      </c>
      <c r="Q60" s="877"/>
      <c r="R60" s="877"/>
      <c r="S60" s="877"/>
      <c r="T60" s="878"/>
      <c r="V60" s="352" t="s">
        <v>132</v>
      </c>
      <c r="W60" s="352" t="s">
        <v>110</v>
      </c>
      <c r="X60" s="352" t="str">
        <f t="shared" si="11"/>
        <v>Kenneth Vermeer (k)</v>
      </c>
      <c r="Y60" s="109">
        <f t="shared" si="15"/>
        <v>6</v>
      </c>
      <c r="Z60" s="352" t="str">
        <f t="shared" si="16"/>
        <v>Japan</v>
      </c>
      <c r="AA60" s="352" t="str">
        <f t="shared" si="16"/>
        <v>Italië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7"/>
        <v>6</v>
      </c>
      <c r="AG60" s="108">
        <f t="shared" si="18"/>
        <v>0</v>
      </c>
      <c r="AH60" s="108">
        <f t="shared" si="19"/>
        <v>1</v>
      </c>
      <c r="AI60" s="108">
        <f t="shared" si="20"/>
        <v>0</v>
      </c>
      <c r="AJ60" s="108">
        <f t="shared" si="21"/>
        <v>5</v>
      </c>
      <c r="AK60" s="108">
        <f t="shared" si="22"/>
        <v>0</v>
      </c>
      <c r="AL60" s="108">
        <f t="shared" si="23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4"/>
        <v>3</v>
      </c>
    </row>
    <row r="61" spans="2:54">
      <c r="B61" s="364">
        <v>51</v>
      </c>
      <c r="C61" s="465">
        <v>41819</v>
      </c>
      <c r="D61" s="464" t="str">
        <f t="shared" si="13"/>
        <v>Chili</v>
      </c>
      <c r="E61" s="367" t="s">
        <v>9</v>
      </c>
      <c r="F61" s="406" t="str">
        <f t="shared" si="14"/>
        <v>Mexico</v>
      </c>
      <c r="G61" s="435">
        <v>1</v>
      </c>
      <c r="H61" s="367" t="s">
        <v>9</v>
      </c>
      <c r="I61" s="447">
        <v>2</v>
      </c>
      <c r="J61" s="448">
        <v>2</v>
      </c>
      <c r="K61" s="407" t="s">
        <v>52</v>
      </c>
      <c r="L61" s="407" t="s">
        <v>49</v>
      </c>
      <c r="M61" s="407"/>
      <c r="O61" s="458">
        <v>4</v>
      </c>
      <c r="P61" s="877" t="s">
        <v>209</v>
      </c>
      <c r="Q61" s="877"/>
      <c r="R61" s="877"/>
      <c r="S61" s="877"/>
      <c r="T61" s="878"/>
      <c r="V61" s="352" t="s">
        <v>132</v>
      </c>
      <c r="W61" s="352" t="s">
        <v>191</v>
      </c>
      <c r="X61" s="352" t="str">
        <f t="shared" si="11"/>
        <v>Tim Krul (k)</v>
      </c>
      <c r="Y61" s="109">
        <f t="shared" si="15"/>
        <v>0</v>
      </c>
      <c r="Z61" s="352" t="str">
        <f t="shared" si="16"/>
        <v>Chili</v>
      </c>
      <c r="AA61" s="352" t="str">
        <f t="shared" si="16"/>
        <v>Mexico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7"/>
        <v>0</v>
      </c>
      <c r="AG61" s="108">
        <f t="shared" si="18"/>
        <v>0</v>
      </c>
      <c r="AH61" s="108">
        <f t="shared" si="19"/>
        <v>0</v>
      </c>
      <c r="AI61" s="108">
        <f t="shared" si="20"/>
        <v>0</v>
      </c>
      <c r="AJ61" s="108">
        <f t="shared" si="21"/>
        <v>0</v>
      </c>
      <c r="AK61" s="108">
        <f t="shared" si="22"/>
        <v>0</v>
      </c>
      <c r="AL61" s="108">
        <f t="shared" si="23"/>
        <v>0</v>
      </c>
      <c r="AZ61" s="138" t="str">
        <f>Uitslag!P61</f>
        <v>Ron Vlaar (v)</v>
      </c>
      <c r="BA61" s="140">
        <f t="shared" si="12"/>
        <v>3</v>
      </c>
      <c r="BB61" s="139">
        <f t="shared" si="24"/>
        <v>3</v>
      </c>
    </row>
    <row r="62" spans="2:54">
      <c r="B62" s="376">
        <v>52</v>
      </c>
      <c r="C62" s="466">
        <v>41819</v>
      </c>
      <c r="D62" s="464" t="str">
        <f t="shared" si="13"/>
        <v>Uruguay</v>
      </c>
      <c r="E62" s="379" t="s">
        <v>9</v>
      </c>
      <c r="F62" s="409" t="str">
        <f t="shared" si="14"/>
        <v>Colombia</v>
      </c>
      <c r="G62" s="437">
        <v>2</v>
      </c>
      <c r="H62" s="379" t="s">
        <v>9</v>
      </c>
      <c r="I62" s="449">
        <v>0</v>
      </c>
      <c r="J62" s="450">
        <v>1</v>
      </c>
      <c r="K62" s="407" t="s">
        <v>62</v>
      </c>
      <c r="L62" s="407" t="s">
        <v>58</v>
      </c>
      <c r="M62" s="407"/>
      <c r="O62" s="458">
        <v>5</v>
      </c>
      <c r="P62" s="877" t="s">
        <v>211</v>
      </c>
      <c r="Q62" s="877"/>
      <c r="R62" s="877"/>
      <c r="S62" s="877"/>
      <c r="T62" s="878"/>
      <c r="V62" s="352" t="s">
        <v>132</v>
      </c>
      <c r="W62" s="352" t="s">
        <v>192</v>
      </c>
      <c r="X62" s="352" t="str">
        <f t="shared" si="11"/>
        <v>Maarten Stekelenburg (k)</v>
      </c>
      <c r="Y62" s="109">
        <f t="shared" si="15"/>
        <v>0</v>
      </c>
      <c r="Z62" s="352" t="str">
        <f t="shared" si="16"/>
        <v>Uruguay</v>
      </c>
      <c r="AA62" s="352" t="str">
        <f t="shared" si="16"/>
        <v>Colombia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7"/>
        <v>0</v>
      </c>
      <c r="AG62" s="108">
        <f t="shared" si="18"/>
        <v>0</v>
      </c>
      <c r="AH62" s="108">
        <f t="shared" si="19"/>
        <v>0</v>
      </c>
      <c r="AI62" s="108">
        <f t="shared" si="20"/>
        <v>0</v>
      </c>
      <c r="AJ62" s="108">
        <f t="shared" si="21"/>
        <v>0</v>
      </c>
      <c r="AK62" s="108">
        <f t="shared" si="22"/>
        <v>0</v>
      </c>
      <c r="AL62" s="108">
        <f t="shared" si="23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4"/>
        <v>3</v>
      </c>
    </row>
    <row r="63" spans="2:54">
      <c r="B63" s="364">
        <v>53</v>
      </c>
      <c r="C63" s="465">
        <v>41820</v>
      </c>
      <c r="D63" s="459" t="str">
        <f t="shared" si="13"/>
        <v>Zwitserland</v>
      </c>
      <c r="E63" s="367" t="s">
        <v>9</v>
      </c>
      <c r="F63" s="406" t="str">
        <f t="shared" si="14"/>
        <v>Nigeria</v>
      </c>
      <c r="G63" s="435">
        <v>1</v>
      </c>
      <c r="H63" s="367" t="s">
        <v>9</v>
      </c>
      <c r="I63" s="447">
        <v>0</v>
      </c>
      <c r="J63" s="448">
        <v>1</v>
      </c>
      <c r="K63" s="407" t="s">
        <v>67</v>
      </c>
      <c r="L63" s="407" t="s">
        <v>73</v>
      </c>
      <c r="M63" s="407"/>
      <c r="O63" s="458">
        <v>6</v>
      </c>
      <c r="P63" s="877" t="s">
        <v>221</v>
      </c>
      <c r="Q63" s="877"/>
      <c r="R63" s="877"/>
      <c r="S63" s="877"/>
      <c r="T63" s="878"/>
      <c r="V63" s="352" t="s">
        <v>132</v>
      </c>
      <c r="W63" s="352" t="s">
        <v>193</v>
      </c>
      <c r="X63" s="352" t="str">
        <f t="shared" si="11"/>
        <v>Michel Vorm (k)</v>
      </c>
      <c r="Y63" s="109">
        <f t="shared" si="15"/>
        <v>6</v>
      </c>
      <c r="Z63" s="352" t="str">
        <f t="shared" si="16"/>
        <v>Zwitserland</v>
      </c>
      <c r="AA63" s="352" t="str">
        <f t="shared" si="16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7"/>
        <v>6</v>
      </c>
      <c r="AG63" s="108">
        <f t="shared" si="18"/>
        <v>0</v>
      </c>
      <c r="AH63" s="108">
        <f t="shared" si="19"/>
        <v>1</v>
      </c>
      <c r="AI63" s="108">
        <f t="shared" si="20"/>
        <v>0</v>
      </c>
      <c r="AJ63" s="108">
        <f t="shared" si="21"/>
        <v>5</v>
      </c>
      <c r="AK63" s="108">
        <f t="shared" si="22"/>
        <v>0</v>
      </c>
      <c r="AL63" s="108">
        <f t="shared" si="23"/>
        <v>0</v>
      </c>
      <c r="AZ63" s="138" t="str">
        <f>Uitslag!P63</f>
        <v>Daley Blind (v)</v>
      </c>
      <c r="BA63" s="140">
        <f t="shared" si="12"/>
        <v>0</v>
      </c>
      <c r="BB63" s="139">
        <f t="shared" si="24"/>
        <v>0</v>
      </c>
    </row>
    <row r="64" spans="2:54">
      <c r="B64" s="376">
        <v>54</v>
      </c>
      <c r="C64" s="466">
        <v>41820</v>
      </c>
      <c r="D64" s="460" t="str">
        <f t="shared" si="13"/>
        <v>Duitsland</v>
      </c>
      <c r="E64" s="379" t="s">
        <v>9</v>
      </c>
      <c r="F64" s="409" t="str">
        <f t="shared" si="14"/>
        <v>Rusland</v>
      </c>
      <c r="G64" s="437">
        <v>2</v>
      </c>
      <c r="H64" s="379" t="s">
        <v>9</v>
      </c>
      <c r="I64" s="449">
        <v>1</v>
      </c>
      <c r="J64" s="450">
        <v>1</v>
      </c>
      <c r="K64" s="407" t="s">
        <v>77</v>
      </c>
      <c r="L64" s="407" t="s">
        <v>83</v>
      </c>
      <c r="M64" s="407"/>
      <c r="O64" s="458">
        <v>7</v>
      </c>
      <c r="P64" s="877" t="s">
        <v>213</v>
      </c>
      <c r="Q64" s="877"/>
      <c r="R64" s="877"/>
      <c r="S64" s="877"/>
      <c r="T64" s="878"/>
      <c r="V64" s="352" t="s">
        <v>133</v>
      </c>
      <c r="W64" s="352" t="s">
        <v>112</v>
      </c>
      <c r="X64" s="352" t="str">
        <f t="shared" si="11"/>
        <v>Joël Veltman (v)</v>
      </c>
      <c r="Y64" s="109">
        <f t="shared" si="15"/>
        <v>0</v>
      </c>
      <c r="Z64" s="352" t="str">
        <f t="shared" si="16"/>
        <v>Duitsland</v>
      </c>
      <c r="AA64" s="352" t="str">
        <f t="shared" si="16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7"/>
        <v>0</v>
      </c>
      <c r="AG64" s="108">
        <f t="shared" si="18"/>
        <v>0</v>
      </c>
      <c r="AH64" s="108">
        <f t="shared" si="19"/>
        <v>0</v>
      </c>
      <c r="AI64" s="108">
        <f t="shared" si="20"/>
        <v>0</v>
      </c>
      <c r="AJ64" s="108">
        <f t="shared" si="21"/>
        <v>0</v>
      </c>
      <c r="AK64" s="108">
        <f t="shared" si="22"/>
        <v>0</v>
      </c>
      <c r="AL64" s="108">
        <f t="shared" si="23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4"/>
        <v>3</v>
      </c>
    </row>
    <row r="65" spans="2:54">
      <c r="B65" s="370">
        <v>55</v>
      </c>
      <c r="C65" s="467">
        <v>41821</v>
      </c>
      <c r="D65" s="459" t="str">
        <f t="shared" si="13"/>
        <v>Argentinië</v>
      </c>
      <c r="E65" s="373" t="s">
        <v>9</v>
      </c>
      <c r="F65" s="410" t="str">
        <f t="shared" si="14"/>
        <v>Frankrijk</v>
      </c>
      <c r="G65" s="436">
        <v>3</v>
      </c>
      <c r="H65" s="373" t="s">
        <v>9</v>
      </c>
      <c r="I65" s="451">
        <v>1</v>
      </c>
      <c r="J65" s="452">
        <v>1</v>
      </c>
      <c r="K65" s="407" t="s">
        <v>72</v>
      </c>
      <c r="L65" s="407" t="s">
        <v>68</v>
      </c>
      <c r="M65" s="407"/>
      <c r="O65" s="458">
        <v>8</v>
      </c>
      <c r="P65" s="877" t="s">
        <v>212</v>
      </c>
      <c r="Q65" s="877"/>
      <c r="R65" s="877"/>
      <c r="S65" s="877"/>
      <c r="T65" s="878"/>
      <c r="V65" s="352" t="s">
        <v>133</v>
      </c>
      <c r="W65" s="352" t="s">
        <v>109</v>
      </c>
      <c r="X65" s="352" t="str">
        <f t="shared" si="11"/>
        <v>Daley Blind (v)</v>
      </c>
      <c r="Y65" s="109">
        <f t="shared" si="15"/>
        <v>0</v>
      </c>
      <c r="Z65" s="352" t="str">
        <f t="shared" si="16"/>
        <v>Argentinië</v>
      </c>
      <c r="AA65" s="352" t="str">
        <f t="shared" si="16"/>
        <v>Frankrijk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7"/>
        <v>0</v>
      </c>
      <c r="AG65" s="108">
        <f t="shared" si="18"/>
        <v>0</v>
      </c>
      <c r="AH65" s="108">
        <f t="shared" si="19"/>
        <v>0</v>
      </c>
      <c r="AI65" s="108">
        <f t="shared" si="20"/>
        <v>0</v>
      </c>
      <c r="AJ65" s="108">
        <f t="shared" si="21"/>
        <v>0</v>
      </c>
      <c r="AK65" s="108">
        <f t="shared" si="22"/>
        <v>0</v>
      </c>
      <c r="AL65" s="108">
        <f t="shared" si="23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4"/>
        <v>3</v>
      </c>
    </row>
    <row r="66" spans="2:54" ht="15.75" thickBot="1">
      <c r="B66" s="385">
        <v>56</v>
      </c>
      <c r="C66" s="462">
        <v>41821</v>
      </c>
      <c r="D66" s="461" t="str">
        <f t="shared" si="13"/>
        <v>België</v>
      </c>
      <c r="E66" s="388" t="s">
        <v>9</v>
      </c>
      <c r="F66" s="412" t="str">
        <f t="shared" si="14"/>
        <v>Ghana</v>
      </c>
      <c r="G66" s="438">
        <v>2</v>
      </c>
      <c r="H66" s="388" t="s">
        <v>9</v>
      </c>
      <c r="I66" s="453">
        <v>1</v>
      </c>
      <c r="J66" s="454">
        <v>1</v>
      </c>
      <c r="K66" s="407" t="s">
        <v>82</v>
      </c>
      <c r="L66" s="407" t="s">
        <v>78</v>
      </c>
      <c r="M66" s="407"/>
      <c r="O66" s="458">
        <v>9</v>
      </c>
      <c r="P66" s="877" t="s">
        <v>214</v>
      </c>
      <c r="Q66" s="877"/>
      <c r="R66" s="877"/>
      <c r="S66" s="877"/>
      <c r="T66" s="878"/>
      <c r="V66" s="352" t="s">
        <v>133</v>
      </c>
      <c r="W66" s="352" t="s">
        <v>115</v>
      </c>
      <c r="X66" s="352" t="str">
        <f t="shared" si="11"/>
        <v>Daryl Janmaat (v)</v>
      </c>
      <c r="Y66" s="109">
        <f t="shared" si="15"/>
        <v>0</v>
      </c>
      <c r="Z66" s="352" t="str">
        <f>IF(K66=""," ",VLOOKUP(K66,$T$9:$V$54,3,FALSE))</f>
        <v>België</v>
      </c>
      <c r="AA66" s="352" t="str">
        <f>IF(L66=""," ",VLOOKUP(L66,$T$9:$V$54,3,FALSE))</f>
        <v>Ghana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7"/>
        <v>0</v>
      </c>
      <c r="AG66" s="108">
        <f t="shared" si="18"/>
        <v>0</v>
      </c>
      <c r="AH66" s="108">
        <f t="shared" si="19"/>
        <v>0</v>
      </c>
      <c r="AI66" s="108">
        <f t="shared" si="20"/>
        <v>0</v>
      </c>
      <c r="AJ66" s="108">
        <f t="shared" si="21"/>
        <v>0</v>
      </c>
      <c r="AK66" s="108">
        <f t="shared" si="22"/>
        <v>0</v>
      </c>
      <c r="AL66" s="108">
        <f t="shared" si="23"/>
        <v>0</v>
      </c>
      <c r="AZ66" s="138" t="str">
        <f>Uitslag!P66</f>
        <v>Jonathan de Guzman (m)</v>
      </c>
      <c r="BA66" s="140">
        <f t="shared" si="12"/>
        <v>3</v>
      </c>
      <c r="BB66" s="139">
        <f t="shared" si="24"/>
        <v>3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O67" s="458">
        <v>10</v>
      </c>
      <c r="P67" s="877" t="s">
        <v>216</v>
      </c>
      <c r="Q67" s="877"/>
      <c r="R67" s="877"/>
      <c r="S67" s="877"/>
      <c r="T67" s="878"/>
      <c r="V67" s="352" t="s">
        <v>133</v>
      </c>
      <c r="W67" s="352" t="s">
        <v>118</v>
      </c>
      <c r="X67" s="352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4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79"/>
      <c r="K68" s="353"/>
      <c r="L68" s="353"/>
      <c r="M68" s="353"/>
      <c r="O68" s="458">
        <v>11</v>
      </c>
      <c r="P68" s="877" t="s">
        <v>215</v>
      </c>
      <c r="Q68" s="877"/>
      <c r="R68" s="877"/>
      <c r="S68" s="877"/>
      <c r="T68" s="878"/>
      <c r="V68" s="352" t="s">
        <v>133</v>
      </c>
      <c r="W68" s="352" t="s">
        <v>119</v>
      </c>
      <c r="X68" s="352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4"/>
        <v>3</v>
      </c>
    </row>
    <row r="69" spans="2:54">
      <c r="B69" s="428" t="s">
        <v>1</v>
      </c>
      <c r="C69" s="429" t="s">
        <v>2</v>
      </c>
      <c r="D69" s="476" t="s">
        <v>3</v>
      </c>
      <c r="E69" s="431"/>
      <c r="F69" s="477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V69" s="352" t="s">
        <v>133</v>
      </c>
      <c r="W69" s="352" t="s">
        <v>121</v>
      </c>
      <c r="X69" s="352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30</v>
      </c>
      <c r="BB69" s="139" t="str">
        <f>IF(AND(BA69&lt;&gt;"",BA69=33),15,"nvt")</f>
        <v>nvt</v>
      </c>
    </row>
    <row r="70" spans="2:54">
      <c r="B70" s="364">
        <v>57</v>
      </c>
      <c r="C70" s="365">
        <v>41824</v>
      </c>
      <c r="D70" s="405" t="str">
        <f>IF(J63="","Winnaar 53",IF(J63=1,D63,F63))</f>
        <v>Zwitserland</v>
      </c>
      <c r="E70" s="367" t="s">
        <v>9</v>
      </c>
      <c r="F70" s="406" t="str">
        <f>IF(J64="","Winnaar 54",IF(J64=1,D64,F64))</f>
        <v>Duitsland</v>
      </c>
      <c r="G70" s="435">
        <v>1</v>
      </c>
      <c r="H70" s="367" t="s">
        <v>9</v>
      </c>
      <c r="I70" s="447">
        <v>2</v>
      </c>
      <c r="J70" s="448">
        <v>2</v>
      </c>
      <c r="K70" s="353"/>
      <c r="L70" s="353"/>
      <c r="M70" s="353"/>
      <c r="V70" s="352" t="s">
        <v>133</v>
      </c>
      <c r="W70" s="352" t="s">
        <v>126</v>
      </c>
      <c r="X70" s="352" t="str">
        <f t="shared" si="11"/>
        <v>Karim Rekik (v)</v>
      </c>
      <c r="Y70" s="109">
        <f>AF70</f>
        <v>5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5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Brazilië</v>
      </c>
      <c r="E71" s="379" t="s">
        <v>9</v>
      </c>
      <c r="F71" s="409" t="str">
        <f>IF(J60="","Winnaar 50",IF(J60=1,D60,F60))</f>
        <v>Japan</v>
      </c>
      <c r="G71" s="437">
        <v>2</v>
      </c>
      <c r="H71" s="379" t="s">
        <v>9</v>
      </c>
      <c r="I71" s="449">
        <v>1</v>
      </c>
      <c r="J71" s="450">
        <v>1</v>
      </c>
      <c r="K71" s="353"/>
      <c r="L71" s="353"/>
      <c r="M71" s="353"/>
      <c r="V71" s="352" t="s">
        <v>133</v>
      </c>
      <c r="W71" s="352" t="s">
        <v>194</v>
      </c>
      <c r="X71" s="352" t="str">
        <f t="shared" si="11"/>
        <v>Ron Vlaar (v)</v>
      </c>
      <c r="Y71" s="109">
        <f>AF71</f>
        <v>10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10</v>
      </c>
      <c r="AG71" s="108">
        <f>IF(AC71="",0,(IF(G71=AC71,1,0)))</f>
        <v>1</v>
      </c>
      <c r="AH71" s="108">
        <f>IF(AD71="",0,(IF(I71=AD71,1,0)))</f>
        <v>1</v>
      </c>
      <c r="AI71" s="108">
        <f>IF(AND(AG71=1,AH71=1),10,0)</f>
        <v>10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Argentinië</v>
      </c>
      <c r="E72" s="367" t="s">
        <v>9</v>
      </c>
      <c r="F72" s="406" t="str">
        <f>IF(J66="","Winnaar 56",IF(J66=1,D66,F66))</f>
        <v>België</v>
      </c>
      <c r="G72" s="435">
        <v>1</v>
      </c>
      <c r="H72" s="367" t="s">
        <v>9</v>
      </c>
      <c r="I72" s="447">
        <v>0</v>
      </c>
      <c r="J72" s="448">
        <v>1</v>
      </c>
      <c r="K72" s="353"/>
      <c r="L72" s="353"/>
      <c r="M72" s="353"/>
      <c r="V72" s="352" t="s">
        <v>133</v>
      </c>
      <c r="W72" s="352" t="s">
        <v>195</v>
      </c>
      <c r="X72" s="352" t="str">
        <f t="shared" si="11"/>
        <v>John Heitinga (v)</v>
      </c>
      <c r="Y72" s="109">
        <f>AF72</f>
        <v>10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10</v>
      </c>
      <c r="AG72" s="108">
        <f>IF(AC72="",0,(IF(G72=AC72,1,0)))</f>
        <v>1</v>
      </c>
      <c r="AH72" s="108">
        <f>IF(AD72="",0,(IF(I72=AD72,1,0)))</f>
        <v>1</v>
      </c>
      <c r="AI72" s="108">
        <f>IF(AND(AG72=1,AH72=1),10,0)</f>
        <v>10</v>
      </c>
      <c r="AJ72" s="108">
        <f>IF(AND(G72&gt;I72,AC72&gt;AD72),5,0)</f>
        <v>5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Mexico</v>
      </c>
      <c r="E73" s="388" t="s">
        <v>9</v>
      </c>
      <c r="F73" s="412" t="str">
        <f>IF(J62="","Winnaar 52",IF(J62=1,D62,F62))</f>
        <v>Uruguay</v>
      </c>
      <c r="G73" s="438">
        <v>1</v>
      </c>
      <c r="H73" s="388" t="s">
        <v>9</v>
      </c>
      <c r="I73" s="453">
        <v>2</v>
      </c>
      <c r="J73" s="454">
        <v>2</v>
      </c>
      <c r="K73" s="353"/>
      <c r="L73" s="353"/>
      <c r="M73" s="353"/>
      <c r="V73" s="352" t="s">
        <v>133</v>
      </c>
      <c r="W73" s="352" t="s">
        <v>196</v>
      </c>
      <c r="X73" s="352" t="str">
        <f t="shared" si="11"/>
        <v>Urby Emanuelson (v)</v>
      </c>
      <c r="Y73" s="109">
        <f>AF73</f>
        <v>0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0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V74" s="352" t="s">
        <v>133</v>
      </c>
      <c r="W74" s="352" t="s">
        <v>197</v>
      </c>
      <c r="X74" s="352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79"/>
      <c r="K75" s="353"/>
      <c r="L75" s="353"/>
      <c r="M75" s="353"/>
      <c r="V75" s="352" t="s">
        <v>133</v>
      </c>
      <c r="W75" s="352" t="s">
        <v>198</v>
      </c>
      <c r="X75" s="352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76" t="s">
        <v>3</v>
      </c>
      <c r="E76" s="431"/>
      <c r="F76" s="477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V76" s="352" t="s">
        <v>133</v>
      </c>
      <c r="W76" s="352" t="s">
        <v>202</v>
      </c>
      <c r="X76" s="352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Duitsland</v>
      </c>
      <c r="E77" s="367" t="s">
        <v>9</v>
      </c>
      <c r="F77" s="406" t="str">
        <f>IF(J71="","Winnaar 58",IF(J71=1,D71,F71))</f>
        <v>Brazilië</v>
      </c>
      <c r="G77" s="435">
        <v>1</v>
      </c>
      <c r="H77" s="367" t="s">
        <v>9</v>
      </c>
      <c r="I77" s="447">
        <v>2</v>
      </c>
      <c r="J77" s="448">
        <v>2</v>
      </c>
      <c r="K77" s="353"/>
      <c r="L77" s="353"/>
      <c r="M77" s="353"/>
      <c r="V77" s="352" t="s">
        <v>134</v>
      </c>
      <c r="W77" s="352" t="s">
        <v>203</v>
      </c>
      <c r="X77" s="352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Argentinië</v>
      </c>
      <c r="E78" s="388" t="s">
        <v>9</v>
      </c>
      <c r="F78" s="412" t="str">
        <f>IF(J73="","Winnaar 60",IF(J73=1,D73,F73))</f>
        <v>Uruguay</v>
      </c>
      <c r="G78" s="438">
        <v>1</v>
      </c>
      <c r="H78" s="388" t="s">
        <v>9</v>
      </c>
      <c r="I78" s="453">
        <v>2</v>
      </c>
      <c r="J78" s="454">
        <v>2</v>
      </c>
      <c r="K78" s="353"/>
      <c r="L78" s="353"/>
      <c r="M78" s="353"/>
      <c r="V78" s="352" t="s">
        <v>134</v>
      </c>
      <c r="W78" s="352" t="s">
        <v>199</v>
      </c>
      <c r="X78" s="352" t="str">
        <f t="shared" si="11"/>
        <v>Leroy Fer (m)</v>
      </c>
      <c r="Y78" s="109">
        <f>AF78</f>
        <v>0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0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V79" s="352" t="s">
        <v>134</v>
      </c>
      <c r="W79" s="352" t="s">
        <v>114</v>
      </c>
      <c r="X79" s="352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79"/>
      <c r="K80" s="353"/>
      <c r="L80" s="353"/>
      <c r="M80" s="353"/>
      <c r="V80" s="352" t="s">
        <v>134</v>
      </c>
      <c r="W80" s="352" t="s">
        <v>117</v>
      </c>
      <c r="X80" s="352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76" t="s">
        <v>3</v>
      </c>
      <c r="E81" s="431"/>
      <c r="F81" s="477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V81" s="352" t="s">
        <v>134</v>
      </c>
      <c r="W81" s="352" t="s">
        <v>120</v>
      </c>
      <c r="X81" s="352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Duitsland</v>
      </c>
      <c r="E82" s="355" t="s">
        <v>9</v>
      </c>
      <c r="F82" s="415" t="str">
        <f>IF(J78="","Verliezer 62",IF(J78=1,F78,D78))</f>
        <v>Argentinië</v>
      </c>
      <c r="G82" s="455">
        <v>1</v>
      </c>
      <c r="H82" s="355" t="s">
        <v>9</v>
      </c>
      <c r="I82" s="456">
        <v>3</v>
      </c>
      <c r="J82" s="457">
        <v>1</v>
      </c>
      <c r="K82" s="353"/>
      <c r="L82" s="353"/>
      <c r="M82" s="353"/>
      <c r="V82" s="352" t="s">
        <v>134</v>
      </c>
      <c r="W82" s="352" t="s">
        <v>125</v>
      </c>
      <c r="X82" s="352" t="str">
        <f t="shared" si="11"/>
        <v>Georginio Wijnaldum (m)</v>
      </c>
      <c r="Y82" s="109">
        <f>AF82</f>
        <v>6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6</v>
      </c>
      <c r="AG82" s="108">
        <f>IF(AC82="",0,(IF(G82=AC82,1,0)))</f>
        <v>0</v>
      </c>
      <c r="AH82" s="108">
        <f>IF(AD82="",0,(IF(I82=AD82,1,0)))</f>
        <v>1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5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V83" s="352" t="s">
        <v>134</v>
      </c>
      <c r="W83" s="352" t="s">
        <v>136</v>
      </c>
      <c r="X83" s="352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79"/>
      <c r="K84" s="353"/>
      <c r="L84" s="353"/>
      <c r="M84" s="353"/>
      <c r="V84" s="352" t="s">
        <v>134</v>
      </c>
      <c r="W84" s="352" t="s">
        <v>137</v>
      </c>
      <c r="X84" s="352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76" t="s">
        <v>3</v>
      </c>
      <c r="E85" s="431"/>
      <c r="F85" s="477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V85" s="352" t="s">
        <v>134</v>
      </c>
      <c r="W85" s="352" t="s">
        <v>138</v>
      </c>
      <c r="X85" s="352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Brazilië</v>
      </c>
      <c r="E86" s="355" t="s">
        <v>9</v>
      </c>
      <c r="F86" s="415" t="str">
        <f>IF(J78="","Winnaar 62",IF(J78=1,D78,F78))</f>
        <v>Uruguay</v>
      </c>
      <c r="G86" s="455">
        <v>1</v>
      </c>
      <c r="H86" s="355" t="s">
        <v>9</v>
      </c>
      <c r="I86" s="456">
        <v>0</v>
      </c>
      <c r="J86" s="457">
        <v>1</v>
      </c>
      <c r="K86" s="353"/>
      <c r="L86" s="353"/>
      <c r="M86" s="353"/>
      <c r="V86" s="352" t="s">
        <v>134</v>
      </c>
      <c r="W86" s="352" t="s">
        <v>139</v>
      </c>
      <c r="X86" s="352" t="str">
        <f t="shared" si="11"/>
        <v>Nigel de Jong (m)</v>
      </c>
      <c r="Y86" s="109">
        <f>AF86</f>
        <v>1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1</v>
      </c>
      <c r="AG86" s="108">
        <f>IF(AC86="",0,(IF(G86=AC86,1,0)))</f>
        <v>0</v>
      </c>
      <c r="AH86" s="108">
        <f>IF(AD86="",0,(IF(I86=AD86,1,0)))</f>
        <v>1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353"/>
      <c r="C87" s="129"/>
      <c r="D87" s="392"/>
      <c r="E87" s="353"/>
      <c r="F87" s="392"/>
      <c r="G87" s="353"/>
      <c r="H87" s="353"/>
      <c r="I87" s="353"/>
      <c r="J87" s="353"/>
      <c r="K87" s="353"/>
      <c r="L87" s="353"/>
      <c r="M87" s="353"/>
      <c r="V87" s="352" t="s">
        <v>135</v>
      </c>
      <c r="W87" s="352" t="s">
        <v>205</v>
      </c>
      <c r="X87" s="352" t="str">
        <f t="shared" si="11"/>
        <v>Ricky van Wolfswinkel (a)</v>
      </c>
      <c r="AP87" s="136" t="s">
        <v>102</v>
      </c>
    </row>
    <row r="88" spans="2:50">
      <c r="B88" s="353"/>
      <c r="C88" s="129"/>
      <c r="D88" s="392"/>
      <c r="E88" s="353"/>
      <c r="F88" s="392"/>
      <c r="G88" s="353"/>
      <c r="H88" s="353"/>
      <c r="I88" s="353"/>
      <c r="J88" s="353"/>
      <c r="K88" s="353"/>
      <c r="L88" s="353"/>
      <c r="M88" s="353"/>
      <c r="V88" s="352" t="s">
        <v>135</v>
      </c>
      <c r="W88" s="352" t="s">
        <v>204</v>
      </c>
      <c r="X88" s="352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458"/>
    </row>
    <row r="89" spans="2:50" ht="20.25">
      <c r="C89" s="874" t="s">
        <v>101</v>
      </c>
      <c r="D89" s="871"/>
      <c r="E89" s="873" t="str">
        <f>IF(J86=1,D86,IF(J86=2,F86,"Wie zal het worden?"))</f>
        <v>Brazilië</v>
      </c>
      <c r="F89" s="873"/>
      <c r="G89" s="873"/>
      <c r="H89" s="873"/>
      <c r="I89" s="873"/>
      <c r="J89" s="873"/>
      <c r="K89" s="353"/>
      <c r="L89" s="353"/>
      <c r="M89" s="353"/>
      <c r="V89" s="352" t="s">
        <v>135</v>
      </c>
      <c r="W89" s="352" t="s">
        <v>201</v>
      </c>
      <c r="X89" s="352" t="str">
        <f t="shared" si="11"/>
        <v>Jermain Lens (a)</v>
      </c>
      <c r="AP89" s="109">
        <f>AU89</f>
        <v>5</v>
      </c>
      <c r="AQ89" s="131">
        <v>1</v>
      </c>
      <c r="AR89" s="904" t="str">
        <f>Uitslag!E89</f>
        <v>Duitsland</v>
      </c>
      <c r="AS89" s="905"/>
      <c r="AT89" s="906"/>
      <c r="AU89" s="352">
        <f>SUM(AV89:AX89)</f>
        <v>5</v>
      </c>
      <c r="AV89" s="352">
        <f>IF(AR89=0,0,IF(E89=AR89,50,0))</f>
        <v>0</v>
      </c>
      <c r="AW89" s="352">
        <f>IF(E89=0,0,IF(OR(E89=AR90),15,0))</f>
        <v>0</v>
      </c>
      <c r="AX89" s="352">
        <f>IF(E89=0,0,IF(OR(E89=AR91,E89=AR92),5,0))</f>
        <v>5</v>
      </c>
    </row>
    <row r="90" spans="2:50">
      <c r="C90" s="870">
        <v>2</v>
      </c>
      <c r="D90" s="871"/>
      <c r="E90" s="872" t="str">
        <f>IF(J86=2,D86,IF(J86=1,F86,"Wie wordt 2de?"))</f>
        <v>Uruguay</v>
      </c>
      <c r="F90" s="872"/>
      <c r="G90" s="872"/>
      <c r="H90" s="872"/>
      <c r="I90" s="872"/>
      <c r="J90" s="872"/>
      <c r="V90" s="352" t="s">
        <v>135</v>
      </c>
      <c r="W90" s="352" t="s">
        <v>200</v>
      </c>
      <c r="X90" s="352" t="str">
        <f t="shared" si="11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 s="352">
        <f>SUM(AV90:AX90)</f>
        <v>0</v>
      </c>
      <c r="AV90" s="352">
        <f>IF(AR90=0,0,IF(AR90=E90,25,0))</f>
        <v>0</v>
      </c>
      <c r="AW90" s="352">
        <f>IF(E90=0,0,IF(OR(E90=AR89,),15,0))</f>
        <v>0</v>
      </c>
      <c r="AX90" s="352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Duitsland</v>
      </c>
      <c r="F91" s="872"/>
      <c r="G91" s="872"/>
      <c r="H91" s="872"/>
      <c r="I91" s="872"/>
      <c r="J91" s="872"/>
      <c r="V91" s="352" t="s">
        <v>135</v>
      </c>
      <c r="W91" s="352" t="s">
        <v>128</v>
      </c>
      <c r="X91" s="352" t="str">
        <f t="shared" si="11"/>
        <v>Jürgen Locadia (a)</v>
      </c>
      <c r="AP91" s="109">
        <f>AU91</f>
        <v>5</v>
      </c>
      <c r="AQ91" s="131">
        <v>3</v>
      </c>
      <c r="AR91" s="904" t="str">
        <f>Uitslag!E91</f>
        <v>Nederland</v>
      </c>
      <c r="AS91" s="905"/>
      <c r="AT91" s="906"/>
      <c r="AU91" s="352">
        <f>SUM(AV91:AX91)</f>
        <v>5</v>
      </c>
      <c r="AV91" s="352">
        <f>IF(AR91=0,0,IF(AR91=E91,15,0))</f>
        <v>0</v>
      </c>
      <c r="AW91" s="352">
        <f>IF(E91=0,0,IF(OR(E91=AR92),10,0))</f>
        <v>0</v>
      </c>
      <c r="AX91" s="352">
        <f>IF(E91=0,0,IF(OR(E91=AR89,E91=AR90),5,0))</f>
        <v>5</v>
      </c>
    </row>
    <row r="92" spans="2:50">
      <c r="C92" s="870">
        <v>4</v>
      </c>
      <c r="D92" s="871"/>
      <c r="E92" s="872" t="str">
        <f>IF(J82=2,D82,IF(J82=1,F82,"Wie wordt 4de?"))</f>
        <v>Argentinië</v>
      </c>
      <c r="F92" s="872"/>
      <c r="G92" s="872"/>
      <c r="H92" s="872"/>
      <c r="I92" s="872"/>
      <c r="J92" s="872"/>
      <c r="V92" s="352" t="s">
        <v>135</v>
      </c>
      <c r="W92" s="352" t="s">
        <v>127</v>
      </c>
      <c r="X92" s="352" t="str">
        <f t="shared" si="11"/>
        <v>Memphis Depay (a)</v>
      </c>
      <c r="AP92" s="109">
        <f>AU92</f>
        <v>5</v>
      </c>
      <c r="AQ92" s="131">
        <v>4</v>
      </c>
      <c r="AR92" s="904" t="str">
        <f>Uitslag!E92</f>
        <v>Brazilië</v>
      </c>
      <c r="AS92" s="905"/>
      <c r="AT92" s="906"/>
      <c r="AU92" s="352">
        <f>SUM(AV92:AX92)</f>
        <v>5</v>
      </c>
      <c r="AV92" s="352">
        <f>IF(AR92=0,0,IF(AR92=E92,15,0))</f>
        <v>0</v>
      </c>
      <c r="AW92" s="352">
        <f>IF(E92=0,0,IF(OR(E92=AR91,),10,0))</f>
        <v>0</v>
      </c>
      <c r="AX92" s="352">
        <f>IF(E92=0,0,IF(OR(E92=AR89,E92=AR90),5,0))</f>
        <v>5</v>
      </c>
    </row>
    <row r="93" spans="2:50" ht="15.75" thickBot="1">
      <c r="V93" s="352" t="s">
        <v>135</v>
      </c>
      <c r="W93" s="352" t="s">
        <v>123</v>
      </c>
      <c r="X93" s="352" t="str">
        <f t="shared" si="11"/>
        <v>Quincy Promes (a)</v>
      </c>
      <c r="AS93" s="132"/>
      <c r="AU93" s="133">
        <f>SUM(AU89:AU92)</f>
        <v>15</v>
      </c>
    </row>
    <row r="94" spans="2:50" ht="15.75" thickTop="1">
      <c r="V94" s="352" t="s">
        <v>135</v>
      </c>
      <c r="W94" s="352" t="s">
        <v>122</v>
      </c>
      <c r="X94" s="352" t="str">
        <f t="shared" si="11"/>
        <v>Luc Castaignos (a)</v>
      </c>
    </row>
    <row r="95" spans="2:50">
      <c r="V95" s="352" t="s">
        <v>135</v>
      </c>
      <c r="W95" s="352" t="s">
        <v>113</v>
      </c>
      <c r="X95" s="352" t="str">
        <f t="shared" si="11"/>
        <v>Jean-Paul Boëtius (a)</v>
      </c>
    </row>
    <row r="96" spans="2:50">
      <c r="V96" s="352" t="s">
        <v>135</v>
      </c>
      <c r="W96" s="352" t="s">
        <v>129</v>
      </c>
      <c r="X96" s="352" t="str">
        <f t="shared" si="11"/>
        <v>Luciano Narsingh (a)</v>
      </c>
    </row>
    <row r="97" spans="22:24">
      <c r="V97" s="352" t="s">
        <v>135</v>
      </c>
      <c r="W97" s="352" t="s">
        <v>130</v>
      </c>
      <c r="X97" s="352" t="str">
        <f t="shared" si="11"/>
        <v>Robin van Persie (a)</v>
      </c>
    </row>
    <row r="98" spans="22:24">
      <c r="V98" s="352" t="s">
        <v>135</v>
      </c>
      <c r="W98" s="352" t="s">
        <v>131</v>
      </c>
      <c r="X98" s="352" t="str">
        <f t="shared" si="11"/>
        <v>Arjen Robben (a)</v>
      </c>
    </row>
  </sheetData>
  <mergeCells count="36">
    <mergeCell ref="C91:D91"/>
    <mergeCell ref="E91:J91"/>
    <mergeCell ref="AR91:AT91"/>
    <mergeCell ref="C92:D92"/>
    <mergeCell ref="E92:J92"/>
    <mergeCell ref="AR92:AT92"/>
    <mergeCell ref="C89:D89"/>
    <mergeCell ref="E89:J89"/>
    <mergeCell ref="AR89:AT89"/>
    <mergeCell ref="C90:D90"/>
    <mergeCell ref="E90:J90"/>
    <mergeCell ref="AR90:AT90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</mergeCells>
  <conditionalFormatting sqref="AO9:AO12 AO15:AO18 AO21:AO24 AO27:AO30 AO33:AO36 AO39:AO42 AO45:AO48 AO51:AO54">
    <cfRule type="cellIs" dxfId="14" priority="3" operator="equal">
      <formula>10</formula>
    </cfRule>
  </conditionalFormatting>
  <conditionalFormatting sqref="P58:T58">
    <cfRule type="duplicateValues" dxfId="13" priority="2"/>
  </conditionalFormatting>
  <conditionalFormatting sqref="P58:T68">
    <cfRule type="duplicateValues" dxfId="12" priority="1"/>
  </conditionalFormatting>
  <dataValidations count="10">
    <dataValidation type="list" allowBlank="1" showInputMessage="1" showErrorMessage="1" sqref="P58:P68">
      <formula1>$X$58:$X$98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51:T54">
      <formula1>$W$51:$W$54</formula1>
    </dataValidation>
  </dataValidation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>
  <dimension ref="B1:BB98"/>
  <sheetViews>
    <sheetView topLeftCell="A40" zoomScale="70" zoomScaleNormal="70" workbookViewId="0">
      <selection activeCell="P58" sqref="P58:T68"/>
    </sheetView>
  </sheetViews>
  <sheetFormatPr defaultRowHeight="15" outlineLevelCol="2"/>
  <cols>
    <col min="1" max="1" width="3.42578125" style="352" customWidth="1"/>
    <col min="2" max="2" width="3.5703125" style="352" bestFit="1" customWidth="1"/>
    <col min="3" max="3" width="11.5703125" style="123" bestFit="1" customWidth="1"/>
    <col min="4" max="4" width="19.7109375" style="352" bestFit="1" customWidth="1"/>
    <col min="5" max="5" width="3.42578125" style="352" customWidth="1"/>
    <col min="6" max="6" width="19.7109375" style="352" bestFit="1" customWidth="1"/>
    <col min="7" max="7" width="6.7109375" style="352" customWidth="1"/>
    <col min="8" max="8" width="1.5703125" style="352" bestFit="1" customWidth="1"/>
    <col min="9" max="9" width="6.7109375" style="352" customWidth="1"/>
    <col min="10" max="10" width="6.85546875" style="352" bestFit="1" customWidth="1"/>
    <col min="11" max="13" width="9.140625" style="352" hidden="1" customWidth="1" outlineLevel="1"/>
    <col min="14" max="14" width="11.42578125" style="352" bestFit="1" customWidth="1" collapsed="1"/>
    <col min="15" max="15" width="14.7109375" style="352" bestFit="1" customWidth="1"/>
    <col min="16" max="16" width="12.28515625" style="352" bestFit="1" customWidth="1"/>
    <col min="17" max="17" width="8.140625" style="352" bestFit="1" customWidth="1"/>
    <col min="18" max="18" width="7.7109375" style="352" bestFit="1" customWidth="1"/>
    <col min="19" max="19" width="9.140625" style="352"/>
    <col min="20" max="20" width="8.5703125" style="352" bestFit="1" customWidth="1"/>
    <col min="21" max="21" width="9.140625" style="352"/>
    <col min="22" max="23" width="9.140625" style="352" hidden="1" customWidth="1" outlineLevel="1"/>
    <col min="24" max="24" width="2" style="352" hidden="1" customWidth="1" outlineLevel="1"/>
    <col min="25" max="25" width="12.28515625" style="352" bestFit="1" customWidth="1" collapsed="1"/>
    <col min="26" max="27" width="12.28515625" style="352" hidden="1" customWidth="1" outlineLevel="1"/>
    <col min="28" max="28" width="4.7109375" style="352" hidden="1" customWidth="1" outlineLevel="1"/>
    <col min="29" max="38" width="9.140625" style="352" hidden="1" customWidth="1" outlineLevel="1"/>
    <col min="39" max="39" width="7.42578125" style="352" bestFit="1" customWidth="1" collapsed="1"/>
    <col min="40" max="40" width="19.7109375" style="352" hidden="1" customWidth="1" outlineLevel="1"/>
    <col min="41" max="41" width="9.140625" style="352" hidden="1" customWidth="1" outlineLevel="1"/>
    <col min="42" max="42" width="9.140625" style="352" collapsed="1"/>
    <col min="43" max="49" width="9.140625" style="352" hidden="1" customWidth="1" outlineLevel="2"/>
    <col min="50" max="50" width="11.5703125" style="352" hidden="1" customWidth="1" outlineLevel="2"/>
    <col min="51" max="51" width="11.85546875" style="352" hidden="1" customWidth="1" outlineLevel="1" collapsed="1"/>
    <col min="52" max="52" width="9.42578125" style="352" hidden="1" customWidth="1" outlineLevel="1"/>
    <col min="53" max="53" width="10.5703125" style="352" hidden="1" customWidth="1" outlineLevel="1"/>
    <col min="54" max="54" width="9.140625" style="352" collapsed="1"/>
    <col min="55" max="55" width="11.85546875" style="352" bestFit="1" customWidth="1"/>
    <col min="56" max="16384" width="9.140625" style="352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334</v>
      </c>
      <c r="E3" s="335"/>
      <c r="F3" s="335"/>
      <c r="N3" s="352" t="str">
        <f>D3</f>
        <v>Andrea S. (introducee Léon)</v>
      </c>
      <c r="O3" s="144">
        <f>SUM(P3:S3)</f>
        <v>389</v>
      </c>
      <c r="P3" s="109">
        <f>SUM(Y8:Y86)</f>
        <v>189</v>
      </c>
      <c r="Q3" s="109">
        <f>SUM(AM4:AM55)</f>
        <v>150</v>
      </c>
      <c r="R3" s="109">
        <f>SUM(AP89:AP92)</f>
        <v>20</v>
      </c>
      <c r="S3" s="109">
        <f>SUM(BB58:BB69)</f>
        <v>30</v>
      </c>
      <c r="T3" s="109">
        <f>COUNTIF(AF8:AF86,10)</f>
        <v>7</v>
      </c>
      <c r="U3" s="109" t="str">
        <f>E89</f>
        <v>Brazilië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O6" s="392"/>
      <c r="P6" s="393"/>
      <c r="Q6" s="393"/>
      <c r="R6" s="393"/>
      <c r="S6" s="393"/>
      <c r="T6" s="393"/>
      <c r="U6" s="392"/>
      <c r="V6" s="392"/>
      <c r="W6" s="392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80" t="s">
        <v>3</v>
      </c>
      <c r="E7" s="419"/>
      <c r="F7" s="481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O7" s="353"/>
      <c r="P7" s="393"/>
      <c r="Q7" s="393"/>
      <c r="R7" s="393"/>
      <c r="S7" s="393"/>
      <c r="T7" s="393"/>
      <c r="U7" s="353"/>
      <c r="V7" s="353"/>
      <c r="W7" s="353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458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3</v>
      </c>
      <c r="H8" s="360" t="s">
        <v>9</v>
      </c>
      <c r="I8" s="478">
        <v>1</v>
      </c>
      <c r="J8" s="362">
        <f>IF(I8="","",IF(G8&gt;I8,1,IF(G8&lt;I8,2,3)))</f>
        <v>1</v>
      </c>
      <c r="K8" s="363">
        <f>IF(I8="","",IF($G8&gt;$I8,3,IF($G8=$I8,1,0)))</f>
        <v>3</v>
      </c>
      <c r="L8" s="363">
        <f>IF(I8="","",IF($G8&lt;$I8,3,IF($G8=$I8,1,0)))</f>
        <v>0</v>
      </c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392"/>
      <c r="V8" s="392"/>
      <c r="W8" s="392"/>
      <c r="Y8" s="109">
        <f>AF8</f>
        <v>10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10</v>
      </c>
      <c r="AG8" s="108">
        <f t="shared" ref="AG8:AG55" si="0">IF(AC8="",0,(IF(G8=AC8,1,0)))</f>
        <v>1</v>
      </c>
      <c r="AH8" s="108">
        <f t="shared" ref="AH8:AH55" si="1">IF(AD8="",0,(IF(I8=AD8,1,0)))</f>
        <v>1</v>
      </c>
      <c r="AI8" s="108">
        <f>IF(AND(AG8=1,AH8=1),10,0)</f>
        <v>10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1</v>
      </c>
      <c r="H9" s="367" t="s">
        <v>9</v>
      </c>
      <c r="I9" s="440">
        <v>3</v>
      </c>
      <c r="J9" s="369">
        <f t="shared" ref="J9:J55" si="5">IF(I9="","",IF(G9&gt;I9,1,IF(G9&lt;I9,2,3)))</f>
        <v>2</v>
      </c>
      <c r="K9" s="363">
        <f t="shared" ref="K9:K55" si="6">IF(I9="","",IF($G9&gt;$I9,3,IF($G9=$I9,1,0)))</f>
        <v>0</v>
      </c>
      <c r="L9" s="363">
        <f t="shared" ref="L9:L55" si="7">IF(I9="","",IF($G9&lt;$I9,3,IF($G9=$I9,1,0)))</f>
        <v>3</v>
      </c>
      <c r="O9" s="394" t="s">
        <v>8</v>
      </c>
      <c r="P9" s="395">
        <f>SUMIF($D$8:$D$55,$O9,$G$8:$G$55)+SUMIF($F$8:$F$55,$O9,$I$8:$I$55)</f>
        <v>10</v>
      </c>
      <c r="Q9" s="395">
        <f>SUMIF($D$8:$D$55,$O9,$I$8:$I$55)+SUMIF($F$8:$F$55,$O9,$G$8:$G$55)</f>
        <v>5</v>
      </c>
      <c r="R9" s="396">
        <f>P9-Q9</f>
        <v>5</v>
      </c>
      <c r="S9" s="397">
        <f>SUMIF($D$8:$D$55,$O9,$K$8:$K$55)+SUMIF($F$8:$F$55,$O9,$L$8:$L$55)</f>
        <v>9</v>
      </c>
      <c r="T9" s="444" t="s">
        <v>48</v>
      </c>
      <c r="U9" s="392"/>
      <c r="V9" s="392" t="str">
        <f>O9</f>
        <v>Brazilië</v>
      </c>
      <c r="W9" s="392" t="s">
        <v>48</v>
      </c>
      <c r="Y9" s="109">
        <f t="shared" ref="Y9:Y55" si="8">AF9</f>
        <v>1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1</v>
      </c>
      <c r="AG9" s="108">
        <f t="shared" si="0"/>
        <v>1</v>
      </c>
      <c r="AH9" s="108">
        <f t="shared" si="1"/>
        <v>0</v>
      </c>
      <c r="AI9" s="108">
        <f t="shared" ref="AI9:AI55" si="10">IF(AND(AG9=1,AH9=1),10,0)</f>
        <v>0</v>
      </c>
      <c r="AJ9" s="108">
        <f t="shared" si="2"/>
        <v>0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1</v>
      </c>
      <c r="H10" s="373" t="s">
        <v>9</v>
      </c>
      <c r="I10" s="441">
        <v>3</v>
      </c>
      <c r="J10" s="375">
        <f t="shared" si="5"/>
        <v>2</v>
      </c>
      <c r="K10" s="363">
        <f t="shared" si="6"/>
        <v>0</v>
      </c>
      <c r="L10" s="363">
        <f t="shared" si="7"/>
        <v>3</v>
      </c>
      <c r="O10" s="398" t="s">
        <v>10</v>
      </c>
      <c r="P10" s="399">
        <f>SUMIF($D$8:$D$55,$O10,$G$8:$G$55)+SUMIF($F$8:$F$55,$O10,$I$8:$I$55)</f>
        <v>3</v>
      </c>
      <c r="Q10" s="399">
        <f>SUMIF($D$8:$D$55,$O10,$I$8:$I$55)+SUMIF($F$8:$F$55,$O10,$G$8:$G$55)</f>
        <v>7</v>
      </c>
      <c r="R10" s="399">
        <f>P10-Q10</f>
        <v>-4</v>
      </c>
      <c r="S10" s="400">
        <f>SUMIF($D$8:$D$55,$O10,$K$8:$K$55)+SUMIF($F$8:$F$55,$O10,$L$8:$L$55)</f>
        <v>1</v>
      </c>
      <c r="T10" s="445" t="s">
        <v>50</v>
      </c>
      <c r="U10" s="392"/>
      <c r="V10" s="392" t="str">
        <f>O10</f>
        <v>Kroatië</v>
      </c>
      <c r="W10" s="392" t="s">
        <v>49</v>
      </c>
      <c r="Y10" s="109">
        <f t="shared" si="8"/>
        <v>6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6</v>
      </c>
      <c r="AG10" s="108">
        <f t="shared" si="0"/>
        <v>1</v>
      </c>
      <c r="AH10" s="108">
        <f t="shared" si="1"/>
        <v>0</v>
      </c>
      <c r="AI10" s="108">
        <f t="shared" si="10"/>
        <v>0</v>
      </c>
      <c r="AJ10" s="108">
        <f t="shared" si="2"/>
        <v>0</v>
      </c>
      <c r="AK10" s="108">
        <f t="shared" si="3"/>
        <v>5</v>
      </c>
      <c r="AL10" s="108">
        <f t="shared" si="4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1</v>
      </c>
      <c r="H11" s="379" t="s">
        <v>9</v>
      </c>
      <c r="I11" s="442">
        <v>1</v>
      </c>
      <c r="J11" s="381">
        <f t="shared" si="5"/>
        <v>3</v>
      </c>
      <c r="K11" s="363">
        <f t="shared" si="6"/>
        <v>1</v>
      </c>
      <c r="L11" s="363">
        <f t="shared" si="7"/>
        <v>1</v>
      </c>
      <c r="O11" s="398" t="s">
        <v>11</v>
      </c>
      <c r="P11" s="399">
        <f>SUMIF($D$8:$D$55,$O11,$G$8:$G$55)+SUMIF($F$8:$F$55,$O11,$I$8:$I$55)</f>
        <v>5</v>
      </c>
      <c r="Q11" s="399">
        <f>SUMIF($D$8:$D$55,$O11,$I$8:$I$55)+SUMIF($F$8:$F$55,$O11,$G$8:$G$55)</f>
        <v>9</v>
      </c>
      <c r="R11" s="399">
        <f>P11-Q11</f>
        <v>-4</v>
      </c>
      <c r="S11" s="400">
        <f>SUMIF($D$8:$D$55,$O11,$K$8:$K$55)+SUMIF($F$8:$F$55,$O11,$L$8:$L$55)</f>
        <v>1</v>
      </c>
      <c r="T11" s="445" t="s">
        <v>47</v>
      </c>
      <c r="U11" s="392"/>
      <c r="V11" s="392" t="str">
        <f>O11</f>
        <v>Mexico</v>
      </c>
      <c r="W11" s="392" t="s">
        <v>47</v>
      </c>
      <c r="Y11" s="109">
        <f t="shared" si="8"/>
        <v>1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1</v>
      </c>
      <c r="AG11" s="108">
        <f t="shared" si="0"/>
        <v>0</v>
      </c>
      <c r="AH11" s="108">
        <f t="shared" si="1"/>
        <v>1</v>
      </c>
      <c r="AI11" s="108">
        <f t="shared" si="10"/>
        <v>0</v>
      </c>
      <c r="AJ11" s="108">
        <f t="shared" si="2"/>
        <v>0</v>
      </c>
      <c r="AK11" s="108">
        <f t="shared" si="3"/>
        <v>0</v>
      </c>
      <c r="AL11" s="108">
        <f t="shared" si="4"/>
        <v>0</v>
      </c>
      <c r="AM11" s="120">
        <f>AO11</f>
        <v>0</v>
      </c>
      <c r="AN11" s="117" t="s">
        <v>11</v>
      </c>
      <c r="AO11" s="115">
        <f>IF(Uitslag!T11="",0,IF(T11=Uitslag!T11,10,0))</f>
        <v>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2</v>
      </c>
      <c r="H12" s="367" t="s">
        <v>9</v>
      </c>
      <c r="I12" s="440">
        <v>2</v>
      </c>
      <c r="J12" s="369">
        <f t="shared" si="5"/>
        <v>3</v>
      </c>
      <c r="K12" s="363">
        <f t="shared" si="6"/>
        <v>1</v>
      </c>
      <c r="L12" s="363">
        <f t="shared" si="7"/>
        <v>1</v>
      </c>
      <c r="O12" s="401" t="s">
        <v>12</v>
      </c>
      <c r="P12" s="402">
        <f>SUMIF($D$8:$D$55,$O12,$G$8:$G$55)+SUMIF($F$8:$F$55,$O12,$I$8:$I$55)</f>
        <v>7</v>
      </c>
      <c r="Q12" s="402">
        <f>SUMIF($D$8:$D$55,$O12,$I$8:$I$55)+SUMIF($F$8:$F$55,$O12,$G$8:$G$55)</f>
        <v>4</v>
      </c>
      <c r="R12" s="402">
        <f>P12-Q12</f>
        <v>3</v>
      </c>
      <c r="S12" s="403">
        <f>SUMIF($D$8:$D$55,$O12,$K$8:$K$55)+SUMIF($F$8:$F$55,$O12,$L$8:$L$55)</f>
        <v>6</v>
      </c>
      <c r="T12" s="446" t="s">
        <v>49</v>
      </c>
      <c r="U12" s="392"/>
      <c r="V12" s="392" t="str">
        <f>O12</f>
        <v>Kameroen</v>
      </c>
      <c r="W12" s="392" t="s">
        <v>50</v>
      </c>
      <c r="Y12" s="109">
        <f t="shared" si="8"/>
        <v>0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0</v>
      </c>
      <c r="AG12" s="108">
        <f t="shared" si="0"/>
        <v>0</v>
      </c>
      <c r="AH12" s="108">
        <f t="shared" si="1"/>
        <v>0</v>
      </c>
      <c r="AI12" s="108">
        <f t="shared" si="10"/>
        <v>0</v>
      </c>
      <c r="AJ12" s="108">
        <f t="shared" si="2"/>
        <v>0</v>
      </c>
      <c r="AK12" s="108">
        <f t="shared" si="3"/>
        <v>0</v>
      </c>
      <c r="AL12" s="108">
        <f t="shared" si="4"/>
        <v>0</v>
      </c>
      <c r="AM12" s="120">
        <f>AO12</f>
        <v>0</v>
      </c>
      <c r="AN12" s="118" t="s">
        <v>12</v>
      </c>
      <c r="AO12" s="115">
        <f>IF(Uitslag!T12="",0,IF(T12=Uitslag!T12,10,0))</f>
        <v>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2</v>
      </c>
      <c r="H13" s="373" t="s">
        <v>9</v>
      </c>
      <c r="I13" s="441">
        <v>2</v>
      </c>
      <c r="J13" s="375">
        <f t="shared" si="5"/>
        <v>3</v>
      </c>
      <c r="K13" s="363">
        <f t="shared" si="6"/>
        <v>1</v>
      </c>
      <c r="L13" s="363">
        <f t="shared" si="7"/>
        <v>1</v>
      </c>
      <c r="O13" s="392"/>
      <c r="P13" s="393"/>
      <c r="Q13" s="393"/>
      <c r="R13" s="393"/>
      <c r="S13" s="393"/>
      <c r="T13" s="393"/>
      <c r="U13" s="392"/>
      <c r="V13" s="392"/>
      <c r="W13" s="392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0"/>
        <v>0</v>
      </c>
      <c r="AH13" s="108">
        <f t="shared" si="1"/>
        <v>0</v>
      </c>
      <c r="AI13" s="108">
        <f t="shared" si="10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392"/>
      <c r="AO13" s="393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1</v>
      </c>
      <c r="H14" s="373" t="s">
        <v>9</v>
      </c>
      <c r="I14" s="441">
        <v>2</v>
      </c>
      <c r="J14" s="375">
        <f t="shared" si="5"/>
        <v>2</v>
      </c>
      <c r="K14" s="363">
        <f t="shared" si="6"/>
        <v>0</v>
      </c>
      <c r="L14" s="363">
        <f t="shared" si="7"/>
        <v>3</v>
      </c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392"/>
      <c r="V14" s="392"/>
      <c r="W14" s="392"/>
      <c r="Y14" s="109">
        <f t="shared" si="8"/>
        <v>10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10</v>
      </c>
      <c r="AG14" s="108">
        <f t="shared" si="0"/>
        <v>1</v>
      </c>
      <c r="AH14" s="108">
        <f t="shared" si="1"/>
        <v>1</v>
      </c>
      <c r="AI14" s="108">
        <f t="shared" si="10"/>
        <v>10</v>
      </c>
      <c r="AJ14" s="108">
        <f t="shared" si="2"/>
        <v>0</v>
      </c>
      <c r="AK14" s="108">
        <f t="shared" si="3"/>
        <v>5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3</v>
      </c>
      <c r="H15" s="379" t="s">
        <v>9</v>
      </c>
      <c r="I15" s="442">
        <v>0</v>
      </c>
      <c r="J15" s="381">
        <f t="shared" si="5"/>
        <v>1</v>
      </c>
      <c r="K15" s="363">
        <f t="shared" si="6"/>
        <v>3</v>
      </c>
      <c r="L15" s="363">
        <f t="shared" si="7"/>
        <v>0</v>
      </c>
      <c r="O15" s="394" t="s">
        <v>13</v>
      </c>
      <c r="P15" s="395">
        <f>SUMIF($D$8:$D$55,$O15,$G$8:$G$55)+SUMIF($F$8:$F$55,$O15,$I$8:$I$55)</f>
        <v>6</v>
      </c>
      <c r="Q15" s="395">
        <f>SUMIF($D$8:$D$55,$O15,$I$8:$I$55)+SUMIF($F$8:$F$55,$O15,$G$8:$G$55)</f>
        <v>7</v>
      </c>
      <c r="R15" s="396">
        <f>P15-Q15</f>
        <v>-1</v>
      </c>
      <c r="S15" s="397">
        <f>SUMIF($D$8:$D$55,$O15,$K$8:$K$55)+SUMIF($F$8:$F$55,$O15,$L$8:$L$55)</f>
        <v>4</v>
      </c>
      <c r="T15" s="444" t="s">
        <v>53</v>
      </c>
      <c r="U15" s="392"/>
      <c r="V15" s="392" t="str">
        <f>O15</f>
        <v>Spanje</v>
      </c>
      <c r="W15" s="392" t="s">
        <v>52</v>
      </c>
      <c r="Y15" s="109">
        <f t="shared" si="8"/>
        <v>5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5</v>
      </c>
      <c r="AG15" s="108">
        <f t="shared" si="0"/>
        <v>0</v>
      </c>
      <c r="AH15" s="108">
        <f t="shared" si="1"/>
        <v>0</v>
      </c>
      <c r="AI15" s="108">
        <f t="shared" si="10"/>
        <v>0</v>
      </c>
      <c r="AJ15" s="108">
        <f t="shared" si="2"/>
        <v>5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0</v>
      </c>
      <c r="H16" s="367" t="s">
        <v>9</v>
      </c>
      <c r="I16" s="440">
        <v>2</v>
      </c>
      <c r="J16" s="369">
        <f t="shared" si="5"/>
        <v>2</v>
      </c>
      <c r="K16" s="363">
        <f t="shared" si="6"/>
        <v>0</v>
      </c>
      <c r="L16" s="363">
        <f t="shared" si="7"/>
        <v>3</v>
      </c>
      <c r="O16" s="404" t="s">
        <v>14</v>
      </c>
      <c r="P16" s="399">
        <f>SUMIF($D$8:$D$55,$O16,$G$8:$G$55)+SUMIF($F$8:$F$55,$O16,$I$8:$I$55)</f>
        <v>9</v>
      </c>
      <c r="Q16" s="399">
        <f>SUMIF($D$8:$D$55,$O16,$I$8:$I$55)+SUMIF($F$8:$F$55,$O16,$G$8:$G$55)</f>
        <v>2</v>
      </c>
      <c r="R16" s="399">
        <f>P16-Q16</f>
        <v>7</v>
      </c>
      <c r="S16" s="400">
        <f>SUMIF($D$8:$D$55,$O16,$K$8:$K$55)+SUMIF($F$8:$F$55,$O16,$L$8:$L$55)</f>
        <v>9</v>
      </c>
      <c r="T16" s="445" t="s">
        <v>52</v>
      </c>
      <c r="U16" s="392"/>
      <c r="V16" s="392" t="str">
        <f>O16</f>
        <v>Nederland</v>
      </c>
      <c r="W16" s="392" t="s">
        <v>53</v>
      </c>
      <c r="Y16" s="109">
        <f t="shared" si="8"/>
        <v>0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0</v>
      </c>
      <c r="AG16" s="108">
        <f t="shared" si="0"/>
        <v>0</v>
      </c>
      <c r="AH16" s="108">
        <f t="shared" si="1"/>
        <v>0</v>
      </c>
      <c r="AI16" s="108">
        <f t="shared" si="10"/>
        <v>0</v>
      </c>
      <c r="AJ16" s="108">
        <f t="shared" si="2"/>
        <v>0</v>
      </c>
      <c r="AK16" s="108">
        <f t="shared" si="3"/>
        <v>0</v>
      </c>
      <c r="AL16" s="108">
        <f t="shared" si="4"/>
        <v>0</v>
      </c>
      <c r="AM16" s="120">
        <f>AO16</f>
        <v>10</v>
      </c>
      <c r="AN16" s="119" t="s">
        <v>14</v>
      </c>
      <c r="AO16" s="115">
        <f>IF(Uitslag!T16="",0,IF(T16=Uitslag!T16,10,0))</f>
        <v>10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3</v>
      </c>
      <c r="H17" s="373" t="s">
        <v>9</v>
      </c>
      <c r="I17" s="441">
        <v>1</v>
      </c>
      <c r="J17" s="375">
        <f t="shared" si="5"/>
        <v>1</v>
      </c>
      <c r="K17" s="363">
        <f t="shared" si="6"/>
        <v>3</v>
      </c>
      <c r="L17" s="363">
        <f t="shared" si="7"/>
        <v>0</v>
      </c>
      <c r="O17" s="398" t="s">
        <v>15</v>
      </c>
      <c r="P17" s="399">
        <f>SUMIF($D$8:$D$55,$O17,$G$8:$G$55)+SUMIF($F$8:$F$55,$O17,$I$8:$I$55)</f>
        <v>4</v>
      </c>
      <c r="Q17" s="399">
        <f>SUMIF($D$8:$D$55,$O17,$I$8:$I$55)+SUMIF($F$8:$F$55,$O17,$G$8:$G$55)</f>
        <v>6</v>
      </c>
      <c r="R17" s="399">
        <f>P17-Q17</f>
        <v>-2</v>
      </c>
      <c r="S17" s="400">
        <f>SUMIF($D$8:$D$55,$O17,$K$8:$K$55)+SUMIF($F$8:$F$55,$O17,$L$8:$L$55)</f>
        <v>2</v>
      </c>
      <c r="T17" s="445" t="s">
        <v>54</v>
      </c>
      <c r="U17" s="392"/>
      <c r="V17" s="392" t="str">
        <f>O17</f>
        <v>Chili</v>
      </c>
      <c r="W17" s="392" t="s">
        <v>54</v>
      </c>
      <c r="Y17" s="109">
        <f t="shared" si="8"/>
        <v>6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6</v>
      </c>
      <c r="AG17" s="108">
        <f t="shared" si="0"/>
        <v>1</v>
      </c>
      <c r="AH17" s="108">
        <f t="shared" si="1"/>
        <v>0</v>
      </c>
      <c r="AI17" s="108">
        <f t="shared" si="10"/>
        <v>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3</v>
      </c>
      <c r="H18" s="379" t="s">
        <v>9</v>
      </c>
      <c r="I18" s="442">
        <v>1</v>
      </c>
      <c r="J18" s="381">
        <f t="shared" si="5"/>
        <v>1</v>
      </c>
      <c r="K18" s="363">
        <f t="shared" si="6"/>
        <v>3</v>
      </c>
      <c r="L18" s="363">
        <f t="shared" si="7"/>
        <v>0</v>
      </c>
      <c r="O18" s="401" t="s">
        <v>16</v>
      </c>
      <c r="P18" s="402">
        <f>SUMIF($D$8:$D$55,$O18,$G$8:$G$55)+SUMIF($F$8:$F$55,$O18,$I$8:$I$55)</f>
        <v>3</v>
      </c>
      <c r="Q18" s="402">
        <f>SUMIF($D$8:$D$55,$O18,$I$8:$I$55)+SUMIF($F$8:$F$55,$O18,$G$8:$G$55)</f>
        <v>7</v>
      </c>
      <c r="R18" s="402">
        <f>P18-Q18</f>
        <v>-4</v>
      </c>
      <c r="S18" s="403">
        <f>SUMIF($D$8:$D$55,$O18,$K$8:$K$55)+SUMIF($F$8:$F$55,$O18,$L$8:$L$55)</f>
        <v>1</v>
      </c>
      <c r="T18" s="446" t="s">
        <v>55</v>
      </c>
      <c r="U18" s="392"/>
      <c r="V18" s="392" t="str">
        <f>O18</f>
        <v>Australië</v>
      </c>
      <c r="W18" s="392" t="s">
        <v>55</v>
      </c>
      <c r="Y18" s="109">
        <f t="shared" si="8"/>
        <v>6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6</v>
      </c>
      <c r="AG18" s="108">
        <f t="shared" si="0"/>
        <v>0</v>
      </c>
      <c r="AH18" s="108">
        <f t="shared" si="1"/>
        <v>1</v>
      </c>
      <c r="AI18" s="108">
        <f t="shared" si="10"/>
        <v>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3</v>
      </c>
      <c r="H19" s="367" t="s">
        <v>9</v>
      </c>
      <c r="I19" s="440">
        <v>2</v>
      </c>
      <c r="J19" s="369">
        <f t="shared" si="5"/>
        <v>1</v>
      </c>
      <c r="K19" s="363">
        <f t="shared" si="6"/>
        <v>3</v>
      </c>
      <c r="L19" s="363">
        <f t="shared" si="7"/>
        <v>0</v>
      </c>
      <c r="O19" s="392"/>
      <c r="P19" s="393"/>
      <c r="Q19" s="393"/>
      <c r="R19" s="393"/>
      <c r="S19" s="393"/>
      <c r="T19" s="393"/>
      <c r="U19" s="392"/>
      <c r="V19" s="392"/>
      <c r="W19" s="392"/>
      <c r="Y19" s="109">
        <f t="shared" si="8"/>
        <v>5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5</v>
      </c>
      <c r="AG19" s="108">
        <f t="shared" si="0"/>
        <v>0</v>
      </c>
      <c r="AH19" s="108">
        <f t="shared" si="1"/>
        <v>0</v>
      </c>
      <c r="AI19" s="108">
        <f t="shared" si="10"/>
        <v>0</v>
      </c>
      <c r="AJ19" s="108">
        <f t="shared" si="2"/>
        <v>5</v>
      </c>
      <c r="AK19" s="108">
        <f t="shared" si="3"/>
        <v>0</v>
      </c>
      <c r="AL19" s="108">
        <f t="shared" si="4"/>
        <v>0</v>
      </c>
      <c r="AN19" s="392"/>
      <c r="AO19" s="393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0</v>
      </c>
      <c r="H20" s="373" t="s">
        <v>9</v>
      </c>
      <c r="I20" s="441">
        <v>4</v>
      </c>
      <c r="J20" s="375">
        <f t="shared" si="5"/>
        <v>2</v>
      </c>
      <c r="K20" s="363">
        <f t="shared" si="6"/>
        <v>0</v>
      </c>
      <c r="L20" s="363">
        <f t="shared" si="7"/>
        <v>3</v>
      </c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392"/>
      <c r="V20" s="392"/>
      <c r="W20" s="392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0"/>
        <v>1</v>
      </c>
      <c r="AH20" s="108">
        <f t="shared" si="1"/>
        <v>0</v>
      </c>
      <c r="AI20" s="108">
        <f t="shared" si="10"/>
        <v>0</v>
      </c>
      <c r="AJ20" s="108">
        <f t="shared" si="2"/>
        <v>0</v>
      </c>
      <c r="AK20" s="108">
        <f t="shared" si="3"/>
        <v>0</v>
      </c>
      <c r="AL20" s="108">
        <f t="shared" si="4"/>
        <v>0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2</v>
      </c>
      <c r="H21" s="379" t="s">
        <v>9</v>
      </c>
      <c r="I21" s="442">
        <v>1</v>
      </c>
      <c r="J21" s="381">
        <f t="shared" si="5"/>
        <v>1</v>
      </c>
      <c r="K21" s="363">
        <f t="shared" si="6"/>
        <v>3</v>
      </c>
      <c r="L21" s="363">
        <f t="shared" si="7"/>
        <v>0</v>
      </c>
      <c r="O21" s="394" t="s">
        <v>17</v>
      </c>
      <c r="P21" s="395">
        <f>SUMIF($D$8:$D$55,$O21,$G$8:$G$55)+SUMIF($F$8:$F$55,$O21,$I$8:$I$55)</f>
        <v>4</v>
      </c>
      <c r="Q21" s="395">
        <f>SUMIF($D$8:$D$55,$O21,$I$8:$I$55)+SUMIF($F$8:$F$55,$O21,$G$8:$G$55)</f>
        <v>6</v>
      </c>
      <c r="R21" s="396">
        <f>P21-Q21</f>
        <v>-2</v>
      </c>
      <c r="S21" s="397">
        <f>SUMIF($D$8:$D$55,$O21,$K$8:$K$55)+SUMIF($F$8:$F$55,$O21,$L$8:$L$55)</f>
        <v>2</v>
      </c>
      <c r="T21" s="444" t="s">
        <v>60</v>
      </c>
      <c r="U21" s="392"/>
      <c r="V21" s="392" t="str">
        <f>O21</f>
        <v>Colombia</v>
      </c>
      <c r="W21" s="392" t="s">
        <v>57</v>
      </c>
      <c r="Y21" s="109">
        <f t="shared" si="8"/>
        <v>0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0</v>
      </c>
      <c r="AG21" s="108">
        <f t="shared" si="0"/>
        <v>0</v>
      </c>
      <c r="AH21" s="108">
        <f t="shared" si="1"/>
        <v>0</v>
      </c>
      <c r="AI21" s="108">
        <f t="shared" si="10"/>
        <v>0</v>
      </c>
      <c r="AJ21" s="108">
        <f t="shared" si="2"/>
        <v>0</v>
      </c>
      <c r="AK21" s="108">
        <f t="shared" si="3"/>
        <v>0</v>
      </c>
      <c r="AL21" s="108">
        <f t="shared" si="4"/>
        <v>0</v>
      </c>
      <c r="AM21" s="120">
        <f>AO21</f>
        <v>0</v>
      </c>
      <c r="AN21" s="116" t="s">
        <v>17</v>
      </c>
      <c r="AO21" s="115">
        <f>IF(Uitslag!T21="",0,IF(T21=Uitslag!T21,10,0))</f>
        <v>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2</v>
      </c>
      <c r="H22" s="367" t="s">
        <v>9</v>
      </c>
      <c r="I22" s="440">
        <v>1</v>
      </c>
      <c r="J22" s="369">
        <f t="shared" si="5"/>
        <v>1</v>
      </c>
      <c r="K22" s="363">
        <f t="shared" si="6"/>
        <v>3</v>
      </c>
      <c r="L22" s="363">
        <f t="shared" si="7"/>
        <v>0</v>
      </c>
      <c r="O22" s="398" t="s">
        <v>18</v>
      </c>
      <c r="P22" s="399">
        <f>SUMIF($D$8:$D$55,$O22,$G$8:$G$55)+SUMIF($F$8:$F$55,$O22,$I$8:$I$55)</f>
        <v>3</v>
      </c>
      <c r="Q22" s="399">
        <f>SUMIF($D$8:$D$55,$O22,$I$8:$I$55)+SUMIF($F$8:$F$55,$O22,$G$8:$G$55)</f>
        <v>5</v>
      </c>
      <c r="R22" s="399">
        <f>P22-Q22</f>
        <v>-2</v>
      </c>
      <c r="S22" s="400">
        <f>SUMIF($D$8:$D$55,$O22,$K$8:$K$55)+SUMIF($F$8:$F$55,$O22,$L$8:$L$55)</f>
        <v>2</v>
      </c>
      <c r="T22" s="445" t="s">
        <v>58</v>
      </c>
      <c r="U22" s="392"/>
      <c r="V22" s="392" t="str">
        <f>O22</f>
        <v>Griekenland</v>
      </c>
      <c r="W22" s="392" t="s">
        <v>58</v>
      </c>
      <c r="Y22" s="109">
        <f t="shared" si="8"/>
        <v>10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10</v>
      </c>
      <c r="AG22" s="108">
        <f t="shared" si="0"/>
        <v>1</v>
      </c>
      <c r="AH22" s="108">
        <f t="shared" si="1"/>
        <v>1</v>
      </c>
      <c r="AI22" s="108">
        <f t="shared" si="10"/>
        <v>10</v>
      </c>
      <c r="AJ22" s="108">
        <f t="shared" si="2"/>
        <v>5</v>
      </c>
      <c r="AK22" s="108">
        <f t="shared" si="3"/>
        <v>0</v>
      </c>
      <c r="AL22" s="108">
        <f t="shared" si="4"/>
        <v>0</v>
      </c>
      <c r="AM22" s="120">
        <f>AO22</f>
        <v>10</v>
      </c>
      <c r="AN22" s="117" t="s">
        <v>18</v>
      </c>
      <c r="AO22" s="115">
        <f>IF(Uitslag!T22="",0,IF(T22=Uitslag!T22,10,0))</f>
        <v>10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4</v>
      </c>
      <c r="H23" s="373" t="s">
        <v>9</v>
      </c>
      <c r="I23" s="441">
        <v>2</v>
      </c>
      <c r="J23" s="375">
        <f t="shared" si="5"/>
        <v>1</v>
      </c>
      <c r="K23" s="363">
        <f t="shared" si="6"/>
        <v>3</v>
      </c>
      <c r="L23" s="363">
        <f t="shared" si="7"/>
        <v>0</v>
      </c>
      <c r="O23" s="398" t="s">
        <v>23</v>
      </c>
      <c r="P23" s="399">
        <f>SUMIF($D$8:$D$55,$O23,$G$8:$G$55)+SUMIF($F$8:$F$55,$O23,$I$8:$I$55)</f>
        <v>8</v>
      </c>
      <c r="Q23" s="399">
        <f>SUMIF($D$8:$D$55,$O23,$I$8:$I$55)+SUMIF($F$8:$F$55,$O23,$G$8:$G$55)</f>
        <v>1</v>
      </c>
      <c r="R23" s="399">
        <f>P23-Q23</f>
        <v>7</v>
      </c>
      <c r="S23" s="400">
        <f>SUMIF($D$8:$D$55,$O23,$K$8:$K$55)+SUMIF($F$8:$F$55,$O23,$L$8:$L$55)</f>
        <v>9</v>
      </c>
      <c r="T23" s="445" t="s">
        <v>57</v>
      </c>
      <c r="U23" s="392"/>
      <c r="V23" s="392" t="str">
        <f>O23</f>
        <v>Ivoorkust</v>
      </c>
      <c r="W23" s="392" t="s">
        <v>59</v>
      </c>
      <c r="Y23" s="109">
        <f t="shared" si="8"/>
        <v>0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0</v>
      </c>
      <c r="AG23" s="108">
        <f t="shared" si="0"/>
        <v>0</v>
      </c>
      <c r="AH23" s="108">
        <f t="shared" si="1"/>
        <v>0</v>
      </c>
      <c r="AI23" s="108">
        <f t="shared" si="10"/>
        <v>0</v>
      </c>
      <c r="AJ23" s="108">
        <f t="shared" si="2"/>
        <v>0</v>
      </c>
      <c r="AK23" s="108">
        <f t="shared" si="3"/>
        <v>0</v>
      </c>
      <c r="AL23" s="108">
        <f t="shared" si="4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2</v>
      </c>
      <c r="H24" s="379" t="s">
        <v>9</v>
      </c>
      <c r="I24" s="442">
        <v>2</v>
      </c>
      <c r="J24" s="381">
        <f t="shared" si="5"/>
        <v>3</v>
      </c>
      <c r="K24" s="363">
        <f t="shared" si="6"/>
        <v>1</v>
      </c>
      <c r="L24" s="363">
        <f t="shared" si="7"/>
        <v>1</v>
      </c>
      <c r="O24" s="401" t="s">
        <v>24</v>
      </c>
      <c r="P24" s="402">
        <f>SUMIF($D$8:$D$55,$O24,$G$8:$G$55)+SUMIF($F$8:$F$55,$O24,$I$8:$I$55)</f>
        <v>2</v>
      </c>
      <c r="Q24" s="402">
        <f>SUMIF($D$8:$D$55,$O24,$I$8:$I$55)+SUMIF($F$8:$F$55,$O24,$G$8:$G$55)</f>
        <v>5</v>
      </c>
      <c r="R24" s="402">
        <f>P24-Q24</f>
        <v>-3</v>
      </c>
      <c r="S24" s="403">
        <f>SUMIF($D$8:$D$55,$O24,$K$8:$K$55)+SUMIF($F$8:$F$55,$O24,$L$8:$L$55)</f>
        <v>2</v>
      </c>
      <c r="T24" s="446" t="s">
        <v>59</v>
      </c>
      <c r="U24" s="392"/>
      <c r="V24" s="392" t="str">
        <f>O24</f>
        <v>Japan</v>
      </c>
      <c r="W24" s="392" t="s">
        <v>60</v>
      </c>
      <c r="Y24" s="109">
        <f t="shared" si="8"/>
        <v>5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5</v>
      </c>
      <c r="AG24" s="108">
        <f t="shared" si="0"/>
        <v>0</v>
      </c>
      <c r="AH24" s="108">
        <f t="shared" si="1"/>
        <v>0</v>
      </c>
      <c r="AI24" s="108">
        <f t="shared" si="10"/>
        <v>0</v>
      </c>
      <c r="AJ24" s="108">
        <f t="shared" si="2"/>
        <v>0</v>
      </c>
      <c r="AK24" s="108">
        <f t="shared" si="3"/>
        <v>0</v>
      </c>
      <c r="AL24" s="108">
        <f t="shared" si="4"/>
        <v>5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1</v>
      </c>
      <c r="H25" s="367" t="s">
        <v>9</v>
      </c>
      <c r="I25" s="440">
        <v>4</v>
      </c>
      <c r="J25" s="369">
        <f t="shared" si="5"/>
        <v>2</v>
      </c>
      <c r="K25" s="363">
        <f t="shared" si="6"/>
        <v>0</v>
      </c>
      <c r="L25" s="363">
        <f t="shared" si="7"/>
        <v>3</v>
      </c>
      <c r="O25" s="392"/>
      <c r="P25" s="393"/>
      <c r="Q25" s="393"/>
      <c r="R25" s="393"/>
      <c r="S25" s="393"/>
      <c r="T25" s="393"/>
      <c r="U25" s="392"/>
      <c r="V25" s="392"/>
      <c r="W25" s="392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0"/>
        <v>0</v>
      </c>
      <c r="AH25" s="108">
        <f t="shared" si="1"/>
        <v>0</v>
      </c>
      <c r="AI25" s="108">
        <f t="shared" si="10"/>
        <v>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392"/>
      <c r="AO25" s="393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3</v>
      </c>
      <c r="H26" s="373" t="s">
        <v>9</v>
      </c>
      <c r="I26" s="441">
        <v>3</v>
      </c>
      <c r="J26" s="375">
        <f t="shared" si="5"/>
        <v>3</v>
      </c>
      <c r="K26" s="363">
        <f t="shared" si="6"/>
        <v>1</v>
      </c>
      <c r="L26" s="363">
        <f t="shared" si="7"/>
        <v>1</v>
      </c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392"/>
      <c r="V26" s="392"/>
      <c r="W26" s="392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0"/>
        <v>0</v>
      </c>
      <c r="AH26" s="108">
        <f t="shared" si="1"/>
        <v>0</v>
      </c>
      <c r="AI26" s="108">
        <f t="shared" si="10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2</v>
      </c>
      <c r="H27" s="379" t="s">
        <v>9</v>
      </c>
      <c r="I27" s="442">
        <v>0</v>
      </c>
      <c r="J27" s="381">
        <f t="shared" si="5"/>
        <v>1</v>
      </c>
      <c r="K27" s="363">
        <f t="shared" si="6"/>
        <v>3</v>
      </c>
      <c r="L27" s="363">
        <f t="shared" si="7"/>
        <v>0</v>
      </c>
      <c r="O27" s="394" t="s">
        <v>19</v>
      </c>
      <c r="P27" s="395">
        <f>SUMIF($D$8:$D$55,$O27,$G$8:$G$55)+SUMIF($F$8:$F$55,$O27,$I$8:$I$55)</f>
        <v>6</v>
      </c>
      <c r="Q27" s="395">
        <f>SUMIF($D$8:$D$55,$O27,$I$8:$I$55)+SUMIF($F$8:$F$55,$O27,$G$8:$G$55)</f>
        <v>7</v>
      </c>
      <c r="R27" s="396">
        <f>P27-Q27</f>
        <v>-1</v>
      </c>
      <c r="S27" s="397">
        <f>SUMIF($D$8:$D$55,$O27,$K$8:$K$55)+SUMIF($F$8:$F$55,$O27,$L$8:$L$55)</f>
        <v>2</v>
      </c>
      <c r="T27" s="444" t="s">
        <v>64</v>
      </c>
      <c r="U27" s="392"/>
      <c r="V27" s="392" t="str">
        <f>O27</f>
        <v>Uruguay</v>
      </c>
      <c r="W27" s="392" t="s">
        <v>62</v>
      </c>
      <c r="Y27" s="109">
        <f t="shared" si="8"/>
        <v>0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0</v>
      </c>
      <c r="AG27" s="108">
        <f t="shared" si="0"/>
        <v>0</v>
      </c>
      <c r="AH27" s="108">
        <f t="shared" si="1"/>
        <v>0</v>
      </c>
      <c r="AI27" s="108">
        <f t="shared" si="10"/>
        <v>0</v>
      </c>
      <c r="AJ27" s="108">
        <f t="shared" si="2"/>
        <v>0</v>
      </c>
      <c r="AK27" s="108">
        <f t="shared" si="3"/>
        <v>0</v>
      </c>
      <c r="AL27" s="108">
        <f t="shared" si="4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1</v>
      </c>
      <c r="H28" s="367" t="s">
        <v>9</v>
      </c>
      <c r="I28" s="440">
        <v>3</v>
      </c>
      <c r="J28" s="369">
        <f t="shared" si="5"/>
        <v>2</v>
      </c>
      <c r="K28" s="363">
        <f t="shared" si="6"/>
        <v>0</v>
      </c>
      <c r="L28" s="363">
        <f t="shared" si="7"/>
        <v>3</v>
      </c>
      <c r="O28" s="398" t="s">
        <v>20</v>
      </c>
      <c r="P28" s="399">
        <f>SUMIF($D$8:$D$55,$O28,$G$8:$G$55)+SUMIF($F$8:$F$55,$O28,$I$8:$I$55)</f>
        <v>6</v>
      </c>
      <c r="Q28" s="399">
        <f>SUMIF($D$8:$D$55,$O28,$I$8:$I$55)+SUMIF($F$8:$F$55,$O28,$G$8:$G$55)</f>
        <v>7</v>
      </c>
      <c r="R28" s="399">
        <f>P28-Q28</f>
        <v>-1</v>
      </c>
      <c r="S28" s="400">
        <f>SUMIF($D$8:$D$55,$O28,$K$8:$K$55)+SUMIF($F$8:$F$55,$O28,$L$8:$L$55)</f>
        <v>2</v>
      </c>
      <c r="T28" s="445" t="s">
        <v>65</v>
      </c>
      <c r="U28" s="392"/>
      <c r="V28" s="392" t="str">
        <f>O28</f>
        <v>Costa Rica</v>
      </c>
      <c r="W28" s="392" t="s">
        <v>63</v>
      </c>
      <c r="Y28" s="109">
        <f t="shared" si="8"/>
        <v>0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0</v>
      </c>
      <c r="AG28" s="108">
        <f t="shared" si="0"/>
        <v>0</v>
      </c>
      <c r="AH28" s="108">
        <f t="shared" si="1"/>
        <v>0</v>
      </c>
      <c r="AI28" s="108">
        <f t="shared" si="10"/>
        <v>0</v>
      </c>
      <c r="AJ28" s="108">
        <f t="shared" si="2"/>
        <v>0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2</v>
      </c>
      <c r="H29" s="373" t="s">
        <v>9</v>
      </c>
      <c r="I29" s="441">
        <v>3</v>
      </c>
      <c r="J29" s="375">
        <f t="shared" si="5"/>
        <v>2</v>
      </c>
      <c r="K29" s="363">
        <f t="shared" si="6"/>
        <v>0</v>
      </c>
      <c r="L29" s="363">
        <f t="shared" si="7"/>
        <v>3</v>
      </c>
      <c r="O29" s="398" t="s">
        <v>21</v>
      </c>
      <c r="P29" s="399">
        <f>SUMIF($D$8:$D$55,$O29,$G$8:$G$55)+SUMIF($F$8:$F$55,$O29,$I$8:$I$55)</f>
        <v>6</v>
      </c>
      <c r="Q29" s="399">
        <f>SUMIF($D$8:$D$55,$O29,$I$8:$I$55)+SUMIF($F$8:$F$55,$O29,$G$8:$G$55)</f>
        <v>5</v>
      </c>
      <c r="R29" s="399">
        <f>P29-Q29</f>
        <v>1</v>
      </c>
      <c r="S29" s="400">
        <f>SUMIF($D$8:$D$55,$O29,$K$8:$K$55)+SUMIF($F$8:$F$55,$O29,$L$8:$L$55)</f>
        <v>6</v>
      </c>
      <c r="T29" s="445" t="s">
        <v>62</v>
      </c>
      <c r="U29" s="392"/>
      <c r="V29" s="392" t="str">
        <f>O29</f>
        <v>Engeland</v>
      </c>
      <c r="W29" s="392" t="s">
        <v>64</v>
      </c>
      <c r="Y29" s="109">
        <f t="shared" si="8"/>
        <v>1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1</v>
      </c>
      <c r="AG29" s="108">
        <f t="shared" si="0"/>
        <v>1</v>
      </c>
      <c r="AH29" s="108">
        <f t="shared" si="1"/>
        <v>0</v>
      </c>
      <c r="AI29" s="108">
        <f t="shared" si="10"/>
        <v>0</v>
      </c>
      <c r="AJ29" s="108">
        <f t="shared" si="2"/>
        <v>0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1</v>
      </c>
      <c r="H30" s="379" t="s">
        <v>9</v>
      </c>
      <c r="I30" s="442">
        <v>1</v>
      </c>
      <c r="J30" s="381">
        <f t="shared" si="5"/>
        <v>3</v>
      </c>
      <c r="K30" s="363">
        <f t="shared" si="6"/>
        <v>1</v>
      </c>
      <c r="L30" s="363">
        <f t="shared" si="7"/>
        <v>1</v>
      </c>
      <c r="O30" s="401" t="s">
        <v>22</v>
      </c>
      <c r="P30" s="402">
        <f>SUMIF($D$8:$D$55,$O30,$G$8:$G$55)+SUMIF($F$8:$F$55,$O30,$I$8:$I$55)</f>
        <v>7</v>
      </c>
      <c r="Q30" s="402">
        <f>SUMIF($D$8:$D$55,$O30,$I$8:$I$55)+SUMIF($F$8:$F$55,$O30,$G$8:$G$55)</f>
        <v>6</v>
      </c>
      <c r="R30" s="402">
        <f>P30-Q30</f>
        <v>1</v>
      </c>
      <c r="S30" s="403">
        <f>SUMIF($D$8:$D$55,$O30,$K$8:$K$55)+SUMIF($F$8:$F$55,$O30,$L$8:$L$55)</f>
        <v>5</v>
      </c>
      <c r="T30" s="446" t="s">
        <v>63</v>
      </c>
      <c r="U30" s="392"/>
      <c r="V30" s="392" t="str">
        <f>O30</f>
        <v>Italië</v>
      </c>
      <c r="W30" s="392" t="s">
        <v>65</v>
      </c>
      <c r="Y30" s="109">
        <f t="shared" si="8"/>
        <v>5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5</v>
      </c>
      <c r="AG30" s="108">
        <f t="shared" si="0"/>
        <v>0</v>
      </c>
      <c r="AH30" s="108">
        <f t="shared" si="1"/>
        <v>0</v>
      </c>
      <c r="AI30" s="108">
        <f t="shared" si="10"/>
        <v>0</v>
      </c>
      <c r="AJ30" s="108">
        <f t="shared" si="2"/>
        <v>0</v>
      </c>
      <c r="AK30" s="108">
        <f t="shared" si="3"/>
        <v>0</v>
      </c>
      <c r="AL30" s="108">
        <f t="shared" si="4"/>
        <v>5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3</v>
      </c>
      <c r="H31" s="367" t="s">
        <v>9</v>
      </c>
      <c r="I31" s="440">
        <v>3</v>
      </c>
      <c r="J31" s="369">
        <f t="shared" si="5"/>
        <v>3</v>
      </c>
      <c r="K31" s="363">
        <f t="shared" si="6"/>
        <v>1</v>
      </c>
      <c r="L31" s="363">
        <f t="shared" si="7"/>
        <v>1</v>
      </c>
      <c r="O31" s="392"/>
      <c r="P31" s="393"/>
      <c r="Q31" s="393"/>
      <c r="R31" s="393"/>
      <c r="S31" s="393"/>
      <c r="T31" s="393"/>
      <c r="U31" s="392"/>
      <c r="V31" s="392"/>
      <c r="W31" s="392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0"/>
        <v>0</v>
      </c>
      <c r="AH31" s="108">
        <f t="shared" si="1"/>
        <v>0</v>
      </c>
      <c r="AI31" s="108">
        <f t="shared" si="10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392"/>
      <c r="AO31" s="393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1</v>
      </c>
      <c r="H32" s="373" t="s">
        <v>9</v>
      </c>
      <c r="I32" s="441">
        <v>4</v>
      </c>
      <c r="J32" s="375">
        <f t="shared" si="5"/>
        <v>2</v>
      </c>
      <c r="K32" s="363">
        <f t="shared" si="6"/>
        <v>0</v>
      </c>
      <c r="L32" s="363">
        <f t="shared" si="7"/>
        <v>3</v>
      </c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392"/>
      <c r="V32" s="392"/>
      <c r="W32" s="392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0"/>
        <v>0</v>
      </c>
      <c r="AH32" s="108">
        <f t="shared" si="1"/>
        <v>0</v>
      </c>
      <c r="AI32" s="108">
        <f t="shared" si="10"/>
        <v>0</v>
      </c>
      <c r="AJ32" s="108">
        <f t="shared" si="2"/>
        <v>0</v>
      </c>
      <c r="AK32" s="108">
        <f t="shared" si="3"/>
        <v>5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1</v>
      </c>
      <c r="H33" s="379" t="s">
        <v>9</v>
      </c>
      <c r="I33" s="442">
        <v>2</v>
      </c>
      <c r="J33" s="381">
        <f t="shared" si="5"/>
        <v>2</v>
      </c>
      <c r="K33" s="363">
        <f t="shared" si="6"/>
        <v>0</v>
      </c>
      <c r="L33" s="363">
        <f t="shared" si="7"/>
        <v>3</v>
      </c>
      <c r="O33" s="394" t="s">
        <v>25</v>
      </c>
      <c r="P33" s="395">
        <f>SUMIF($D$8:$D$55,$O33,$G$8:$G$55)+SUMIF($F$8:$F$55,$O33,$I$8:$I$55)</f>
        <v>2</v>
      </c>
      <c r="Q33" s="395">
        <f>SUMIF($D$8:$D$55,$O33,$I$8:$I$55)+SUMIF($F$8:$F$55,$O33,$G$8:$G$55)</f>
        <v>7</v>
      </c>
      <c r="R33" s="396">
        <f>P33-Q33</f>
        <v>-5</v>
      </c>
      <c r="S33" s="397">
        <f>SUMIF($D$8:$D$55,$O33,$K$8:$K$55)+SUMIF($F$8:$F$55,$O33,$L$8:$L$55)</f>
        <v>1</v>
      </c>
      <c r="T33" s="444" t="s">
        <v>69</v>
      </c>
      <c r="U33" s="392"/>
      <c r="V33" s="392" t="str">
        <f>O33</f>
        <v>Zwitserland</v>
      </c>
      <c r="W33" s="392" t="s">
        <v>67</v>
      </c>
      <c r="Y33" s="109">
        <f t="shared" si="8"/>
        <v>10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10</v>
      </c>
      <c r="AG33" s="108">
        <f t="shared" si="0"/>
        <v>1</v>
      </c>
      <c r="AH33" s="108">
        <f t="shared" si="1"/>
        <v>1</v>
      </c>
      <c r="AI33" s="108">
        <f t="shared" si="10"/>
        <v>10</v>
      </c>
      <c r="AJ33" s="108">
        <f t="shared" si="2"/>
        <v>0</v>
      </c>
      <c r="AK33" s="108">
        <f t="shared" si="3"/>
        <v>5</v>
      </c>
      <c r="AL33" s="108">
        <f t="shared" si="4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4</v>
      </c>
      <c r="H34" s="367" t="s">
        <v>9</v>
      </c>
      <c r="I34" s="440">
        <v>1</v>
      </c>
      <c r="J34" s="369">
        <f t="shared" si="5"/>
        <v>1</v>
      </c>
      <c r="K34" s="363">
        <f t="shared" si="6"/>
        <v>3</v>
      </c>
      <c r="L34" s="363">
        <f t="shared" si="7"/>
        <v>0</v>
      </c>
      <c r="O34" s="398" t="s">
        <v>26</v>
      </c>
      <c r="P34" s="399">
        <f>SUMIF($D$8:$D$55,$O34,$G$8:$G$55)+SUMIF($F$8:$F$55,$O34,$I$8:$I$55)</f>
        <v>7</v>
      </c>
      <c r="Q34" s="399">
        <f>SUMIF($D$8:$D$55,$O34,$I$8:$I$55)+SUMIF($F$8:$F$55,$O34,$G$8:$G$55)</f>
        <v>5</v>
      </c>
      <c r="R34" s="399">
        <f>P34-Q34</f>
        <v>2</v>
      </c>
      <c r="S34" s="400">
        <f>SUMIF($D$8:$D$55,$O34,$K$8:$K$55)+SUMIF($F$8:$F$55,$O34,$L$8:$L$55)</f>
        <v>6</v>
      </c>
      <c r="T34" s="445" t="s">
        <v>68</v>
      </c>
      <c r="U34" s="392"/>
      <c r="V34" s="392" t="str">
        <f>O34</f>
        <v>Ecuador</v>
      </c>
      <c r="W34" s="392" t="s">
        <v>68</v>
      </c>
      <c r="Y34" s="109">
        <f t="shared" si="8"/>
        <v>5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5</v>
      </c>
      <c r="AG34" s="108">
        <f t="shared" si="0"/>
        <v>0</v>
      </c>
      <c r="AH34" s="108">
        <f t="shared" si="1"/>
        <v>0</v>
      </c>
      <c r="AI34" s="108">
        <f t="shared" si="10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3</v>
      </c>
      <c r="H35" s="373" t="s">
        <v>9</v>
      </c>
      <c r="I35" s="441">
        <v>1</v>
      </c>
      <c r="J35" s="375">
        <f t="shared" si="5"/>
        <v>1</v>
      </c>
      <c r="K35" s="363">
        <f t="shared" si="6"/>
        <v>3</v>
      </c>
      <c r="L35" s="363">
        <f t="shared" si="7"/>
        <v>0</v>
      </c>
      <c r="O35" s="398" t="s">
        <v>27</v>
      </c>
      <c r="P35" s="399">
        <f>SUMIF($D$8:$D$55,$O35,$G$8:$G$55)+SUMIF($F$8:$F$55,$O35,$I$8:$I$55)</f>
        <v>11</v>
      </c>
      <c r="Q35" s="399">
        <f>SUMIF($D$8:$D$55,$O35,$I$8:$I$55)+SUMIF($F$8:$F$55,$O35,$G$8:$G$55)</f>
        <v>5</v>
      </c>
      <c r="R35" s="399">
        <f>P35-Q35</f>
        <v>6</v>
      </c>
      <c r="S35" s="400">
        <f>SUMIF($D$8:$D$55,$O35,$K$8:$K$55)+SUMIF($F$8:$F$55,$O35,$L$8:$L$55)</f>
        <v>9</v>
      </c>
      <c r="T35" s="445" t="s">
        <v>67</v>
      </c>
      <c r="U35" s="392"/>
      <c r="V35" s="392" t="str">
        <f>O35</f>
        <v>Frankrijk</v>
      </c>
      <c r="W35" s="392" t="s">
        <v>69</v>
      </c>
      <c r="Y35" s="109">
        <f t="shared" si="8"/>
        <v>0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0</v>
      </c>
      <c r="AG35" s="108">
        <f t="shared" si="0"/>
        <v>0</v>
      </c>
      <c r="AH35" s="108">
        <f t="shared" si="1"/>
        <v>0</v>
      </c>
      <c r="AI35" s="108">
        <f t="shared" si="10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3</v>
      </c>
      <c r="H36" s="379" t="s">
        <v>9</v>
      </c>
      <c r="I36" s="442">
        <v>1</v>
      </c>
      <c r="J36" s="381">
        <f t="shared" si="5"/>
        <v>1</v>
      </c>
      <c r="K36" s="363">
        <f t="shared" si="6"/>
        <v>3</v>
      </c>
      <c r="L36" s="363">
        <f t="shared" si="7"/>
        <v>0</v>
      </c>
      <c r="O36" s="401" t="s">
        <v>28</v>
      </c>
      <c r="P36" s="402">
        <f>SUMIF($D$8:$D$55,$O36,$G$8:$G$55)+SUMIF($F$8:$F$55,$O36,$I$8:$I$55)</f>
        <v>3</v>
      </c>
      <c r="Q36" s="402">
        <f>SUMIF($D$8:$D$55,$O36,$I$8:$I$55)+SUMIF($F$8:$F$55,$O36,$G$8:$G$55)</f>
        <v>6</v>
      </c>
      <c r="R36" s="402">
        <f>P36-Q36</f>
        <v>-3</v>
      </c>
      <c r="S36" s="403">
        <f>SUMIF($D$8:$D$55,$O36,$K$8:$K$55)+SUMIF($F$8:$F$55,$O36,$L$8:$L$55)</f>
        <v>1</v>
      </c>
      <c r="T36" s="446" t="s">
        <v>70</v>
      </c>
      <c r="U36" s="392"/>
      <c r="V36" s="392" t="str">
        <f>O36</f>
        <v>Honduras</v>
      </c>
      <c r="W36" s="392" t="s">
        <v>70</v>
      </c>
      <c r="Y36" s="109">
        <f t="shared" si="8"/>
        <v>5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5</v>
      </c>
      <c r="AG36" s="108">
        <f t="shared" si="0"/>
        <v>0</v>
      </c>
      <c r="AH36" s="108">
        <f t="shared" si="1"/>
        <v>0</v>
      </c>
      <c r="AI36" s="108">
        <f t="shared" si="10"/>
        <v>0</v>
      </c>
      <c r="AJ36" s="108">
        <f t="shared" si="2"/>
        <v>5</v>
      </c>
      <c r="AK36" s="108">
        <f t="shared" si="3"/>
        <v>0</v>
      </c>
      <c r="AL36" s="108">
        <f t="shared" si="4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1</v>
      </c>
      <c r="H37" s="367" t="s">
        <v>9</v>
      </c>
      <c r="I37" s="440">
        <v>1</v>
      </c>
      <c r="J37" s="369">
        <f t="shared" si="5"/>
        <v>3</v>
      </c>
      <c r="K37" s="363">
        <f t="shared" si="6"/>
        <v>1</v>
      </c>
      <c r="L37" s="363">
        <f t="shared" si="7"/>
        <v>1</v>
      </c>
      <c r="O37" s="392"/>
      <c r="P37" s="393"/>
      <c r="Q37" s="393"/>
      <c r="R37" s="393"/>
      <c r="S37" s="393"/>
      <c r="T37" s="393"/>
      <c r="U37" s="392"/>
      <c r="V37" s="392"/>
      <c r="W37" s="392"/>
      <c r="Y37" s="109">
        <f t="shared" si="8"/>
        <v>1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1</v>
      </c>
      <c r="AG37" s="108">
        <f t="shared" si="0"/>
        <v>1</v>
      </c>
      <c r="AH37" s="108">
        <f t="shared" si="1"/>
        <v>0</v>
      </c>
      <c r="AI37" s="108">
        <f t="shared" si="10"/>
        <v>0</v>
      </c>
      <c r="AJ37" s="108">
        <f t="shared" si="2"/>
        <v>0</v>
      </c>
      <c r="AK37" s="108">
        <f t="shared" si="3"/>
        <v>0</v>
      </c>
      <c r="AL37" s="108">
        <f t="shared" si="4"/>
        <v>0</v>
      </c>
      <c r="AN37" s="392"/>
      <c r="AO37" s="393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1</v>
      </c>
      <c r="H38" s="373" t="s">
        <v>9</v>
      </c>
      <c r="I38" s="441">
        <v>2</v>
      </c>
      <c r="J38" s="375">
        <f t="shared" si="5"/>
        <v>2</v>
      </c>
      <c r="K38" s="363">
        <f t="shared" si="6"/>
        <v>0</v>
      </c>
      <c r="L38" s="363">
        <f t="shared" si="7"/>
        <v>3</v>
      </c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392"/>
      <c r="V38" s="392"/>
      <c r="W38" s="392"/>
      <c r="Y38" s="109">
        <f t="shared" si="8"/>
        <v>5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5</v>
      </c>
      <c r="AG38" s="108">
        <f t="shared" si="0"/>
        <v>0</v>
      </c>
      <c r="AH38" s="108">
        <f t="shared" si="1"/>
        <v>0</v>
      </c>
      <c r="AI38" s="108">
        <f t="shared" si="10"/>
        <v>0</v>
      </c>
      <c r="AJ38" s="108">
        <f t="shared" si="2"/>
        <v>0</v>
      </c>
      <c r="AK38" s="108">
        <f t="shared" si="3"/>
        <v>5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0</v>
      </c>
      <c r="H39" s="379" t="s">
        <v>9</v>
      </c>
      <c r="I39" s="442">
        <v>3</v>
      </c>
      <c r="J39" s="381">
        <f t="shared" si="5"/>
        <v>2</v>
      </c>
      <c r="K39" s="363">
        <f t="shared" si="6"/>
        <v>0</v>
      </c>
      <c r="L39" s="363">
        <f t="shared" si="7"/>
        <v>3</v>
      </c>
      <c r="O39" s="394" t="s">
        <v>29</v>
      </c>
      <c r="P39" s="395">
        <f>SUMIF($D$8:$D$55,$O39,$G$8:$G$55)+SUMIF($F$8:$F$55,$O39,$I$8:$I$55)</f>
        <v>10</v>
      </c>
      <c r="Q39" s="395">
        <f>SUMIF($D$8:$D$55,$O39,$I$8:$I$55)+SUMIF($F$8:$F$55,$O39,$G$8:$G$55)</f>
        <v>5</v>
      </c>
      <c r="R39" s="396">
        <f>P39-Q39</f>
        <v>5</v>
      </c>
      <c r="S39" s="397">
        <f>SUMIF($D$8:$D$55,$O39,$K$8:$K$55)+SUMIF($F$8:$F$55,$O39,$L$8:$L$55)</f>
        <v>7</v>
      </c>
      <c r="T39" s="444" t="s">
        <v>72</v>
      </c>
      <c r="U39" s="392"/>
      <c r="V39" s="392" t="str">
        <f>O39</f>
        <v>Argentinië</v>
      </c>
      <c r="W39" s="392" t="s">
        <v>72</v>
      </c>
      <c r="Y39" s="109">
        <f t="shared" si="8"/>
        <v>0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0</v>
      </c>
      <c r="AG39" s="108">
        <f t="shared" si="0"/>
        <v>0</v>
      </c>
      <c r="AH39" s="108">
        <f t="shared" si="1"/>
        <v>0</v>
      </c>
      <c r="AI39" s="108">
        <f t="shared" si="10"/>
        <v>0</v>
      </c>
      <c r="AJ39" s="108">
        <f t="shared" si="2"/>
        <v>0</v>
      </c>
      <c r="AK39" s="108">
        <f t="shared" si="3"/>
        <v>0</v>
      </c>
      <c r="AL39" s="108">
        <f t="shared" si="4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1</v>
      </c>
      <c r="H40" s="367" t="s">
        <v>9</v>
      </c>
      <c r="I40" s="440">
        <v>2</v>
      </c>
      <c r="J40" s="369">
        <f t="shared" si="5"/>
        <v>2</v>
      </c>
      <c r="K40" s="363">
        <f t="shared" si="6"/>
        <v>0</v>
      </c>
      <c r="L40" s="363">
        <f t="shared" si="7"/>
        <v>3</v>
      </c>
      <c r="O40" s="398" t="s">
        <v>30</v>
      </c>
      <c r="P40" s="399">
        <f>SUMIF($D$8:$D$55,$O40,$G$8:$G$55)+SUMIF($F$8:$F$55,$O40,$I$8:$I$55)</f>
        <v>3</v>
      </c>
      <c r="Q40" s="399">
        <f>SUMIF($D$8:$D$55,$O40,$I$8:$I$55)+SUMIF($F$8:$F$55,$O40,$G$8:$G$55)</f>
        <v>7</v>
      </c>
      <c r="R40" s="399">
        <f>P40-Q40</f>
        <v>-4</v>
      </c>
      <c r="S40" s="400">
        <f>SUMIF($D$8:$D$55,$O40,$K$8:$K$55)+SUMIF($F$8:$F$55,$O40,$L$8:$L$55)</f>
        <v>1</v>
      </c>
      <c r="T40" s="445" t="s">
        <v>74</v>
      </c>
      <c r="U40" s="392"/>
      <c r="V40" s="392" t="str">
        <f>O40</f>
        <v>Bosnië H.</v>
      </c>
      <c r="W40" s="392" t="s">
        <v>73</v>
      </c>
      <c r="Y40" s="109">
        <f t="shared" si="8"/>
        <v>5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5</v>
      </c>
      <c r="AG40" s="108">
        <f t="shared" si="0"/>
        <v>0</v>
      </c>
      <c r="AH40" s="108">
        <f t="shared" si="1"/>
        <v>0</v>
      </c>
      <c r="AI40" s="108">
        <f t="shared" si="10"/>
        <v>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2</v>
      </c>
      <c r="H41" s="373" t="s">
        <v>9</v>
      </c>
      <c r="I41" s="441">
        <v>0</v>
      </c>
      <c r="J41" s="375">
        <f t="shared" si="5"/>
        <v>1</v>
      </c>
      <c r="K41" s="363">
        <f t="shared" si="6"/>
        <v>3</v>
      </c>
      <c r="L41" s="363">
        <f t="shared" si="7"/>
        <v>0</v>
      </c>
      <c r="O41" s="398" t="s">
        <v>33</v>
      </c>
      <c r="P41" s="399">
        <f>SUMIF($D$8:$D$55,$O41,$G$8:$G$55)+SUMIF($F$8:$F$55,$O41,$I$8:$I$55)</f>
        <v>2</v>
      </c>
      <c r="Q41" s="399">
        <f>SUMIF($D$8:$D$55,$O41,$I$8:$I$55)+SUMIF($F$8:$F$55,$O41,$G$8:$G$55)</f>
        <v>9</v>
      </c>
      <c r="R41" s="399">
        <f>P41-Q41</f>
        <v>-7</v>
      </c>
      <c r="S41" s="400">
        <f>SUMIF($D$8:$D$55,$O41,$K$8:$K$55)+SUMIF($F$8:$F$55,$O41,$L$8:$L$55)</f>
        <v>1</v>
      </c>
      <c r="T41" s="445" t="s">
        <v>75</v>
      </c>
      <c r="U41" s="392"/>
      <c r="V41" s="392" t="str">
        <f>O41</f>
        <v>Iran</v>
      </c>
      <c r="W41" s="392" t="s">
        <v>74</v>
      </c>
      <c r="Y41" s="109">
        <f t="shared" si="8"/>
        <v>10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10</v>
      </c>
      <c r="AG41" s="108">
        <f t="shared" si="0"/>
        <v>1</v>
      </c>
      <c r="AH41" s="108">
        <f t="shared" si="1"/>
        <v>1</v>
      </c>
      <c r="AI41" s="108">
        <f t="shared" si="10"/>
        <v>10</v>
      </c>
      <c r="AJ41" s="108">
        <f t="shared" si="2"/>
        <v>5</v>
      </c>
      <c r="AK41" s="108">
        <f t="shared" si="3"/>
        <v>0</v>
      </c>
      <c r="AL41" s="108">
        <f t="shared" si="4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2</v>
      </c>
      <c r="H42" s="373" t="s">
        <v>9</v>
      </c>
      <c r="I42" s="441">
        <v>3</v>
      </c>
      <c r="J42" s="375">
        <f t="shared" si="5"/>
        <v>2</v>
      </c>
      <c r="K42" s="363">
        <f t="shared" si="6"/>
        <v>0</v>
      </c>
      <c r="L42" s="363">
        <f t="shared" si="7"/>
        <v>3</v>
      </c>
      <c r="O42" s="401" t="s">
        <v>34</v>
      </c>
      <c r="P42" s="402">
        <f>SUMIF($D$8:$D$55,$O42,$G$8:$G$55)+SUMIF($F$8:$F$55,$O42,$I$8:$I$55)</f>
        <v>10</v>
      </c>
      <c r="Q42" s="402">
        <f>SUMIF($D$8:$D$55,$O42,$I$8:$I$55)+SUMIF($F$8:$F$55,$O42,$G$8:$G$55)</f>
        <v>4</v>
      </c>
      <c r="R42" s="402">
        <f>P42-Q42</f>
        <v>6</v>
      </c>
      <c r="S42" s="403">
        <f>SUMIF($D$8:$D$55,$O42,$K$8:$K$55)+SUMIF($F$8:$F$55,$O42,$L$8:$L$55)</f>
        <v>7</v>
      </c>
      <c r="T42" s="446" t="s">
        <v>73</v>
      </c>
      <c r="U42" s="392"/>
      <c r="V42" s="392" t="str">
        <f>O42</f>
        <v>Nigeria</v>
      </c>
      <c r="W42" s="392" t="s">
        <v>75</v>
      </c>
      <c r="Y42" s="109">
        <f t="shared" si="8"/>
        <v>5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5</v>
      </c>
      <c r="AG42" s="108">
        <f t="shared" si="0"/>
        <v>0</v>
      </c>
      <c r="AH42" s="108">
        <f t="shared" si="1"/>
        <v>0</v>
      </c>
      <c r="AI42" s="108">
        <f t="shared" si="10"/>
        <v>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2</v>
      </c>
      <c r="H43" s="379" t="s">
        <v>9</v>
      </c>
      <c r="I43" s="442">
        <v>2</v>
      </c>
      <c r="J43" s="381">
        <f t="shared" si="5"/>
        <v>3</v>
      </c>
      <c r="K43" s="363">
        <f t="shared" si="6"/>
        <v>1</v>
      </c>
      <c r="L43" s="363">
        <f t="shared" si="7"/>
        <v>1</v>
      </c>
      <c r="O43" s="392"/>
      <c r="P43" s="393"/>
      <c r="Q43" s="393"/>
      <c r="R43" s="393"/>
      <c r="S43" s="393"/>
      <c r="T43" s="393"/>
      <c r="U43" s="392"/>
      <c r="V43" s="392"/>
      <c r="W43" s="392"/>
      <c r="Y43" s="109">
        <f t="shared" si="8"/>
        <v>0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0</v>
      </c>
      <c r="AG43" s="108">
        <f t="shared" si="0"/>
        <v>0</v>
      </c>
      <c r="AH43" s="108">
        <f t="shared" si="1"/>
        <v>0</v>
      </c>
      <c r="AI43" s="108">
        <f t="shared" si="10"/>
        <v>0</v>
      </c>
      <c r="AJ43" s="108">
        <f t="shared" si="2"/>
        <v>0</v>
      </c>
      <c r="AK43" s="108">
        <f t="shared" si="3"/>
        <v>0</v>
      </c>
      <c r="AL43" s="108">
        <f t="shared" si="4"/>
        <v>0</v>
      </c>
      <c r="AN43" s="392"/>
      <c r="AO43" s="393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2</v>
      </c>
      <c r="H44" s="367" t="s">
        <v>9</v>
      </c>
      <c r="I44" s="440">
        <v>2</v>
      </c>
      <c r="J44" s="369">
        <f t="shared" si="5"/>
        <v>3</v>
      </c>
      <c r="K44" s="363">
        <f t="shared" si="6"/>
        <v>1</v>
      </c>
      <c r="L44" s="363">
        <f t="shared" si="7"/>
        <v>1</v>
      </c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392"/>
      <c r="V44" s="392"/>
      <c r="W44" s="392"/>
      <c r="Y44" s="109">
        <f t="shared" si="8"/>
        <v>0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0</v>
      </c>
      <c r="AG44" s="108">
        <f t="shared" si="0"/>
        <v>0</v>
      </c>
      <c r="AH44" s="108">
        <f t="shared" si="1"/>
        <v>0</v>
      </c>
      <c r="AI44" s="108">
        <f t="shared" si="10"/>
        <v>0</v>
      </c>
      <c r="AJ44" s="108">
        <f t="shared" si="2"/>
        <v>0</v>
      </c>
      <c r="AK44" s="108">
        <f t="shared" si="3"/>
        <v>0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1</v>
      </c>
      <c r="H45" s="373" t="s">
        <v>9</v>
      </c>
      <c r="I45" s="441">
        <v>2</v>
      </c>
      <c r="J45" s="375">
        <f t="shared" si="5"/>
        <v>2</v>
      </c>
      <c r="K45" s="363">
        <f t="shared" si="6"/>
        <v>0</v>
      </c>
      <c r="L45" s="363">
        <f t="shared" si="7"/>
        <v>3</v>
      </c>
      <c r="O45" s="394" t="s">
        <v>31</v>
      </c>
      <c r="P45" s="395">
        <f>SUMIF($D$8:$D$55,$O45,$G$8:$G$55)+SUMIF($F$8:$F$55,$O45,$I$8:$I$55)</f>
        <v>8</v>
      </c>
      <c r="Q45" s="395">
        <f>SUMIF($D$8:$D$55,$O45,$I$8:$I$55)+SUMIF($F$8:$F$55,$O45,$G$8:$G$55)</f>
        <v>3</v>
      </c>
      <c r="R45" s="396">
        <f>P45-Q45</f>
        <v>5</v>
      </c>
      <c r="S45" s="397">
        <f>SUMIF($D$8:$D$55,$O45,$K$8:$K$55)+SUMIF($F$8:$F$55,$O45,$L$8:$L$55)</f>
        <v>9</v>
      </c>
      <c r="T45" s="444" t="s">
        <v>77</v>
      </c>
      <c r="U45" s="392"/>
      <c r="V45" s="392" t="str">
        <f>O45</f>
        <v>Duitsland</v>
      </c>
      <c r="W45" s="392" t="s">
        <v>77</v>
      </c>
      <c r="Y45" s="109">
        <f t="shared" si="8"/>
        <v>0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0</v>
      </c>
      <c r="AG45" s="108">
        <f t="shared" si="0"/>
        <v>0</v>
      </c>
      <c r="AH45" s="108">
        <f t="shared" si="1"/>
        <v>0</v>
      </c>
      <c r="AI45" s="108">
        <f t="shared" si="10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1</v>
      </c>
      <c r="H46" s="373" t="s">
        <v>9</v>
      </c>
      <c r="I46" s="441">
        <v>1</v>
      </c>
      <c r="J46" s="375">
        <f t="shared" si="5"/>
        <v>3</v>
      </c>
      <c r="K46" s="363">
        <f t="shared" si="6"/>
        <v>1</v>
      </c>
      <c r="L46" s="363">
        <f t="shared" si="7"/>
        <v>1</v>
      </c>
      <c r="O46" s="398" t="s">
        <v>32</v>
      </c>
      <c r="P46" s="399">
        <f>SUMIF($D$8:$D$55,$O46,$G$8:$G$55)+SUMIF($F$8:$F$55,$O46,$I$8:$I$55)</f>
        <v>8</v>
      </c>
      <c r="Q46" s="399">
        <f>SUMIF($D$8:$D$55,$O46,$I$8:$I$55)+SUMIF($F$8:$F$55,$O46,$G$8:$G$55)</f>
        <v>6</v>
      </c>
      <c r="R46" s="399">
        <f>P46-Q46</f>
        <v>2</v>
      </c>
      <c r="S46" s="400">
        <f>SUMIF($D$8:$D$55,$O46,$K$8:$K$55)+SUMIF($F$8:$F$55,$O46,$L$8:$L$55)</f>
        <v>4</v>
      </c>
      <c r="T46" s="445" t="s">
        <v>78</v>
      </c>
      <c r="U46" s="392"/>
      <c r="V46" s="392" t="str">
        <f>O46</f>
        <v>Portugal</v>
      </c>
      <c r="W46" s="392" t="s">
        <v>78</v>
      </c>
      <c r="Y46" s="109">
        <f t="shared" si="8"/>
        <v>1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1</v>
      </c>
      <c r="AG46" s="108">
        <f t="shared" si="0"/>
        <v>1</v>
      </c>
      <c r="AH46" s="108">
        <f t="shared" si="1"/>
        <v>0</v>
      </c>
      <c r="AI46" s="108">
        <f t="shared" si="10"/>
        <v>0</v>
      </c>
      <c r="AJ46" s="108">
        <f t="shared" si="2"/>
        <v>0</v>
      </c>
      <c r="AK46" s="108">
        <f t="shared" si="3"/>
        <v>0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0</v>
      </c>
      <c r="H47" s="379" t="s">
        <v>9</v>
      </c>
      <c r="I47" s="442">
        <v>2</v>
      </c>
      <c r="J47" s="381">
        <f t="shared" si="5"/>
        <v>2</v>
      </c>
      <c r="K47" s="363">
        <f t="shared" si="6"/>
        <v>0</v>
      </c>
      <c r="L47" s="363">
        <f t="shared" si="7"/>
        <v>3</v>
      </c>
      <c r="O47" s="398" t="s">
        <v>35</v>
      </c>
      <c r="P47" s="399">
        <f>SUMIF($D$8:$D$55,$O47,$G$8:$G$55)+SUMIF($F$8:$F$55,$O47,$I$8:$I$55)</f>
        <v>6</v>
      </c>
      <c r="Q47" s="399">
        <f>SUMIF($D$8:$D$55,$O47,$I$8:$I$55)+SUMIF($F$8:$F$55,$O47,$G$8:$G$55)</f>
        <v>7</v>
      </c>
      <c r="R47" s="399">
        <f>P47-Q47</f>
        <v>-1</v>
      </c>
      <c r="S47" s="400">
        <f>SUMIF($D$8:$D$55,$O47,$K$8:$K$55)+SUMIF($F$8:$F$55,$O47,$L$8:$L$55)</f>
        <v>4</v>
      </c>
      <c r="T47" s="445" t="s">
        <v>79</v>
      </c>
      <c r="U47" s="392"/>
      <c r="V47" s="392" t="str">
        <f>O47</f>
        <v>Ghana</v>
      </c>
      <c r="W47" s="392" t="s">
        <v>79</v>
      </c>
      <c r="Y47" s="109">
        <f t="shared" si="8"/>
        <v>0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0</v>
      </c>
      <c r="AG47" s="108">
        <f t="shared" si="0"/>
        <v>0</v>
      </c>
      <c r="AH47" s="108">
        <f t="shared" si="1"/>
        <v>0</v>
      </c>
      <c r="AI47" s="108">
        <f t="shared" si="10"/>
        <v>0</v>
      </c>
      <c r="AJ47" s="108">
        <f t="shared" si="2"/>
        <v>0</v>
      </c>
      <c r="AK47" s="108">
        <f t="shared" si="3"/>
        <v>0</v>
      </c>
      <c r="AL47" s="108">
        <f t="shared" si="4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3</v>
      </c>
      <c r="H48" s="367" t="s">
        <v>9</v>
      </c>
      <c r="I48" s="440">
        <v>3</v>
      </c>
      <c r="J48" s="369">
        <f t="shared" si="5"/>
        <v>3</v>
      </c>
      <c r="K48" s="363">
        <f t="shared" si="6"/>
        <v>1</v>
      </c>
      <c r="L48" s="363">
        <f t="shared" si="7"/>
        <v>1</v>
      </c>
      <c r="O48" s="401" t="s">
        <v>36</v>
      </c>
      <c r="P48" s="402">
        <f>SUMIF($D$8:$D$55,$O48,$G$8:$G$55)+SUMIF($F$8:$F$55,$O48,$I$8:$I$55)</f>
        <v>1</v>
      </c>
      <c r="Q48" s="402">
        <f>SUMIF($D$8:$D$55,$O48,$I$8:$I$55)+SUMIF($F$8:$F$55,$O48,$G$8:$G$55)</f>
        <v>7</v>
      </c>
      <c r="R48" s="402">
        <f>P48-Q48</f>
        <v>-6</v>
      </c>
      <c r="S48" s="403">
        <f>SUMIF($D$8:$D$55,$O48,$K$8:$K$55)+SUMIF($F$8:$F$55,$O48,$L$8:$L$55)</f>
        <v>0</v>
      </c>
      <c r="T48" s="446" t="s">
        <v>80</v>
      </c>
      <c r="U48" s="392"/>
      <c r="V48" s="392" t="str">
        <f>O48</f>
        <v>Verenigde Staten</v>
      </c>
      <c r="W48" s="392" t="s">
        <v>80</v>
      </c>
      <c r="Y48" s="109">
        <f t="shared" si="8"/>
        <v>1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1</v>
      </c>
      <c r="AG48" s="108">
        <f t="shared" si="0"/>
        <v>0</v>
      </c>
      <c r="AH48" s="108">
        <f t="shared" si="1"/>
        <v>1</v>
      </c>
      <c r="AI48" s="108">
        <f t="shared" si="10"/>
        <v>0</v>
      </c>
      <c r="AJ48" s="108">
        <f t="shared" si="2"/>
        <v>0</v>
      </c>
      <c r="AK48" s="108">
        <f t="shared" si="3"/>
        <v>0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1</v>
      </c>
      <c r="H49" s="373" t="s">
        <v>9</v>
      </c>
      <c r="I49" s="441">
        <v>1</v>
      </c>
      <c r="J49" s="375">
        <f t="shared" si="5"/>
        <v>3</v>
      </c>
      <c r="K49" s="363">
        <f t="shared" si="6"/>
        <v>1</v>
      </c>
      <c r="L49" s="363">
        <f t="shared" si="7"/>
        <v>1</v>
      </c>
      <c r="O49" s="392"/>
      <c r="P49" s="393"/>
      <c r="Q49" s="393"/>
      <c r="R49" s="393"/>
      <c r="S49" s="393"/>
      <c r="T49" s="393"/>
      <c r="U49" s="392"/>
      <c r="V49" s="392"/>
      <c r="W49" s="392"/>
      <c r="Y49" s="109">
        <f t="shared" si="8"/>
        <v>1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1</v>
      </c>
      <c r="AG49" s="108">
        <f t="shared" si="0"/>
        <v>0</v>
      </c>
      <c r="AH49" s="108">
        <f t="shared" si="1"/>
        <v>1</v>
      </c>
      <c r="AI49" s="108">
        <f t="shared" si="10"/>
        <v>0</v>
      </c>
      <c r="AJ49" s="108">
        <f t="shared" si="2"/>
        <v>0</v>
      </c>
      <c r="AK49" s="108">
        <f t="shared" si="3"/>
        <v>0</v>
      </c>
      <c r="AL49" s="108">
        <f t="shared" si="4"/>
        <v>0</v>
      </c>
      <c r="AN49" s="392"/>
      <c r="AO49" s="393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1</v>
      </c>
      <c r="H50" s="373" t="s">
        <v>9</v>
      </c>
      <c r="I50" s="441">
        <v>1</v>
      </c>
      <c r="J50" s="375">
        <f t="shared" si="5"/>
        <v>3</v>
      </c>
      <c r="K50" s="363">
        <f t="shared" si="6"/>
        <v>1</v>
      </c>
      <c r="L50" s="363">
        <f t="shared" si="7"/>
        <v>1</v>
      </c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392"/>
      <c r="V50" s="392"/>
      <c r="W50" s="392"/>
      <c r="Y50" s="109">
        <f t="shared" si="8"/>
        <v>0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0</v>
      </c>
      <c r="AG50" s="108">
        <f t="shared" si="0"/>
        <v>0</v>
      </c>
      <c r="AH50" s="108">
        <f t="shared" si="1"/>
        <v>0</v>
      </c>
      <c r="AI50" s="108">
        <f t="shared" si="10"/>
        <v>0</v>
      </c>
      <c r="AJ50" s="108">
        <f t="shared" si="2"/>
        <v>0</v>
      </c>
      <c r="AK50" s="108">
        <f t="shared" si="3"/>
        <v>0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3</v>
      </c>
      <c r="H51" s="379" t="s">
        <v>9</v>
      </c>
      <c r="I51" s="442">
        <v>4</v>
      </c>
      <c r="J51" s="381">
        <f t="shared" si="5"/>
        <v>2</v>
      </c>
      <c r="K51" s="363">
        <f t="shared" si="6"/>
        <v>0</v>
      </c>
      <c r="L51" s="363">
        <f>IF(I51="","",IF($G51&lt;$I51,3,IF($G51=$I51,1,0)))</f>
        <v>3</v>
      </c>
      <c r="O51" s="394" t="s">
        <v>37</v>
      </c>
      <c r="P51" s="395">
        <f>SUMIF($D$8:$D$55,$O51,$G$8:$G$55)+SUMIF($F$8:$F$55,$O51,$I$8:$I$55)</f>
        <v>5</v>
      </c>
      <c r="Q51" s="395">
        <f>SUMIF($D$8:$D$55,$O51,$I$8:$I$55)+SUMIF($F$8:$F$55,$O51,$G$8:$G$55)</f>
        <v>2</v>
      </c>
      <c r="R51" s="396">
        <f>P51-Q51</f>
        <v>3</v>
      </c>
      <c r="S51" s="397">
        <f>SUMIF($D$8:$D$55,$O51,$K$8:$K$55)+SUMIF($F$8:$F$55,$O51,$L$8:$L$55)</f>
        <v>7</v>
      </c>
      <c r="T51" s="444" t="s">
        <v>82</v>
      </c>
      <c r="U51" s="392"/>
      <c r="V51" s="392" t="str">
        <f>O51</f>
        <v>België</v>
      </c>
      <c r="W51" s="392" t="s">
        <v>82</v>
      </c>
      <c r="Y51" s="109">
        <f t="shared" si="8"/>
        <v>0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0</v>
      </c>
      <c r="AG51" s="108">
        <f t="shared" si="0"/>
        <v>0</v>
      </c>
      <c r="AH51" s="108">
        <f t="shared" si="1"/>
        <v>0</v>
      </c>
      <c r="AI51" s="108">
        <f t="shared" si="10"/>
        <v>0</v>
      </c>
      <c r="AJ51" s="108">
        <f t="shared" si="2"/>
        <v>0</v>
      </c>
      <c r="AK51" s="108">
        <f t="shared" si="3"/>
        <v>0</v>
      </c>
      <c r="AL51" s="108">
        <f t="shared" si="4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0</v>
      </c>
      <c r="H52" s="373" t="s">
        <v>9</v>
      </c>
      <c r="I52" s="441">
        <v>2</v>
      </c>
      <c r="J52" s="369">
        <f t="shared" si="5"/>
        <v>2</v>
      </c>
      <c r="K52" s="363">
        <f t="shared" si="6"/>
        <v>0</v>
      </c>
      <c r="L52" s="363">
        <f t="shared" si="7"/>
        <v>3</v>
      </c>
      <c r="O52" s="398" t="s">
        <v>38</v>
      </c>
      <c r="P52" s="399">
        <f>SUMIF($D$8:$D$55,$O52,$G$8:$G$55)+SUMIF($F$8:$F$55,$O52,$I$8:$I$55)</f>
        <v>4</v>
      </c>
      <c r="Q52" s="399">
        <f>SUMIF($D$8:$D$55,$O52,$I$8:$I$55)+SUMIF($F$8:$F$55,$O52,$G$8:$G$55)</f>
        <v>4</v>
      </c>
      <c r="R52" s="399">
        <f>P52-Q52</f>
        <v>0</v>
      </c>
      <c r="S52" s="400">
        <f>SUMIF($D$8:$D$55,$O52,$K$8:$K$55)+SUMIF($F$8:$F$55,$O52,$L$8:$L$55)</f>
        <v>4</v>
      </c>
      <c r="T52" s="445" t="s">
        <v>83</v>
      </c>
      <c r="U52" s="392"/>
      <c r="V52" s="392" t="str">
        <f>O52</f>
        <v>Algerije</v>
      </c>
      <c r="W52" s="392" t="s">
        <v>83</v>
      </c>
      <c r="Y52" s="109">
        <f t="shared" si="8"/>
        <v>6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6</v>
      </c>
      <c r="AG52" s="108">
        <f t="shared" si="0"/>
        <v>1</v>
      </c>
      <c r="AH52" s="108">
        <f t="shared" si="1"/>
        <v>0</v>
      </c>
      <c r="AI52" s="108">
        <f t="shared" si="10"/>
        <v>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10</v>
      </c>
      <c r="AN52" s="117" t="s">
        <v>38</v>
      </c>
      <c r="AO52" s="115">
        <f>IF(Uitslag!T52="",0,IF(T52=Uitslag!T52,10,0))</f>
        <v>10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3</v>
      </c>
      <c r="H53" s="373" t="s">
        <v>9</v>
      </c>
      <c r="I53" s="441">
        <v>3</v>
      </c>
      <c r="J53" s="375">
        <f t="shared" si="5"/>
        <v>3</v>
      </c>
      <c r="K53" s="363">
        <f t="shared" si="6"/>
        <v>1</v>
      </c>
      <c r="L53" s="363">
        <f t="shared" si="7"/>
        <v>1</v>
      </c>
      <c r="O53" s="398" t="s">
        <v>39</v>
      </c>
      <c r="P53" s="399">
        <f>SUMIF($D$8:$D$55,$O53,$G$8:$G$55)+SUMIF($F$8:$F$55,$O53,$I$8:$I$55)</f>
        <v>4</v>
      </c>
      <c r="Q53" s="399">
        <f>SUMIF($D$8:$D$55,$O53,$I$8:$I$55)+SUMIF($F$8:$F$55,$O53,$G$8:$G$55)</f>
        <v>4</v>
      </c>
      <c r="R53" s="399">
        <f>P53-Q53</f>
        <v>0</v>
      </c>
      <c r="S53" s="400">
        <f>SUMIF($D$8:$D$55,$O53,$K$8:$K$55)+SUMIF($F$8:$F$55,$O53,$L$8:$L$55)</f>
        <v>3</v>
      </c>
      <c r="T53" s="445" t="s">
        <v>84</v>
      </c>
      <c r="U53" s="392"/>
      <c r="V53" s="392" t="str">
        <f>O53</f>
        <v>Rusland</v>
      </c>
      <c r="W53" s="392" t="s">
        <v>84</v>
      </c>
      <c r="Y53" s="109">
        <f t="shared" si="8"/>
        <v>0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0</v>
      </c>
      <c r="AG53" s="108">
        <f t="shared" si="0"/>
        <v>0</v>
      </c>
      <c r="AH53" s="108">
        <f t="shared" si="1"/>
        <v>0</v>
      </c>
      <c r="AI53" s="108">
        <f t="shared" si="10"/>
        <v>0</v>
      </c>
      <c r="AJ53" s="108">
        <f t="shared" si="2"/>
        <v>0</v>
      </c>
      <c r="AK53" s="108">
        <f t="shared" si="3"/>
        <v>0</v>
      </c>
      <c r="AL53" s="108">
        <f t="shared" si="4"/>
        <v>0</v>
      </c>
      <c r="AM53" s="120">
        <f>AO53</f>
        <v>10</v>
      </c>
      <c r="AN53" s="117" t="s">
        <v>39</v>
      </c>
      <c r="AO53" s="115">
        <f>IF(Uitslag!T53="",0,IF(T53=Uitslag!T53,10,0))</f>
        <v>10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0</v>
      </c>
      <c r="H54" s="373" t="s">
        <v>9</v>
      </c>
      <c r="I54" s="441">
        <v>2</v>
      </c>
      <c r="J54" s="375">
        <f t="shared" si="5"/>
        <v>2</v>
      </c>
      <c r="K54" s="363">
        <f t="shared" si="6"/>
        <v>0</v>
      </c>
      <c r="L54" s="363">
        <f t="shared" si="7"/>
        <v>3</v>
      </c>
      <c r="O54" s="401" t="s">
        <v>40</v>
      </c>
      <c r="P54" s="402">
        <f>SUMIF($D$8:$D$55,$O54,$G$8:$G$55)+SUMIF($F$8:$F$55,$O54,$I$8:$I$55)</f>
        <v>3</v>
      </c>
      <c r="Q54" s="402">
        <f>SUMIF($D$8:$D$55,$O54,$I$8:$I$55)+SUMIF($F$8:$F$55,$O54,$G$8:$G$55)</f>
        <v>6</v>
      </c>
      <c r="R54" s="402">
        <f>P54-Q54</f>
        <v>-3</v>
      </c>
      <c r="S54" s="403">
        <f>SUMIF($D$8:$D$55,$O54,$K$8:$K$55)+SUMIF($F$8:$F$55,$O54,$L$8:$L$55)</f>
        <v>1</v>
      </c>
      <c r="T54" s="446" t="s">
        <v>85</v>
      </c>
      <c r="U54" s="392"/>
      <c r="V54" s="392" t="str">
        <f>O54</f>
        <v>Zuid Korea</v>
      </c>
      <c r="W54" s="392" t="s">
        <v>85</v>
      </c>
      <c r="Y54" s="109">
        <f t="shared" si="8"/>
        <v>6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6</v>
      </c>
      <c r="AG54" s="108">
        <f t="shared" si="0"/>
        <v>1</v>
      </c>
      <c r="AH54" s="108">
        <f t="shared" si="1"/>
        <v>0</v>
      </c>
      <c r="AI54" s="108">
        <f t="shared" si="10"/>
        <v>0</v>
      </c>
      <c r="AJ54" s="108">
        <f t="shared" si="2"/>
        <v>0</v>
      </c>
      <c r="AK54" s="108">
        <f t="shared" si="3"/>
        <v>5</v>
      </c>
      <c r="AL54" s="108">
        <f t="shared" si="4"/>
        <v>0</v>
      </c>
      <c r="AM54" s="120">
        <f>AO54</f>
        <v>10</v>
      </c>
      <c r="AN54" s="118" t="s">
        <v>40</v>
      </c>
      <c r="AO54" s="115">
        <f>IF(Uitslag!T54="",0,IF(T54=Uitslag!T54,10,0))</f>
        <v>10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1</v>
      </c>
      <c r="H55" s="388" t="s">
        <v>9</v>
      </c>
      <c r="I55" s="443">
        <v>1</v>
      </c>
      <c r="J55" s="390">
        <f t="shared" si="5"/>
        <v>3</v>
      </c>
      <c r="K55" s="363">
        <f t="shared" si="6"/>
        <v>1</v>
      </c>
      <c r="L55" s="363">
        <f t="shared" si="7"/>
        <v>1</v>
      </c>
      <c r="O55" s="392"/>
      <c r="P55" s="393"/>
      <c r="Q55" s="393"/>
      <c r="R55" s="393"/>
      <c r="S55" s="393"/>
      <c r="T55" s="393"/>
      <c r="U55" s="392"/>
      <c r="V55" s="392"/>
      <c r="W55" s="392"/>
      <c r="Y55" s="109">
        <f t="shared" si="8"/>
        <v>10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10</v>
      </c>
      <c r="AG55" s="108">
        <f t="shared" si="0"/>
        <v>1</v>
      </c>
      <c r="AH55" s="108">
        <f t="shared" si="1"/>
        <v>1</v>
      </c>
      <c r="AI55" s="108">
        <f t="shared" si="10"/>
        <v>10</v>
      </c>
      <c r="AJ55" s="108">
        <f t="shared" si="2"/>
        <v>0</v>
      </c>
      <c r="AK55" s="108">
        <f t="shared" si="3"/>
        <v>0</v>
      </c>
      <c r="AL55" s="108">
        <f t="shared" si="4"/>
        <v>5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79"/>
      <c r="K57" s="353"/>
      <c r="L57" s="353"/>
      <c r="M57" s="353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77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O58" s="458">
        <v>1</v>
      </c>
      <c r="P58" s="877" t="s">
        <v>224</v>
      </c>
      <c r="Q58" s="877"/>
      <c r="R58" s="877"/>
      <c r="S58" s="877"/>
      <c r="T58" s="878"/>
      <c r="V58" s="352" t="s">
        <v>132</v>
      </c>
      <c r="W58" s="352" t="s">
        <v>124</v>
      </c>
      <c r="X58" s="352" t="str">
        <f t="shared" ref="X58:X98" si="11">CONCATENATE(W58," ",V58)</f>
        <v>Jeroen Zoet (k)</v>
      </c>
      <c r="Y58" s="113" t="s">
        <v>91</v>
      </c>
      <c r="Z58" s="352" t="str">
        <f>IF(K58=""," ",VLOOKUP(K58,$T$9:$V$54,3,FALSE))</f>
        <v xml:space="preserve"> </v>
      </c>
      <c r="AA58" s="352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>IF(ISERROR(Z59),K59,Z59)</f>
        <v>Brazilië</v>
      </c>
      <c r="E59" s="367" t="s">
        <v>9</v>
      </c>
      <c r="F59" s="406" t="str">
        <f>IF(ISERROR(AA59),L59,AA59)</f>
        <v>Spanje</v>
      </c>
      <c r="G59" s="435">
        <v>3</v>
      </c>
      <c r="H59" s="367" t="s">
        <v>9</v>
      </c>
      <c r="I59" s="447">
        <v>2</v>
      </c>
      <c r="J59" s="448">
        <v>1</v>
      </c>
      <c r="K59" s="407" t="s">
        <v>48</v>
      </c>
      <c r="L59" s="407" t="s">
        <v>53</v>
      </c>
      <c r="M59" s="407">
        <v>1</v>
      </c>
      <c r="O59" s="458">
        <v>2</v>
      </c>
      <c r="P59" s="877" t="s">
        <v>220</v>
      </c>
      <c r="Q59" s="877"/>
      <c r="R59" s="877"/>
      <c r="S59" s="877"/>
      <c r="T59" s="878"/>
      <c r="V59" s="352" t="s">
        <v>132</v>
      </c>
      <c r="W59" s="352" t="s">
        <v>111</v>
      </c>
      <c r="X59" s="352" t="str">
        <f t="shared" si="11"/>
        <v>Jasper Cillessen (k)</v>
      </c>
      <c r="Y59" s="109">
        <f t="shared" ref="Y59:Y66" si="13">AF59</f>
        <v>0</v>
      </c>
      <c r="Z59" s="352" t="str">
        <f t="shared" ref="Z59:AA65" si="14">IF(K59=""," ",VLOOKUP(K59,$T$9:$V$54,3,FALSE))</f>
        <v>Brazilië</v>
      </c>
      <c r="AA59" s="352" t="str">
        <f t="shared" si="14"/>
        <v>Spanje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0</v>
      </c>
      <c r="AG59" s="108">
        <f t="shared" ref="AG59:AG66" si="16">IF(AC59="",0,(IF(G59=AC59,1,0)))</f>
        <v>0</v>
      </c>
      <c r="AH59" s="108">
        <f t="shared" ref="AH59:AH66" si="17">IF(AD59="",0,(IF(I59=AD59,1,0)))</f>
        <v>0</v>
      </c>
      <c r="AI59" s="108">
        <f t="shared" ref="AI59:AI66" si="18">IF(AND(AG59=1,AH59=1),10,0)</f>
        <v>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376">
        <v>50</v>
      </c>
      <c r="C60" s="466">
        <v>41818</v>
      </c>
      <c r="D60" s="460" t="str">
        <f t="shared" ref="D60:D66" si="23">IF(ISERROR(Z60),K60,Z60)</f>
        <v>Ivoorkust</v>
      </c>
      <c r="E60" s="379" t="s">
        <v>9</v>
      </c>
      <c r="F60" s="409" t="str">
        <f t="shared" ref="F60:F66" si="24">IF(ISERROR(AA60),L60,AA60)</f>
        <v>Italië</v>
      </c>
      <c r="G60" s="437">
        <v>2</v>
      </c>
      <c r="H60" s="379" t="s">
        <v>9</v>
      </c>
      <c r="I60" s="449">
        <v>4</v>
      </c>
      <c r="J60" s="450">
        <v>2</v>
      </c>
      <c r="K60" s="407" t="s">
        <v>57</v>
      </c>
      <c r="L60" s="407" t="s">
        <v>63</v>
      </c>
      <c r="M60" s="407">
        <v>2</v>
      </c>
      <c r="O60" s="458">
        <v>3</v>
      </c>
      <c r="P60" s="877" t="s">
        <v>225</v>
      </c>
      <c r="Q60" s="877"/>
      <c r="R60" s="877"/>
      <c r="S60" s="877"/>
      <c r="T60" s="878"/>
      <c r="V60" s="352" t="s">
        <v>132</v>
      </c>
      <c r="W60" s="352" t="s">
        <v>110</v>
      </c>
      <c r="X60" s="352" t="str">
        <f t="shared" si="11"/>
        <v>Kenneth Vermeer (k)</v>
      </c>
      <c r="Y60" s="109">
        <f t="shared" si="13"/>
        <v>1</v>
      </c>
      <c r="Z60" s="352" t="str">
        <f t="shared" si="14"/>
        <v>Ivoorkust</v>
      </c>
      <c r="AA60" s="352" t="str">
        <f t="shared" si="14"/>
        <v>Italië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1</v>
      </c>
      <c r="AG60" s="108">
        <f t="shared" si="16"/>
        <v>1</v>
      </c>
      <c r="AH60" s="108">
        <f t="shared" si="17"/>
        <v>0</v>
      </c>
      <c r="AI60" s="108">
        <f t="shared" si="18"/>
        <v>0</v>
      </c>
      <c r="AJ60" s="108">
        <f t="shared" si="19"/>
        <v>0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2"/>
        <v>3</v>
      </c>
    </row>
    <row r="61" spans="2:54">
      <c r="B61" s="364">
        <v>51</v>
      </c>
      <c r="C61" s="465">
        <v>41819</v>
      </c>
      <c r="D61" s="464" t="str">
        <f t="shared" si="23"/>
        <v>Nederland</v>
      </c>
      <c r="E61" s="367" t="s">
        <v>9</v>
      </c>
      <c r="F61" s="406" t="str">
        <f t="shared" si="24"/>
        <v>Kameroen</v>
      </c>
      <c r="G61" s="435">
        <v>2</v>
      </c>
      <c r="H61" s="367" t="s">
        <v>9</v>
      </c>
      <c r="I61" s="447">
        <v>2</v>
      </c>
      <c r="J61" s="448">
        <v>1</v>
      </c>
      <c r="K61" s="407" t="s">
        <v>52</v>
      </c>
      <c r="L61" s="407" t="s">
        <v>49</v>
      </c>
      <c r="M61" s="407"/>
      <c r="O61" s="458">
        <v>4</v>
      </c>
      <c r="P61" s="877" t="s">
        <v>211</v>
      </c>
      <c r="Q61" s="877"/>
      <c r="R61" s="877"/>
      <c r="S61" s="877"/>
      <c r="T61" s="878"/>
      <c r="V61" s="352" t="s">
        <v>132</v>
      </c>
      <c r="W61" s="352" t="s">
        <v>191</v>
      </c>
      <c r="X61" s="352" t="str">
        <f t="shared" si="11"/>
        <v>Tim Krul (k)</v>
      </c>
      <c r="Y61" s="109">
        <f t="shared" si="13"/>
        <v>1</v>
      </c>
      <c r="Z61" s="352" t="str">
        <f t="shared" si="14"/>
        <v>Nederland</v>
      </c>
      <c r="AA61" s="352" t="str">
        <f t="shared" si="14"/>
        <v>Kameroen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1</v>
      </c>
      <c r="AG61" s="108">
        <f t="shared" si="16"/>
        <v>1</v>
      </c>
      <c r="AH61" s="108">
        <f t="shared" si="17"/>
        <v>0</v>
      </c>
      <c r="AI61" s="108">
        <f t="shared" si="18"/>
        <v>0</v>
      </c>
      <c r="AJ61" s="108">
        <f t="shared" si="19"/>
        <v>0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3</v>
      </c>
      <c r="BB61" s="139">
        <f t="shared" si="22"/>
        <v>3</v>
      </c>
    </row>
    <row r="62" spans="2:54">
      <c r="B62" s="376">
        <v>52</v>
      </c>
      <c r="C62" s="466">
        <v>41819</v>
      </c>
      <c r="D62" s="464" t="str">
        <f t="shared" si="23"/>
        <v>Engeland</v>
      </c>
      <c r="E62" s="379" t="s">
        <v>9</v>
      </c>
      <c r="F62" s="409" t="str">
        <f t="shared" si="24"/>
        <v>Griekenland</v>
      </c>
      <c r="G62" s="437">
        <v>2</v>
      </c>
      <c r="H62" s="379" t="s">
        <v>9</v>
      </c>
      <c r="I62" s="449">
        <v>2</v>
      </c>
      <c r="J62" s="450">
        <v>1</v>
      </c>
      <c r="K62" s="407" t="s">
        <v>62</v>
      </c>
      <c r="L62" s="407" t="s">
        <v>58</v>
      </c>
      <c r="M62" s="407"/>
      <c r="O62" s="458">
        <v>5</v>
      </c>
      <c r="P62" s="877" t="s">
        <v>209</v>
      </c>
      <c r="Q62" s="877"/>
      <c r="R62" s="877"/>
      <c r="S62" s="877"/>
      <c r="T62" s="878"/>
      <c r="V62" s="352" t="s">
        <v>132</v>
      </c>
      <c r="W62" s="352" t="s">
        <v>192</v>
      </c>
      <c r="X62" s="352" t="str">
        <f t="shared" si="11"/>
        <v>Maarten Stekelenburg (k)</v>
      </c>
      <c r="Y62" s="109">
        <f t="shared" si="13"/>
        <v>5</v>
      </c>
      <c r="Z62" s="352" t="str">
        <f t="shared" si="14"/>
        <v>Engeland</v>
      </c>
      <c r="AA62" s="352" t="str">
        <f t="shared" si="14"/>
        <v>Griekenland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5</v>
      </c>
      <c r="AG62" s="108">
        <f t="shared" si="16"/>
        <v>0</v>
      </c>
      <c r="AH62" s="108">
        <f t="shared" si="17"/>
        <v>0</v>
      </c>
      <c r="AI62" s="108">
        <f t="shared" si="18"/>
        <v>0</v>
      </c>
      <c r="AJ62" s="108">
        <f t="shared" si="19"/>
        <v>0</v>
      </c>
      <c r="AK62" s="108">
        <f t="shared" si="20"/>
        <v>0</v>
      </c>
      <c r="AL62" s="108">
        <f t="shared" si="21"/>
        <v>5</v>
      </c>
      <c r="AZ62" s="138" t="str">
        <f>Uitslag!P62</f>
        <v>Bruno Martins Indi (v)</v>
      </c>
      <c r="BA62" s="140">
        <f t="shared" si="12"/>
        <v>3</v>
      </c>
      <c r="BB62" s="139">
        <f t="shared" si="22"/>
        <v>3</v>
      </c>
    </row>
    <row r="63" spans="2:54">
      <c r="B63" s="364">
        <v>53</v>
      </c>
      <c r="C63" s="465">
        <v>41820</v>
      </c>
      <c r="D63" s="459" t="str">
        <f t="shared" si="23"/>
        <v>Frankrijk</v>
      </c>
      <c r="E63" s="367" t="s">
        <v>9</v>
      </c>
      <c r="F63" s="406" t="str">
        <f t="shared" si="24"/>
        <v>Nigeria</v>
      </c>
      <c r="G63" s="435">
        <v>3</v>
      </c>
      <c r="H63" s="367" t="s">
        <v>9</v>
      </c>
      <c r="I63" s="447">
        <v>2</v>
      </c>
      <c r="J63" s="448">
        <v>1</v>
      </c>
      <c r="K63" s="407" t="s">
        <v>67</v>
      </c>
      <c r="L63" s="407" t="s">
        <v>73</v>
      </c>
      <c r="M63" s="407"/>
      <c r="O63" s="458">
        <v>6</v>
      </c>
      <c r="P63" s="877" t="s">
        <v>212</v>
      </c>
      <c r="Q63" s="877"/>
      <c r="R63" s="877"/>
      <c r="S63" s="877"/>
      <c r="T63" s="878"/>
      <c r="V63" s="352" t="s">
        <v>132</v>
      </c>
      <c r="W63" s="352" t="s">
        <v>193</v>
      </c>
      <c r="X63" s="352" t="str">
        <f t="shared" si="11"/>
        <v>Michel Vorm (k)</v>
      </c>
      <c r="Y63" s="109">
        <f t="shared" si="13"/>
        <v>5</v>
      </c>
      <c r="Z63" s="352" t="str">
        <f t="shared" si="14"/>
        <v>Frankrijk</v>
      </c>
      <c r="AA63" s="352" t="str">
        <f t="shared" si="14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5</v>
      </c>
      <c r="AG63" s="108">
        <f t="shared" si="16"/>
        <v>0</v>
      </c>
      <c r="AH63" s="108">
        <f t="shared" si="17"/>
        <v>0</v>
      </c>
      <c r="AI63" s="108">
        <f t="shared" si="18"/>
        <v>0</v>
      </c>
      <c r="AJ63" s="108">
        <f t="shared" si="19"/>
        <v>5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3</v>
      </c>
      <c r="BB63" s="139">
        <f t="shared" si="22"/>
        <v>3</v>
      </c>
    </row>
    <row r="64" spans="2:54">
      <c r="B64" s="376">
        <v>54</v>
      </c>
      <c r="C64" s="466">
        <v>41820</v>
      </c>
      <c r="D64" s="460" t="str">
        <f t="shared" si="23"/>
        <v>Duitsland</v>
      </c>
      <c r="E64" s="379" t="s">
        <v>9</v>
      </c>
      <c r="F64" s="409" t="str">
        <f t="shared" si="24"/>
        <v>Algerije</v>
      </c>
      <c r="G64" s="437">
        <v>4</v>
      </c>
      <c r="H64" s="379" t="s">
        <v>9</v>
      </c>
      <c r="I64" s="449">
        <v>1</v>
      </c>
      <c r="J64" s="450">
        <v>1</v>
      </c>
      <c r="K64" s="407" t="s">
        <v>77</v>
      </c>
      <c r="L64" s="407" t="s">
        <v>83</v>
      </c>
      <c r="M64" s="407"/>
      <c r="O64" s="458">
        <v>7</v>
      </c>
      <c r="P64" s="877" t="s">
        <v>221</v>
      </c>
      <c r="Q64" s="877"/>
      <c r="R64" s="877"/>
      <c r="S64" s="877"/>
      <c r="T64" s="878"/>
      <c r="V64" s="352" t="s">
        <v>133</v>
      </c>
      <c r="W64" s="352" t="s">
        <v>112</v>
      </c>
      <c r="X64" s="352" t="str">
        <f t="shared" si="11"/>
        <v>Joël Veltman (v)</v>
      </c>
      <c r="Y64" s="109">
        <f t="shared" si="13"/>
        <v>0</v>
      </c>
      <c r="Z64" s="352" t="str">
        <f t="shared" si="14"/>
        <v>Duitsland</v>
      </c>
      <c r="AA64" s="352" t="str">
        <f t="shared" si="14"/>
        <v>Algerije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0</v>
      </c>
      <c r="AG64" s="108">
        <f t="shared" si="16"/>
        <v>0</v>
      </c>
      <c r="AH64" s="108">
        <f t="shared" si="17"/>
        <v>0</v>
      </c>
      <c r="AI64" s="108">
        <f t="shared" si="18"/>
        <v>0</v>
      </c>
      <c r="AJ64" s="108">
        <f t="shared" si="19"/>
        <v>0</v>
      </c>
      <c r="AK64" s="108">
        <f t="shared" si="20"/>
        <v>0</v>
      </c>
      <c r="AL64" s="108">
        <f t="shared" si="21"/>
        <v>0</v>
      </c>
      <c r="AZ64" s="138" t="str">
        <f>Uitslag!P64</f>
        <v>Wesley Sneijder (m)</v>
      </c>
      <c r="BA64" s="140">
        <f t="shared" si="12"/>
        <v>0</v>
      </c>
      <c r="BB64" s="139">
        <f t="shared" si="22"/>
        <v>0</v>
      </c>
    </row>
    <row r="65" spans="2:54">
      <c r="B65" s="370">
        <v>55</v>
      </c>
      <c r="C65" s="467">
        <v>41821</v>
      </c>
      <c r="D65" s="459" t="str">
        <f t="shared" si="23"/>
        <v>Argentinië</v>
      </c>
      <c r="E65" s="373" t="s">
        <v>9</v>
      </c>
      <c r="F65" s="410" t="str">
        <f t="shared" si="24"/>
        <v>Ecuador</v>
      </c>
      <c r="G65" s="436">
        <v>3</v>
      </c>
      <c r="H65" s="373" t="s">
        <v>9</v>
      </c>
      <c r="I65" s="451">
        <v>1</v>
      </c>
      <c r="J65" s="452">
        <v>1</v>
      </c>
      <c r="K65" s="407" t="s">
        <v>72</v>
      </c>
      <c r="L65" s="407" t="s">
        <v>68</v>
      </c>
      <c r="M65" s="407"/>
      <c r="O65" s="458">
        <v>8</v>
      </c>
      <c r="P65" s="877" t="s">
        <v>214</v>
      </c>
      <c r="Q65" s="877"/>
      <c r="R65" s="877"/>
      <c r="S65" s="877"/>
      <c r="T65" s="878"/>
      <c r="V65" s="352" t="s">
        <v>133</v>
      </c>
      <c r="W65" s="352" t="s">
        <v>109</v>
      </c>
      <c r="X65" s="352" t="str">
        <f t="shared" si="11"/>
        <v>Daley Blind (v)</v>
      </c>
      <c r="Y65" s="109">
        <f t="shared" si="13"/>
        <v>0</v>
      </c>
      <c r="Z65" s="352" t="str">
        <f t="shared" si="14"/>
        <v>Argentinië</v>
      </c>
      <c r="AA65" s="352" t="str">
        <f t="shared" si="14"/>
        <v>Ecuador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0</v>
      </c>
      <c r="AG65" s="108">
        <f t="shared" si="16"/>
        <v>0</v>
      </c>
      <c r="AH65" s="108">
        <f t="shared" si="17"/>
        <v>0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2"/>
        <v>3</v>
      </c>
    </row>
    <row r="66" spans="2:54" ht="15.75" thickBot="1">
      <c r="B66" s="385">
        <v>56</v>
      </c>
      <c r="C66" s="462">
        <v>41821</v>
      </c>
      <c r="D66" s="461" t="str">
        <f t="shared" si="23"/>
        <v>België</v>
      </c>
      <c r="E66" s="388" t="s">
        <v>9</v>
      </c>
      <c r="F66" s="412" t="str">
        <f t="shared" si="24"/>
        <v>Portugal</v>
      </c>
      <c r="G66" s="438">
        <v>0</v>
      </c>
      <c r="H66" s="388" t="s">
        <v>9</v>
      </c>
      <c r="I66" s="453">
        <v>0</v>
      </c>
      <c r="J66" s="454">
        <v>2</v>
      </c>
      <c r="K66" s="407" t="s">
        <v>82</v>
      </c>
      <c r="L66" s="407" t="s">
        <v>78</v>
      </c>
      <c r="M66" s="407"/>
      <c r="O66" s="458">
        <v>9</v>
      </c>
      <c r="P66" s="877" t="s">
        <v>213</v>
      </c>
      <c r="Q66" s="877"/>
      <c r="R66" s="877"/>
      <c r="S66" s="877"/>
      <c r="T66" s="878"/>
      <c r="V66" s="352" t="s">
        <v>133</v>
      </c>
      <c r="W66" s="352" t="s">
        <v>115</v>
      </c>
      <c r="X66" s="352" t="str">
        <f t="shared" si="11"/>
        <v>Daryl Janmaat (v)</v>
      </c>
      <c r="Y66" s="109">
        <f t="shared" si="13"/>
        <v>10</v>
      </c>
      <c r="Z66" s="352" t="str">
        <f>IF(K66=""," ",VLOOKUP(K66,$T$9:$V$54,3,FALSE))</f>
        <v>België</v>
      </c>
      <c r="AA66" s="352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10</v>
      </c>
      <c r="AG66" s="108">
        <f t="shared" si="16"/>
        <v>1</v>
      </c>
      <c r="AH66" s="108">
        <f t="shared" si="17"/>
        <v>1</v>
      </c>
      <c r="AI66" s="108">
        <f t="shared" si="18"/>
        <v>10</v>
      </c>
      <c r="AJ66" s="108">
        <f t="shared" si="19"/>
        <v>0</v>
      </c>
      <c r="AK66" s="108">
        <f t="shared" si="20"/>
        <v>0</v>
      </c>
      <c r="AL66" s="108">
        <f t="shared" si="21"/>
        <v>5</v>
      </c>
      <c r="AZ66" s="138" t="str">
        <f>Uitslag!P66</f>
        <v>Jonathan de Guzman (m)</v>
      </c>
      <c r="BA66" s="140">
        <f t="shared" si="12"/>
        <v>3</v>
      </c>
      <c r="BB66" s="139">
        <f t="shared" si="22"/>
        <v>3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O67" s="458">
        <v>10</v>
      </c>
      <c r="P67" s="877" t="s">
        <v>216</v>
      </c>
      <c r="Q67" s="877"/>
      <c r="R67" s="877"/>
      <c r="S67" s="877"/>
      <c r="T67" s="878"/>
      <c r="V67" s="352" t="s">
        <v>133</v>
      </c>
      <c r="W67" s="352" t="s">
        <v>118</v>
      </c>
      <c r="X67" s="352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2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79"/>
      <c r="K68" s="353"/>
      <c r="L68" s="353"/>
      <c r="M68" s="353"/>
      <c r="O68" s="458">
        <v>11</v>
      </c>
      <c r="P68" s="877" t="s">
        <v>215</v>
      </c>
      <c r="Q68" s="877"/>
      <c r="R68" s="877"/>
      <c r="S68" s="877"/>
      <c r="T68" s="878"/>
      <c r="V68" s="352" t="s">
        <v>133</v>
      </c>
      <c r="W68" s="352" t="s">
        <v>119</v>
      </c>
      <c r="X68" s="352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2"/>
        <v>3</v>
      </c>
    </row>
    <row r="69" spans="2:54">
      <c r="B69" s="428" t="s">
        <v>1</v>
      </c>
      <c r="C69" s="429" t="s">
        <v>2</v>
      </c>
      <c r="D69" s="476" t="s">
        <v>3</v>
      </c>
      <c r="E69" s="431"/>
      <c r="F69" s="477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V69" s="352" t="s">
        <v>133</v>
      </c>
      <c r="W69" s="352" t="s">
        <v>121</v>
      </c>
      <c r="X69" s="352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30</v>
      </c>
      <c r="BB69" s="139" t="str">
        <f>IF(AND(BA69&lt;&gt;"",BA69=33),15,"nvt")</f>
        <v>nvt</v>
      </c>
    </row>
    <row r="70" spans="2:54">
      <c r="B70" s="364">
        <v>57</v>
      </c>
      <c r="C70" s="365">
        <v>41824</v>
      </c>
      <c r="D70" s="405" t="str">
        <f>IF(J63="","Winnaar 53",IF(J63=1,D63,F63))</f>
        <v>Frankrijk</v>
      </c>
      <c r="E70" s="367" t="s">
        <v>9</v>
      </c>
      <c r="F70" s="406" t="str">
        <f>IF(J64="","Winnaar 54",IF(J64=1,D64,F64))</f>
        <v>Duitsland</v>
      </c>
      <c r="G70" s="435">
        <v>2</v>
      </c>
      <c r="H70" s="367" t="s">
        <v>9</v>
      </c>
      <c r="I70" s="447">
        <v>2</v>
      </c>
      <c r="J70" s="448">
        <v>2</v>
      </c>
      <c r="K70" s="353"/>
      <c r="L70" s="353"/>
      <c r="M70" s="353"/>
      <c r="V70" s="352" t="s">
        <v>133</v>
      </c>
      <c r="W70" s="352" t="s">
        <v>126</v>
      </c>
      <c r="X70" s="352" t="str">
        <f t="shared" si="11"/>
        <v>Karim Rekik (v)</v>
      </c>
      <c r="Y70" s="109">
        <f>AF70</f>
        <v>0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0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0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Brazilië</v>
      </c>
      <c r="E71" s="379" t="s">
        <v>9</v>
      </c>
      <c r="F71" s="409" t="str">
        <f>IF(J60="","Winnaar 50",IF(J60=1,D60,F60))</f>
        <v>Italië</v>
      </c>
      <c r="G71" s="437">
        <v>3</v>
      </c>
      <c r="H71" s="379" t="s">
        <v>9</v>
      </c>
      <c r="I71" s="449">
        <v>1</v>
      </c>
      <c r="J71" s="450">
        <v>1</v>
      </c>
      <c r="K71" s="353"/>
      <c r="L71" s="353"/>
      <c r="M71" s="353"/>
      <c r="V71" s="352" t="s">
        <v>133</v>
      </c>
      <c r="W71" s="352" t="s">
        <v>194</v>
      </c>
      <c r="X71" s="352" t="str">
        <f t="shared" si="11"/>
        <v>Ron Vlaar (v)</v>
      </c>
      <c r="Y71" s="109">
        <f>AF71</f>
        <v>6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6</v>
      </c>
      <c r="AG71" s="108">
        <f>IF(AC71="",0,(IF(G71=AC71,1,0)))</f>
        <v>0</v>
      </c>
      <c r="AH71" s="108">
        <f>IF(AD71="",0,(IF(I71=AD71,1,0)))</f>
        <v>1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Argentinië</v>
      </c>
      <c r="E72" s="367" t="s">
        <v>9</v>
      </c>
      <c r="F72" s="406" t="str">
        <f>IF(J66="","Winnaar 56",IF(J66=1,D66,F66))</f>
        <v>Portugal</v>
      </c>
      <c r="G72" s="435">
        <v>4</v>
      </c>
      <c r="H72" s="367" t="s">
        <v>9</v>
      </c>
      <c r="I72" s="447">
        <v>2</v>
      </c>
      <c r="J72" s="448">
        <v>1</v>
      </c>
      <c r="K72" s="353"/>
      <c r="L72" s="353"/>
      <c r="M72" s="353"/>
      <c r="V72" s="352" t="s">
        <v>133</v>
      </c>
      <c r="W72" s="352" t="s">
        <v>195</v>
      </c>
      <c r="X72" s="352" t="str">
        <f t="shared" si="11"/>
        <v>John Heitinga (v)</v>
      </c>
      <c r="Y72" s="109">
        <f>AF72</f>
        <v>5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5</v>
      </c>
      <c r="AG72" s="108">
        <f>IF(AC72="",0,(IF(G72=AC72,1,0)))</f>
        <v>0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5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Nederland</v>
      </c>
      <c r="E73" s="388" t="s">
        <v>9</v>
      </c>
      <c r="F73" s="412" t="str">
        <f>IF(J62="","Winnaar 52",IF(J62=1,D62,F62))</f>
        <v>Engeland</v>
      </c>
      <c r="G73" s="438">
        <v>2</v>
      </c>
      <c r="H73" s="388" t="s">
        <v>9</v>
      </c>
      <c r="I73" s="453">
        <v>0</v>
      </c>
      <c r="J73" s="454">
        <v>1</v>
      </c>
      <c r="K73" s="353"/>
      <c r="L73" s="353"/>
      <c r="M73" s="353"/>
      <c r="V73" s="352" t="s">
        <v>133</v>
      </c>
      <c r="W73" s="352" t="s">
        <v>196</v>
      </c>
      <c r="X73" s="352" t="str">
        <f t="shared" si="11"/>
        <v>Urby Emanuelson (v)</v>
      </c>
      <c r="Y73" s="109">
        <f>AF73</f>
        <v>1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1</v>
      </c>
      <c r="AG73" s="108">
        <f>IF(AC73="",0,(IF(G73=AC73,1,0)))</f>
        <v>0</v>
      </c>
      <c r="AH73" s="108">
        <f>IF(AD73="",0,(IF(I73=AD73,1,0)))</f>
        <v>1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V74" s="352" t="s">
        <v>133</v>
      </c>
      <c r="W74" s="352" t="s">
        <v>197</v>
      </c>
      <c r="X74" s="352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79"/>
      <c r="K75" s="353"/>
      <c r="L75" s="353"/>
      <c r="M75" s="353"/>
      <c r="V75" s="352" t="s">
        <v>133</v>
      </c>
      <c r="W75" s="352" t="s">
        <v>198</v>
      </c>
      <c r="X75" s="352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76" t="s">
        <v>3</v>
      </c>
      <c r="E76" s="431"/>
      <c r="F76" s="477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V76" s="352" t="s">
        <v>133</v>
      </c>
      <c r="W76" s="352" t="s">
        <v>202</v>
      </c>
      <c r="X76" s="352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Duitsland</v>
      </c>
      <c r="E77" s="367" t="s">
        <v>9</v>
      </c>
      <c r="F77" s="406" t="str">
        <f>IF(J71="","Winnaar 58",IF(J71=1,D71,F71))</f>
        <v>Brazilië</v>
      </c>
      <c r="G77" s="435">
        <v>1</v>
      </c>
      <c r="H77" s="367" t="s">
        <v>9</v>
      </c>
      <c r="I77" s="447">
        <v>2</v>
      </c>
      <c r="J77" s="448">
        <v>2</v>
      </c>
      <c r="K77" s="353"/>
      <c r="L77" s="353"/>
      <c r="M77" s="353"/>
      <c r="V77" s="352" t="s">
        <v>134</v>
      </c>
      <c r="W77" s="352" t="s">
        <v>203</v>
      </c>
      <c r="X77" s="352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Argentinië</v>
      </c>
      <c r="E78" s="388" t="s">
        <v>9</v>
      </c>
      <c r="F78" s="412" t="str">
        <f>IF(J73="","Winnaar 60",IF(J73=1,D73,F73))</f>
        <v>Nederland</v>
      </c>
      <c r="G78" s="438">
        <v>0</v>
      </c>
      <c r="H78" s="388" t="s">
        <v>9</v>
      </c>
      <c r="I78" s="453">
        <v>1</v>
      </c>
      <c r="J78" s="454">
        <v>2</v>
      </c>
      <c r="K78" s="353"/>
      <c r="L78" s="353"/>
      <c r="M78" s="353"/>
      <c r="V78" s="352" t="s">
        <v>134</v>
      </c>
      <c r="W78" s="352" t="s">
        <v>199</v>
      </c>
      <c r="X78" s="352" t="str">
        <f t="shared" si="11"/>
        <v>Leroy Fer (m)</v>
      </c>
      <c r="Y78" s="109">
        <f>AF78</f>
        <v>1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1</v>
      </c>
      <c r="AG78" s="108">
        <f>IF(AC78="",0,(IF(G78=AC78,1,0)))</f>
        <v>1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V79" s="352" t="s">
        <v>134</v>
      </c>
      <c r="W79" s="352" t="s">
        <v>114</v>
      </c>
      <c r="X79" s="352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79"/>
      <c r="K80" s="353"/>
      <c r="L80" s="353"/>
      <c r="M80" s="353"/>
      <c r="V80" s="352" t="s">
        <v>134</v>
      </c>
      <c r="W80" s="352" t="s">
        <v>117</v>
      </c>
      <c r="X80" s="352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76" t="s">
        <v>3</v>
      </c>
      <c r="E81" s="431"/>
      <c r="F81" s="477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V81" s="352" t="s">
        <v>134</v>
      </c>
      <c r="W81" s="352" t="s">
        <v>120</v>
      </c>
      <c r="X81" s="352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Duitsland</v>
      </c>
      <c r="E82" s="355" t="s">
        <v>9</v>
      </c>
      <c r="F82" s="415" t="str">
        <f>IF(J78="","Verliezer 62",IF(J78=1,F78,D78))</f>
        <v>Argentinië</v>
      </c>
      <c r="G82" s="455">
        <v>3</v>
      </c>
      <c r="H82" s="355" t="s">
        <v>9</v>
      </c>
      <c r="I82" s="456">
        <v>3</v>
      </c>
      <c r="J82" s="457">
        <v>1</v>
      </c>
      <c r="K82" s="353"/>
      <c r="L82" s="353"/>
      <c r="M82" s="353"/>
      <c r="V82" s="352" t="s">
        <v>134</v>
      </c>
      <c r="W82" s="352" t="s">
        <v>125</v>
      </c>
      <c r="X82" s="352" t="str">
        <f t="shared" si="11"/>
        <v>Georginio Wijnaldum (m)</v>
      </c>
      <c r="Y82" s="109">
        <f>AF82</f>
        <v>1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1</v>
      </c>
      <c r="AG82" s="108">
        <f>IF(AC82="",0,(IF(G82=AC82,1,0)))</f>
        <v>0</v>
      </c>
      <c r="AH82" s="108">
        <f>IF(AD82="",0,(IF(I82=AD82,1,0)))</f>
        <v>1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V83" s="352" t="s">
        <v>134</v>
      </c>
      <c r="W83" s="352" t="s">
        <v>136</v>
      </c>
      <c r="X83" s="352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79"/>
      <c r="K84" s="353"/>
      <c r="L84" s="353"/>
      <c r="M84" s="353"/>
      <c r="V84" s="352" t="s">
        <v>134</v>
      </c>
      <c r="W84" s="352" t="s">
        <v>137</v>
      </c>
      <c r="X84" s="352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76" t="s">
        <v>3</v>
      </c>
      <c r="E85" s="431"/>
      <c r="F85" s="477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V85" s="352" t="s">
        <v>134</v>
      </c>
      <c r="W85" s="352" t="s">
        <v>138</v>
      </c>
      <c r="X85" s="352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Brazilië</v>
      </c>
      <c r="E86" s="355" t="s">
        <v>9</v>
      </c>
      <c r="F86" s="415" t="str">
        <f>IF(J78="","Winnaar 62",IF(J78=1,D78,F78))</f>
        <v>Nederland</v>
      </c>
      <c r="G86" s="455">
        <v>2</v>
      </c>
      <c r="H86" s="355" t="s">
        <v>9</v>
      </c>
      <c r="I86" s="456">
        <v>1</v>
      </c>
      <c r="J86" s="457">
        <v>1</v>
      </c>
      <c r="K86" s="353"/>
      <c r="L86" s="353"/>
      <c r="M86" s="353"/>
      <c r="V86" s="352" t="s">
        <v>134</v>
      </c>
      <c r="W86" s="352" t="s">
        <v>139</v>
      </c>
      <c r="X86" s="352" t="str">
        <f t="shared" si="11"/>
        <v>Nigel de Jong (m)</v>
      </c>
      <c r="Y86" s="109">
        <f>AF86</f>
        <v>0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0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0</v>
      </c>
    </row>
    <row r="87" spans="2:50">
      <c r="B87" s="353"/>
      <c r="C87" s="129"/>
      <c r="D87" s="392"/>
      <c r="E87" s="353"/>
      <c r="F87" s="392"/>
      <c r="G87" s="353"/>
      <c r="H87" s="353"/>
      <c r="I87" s="353"/>
      <c r="J87" s="353"/>
      <c r="K87" s="353"/>
      <c r="L87" s="353"/>
      <c r="M87" s="353"/>
      <c r="V87" s="352" t="s">
        <v>135</v>
      </c>
      <c r="W87" s="352" t="s">
        <v>205</v>
      </c>
      <c r="X87" s="352" t="str">
        <f t="shared" si="11"/>
        <v>Ricky van Wolfswinkel (a)</v>
      </c>
      <c r="AP87" s="136" t="s">
        <v>102</v>
      </c>
    </row>
    <row r="88" spans="2:50">
      <c r="B88" s="353"/>
      <c r="C88" s="129"/>
      <c r="D88" s="392"/>
      <c r="E88" s="353"/>
      <c r="F88" s="392"/>
      <c r="G88" s="353"/>
      <c r="H88" s="353"/>
      <c r="I88" s="353"/>
      <c r="J88" s="353"/>
      <c r="K88" s="353"/>
      <c r="L88" s="353"/>
      <c r="M88" s="353"/>
      <c r="V88" s="352" t="s">
        <v>135</v>
      </c>
      <c r="W88" s="352" t="s">
        <v>204</v>
      </c>
      <c r="X88" s="352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458"/>
    </row>
    <row r="89" spans="2:50" ht="20.25">
      <c r="C89" s="874" t="s">
        <v>101</v>
      </c>
      <c r="D89" s="871"/>
      <c r="E89" s="873" t="str">
        <f>IF(J86=1,D86,IF(J86=2,F86,"Wie zal het worden?"))</f>
        <v>Brazilië</v>
      </c>
      <c r="F89" s="873"/>
      <c r="G89" s="873"/>
      <c r="H89" s="873"/>
      <c r="I89" s="873"/>
      <c r="J89" s="873"/>
      <c r="K89" s="353"/>
      <c r="L89" s="353"/>
      <c r="M89" s="353"/>
      <c r="V89" s="352" t="s">
        <v>135</v>
      </c>
      <c r="W89" s="352" t="s">
        <v>201</v>
      </c>
      <c r="X89" s="352" t="str">
        <f t="shared" si="11"/>
        <v>Jermain Lens (a)</v>
      </c>
      <c r="AP89" s="109">
        <f>AU89</f>
        <v>5</v>
      </c>
      <c r="AQ89" s="131">
        <v>1</v>
      </c>
      <c r="AR89" s="904" t="str">
        <f>Uitslag!E89</f>
        <v>Duitsland</v>
      </c>
      <c r="AS89" s="905"/>
      <c r="AT89" s="906"/>
      <c r="AU89" s="352">
        <f>SUM(AV89:AX89)</f>
        <v>5</v>
      </c>
      <c r="AV89" s="352">
        <f>IF(AR89=0,0,IF(E89=AR89,50,0))</f>
        <v>0</v>
      </c>
      <c r="AW89" s="352">
        <f>IF(E89=0,0,IF(OR(E89=AR90),15,0))</f>
        <v>0</v>
      </c>
      <c r="AX89" s="352">
        <f>IF(E89=0,0,IF(OR(E89=AR91,E89=AR92),5,0))</f>
        <v>5</v>
      </c>
    </row>
    <row r="90" spans="2:50">
      <c r="C90" s="870">
        <v>2</v>
      </c>
      <c r="D90" s="871"/>
      <c r="E90" s="872" t="str">
        <f>IF(J86=2,D86,IF(J86=1,F86,"Wie wordt 2de?"))</f>
        <v>Nederland</v>
      </c>
      <c r="F90" s="872"/>
      <c r="G90" s="872"/>
      <c r="H90" s="872"/>
      <c r="I90" s="872"/>
      <c r="J90" s="872"/>
      <c r="V90" s="352" t="s">
        <v>135</v>
      </c>
      <c r="W90" s="352" t="s">
        <v>200</v>
      </c>
      <c r="X90" s="352" t="str">
        <f t="shared" si="11"/>
        <v>Dirk Kuyt (a)</v>
      </c>
      <c r="AP90" s="109">
        <f>AU90</f>
        <v>5</v>
      </c>
      <c r="AQ90" s="131">
        <v>2</v>
      </c>
      <c r="AR90" s="904" t="str">
        <f>Uitslag!E90</f>
        <v>Argentinië</v>
      </c>
      <c r="AS90" s="905"/>
      <c r="AT90" s="906"/>
      <c r="AU90" s="352">
        <f>SUM(AV90:AX90)</f>
        <v>5</v>
      </c>
      <c r="AV90" s="352">
        <f>IF(AR90=0,0,IF(AR90=E90,25,0))</f>
        <v>0</v>
      </c>
      <c r="AW90" s="352">
        <f>IF(E90=0,0,IF(OR(E90=AR89,),15,0))</f>
        <v>0</v>
      </c>
      <c r="AX90" s="352">
        <f>IF(E90=0,0,IF(OR(E90=AR91,E90=AR92),5,0))</f>
        <v>5</v>
      </c>
    </row>
    <row r="91" spans="2:50">
      <c r="C91" s="870">
        <v>3</v>
      </c>
      <c r="D91" s="871"/>
      <c r="E91" s="872" t="str">
        <f>IF(J82=1,D82,IF(J82=2,F82,"Wie wordt 3de?"))</f>
        <v>Duitsland</v>
      </c>
      <c r="F91" s="872"/>
      <c r="G91" s="872"/>
      <c r="H91" s="872"/>
      <c r="I91" s="872"/>
      <c r="J91" s="872"/>
      <c r="V91" s="352" t="s">
        <v>135</v>
      </c>
      <c r="W91" s="352" t="s">
        <v>128</v>
      </c>
      <c r="X91" s="352" t="str">
        <f t="shared" si="11"/>
        <v>Jürgen Locadia (a)</v>
      </c>
      <c r="AP91" s="109">
        <f>AU91</f>
        <v>5</v>
      </c>
      <c r="AQ91" s="131">
        <v>3</v>
      </c>
      <c r="AR91" s="904" t="str">
        <f>Uitslag!E91</f>
        <v>Nederland</v>
      </c>
      <c r="AS91" s="905"/>
      <c r="AT91" s="906"/>
      <c r="AU91" s="352">
        <f>SUM(AV91:AX91)</f>
        <v>5</v>
      </c>
      <c r="AV91" s="352">
        <f>IF(AR91=0,0,IF(AR91=E91,15,0))</f>
        <v>0</v>
      </c>
      <c r="AW91" s="352">
        <f>IF(E91=0,0,IF(OR(E91=AR92),10,0))</f>
        <v>0</v>
      </c>
      <c r="AX91" s="352">
        <f>IF(E91=0,0,IF(OR(E91=AR89,E91=AR90),5,0))</f>
        <v>5</v>
      </c>
    </row>
    <row r="92" spans="2:50">
      <c r="C92" s="870">
        <v>4</v>
      </c>
      <c r="D92" s="871"/>
      <c r="E92" s="872" t="str">
        <f>IF(J82=2,D82,IF(J82=1,F82,"Wie wordt 4de?"))</f>
        <v>Argentinië</v>
      </c>
      <c r="F92" s="872"/>
      <c r="G92" s="872"/>
      <c r="H92" s="872"/>
      <c r="I92" s="872"/>
      <c r="J92" s="872"/>
      <c r="V92" s="352" t="s">
        <v>135</v>
      </c>
      <c r="W92" s="352" t="s">
        <v>127</v>
      </c>
      <c r="X92" s="352" t="str">
        <f t="shared" si="11"/>
        <v>Memphis Depay (a)</v>
      </c>
      <c r="AP92" s="109">
        <f>AU92</f>
        <v>5</v>
      </c>
      <c r="AQ92" s="131">
        <v>4</v>
      </c>
      <c r="AR92" s="904" t="str">
        <f>Uitslag!E92</f>
        <v>Brazilië</v>
      </c>
      <c r="AS92" s="905"/>
      <c r="AT92" s="906"/>
      <c r="AU92" s="352">
        <f>SUM(AV92:AX92)</f>
        <v>5</v>
      </c>
      <c r="AV92" s="352">
        <f>IF(AR92=0,0,IF(AR92=E92,15,0))</f>
        <v>0</v>
      </c>
      <c r="AW92" s="352">
        <f>IF(E92=0,0,IF(OR(E92=AR91,),10,0))</f>
        <v>0</v>
      </c>
      <c r="AX92" s="352">
        <f>IF(E92=0,0,IF(OR(E92=AR89,E92=AR90),5,0))</f>
        <v>5</v>
      </c>
    </row>
    <row r="93" spans="2:50" ht="15.75" thickBot="1">
      <c r="V93" s="352" t="s">
        <v>135</v>
      </c>
      <c r="W93" s="352" t="s">
        <v>123</v>
      </c>
      <c r="X93" s="352" t="str">
        <f t="shared" si="11"/>
        <v>Quincy Promes (a)</v>
      </c>
      <c r="AS93" s="132"/>
      <c r="AU93" s="133">
        <f>SUM(AU89:AU92)</f>
        <v>20</v>
      </c>
    </row>
    <row r="94" spans="2:50" ht="15.75" thickTop="1">
      <c r="V94" s="352" t="s">
        <v>135</v>
      </c>
      <c r="W94" s="352" t="s">
        <v>122</v>
      </c>
      <c r="X94" s="352" t="str">
        <f t="shared" si="11"/>
        <v>Luc Castaignos (a)</v>
      </c>
    </row>
    <row r="95" spans="2:50">
      <c r="V95" s="352" t="s">
        <v>135</v>
      </c>
      <c r="W95" s="352" t="s">
        <v>113</v>
      </c>
      <c r="X95" s="352" t="str">
        <f t="shared" si="11"/>
        <v>Jean-Paul Boëtius (a)</v>
      </c>
    </row>
    <row r="96" spans="2:50">
      <c r="V96" s="352" t="s">
        <v>135</v>
      </c>
      <c r="W96" s="352" t="s">
        <v>129</v>
      </c>
      <c r="X96" s="352" t="str">
        <f t="shared" si="11"/>
        <v>Luciano Narsingh (a)</v>
      </c>
    </row>
    <row r="97" spans="22:24">
      <c r="V97" s="352" t="s">
        <v>135</v>
      </c>
      <c r="W97" s="352" t="s">
        <v>130</v>
      </c>
      <c r="X97" s="352" t="str">
        <f t="shared" si="11"/>
        <v>Robin van Persie (a)</v>
      </c>
    </row>
    <row r="98" spans="22:24">
      <c r="V98" s="352" t="s">
        <v>135</v>
      </c>
      <c r="W98" s="352" t="s">
        <v>131</v>
      </c>
      <c r="X98" s="352" t="str">
        <f t="shared" si="11"/>
        <v>Arjen Robben (a)</v>
      </c>
    </row>
  </sheetData>
  <mergeCells count="36">
    <mergeCell ref="C91:D91"/>
    <mergeCell ref="E91:J91"/>
    <mergeCell ref="AR91:AT91"/>
    <mergeCell ref="C92:D92"/>
    <mergeCell ref="E92:J92"/>
    <mergeCell ref="AR92:AT92"/>
    <mergeCell ref="C89:D89"/>
    <mergeCell ref="E89:J89"/>
    <mergeCell ref="AR89:AT89"/>
    <mergeCell ref="C90:D90"/>
    <mergeCell ref="E90:J90"/>
    <mergeCell ref="AR90:AT90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</mergeCells>
  <conditionalFormatting sqref="AO9:AO12 AO15:AO18 AO21:AO24 AO27:AO30 AO33:AO36 AO39:AO42 AO45:AO48 AO51:AO54">
    <cfRule type="cellIs" dxfId="11" priority="3" operator="equal">
      <formula>10</formula>
    </cfRule>
  </conditionalFormatting>
  <conditionalFormatting sqref="P58:T58">
    <cfRule type="duplicateValues" dxfId="10" priority="2"/>
  </conditionalFormatting>
  <conditionalFormatting sqref="P58:T68">
    <cfRule type="duplicateValues" dxfId="9" priority="1"/>
  </conditionalFormatting>
  <dataValidations count="10">
    <dataValidation type="list" allowBlank="1" showInputMessage="1" showErrorMessage="1" sqref="P58:P68">
      <formula1>$X$58:$X$98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51:T54">
      <formula1>$W$51:$W$54</formula1>
    </dataValidation>
  </dataValidation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>
  <dimension ref="B1:BB98"/>
  <sheetViews>
    <sheetView topLeftCell="A40" zoomScale="70" zoomScaleNormal="70" workbookViewId="0">
      <selection activeCell="P58" sqref="P58:T68"/>
    </sheetView>
  </sheetViews>
  <sheetFormatPr defaultRowHeight="15" outlineLevelCol="2"/>
  <cols>
    <col min="1" max="1" width="3.42578125" style="352" customWidth="1"/>
    <col min="2" max="2" width="3.5703125" style="352" bestFit="1" customWidth="1"/>
    <col min="3" max="3" width="11.5703125" style="123" bestFit="1" customWidth="1"/>
    <col min="4" max="4" width="19.7109375" style="352" bestFit="1" customWidth="1"/>
    <col min="5" max="5" width="3.42578125" style="352" customWidth="1"/>
    <col min="6" max="6" width="19.7109375" style="352" bestFit="1" customWidth="1"/>
    <col min="7" max="7" width="6.7109375" style="352" customWidth="1"/>
    <col min="8" max="8" width="1.5703125" style="352" bestFit="1" customWidth="1"/>
    <col min="9" max="9" width="6.7109375" style="352" customWidth="1"/>
    <col min="10" max="10" width="6.85546875" style="352" bestFit="1" customWidth="1"/>
    <col min="11" max="13" width="9.140625" style="352" hidden="1" customWidth="1" outlineLevel="1"/>
    <col min="14" max="14" width="11.42578125" style="352" bestFit="1" customWidth="1" collapsed="1"/>
    <col min="15" max="15" width="14.7109375" style="352" bestFit="1" customWidth="1"/>
    <col min="16" max="16" width="12.28515625" style="352" bestFit="1" customWidth="1"/>
    <col min="17" max="17" width="8.140625" style="352" bestFit="1" customWidth="1"/>
    <col min="18" max="18" width="7.7109375" style="352" bestFit="1" customWidth="1"/>
    <col min="19" max="19" width="9.140625" style="352"/>
    <col min="20" max="20" width="8.5703125" style="352" bestFit="1" customWidth="1"/>
    <col min="21" max="21" width="9.140625" style="352"/>
    <col min="22" max="23" width="9.140625" style="352" hidden="1" customWidth="1" outlineLevel="1"/>
    <col min="24" max="24" width="2" style="352" hidden="1" customWidth="1" outlineLevel="1"/>
    <col min="25" max="25" width="12.28515625" style="352" bestFit="1" customWidth="1" collapsed="1"/>
    <col min="26" max="27" width="12.28515625" style="352" hidden="1" customWidth="1" outlineLevel="1"/>
    <col min="28" max="28" width="4.7109375" style="352" hidden="1" customWidth="1" outlineLevel="1"/>
    <col min="29" max="38" width="9.140625" style="352" hidden="1" customWidth="1" outlineLevel="1"/>
    <col min="39" max="39" width="7.42578125" style="352" bestFit="1" customWidth="1" collapsed="1"/>
    <col min="40" max="40" width="19.7109375" style="352" hidden="1" customWidth="1" outlineLevel="1"/>
    <col min="41" max="41" width="9.140625" style="352" hidden="1" customWidth="1" outlineLevel="1"/>
    <col min="42" max="42" width="9.140625" style="352" collapsed="1"/>
    <col min="43" max="49" width="9.140625" style="352" hidden="1" customWidth="1" outlineLevel="2"/>
    <col min="50" max="50" width="11.5703125" style="352" hidden="1" customWidth="1" outlineLevel="2"/>
    <col min="51" max="51" width="11.85546875" style="352" hidden="1" customWidth="1" outlineLevel="1" collapsed="1"/>
    <col min="52" max="52" width="9.42578125" style="352" hidden="1" customWidth="1" outlineLevel="1"/>
    <col min="53" max="53" width="10.5703125" style="352" hidden="1" customWidth="1" outlineLevel="1"/>
    <col min="54" max="54" width="9.140625" style="352" collapsed="1"/>
    <col min="55" max="55" width="11.85546875" style="352" bestFit="1" customWidth="1"/>
    <col min="56" max="16384" width="9.140625" style="352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319</v>
      </c>
      <c r="E3" s="335"/>
      <c r="F3" s="335"/>
      <c r="N3" s="352" t="str">
        <f>D3</f>
        <v>Robért S.</v>
      </c>
      <c r="O3" s="144">
        <f>SUM(P3:S3)</f>
        <v>338</v>
      </c>
      <c r="P3" s="109">
        <f>SUM(Y8:Y86)</f>
        <v>171</v>
      </c>
      <c r="Q3" s="109">
        <f>SUM(AM4:AM55)</f>
        <v>120</v>
      </c>
      <c r="R3" s="109">
        <f>SUM(AP89:AP92)</f>
        <v>20</v>
      </c>
      <c r="S3" s="109">
        <f>SUM(BB58:BB69)</f>
        <v>27</v>
      </c>
      <c r="T3" s="109">
        <f>COUNTIF(AF8:AF86,10)</f>
        <v>3</v>
      </c>
      <c r="U3" s="109" t="str">
        <f>E89</f>
        <v>Argentinië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O6" s="392"/>
      <c r="P6" s="393"/>
      <c r="Q6" s="393"/>
      <c r="R6" s="393"/>
      <c r="S6" s="393"/>
      <c r="T6" s="393"/>
      <c r="U6" s="392"/>
      <c r="V6" s="392"/>
      <c r="W6" s="392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86" t="s">
        <v>3</v>
      </c>
      <c r="E7" s="419"/>
      <c r="F7" s="487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O7" s="353"/>
      <c r="P7" s="393"/>
      <c r="Q7" s="393"/>
      <c r="R7" s="393"/>
      <c r="S7" s="393"/>
      <c r="T7" s="393"/>
      <c r="U7" s="353"/>
      <c r="V7" s="353"/>
      <c r="W7" s="353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458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2</v>
      </c>
      <c r="H8" s="360" t="s">
        <v>9</v>
      </c>
      <c r="I8" s="484">
        <v>1</v>
      </c>
      <c r="J8" s="362">
        <f>IF(I8="","",IF(G8&gt;I8,1,IF(G8&lt;I8,2,3)))</f>
        <v>1</v>
      </c>
      <c r="K8" s="363">
        <f>IF(I8="","",IF($G8&gt;$I8,3,IF($G8=$I8,1,0)))</f>
        <v>3</v>
      </c>
      <c r="L8" s="363">
        <f>IF(I8="","",IF($G8&lt;$I8,3,IF($G8=$I8,1,0)))</f>
        <v>0</v>
      </c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392"/>
      <c r="V8" s="392"/>
      <c r="W8" s="392"/>
      <c r="Y8" s="109">
        <f>AF8</f>
        <v>6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6</v>
      </c>
      <c r="AG8" s="108">
        <f t="shared" ref="AG8:AG55" si="0">IF(AC8="",0,(IF(G8=AC8,1,0)))</f>
        <v>0</v>
      </c>
      <c r="AH8" s="108">
        <f t="shared" ref="AH8:AH55" si="1">IF(AD8="",0,(IF(I8=AD8,1,0)))</f>
        <v>1</v>
      </c>
      <c r="AI8" s="108">
        <f>IF(AND(AG8=1,AH8=1),10,0)</f>
        <v>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1</v>
      </c>
      <c r="H9" s="367" t="s">
        <v>9</v>
      </c>
      <c r="I9" s="440">
        <v>0</v>
      </c>
      <c r="J9" s="369">
        <f t="shared" ref="J9:J55" si="5">IF(I9="","",IF(G9&gt;I9,1,IF(G9&lt;I9,2,3)))</f>
        <v>1</v>
      </c>
      <c r="K9" s="363">
        <f t="shared" ref="K9:K55" si="6">IF(I9="","",IF($G9&gt;$I9,3,IF($G9=$I9,1,0)))</f>
        <v>3</v>
      </c>
      <c r="L9" s="363">
        <f t="shared" ref="L9:L55" si="7">IF(I9="","",IF($G9&lt;$I9,3,IF($G9=$I9,1,0)))</f>
        <v>0</v>
      </c>
      <c r="O9" s="394" t="s">
        <v>8</v>
      </c>
      <c r="P9" s="395">
        <f>SUMIF($D$8:$D$55,$O9,$G$8:$G$55)+SUMIF($F$8:$F$55,$O9,$I$8:$I$55)</f>
        <v>7</v>
      </c>
      <c r="Q9" s="395">
        <f>SUMIF($D$8:$D$55,$O9,$I$8:$I$55)+SUMIF($F$8:$F$55,$O9,$G$8:$G$55)</f>
        <v>1</v>
      </c>
      <c r="R9" s="396">
        <f>P9-Q9</f>
        <v>6</v>
      </c>
      <c r="S9" s="397">
        <f>SUMIF($D$8:$D$55,$O9,$K$8:$K$55)+SUMIF($F$8:$F$55,$O9,$L$8:$L$55)</f>
        <v>9</v>
      </c>
      <c r="T9" s="444" t="s">
        <v>48</v>
      </c>
      <c r="U9" s="392"/>
      <c r="V9" s="392" t="str">
        <f>O9</f>
        <v>Brazilië</v>
      </c>
      <c r="W9" s="392" t="s">
        <v>48</v>
      </c>
      <c r="Y9" s="109">
        <f t="shared" ref="Y9:Y55" si="8">AF9</f>
        <v>10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10</v>
      </c>
      <c r="AG9" s="108">
        <f t="shared" si="0"/>
        <v>1</v>
      </c>
      <c r="AH9" s="108">
        <f t="shared" si="1"/>
        <v>1</v>
      </c>
      <c r="AI9" s="108">
        <f t="shared" ref="AI9:AI55" si="10">IF(AND(AG9=1,AH9=1),10,0)</f>
        <v>10</v>
      </c>
      <c r="AJ9" s="108">
        <f t="shared" si="2"/>
        <v>5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2</v>
      </c>
      <c r="H10" s="373" t="s">
        <v>9</v>
      </c>
      <c r="I10" s="441">
        <v>0</v>
      </c>
      <c r="J10" s="375">
        <f t="shared" si="5"/>
        <v>1</v>
      </c>
      <c r="K10" s="363">
        <f t="shared" si="6"/>
        <v>3</v>
      </c>
      <c r="L10" s="363">
        <f t="shared" si="7"/>
        <v>0</v>
      </c>
      <c r="O10" s="398" t="s">
        <v>10</v>
      </c>
      <c r="P10" s="399">
        <f>SUMIF($D$8:$D$55,$O10,$G$8:$G$55)+SUMIF($F$8:$F$55,$O10,$I$8:$I$55)</f>
        <v>5</v>
      </c>
      <c r="Q10" s="399">
        <f>SUMIF($D$8:$D$55,$O10,$I$8:$I$55)+SUMIF($F$8:$F$55,$O10,$G$8:$G$55)</f>
        <v>3</v>
      </c>
      <c r="R10" s="399">
        <f>P10-Q10</f>
        <v>2</v>
      </c>
      <c r="S10" s="400">
        <f>SUMIF($D$8:$D$55,$O10,$K$8:$K$55)+SUMIF($F$8:$F$55,$O10,$L$8:$L$55)</f>
        <v>6</v>
      </c>
      <c r="T10" s="445" t="s">
        <v>49</v>
      </c>
      <c r="U10" s="392"/>
      <c r="V10" s="392" t="str">
        <f>O10</f>
        <v>Kroatië</v>
      </c>
      <c r="W10" s="392" t="s">
        <v>49</v>
      </c>
      <c r="Y10" s="109">
        <f t="shared" si="8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0</v>
      </c>
      <c r="AG10" s="108">
        <f t="shared" si="0"/>
        <v>0</v>
      </c>
      <c r="AH10" s="108">
        <f t="shared" si="1"/>
        <v>0</v>
      </c>
      <c r="AI10" s="108">
        <f t="shared" si="10"/>
        <v>0</v>
      </c>
      <c r="AJ10" s="108">
        <f t="shared" si="2"/>
        <v>0</v>
      </c>
      <c r="AK10" s="108">
        <f t="shared" si="3"/>
        <v>0</v>
      </c>
      <c r="AL10" s="108">
        <f t="shared" si="4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1</v>
      </c>
      <c r="H11" s="379" t="s">
        <v>9</v>
      </c>
      <c r="I11" s="442">
        <v>2</v>
      </c>
      <c r="J11" s="381">
        <f t="shared" si="5"/>
        <v>2</v>
      </c>
      <c r="K11" s="363">
        <f t="shared" si="6"/>
        <v>0</v>
      </c>
      <c r="L11" s="363">
        <f t="shared" si="7"/>
        <v>3</v>
      </c>
      <c r="O11" s="398" t="s">
        <v>11</v>
      </c>
      <c r="P11" s="399">
        <f>SUMIF($D$8:$D$55,$O11,$G$8:$G$55)+SUMIF($F$8:$F$55,$O11,$I$8:$I$55)</f>
        <v>1</v>
      </c>
      <c r="Q11" s="399">
        <f>SUMIF($D$8:$D$55,$O11,$I$8:$I$55)+SUMIF($F$8:$F$55,$O11,$G$8:$G$55)</f>
        <v>4</v>
      </c>
      <c r="R11" s="399">
        <f>P11-Q11</f>
        <v>-3</v>
      </c>
      <c r="S11" s="400">
        <f>SUMIF($D$8:$D$55,$O11,$K$8:$K$55)+SUMIF($F$8:$F$55,$O11,$L$8:$L$55)</f>
        <v>3</v>
      </c>
      <c r="T11" s="445" t="s">
        <v>47</v>
      </c>
      <c r="U11" s="392"/>
      <c r="V11" s="392" t="str">
        <f>O11</f>
        <v>Mexico</v>
      </c>
      <c r="W11" s="392" t="s">
        <v>47</v>
      </c>
      <c r="Y11" s="109">
        <f t="shared" si="8"/>
        <v>0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0</v>
      </c>
      <c r="AG11" s="108">
        <f t="shared" si="0"/>
        <v>0</v>
      </c>
      <c r="AH11" s="108">
        <f t="shared" si="1"/>
        <v>0</v>
      </c>
      <c r="AI11" s="108">
        <f t="shared" si="10"/>
        <v>0</v>
      </c>
      <c r="AJ11" s="108">
        <f t="shared" si="2"/>
        <v>0</v>
      </c>
      <c r="AK11" s="108">
        <f t="shared" si="3"/>
        <v>0</v>
      </c>
      <c r="AL11" s="108">
        <f t="shared" si="4"/>
        <v>0</v>
      </c>
      <c r="AM11" s="120">
        <f>AO11</f>
        <v>0</v>
      </c>
      <c r="AN11" s="117" t="s">
        <v>11</v>
      </c>
      <c r="AO11" s="115">
        <f>IF(Uitslag!T11="",0,IF(T11=Uitslag!T11,10,0))</f>
        <v>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2</v>
      </c>
      <c r="H12" s="367" t="s">
        <v>9</v>
      </c>
      <c r="I12" s="440">
        <v>0</v>
      </c>
      <c r="J12" s="369">
        <f t="shared" si="5"/>
        <v>1</v>
      </c>
      <c r="K12" s="363">
        <f t="shared" si="6"/>
        <v>3</v>
      </c>
      <c r="L12" s="363">
        <f t="shared" si="7"/>
        <v>0</v>
      </c>
      <c r="O12" s="401" t="s">
        <v>12</v>
      </c>
      <c r="P12" s="402">
        <f>SUMIF($D$8:$D$55,$O12,$G$8:$G$55)+SUMIF($F$8:$F$55,$O12,$I$8:$I$55)</f>
        <v>1</v>
      </c>
      <c r="Q12" s="402">
        <f>SUMIF($D$8:$D$55,$O12,$I$8:$I$55)+SUMIF($F$8:$F$55,$O12,$G$8:$G$55)</f>
        <v>6</v>
      </c>
      <c r="R12" s="402">
        <f>P12-Q12</f>
        <v>-5</v>
      </c>
      <c r="S12" s="403">
        <f>SUMIF($D$8:$D$55,$O12,$K$8:$K$55)+SUMIF($F$8:$F$55,$O12,$L$8:$L$55)</f>
        <v>0</v>
      </c>
      <c r="T12" s="446" t="s">
        <v>50</v>
      </c>
      <c r="U12" s="392"/>
      <c r="V12" s="392" t="str">
        <f>O12</f>
        <v>Kameroen</v>
      </c>
      <c r="W12" s="392" t="s">
        <v>50</v>
      </c>
      <c r="Y12" s="109">
        <f t="shared" si="8"/>
        <v>6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6</v>
      </c>
      <c r="AG12" s="108">
        <f t="shared" si="0"/>
        <v>0</v>
      </c>
      <c r="AH12" s="108">
        <f t="shared" si="1"/>
        <v>1</v>
      </c>
      <c r="AI12" s="108">
        <f t="shared" si="10"/>
        <v>0</v>
      </c>
      <c r="AJ12" s="108">
        <f t="shared" si="2"/>
        <v>5</v>
      </c>
      <c r="AK12" s="108">
        <f t="shared" si="3"/>
        <v>0</v>
      </c>
      <c r="AL12" s="108">
        <f t="shared" si="4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2</v>
      </c>
      <c r="H13" s="373" t="s">
        <v>9</v>
      </c>
      <c r="I13" s="441">
        <v>1</v>
      </c>
      <c r="J13" s="375">
        <f t="shared" si="5"/>
        <v>1</v>
      </c>
      <c r="K13" s="363">
        <f t="shared" si="6"/>
        <v>3</v>
      </c>
      <c r="L13" s="363">
        <f t="shared" si="7"/>
        <v>0</v>
      </c>
      <c r="O13" s="392"/>
      <c r="P13" s="393"/>
      <c r="Q13" s="393"/>
      <c r="R13" s="393"/>
      <c r="S13" s="393"/>
      <c r="T13" s="393"/>
      <c r="U13" s="392"/>
      <c r="V13" s="392"/>
      <c r="W13" s="392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0"/>
        <v>0</v>
      </c>
      <c r="AH13" s="108">
        <f t="shared" si="1"/>
        <v>0</v>
      </c>
      <c r="AI13" s="108">
        <f t="shared" si="10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392"/>
      <c r="AO13" s="393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1</v>
      </c>
      <c r="H14" s="373" t="s">
        <v>9</v>
      </c>
      <c r="I14" s="441">
        <v>1</v>
      </c>
      <c r="J14" s="375">
        <f t="shared" si="5"/>
        <v>3</v>
      </c>
      <c r="K14" s="363">
        <f t="shared" si="6"/>
        <v>1</v>
      </c>
      <c r="L14" s="363">
        <f t="shared" si="7"/>
        <v>1</v>
      </c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392"/>
      <c r="V14" s="392"/>
      <c r="W14" s="392"/>
      <c r="Y14" s="109">
        <f t="shared" si="8"/>
        <v>1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</v>
      </c>
      <c r="AG14" s="108">
        <f t="shared" si="0"/>
        <v>1</v>
      </c>
      <c r="AH14" s="108">
        <f t="shared" si="1"/>
        <v>0</v>
      </c>
      <c r="AI14" s="108">
        <f t="shared" si="10"/>
        <v>0</v>
      </c>
      <c r="AJ14" s="108">
        <f t="shared" si="2"/>
        <v>0</v>
      </c>
      <c r="AK14" s="108">
        <f t="shared" si="3"/>
        <v>0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1</v>
      </c>
      <c r="H15" s="379" t="s">
        <v>9</v>
      </c>
      <c r="I15" s="442">
        <v>1</v>
      </c>
      <c r="J15" s="381">
        <f t="shared" si="5"/>
        <v>3</v>
      </c>
      <c r="K15" s="363">
        <f t="shared" si="6"/>
        <v>1</v>
      </c>
      <c r="L15" s="363">
        <f t="shared" si="7"/>
        <v>1</v>
      </c>
      <c r="O15" s="394" t="s">
        <v>13</v>
      </c>
      <c r="P15" s="395">
        <f>SUMIF($D$8:$D$55,$O15,$G$8:$G$55)+SUMIF($F$8:$F$55,$O15,$I$8:$I$55)</f>
        <v>6</v>
      </c>
      <c r="Q15" s="395">
        <f>SUMIF($D$8:$D$55,$O15,$I$8:$I$55)+SUMIF($F$8:$F$55,$O15,$G$8:$G$55)</f>
        <v>3</v>
      </c>
      <c r="R15" s="396">
        <f>P15-Q15</f>
        <v>3</v>
      </c>
      <c r="S15" s="397">
        <f>SUMIF($D$8:$D$55,$O15,$K$8:$K$55)+SUMIF($F$8:$F$55,$O15,$L$8:$L$55)</f>
        <v>7</v>
      </c>
      <c r="T15" s="444" t="s">
        <v>52</v>
      </c>
      <c r="U15" s="392"/>
      <c r="V15" s="392" t="str">
        <f>O15</f>
        <v>Spanje</v>
      </c>
      <c r="W15" s="392" t="s">
        <v>52</v>
      </c>
      <c r="Y15" s="109">
        <f t="shared" si="8"/>
        <v>1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1</v>
      </c>
      <c r="AG15" s="108">
        <f t="shared" si="0"/>
        <v>0</v>
      </c>
      <c r="AH15" s="108">
        <f t="shared" si="1"/>
        <v>1</v>
      </c>
      <c r="AI15" s="108">
        <f t="shared" si="10"/>
        <v>0</v>
      </c>
      <c r="AJ15" s="108">
        <f t="shared" si="2"/>
        <v>0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1</v>
      </c>
      <c r="H16" s="367" t="s">
        <v>9</v>
      </c>
      <c r="I16" s="440">
        <v>1</v>
      </c>
      <c r="J16" s="369">
        <f t="shared" si="5"/>
        <v>3</v>
      </c>
      <c r="K16" s="363">
        <f t="shared" si="6"/>
        <v>1</v>
      </c>
      <c r="L16" s="363">
        <f t="shared" si="7"/>
        <v>1</v>
      </c>
      <c r="O16" s="404" t="s">
        <v>14</v>
      </c>
      <c r="P16" s="399">
        <f>SUMIF($D$8:$D$55,$O16,$G$8:$G$55)+SUMIF($F$8:$F$55,$O16,$I$8:$I$55)</f>
        <v>3</v>
      </c>
      <c r="Q16" s="399">
        <f>SUMIF($D$8:$D$55,$O16,$I$8:$I$55)+SUMIF($F$8:$F$55,$O16,$G$8:$G$55)</f>
        <v>4</v>
      </c>
      <c r="R16" s="399">
        <f>P16-Q16</f>
        <v>-1</v>
      </c>
      <c r="S16" s="400">
        <f>SUMIF($D$8:$D$55,$O16,$K$8:$K$55)+SUMIF($F$8:$F$55,$O16,$L$8:$L$55)</f>
        <v>4</v>
      </c>
      <c r="T16" s="445" t="s">
        <v>54</v>
      </c>
      <c r="U16" s="392"/>
      <c r="V16" s="392" t="str">
        <f>O16</f>
        <v>Nederland</v>
      </c>
      <c r="W16" s="392" t="s">
        <v>53</v>
      </c>
      <c r="Y16" s="109">
        <f t="shared" si="8"/>
        <v>1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1</v>
      </c>
      <c r="AG16" s="108">
        <f t="shared" si="0"/>
        <v>0</v>
      </c>
      <c r="AH16" s="108">
        <f t="shared" si="1"/>
        <v>1</v>
      </c>
      <c r="AI16" s="108">
        <f t="shared" si="10"/>
        <v>0</v>
      </c>
      <c r="AJ16" s="108">
        <f t="shared" si="2"/>
        <v>0</v>
      </c>
      <c r="AK16" s="108">
        <f t="shared" si="3"/>
        <v>0</v>
      </c>
      <c r="AL16" s="108">
        <f t="shared" si="4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4</v>
      </c>
      <c r="H17" s="373" t="s">
        <v>9</v>
      </c>
      <c r="I17" s="441">
        <v>0</v>
      </c>
      <c r="J17" s="375">
        <f t="shared" si="5"/>
        <v>1</v>
      </c>
      <c r="K17" s="363">
        <f t="shared" si="6"/>
        <v>3</v>
      </c>
      <c r="L17" s="363">
        <f t="shared" si="7"/>
        <v>0</v>
      </c>
      <c r="O17" s="398" t="s">
        <v>15</v>
      </c>
      <c r="P17" s="399">
        <f>SUMIF($D$8:$D$55,$O17,$G$8:$G$55)+SUMIF($F$8:$F$55,$O17,$I$8:$I$55)</f>
        <v>3</v>
      </c>
      <c r="Q17" s="399">
        <f>SUMIF($D$8:$D$55,$O17,$I$8:$I$55)+SUMIF($F$8:$F$55,$O17,$G$8:$G$55)</f>
        <v>6</v>
      </c>
      <c r="R17" s="399">
        <f>P17-Q17</f>
        <v>-3</v>
      </c>
      <c r="S17" s="400">
        <f>SUMIF($D$8:$D$55,$O17,$K$8:$K$55)+SUMIF($F$8:$F$55,$O17,$L$8:$L$55)</f>
        <v>0</v>
      </c>
      <c r="T17" s="445" t="s">
        <v>55</v>
      </c>
      <c r="U17" s="392"/>
      <c r="V17" s="392" t="str">
        <f>O17</f>
        <v>Chili</v>
      </c>
      <c r="W17" s="392" t="s">
        <v>54</v>
      </c>
      <c r="Y17" s="109">
        <f t="shared" si="8"/>
        <v>6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6</v>
      </c>
      <c r="AG17" s="108">
        <f t="shared" si="0"/>
        <v>0</v>
      </c>
      <c r="AH17" s="108">
        <f t="shared" si="1"/>
        <v>1</v>
      </c>
      <c r="AI17" s="108">
        <f t="shared" si="10"/>
        <v>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3</v>
      </c>
      <c r="H18" s="379" t="s">
        <v>9</v>
      </c>
      <c r="I18" s="442">
        <v>0</v>
      </c>
      <c r="J18" s="381">
        <f t="shared" si="5"/>
        <v>1</v>
      </c>
      <c r="K18" s="363">
        <f t="shared" si="6"/>
        <v>3</v>
      </c>
      <c r="L18" s="363">
        <f t="shared" si="7"/>
        <v>0</v>
      </c>
      <c r="O18" s="401" t="s">
        <v>16</v>
      </c>
      <c r="P18" s="402">
        <f>SUMIF($D$8:$D$55,$O18,$G$8:$G$55)+SUMIF($F$8:$F$55,$O18,$I$8:$I$55)</f>
        <v>5</v>
      </c>
      <c r="Q18" s="402">
        <f>SUMIF($D$8:$D$55,$O18,$I$8:$I$55)+SUMIF($F$8:$F$55,$O18,$G$8:$G$55)</f>
        <v>4</v>
      </c>
      <c r="R18" s="402">
        <f>P18-Q18</f>
        <v>1</v>
      </c>
      <c r="S18" s="403">
        <f>SUMIF($D$8:$D$55,$O18,$K$8:$K$55)+SUMIF($F$8:$F$55,$O18,$L$8:$L$55)</f>
        <v>5</v>
      </c>
      <c r="T18" s="446" t="s">
        <v>53</v>
      </c>
      <c r="U18" s="392"/>
      <c r="V18" s="392" t="str">
        <f>O18</f>
        <v>Australië</v>
      </c>
      <c r="W18" s="392" t="s">
        <v>55</v>
      </c>
      <c r="Y18" s="109">
        <f t="shared" si="8"/>
        <v>5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5</v>
      </c>
      <c r="AG18" s="108">
        <f t="shared" si="0"/>
        <v>0</v>
      </c>
      <c r="AH18" s="108">
        <f t="shared" si="1"/>
        <v>0</v>
      </c>
      <c r="AI18" s="108">
        <f t="shared" si="10"/>
        <v>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0</v>
      </c>
      <c r="AN18" s="118" t="s">
        <v>16</v>
      </c>
      <c r="AO18" s="115">
        <f>IF(Uitslag!T18="",0,IF(T18=Uitslag!T18,10,0))</f>
        <v>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2</v>
      </c>
      <c r="H19" s="367" t="s">
        <v>9</v>
      </c>
      <c r="I19" s="440">
        <v>1</v>
      </c>
      <c r="J19" s="369">
        <f t="shared" si="5"/>
        <v>1</v>
      </c>
      <c r="K19" s="363">
        <f t="shared" si="6"/>
        <v>3</v>
      </c>
      <c r="L19" s="363">
        <f t="shared" si="7"/>
        <v>0</v>
      </c>
      <c r="O19" s="392"/>
      <c r="P19" s="393"/>
      <c r="Q19" s="393"/>
      <c r="R19" s="393"/>
      <c r="S19" s="393"/>
      <c r="T19" s="393"/>
      <c r="U19" s="392"/>
      <c r="V19" s="392"/>
      <c r="W19" s="392"/>
      <c r="Y19" s="109">
        <f t="shared" si="8"/>
        <v>5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5</v>
      </c>
      <c r="AG19" s="108">
        <f t="shared" si="0"/>
        <v>0</v>
      </c>
      <c r="AH19" s="108">
        <f t="shared" si="1"/>
        <v>0</v>
      </c>
      <c r="AI19" s="108">
        <f t="shared" si="10"/>
        <v>0</v>
      </c>
      <c r="AJ19" s="108">
        <f t="shared" si="2"/>
        <v>5</v>
      </c>
      <c r="AK19" s="108">
        <f t="shared" si="3"/>
        <v>0</v>
      </c>
      <c r="AL19" s="108">
        <f t="shared" si="4"/>
        <v>0</v>
      </c>
      <c r="AN19" s="392"/>
      <c r="AO19" s="393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0</v>
      </c>
      <c r="H20" s="373" t="s">
        <v>9</v>
      </c>
      <c r="I20" s="441">
        <v>2</v>
      </c>
      <c r="J20" s="375">
        <f t="shared" si="5"/>
        <v>2</v>
      </c>
      <c r="K20" s="363">
        <f t="shared" si="6"/>
        <v>0</v>
      </c>
      <c r="L20" s="363">
        <f t="shared" si="7"/>
        <v>3</v>
      </c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392"/>
      <c r="V20" s="392"/>
      <c r="W20" s="392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0"/>
        <v>1</v>
      </c>
      <c r="AH20" s="108">
        <f t="shared" si="1"/>
        <v>0</v>
      </c>
      <c r="AI20" s="108">
        <f t="shared" si="10"/>
        <v>0</v>
      </c>
      <c r="AJ20" s="108">
        <f t="shared" si="2"/>
        <v>0</v>
      </c>
      <c r="AK20" s="108">
        <f t="shared" si="3"/>
        <v>0</v>
      </c>
      <c r="AL20" s="108">
        <f t="shared" si="4"/>
        <v>0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2</v>
      </c>
      <c r="H21" s="379" t="s">
        <v>9</v>
      </c>
      <c r="I21" s="442">
        <v>0</v>
      </c>
      <c r="J21" s="381">
        <f t="shared" si="5"/>
        <v>1</v>
      </c>
      <c r="K21" s="363">
        <f t="shared" si="6"/>
        <v>3</v>
      </c>
      <c r="L21" s="363">
        <f t="shared" si="7"/>
        <v>0</v>
      </c>
      <c r="O21" s="394" t="s">
        <v>17</v>
      </c>
      <c r="P21" s="395">
        <f>SUMIF($D$8:$D$55,$O21,$G$8:$G$55)+SUMIF($F$8:$F$55,$O21,$I$8:$I$55)</f>
        <v>7</v>
      </c>
      <c r="Q21" s="395">
        <f>SUMIF($D$8:$D$55,$O21,$I$8:$I$55)+SUMIF($F$8:$F$55,$O21,$G$8:$G$55)</f>
        <v>1</v>
      </c>
      <c r="R21" s="396">
        <f>P21-Q21</f>
        <v>6</v>
      </c>
      <c r="S21" s="397">
        <f>SUMIF($D$8:$D$55,$O21,$K$8:$K$55)+SUMIF($F$8:$F$55,$O21,$L$8:$L$55)</f>
        <v>9</v>
      </c>
      <c r="T21" s="444" t="s">
        <v>57</v>
      </c>
      <c r="U21" s="392"/>
      <c r="V21" s="392" t="str">
        <f>O21</f>
        <v>Colombia</v>
      </c>
      <c r="W21" s="392" t="s">
        <v>57</v>
      </c>
      <c r="Y21" s="109">
        <f t="shared" si="8"/>
        <v>0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0</v>
      </c>
      <c r="AG21" s="108">
        <f t="shared" si="0"/>
        <v>0</v>
      </c>
      <c r="AH21" s="108">
        <f t="shared" si="1"/>
        <v>0</v>
      </c>
      <c r="AI21" s="108">
        <f t="shared" si="10"/>
        <v>0</v>
      </c>
      <c r="AJ21" s="108">
        <f t="shared" si="2"/>
        <v>0</v>
      </c>
      <c r="AK21" s="108">
        <f t="shared" si="3"/>
        <v>0</v>
      </c>
      <c r="AL21" s="108">
        <f t="shared" si="4"/>
        <v>0</v>
      </c>
      <c r="AM21" s="120">
        <f>AO21</f>
        <v>10</v>
      </c>
      <c r="AN21" s="116" t="s">
        <v>17</v>
      </c>
      <c r="AO21" s="115">
        <f>IF(Uitslag!T21="",0,IF(T21=Uitslag!T21,10,0))</f>
        <v>10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3</v>
      </c>
      <c r="H22" s="367" t="s">
        <v>9</v>
      </c>
      <c r="I22" s="440">
        <v>0</v>
      </c>
      <c r="J22" s="369">
        <f t="shared" si="5"/>
        <v>1</v>
      </c>
      <c r="K22" s="363">
        <f t="shared" si="6"/>
        <v>3</v>
      </c>
      <c r="L22" s="363">
        <f t="shared" si="7"/>
        <v>0</v>
      </c>
      <c r="O22" s="398" t="s">
        <v>18</v>
      </c>
      <c r="P22" s="399">
        <f>SUMIF($D$8:$D$55,$O22,$G$8:$G$55)+SUMIF($F$8:$F$55,$O22,$I$8:$I$55)</f>
        <v>1</v>
      </c>
      <c r="Q22" s="399">
        <f>SUMIF($D$8:$D$55,$O22,$I$8:$I$55)+SUMIF($F$8:$F$55,$O22,$G$8:$G$55)</f>
        <v>4</v>
      </c>
      <c r="R22" s="399">
        <f>P22-Q22</f>
        <v>-3</v>
      </c>
      <c r="S22" s="400">
        <f>SUMIF($D$8:$D$55,$O22,$K$8:$K$55)+SUMIF($F$8:$F$55,$O22,$L$8:$L$55)</f>
        <v>1</v>
      </c>
      <c r="T22" s="445" t="s">
        <v>60</v>
      </c>
      <c r="U22" s="392"/>
      <c r="V22" s="392" t="str">
        <f>O22</f>
        <v>Griekenland</v>
      </c>
      <c r="W22" s="392" t="s">
        <v>58</v>
      </c>
      <c r="Y22" s="109">
        <f t="shared" si="8"/>
        <v>5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5</v>
      </c>
      <c r="AG22" s="108">
        <f t="shared" si="0"/>
        <v>0</v>
      </c>
      <c r="AH22" s="108">
        <f t="shared" si="1"/>
        <v>0</v>
      </c>
      <c r="AI22" s="108">
        <f t="shared" si="10"/>
        <v>0</v>
      </c>
      <c r="AJ22" s="108">
        <f t="shared" si="2"/>
        <v>5</v>
      </c>
      <c r="AK22" s="108">
        <f t="shared" si="3"/>
        <v>0</v>
      </c>
      <c r="AL22" s="108">
        <f t="shared" si="4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2</v>
      </c>
      <c r="H23" s="373" t="s">
        <v>9</v>
      </c>
      <c r="I23" s="441">
        <v>0</v>
      </c>
      <c r="J23" s="375">
        <f t="shared" si="5"/>
        <v>1</v>
      </c>
      <c r="K23" s="363">
        <f t="shared" si="6"/>
        <v>3</v>
      </c>
      <c r="L23" s="363">
        <f t="shared" si="7"/>
        <v>0</v>
      </c>
      <c r="O23" s="398" t="s">
        <v>23</v>
      </c>
      <c r="P23" s="399">
        <f>SUMIF($D$8:$D$55,$O23,$G$8:$G$55)+SUMIF($F$8:$F$55,$O23,$I$8:$I$55)</f>
        <v>2</v>
      </c>
      <c r="Q23" s="399">
        <f>SUMIF($D$8:$D$55,$O23,$I$8:$I$55)+SUMIF($F$8:$F$55,$O23,$G$8:$G$55)</f>
        <v>3</v>
      </c>
      <c r="R23" s="399">
        <f>P23-Q23</f>
        <v>-1</v>
      </c>
      <c r="S23" s="400">
        <f>SUMIF($D$8:$D$55,$O23,$K$8:$K$55)+SUMIF($F$8:$F$55,$O23,$L$8:$L$55)</f>
        <v>4</v>
      </c>
      <c r="T23" s="445" t="s">
        <v>58</v>
      </c>
      <c r="U23" s="392"/>
      <c r="V23" s="392" t="str">
        <f>O23</f>
        <v>Ivoorkust</v>
      </c>
      <c r="W23" s="392" t="s">
        <v>59</v>
      </c>
      <c r="Y23" s="109">
        <f t="shared" si="8"/>
        <v>1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1</v>
      </c>
      <c r="AG23" s="108">
        <f t="shared" si="0"/>
        <v>0</v>
      </c>
      <c r="AH23" s="108">
        <f t="shared" si="1"/>
        <v>1</v>
      </c>
      <c r="AI23" s="108">
        <f t="shared" si="10"/>
        <v>0</v>
      </c>
      <c r="AJ23" s="108">
        <f t="shared" si="2"/>
        <v>0</v>
      </c>
      <c r="AK23" s="108">
        <f t="shared" si="3"/>
        <v>0</v>
      </c>
      <c r="AL23" s="108">
        <f t="shared" si="4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2</v>
      </c>
      <c r="H24" s="379" t="s">
        <v>9</v>
      </c>
      <c r="I24" s="442">
        <v>0</v>
      </c>
      <c r="J24" s="381">
        <f t="shared" si="5"/>
        <v>1</v>
      </c>
      <c r="K24" s="363">
        <f t="shared" si="6"/>
        <v>3</v>
      </c>
      <c r="L24" s="363">
        <f t="shared" si="7"/>
        <v>0</v>
      </c>
      <c r="O24" s="401" t="s">
        <v>24</v>
      </c>
      <c r="P24" s="402">
        <f>SUMIF($D$8:$D$55,$O24,$G$8:$G$55)+SUMIF($F$8:$F$55,$O24,$I$8:$I$55)</f>
        <v>3</v>
      </c>
      <c r="Q24" s="402">
        <f>SUMIF($D$8:$D$55,$O24,$I$8:$I$55)+SUMIF($F$8:$F$55,$O24,$G$8:$G$55)</f>
        <v>5</v>
      </c>
      <c r="R24" s="402">
        <f>P24-Q24</f>
        <v>-2</v>
      </c>
      <c r="S24" s="403">
        <f>SUMIF($D$8:$D$55,$O24,$K$8:$K$55)+SUMIF($F$8:$F$55,$O24,$L$8:$L$55)</f>
        <v>2</v>
      </c>
      <c r="T24" s="446" t="s">
        <v>59</v>
      </c>
      <c r="U24" s="392"/>
      <c r="V24" s="392" t="str">
        <f>O24</f>
        <v>Japan</v>
      </c>
      <c r="W24" s="392" t="s">
        <v>60</v>
      </c>
      <c r="Y24" s="109">
        <f t="shared" si="8"/>
        <v>0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0</v>
      </c>
      <c r="AG24" s="108">
        <f t="shared" si="0"/>
        <v>0</v>
      </c>
      <c r="AH24" s="108">
        <f t="shared" si="1"/>
        <v>0</v>
      </c>
      <c r="AI24" s="108">
        <f t="shared" si="10"/>
        <v>0</v>
      </c>
      <c r="AJ24" s="108">
        <f t="shared" si="2"/>
        <v>0</v>
      </c>
      <c r="AK24" s="108">
        <f t="shared" si="3"/>
        <v>0</v>
      </c>
      <c r="AL24" s="108">
        <f t="shared" si="4"/>
        <v>0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1</v>
      </c>
      <c r="H25" s="367" t="s">
        <v>9</v>
      </c>
      <c r="I25" s="440">
        <v>1</v>
      </c>
      <c r="J25" s="369">
        <f t="shared" si="5"/>
        <v>3</v>
      </c>
      <c r="K25" s="363">
        <f t="shared" si="6"/>
        <v>1</v>
      </c>
      <c r="L25" s="363">
        <f t="shared" si="7"/>
        <v>1</v>
      </c>
      <c r="O25" s="392"/>
      <c r="P25" s="393"/>
      <c r="Q25" s="393"/>
      <c r="R25" s="393"/>
      <c r="S25" s="393"/>
      <c r="T25" s="393"/>
      <c r="U25" s="392"/>
      <c r="V25" s="392"/>
      <c r="W25" s="392"/>
      <c r="Y25" s="109">
        <f t="shared" si="8"/>
        <v>0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0</v>
      </c>
      <c r="AG25" s="108">
        <f t="shared" si="0"/>
        <v>0</v>
      </c>
      <c r="AH25" s="108">
        <f t="shared" si="1"/>
        <v>0</v>
      </c>
      <c r="AI25" s="108">
        <f t="shared" si="10"/>
        <v>0</v>
      </c>
      <c r="AJ25" s="108">
        <f t="shared" si="2"/>
        <v>0</v>
      </c>
      <c r="AK25" s="108">
        <f t="shared" si="3"/>
        <v>0</v>
      </c>
      <c r="AL25" s="108">
        <f t="shared" si="4"/>
        <v>0</v>
      </c>
      <c r="AN25" s="392"/>
      <c r="AO25" s="393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2</v>
      </c>
      <c r="H26" s="373" t="s">
        <v>9</v>
      </c>
      <c r="I26" s="441">
        <v>1</v>
      </c>
      <c r="J26" s="375">
        <f t="shared" si="5"/>
        <v>1</v>
      </c>
      <c r="K26" s="363">
        <f t="shared" si="6"/>
        <v>3</v>
      </c>
      <c r="L26" s="363">
        <f t="shared" si="7"/>
        <v>0</v>
      </c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392"/>
      <c r="V26" s="392"/>
      <c r="W26" s="392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0"/>
        <v>0</v>
      </c>
      <c r="AH26" s="108">
        <f t="shared" si="1"/>
        <v>0</v>
      </c>
      <c r="AI26" s="108">
        <f t="shared" si="10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1</v>
      </c>
      <c r="H27" s="379" t="s">
        <v>9</v>
      </c>
      <c r="I27" s="442">
        <v>2</v>
      </c>
      <c r="J27" s="381">
        <f t="shared" si="5"/>
        <v>2</v>
      </c>
      <c r="K27" s="363">
        <f t="shared" si="6"/>
        <v>0</v>
      </c>
      <c r="L27" s="363">
        <f t="shared" si="7"/>
        <v>3</v>
      </c>
      <c r="O27" s="394" t="s">
        <v>19</v>
      </c>
      <c r="P27" s="395">
        <f>SUMIF($D$8:$D$55,$O27,$G$8:$G$55)+SUMIF($F$8:$F$55,$O27,$I$8:$I$55)</f>
        <v>4</v>
      </c>
      <c r="Q27" s="395">
        <f>SUMIF($D$8:$D$55,$O27,$I$8:$I$55)+SUMIF($F$8:$F$55,$O27,$G$8:$G$55)</f>
        <v>3</v>
      </c>
      <c r="R27" s="396">
        <f>P27-Q27</f>
        <v>1</v>
      </c>
      <c r="S27" s="397">
        <f>SUMIF($D$8:$D$55,$O27,$K$8:$K$55)+SUMIF($F$8:$F$55,$O27,$L$8:$L$55)</f>
        <v>5</v>
      </c>
      <c r="T27" s="444" t="s">
        <v>63</v>
      </c>
      <c r="U27" s="392"/>
      <c r="V27" s="392" t="str">
        <f>O27</f>
        <v>Uruguay</v>
      </c>
      <c r="W27" s="392" t="s">
        <v>62</v>
      </c>
      <c r="Y27" s="109">
        <f t="shared" si="8"/>
        <v>5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5</v>
      </c>
      <c r="AG27" s="108">
        <f t="shared" si="0"/>
        <v>0</v>
      </c>
      <c r="AH27" s="108">
        <f t="shared" si="1"/>
        <v>0</v>
      </c>
      <c r="AI27" s="108">
        <f t="shared" si="10"/>
        <v>0</v>
      </c>
      <c r="AJ27" s="108">
        <f t="shared" si="2"/>
        <v>0</v>
      </c>
      <c r="AK27" s="108">
        <f t="shared" si="3"/>
        <v>5</v>
      </c>
      <c r="AL27" s="108">
        <f t="shared" si="4"/>
        <v>0</v>
      </c>
      <c r="AM27" s="120">
        <f>AO27</f>
        <v>10</v>
      </c>
      <c r="AN27" s="116" t="s">
        <v>19</v>
      </c>
      <c r="AO27" s="115">
        <f>IF(Uitslag!T27="",0,IF(T27=Uitslag!T27,10,0))</f>
        <v>10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2</v>
      </c>
      <c r="H28" s="367" t="s">
        <v>9</v>
      </c>
      <c r="I28" s="440">
        <v>0</v>
      </c>
      <c r="J28" s="369">
        <f t="shared" si="5"/>
        <v>1</v>
      </c>
      <c r="K28" s="363">
        <f t="shared" si="6"/>
        <v>3</v>
      </c>
      <c r="L28" s="363">
        <f t="shared" si="7"/>
        <v>0</v>
      </c>
      <c r="O28" s="398" t="s">
        <v>20</v>
      </c>
      <c r="P28" s="399">
        <f>SUMIF($D$8:$D$55,$O28,$G$8:$G$55)+SUMIF($F$8:$F$55,$O28,$I$8:$I$55)</f>
        <v>2</v>
      </c>
      <c r="Q28" s="399">
        <f>SUMIF($D$8:$D$55,$O28,$I$8:$I$55)+SUMIF($F$8:$F$55,$O28,$G$8:$G$55)</f>
        <v>5</v>
      </c>
      <c r="R28" s="399">
        <f>P28-Q28</f>
        <v>-3</v>
      </c>
      <c r="S28" s="400">
        <f>SUMIF($D$8:$D$55,$O28,$K$8:$K$55)+SUMIF($F$8:$F$55,$O28,$L$8:$L$55)</f>
        <v>0</v>
      </c>
      <c r="T28" s="445" t="s">
        <v>65</v>
      </c>
      <c r="U28" s="392"/>
      <c r="V28" s="392" t="str">
        <f>O28</f>
        <v>Costa Rica</v>
      </c>
      <c r="W28" s="392" t="s">
        <v>63</v>
      </c>
      <c r="Y28" s="109">
        <f t="shared" si="8"/>
        <v>6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6</v>
      </c>
      <c r="AG28" s="108">
        <f t="shared" si="0"/>
        <v>1</v>
      </c>
      <c r="AH28" s="108">
        <f t="shared" si="1"/>
        <v>0</v>
      </c>
      <c r="AI28" s="108">
        <f t="shared" si="10"/>
        <v>0</v>
      </c>
      <c r="AJ28" s="108">
        <f t="shared" si="2"/>
        <v>5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1</v>
      </c>
      <c r="H29" s="373" t="s">
        <v>9</v>
      </c>
      <c r="I29" s="441">
        <v>1</v>
      </c>
      <c r="J29" s="375">
        <f t="shared" si="5"/>
        <v>3</v>
      </c>
      <c r="K29" s="363">
        <f t="shared" si="6"/>
        <v>1</v>
      </c>
      <c r="L29" s="363">
        <f t="shared" si="7"/>
        <v>1</v>
      </c>
      <c r="O29" s="398" t="s">
        <v>21</v>
      </c>
      <c r="P29" s="399">
        <f>SUMIF($D$8:$D$55,$O29,$G$8:$G$55)+SUMIF($F$8:$F$55,$O29,$I$8:$I$55)</f>
        <v>4</v>
      </c>
      <c r="Q29" s="399">
        <f>SUMIF($D$8:$D$55,$O29,$I$8:$I$55)+SUMIF($F$8:$F$55,$O29,$G$8:$G$55)</f>
        <v>3</v>
      </c>
      <c r="R29" s="399">
        <f>P29-Q29</f>
        <v>1</v>
      </c>
      <c r="S29" s="400">
        <f>SUMIF($D$8:$D$55,$O29,$K$8:$K$55)+SUMIF($F$8:$F$55,$O29,$L$8:$L$55)</f>
        <v>5</v>
      </c>
      <c r="T29" s="445" t="s">
        <v>62</v>
      </c>
      <c r="U29" s="392"/>
      <c r="V29" s="392" t="str">
        <f>O29</f>
        <v>Engeland</v>
      </c>
      <c r="W29" s="392" t="s">
        <v>64</v>
      </c>
      <c r="Y29" s="109">
        <f t="shared" si="8"/>
        <v>1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1</v>
      </c>
      <c r="AG29" s="108">
        <f t="shared" si="0"/>
        <v>0</v>
      </c>
      <c r="AH29" s="108">
        <f t="shared" si="1"/>
        <v>1</v>
      </c>
      <c r="AI29" s="108">
        <f t="shared" si="10"/>
        <v>0</v>
      </c>
      <c r="AJ29" s="108">
        <f t="shared" si="2"/>
        <v>0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1</v>
      </c>
      <c r="H30" s="379" t="s">
        <v>9</v>
      </c>
      <c r="I30" s="442">
        <v>1</v>
      </c>
      <c r="J30" s="381">
        <f t="shared" si="5"/>
        <v>3</v>
      </c>
      <c r="K30" s="363">
        <f t="shared" si="6"/>
        <v>1</v>
      </c>
      <c r="L30" s="363">
        <f t="shared" si="7"/>
        <v>1</v>
      </c>
      <c r="O30" s="401" t="s">
        <v>22</v>
      </c>
      <c r="P30" s="402">
        <f>SUMIF($D$8:$D$55,$O30,$G$8:$G$55)+SUMIF($F$8:$F$55,$O30,$I$8:$I$55)</f>
        <v>3</v>
      </c>
      <c r="Q30" s="402">
        <f>SUMIF($D$8:$D$55,$O30,$I$8:$I$55)+SUMIF($F$8:$F$55,$O30,$G$8:$G$55)</f>
        <v>2</v>
      </c>
      <c r="R30" s="402">
        <f>P30-Q30</f>
        <v>1</v>
      </c>
      <c r="S30" s="403">
        <f>SUMIF($D$8:$D$55,$O30,$K$8:$K$55)+SUMIF($F$8:$F$55,$O30,$L$8:$L$55)</f>
        <v>5</v>
      </c>
      <c r="T30" s="446" t="s">
        <v>64</v>
      </c>
      <c r="U30" s="392"/>
      <c r="V30" s="392" t="str">
        <f>O30</f>
        <v>Italië</v>
      </c>
      <c r="W30" s="392" t="s">
        <v>65</v>
      </c>
      <c r="Y30" s="109">
        <f t="shared" si="8"/>
        <v>5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5</v>
      </c>
      <c r="AG30" s="108">
        <f t="shared" si="0"/>
        <v>0</v>
      </c>
      <c r="AH30" s="108">
        <f t="shared" si="1"/>
        <v>0</v>
      </c>
      <c r="AI30" s="108">
        <f t="shared" si="10"/>
        <v>0</v>
      </c>
      <c r="AJ30" s="108">
        <f t="shared" si="2"/>
        <v>0</v>
      </c>
      <c r="AK30" s="108">
        <f t="shared" si="3"/>
        <v>0</v>
      </c>
      <c r="AL30" s="108">
        <f t="shared" si="4"/>
        <v>5</v>
      </c>
      <c r="AM30" s="120">
        <f>AO30</f>
        <v>10</v>
      </c>
      <c r="AN30" s="118" t="s">
        <v>22</v>
      </c>
      <c r="AO30" s="115">
        <f>IF(Uitslag!T30="",0,IF(T30=Uitslag!T30,10,0))</f>
        <v>10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1</v>
      </c>
      <c r="H31" s="367" t="s">
        <v>9</v>
      </c>
      <c r="I31" s="440">
        <v>0</v>
      </c>
      <c r="J31" s="369">
        <f t="shared" si="5"/>
        <v>1</v>
      </c>
      <c r="K31" s="363">
        <f t="shared" si="6"/>
        <v>3</v>
      </c>
      <c r="L31" s="363">
        <f t="shared" si="7"/>
        <v>0</v>
      </c>
      <c r="O31" s="392"/>
      <c r="P31" s="393"/>
      <c r="Q31" s="393"/>
      <c r="R31" s="393"/>
      <c r="S31" s="393"/>
      <c r="T31" s="393"/>
      <c r="U31" s="392"/>
      <c r="V31" s="392"/>
      <c r="W31" s="392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0"/>
        <v>0</v>
      </c>
      <c r="AH31" s="108">
        <f t="shared" si="1"/>
        <v>0</v>
      </c>
      <c r="AI31" s="108">
        <f t="shared" si="10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392"/>
      <c r="AO31" s="393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0</v>
      </c>
      <c r="H32" s="373" t="s">
        <v>9</v>
      </c>
      <c r="I32" s="441">
        <v>4</v>
      </c>
      <c r="J32" s="375">
        <f t="shared" si="5"/>
        <v>2</v>
      </c>
      <c r="K32" s="363">
        <f t="shared" si="6"/>
        <v>0</v>
      </c>
      <c r="L32" s="363">
        <f t="shared" si="7"/>
        <v>3</v>
      </c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392"/>
      <c r="V32" s="392"/>
      <c r="W32" s="392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0"/>
        <v>0</v>
      </c>
      <c r="AH32" s="108">
        <f t="shared" si="1"/>
        <v>0</v>
      </c>
      <c r="AI32" s="108">
        <f t="shared" si="10"/>
        <v>0</v>
      </c>
      <c r="AJ32" s="108">
        <f t="shared" si="2"/>
        <v>0</v>
      </c>
      <c r="AK32" s="108">
        <f t="shared" si="3"/>
        <v>5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1</v>
      </c>
      <c r="H33" s="379" t="s">
        <v>9</v>
      </c>
      <c r="I33" s="442">
        <v>1</v>
      </c>
      <c r="J33" s="381">
        <f t="shared" si="5"/>
        <v>3</v>
      </c>
      <c r="K33" s="363">
        <f t="shared" si="6"/>
        <v>1</v>
      </c>
      <c r="L33" s="363">
        <f t="shared" si="7"/>
        <v>1</v>
      </c>
      <c r="O33" s="394" t="s">
        <v>25</v>
      </c>
      <c r="P33" s="395">
        <f>SUMIF($D$8:$D$55,$O33,$G$8:$G$55)+SUMIF($F$8:$F$55,$O33,$I$8:$I$55)</f>
        <v>2</v>
      </c>
      <c r="Q33" s="395">
        <f>SUMIF($D$8:$D$55,$O33,$I$8:$I$55)+SUMIF($F$8:$F$55,$O33,$G$8:$G$55)</f>
        <v>6</v>
      </c>
      <c r="R33" s="396">
        <f>P33-Q33</f>
        <v>-4</v>
      </c>
      <c r="S33" s="397">
        <f>SUMIF($D$8:$D$55,$O33,$K$8:$K$55)+SUMIF($F$8:$F$55,$O33,$L$8:$L$55)</f>
        <v>2</v>
      </c>
      <c r="T33" s="444" t="s">
        <v>70</v>
      </c>
      <c r="U33" s="392"/>
      <c r="V33" s="392" t="str">
        <f>O33</f>
        <v>Zwitserland</v>
      </c>
      <c r="W33" s="392" t="s">
        <v>67</v>
      </c>
      <c r="Y33" s="109">
        <f t="shared" si="8"/>
        <v>1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1</v>
      </c>
      <c r="AG33" s="108">
        <f t="shared" si="0"/>
        <v>1</v>
      </c>
      <c r="AH33" s="108">
        <f t="shared" si="1"/>
        <v>0</v>
      </c>
      <c r="AI33" s="108">
        <f t="shared" si="10"/>
        <v>0</v>
      </c>
      <c r="AJ33" s="108">
        <f t="shared" si="2"/>
        <v>0</v>
      </c>
      <c r="AK33" s="108">
        <f t="shared" si="3"/>
        <v>0</v>
      </c>
      <c r="AL33" s="108">
        <f t="shared" si="4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5</v>
      </c>
      <c r="H34" s="367" t="s">
        <v>9</v>
      </c>
      <c r="I34" s="440">
        <v>0</v>
      </c>
      <c r="J34" s="369">
        <f t="shared" si="5"/>
        <v>1</v>
      </c>
      <c r="K34" s="363">
        <f t="shared" si="6"/>
        <v>3</v>
      </c>
      <c r="L34" s="363">
        <f t="shared" si="7"/>
        <v>0</v>
      </c>
      <c r="O34" s="398" t="s">
        <v>26</v>
      </c>
      <c r="P34" s="399">
        <f>SUMIF($D$8:$D$55,$O34,$G$8:$G$55)+SUMIF($F$8:$F$55,$O34,$I$8:$I$55)</f>
        <v>3</v>
      </c>
      <c r="Q34" s="399">
        <f>SUMIF($D$8:$D$55,$O34,$I$8:$I$55)+SUMIF($F$8:$F$55,$O34,$G$8:$G$55)</f>
        <v>4</v>
      </c>
      <c r="R34" s="399">
        <f>P34-Q34</f>
        <v>-1</v>
      </c>
      <c r="S34" s="400">
        <f>SUMIF($D$8:$D$55,$O34,$K$8:$K$55)+SUMIF($F$8:$F$55,$O34,$L$8:$L$55)</f>
        <v>2</v>
      </c>
      <c r="T34" s="445" t="s">
        <v>68</v>
      </c>
      <c r="U34" s="392"/>
      <c r="V34" s="392" t="str">
        <f>O34</f>
        <v>Ecuador</v>
      </c>
      <c r="W34" s="392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0"/>
        <v>0</v>
      </c>
      <c r="AH34" s="108">
        <f t="shared" si="1"/>
        <v>1</v>
      </c>
      <c r="AI34" s="108">
        <f t="shared" si="10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3</v>
      </c>
      <c r="H35" s="373" t="s">
        <v>9</v>
      </c>
      <c r="I35" s="441">
        <v>0</v>
      </c>
      <c r="J35" s="375">
        <f t="shared" si="5"/>
        <v>1</v>
      </c>
      <c r="K35" s="363">
        <f t="shared" si="6"/>
        <v>3</v>
      </c>
      <c r="L35" s="363">
        <f t="shared" si="7"/>
        <v>0</v>
      </c>
      <c r="O35" s="398" t="s">
        <v>27</v>
      </c>
      <c r="P35" s="399">
        <f>SUMIF($D$8:$D$55,$O35,$G$8:$G$55)+SUMIF($F$8:$F$55,$O35,$I$8:$I$55)</f>
        <v>10</v>
      </c>
      <c r="Q35" s="399">
        <f>SUMIF($D$8:$D$55,$O35,$I$8:$I$55)+SUMIF($F$8:$F$55,$O35,$G$8:$G$55)</f>
        <v>1</v>
      </c>
      <c r="R35" s="399">
        <f>P35-Q35</f>
        <v>9</v>
      </c>
      <c r="S35" s="400">
        <f>SUMIF($D$8:$D$55,$O35,$K$8:$K$55)+SUMIF($F$8:$F$55,$O35,$L$8:$L$55)</f>
        <v>9</v>
      </c>
      <c r="T35" s="445" t="s">
        <v>67</v>
      </c>
      <c r="U35" s="392"/>
      <c r="V35" s="392" t="str">
        <f>O35</f>
        <v>Frankrijk</v>
      </c>
      <c r="W35" s="392" t="s">
        <v>69</v>
      </c>
      <c r="Y35" s="109">
        <f t="shared" si="8"/>
        <v>0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0</v>
      </c>
      <c r="AG35" s="108">
        <f t="shared" si="0"/>
        <v>0</v>
      </c>
      <c r="AH35" s="108">
        <f t="shared" si="1"/>
        <v>0</v>
      </c>
      <c r="AI35" s="108">
        <f t="shared" si="10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1</v>
      </c>
      <c r="H36" s="379" t="s">
        <v>9</v>
      </c>
      <c r="I36" s="442">
        <v>1</v>
      </c>
      <c r="J36" s="381">
        <f t="shared" si="5"/>
        <v>3</v>
      </c>
      <c r="K36" s="363">
        <f t="shared" si="6"/>
        <v>1</v>
      </c>
      <c r="L36" s="363">
        <f t="shared" si="7"/>
        <v>1</v>
      </c>
      <c r="O36" s="401" t="s">
        <v>28</v>
      </c>
      <c r="P36" s="402">
        <f>SUMIF($D$8:$D$55,$O36,$G$8:$G$55)+SUMIF($F$8:$F$55,$O36,$I$8:$I$55)</f>
        <v>2</v>
      </c>
      <c r="Q36" s="402">
        <f>SUMIF($D$8:$D$55,$O36,$I$8:$I$55)+SUMIF($F$8:$F$55,$O36,$G$8:$G$55)</f>
        <v>6</v>
      </c>
      <c r="R36" s="402">
        <f>P36-Q36</f>
        <v>-4</v>
      </c>
      <c r="S36" s="403">
        <f>SUMIF($D$8:$D$55,$O36,$K$8:$K$55)+SUMIF($F$8:$F$55,$O36,$L$8:$L$55)</f>
        <v>2</v>
      </c>
      <c r="T36" s="446" t="s">
        <v>69</v>
      </c>
      <c r="U36" s="392"/>
      <c r="V36" s="392" t="str">
        <f>O36</f>
        <v>Honduras</v>
      </c>
      <c r="W36" s="392" t="s">
        <v>70</v>
      </c>
      <c r="Y36" s="109">
        <f t="shared" si="8"/>
        <v>1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1</v>
      </c>
      <c r="AG36" s="108">
        <f t="shared" si="0"/>
        <v>1</v>
      </c>
      <c r="AH36" s="108">
        <f t="shared" si="1"/>
        <v>0</v>
      </c>
      <c r="AI36" s="108">
        <f t="shared" si="10"/>
        <v>0</v>
      </c>
      <c r="AJ36" s="108">
        <f t="shared" si="2"/>
        <v>0</v>
      </c>
      <c r="AK36" s="108">
        <f t="shared" si="3"/>
        <v>0</v>
      </c>
      <c r="AL36" s="108">
        <f t="shared" si="4"/>
        <v>0</v>
      </c>
      <c r="AM36" s="120">
        <f>AO36</f>
        <v>0</v>
      </c>
      <c r="AN36" s="118" t="s">
        <v>28</v>
      </c>
      <c r="AO36" s="115">
        <f>IF(Uitslag!T36="",0,IF(T36=Uitslag!T36,10,0))</f>
        <v>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2</v>
      </c>
      <c r="H37" s="367" t="s">
        <v>9</v>
      </c>
      <c r="I37" s="440">
        <v>2</v>
      </c>
      <c r="J37" s="369">
        <f t="shared" si="5"/>
        <v>3</v>
      </c>
      <c r="K37" s="363">
        <f t="shared" si="6"/>
        <v>1</v>
      </c>
      <c r="L37" s="363">
        <f t="shared" si="7"/>
        <v>1</v>
      </c>
      <c r="O37" s="392"/>
      <c r="P37" s="393"/>
      <c r="Q37" s="393"/>
      <c r="R37" s="393"/>
      <c r="S37" s="393"/>
      <c r="T37" s="393"/>
      <c r="U37" s="392"/>
      <c r="V37" s="392"/>
      <c r="W37" s="392"/>
      <c r="Y37" s="109">
        <f t="shared" si="8"/>
        <v>0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0</v>
      </c>
      <c r="AG37" s="108">
        <f t="shared" si="0"/>
        <v>0</v>
      </c>
      <c r="AH37" s="108">
        <f t="shared" si="1"/>
        <v>0</v>
      </c>
      <c r="AI37" s="108">
        <f t="shared" si="10"/>
        <v>0</v>
      </c>
      <c r="AJ37" s="108">
        <f t="shared" si="2"/>
        <v>0</v>
      </c>
      <c r="AK37" s="108">
        <f t="shared" si="3"/>
        <v>0</v>
      </c>
      <c r="AL37" s="108">
        <f t="shared" si="4"/>
        <v>0</v>
      </c>
      <c r="AN37" s="392"/>
      <c r="AO37" s="393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1</v>
      </c>
      <c r="H38" s="373" t="s">
        <v>9</v>
      </c>
      <c r="I38" s="441">
        <v>2</v>
      </c>
      <c r="J38" s="375">
        <f t="shared" si="5"/>
        <v>2</v>
      </c>
      <c r="K38" s="363">
        <f t="shared" si="6"/>
        <v>0</v>
      </c>
      <c r="L38" s="363">
        <f t="shared" si="7"/>
        <v>3</v>
      </c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392"/>
      <c r="V38" s="392"/>
      <c r="W38" s="392"/>
      <c r="Y38" s="109">
        <f t="shared" si="8"/>
        <v>5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5</v>
      </c>
      <c r="AG38" s="108">
        <f t="shared" si="0"/>
        <v>0</v>
      </c>
      <c r="AH38" s="108">
        <f t="shared" si="1"/>
        <v>0</v>
      </c>
      <c r="AI38" s="108">
        <f t="shared" si="10"/>
        <v>0</v>
      </c>
      <c r="AJ38" s="108">
        <f t="shared" si="2"/>
        <v>0</v>
      </c>
      <c r="AK38" s="108">
        <f t="shared" si="3"/>
        <v>5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1</v>
      </c>
      <c r="H39" s="379" t="s">
        <v>9</v>
      </c>
      <c r="I39" s="442">
        <v>3</v>
      </c>
      <c r="J39" s="381">
        <f t="shared" si="5"/>
        <v>2</v>
      </c>
      <c r="K39" s="363">
        <f t="shared" si="6"/>
        <v>0</v>
      </c>
      <c r="L39" s="363">
        <f t="shared" si="7"/>
        <v>3</v>
      </c>
      <c r="O39" s="394" t="s">
        <v>29</v>
      </c>
      <c r="P39" s="395">
        <f>SUMIF($D$8:$D$55,$O39,$G$8:$G$55)+SUMIF($F$8:$F$55,$O39,$I$8:$I$55)</f>
        <v>10</v>
      </c>
      <c r="Q39" s="395">
        <f>SUMIF($D$8:$D$55,$O39,$I$8:$I$55)+SUMIF($F$8:$F$55,$O39,$G$8:$G$55)</f>
        <v>0</v>
      </c>
      <c r="R39" s="396">
        <f>P39-Q39</f>
        <v>10</v>
      </c>
      <c r="S39" s="397">
        <f>SUMIF($D$8:$D$55,$O39,$K$8:$K$55)+SUMIF($F$8:$F$55,$O39,$L$8:$L$55)</f>
        <v>9</v>
      </c>
      <c r="T39" s="444" t="s">
        <v>72</v>
      </c>
      <c r="U39" s="392"/>
      <c r="V39" s="392" t="str">
        <f>O39</f>
        <v>Argentinië</v>
      </c>
      <c r="W39" s="392" t="s">
        <v>72</v>
      </c>
      <c r="Y39" s="109">
        <f t="shared" si="8"/>
        <v>0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0</v>
      </c>
      <c r="AG39" s="108">
        <f t="shared" si="0"/>
        <v>0</v>
      </c>
      <c r="AH39" s="108">
        <f t="shared" si="1"/>
        <v>0</v>
      </c>
      <c r="AI39" s="108">
        <f t="shared" si="10"/>
        <v>0</v>
      </c>
      <c r="AJ39" s="108">
        <f t="shared" si="2"/>
        <v>0</v>
      </c>
      <c r="AK39" s="108">
        <f t="shared" si="3"/>
        <v>0</v>
      </c>
      <c r="AL39" s="108">
        <f t="shared" si="4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2</v>
      </c>
      <c r="H40" s="367" t="s">
        <v>9</v>
      </c>
      <c r="I40" s="440">
        <v>2</v>
      </c>
      <c r="J40" s="369">
        <f t="shared" si="5"/>
        <v>3</v>
      </c>
      <c r="K40" s="363">
        <f t="shared" si="6"/>
        <v>1</v>
      </c>
      <c r="L40" s="363">
        <f t="shared" si="7"/>
        <v>1</v>
      </c>
      <c r="O40" s="398" t="s">
        <v>30</v>
      </c>
      <c r="P40" s="399">
        <f>SUMIF($D$8:$D$55,$O40,$G$8:$G$55)+SUMIF($F$8:$F$55,$O40,$I$8:$I$55)</f>
        <v>2</v>
      </c>
      <c r="Q40" s="399">
        <f>SUMIF($D$8:$D$55,$O40,$I$8:$I$55)+SUMIF($F$8:$F$55,$O40,$G$8:$G$55)</f>
        <v>4</v>
      </c>
      <c r="R40" s="399">
        <f>P40-Q40</f>
        <v>-2</v>
      </c>
      <c r="S40" s="400">
        <f>SUMIF($D$8:$D$55,$O40,$K$8:$K$55)+SUMIF($F$8:$F$55,$O40,$L$8:$L$55)</f>
        <v>4</v>
      </c>
      <c r="T40" s="445" t="s">
        <v>74</v>
      </c>
      <c r="U40" s="392"/>
      <c r="V40" s="392" t="str">
        <f>O40</f>
        <v>Bosnië H.</v>
      </c>
      <c r="W40" s="392" t="s">
        <v>73</v>
      </c>
      <c r="Y40" s="109">
        <f t="shared" si="8"/>
        <v>0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0</v>
      </c>
      <c r="AG40" s="108">
        <f t="shared" si="0"/>
        <v>0</v>
      </c>
      <c r="AH40" s="108">
        <f t="shared" si="1"/>
        <v>0</v>
      </c>
      <c r="AI40" s="108">
        <f t="shared" si="10"/>
        <v>0</v>
      </c>
      <c r="AJ40" s="108">
        <f t="shared" si="2"/>
        <v>0</v>
      </c>
      <c r="AK40" s="108">
        <f t="shared" si="3"/>
        <v>0</v>
      </c>
      <c r="AL40" s="108">
        <f t="shared" si="4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2</v>
      </c>
      <c r="H41" s="373" t="s">
        <v>9</v>
      </c>
      <c r="I41" s="441">
        <v>1</v>
      </c>
      <c r="J41" s="375">
        <f t="shared" si="5"/>
        <v>1</v>
      </c>
      <c r="K41" s="363">
        <f t="shared" si="6"/>
        <v>3</v>
      </c>
      <c r="L41" s="363">
        <f t="shared" si="7"/>
        <v>0</v>
      </c>
      <c r="O41" s="398" t="s">
        <v>33</v>
      </c>
      <c r="P41" s="399">
        <f>SUMIF($D$8:$D$55,$O41,$G$8:$G$55)+SUMIF($F$8:$F$55,$O41,$I$8:$I$55)</f>
        <v>0</v>
      </c>
      <c r="Q41" s="399">
        <f>SUMIF($D$8:$D$55,$O41,$I$8:$I$55)+SUMIF($F$8:$F$55,$O41,$G$8:$G$55)</f>
        <v>8</v>
      </c>
      <c r="R41" s="399">
        <f>P41-Q41</f>
        <v>-8</v>
      </c>
      <c r="S41" s="400">
        <f>SUMIF($D$8:$D$55,$O41,$K$8:$K$55)+SUMIF($F$8:$F$55,$O41,$L$8:$L$55)</f>
        <v>0</v>
      </c>
      <c r="T41" s="445" t="s">
        <v>75</v>
      </c>
      <c r="U41" s="392"/>
      <c r="V41" s="392" t="str">
        <f>O41</f>
        <v>Iran</v>
      </c>
      <c r="W41" s="392" t="s">
        <v>74</v>
      </c>
      <c r="Y41" s="109">
        <f t="shared" si="8"/>
        <v>6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6</v>
      </c>
      <c r="AG41" s="108">
        <f t="shared" si="0"/>
        <v>1</v>
      </c>
      <c r="AH41" s="108">
        <f t="shared" si="1"/>
        <v>0</v>
      </c>
      <c r="AI41" s="108">
        <f t="shared" si="10"/>
        <v>0</v>
      </c>
      <c r="AJ41" s="108">
        <f t="shared" si="2"/>
        <v>5</v>
      </c>
      <c r="AK41" s="108">
        <f t="shared" si="3"/>
        <v>0</v>
      </c>
      <c r="AL41" s="108">
        <f t="shared" si="4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0</v>
      </c>
      <c r="H42" s="373" t="s">
        <v>9</v>
      </c>
      <c r="I42" s="441">
        <v>3</v>
      </c>
      <c r="J42" s="375">
        <f t="shared" si="5"/>
        <v>2</v>
      </c>
      <c r="K42" s="363">
        <f t="shared" si="6"/>
        <v>0</v>
      </c>
      <c r="L42" s="363">
        <f t="shared" si="7"/>
        <v>3</v>
      </c>
      <c r="O42" s="401" t="s">
        <v>34</v>
      </c>
      <c r="P42" s="402">
        <f>SUMIF($D$8:$D$55,$O42,$G$8:$G$55)+SUMIF($F$8:$F$55,$O42,$I$8:$I$55)</f>
        <v>3</v>
      </c>
      <c r="Q42" s="402">
        <f>SUMIF($D$8:$D$55,$O42,$I$8:$I$55)+SUMIF($F$8:$F$55,$O42,$G$8:$G$55)</f>
        <v>3</v>
      </c>
      <c r="R42" s="402">
        <f>P42-Q42</f>
        <v>0</v>
      </c>
      <c r="S42" s="403">
        <f>SUMIF($D$8:$D$55,$O42,$K$8:$K$55)+SUMIF($F$8:$F$55,$O42,$L$8:$L$55)</f>
        <v>4</v>
      </c>
      <c r="T42" s="446" t="s">
        <v>73</v>
      </c>
      <c r="U42" s="392"/>
      <c r="V42" s="392" t="str">
        <f>O42</f>
        <v>Nigeria</v>
      </c>
      <c r="W42" s="392" t="s">
        <v>75</v>
      </c>
      <c r="Y42" s="109">
        <f t="shared" si="8"/>
        <v>5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5</v>
      </c>
      <c r="AG42" s="108">
        <f t="shared" si="0"/>
        <v>0</v>
      </c>
      <c r="AH42" s="108">
        <f t="shared" si="1"/>
        <v>0</v>
      </c>
      <c r="AI42" s="108">
        <f t="shared" si="10"/>
        <v>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2</v>
      </c>
      <c r="H43" s="379" t="s">
        <v>9</v>
      </c>
      <c r="I43" s="442">
        <v>0</v>
      </c>
      <c r="J43" s="381">
        <f t="shared" si="5"/>
        <v>1</v>
      </c>
      <c r="K43" s="363">
        <f t="shared" si="6"/>
        <v>3</v>
      </c>
      <c r="L43" s="363">
        <f t="shared" si="7"/>
        <v>0</v>
      </c>
      <c r="O43" s="392"/>
      <c r="P43" s="393"/>
      <c r="Q43" s="393"/>
      <c r="R43" s="393"/>
      <c r="S43" s="393"/>
      <c r="T43" s="393"/>
      <c r="U43" s="392"/>
      <c r="V43" s="392"/>
      <c r="W43" s="392"/>
      <c r="Y43" s="109">
        <f t="shared" si="8"/>
        <v>0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0</v>
      </c>
      <c r="AG43" s="108">
        <f t="shared" si="0"/>
        <v>0</v>
      </c>
      <c r="AH43" s="108">
        <f t="shared" si="1"/>
        <v>0</v>
      </c>
      <c r="AI43" s="108">
        <f t="shared" si="10"/>
        <v>0</v>
      </c>
      <c r="AJ43" s="108">
        <f t="shared" si="2"/>
        <v>0</v>
      </c>
      <c r="AK43" s="108">
        <f t="shared" si="3"/>
        <v>0</v>
      </c>
      <c r="AL43" s="108">
        <f t="shared" si="4"/>
        <v>0</v>
      </c>
      <c r="AN43" s="392"/>
      <c r="AO43" s="393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1</v>
      </c>
      <c r="H44" s="367" t="s">
        <v>9</v>
      </c>
      <c r="I44" s="440">
        <v>1</v>
      </c>
      <c r="J44" s="369">
        <f t="shared" si="5"/>
        <v>3</v>
      </c>
      <c r="K44" s="363">
        <f t="shared" si="6"/>
        <v>1</v>
      </c>
      <c r="L44" s="363">
        <f t="shared" si="7"/>
        <v>1</v>
      </c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392"/>
      <c r="V44" s="392"/>
      <c r="W44" s="392"/>
      <c r="Y44" s="109">
        <f t="shared" si="8"/>
        <v>1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1</v>
      </c>
      <c r="AG44" s="108">
        <f t="shared" si="0"/>
        <v>0</v>
      </c>
      <c r="AH44" s="108">
        <f t="shared" si="1"/>
        <v>1</v>
      </c>
      <c r="AI44" s="108">
        <f t="shared" si="10"/>
        <v>0</v>
      </c>
      <c r="AJ44" s="108">
        <f t="shared" si="2"/>
        <v>0</v>
      </c>
      <c r="AK44" s="108">
        <f t="shared" si="3"/>
        <v>0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1</v>
      </c>
      <c r="H45" s="373" t="s">
        <v>9</v>
      </c>
      <c r="I45" s="441">
        <v>2</v>
      </c>
      <c r="J45" s="375">
        <f t="shared" si="5"/>
        <v>2</v>
      </c>
      <c r="K45" s="363">
        <f t="shared" si="6"/>
        <v>0</v>
      </c>
      <c r="L45" s="363">
        <f t="shared" si="7"/>
        <v>3</v>
      </c>
      <c r="O45" s="394" t="s">
        <v>31</v>
      </c>
      <c r="P45" s="395">
        <f>SUMIF($D$8:$D$55,$O45,$G$8:$G$55)+SUMIF($F$8:$F$55,$O45,$I$8:$I$55)</f>
        <v>8</v>
      </c>
      <c r="Q45" s="395">
        <f>SUMIF($D$8:$D$55,$O45,$I$8:$I$55)+SUMIF($F$8:$F$55,$O45,$G$8:$G$55)</f>
        <v>2</v>
      </c>
      <c r="R45" s="396">
        <f>P45-Q45</f>
        <v>6</v>
      </c>
      <c r="S45" s="397">
        <f>SUMIF($D$8:$D$55,$O45,$K$8:$K$55)+SUMIF($F$8:$F$55,$O45,$L$8:$L$55)</f>
        <v>9</v>
      </c>
      <c r="T45" s="444" t="s">
        <v>77</v>
      </c>
      <c r="U45" s="392"/>
      <c r="V45" s="392" t="str">
        <f>O45</f>
        <v>Duitsland</v>
      </c>
      <c r="W45" s="392" t="s">
        <v>77</v>
      </c>
      <c r="Y45" s="109">
        <f t="shared" si="8"/>
        <v>0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0</v>
      </c>
      <c r="AG45" s="108">
        <f t="shared" si="0"/>
        <v>0</v>
      </c>
      <c r="AH45" s="108">
        <f t="shared" si="1"/>
        <v>0</v>
      </c>
      <c r="AI45" s="108">
        <f t="shared" si="10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1</v>
      </c>
      <c r="H46" s="373" t="s">
        <v>9</v>
      </c>
      <c r="I46" s="441">
        <v>3</v>
      </c>
      <c r="J46" s="375">
        <f t="shared" si="5"/>
        <v>2</v>
      </c>
      <c r="K46" s="363">
        <f t="shared" si="6"/>
        <v>0</v>
      </c>
      <c r="L46" s="363">
        <f t="shared" si="7"/>
        <v>3</v>
      </c>
      <c r="O46" s="398" t="s">
        <v>32</v>
      </c>
      <c r="P46" s="399">
        <f>SUMIF($D$8:$D$55,$O46,$G$8:$G$55)+SUMIF($F$8:$F$55,$O46,$I$8:$I$55)</f>
        <v>5</v>
      </c>
      <c r="Q46" s="399">
        <f>SUMIF($D$8:$D$55,$O46,$I$8:$I$55)+SUMIF($F$8:$F$55,$O46,$G$8:$G$55)</f>
        <v>4</v>
      </c>
      <c r="R46" s="399">
        <f>P46-Q46</f>
        <v>1</v>
      </c>
      <c r="S46" s="400">
        <f>SUMIF($D$8:$D$55,$O46,$K$8:$K$55)+SUMIF($F$8:$F$55,$O46,$L$8:$L$55)</f>
        <v>4</v>
      </c>
      <c r="T46" s="445" t="s">
        <v>78</v>
      </c>
      <c r="U46" s="392"/>
      <c r="V46" s="392" t="str">
        <f>O46</f>
        <v>Portugal</v>
      </c>
      <c r="W46" s="392" t="s">
        <v>78</v>
      </c>
      <c r="Y46" s="109">
        <f t="shared" si="8"/>
        <v>6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6</v>
      </c>
      <c r="AG46" s="108">
        <f t="shared" si="0"/>
        <v>1</v>
      </c>
      <c r="AH46" s="108">
        <f t="shared" si="1"/>
        <v>0</v>
      </c>
      <c r="AI46" s="108">
        <f t="shared" si="10"/>
        <v>0</v>
      </c>
      <c r="AJ46" s="108">
        <f t="shared" si="2"/>
        <v>0</v>
      </c>
      <c r="AK46" s="108">
        <f t="shared" si="3"/>
        <v>5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0</v>
      </c>
      <c r="H47" s="379" t="s">
        <v>9</v>
      </c>
      <c r="I47" s="442">
        <v>1</v>
      </c>
      <c r="J47" s="381">
        <f t="shared" si="5"/>
        <v>2</v>
      </c>
      <c r="K47" s="363">
        <f t="shared" si="6"/>
        <v>0</v>
      </c>
      <c r="L47" s="363">
        <f t="shared" si="7"/>
        <v>3</v>
      </c>
      <c r="O47" s="398" t="s">
        <v>35</v>
      </c>
      <c r="P47" s="399">
        <f>SUMIF($D$8:$D$55,$O47,$G$8:$G$55)+SUMIF($F$8:$F$55,$O47,$I$8:$I$55)</f>
        <v>3</v>
      </c>
      <c r="Q47" s="399">
        <f>SUMIF($D$8:$D$55,$O47,$I$8:$I$55)+SUMIF($F$8:$F$55,$O47,$G$8:$G$55)</f>
        <v>4</v>
      </c>
      <c r="R47" s="399">
        <f>P47-Q47</f>
        <v>-1</v>
      </c>
      <c r="S47" s="400">
        <f>SUMIF($D$8:$D$55,$O47,$K$8:$K$55)+SUMIF($F$8:$F$55,$O47,$L$8:$L$55)</f>
        <v>4</v>
      </c>
      <c r="T47" s="445" t="s">
        <v>79</v>
      </c>
      <c r="U47" s="392"/>
      <c r="V47" s="392" t="str">
        <f>O47</f>
        <v>Ghana</v>
      </c>
      <c r="W47" s="392" t="s">
        <v>79</v>
      </c>
      <c r="Y47" s="109">
        <f t="shared" si="8"/>
        <v>1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1</v>
      </c>
      <c r="AG47" s="108">
        <f t="shared" si="0"/>
        <v>0</v>
      </c>
      <c r="AH47" s="108">
        <f t="shared" si="1"/>
        <v>1</v>
      </c>
      <c r="AI47" s="108">
        <f t="shared" si="10"/>
        <v>0</v>
      </c>
      <c r="AJ47" s="108">
        <f t="shared" si="2"/>
        <v>0</v>
      </c>
      <c r="AK47" s="108">
        <f t="shared" si="3"/>
        <v>0</v>
      </c>
      <c r="AL47" s="108">
        <f t="shared" si="4"/>
        <v>0</v>
      </c>
      <c r="AM47" s="120">
        <f>AO47</f>
        <v>0</v>
      </c>
      <c r="AN47" s="117" t="s">
        <v>35</v>
      </c>
      <c r="AO47" s="115">
        <f>IF(Uitslag!T47="",0,IF(T47=Uitslag!T47,10,0))</f>
        <v>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0</v>
      </c>
      <c r="H48" s="367" t="s">
        <v>9</v>
      </c>
      <c r="I48" s="440">
        <v>2</v>
      </c>
      <c r="J48" s="369">
        <f t="shared" si="5"/>
        <v>2</v>
      </c>
      <c r="K48" s="363">
        <f t="shared" si="6"/>
        <v>0</v>
      </c>
      <c r="L48" s="363">
        <f t="shared" si="7"/>
        <v>3</v>
      </c>
      <c r="O48" s="401" t="s">
        <v>36</v>
      </c>
      <c r="P48" s="402">
        <f>SUMIF($D$8:$D$55,$O48,$G$8:$G$55)+SUMIF($F$8:$F$55,$O48,$I$8:$I$55)</f>
        <v>2</v>
      </c>
      <c r="Q48" s="402">
        <f>SUMIF($D$8:$D$55,$O48,$I$8:$I$55)+SUMIF($F$8:$F$55,$O48,$G$8:$G$55)</f>
        <v>8</v>
      </c>
      <c r="R48" s="402">
        <f>P48-Q48</f>
        <v>-6</v>
      </c>
      <c r="S48" s="403">
        <f>SUMIF($D$8:$D$55,$O48,$K$8:$K$55)+SUMIF($F$8:$F$55,$O48,$L$8:$L$55)</f>
        <v>0</v>
      </c>
      <c r="T48" s="446" t="s">
        <v>80</v>
      </c>
      <c r="U48" s="392"/>
      <c r="V48" s="392" t="str">
        <f>O48</f>
        <v>Verenigde Staten</v>
      </c>
      <c r="W48" s="392" t="s">
        <v>80</v>
      </c>
      <c r="Y48" s="109">
        <f t="shared" si="8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5</v>
      </c>
      <c r="AG48" s="108">
        <f t="shared" si="0"/>
        <v>0</v>
      </c>
      <c r="AH48" s="108">
        <f t="shared" si="1"/>
        <v>0</v>
      </c>
      <c r="AI48" s="108">
        <f t="shared" si="10"/>
        <v>0</v>
      </c>
      <c r="AJ48" s="108">
        <f t="shared" si="2"/>
        <v>0</v>
      </c>
      <c r="AK48" s="108">
        <f t="shared" si="3"/>
        <v>5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1</v>
      </c>
      <c r="H49" s="373" t="s">
        <v>9</v>
      </c>
      <c r="I49" s="441">
        <v>0</v>
      </c>
      <c r="J49" s="375">
        <f t="shared" si="5"/>
        <v>1</v>
      </c>
      <c r="K49" s="363">
        <f t="shared" si="6"/>
        <v>3</v>
      </c>
      <c r="L49" s="363">
        <f t="shared" si="7"/>
        <v>0</v>
      </c>
      <c r="O49" s="392"/>
      <c r="P49" s="393"/>
      <c r="Q49" s="393"/>
      <c r="R49" s="393"/>
      <c r="S49" s="393"/>
      <c r="T49" s="393"/>
      <c r="U49" s="392"/>
      <c r="V49" s="392"/>
      <c r="W49" s="392"/>
      <c r="Y49" s="109">
        <f t="shared" si="8"/>
        <v>5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5</v>
      </c>
      <c r="AG49" s="108">
        <f t="shared" si="0"/>
        <v>0</v>
      </c>
      <c r="AH49" s="108">
        <f t="shared" si="1"/>
        <v>0</v>
      </c>
      <c r="AI49" s="108">
        <f t="shared" si="10"/>
        <v>0</v>
      </c>
      <c r="AJ49" s="108">
        <f t="shared" si="2"/>
        <v>5</v>
      </c>
      <c r="AK49" s="108">
        <f t="shared" si="3"/>
        <v>0</v>
      </c>
      <c r="AL49" s="108">
        <f t="shared" si="4"/>
        <v>0</v>
      </c>
      <c r="AN49" s="392"/>
      <c r="AO49" s="393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1</v>
      </c>
      <c r="H50" s="373" t="s">
        <v>9</v>
      </c>
      <c r="I50" s="441">
        <v>1</v>
      </c>
      <c r="J50" s="375">
        <f t="shared" si="5"/>
        <v>3</v>
      </c>
      <c r="K50" s="363">
        <f t="shared" si="6"/>
        <v>1</v>
      </c>
      <c r="L50" s="363">
        <f t="shared" si="7"/>
        <v>1</v>
      </c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392"/>
      <c r="V50" s="392"/>
      <c r="W50" s="392"/>
      <c r="Y50" s="109">
        <f t="shared" si="8"/>
        <v>0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0</v>
      </c>
      <c r="AG50" s="108">
        <f t="shared" si="0"/>
        <v>0</v>
      </c>
      <c r="AH50" s="108">
        <f t="shared" si="1"/>
        <v>0</v>
      </c>
      <c r="AI50" s="108">
        <f t="shared" si="10"/>
        <v>0</v>
      </c>
      <c r="AJ50" s="108">
        <f t="shared" si="2"/>
        <v>0</v>
      </c>
      <c r="AK50" s="108">
        <f t="shared" si="3"/>
        <v>0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1</v>
      </c>
      <c r="H51" s="379" t="s">
        <v>9</v>
      </c>
      <c r="I51" s="442">
        <v>2</v>
      </c>
      <c r="J51" s="381">
        <f t="shared" si="5"/>
        <v>2</v>
      </c>
      <c r="K51" s="363">
        <f t="shared" si="6"/>
        <v>0</v>
      </c>
      <c r="L51" s="363">
        <f>IF(I51="","",IF($G51&lt;$I51,3,IF($G51=$I51,1,0)))</f>
        <v>3</v>
      </c>
      <c r="O51" s="394" t="s">
        <v>37</v>
      </c>
      <c r="P51" s="395">
        <f>SUMIF($D$8:$D$55,$O51,$G$8:$G$55)+SUMIF($F$8:$F$55,$O51,$I$8:$I$55)</f>
        <v>8</v>
      </c>
      <c r="Q51" s="395">
        <f>SUMIF($D$8:$D$55,$O51,$I$8:$I$55)+SUMIF($F$8:$F$55,$O51,$G$8:$G$55)</f>
        <v>2</v>
      </c>
      <c r="R51" s="396">
        <f>P51-Q51</f>
        <v>6</v>
      </c>
      <c r="S51" s="397">
        <f>SUMIF($D$8:$D$55,$O51,$K$8:$K$55)+SUMIF($F$8:$F$55,$O51,$L$8:$L$55)</f>
        <v>7</v>
      </c>
      <c r="T51" s="444" t="s">
        <v>83</v>
      </c>
      <c r="U51" s="392"/>
      <c r="V51" s="392" t="str">
        <f>O51</f>
        <v>België</v>
      </c>
      <c r="W51" s="392" t="s">
        <v>82</v>
      </c>
      <c r="Y51" s="109">
        <f t="shared" si="8"/>
        <v>0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0</v>
      </c>
      <c r="AG51" s="108">
        <f t="shared" si="0"/>
        <v>0</v>
      </c>
      <c r="AH51" s="108">
        <f t="shared" si="1"/>
        <v>0</v>
      </c>
      <c r="AI51" s="108">
        <f t="shared" si="10"/>
        <v>0</v>
      </c>
      <c r="AJ51" s="108">
        <f t="shared" si="2"/>
        <v>0</v>
      </c>
      <c r="AK51" s="108">
        <f t="shared" si="3"/>
        <v>0</v>
      </c>
      <c r="AL51" s="108">
        <f t="shared" si="4"/>
        <v>0</v>
      </c>
      <c r="AM51" s="120">
        <f>AO51</f>
        <v>0</v>
      </c>
      <c r="AN51" s="116" t="s">
        <v>37</v>
      </c>
      <c r="AO51" s="115">
        <f>IF(Uitslag!T51="",0,IF(T51=Uitslag!T51,10,0))</f>
        <v>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1</v>
      </c>
      <c r="H52" s="373" t="s">
        <v>9</v>
      </c>
      <c r="I52" s="441">
        <v>3</v>
      </c>
      <c r="J52" s="369">
        <f t="shared" si="5"/>
        <v>2</v>
      </c>
      <c r="K52" s="363">
        <f t="shared" si="6"/>
        <v>0</v>
      </c>
      <c r="L52" s="363">
        <f t="shared" si="7"/>
        <v>3</v>
      </c>
      <c r="O52" s="398" t="s">
        <v>38</v>
      </c>
      <c r="P52" s="399">
        <f>SUMIF($D$8:$D$55,$O52,$G$8:$G$55)+SUMIF($F$8:$F$55,$O52,$I$8:$I$55)</f>
        <v>2</v>
      </c>
      <c r="Q52" s="399">
        <f>SUMIF($D$8:$D$55,$O52,$I$8:$I$55)+SUMIF($F$8:$F$55,$O52,$G$8:$G$55)</f>
        <v>6</v>
      </c>
      <c r="R52" s="399">
        <f>P52-Q52</f>
        <v>-4</v>
      </c>
      <c r="S52" s="400">
        <f>SUMIF($D$8:$D$55,$O52,$K$8:$K$55)+SUMIF($F$8:$F$55,$O52,$L$8:$L$55)</f>
        <v>3</v>
      </c>
      <c r="T52" s="445" t="s">
        <v>84</v>
      </c>
      <c r="U52" s="392"/>
      <c r="V52" s="392" t="str">
        <f>O52</f>
        <v>Algerije</v>
      </c>
      <c r="W52" s="392" t="s">
        <v>83</v>
      </c>
      <c r="Y52" s="109">
        <f t="shared" si="8"/>
        <v>5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5</v>
      </c>
      <c r="AG52" s="108">
        <f t="shared" si="0"/>
        <v>0</v>
      </c>
      <c r="AH52" s="108">
        <f t="shared" si="1"/>
        <v>0</v>
      </c>
      <c r="AI52" s="108">
        <f t="shared" si="10"/>
        <v>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1</v>
      </c>
      <c r="H53" s="373" t="s">
        <v>9</v>
      </c>
      <c r="I53" s="441">
        <v>1</v>
      </c>
      <c r="J53" s="375">
        <f t="shared" si="5"/>
        <v>3</v>
      </c>
      <c r="K53" s="363">
        <f t="shared" si="6"/>
        <v>1</v>
      </c>
      <c r="L53" s="363">
        <f t="shared" si="7"/>
        <v>1</v>
      </c>
      <c r="O53" s="398" t="s">
        <v>39</v>
      </c>
      <c r="P53" s="399">
        <f>SUMIF($D$8:$D$55,$O53,$G$8:$G$55)+SUMIF($F$8:$F$55,$O53,$I$8:$I$55)</f>
        <v>6</v>
      </c>
      <c r="Q53" s="399">
        <f>SUMIF($D$8:$D$55,$O53,$I$8:$I$55)+SUMIF($F$8:$F$55,$O53,$G$8:$G$55)</f>
        <v>2</v>
      </c>
      <c r="R53" s="399">
        <f>P53-Q53</f>
        <v>4</v>
      </c>
      <c r="S53" s="400">
        <f>SUMIF($D$8:$D$55,$O53,$K$8:$K$55)+SUMIF($F$8:$F$55,$O53,$L$8:$L$55)</f>
        <v>7</v>
      </c>
      <c r="T53" s="445" t="s">
        <v>82</v>
      </c>
      <c r="U53" s="392"/>
      <c r="V53" s="392" t="str">
        <f>O53</f>
        <v>Rusland</v>
      </c>
      <c r="W53" s="392" t="s">
        <v>84</v>
      </c>
      <c r="Y53" s="109">
        <f t="shared" si="8"/>
        <v>1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1</v>
      </c>
      <c r="AG53" s="108">
        <f t="shared" si="0"/>
        <v>0</v>
      </c>
      <c r="AH53" s="108">
        <f t="shared" si="1"/>
        <v>1</v>
      </c>
      <c r="AI53" s="108">
        <f t="shared" si="10"/>
        <v>0</v>
      </c>
      <c r="AJ53" s="108">
        <f t="shared" si="2"/>
        <v>0</v>
      </c>
      <c r="AK53" s="108">
        <f t="shared" si="3"/>
        <v>0</v>
      </c>
      <c r="AL53" s="108">
        <f t="shared" si="4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0</v>
      </c>
      <c r="H54" s="373" t="s">
        <v>9</v>
      </c>
      <c r="I54" s="441">
        <v>3</v>
      </c>
      <c r="J54" s="375">
        <f t="shared" si="5"/>
        <v>2</v>
      </c>
      <c r="K54" s="363">
        <f t="shared" si="6"/>
        <v>0</v>
      </c>
      <c r="L54" s="363">
        <f t="shared" si="7"/>
        <v>3</v>
      </c>
      <c r="O54" s="401" t="s">
        <v>40</v>
      </c>
      <c r="P54" s="402">
        <f>SUMIF($D$8:$D$55,$O54,$G$8:$G$55)+SUMIF($F$8:$F$55,$O54,$I$8:$I$55)</f>
        <v>1</v>
      </c>
      <c r="Q54" s="402">
        <f>SUMIF($D$8:$D$55,$O54,$I$8:$I$55)+SUMIF($F$8:$F$55,$O54,$G$8:$G$55)</f>
        <v>7</v>
      </c>
      <c r="R54" s="402">
        <f>P54-Q54</f>
        <v>-6</v>
      </c>
      <c r="S54" s="403">
        <f>SUMIF($D$8:$D$55,$O54,$K$8:$K$55)+SUMIF($F$8:$F$55,$O54,$L$8:$L$55)</f>
        <v>0</v>
      </c>
      <c r="T54" s="446" t="s">
        <v>85</v>
      </c>
      <c r="U54" s="392"/>
      <c r="V54" s="392" t="str">
        <f>O54</f>
        <v>Zuid Korea</v>
      </c>
      <c r="W54" s="392" t="s">
        <v>85</v>
      </c>
      <c r="Y54" s="109">
        <f t="shared" si="8"/>
        <v>6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6</v>
      </c>
      <c r="AG54" s="108">
        <f t="shared" si="0"/>
        <v>1</v>
      </c>
      <c r="AH54" s="108">
        <f t="shared" si="1"/>
        <v>0</v>
      </c>
      <c r="AI54" s="108">
        <f t="shared" si="10"/>
        <v>0</v>
      </c>
      <c r="AJ54" s="108">
        <f t="shared" si="2"/>
        <v>0</v>
      </c>
      <c r="AK54" s="108">
        <f t="shared" si="3"/>
        <v>5</v>
      </c>
      <c r="AL54" s="108">
        <f t="shared" si="4"/>
        <v>0</v>
      </c>
      <c r="AM54" s="120">
        <f>AO54</f>
        <v>10</v>
      </c>
      <c r="AN54" s="118" t="s">
        <v>40</v>
      </c>
      <c r="AO54" s="115">
        <f>IF(Uitslag!T54="",0,IF(T54=Uitslag!T54,10,0))</f>
        <v>10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0</v>
      </c>
      <c r="H55" s="388" t="s">
        <v>9</v>
      </c>
      <c r="I55" s="443">
        <v>2</v>
      </c>
      <c r="J55" s="390">
        <f t="shared" si="5"/>
        <v>2</v>
      </c>
      <c r="K55" s="363">
        <f t="shared" si="6"/>
        <v>0</v>
      </c>
      <c r="L55" s="363">
        <f t="shared" si="7"/>
        <v>3</v>
      </c>
      <c r="O55" s="392"/>
      <c r="P55" s="393"/>
      <c r="Q55" s="393"/>
      <c r="R55" s="393"/>
      <c r="S55" s="393"/>
      <c r="T55" s="393"/>
      <c r="U55" s="392"/>
      <c r="V55" s="392"/>
      <c r="W55" s="392"/>
      <c r="Y55" s="109">
        <f t="shared" si="8"/>
        <v>0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0</v>
      </c>
      <c r="AG55" s="108">
        <f t="shared" si="0"/>
        <v>0</v>
      </c>
      <c r="AH55" s="108">
        <f t="shared" si="1"/>
        <v>0</v>
      </c>
      <c r="AI55" s="108">
        <f t="shared" si="10"/>
        <v>0</v>
      </c>
      <c r="AJ55" s="108">
        <f t="shared" si="2"/>
        <v>0</v>
      </c>
      <c r="AK55" s="108">
        <f t="shared" si="3"/>
        <v>0</v>
      </c>
      <c r="AL55" s="108">
        <f t="shared" si="4"/>
        <v>0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85"/>
      <c r="K57" s="353"/>
      <c r="L57" s="353"/>
      <c r="M57" s="353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83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O58" s="458">
        <v>1</v>
      </c>
      <c r="P58" s="877" t="s">
        <v>224</v>
      </c>
      <c r="Q58" s="877"/>
      <c r="R58" s="877"/>
      <c r="S58" s="877"/>
      <c r="T58" s="878"/>
      <c r="V58" s="352" t="s">
        <v>132</v>
      </c>
      <c r="W58" s="352" t="s">
        <v>124</v>
      </c>
      <c r="X58" s="352" t="str">
        <f t="shared" ref="X58:X98" si="11">CONCATENATE(W58," ",V58)</f>
        <v>Jeroen Zoet (k)</v>
      </c>
      <c r="Y58" s="113" t="s">
        <v>91</v>
      </c>
      <c r="Z58" s="352" t="str">
        <f>IF(K58=""," ",VLOOKUP(K58,$T$9:$V$54,3,FALSE))</f>
        <v xml:space="preserve"> </v>
      </c>
      <c r="AA58" s="352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>IF(ISERROR(Z59),K59,Z59)</f>
        <v>Brazilië</v>
      </c>
      <c r="E59" s="367" t="s">
        <v>9</v>
      </c>
      <c r="F59" s="406" t="str">
        <f>IF(ISERROR(AA59),L59,AA59)</f>
        <v>Australië</v>
      </c>
      <c r="G59" s="435">
        <v>2</v>
      </c>
      <c r="H59" s="367" t="s">
        <v>9</v>
      </c>
      <c r="I59" s="447">
        <v>0</v>
      </c>
      <c r="J59" s="448">
        <v>1</v>
      </c>
      <c r="K59" s="407" t="s">
        <v>48</v>
      </c>
      <c r="L59" s="407" t="s">
        <v>53</v>
      </c>
      <c r="M59" s="407">
        <v>1</v>
      </c>
      <c r="O59" s="458">
        <v>2</v>
      </c>
      <c r="P59" s="877" t="s">
        <v>212</v>
      </c>
      <c r="Q59" s="877"/>
      <c r="R59" s="877"/>
      <c r="S59" s="877"/>
      <c r="T59" s="878"/>
      <c r="V59" s="352" t="s">
        <v>132</v>
      </c>
      <c r="W59" s="352" t="s">
        <v>111</v>
      </c>
      <c r="X59" s="352" t="str">
        <f t="shared" si="11"/>
        <v>Jasper Cillessen (k)</v>
      </c>
      <c r="Y59" s="109">
        <f t="shared" ref="Y59:Y66" si="13">AF59</f>
        <v>0</v>
      </c>
      <c r="Z59" s="352" t="str">
        <f t="shared" ref="Z59:AA65" si="14">IF(K59=""," ",VLOOKUP(K59,$T$9:$V$54,3,FALSE))</f>
        <v>Brazilië</v>
      </c>
      <c r="AA59" s="352" t="str">
        <f t="shared" si="14"/>
        <v>Australië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0</v>
      </c>
      <c r="AG59" s="108">
        <f t="shared" ref="AG59:AG66" si="16">IF(AC59="",0,(IF(G59=AC59,1,0)))</f>
        <v>0</v>
      </c>
      <c r="AH59" s="108">
        <f t="shared" ref="AH59:AH66" si="17">IF(AD59="",0,(IF(I59=AD59,1,0)))</f>
        <v>0</v>
      </c>
      <c r="AI59" s="108">
        <f t="shared" ref="AI59:AI66" si="18">IF(AND(AG59=1,AH59=1),10,0)</f>
        <v>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376">
        <v>50</v>
      </c>
      <c r="C60" s="466">
        <v>41818</v>
      </c>
      <c r="D60" s="460" t="str">
        <f t="shared" ref="D60:D66" si="23">IF(ISERROR(Z60),K60,Z60)</f>
        <v>Colombia</v>
      </c>
      <c r="E60" s="379" t="s">
        <v>9</v>
      </c>
      <c r="F60" s="409" t="str">
        <f t="shared" ref="F60:F66" si="24">IF(ISERROR(AA60),L60,AA60)</f>
        <v>Uruguay</v>
      </c>
      <c r="G60" s="437">
        <v>1</v>
      </c>
      <c r="H60" s="379" t="s">
        <v>9</v>
      </c>
      <c r="I60" s="449">
        <v>1</v>
      </c>
      <c r="J60" s="450">
        <v>2</v>
      </c>
      <c r="K60" s="407" t="s">
        <v>57</v>
      </c>
      <c r="L60" s="407" t="s">
        <v>63</v>
      </c>
      <c r="M60" s="407">
        <v>2</v>
      </c>
      <c r="O60" s="458">
        <v>3</v>
      </c>
      <c r="P60" s="877" t="s">
        <v>220</v>
      </c>
      <c r="Q60" s="877"/>
      <c r="R60" s="877"/>
      <c r="S60" s="877"/>
      <c r="T60" s="878"/>
      <c r="V60" s="352" t="s">
        <v>132</v>
      </c>
      <c r="W60" s="352" t="s">
        <v>110</v>
      </c>
      <c r="X60" s="352" t="str">
        <f t="shared" si="11"/>
        <v>Kenneth Vermeer (k)</v>
      </c>
      <c r="Y60" s="109">
        <f t="shared" si="13"/>
        <v>0</v>
      </c>
      <c r="Z60" s="352" t="str">
        <f t="shared" si="14"/>
        <v>Colombia</v>
      </c>
      <c r="AA60" s="352" t="str">
        <f t="shared" si="14"/>
        <v>Uruguay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0</v>
      </c>
      <c r="AG60" s="108">
        <f t="shared" si="16"/>
        <v>0</v>
      </c>
      <c r="AH60" s="108">
        <f t="shared" si="17"/>
        <v>0</v>
      </c>
      <c r="AI60" s="108">
        <f t="shared" si="18"/>
        <v>0</v>
      </c>
      <c r="AJ60" s="108">
        <f t="shared" si="19"/>
        <v>0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2"/>
        <v>3</v>
      </c>
    </row>
    <row r="61" spans="2:54">
      <c r="B61" s="364">
        <v>51</v>
      </c>
      <c r="C61" s="465">
        <v>41819</v>
      </c>
      <c r="D61" s="464" t="str">
        <f t="shared" si="23"/>
        <v>Spanje</v>
      </c>
      <c r="E61" s="367" t="s">
        <v>9</v>
      </c>
      <c r="F61" s="406" t="str">
        <f t="shared" si="24"/>
        <v>Kroatië</v>
      </c>
      <c r="G61" s="435">
        <v>1</v>
      </c>
      <c r="H61" s="367" t="s">
        <v>9</v>
      </c>
      <c r="I61" s="447">
        <v>2</v>
      </c>
      <c r="J61" s="448">
        <v>2</v>
      </c>
      <c r="K61" s="407" t="s">
        <v>52</v>
      </c>
      <c r="L61" s="407" t="s">
        <v>49</v>
      </c>
      <c r="M61" s="407"/>
      <c r="O61" s="458">
        <v>4</v>
      </c>
      <c r="P61" s="877" t="s">
        <v>211</v>
      </c>
      <c r="Q61" s="877"/>
      <c r="R61" s="877"/>
      <c r="S61" s="877"/>
      <c r="T61" s="878"/>
      <c r="V61" s="352" t="s">
        <v>132</v>
      </c>
      <c r="W61" s="352" t="s">
        <v>191</v>
      </c>
      <c r="X61" s="352" t="str">
        <f t="shared" si="11"/>
        <v>Tim Krul (k)</v>
      </c>
      <c r="Y61" s="109">
        <f t="shared" si="13"/>
        <v>0</v>
      </c>
      <c r="Z61" s="352" t="str">
        <f t="shared" si="14"/>
        <v>Spanje</v>
      </c>
      <c r="AA61" s="352" t="str">
        <f t="shared" si="14"/>
        <v>Kroatië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0</v>
      </c>
      <c r="AG61" s="108">
        <f t="shared" si="16"/>
        <v>0</v>
      </c>
      <c r="AH61" s="108">
        <f t="shared" si="17"/>
        <v>0</v>
      </c>
      <c r="AI61" s="108">
        <f t="shared" si="18"/>
        <v>0</v>
      </c>
      <c r="AJ61" s="108">
        <f t="shared" si="19"/>
        <v>0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3</v>
      </c>
      <c r="BB61" s="139">
        <f t="shared" si="22"/>
        <v>3</v>
      </c>
    </row>
    <row r="62" spans="2:54">
      <c r="B62" s="376">
        <v>52</v>
      </c>
      <c r="C62" s="466">
        <v>41819</v>
      </c>
      <c r="D62" s="464" t="str">
        <f t="shared" si="23"/>
        <v>Engeland</v>
      </c>
      <c r="E62" s="379" t="s">
        <v>9</v>
      </c>
      <c r="F62" s="409" t="str">
        <f t="shared" si="24"/>
        <v>Ivoorkust</v>
      </c>
      <c r="G62" s="437">
        <v>2</v>
      </c>
      <c r="H62" s="379" t="s">
        <v>9</v>
      </c>
      <c r="I62" s="449">
        <v>0</v>
      </c>
      <c r="J62" s="450">
        <v>1</v>
      </c>
      <c r="K62" s="407" t="s">
        <v>62</v>
      </c>
      <c r="L62" s="407" t="s">
        <v>58</v>
      </c>
      <c r="M62" s="407"/>
      <c r="O62" s="458">
        <v>5</v>
      </c>
      <c r="P62" s="877" t="s">
        <v>209</v>
      </c>
      <c r="Q62" s="877"/>
      <c r="R62" s="877"/>
      <c r="S62" s="877"/>
      <c r="T62" s="878"/>
      <c r="V62" s="352" t="s">
        <v>132</v>
      </c>
      <c r="W62" s="352" t="s">
        <v>192</v>
      </c>
      <c r="X62" s="352" t="str">
        <f t="shared" si="11"/>
        <v>Maarten Stekelenburg (k)</v>
      </c>
      <c r="Y62" s="109">
        <f t="shared" si="13"/>
        <v>0</v>
      </c>
      <c r="Z62" s="352" t="str">
        <f t="shared" si="14"/>
        <v>Engeland</v>
      </c>
      <c r="AA62" s="352" t="str">
        <f t="shared" si="14"/>
        <v>Ivoorkust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0</v>
      </c>
      <c r="AG62" s="108">
        <f t="shared" si="16"/>
        <v>0</v>
      </c>
      <c r="AH62" s="108">
        <f t="shared" si="17"/>
        <v>0</v>
      </c>
      <c r="AI62" s="108">
        <f t="shared" si="18"/>
        <v>0</v>
      </c>
      <c r="AJ62" s="108">
        <f t="shared" si="19"/>
        <v>0</v>
      </c>
      <c r="AK62" s="108">
        <f t="shared" si="20"/>
        <v>0</v>
      </c>
      <c r="AL62" s="108">
        <f t="shared" si="21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2"/>
        <v>3</v>
      </c>
    </row>
    <row r="63" spans="2:54">
      <c r="B63" s="364">
        <v>53</v>
      </c>
      <c r="C63" s="465">
        <v>41820</v>
      </c>
      <c r="D63" s="459" t="str">
        <f t="shared" si="23"/>
        <v>Frankrijk</v>
      </c>
      <c r="E63" s="367" t="s">
        <v>9</v>
      </c>
      <c r="F63" s="406" t="str">
        <f t="shared" si="24"/>
        <v>Nigeria</v>
      </c>
      <c r="G63" s="435">
        <v>1</v>
      </c>
      <c r="H63" s="367" t="s">
        <v>9</v>
      </c>
      <c r="I63" s="447">
        <v>1</v>
      </c>
      <c r="J63" s="448">
        <v>1</v>
      </c>
      <c r="K63" s="407" t="s">
        <v>67</v>
      </c>
      <c r="L63" s="407" t="s">
        <v>73</v>
      </c>
      <c r="M63" s="407"/>
      <c r="O63" s="458">
        <v>6</v>
      </c>
      <c r="P63" s="877" t="s">
        <v>214</v>
      </c>
      <c r="Q63" s="877"/>
      <c r="R63" s="877"/>
      <c r="S63" s="877"/>
      <c r="T63" s="878"/>
      <c r="V63" s="352" t="s">
        <v>132</v>
      </c>
      <c r="W63" s="352" t="s">
        <v>193</v>
      </c>
      <c r="X63" s="352" t="str">
        <f t="shared" si="11"/>
        <v>Michel Vorm (k)</v>
      </c>
      <c r="Y63" s="109">
        <f t="shared" si="13"/>
        <v>0</v>
      </c>
      <c r="Z63" s="352" t="str">
        <f t="shared" si="14"/>
        <v>Frankrijk</v>
      </c>
      <c r="AA63" s="352" t="str">
        <f t="shared" si="14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0</v>
      </c>
      <c r="AG63" s="108">
        <f t="shared" si="16"/>
        <v>0</v>
      </c>
      <c r="AH63" s="108">
        <f t="shared" si="17"/>
        <v>0</v>
      </c>
      <c r="AI63" s="108">
        <f t="shared" si="18"/>
        <v>0</v>
      </c>
      <c r="AJ63" s="108">
        <f t="shared" si="19"/>
        <v>0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3</v>
      </c>
      <c r="BB63" s="139">
        <f t="shared" si="22"/>
        <v>3</v>
      </c>
    </row>
    <row r="64" spans="2:54">
      <c r="B64" s="376">
        <v>54</v>
      </c>
      <c r="C64" s="466">
        <v>41820</v>
      </c>
      <c r="D64" s="460" t="str">
        <f t="shared" si="23"/>
        <v>Duitsland</v>
      </c>
      <c r="E64" s="379" t="s">
        <v>9</v>
      </c>
      <c r="F64" s="409" t="str">
        <f t="shared" si="24"/>
        <v>België</v>
      </c>
      <c r="G64" s="437">
        <v>2</v>
      </c>
      <c r="H64" s="379" t="s">
        <v>9</v>
      </c>
      <c r="I64" s="449">
        <v>2</v>
      </c>
      <c r="J64" s="450">
        <v>1</v>
      </c>
      <c r="K64" s="407" t="s">
        <v>77</v>
      </c>
      <c r="L64" s="407" t="s">
        <v>83</v>
      </c>
      <c r="M64" s="407"/>
      <c r="O64" s="458">
        <v>7</v>
      </c>
      <c r="P64" s="877" t="s">
        <v>213</v>
      </c>
      <c r="Q64" s="877"/>
      <c r="R64" s="877"/>
      <c r="S64" s="877"/>
      <c r="T64" s="878"/>
      <c r="V64" s="352" t="s">
        <v>133</v>
      </c>
      <c r="W64" s="352" t="s">
        <v>112</v>
      </c>
      <c r="X64" s="352" t="str">
        <f t="shared" si="11"/>
        <v>Joël Veltman (v)</v>
      </c>
      <c r="Y64" s="109">
        <f t="shared" si="13"/>
        <v>5</v>
      </c>
      <c r="Z64" s="352" t="str">
        <f t="shared" si="14"/>
        <v>Duitsland</v>
      </c>
      <c r="AA64" s="352" t="str">
        <f t="shared" si="14"/>
        <v>België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5</v>
      </c>
      <c r="AG64" s="108">
        <f t="shared" si="16"/>
        <v>0</v>
      </c>
      <c r="AH64" s="108">
        <f t="shared" si="17"/>
        <v>0</v>
      </c>
      <c r="AI64" s="108">
        <f t="shared" si="18"/>
        <v>0</v>
      </c>
      <c r="AJ64" s="108">
        <f t="shared" si="19"/>
        <v>0</v>
      </c>
      <c r="AK64" s="108">
        <f t="shared" si="20"/>
        <v>0</v>
      </c>
      <c r="AL64" s="108">
        <f t="shared" si="21"/>
        <v>5</v>
      </c>
      <c r="AZ64" s="138" t="str">
        <f>Uitslag!P64</f>
        <v>Wesley Sneijder (m)</v>
      </c>
      <c r="BA64" s="140">
        <f t="shared" si="12"/>
        <v>3</v>
      </c>
      <c r="BB64" s="139">
        <f t="shared" si="22"/>
        <v>3</v>
      </c>
    </row>
    <row r="65" spans="2:54">
      <c r="B65" s="370">
        <v>55</v>
      </c>
      <c r="C65" s="467">
        <v>41821</v>
      </c>
      <c r="D65" s="459" t="str">
        <f t="shared" si="23"/>
        <v>Argentinië</v>
      </c>
      <c r="E65" s="373" t="s">
        <v>9</v>
      </c>
      <c r="F65" s="410" t="str">
        <f t="shared" si="24"/>
        <v>Ecuador</v>
      </c>
      <c r="G65" s="436">
        <v>3</v>
      </c>
      <c r="H65" s="373" t="s">
        <v>9</v>
      </c>
      <c r="I65" s="451">
        <v>0</v>
      </c>
      <c r="J65" s="452">
        <v>1</v>
      </c>
      <c r="K65" s="407" t="s">
        <v>72</v>
      </c>
      <c r="L65" s="407" t="s">
        <v>68</v>
      </c>
      <c r="M65" s="407"/>
      <c r="O65" s="458">
        <v>8</v>
      </c>
      <c r="P65" s="877" t="s">
        <v>221</v>
      </c>
      <c r="Q65" s="877"/>
      <c r="R65" s="877"/>
      <c r="S65" s="877"/>
      <c r="T65" s="878"/>
      <c r="V65" s="352" t="s">
        <v>133</v>
      </c>
      <c r="W65" s="352" t="s">
        <v>109</v>
      </c>
      <c r="X65" s="352" t="str">
        <f t="shared" si="11"/>
        <v>Daley Blind (v)</v>
      </c>
      <c r="Y65" s="109">
        <f t="shared" si="13"/>
        <v>1</v>
      </c>
      <c r="Z65" s="352" t="str">
        <f t="shared" si="14"/>
        <v>Argentinië</v>
      </c>
      <c r="AA65" s="352" t="str">
        <f t="shared" si="14"/>
        <v>Ecuador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1</v>
      </c>
      <c r="AG65" s="108">
        <f t="shared" si="16"/>
        <v>0</v>
      </c>
      <c r="AH65" s="108">
        <f t="shared" si="17"/>
        <v>1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0</v>
      </c>
      <c r="AZ65" s="138" t="str">
        <f>Uitslag!P65</f>
        <v>Nigel de Jong (m)</v>
      </c>
      <c r="BA65" s="140">
        <f t="shared" si="12"/>
        <v>0</v>
      </c>
      <c r="BB65" s="139">
        <f t="shared" si="22"/>
        <v>0</v>
      </c>
    </row>
    <row r="66" spans="2:54" ht="15.75" thickBot="1">
      <c r="B66" s="385">
        <v>56</v>
      </c>
      <c r="C66" s="462">
        <v>41821</v>
      </c>
      <c r="D66" s="461" t="str">
        <f t="shared" si="23"/>
        <v>Rusland</v>
      </c>
      <c r="E66" s="388" t="s">
        <v>9</v>
      </c>
      <c r="F66" s="412" t="str">
        <f t="shared" si="24"/>
        <v>Portugal</v>
      </c>
      <c r="G66" s="438">
        <v>1</v>
      </c>
      <c r="H66" s="388" t="s">
        <v>9</v>
      </c>
      <c r="I66" s="453">
        <v>1</v>
      </c>
      <c r="J66" s="454">
        <v>1</v>
      </c>
      <c r="K66" s="407" t="s">
        <v>82</v>
      </c>
      <c r="L66" s="407" t="s">
        <v>78</v>
      </c>
      <c r="M66" s="407"/>
      <c r="O66" s="458">
        <v>9</v>
      </c>
      <c r="P66" s="877" t="s">
        <v>230</v>
      </c>
      <c r="Q66" s="877"/>
      <c r="R66" s="877"/>
      <c r="S66" s="877"/>
      <c r="T66" s="878"/>
      <c r="V66" s="352" t="s">
        <v>133</v>
      </c>
      <c r="W66" s="352" t="s">
        <v>115</v>
      </c>
      <c r="X66" s="352" t="str">
        <f t="shared" si="11"/>
        <v>Daryl Janmaat (v)</v>
      </c>
      <c r="Y66" s="109">
        <f t="shared" si="13"/>
        <v>5</v>
      </c>
      <c r="Z66" s="352" t="str">
        <f>IF(K66=""," ",VLOOKUP(K66,$T$9:$V$54,3,FALSE))</f>
        <v>Rusland</v>
      </c>
      <c r="AA66" s="352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5</v>
      </c>
      <c r="AG66" s="108">
        <f t="shared" si="16"/>
        <v>0</v>
      </c>
      <c r="AH66" s="108">
        <f t="shared" si="17"/>
        <v>0</v>
      </c>
      <c r="AI66" s="108">
        <f t="shared" si="18"/>
        <v>0</v>
      </c>
      <c r="AJ66" s="108">
        <f t="shared" si="19"/>
        <v>0</v>
      </c>
      <c r="AK66" s="108">
        <f t="shared" si="20"/>
        <v>0</v>
      </c>
      <c r="AL66" s="108">
        <f t="shared" si="21"/>
        <v>5</v>
      </c>
      <c r="AZ66" s="138" t="str">
        <f>Uitslag!P66</f>
        <v>Jonathan de Guzman (m)</v>
      </c>
      <c r="BA66" s="140">
        <f t="shared" si="12"/>
        <v>0</v>
      </c>
      <c r="BB66" s="139">
        <f t="shared" si="22"/>
        <v>0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O67" s="458">
        <v>10</v>
      </c>
      <c r="P67" s="877" t="s">
        <v>216</v>
      </c>
      <c r="Q67" s="877"/>
      <c r="R67" s="877"/>
      <c r="S67" s="877"/>
      <c r="T67" s="878"/>
      <c r="V67" s="352" t="s">
        <v>133</v>
      </c>
      <c r="W67" s="352" t="s">
        <v>118</v>
      </c>
      <c r="X67" s="352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2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85"/>
      <c r="K68" s="353"/>
      <c r="L68" s="353"/>
      <c r="M68" s="353"/>
      <c r="O68" s="458">
        <v>11</v>
      </c>
      <c r="P68" s="877" t="s">
        <v>215</v>
      </c>
      <c r="Q68" s="877"/>
      <c r="R68" s="877"/>
      <c r="S68" s="877"/>
      <c r="T68" s="878"/>
      <c r="V68" s="352" t="s">
        <v>133</v>
      </c>
      <c r="W68" s="352" t="s">
        <v>119</v>
      </c>
      <c r="X68" s="352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3</v>
      </c>
      <c r="BB68" s="139">
        <f t="shared" si="22"/>
        <v>3</v>
      </c>
    </row>
    <row r="69" spans="2:54">
      <c r="B69" s="428" t="s">
        <v>1</v>
      </c>
      <c r="C69" s="429" t="s">
        <v>2</v>
      </c>
      <c r="D69" s="482" t="s">
        <v>3</v>
      </c>
      <c r="E69" s="431"/>
      <c r="F69" s="483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V69" s="352" t="s">
        <v>133</v>
      </c>
      <c r="W69" s="352" t="s">
        <v>121</v>
      </c>
      <c r="X69" s="352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27</v>
      </c>
      <c r="BB69" s="139" t="str">
        <f>IF(AND(BA69&lt;&gt;"",BA69=33),15,"nvt")</f>
        <v>nvt</v>
      </c>
    </row>
    <row r="70" spans="2:54">
      <c r="B70" s="364">
        <v>57</v>
      </c>
      <c r="C70" s="365">
        <v>41824</v>
      </c>
      <c r="D70" s="405" t="str">
        <f>IF(J63="","Winnaar 53",IF(J63=1,D63,F63))</f>
        <v>Frankrijk</v>
      </c>
      <c r="E70" s="367" t="s">
        <v>9</v>
      </c>
      <c r="F70" s="406" t="str">
        <f>IF(J64="","Winnaar 54",IF(J64=1,D64,F64))</f>
        <v>Duitsland</v>
      </c>
      <c r="G70" s="435">
        <v>2</v>
      </c>
      <c r="H70" s="367" t="s">
        <v>9</v>
      </c>
      <c r="I70" s="447">
        <v>2</v>
      </c>
      <c r="J70" s="448">
        <v>1</v>
      </c>
      <c r="K70" s="353"/>
      <c r="L70" s="353"/>
      <c r="M70" s="353"/>
      <c r="V70" s="352" t="s">
        <v>133</v>
      </c>
      <c r="W70" s="352" t="s">
        <v>126</v>
      </c>
      <c r="X70" s="352" t="str">
        <f t="shared" si="11"/>
        <v>Karim Rekik (v)</v>
      </c>
      <c r="Y70" s="109">
        <f>AF70</f>
        <v>0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0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0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Brazilië</v>
      </c>
      <c r="E71" s="379" t="s">
        <v>9</v>
      </c>
      <c r="F71" s="409" t="str">
        <f>IF(J60="","Winnaar 50",IF(J60=1,D60,F60))</f>
        <v>Uruguay</v>
      </c>
      <c r="G71" s="437">
        <v>2</v>
      </c>
      <c r="H71" s="379" t="s">
        <v>9</v>
      </c>
      <c r="I71" s="449">
        <v>1</v>
      </c>
      <c r="J71" s="450">
        <v>1</v>
      </c>
      <c r="K71" s="353"/>
      <c r="L71" s="353"/>
      <c r="M71" s="353"/>
      <c r="V71" s="352" t="s">
        <v>133</v>
      </c>
      <c r="W71" s="352" t="s">
        <v>194</v>
      </c>
      <c r="X71" s="352" t="str">
        <f t="shared" si="11"/>
        <v>Ron Vlaar (v)</v>
      </c>
      <c r="Y71" s="109">
        <f>AF71</f>
        <v>10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10</v>
      </c>
      <c r="AG71" s="108">
        <f>IF(AC71="",0,(IF(G71=AC71,1,0)))</f>
        <v>1</v>
      </c>
      <c r="AH71" s="108">
        <f>IF(AD71="",0,(IF(I71=AD71,1,0)))</f>
        <v>1</v>
      </c>
      <c r="AI71" s="108">
        <f>IF(AND(AG71=1,AH71=1),10,0)</f>
        <v>10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Argentinië</v>
      </c>
      <c r="E72" s="367" t="s">
        <v>9</v>
      </c>
      <c r="F72" s="406" t="str">
        <f>IF(J66="","Winnaar 56",IF(J66=1,D66,F66))</f>
        <v>Rusland</v>
      </c>
      <c r="G72" s="435">
        <v>1</v>
      </c>
      <c r="H72" s="367" t="s">
        <v>9</v>
      </c>
      <c r="I72" s="447">
        <v>0</v>
      </c>
      <c r="J72" s="448">
        <v>1</v>
      </c>
      <c r="K72" s="353"/>
      <c r="L72" s="353"/>
      <c r="M72" s="353"/>
      <c r="V72" s="352" t="s">
        <v>133</v>
      </c>
      <c r="W72" s="352" t="s">
        <v>195</v>
      </c>
      <c r="X72" s="352" t="str">
        <f t="shared" si="11"/>
        <v>John Heitinga (v)</v>
      </c>
      <c r="Y72" s="109">
        <f>AF72</f>
        <v>10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10</v>
      </c>
      <c r="AG72" s="108">
        <f>IF(AC72="",0,(IF(G72=AC72,1,0)))</f>
        <v>1</v>
      </c>
      <c r="AH72" s="108">
        <f>IF(AD72="",0,(IF(I72=AD72,1,0)))</f>
        <v>1</v>
      </c>
      <c r="AI72" s="108">
        <f>IF(AND(AG72=1,AH72=1),10,0)</f>
        <v>10</v>
      </c>
      <c r="AJ72" s="108">
        <f>IF(AND(G72&gt;I72,AC72&gt;AD72),5,0)</f>
        <v>5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Kroatië</v>
      </c>
      <c r="E73" s="388" t="s">
        <v>9</v>
      </c>
      <c r="F73" s="412" t="str">
        <f>IF(J62="","Winnaar 52",IF(J62=1,D62,F62))</f>
        <v>Engeland</v>
      </c>
      <c r="G73" s="438">
        <v>1</v>
      </c>
      <c r="H73" s="388" t="s">
        <v>9</v>
      </c>
      <c r="I73" s="453">
        <v>1</v>
      </c>
      <c r="J73" s="454">
        <v>1</v>
      </c>
      <c r="K73" s="353"/>
      <c r="L73" s="353"/>
      <c r="M73" s="353"/>
      <c r="V73" s="352" t="s">
        <v>133</v>
      </c>
      <c r="W73" s="352" t="s">
        <v>196</v>
      </c>
      <c r="X73" s="352" t="str">
        <f t="shared" si="11"/>
        <v>Urby Emanuelson (v)</v>
      </c>
      <c r="Y73" s="109">
        <f>AF73</f>
        <v>5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5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5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V74" s="352" t="s">
        <v>133</v>
      </c>
      <c r="W74" s="352" t="s">
        <v>197</v>
      </c>
      <c r="X74" s="352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85"/>
      <c r="K75" s="353"/>
      <c r="L75" s="353"/>
      <c r="M75" s="353"/>
      <c r="V75" s="352" t="s">
        <v>133</v>
      </c>
      <c r="W75" s="352" t="s">
        <v>198</v>
      </c>
      <c r="X75" s="352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82" t="s">
        <v>3</v>
      </c>
      <c r="E76" s="431"/>
      <c r="F76" s="483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V76" s="352" t="s">
        <v>133</v>
      </c>
      <c r="W76" s="352" t="s">
        <v>202</v>
      </c>
      <c r="X76" s="352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Frankrijk</v>
      </c>
      <c r="E77" s="367" t="s">
        <v>9</v>
      </c>
      <c r="F77" s="406" t="str">
        <f>IF(J71="","Winnaar 58",IF(J71=1,D71,F71))</f>
        <v>Brazilië</v>
      </c>
      <c r="G77" s="435">
        <v>1</v>
      </c>
      <c r="H77" s="367" t="s">
        <v>9</v>
      </c>
      <c r="I77" s="447">
        <v>1</v>
      </c>
      <c r="J77" s="448">
        <v>2</v>
      </c>
      <c r="K77" s="353"/>
      <c r="L77" s="353"/>
      <c r="M77" s="353"/>
      <c r="V77" s="352" t="s">
        <v>134</v>
      </c>
      <c r="W77" s="352" t="s">
        <v>203</v>
      </c>
      <c r="X77" s="352" t="str">
        <f t="shared" si="11"/>
        <v>Marco van Ginkel (m)</v>
      </c>
      <c r="Y77" s="109">
        <f>AF77</f>
        <v>1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1</v>
      </c>
      <c r="AG77" s="108">
        <f>IF(AC77="",0,(IF(G77=AC77,1,0)))</f>
        <v>0</v>
      </c>
      <c r="AH77" s="108">
        <f>IF(AD77="",0,(IF(I77=AD77,1,0)))</f>
        <v>1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Argentinië</v>
      </c>
      <c r="E78" s="388" t="s">
        <v>9</v>
      </c>
      <c r="F78" s="412" t="str">
        <f>IF(J73="","Winnaar 60",IF(J73=1,D73,F73))</f>
        <v>Kroatië</v>
      </c>
      <c r="G78" s="438">
        <v>1</v>
      </c>
      <c r="H78" s="388" t="s">
        <v>9</v>
      </c>
      <c r="I78" s="453">
        <v>1</v>
      </c>
      <c r="J78" s="454">
        <v>1</v>
      </c>
      <c r="K78" s="353"/>
      <c r="L78" s="353"/>
      <c r="M78" s="353"/>
      <c r="V78" s="352" t="s">
        <v>134</v>
      </c>
      <c r="W78" s="352" t="s">
        <v>199</v>
      </c>
      <c r="X78" s="352" t="str">
        <f t="shared" si="11"/>
        <v>Leroy Fer (m)</v>
      </c>
      <c r="Y78" s="109">
        <f>AF78</f>
        <v>5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5</v>
      </c>
      <c r="AG78" s="108">
        <f>IF(AC78="",0,(IF(G78=AC78,1,0)))</f>
        <v>0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5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V79" s="352" t="s">
        <v>134</v>
      </c>
      <c r="W79" s="352" t="s">
        <v>114</v>
      </c>
      <c r="X79" s="352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85"/>
      <c r="K80" s="353"/>
      <c r="L80" s="353"/>
      <c r="M80" s="353"/>
      <c r="V80" s="352" t="s">
        <v>134</v>
      </c>
      <c r="W80" s="352" t="s">
        <v>117</v>
      </c>
      <c r="X80" s="352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82" t="s">
        <v>3</v>
      </c>
      <c r="E81" s="431"/>
      <c r="F81" s="483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V81" s="352" t="s">
        <v>134</v>
      </c>
      <c r="W81" s="352" t="s">
        <v>120</v>
      </c>
      <c r="X81" s="352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Frankrijk</v>
      </c>
      <c r="E82" s="355" t="s">
        <v>9</v>
      </c>
      <c r="F82" s="415" t="str">
        <f>IF(J78="","Verliezer 62",IF(J78=1,F78,D78))</f>
        <v>Kroatië</v>
      </c>
      <c r="G82" s="455">
        <v>2</v>
      </c>
      <c r="H82" s="355" t="s">
        <v>9</v>
      </c>
      <c r="I82" s="456">
        <v>2</v>
      </c>
      <c r="J82" s="457">
        <v>1</v>
      </c>
      <c r="K82" s="353"/>
      <c r="L82" s="353"/>
      <c r="M82" s="353"/>
      <c r="V82" s="352" t="s">
        <v>134</v>
      </c>
      <c r="W82" s="352" t="s">
        <v>125</v>
      </c>
      <c r="X82" s="35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V83" s="352" t="s">
        <v>134</v>
      </c>
      <c r="W83" s="352" t="s">
        <v>136</v>
      </c>
      <c r="X83" s="352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85"/>
      <c r="K84" s="353"/>
      <c r="L84" s="353"/>
      <c r="M84" s="353"/>
      <c r="V84" s="352" t="s">
        <v>134</v>
      </c>
      <c r="W84" s="352" t="s">
        <v>137</v>
      </c>
      <c r="X84" s="352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82" t="s">
        <v>3</v>
      </c>
      <c r="E85" s="431"/>
      <c r="F85" s="483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V85" s="352" t="s">
        <v>134</v>
      </c>
      <c r="W85" s="352" t="s">
        <v>138</v>
      </c>
      <c r="X85" s="352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Brazilië</v>
      </c>
      <c r="E86" s="355" t="s">
        <v>9</v>
      </c>
      <c r="F86" s="415" t="str">
        <f>IF(J78="","Winnaar 62",IF(J78=1,D78,F78))</f>
        <v>Argentinië</v>
      </c>
      <c r="G86" s="455">
        <v>1</v>
      </c>
      <c r="H86" s="355" t="s">
        <v>9</v>
      </c>
      <c r="I86" s="456">
        <v>1</v>
      </c>
      <c r="J86" s="457">
        <v>2</v>
      </c>
      <c r="K86" s="353"/>
      <c r="L86" s="353"/>
      <c r="M86" s="353"/>
      <c r="V86" s="352" t="s">
        <v>134</v>
      </c>
      <c r="W86" s="352" t="s">
        <v>139</v>
      </c>
      <c r="X86" s="352" t="str">
        <f t="shared" si="11"/>
        <v>Nigel de Jong (m)</v>
      </c>
      <c r="Y86" s="109">
        <f>AF86</f>
        <v>5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5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5</v>
      </c>
    </row>
    <row r="87" spans="2:50">
      <c r="B87" s="353"/>
      <c r="C87" s="129"/>
      <c r="D87" s="392"/>
      <c r="E87" s="353"/>
      <c r="F87" s="392"/>
      <c r="G87" s="353"/>
      <c r="H87" s="353"/>
      <c r="I87" s="353"/>
      <c r="J87" s="353"/>
      <c r="K87" s="353"/>
      <c r="L87" s="353"/>
      <c r="M87" s="353"/>
      <c r="V87" s="352" t="s">
        <v>135</v>
      </c>
      <c r="W87" s="352" t="s">
        <v>205</v>
      </c>
      <c r="X87" s="352" t="str">
        <f t="shared" si="11"/>
        <v>Ricky van Wolfswinkel (a)</v>
      </c>
      <c r="AP87" s="136" t="s">
        <v>102</v>
      </c>
    </row>
    <row r="88" spans="2:50">
      <c r="B88" s="353"/>
      <c r="C88" s="129"/>
      <c r="D88" s="392"/>
      <c r="E88" s="353"/>
      <c r="F88" s="392"/>
      <c r="G88" s="353"/>
      <c r="H88" s="353"/>
      <c r="I88" s="353"/>
      <c r="J88" s="353"/>
      <c r="K88" s="353"/>
      <c r="L88" s="353"/>
      <c r="M88" s="353"/>
      <c r="V88" s="352" t="s">
        <v>135</v>
      </c>
      <c r="W88" s="352" t="s">
        <v>204</v>
      </c>
      <c r="X88" s="352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458"/>
    </row>
    <row r="89" spans="2:50" ht="20.25">
      <c r="C89" s="874" t="s">
        <v>101</v>
      </c>
      <c r="D89" s="871"/>
      <c r="E89" s="873" t="str">
        <f>IF(J86=1,D86,IF(J86=2,F86,"Wie zal het worden?"))</f>
        <v>Argentinië</v>
      </c>
      <c r="F89" s="873"/>
      <c r="G89" s="873"/>
      <c r="H89" s="873"/>
      <c r="I89" s="873"/>
      <c r="J89" s="873"/>
      <c r="K89" s="353"/>
      <c r="L89" s="353"/>
      <c r="M89" s="353"/>
      <c r="V89" s="352" t="s">
        <v>135</v>
      </c>
      <c r="W89" s="352" t="s">
        <v>201</v>
      </c>
      <c r="X89" s="352" t="str">
        <f t="shared" si="11"/>
        <v>Jermain Lens (a)</v>
      </c>
      <c r="AP89" s="109">
        <f>AU89</f>
        <v>15</v>
      </c>
      <c r="AQ89" s="131">
        <v>1</v>
      </c>
      <c r="AR89" s="904" t="str">
        <f>Uitslag!E89</f>
        <v>Duitsland</v>
      </c>
      <c r="AS89" s="905"/>
      <c r="AT89" s="906"/>
      <c r="AU89" s="352">
        <f>SUM(AV89:AX89)</f>
        <v>15</v>
      </c>
      <c r="AV89" s="352">
        <f>IF(AR89=0,0,IF(E89=AR89,50,0))</f>
        <v>0</v>
      </c>
      <c r="AW89" s="352">
        <f>IF(E89=0,0,IF(OR(E89=AR90),15,0))</f>
        <v>15</v>
      </c>
      <c r="AX89" s="352">
        <f>IF(E89=0,0,IF(OR(E89=AR91,E89=AR92),5,0))</f>
        <v>0</v>
      </c>
    </row>
    <row r="90" spans="2:50">
      <c r="C90" s="870">
        <v>2</v>
      </c>
      <c r="D90" s="871"/>
      <c r="E90" s="872" t="str">
        <f>IF(J86=2,D86,IF(J86=1,F86,"Wie wordt 2de?"))</f>
        <v>Brazilië</v>
      </c>
      <c r="F90" s="872"/>
      <c r="G90" s="872"/>
      <c r="H90" s="872"/>
      <c r="I90" s="872"/>
      <c r="J90" s="872"/>
      <c r="V90" s="352" t="s">
        <v>135</v>
      </c>
      <c r="W90" s="352" t="s">
        <v>200</v>
      </c>
      <c r="X90" s="352" t="str">
        <f t="shared" si="11"/>
        <v>Dirk Kuyt (a)</v>
      </c>
      <c r="AP90" s="109">
        <f>AU90</f>
        <v>5</v>
      </c>
      <c r="AQ90" s="131">
        <v>2</v>
      </c>
      <c r="AR90" s="904" t="str">
        <f>Uitslag!E90</f>
        <v>Argentinië</v>
      </c>
      <c r="AS90" s="905"/>
      <c r="AT90" s="906"/>
      <c r="AU90" s="352">
        <f>SUM(AV90:AX90)</f>
        <v>5</v>
      </c>
      <c r="AV90" s="352">
        <f>IF(AR90=0,0,IF(AR90=E90,25,0))</f>
        <v>0</v>
      </c>
      <c r="AW90" s="352">
        <f>IF(E90=0,0,IF(OR(E90=AR89,),15,0))</f>
        <v>0</v>
      </c>
      <c r="AX90" s="352">
        <f>IF(E90=0,0,IF(OR(E90=AR91,E90=AR92),5,0))</f>
        <v>5</v>
      </c>
    </row>
    <row r="91" spans="2:50">
      <c r="C91" s="870">
        <v>3</v>
      </c>
      <c r="D91" s="871"/>
      <c r="E91" s="872" t="str">
        <f>IF(J82=1,D82,IF(J82=2,F82,"Wie wordt 3de?"))</f>
        <v>Frankrijk</v>
      </c>
      <c r="F91" s="872"/>
      <c r="G91" s="872"/>
      <c r="H91" s="872"/>
      <c r="I91" s="872"/>
      <c r="J91" s="872"/>
      <c r="V91" s="352" t="s">
        <v>135</v>
      </c>
      <c r="W91" s="352" t="s">
        <v>128</v>
      </c>
      <c r="X91" s="352" t="str">
        <f t="shared" si="11"/>
        <v>Jürgen Locadia (a)</v>
      </c>
      <c r="AP91" s="109">
        <f>AU91</f>
        <v>0</v>
      </c>
      <c r="AQ91" s="131">
        <v>3</v>
      </c>
      <c r="AR91" s="904" t="str">
        <f>Uitslag!E91</f>
        <v>Nederland</v>
      </c>
      <c r="AS91" s="905"/>
      <c r="AT91" s="906"/>
      <c r="AU91" s="352">
        <f>SUM(AV91:AX91)</f>
        <v>0</v>
      </c>
      <c r="AV91" s="352">
        <f>IF(AR91=0,0,IF(AR91=E91,15,0))</f>
        <v>0</v>
      </c>
      <c r="AW91" s="352">
        <f>IF(E91=0,0,IF(OR(E91=AR92),10,0))</f>
        <v>0</v>
      </c>
      <c r="AX91" s="352">
        <f>IF(E91=0,0,IF(OR(E91=AR89,E91=AR90),5,0))</f>
        <v>0</v>
      </c>
    </row>
    <row r="92" spans="2:50">
      <c r="C92" s="870">
        <v>4</v>
      </c>
      <c r="D92" s="871"/>
      <c r="E92" s="872" t="str">
        <f>IF(J82=2,D82,IF(J82=1,F82,"Wie wordt 4de?"))</f>
        <v>Kroatië</v>
      </c>
      <c r="F92" s="872"/>
      <c r="G92" s="872"/>
      <c r="H92" s="872"/>
      <c r="I92" s="872"/>
      <c r="J92" s="872"/>
      <c r="V92" s="352" t="s">
        <v>135</v>
      </c>
      <c r="W92" s="352" t="s">
        <v>127</v>
      </c>
      <c r="X92" s="352" t="str">
        <f t="shared" si="11"/>
        <v>Memphis Depay (a)</v>
      </c>
      <c r="AP92" s="109">
        <f>AU92</f>
        <v>0</v>
      </c>
      <c r="AQ92" s="131">
        <v>4</v>
      </c>
      <c r="AR92" s="904" t="str">
        <f>Uitslag!E92</f>
        <v>Brazilië</v>
      </c>
      <c r="AS92" s="905"/>
      <c r="AT92" s="906"/>
      <c r="AU92" s="352">
        <f>SUM(AV92:AX92)</f>
        <v>0</v>
      </c>
      <c r="AV92" s="352">
        <f>IF(AR92=0,0,IF(AR92=E92,15,0))</f>
        <v>0</v>
      </c>
      <c r="AW92" s="352">
        <f>IF(E92=0,0,IF(OR(E92=AR91,),10,0))</f>
        <v>0</v>
      </c>
      <c r="AX92" s="352">
        <f>IF(E92=0,0,IF(OR(E92=AR89,E92=AR90),5,0))</f>
        <v>0</v>
      </c>
    </row>
    <row r="93" spans="2:50" ht="15.75" thickBot="1">
      <c r="V93" s="352" t="s">
        <v>135</v>
      </c>
      <c r="W93" s="352" t="s">
        <v>123</v>
      </c>
      <c r="X93" s="352" t="str">
        <f t="shared" si="11"/>
        <v>Quincy Promes (a)</v>
      </c>
      <c r="AS93" s="132"/>
      <c r="AU93" s="133">
        <f>SUM(AU89:AU92)</f>
        <v>20</v>
      </c>
    </row>
    <row r="94" spans="2:50" ht="15.75" thickTop="1">
      <c r="V94" s="352" t="s">
        <v>135</v>
      </c>
      <c r="W94" s="352" t="s">
        <v>122</v>
      </c>
      <c r="X94" s="352" t="str">
        <f t="shared" si="11"/>
        <v>Luc Castaignos (a)</v>
      </c>
    </row>
    <row r="95" spans="2:50">
      <c r="V95" s="352" t="s">
        <v>135</v>
      </c>
      <c r="W95" s="352" t="s">
        <v>113</v>
      </c>
      <c r="X95" s="352" t="str">
        <f t="shared" si="11"/>
        <v>Jean-Paul Boëtius (a)</v>
      </c>
    </row>
    <row r="96" spans="2:50">
      <c r="V96" s="352" t="s">
        <v>135</v>
      </c>
      <c r="W96" s="352" t="s">
        <v>129</v>
      </c>
      <c r="X96" s="352" t="str">
        <f t="shared" si="11"/>
        <v>Luciano Narsingh (a)</v>
      </c>
    </row>
    <row r="97" spans="22:24">
      <c r="V97" s="352" t="s">
        <v>135</v>
      </c>
      <c r="W97" s="352" t="s">
        <v>130</v>
      </c>
      <c r="X97" s="352" t="str">
        <f t="shared" si="11"/>
        <v>Robin van Persie (a)</v>
      </c>
    </row>
    <row r="98" spans="22:24">
      <c r="V98" s="352" t="s">
        <v>135</v>
      </c>
      <c r="W98" s="352" t="s">
        <v>131</v>
      </c>
      <c r="X98" s="352" t="str">
        <f t="shared" si="11"/>
        <v>Arjen Robben (a)</v>
      </c>
    </row>
  </sheetData>
  <mergeCells count="36">
    <mergeCell ref="C91:D91"/>
    <mergeCell ref="E91:J91"/>
    <mergeCell ref="AR91:AT91"/>
    <mergeCell ref="C92:D92"/>
    <mergeCell ref="E92:J92"/>
    <mergeCell ref="AR92:AT92"/>
    <mergeCell ref="C89:D89"/>
    <mergeCell ref="E89:J89"/>
    <mergeCell ref="AR89:AT89"/>
    <mergeCell ref="C90:D90"/>
    <mergeCell ref="E90:J90"/>
    <mergeCell ref="AR90:AT90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</mergeCells>
  <conditionalFormatting sqref="AO9:AO12 AO15:AO18 AO21:AO24 AO27:AO30 AO33:AO36 AO39:AO42 AO45:AO48 AO51:AO54">
    <cfRule type="cellIs" dxfId="8" priority="3" operator="equal">
      <formula>10</formula>
    </cfRule>
  </conditionalFormatting>
  <conditionalFormatting sqref="P58:T58">
    <cfRule type="duplicateValues" dxfId="7" priority="2"/>
  </conditionalFormatting>
  <conditionalFormatting sqref="P58:T68">
    <cfRule type="duplicateValues" dxfId="6" priority="1"/>
  </conditionalFormatting>
  <dataValidations count="10">
    <dataValidation type="list" allowBlank="1" showInputMessage="1" showErrorMessage="1" sqref="T51:T54">
      <formula1>$W$51:$W$54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P58:P68">
      <formula1>$X$58:$X$98</formula1>
    </dataValidation>
  </dataValidation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>
  <dimension ref="B1:BB98"/>
  <sheetViews>
    <sheetView topLeftCell="A43" zoomScale="70" zoomScaleNormal="70" workbookViewId="0">
      <selection activeCell="P58" sqref="P58:T68"/>
    </sheetView>
  </sheetViews>
  <sheetFormatPr defaultRowHeight="15" outlineLevelCol="2"/>
  <cols>
    <col min="1" max="1" width="3.42578125" style="352" customWidth="1"/>
    <col min="2" max="2" width="3.5703125" style="352" bestFit="1" customWidth="1"/>
    <col min="3" max="3" width="11.5703125" style="123" bestFit="1" customWidth="1"/>
    <col min="4" max="4" width="19.7109375" style="352" bestFit="1" customWidth="1"/>
    <col min="5" max="5" width="3.42578125" style="352" customWidth="1"/>
    <col min="6" max="6" width="19.7109375" style="352" bestFit="1" customWidth="1"/>
    <col min="7" max="7" width="6.7109375" style="352" customWidth="1"/>
    <col min="8" max="8" width="1.5703125" style="352" bestFit="1" customWidth="1"/>
    <col min="9" max="9" width="6.7109375" style="352" customWidth="1"/>
    <col min="10" max="10" width="6.85546875" style="352" bestFit="1" customWidth="1"/>
    <col min="11" max="13" width="9.140625" style="352" hidden="1" customWidth="1" outlineLevel="1"/>
    <col min="14" max="14" width="11.42578125" style="352" bestFit="1" customWidth="1" collapsed="1"/>
    <col min="15" max="15" width="14.7109375" style="352" bestFit="1" customWidth="1"/>
    <col min="16" max="16" width="12.28515625" style="352" bestFit="1" customWidth="1"/>
    <col min="17" max="17" width="8.140625" style="352" bestFit="1" customWidth="1"/>
    <col min="18" max="18" width="7.7109375" style="352" bestFit="1" customWidth="1"/>
    <col min="19" max="19" width="9.140625" style="352"/>
    <col min="20" max="20" width="8.5703125" style="352" bestFit="1" customWidth="1"/>
    <col min="21" max="21" width="9.140625" style="352"/>
    <col min="22" max="23" width="9.140625" style="352" hidden="1" customWidth="1" outlineLevel="1"/>
    <col min="24" max="24" width="2" style="352" hidden="1" customWidth="1" outlineLevel="1"/>
    <col min="25" max="25" width="12.28515625" style="352" bestFit="1" customWidth="1" collapsed="1"/>
    <col min="26" max="27" width="12.28515625" style="352" hidden="1" customWidth="1" outlineLevel="1"/>
    <col min="28" max="28" width="4.7109375" style="352" hidden="1" customWidth="1" outlineLevel="1"/>
    <col min="29" max="38" width="9.140625" style="352" hidden="1" customWidth="1" outlineLevel="1"/>
    <col min="39" max="39" width="7.42578125" style="352" bestFit="1" customWidth="1" collapsed="1"/>
    <col min="40" max="40" width="19.7109375" style="352" hidden="1" customWidth="1" outlineLevel="1"/>
    <col min="41" max="41" width="9.140625" style="352" hidden="1" customWidth="1" outlineLevel="1"/>
    <col min="42" max="42" width="9.140625" style="352" collapsed="1"/>
    <col min="43" max="49" width="9.140625" style="352" hidden="1" customWidth="1" outlineLevel="2"/>
    <col min="50" max="50" width="11.5703125" style="352" hidden="1" customWidth="1" outlineLevel="2"/>
    <col min="51" max="51" width="11.85546875" style="352" hidden="1" customWidth="1" outlineLevel="1" collapsed="1"/>
    <col min="52" max="52" width="9.42578125" style="352" hidden="1" customWidth="1" outlineLevel="1"/>
    <col min="53" max="53" width="10.5703125" style="352" hidden="1" customWidth="1" outlineLevel="1"/>
    <col min="54" max="54" width="9.140625" style="352" collapsed="1"/>
    <col min="55" max="55" width="11.85546875" style="352" bestFit="1" customWidth="1"/>
    <col min="56" max="16384" width="9.140625" style="352"/>
  </cols>
  <sheetData>
    <row r="1" spans="2:54">
      <c r="N1" s="112" t="s">
        <v>143</v>
      </c>
      <c r="O1" s="142" t="s">
        <v>142</v>
      </c>
      <c r="P1" s="142" t="s">
        <v>146</v>
      </c>
      <c r="Q1" s="142" t="s">
        <v>147</v>
      </c>
      <c r="R1" s="142" t="s">
        <v>105</v>
      </c>
      <c r="S1" s="142" t="s">
        <v>141</v>
      </c>
      <c r="T1" s="142" t="s">
        <v>107</v>
      </c>
      <c r="U1" s="351" t="s">
        <v>262</v>
      </c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N1" s="136"/>
      <c r="AO1" s="136"/>
      <c r="AQ1" s="136"/>
      <c r="AR1" s="136"/>
      <c r="AS1" s="136"/>
      <c r="AT1" s="136"/>
      <c r="AU1" s="136"/>
      <c r="AV1" s="136"/>
      <c r="AW1" s="136"/>
      <c r="AX1" s="136"/>
      <c r="AY1" s="137"/>
      <c r="AZ1" s="137"/>
      <c r="BA1" s="137"/>
    </row>
    <row r="2" spans="2:54">
      <c r="N2" s="112" t="s">
        <v>144</v>
      </c>
      <c r="O2" s="142" t="s">
        <v>45</v>
      </c>
      <c r="P2" s="142" t="s">
        <v>103</v>
      </c>
      <c r="Q2" s="142" t="s">
        <v>104</v>
      </c>
      <c r="R2" s="142"/>
      <c r="S2" s="142"/>
      <c r="T2" s="142" t="s">
        <v>106</v>
      </c>
      <c r="U2" s="351" t="s">
        <v>263</v>
      </c>
      <c r="V2" s="108"/>
      <c r="W2" s="108"/>
      <c r="X2" s="108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N2" s="142"/>
      <c r="AO2" s="142"/>
      <c r="AQ2" s="142"/>
      <c r="AR2" s="142"/>
      <c r="AS2" s="142"/>
      <c r="AT2" s="142"/>
      <c r="AU2" s="142"/>
      <c r="AV2" s="142"/>
      <c r="AW2" s="142"/>
      <c r="AX2" s="142"/>
      <c r="AY2" s="143"/>
      <c r="AZ2" s="143"/>
      <c r="BA2" s="143"/>
    </row>
    <row r="3" spans="2:54">
      <c r="C3" s="134" t="s">
        <v>145</v>
      </c>
      <c r="D3" s="335" t="s">
        <v>336</v>
      </c>
      <c r="E3" s="335"/>
      <c r="F3" s="335"/>
      <c r="N3" s="352" t="str">
        <f>D3</f>
        <v>Jonas S. (introducee Robért)</v>
      </c>
      <c r="O3" s="144">
        <f>SUM(P3:S3)</f>
        <v>342</v>
      </c>
      <c r="P3" s="109">
        <f>SUM(Y8:Y86)</f>
        <v>180</v>
      </c>
      <c r="Q3" s="109">
        <f>SUM(AM4:AM55)</f>
        <v>120</v>
      </c>
      <c r="R3" s="109">
        <f>SUM(AP89:AP92)</f>
        <v>15</v>
      </c>
      <c r="S3" s="109">
        <f>SUM(BB58:BB69)</f>
        <v>27</v>
      </c>
      <c r="T3" s="109">
        <f>COUNTIF(AF8:AF86,10)</f>
        <v>4</v>
      </c>
      <c r="U3" s="109" t="str">
        <f>E89</f>
        <v>Brazilië</v>
      </c>
      <c r="V3" s="108"/>
      <c r="W3" s="108"/>
      <c r="X3" s="108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N3" s="143"/>
      <c r="AO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</row>
    <row r="5" spans="2:54" ht="15.75" thickBot="1"/>
    <row r="6" spans="2:54">
      <c r="B6" s="865" t="s">
        <v>0</v>
      </c>
      <c r="C6" s="866"/>
      <c r="D6" s="866"/>
      <c r="E6" s="866"/>
      <c r="F6" s="866"/>
      <c r="G6" s="866"/>
      <c r="H6" s="866"/>
      <c r="I6" s="866"/>
      <c r="J6" s="879"/>
      <c r="K6" s="353"/>
      <c r="L6" s="353"/>
      <c r="O6" s="392"/>
      <c r="P6" s="393"/>
      <c r="Q6" s="393"/>
      <c r="R6" s="393"/>
      <c r="S6" s="393"/>
      <c r="T6" s="393"/>
      <c r="U6" s="392"/>
      <c r="V6" s="392"/>
      <c r="W6" s="392"/>
      <c r="Y6" s="112" t="s">
        <v>99</v>
      </c>
      <c r="AM6" s="112" t="s">
        <v>100</v>
      </c>
      <c r="AP6" s="136" t="s">
        <v>102</v>
      </c>
      <c r="BB6" s="136" t="s">
        <v>141</v>
      </c>
    </row>
    <row r="7" spans="2:54" ht="15.75" thickBot="1">
      <c r="B7" s="416" t="s">
        <v>1</v>
      </c>
      <c r="C7" s="417" t="s">
        <v>2</v>
      </c>
      <c r="D7" s="486" t="s">
        <v>3</v>
      </c>
      <c r="E7" s="419"/>
      <c r="F7" s="487" t="s">
        <v>4</v>
      </c>
      <c r="G7" s="880" t="s">
        <v>5</v>
      </c>
      <c r="H7" s="881"/>
      <c r="I7" s="882"/>
      <c r="J7" s="421" t="s">
        <v>6</v>
      </c>
      <c r="K7" s="356" t="s">
        <v>7</v>
      </c>
      <c r="L7" s="356" t="s">
        <v>7</v>
      </c>
      <c r="O7" s="353"/>
      <c r="P7" s="393"/>
      <c r="Q7" s="393"/>
      <c r="R7" s="393"/>
      <c r="S7" s="393"/>
      <c r="T7" s="393"/>
      <c r="U7" s="353"/>
      <c r="V7" s="353"/>
      <c r="W7" s="353"/>
      <c r="Y7" s="113" t="s">
        <v>91</v>
      </c>
      <c r="AC7" s="108" t="s">
        <v>92</v>
      </c>
      <c r="AD7" s="108"/>
      <c r="AF7" s="108" t="s">
        <v>91</v>
      </c>
      <c r="AG7" s="108" t="s">
        <v>93</v>
      </c>
      <c r="AH7" s="108" t="s">
        <v>94</v>
      </c>
      <c r="AI7" s="108" t="s">
        <v>95</v>
      </c>
      <c r="AJ7" s="108" t="s">
        <v>96</v>
      </c>
      <c r="AK7" s="108" t="s">
        <v>97</v>
      </c>
      <c r="AL7" s="108" t="s">
        <v>98</v>
      </c>
      <c r="AM7" s="114" t="s">
        <v>91</v>
      </c>
      <c r="AP7" s="458"/>
      <c r="BB7" s="142"/>
    </row>
    <row r="8" spans="2:54" ht="15.75" thickBot="1">
      <c r="B8" s="357">
        <v>1</v>
      </c>
      <c r="C8" s="358">
        <v>41802</v>
      </c>
      <c r="D8" s="359" t="s">
        <v>8</v>
      </c>
      <c r="E8" s="360" t="s">
        <v>9</v>
      </c>
      <c r="F8" s="361" t="s">
        <v>10</v>
      </c>
      <c r="G8" s="434">
        <v>2</v>
      </c>
      <c r="H8" s="360" t="s">
        <v>9</v>
      </c>
      <c r="I8" s="484">
        <v>0</v>
      </c>
      <c r="J8" s="362">
        <f>IF(I8="","",IF(G8&gt;I8,1,IF(G8&lt;I8,2,3)))</f>
        <v>1</v>
      </c>
      <c r="K8" s="363">
        <f>IF(I8="","",IF($G8&gt;$I8,3,IF($G8=$I8,1,0)))</f>
        <v>3</v>
      </c>
      <c r="L8" s="363">
        <f>IF(I8="","",IF($G8&lt;$I8,3,IF($G8=$I8,1,0)))</f>
        <v>0</v>
      </c>
      <c r="O8" s="422" t="s">
        <v>41</v>
      </c>
      <c r="P8" s="423" t="s">
        <v>42</v>
      </c>
      <c r="Q8" s="423" t="s">
        <v>43</v>
      </c>
      <c r="R8" s="424" t="s">
        <v>44</v>
      </c>
      <c r="S8" s="425" t="s">
        <v>45</v>
      </c>
      <c r="T8" s="426" t="s">
        <v>46</v>
      </c>
      <c r="U8" s="392"/>
      <c r="V8" s="392"/>
      <c r="W8" s="392"/>
      <c r="Y8" s="109">
        <f>AF8</f>
        <v>5</v>
      </c>
      <c r="AC8" s="110">
        <f>IF((Uitslag!G8=""),"",(Uitslag!G8))</f>
        <v>3</v>
      </c>
      <c r="AD8" s="111">
        <f>IF((Uitslag!I8=""),"",(Uitslag!I8))</f>
        <v>1</v>
      </c>
      <c r="AF8" s="108">
        <f>IF(OR(AC8="",AD8=""),0,(IF(SUM(AG8:AL8)&gt;10,10,SUM(AG8:AL8))))</f>
        <v>5</v>
      </c>
      <c r="AG8" s="108">
        <f t="shared" ref="AG8:AG55" si="0">IF(AC8="",0,(IF(G8=AC8,1,0)))</f>
        <v>0</v>
      </c>
      <c r="AH8" s="108">
        <f t="shared" ref="AH8:AH55" si="1">IF(AD8="",0,(IF(I8=AD8,1,0)))</f>
        <v>0</v>
      </c>
      <c r="AI8" s="108">
        <f>IF(AND(AG8=1,AH8=1),10,0)</f>
        <v>0</v>
      </c>
      <c r="AJ8" s="108">
        <f t="shared" ref="AJ8:AJ55" si="2">IF(AND(G8&gt;I8,AC8&gt;AD8),5,0)</f>
        <v>5</v>
      </c>
      <c r="AK8" s="108">
        <f t="shared" ref="AK8:AK55" si="3">IF(AND(G8&lt;I8,AC8&lt;AD8),5,0)</f>
        <v>0</v>
      </c>
      <c r="AL8" s="108">
        <f t="shared" ref="AL8:AL55" si="4">IF(AND(G8=I8,AC8=AD8),5,0)</f>
        <v>0</v>
      </c>
      <c r="AN8" s="42" t="s">
        <v>41</v>
      </c>
      <c r="AO8" s="43" t="s">
        <v>46</v>
      </c>
    </row>
    <row r="9" spans="2:54" ht="15.75" thickBot="1">
      <c r="B9" s="364">
        <v>2</v>
      </c>
      <c r="C9" s="365">
        <v>41803</v>
      </c>
      <c r="D9" s="366" t="s">
        <v>11</v>
      </c>
      <c r="E9" s="367" t="s">
        <v>9</v>
      </c>
      <c r="F9" s="368" t="s">
        <v>12</v>
      </c>
      <c r="G9" s="435">
        <v>2</v>
      </c>
      <c r="H9" s="367" t="s">
        <v>9</v>
      </c>
      <c r="I9" s="440">
        <v>1</v>
      </c>
      <c r="J9" s="369">
        <f t="shared" ref="J9:J55" si="5">IF(I9="","",IF(G9&gt;I9,1,IF(G9&lt;I9,2,3)))</f>
        <v>1</v>
      </c>
      <c r="K9" s="363">
        <f t="shared" ref="K9:K55" si="6">IF(I9="","",IF($G9&gt;$I9,3,IF($G9=$I9,1,0)))</f>
        <v>3</v>
      </c>
      <c r="L9" s="363">
        <f t="shared" ref="L9:L55" si="7">IF(I9="","",IF($G9&lt;$I9,3,IF($G9=$I9,1,0)))</f>
        <v>0</v>
      </c>
      <c r="O9" s="394" t="s">
        <v>8</v>
      </c>
      <c r="P9" s="395">
        <f>SUMIF($D$8:$D$55,$O9,$G$8:$G$55)+SUMIF($F$8:$F$55,$O9,$I$8:$I$55)</f>
        <v>7</v>
      </c>
      <c r="Q9" s="395">
        <f>SUMIF($D$8:$D$55,$O9,$I$8:$I$55)+SUMIF($F$8:$F$55,$O9,$G$8:$G$55)</f>
        <v>0</v>
      </c>
      <c r="R9" s="396">
        <f>P9-Q9</f>
        <v>7</v>
      </c>
      <c r="S9" s="397">
        <f>SUMIF($D$8:$D$55,$O9,$K$8:$K$55)+SUMIF($F$8:$F$55,$O9,$L$8:$L$55)</f>
        <v>9</v>
      </c>
      <c r="T9" s="444" t="s">
        <v>48</v>
      </c>
      <c r="U9" s="392"/>
      <c r="V9" s="392" t="str">
        <f>O9</f>
        <v>Brazilië</v>
      </c>
      <c r="W9" s="392" t="s">
        <v>48</v>
      </c>
      <c r="Y9" s="109">
        <f t="shared" ref="Y9:Y55" si="8">AF9</f>
        <v>5</v>
      </c>
      <c r="AC9" s="110">
        <f>IF((Uitslag!G9=""),"",(Uitslag!G9))</f>
        <v>1</v>
      </c>
      <c r="AD9" s="111">
        <f>IF((Uitslag!I9=""),"",(Uitslag!I9))</f>
        <v>0</v>
      </c>
      <c r="AF9" s="108">
        <f t="shared" ref="AF9:AF55" si="9">IF(OR(AC9="",AD9=""),0,(IF(SUM(AG9:AL9)&gt;10,10,SUM(AG9:AL9))))</f>
        <v>5</v>
      </c>
      <c r="AG9" s="108">
        <f t="shared" si="0"/>
        <v>0</v>
      </c>
      <c r="AH9" s="108">
        <f t="shared" si="1"/>
        <v>0</v>
      </c>
      <c r="AI9" s="108">
        <f t="shared" ref="AI9:AI55" si="10">IF(AND(AG9=1,AH9=1),10,0)</f>
        <v>0</v>
      </c>
      <c r="AJ9" s="108">
        <f t="shared" si="2"/>
        <v>5</v>
      </c>
      <c r="AK9" s="108">
        <f t="shared" si="3"/>
        <v>0</v>
      </c>
      <c r="AL9" s="108">
        <f t="shared" si="4"/>
        <v>0</v>
      </c>
      <c r="AM9" s="120">
        <f>AO9</f>
        <v>10</v>
      </c>
      <c r="AN9" s="116" t="s">
        <v>8</v>
      </c>
      <c r="AO9" s="115">
        <f>IF(Uitslag!T9="",0,IF(T9=Uitslag!T9,10,0))</f>
        <v>10</v>
      </c>
    </row>
    <row r="10" spans="2:54" ht="15.75" thickBot="1">
      <c r="B10" s="370">
        <v>3</v>
      </c>
      <c r="C10" s="371">
        <v>41803</v>
      </c>
      <c r="D10" s="372" t="s">
        <v>13</v>
      </c>
      <c r="E10" s="373" t="s">
        <v>9</v>
      </c>
      <c r="F10" s="374" t="s">
        <v>14</v>
      </c>
      <c r="G10" s="436">
        <v>3</v>
      </c>
      <c r="H10" s="373" t="s">
        <v>9</v>
      </c>
      <c r="I10" s="441">
        <v>1</v>
      </c>
      <c r="J10" s="375">
        <f t="shared" si="5"/>
        <v>1</v>
      </c>
      <c r="K10" s="363">
        <f t="shared" si="6"/>
        <v>3</v>
      </c>
      <c r="L10" s="363">
        <f t="shared" si="7"/>
        <v>0</v>
      </c>
      <c r="O10" s="398" t="s">
        <v>10</v>
      </c>
      <c r="P10" s="399">
        <f>SUMIF($D$8:$D$55,$O10,$G$8:$G$55)+SUMIF($F$8:$F$55,$O10,$I$8:$I$55)</f>
        <v>4</v>
      </c>
      <c r="Q10" s="399">
        <f>SUMIF($D$8:$D$55,$O10,$I$8:$I$55)+SUMIF($F$8:$F$55,$O10,$G$8:$G$55)</f>
        <v>4</v>
      </c>
      <c r="R10" s="399">
        <f>P10-Q10</f>
        <v>0</v>
      </c>
      <c r="S10" s="400">
        <f>SUMIF($D$8:$D$55,$O10,$K$8:$K$55)+SUMIF($F$8:$F$55,$O10,$L$8:$L$55)</f>
        <v>6</v>
      </c>
      <c r="T10" s="445" t="s">
        <v>49</v>
      </c>
      <c r="U10" s="392"/>
      <c r="V10" s="392" t="str">
        <f>O10</f>
        <v>Kroatië</v>
      </c>
      <c r="W10" s="392" t="s">
        <v>49</v>
      </c>
      <c r="Y10" s="109">
        <f t="shared" si="8"/>
        <v>0</v>
      </c>
      <c r="AC10" s="110">
        <f>IF((Uitslag!G10=""),"",(Uitslag!G10))</f>
        <v>1</v>
      </c>
      <c r="AD10" s="111">
        <f>IF((Uitslag!I10=""),"",(Uitslag!I10))</f>
        <v>5</v>
      </c>
      <c r="AF10" s="108">
        <f t="shared" si="9"/>
        <v>0</v>
      </c>
      <c r="AG10" s="108">
        <f t="shared" si="0"/>
        <v>0</v>
      </c>
      <c r="AH10" s="108">
        <f t="shared" si="1"/>
        <v>0</v>
      </c>
      <c r="AI10" s="108">
        <f t="shared" si="10"/>
        <v>0</v>
      </c>
      <c r="AJ10" s="108">
        <f t="shared" si="2"/>
        <v>0</v>
      </c>
      <c r="AK10" s="108">
        <f t="shared" si="3"/>
        <v>0</v>
      </c>
      <c r="AL10" s="108">
        <f t="shared" si="4"/>
        <v>0</v>
      </c>
      <c r="AM10" s="120">
        <f>AO10</f>
        <v>0</v>
      </c>
      <c r="AN10" s="117" t="s">
        <v>10</v>
      </c>
      <c r="AO10" s="115">
        <f>IF(Uitslag!T10="",0,IF(T10=Uitslag!T10,10,0))</f>
        <v>0</v>
      </c>
    </row>
    <row r="11" spans="2:54" ht="15.75" thickBot="1">
      <c r="B11" s="376">
        <v>4</v>
      </c>
      <c r="C11" s="377">
        <v>41803</v>
      </c>
      <c r="D11" s="378" t="s">
        <v>15</v>
      </c>
      <c r="E11" s="379" t="s">
        <v>9</v>
      </c>
      <c r="F11" s="380" t="s">
        <v>16</v>
      </c>
      <c r="G11" s="437">
        <v>1</v>
      </c>
      <c r="H11" s="379" t="s">
        <v>9</v>
      </c>
      <c r="I11" s="442">
        <v>0</v>
      </c>
      <c r="J11" s="381">
        <f t="shared" si="5"/>
        <v>1</v>
      </c>
      <c r="K11" s="363">
        <f t="shared" si="6"/>
        <v>3</v>
      </c>
      <c r="L11" s="363">
        <f t="shared" si="7"/>
        <v>0</v>
      </c>
      <c r="O11" s="398" t="s">
        <v>11</v>
      </c>
      <c r="P11" s="399">
        <f>SUMIF($D$8:$D$55,$O11,$G$8:$G$55)+SUMIF($F$8:$F$55,$O11,$I$8:$I$55)</f>
        <v>3</v>
      </c>
      <c r="Q11" s="399">
        <f>SUMIF($D$8:$D$55,$O11,$I$8:$I$55)+SUMIF($F$8:$F$55,$O11,$G$8:$G$55)</f>
        <v>5</v>
      </c>
      <c r="R11" s="399">
        <f>P11-Q11</f>
        <v>-2</v>
      </c>
      <c r="S11" s="400">
        <f>SUMIF($D$8:$D$55,$O11,$K$8:$K$55)+SUMIF($F$8:$F$55,$O11,$L$8:$L$55)</f>
        <v>3</v>
      </c>
      <c r="T11" s="445" t="s">
        <v>47</v>
      </c>
      <c r="U11" s="392"/>
      <c r="V11" s="392" t="str">
        <f>O11</f>
        <v>Mexico</v>
      </c>
      <c r="W11" s="392" t="s">
        <v>47</v>
      </c>
      <c r="Y11" s="109">
        <f t="shared" si="8"/>
        <v>5</v>
      </c>
      <c r="AC11" s="110">
        <f>IF((Uitslag!G11=""),"",(Uitslag!G11))</f>
        <v>3</v>
      </c>
      <c r="AD11" s="111">
        <f>IF((Uitslag!I11=""),"",(Uitslag!I11))</f>
        <v>1</v>
      </c>
      <c r="AF11" s="108">
        <f t="shared" si="9"/>
        <v>5</v>
      </c>
      <c r="AG11" s="108">
        <f t="shared" si="0"/>
        <v>0</v>
      </c>
      <c r="AH11" s="108">
        <f t="shared" si="1"/>
        <v>0</v>
      </c>
      <c r="AI11" s="108">
        <f t="shared" si="10"/>
        <v>0</v>
      </c>
      <c r="AJ11" s="108">
        <f t="shared" si="2"/>
        <v>5</v>
      </c>
      <c r="AK11" s="108">
        <f t="shared" si="3"/>
        <v>0</v>
      </c>
      <c r="AL11" s="108">
        <f t="shared" si="4"/>
        <v>0</v>
      </c>
      <c r="AM11" s="120">
        <f>AO11</f>
        <v>0</v>
      </c>
      <c r="AN11" s="117" t="s">
        <v>11</v>
      </c>
      <c r="AO11" s="115">
        <f>IF(Uitslag!T11="",0,IF(T11=Uitslag!T11,10,0))</f>
        <v>0</v>
      </c>
    </row>
    <row r="12" spans="2:54" ht="15.75" thickBot="1">
      <c r="B12" s="364">
        <v>5</v>
      </c>
      <c r="C12" s="365">
        <v>41804</v>
      </c>
      <c r="D12" s="366" t="s">
        <v>17</v>
      </c>
      <c r="E12" s="367" t="s">
        <v>9</v>
      </c>
      <c r="F12" s="368" t="s">
        <v>18</v>
      </c>
      <c r="G12" s="435">
        <v>1</v>
      </c>
      <c r="H12" s="367" t="s">
        <v>9</v>
      </c>
      <c r="I12" s="440">
        <v>1</v>
      </c>
      <c r="J12" s="369">
        <f t="shared" si="5"/>
        <v>3</v>
      </c>
      <c r="K12" s="363">
        <f t="shared" si="6"/>
        <v>1</v>
      </c>
      <c r="L12" s="363">
        <f t="shared" si="7"/>
        <v>1</v>
      </c>
      <c r="O12" s="401" t="s">
        <v>12</v>
      </c>
      <c r="P12" s="402">
        <f>SUMIF($D$8:$D$55,$O12,$G$8:$G$55)+SUMIF($F$8:$F$55,$O12,$I$8:$I$55)</f>
        <v>2</v>
      </c>
      <c r="Q12" s="402">
        <f>SUMIF($D$8:$D$55,$O12,$I$8:$I$55)+SUMIF($F$8:$F$55,$O12,$G$8:$G$55)</f>
        <v>7</v>
      </c>
      <c r="R12" s="402">
        <f>P12-Q12</f>
        <v>-5</v>
      </c>
      <c r="S12" s="403">
        <f>SUMIF($D$8:$D$55,$O12,$K$8:$K$55)+SUMIF($F$8:$F$55,$O12,$L$8:$L$55)</f>
        <v>0</v>
      </c>
      <c r="T12" s="446" t="s">
        <v>50</v>
      </c>
      <c r="U12" s="392"/>
      <c r="V12" s="392" t="str">
        <f>O12</f>
        <v>Kameroen</v>
      </c>
      <c r="W12" s="392" t="s">
        <v>50</v>
      </c>
      <c r="Y12" s="109">
        <f t="shared" si="8"/>
        <v>0</v>
      </c>
      <c r="AC12" s="110">
        <f>IF((Uitslag!G12=""),"",(Uitslag!G12))</f>
        <v>3</v>
      </c>
      <c r="AD12" s="111">
        <f>IF((Uitslag!I12=""),"",(Uitslag!I12))</f>
        <v>0</v>
      </c>
      <c r="AF12" s="108">
        <f t="shared" si="9"/>
        <v>0</v>
      </c>
      <c r="AG12" s="108">
        <f t="shared" si="0"/>
        <v>0</v>
      </c>
      <c r="AH12" s="108">
        <f t="shared" si="1"/>
        <v>0</v>
      </c>
      <c r="AI12" s="108">
        <f t="shared" si="10"/>
        <v>0</v>
      </c>
      <c r="AJ12" s="108">
        <f t="shared" si="2"/>
        <v>0</v>
      </c>
      <c r="AK12" s="108">
        <f t="shared" si="3"/>
        <v>0</v>
      </c>
      <c r="AL12" s="108">
        <f t="shared" si="4"/>
        <v>0</v>
      </c>
      <c r="AM12" s="120">
        <f>AO12</f>
        <v>10</v>
      </c>
      <c r="AN12" s="118" t="s">
        <v>12</v>
      </c>
      <c r="AO12" s="115">
        <f>IF(Uitslag!T12="",0,IF(T12=Uitslag!T12,10,0))</f>
        <v>10</v>
      </c>
    </row>
    <row r="13" spans="2:54" ht="15.75" thickBot="1">
      <c r="B13" s="370">
        <v>6</v>
      </c>
      <c r="C13" s="371">
        <v>41804</v>
      </c>
      <c r="D13" s="372" t="s">
        <v>19</v>
      </c>
      <c r="E13" s="373" t="s">
        <v>9</v>
      </c>
      <c r="F13" s="382" t="s">
        <v>20</v>
      </c>
      <c r="G13" s="436">
        <v>2</v>
      </c>
      <c r="H13" s="373" t="s">
        <v>9</v>
      </c>
      <c r="I13" s="441">
        <v>0</v>
      </c>
      <c r="J13" s="375">
        <f t="shared" si="5"/>
        <v>1</v>
      </c>
      <c r="K13" s="363">
        <f t="shared" si="6"/>
        <v>3</v>
      </c>
      <c r="L13" s="363">
        <f t="shared" si="7"/>
        <v>0</v>
      </c>
      <c r="O13" s="392"/>
      <c r="P13" s="393"/>
      <c r="Q13" s="393"/>
      <c r="R13" s="393"/>
      <c r="S13" s="393"/>
      <c r="T13" s="393"/>
      <c r="U13" s="392"/>
      <c r="V13" s="392"/>
      <c r="W13" s="392"/>
      <c r="Y13" s="109">
        <f t="shared" si="8"/>
        <v>0</v>
      </c>
      <c r="AC13" s="110">
        <f>IF((Uitslag!G13=""),"",(Uitslag!G13))</f>
        <v>1</v>
      </c>
      <c r="AD13" s="111">
        <f>IF((Uitslag!I13=""),"",(Uitslag!I13))</f>
        <v>3</v>
      </c>
      <c r="AF13" s="108">
        <f t="shared" si="9"/>
        <v>0</v>
      </c>
      <c r="AG13" s="108">
        <f t="shared" si="0"/>
        <v>0</v>
      </c>
      <c r="AH13" s="108">
        <f t="shared" si="1"/>
        <v>0</v>
      </c>
      <c r="AI13" s="108">
        <f t="shared" si="10"/>
        <v>0</v>
      </c>
      <c r="AJ13" s="108">
        <f t="shared" si="2"/>
        <v>0</v>
      </c>
      <c r="AK13" s="108">
        <f t="shared" si="3"/>
        <v>0</v>
      </c>
      <c r="AL13" s="108">
        <f t="shared" si="4"/>
        <v>0</v>
      </c>
      <c r="AN13" s="392"/>
      <c r="AO13" s="393"/>
    </row>
    <row r="14" spans="2:54" ht="15.75" thickBot="1">
      <c r="B14" s="370">
        <v>7</v>
      </c>
      <c r="C14" s="371">
        <v>41804</v>
      </c>
      <c r="D14" s="372" t="s">
        <v>21</v>
      </c>
      <c r="E14" s="373" t="s">
        <v>9</v>
      </c>
      <c r="F14" s="382" t="s">
        <v>22</v>
      </c>
      <c r="G14" s="436">
        <v>1</v>
      </c>
      <c r="H14" s="373" t="s">
        <v>9</v>
      </c>
      <c r="I14" s="441">
        <v>1</v>
      </c>
      <c r="J14" s="375">
        <f t="shared" si="5"/>
        <v>3</v>
      </c>
      <c r="K14" s="363">
        <f t="shared" si="6"/>
        <v>1</v>
      </c>
      <c r="L14" s="363">
        <f t="shared" si="7"/>
        <v>1</v>
      </c>
      <c r="O14" s="422" t="s">
        <v>51</v>
      </c>
      <c r="P14" s="423" t="s">
        <v>42</v>
      </c>
      <c r="Q14" s="423" t="s">
        <v>43</v>
      </c>
      <c r="R14" s="424" t="s">
        <v>44</v>
      </c>
      <c r="S14" s="425" t="s">
        <v>45</v>
      </c>
      <c r="T14" s="426" t="s">
        <v>46</v>
      </c>
      <c r="U14" s="392"/>
      <c r="V14" s="392"/>
      <c r="W14" s="392"/>
      <c r="Y14" s="109">
        <f t="shared" si="8"/>
        <v>1</v>
      </c>
      <c r="AC14" s="110">
        <f>IF((Uitslag!G14=""),"",(Uitslag!G14))</f>
        <v>1</v>
      </c>
      <c r="AD14" s="111">
        <f>IF((Uitslag!I14=""),"",(Uitslag!I14))</f>
        <v>2</v>
      </c>
      <c r="AF14" s="108">
        <f t="shared" si="9"/>
        <v>1</v>
      </c>
      <c r="AG14" s="108">
        <f t="shared" si="0"/>
        <v>1</v>
      </c>
      <c r="AH14" s="108">
        <f t="shared" si="1"/>
        <v>0</v>
      </c>
      <c r="AI14" s="108">
        <f t="shared" si="10"/>
        <v>0</v>
      </c>
      <c r="AJ14" s="108">
        <f t="shared" si="2"/>
        <v>0</v>
      </c>
      <c r="AK14" s="108">
        <f t="shared" si="3"/>
        <v>0</v>
      </c>
      <c r="AL14" s="108">
        <f t="shared" si="4"/>
        <v>0</v>
      </c>
      <c r="AN14" s="42" t="s">
        <v>51</v>
      </c>
      <c r="AO14" s="43" t="s">
        <v>46</v>
      </c>
    </row>
    <row r="15" spans="2:54" ht="15.75" thickBot="1">
      <c r="B15" s="376">
        <v>8</v>
      </c>
      <c r="C15" s="377">
        <v>41804</v>
      </c>
      <c r="D15" s="378" t="s">
        <v>23</v>
      </c>
      <c r="E15" s="379" t="s">
        <v>9</v>
      </c>
      <c r="F15" s="380" t="s">
        <v>24</v>
      </c>
      <c r="G15" s="437">
        <v>2</v>
      </c>
      <c r="H15" s="379" t="s">
        <v>9</v>
      </c>
      <c r="I15" s="442">
        <v>1</v>
      </c>
      <c r="J15" s="381">
        <f t="shared" si="5"/>
        <v>1</v>
      </c>
      <c r="K15" s="363">
        <f t="shared" si="6"/>
        <v>3</v>
      </c>
      <c r="L15" s="363">
        <f t="shared" si="7"/>
        <v>0</v>
      </c>
      <c r="O15" s="394" t="s">
        <v>13</v>
      </c>
      <c r="P15" s="395">
        <f>SUMIF($D$8:$D$55,$O15,$G$8:$G$55)+SUMIF($F$8:$F$55,$O15,$I$8:$I$55)</f>
        <v>8</v>
      </c>
      <c r="Q15" s="395">
        <f>SUMIF($D$8:$D$55,$O15,$I$8:$I$55)+SUMIF($F$8:$F$55,$O15,$G$8:$G$55)</f>
        <v>1</v>
      </c>
      <c r="R15" s="396">
        <f>P15-Q15</f>
        <v>7</v>
      </c>
      <c r="S15" s="397">
        <f>SUMIF($D$8:$D$55,$O15,$K$8:$K$55)+SUMIF($F$8:$F$55,$O15,$L$8:$L$55)</f>
        <v>9</v>
      </c>
      <c r="T15" s="444" t="s">
        <v>52</v>
      </c>
      <c r="U15" s="392"/>
      <c r="V15" s="392" t="str">
        <f>O15</f>
        <v>Spanje</v>
      </c>
      <c r="W15" s="392" t="s">
        <v>52</v>
      </c>
      <c r="Y15" s="109">
        <f t="shared" si="8"/>
        <v>10</v>
      </c>
      <c r="AC15" s="110">
        <f>IF((Uitslag!G15=""),"",(Uitslag!G15))</f>
        <v>2</v>
      </c>
      <c r="AD15" s="111">
        <f>IF((Uitslag!I15=""),"",(Uitslag!I15))</f>
        <v>1</v>
      </c>
      <c r="AF15" s="108">
        <f t="shared" si="9"/>
        <v>10</v>
      </c>
      <c r="AG15" s="108">
        <f t="shared" si="0"/>
        <v>1</v>
      </c>
      <c r="AH15" s="108">
        <f t="shared" si="1"/>
        <v>1</v>
      </c>
      <c r="AI15" s="108">
        <f t="shared" si="10"/>
        <v>10</v>
      </c>
      <c r="AJ15" s="108">
        <f t="shared" si="2"/>
        <v>5</v>
      </c>
      <c r="AK15" s="108">
        <f t="shared" si="3"/>
        <v>0</v>
      </c>
      <c r="AL15" s="108">
        <f t="shared" si="4"/>
        <v>0</v>
      </c>
      <c r="AM15" s="120">
        <f>AO15</f>
        <v>0</v>
      </c>
      <c r="AN15" s="116" t="s">
        <v>13</v>
      </c>
      <c r="AO15" s="115">
        <f>IF(Uitslag!T15="",0,IF(T15=Uitslag!T15,10,0))</f>
        <v>0</v>
      </c>
    </row>
    <row r="16" spans="2:54" ht="15.75" thickBot="1">
      <c r="B16" s="364">
        <v>9</v>
      </c>
      <c r="C16" s="365">
        <v>41805</v>
      </c>
      <c r="D16" s="366" t="s">
        <v>25</v>
      </c>
      <c r="E16" s="367" t="s">
        <v>9</v>
      </c>
      <c r="F16" s="368" t="s">
        <v>26</v>
      </c>
      <c r="G16" s="435">
        <v>0</v>
      </c>
      <c r="H16" s="367" t="s">
        <v>9</v>
      </c>
      <c r="I16" s="440">
        <v>1</v>
      </c>
      <c r="J16" s="369">
        <f t="shared" si="5"/>
        <v>2</v>
      </c>
      <c r="K16" s="363">
        <f t="shared" si="6"/>
        <v>0</v>
      </c>
      <c r="L16" s="363">
        <f t="shared" si="7"/>
        <v>3</v>
      </c>
      <c r="O16" s="404" t="s">
        <v>14</v>
      </c>
      <c r="P16" s="399">
        <f>SUMIF($D$8:$D$55,$O16,$G$8:$G$55)+SUMIF($F$8:$F$55,$O16,$I$8:$I$55)</f>
        <v>4</v>
      </c>
      <c r="Q16" s="399">
        <f>SUMIF($D$8:$D$55,$O16,$I$8:$I$55)+SUMIF($F$8:$F$55,$O16,$G$8:$G$55)</f>
        <v>4</v>
      </c>
      <c r="R16" s="399">
        <f>P16-Q16</f>
        <v>0</v>
      </c>
      <c r="S16" s="400">
        <f>SUMIF($D$8:$D$55,$O16,$K$8:$K$55)+SUMIF($F$8:$F$55,$O16,$L$8:$L$55)</f>
        <v>6</v>
      </c>
      <c r="T16" s="445" t="s">
        <v>53</v>
      </c>
      <c r="U16" s="392"/>
      <c r="V16" s="392" t="str">
        <f>O16</f>
        <v>Nederland</v>
      </c>
      <c r="W16" s="392" t="s">
        <v>53</v>
      </c>
      <c r="Y16" s="109">
        <f t="shared" si="8"/>
        <v>1</v>
      </c>
      <c r="AC16" s="110">
        <f>IF((Uitslag!G16=""),"",(Uitslag!G16))</f>
        <v>2</v>
      </c>
      <c r="AD16" s="111">
        <f>IF((Uitslag!I16=""),"",(Uitslag!I16))</f>
        <v>1</v>
      </c>
      <c r="AF16" s="108">
        <f t="shared" si="9"/>
        <v>1</v>
      </c>
      <c r="AG16" s="108">
        <f t="shared" si="0"/>
        <v>0</v>
      </c>
      <c r="AH16" s="108">
        <f t="shared" si="1"/>
        <v>1</v>
      </c>
      <c r="AI16" s="108">
        <f t="shared" si="10"/>
        <v>0</v>
      </c>
      <c r="AJ16" s="108">
        <f t="shared" si="2"/>
        <v>0</v>
      </c>
      <c r="AK16" s="108">
        <f t="shared" si="3"/>
        <v>0</v>
      </c>
      <c r="AL16" s="108">
        <f t="shared" si="4"/>
        <v>0</v>
      </c>
      <c r="AM16" s="120">
        <f>AO16</f>
        <v>0</v>
      </c>
      <c r="AN16" s="119" t="s">
        <v>14</v>
      </c>
      <c r="AO16" s="115">
        <f>IF(Uitslag!T16="",0,IF(T16=Uitslag!T16,10,0))</f>
        <v>0</v>
      </c>
    </row>
    <row r="17" spans="2:41" ht="15.75" thickBot="1">
      <c r="B17" s="370">
        <v>10</v>
      </c>
      <c r="C17" s="371">
        <v>41805</v>
      </c>
      <c r="D17" s="372" t="s">
        <v>27</v>
      </c>
      <c r="E17" s="373" t="s">
        <v>9</v>
      </c>
      <c r="F17" s="382" t="s">
        <v>28</v>
      </c>
      <c r="G17" s="436">
        <v>3</v>
      </c>
      <c r="H17" s="373" t="s">
        <v>9</v>
      </c>
      <c r="I17" s="441">
        <v>0</v>
      </c>
      <c r="J17" s="375">
        <f t="shared" si="5"/>
        <v>1</v>
      </c>
      <c r="K17" s="363">
        <f t="shared" si="6"/>
        <v>3</v>
      </c>
      <c r="L17" s="363">
        <f t="shared" si="7"/>
        <v>0</v>
      </c>
      <c r="O17" s="398" t="s">
        <v>15</v>
      </c>
      <c r="P17" s="399">
        <f>SUMIF($D$8:$D$55,$O17,$G$8:$G$55)+SUMIF($F$8:$F$55,$O17,$I$8:$I$55)</f>
        <v>2</v>
      </c>
      <c r="Q17" s="399">
        <f>SUMIF($D$8:$D$55,$O17,$I$8:$I$55)+SUMIF($F$8:$F$55,$O17,$G$8:$G$55)</f>
        <v>4</v>
      </c>
      <c r="R17" s="399">
        <f>P17-Q17</f>
        <v>-2</v>
      </c>
      <c r="S17" s="400">
        <f>SUMIF($D$8:$D$55,$O17,$K$8:$K$55)+SUMIF($F$8:$F$55,$O17,$L$8:$L$55)</f>
        <v>3</v>
      </c>
      <c r="T17" s="445" t="s">
        <v>54</v>
      </c>
      <c r="U17" s="392"/>
      <c r="V17" s="392" t="str">
        <f>O17</f>
        <v>Chili</v>
      </c>
      <c r="W17" s="392" t="s">
        <v>54</v>
      </c>
      <c r="Y17" s="109">
        <f t="shared" si="8"/>
        <v>10</v>
      </c>
      <c r="AC17" s="110">
        <f>IF((Uitslag!G17=""),"",(Uitslag!G17))</f>
        <v>3</v>
      </c>
      <c r="AD17" s="111">
        <f>IF((Uitslag!I17=""),"",(Uitslag!I17))</f>
        <v>0</v>
      </c>
      <c r="AF17" s="108">
        <f t="shared" si="9"/>
        <v>10</v>
      </c>
      <c r="AG17" s="108">
        <f t="shared" si="0"/>
        <v>1</v>
      </c>
      <c r="AH17" s="108">
        <f t="shared" si="1"/>
        <v>1</v>
      </c>
      <c r="AI17" s="108">
        <f t="shared" si="10"/>
        <v>10</v>
      </c>
      <c r="AJ17" s="108">
        <f t="shared" si="2"/>
        <v>5</v>
      </c>
      <c r="AK17" s="108">
        <f t="shared" si="3"/>
        <v>0</v>
      </c>
      <c r="AL17" s="108">
        <f t="shared" si="4"/>
        <v>0</v>
      </c>
      <c r="AM17" s="120">
        <f>AO17</f>
        <v>0</v>
      </c>
      <c r="AN17" s="117" t="s">
        <v>15</v>
      </c>
      <c r="AO17" s="115">
        <f>IF(Uitslag!T17="",0,IF(T17=Uitslag!T17,10,0))</f>
        <v>0</v>
      </c>
    </row>
    <row r="18" spans="2:41" ht="15.75" thickBot="1">
      <c r="B18" s="376">
        <v>11</v>
      </c>
      <c r="C18" s="377">
        <v>41805</v>
      </c>
      <c r="D18" s="378" t="s">
        <v>29</v>
      </c>
      <c r="E18" s="379" t="s">
        <v>9</v>
      </c>
      <c r="F18" s="380" t="s">
        <v>30</v>
      </c>
      <c r="G18" s="437">
        <v>2</v>
      </c>
      <c r="H18" s="379" t="s">
        <v>9</v>
      </c>
      <c r="I18" s="442">
        <v>0</v>
      </c>
      <c r="J18" s="381">
        <f t="shared" si="5"/>
        <v>1</v>
      </c>
      <c r="K18" s="363">
        <f t="shared" si="6"/>
        <v>3</v>
      </c>
      <c r="L18" s="363">
        <f t="shared" si="7"/>
        <v>0</v>
      </c>
      <c r="O18" s="401" t="s">
        <v>16</v>
      </c>
      <c r="P18" s="402">
        <f>SUMIF($D$8:$D$55,$O18,$G$8:$G$55)+SUMIF($F$8:$F$55,$O18,$I$8:$I$55)</f>
        <v>0</v>
      </c>
      <c r="Q18" s="402">
        <f>SUMIF($D$8:$D$55,$O18,$I$8:$I$55)+SUMIF($F$8:$F$55,$O18,$G$8:$G$55)</f>
        <v>5</v>
      </c>
      <c r="R18" s="402">
        <f>P18-Q18</f>
        <v>-5</v>
      </c>
      <c r="S18" s="403">
        <f>SUMIF($D$8:$D$55,$O18,$K$8:$K$55)+SUMIF($F$8:$F$55,$O18,$L$8:$L$55)</f>
        <v>0</v>
      </c>
      <c r="T18" s="446" t="s">
        <v>55</v>
      </c>
      <c r="U18" s="392"/>
      <c r="V18" s="392" t="str">
        <f>O18</f>
        <v>Australië</v>
      </c>
      <c r="W18" s="392" t="s">
        <v>55</v>
      </c>
      <c r="Y18" s="109">
        <f t="shared" si="8"/>
        <v>6</v>
      </c>
      <c r="AC18" s="110">
        <f>IF((Uitslag!G18=""),"",(Uitslag!G18))</f>
        <v>2</v>
      </c>
      <c r="AD18" s="111">
        <f>IF((Uitslag!I18=""),"",(Uitslag!I18))</f>
        <v>1</v>
      </c>
      <c r="AF18" s="108">
        <f t="shared" si="9"/>
        <v>6</v>
      </c>
      <c r="AG18" s="108">
        <f t="shared" si="0"/>
        <v>1</v>
      </c>
      <c r="AH18" s="108">
        <f t="shared" si="1"/>
        <v>0</v>
      </c>
      <c r="AI18" s="108">
        <f t="shared" si="10"/>
        <v>0</v>
      </c>
      <c r="AJ18" s="108">
        <f t="shared" si="2"/>
        <v>5</v>
      </c>
      <c r="AK18" s="108">
        <f t="shared" si="3"/>
        <v>0</v>
      </c>
      <c r="AL18" s="108">
        <f t="shared" si="4"/>
        <v>0</v>
      </c>
      <c r="AM18" s="120">
        <f>AO18</f>
        <v>10</v>
      </c>
      <c r="AN18" s="118" t="s">
        <v>16</v>
      </c>
      <c r="AO18" s="115">
        <f>IF(Uitslag!T18="",0,IF(T18=Uitslag!T18,10,0))</f>
        <v>10</v>
      </c>
    </row>
    <row r="19" spans="2:41" ht="15.75" thickBot="1">
      <c r="B19" s="364">
        <v>12</v>
      </c>
      <c r="C19" s="365">
        <v>41806</v>
      </c>
      <c r="D19" s="366" t="s">
        <v>31</v>
      </c>
      <c r="E19" s="367" t="s">
        <v>9</v>
      </c>
      <c r="F19" s="368" t="s">
        <v>32</v>
      </c>
      <c r="G19" s="435">
        <v>1</v>
      </c>
      <c r="H19" s="367" t="s">
        <v>9</v>
      </c>
      <c r="I19" s="440">
        <v>1</v>
      </c>
      <c r="J19" s="369">
        <f t="shared" si="5"/>
        <v>3</v>
      </c>
      <c r="K19" s="363">
        <f t="shared" si="6"/>
        <v>1</v>
      </c>
      <c r="L19" s="363">
        <f t="shared" si="7"/>
        <v>1</v>
      </c>
      <c r="O19" s="392"/>
      <c r="P19" s="393"/>
      <c r="Q19" s="393"/>
      <c r="R19" s="393"/>
      <c r="S19" s="393"/>
      <c r="T19" s="393"/>
      <c r="U19" s="392"/>
      <c r="V19" s="392"/>
      <c r="W19" s="392"/>
      <c r="Y19" s="109">
        <f t="shared" si="8"/>
        <v>0</v>
      </c>
      <c r="AC19" s="110">
        <f>IF((Uitslag!G19=""),"",(Uitslag!G19))</f>
        <v>4</v>
      </c>
      <c r="AD19" s="111">
        <f>IF((Uitslag!I19=""),"",(Uitslag!I19))</f>
        <v>0</v>
      </c>
      <c r="AF19" s="108">
        <f t="shared" si="9"/>
        <v>0</v>
      </c>
      <c r="AG19" s="108">
        <f t="shared" si="0"/>
        <v>0</v>
      </c>
      <c r="AH19" s="108">
        <f t="shared" si="1"/>
        <v>0</v>
      </c>
      <c r="AI19" s="108">
        <f t="shared" si="10"/>
        <v>0</v>
      </c>
      <c r="AJ19" s="108">
        <f t="shared" si="2"/>
        <v>0</v>
      </c>
      <c r="AK19" s="108">
        <f t="shared" si="3"/>
        <v>0</v>
      </c>
      <c r="AL19" s="108">
        <f t="shared" si="4"/>
        <v>0</v>
      </c>
      <c r="AN19" s="392"/>
      <c r="AO19" s="393"/>
    </row>
    <row r="20" spans="2:41" ht="15.75" thickBot="1">
      <c r="B20" s="370">
        <v>13</v>
      </c>
      <c r="C20" s="371">
        <v>41806</v>
      </c>
      <c r="D20" s="372" t="s">
        <v>33</v>
      </c>
      <c r="E20" s="373" t="s">
        <v>9</v>
      </c>
      <c r="F20" s="382" t="s">
        <v>34</v>
      </c>
      <c r="G20" s="436">
        <v>0</v>
      </c>
      <c r="H20" s="373" t="s">
        <v>9</v>
      </c>
      <c r="I20" s="441">
        <v>1</v>
      </c>
      <c r="J20" s="375">
        <f t="shared" si="5"/>
        <v>2</v>
      </c>
      <c r="K20" s="363">
        <f t="shared" si="6"/>
        <v>0</v>
      </c>
      <c r="L20" s="363">
        <f t="shared" si="7"/>
        <v>3</v>
      </c>
      <c r="O20" s="422" t="s">
        <v>56</v>
      </c>
      <c r="P20" s="423" t="s">
        <v>42</v>
      </c>
      <c r="Q20" s="423" t="s">
        <v>43</v>
      </c>
      <c r="R20" s="424" t="s">
        <v>44</v>
      </c>
      <c r="S20" s="425" t="s">
        <v>45</v>
      </c>
      <c r="T20" s="426" t="s">
        <v>46</v>
      </c>
      <c r="U20" s="392"/>
      <c r="V20" s="392"/>
      <c r="W20" s="392"/>
      <c r="Y20" s="109">
        <f t="shared" si="8"/>
        <v>1</v>
      </c>
      <c r="AC20" s="110">
        <f>IF((Uitslag!G20=""),"",(Uitslag!G20))</f>
        <v>0</v>
      </c>
      <c r="AD20" s="111">
        <f>IF((Uitslag!I20=""),"",(Uitslag!I20))</f>
        <v>0</v>
      </c>
      <c r="AF20" s="108">
        <f t="shared" si="9"/>
        <v>1</v>
      </c>
      <c r="AG20" s="108">
        <f t="shared" si="0"/>
        <v>1</v>
      </c>
      <c r="AH20" s="108">
        <f t="shared" si="1"/>
        <v>0</v>
      </c>
      <c r="AI20" s="108">
        <f t="shared" si="10"/>
        <v>0</v>
      </c>
      <c r="AJ20" s="108">
        <f t="shared" si="2"/>
        <v>0</v>
      </c>
      <c r="AK20" s="108">
        <f t="shared" si="3"/>
        <v>0</v>
      </c>
      <c r="AL20" s="108">
        <f t="shared" si="4"/>
        <v>0</v>
      </c>
      <c r="AN20" s="42" t="s">
        <v>56</v>
      </c>
      <c r="AO20" s="43" t="s">
        <v>46</v>
      </c>
    </row>
    <row r="21" spans="2:41" ht="15.75" thickBot="1">
      <c r="B21" s="376">
        <v>14</v>
      </c>
      <c r="C21" s="377">
        <v>41806</v>
      </c>
      <c r="D21" s="378" t="s">
        <v>35</v>
      </c>
      <c r="E21" s="379" t="s">
        <v>9</v>
      </c>
      <c r="F21" s="380" t="s">
        <v>36</v>
      </c>
      <c r="G21" s="437">
        <v>1</v>
      </c>
      <c r="H21" s="379" t="s">
        <v>9</v>
      </c>
      <c r="I21" s="442">
        <v>1</v>
      </c>
      <c r="J21" s="381">
        <f t="shared" si="5"/>
        <v>3</v>
      </c>
      <c r="K21" s="363">
        <f t="shared" si="6"/>
        <v>1</v>
      </c>
      <c r="L21" s="363">
        <f t="shared" si="7"/>
        <v>1</v>
      </c>
      <c r="O21" s="394" t="s">
        <v>17</v>
      </c>
      <c r="P21" s="395">
        <f>SUMIF($D$8:$D$55,$O21,$G$8:$G$55)+SUMIF($F$8:$F$55,$O21,$I$8:$I$55)</f>
        <v>2</v>
      </c>
      <c r="Q21" s="395">
        <f>SUMIF($D$8:$D$55,$O21,$I$8:$I$55)+SUMIF($F$8:$F$55,$O21,$G$8:$G$55)</f>
        <v>4</v>
      </c>
      <c r="R21" s="396">
        <f>P21-Q21</f>
        <v>-2</v>
      </c>
      <c r="S21" s="397">
        <f>SUMIF($D$8:$D$55,$O21,$K$8:$K$55)+SUMIF($F$8:$F$55,$O21,$L$8:$L$55)</f>
        <v>1</v>
      </c>
      <c r="T21" s="444" t="s">
        <v>59</v>
      </c>
      <c r="U21" s="392"/>
      <c r="V21" s="392" t="str">
        <f>O21</f>
        <v>Colombia</v>
      </c>
      <c r="W21" s="392" t="s">
        <v>57</v>
      </c>
      <c r="Y21" s="109">
        <f t="shared" si="8"/>
        <v>1</v>
      </c>
      <c r="AC21" s="110">
        <f>IF((Uitslag!G21=""),"",(Uitslag!G21))</f>
        <v>1</v>
      </c>
      <c r="AD21" s="111">
        <f>IF((Uitslag!I21=""),"",(Uitslag!I21))</f>
        <v>2</v>
      </c>
      <c r="AF21" s="108">
        <f t="shared" si="9"/>
        <v>1</v>
      </c>
      <c r="AG21" s="108">
        <f t="shared" si="0"/>
        <v>1</v>
      </c>
      <c r="AH21" s="108">
        <f t="shared" si="1"/>
        <v>0</v>
      </c>
      <c r="AI21" s="108">
        <f t="shared" si="10"/>
        <v>0</v>
      </c>
      <c r="AJ21" s="108">
        <f t="shared" si="2"/>
        <v>0</v>
      </c>
      <c r="AK21" s="108">
        <f t="shared" si="3"/>
        <v>0</v>
      </c>
      <c r="AL21" s="108">
        <f t="shared" si="4"/>
        <v>0</v>
      </c>
      <c r="AM21" s="120">
        <f>AO21</f>
        <v>0</v>
      </c>
      <c r="AN21" s="116" t="s">
        <v>17</v>
      </c>
      <c r="AO21" s="115">
        <f>IF(Uitslag!T21="",0,IF(T21=Uitslag!T21,10,0))</f>
        <v>0</v>
      </c>
    </row>
    <row r="22" spans="2:41" ht="15.75" thickBot="1">
      <c r="B22" s="364">
        <v>15</v>
      </c>
      <c r="C22" s="365">
        <v>41807</v>
      </c>
      <c r="D22" s="366" t="s">
        <v>37</v>
      </c>
      <c r="E22" s="367" t="s">
        <v>9</v>
      </c>
      <c r="F22" s="368" t="s">
        <v>38</v>
      </c>
      <c r="G22" s="435">
        <v>2</v>
      </c>
      <c r="H22" s="367" t="s">
        <v>9</v>
      </c>
      <c r="I22" s="440">
        <v>0</v>
      </c>
      <c r="J22" s="369">
        <f t="shared" si="5"/>
        <v>1</v>
      </c>
      <c r="K22" s="363">
        <f t="shared" si="6"/>
        <v>3</v>
      </c>
      <c r="L22" s="363">
        <f t="shared" si="7"/>
        <v>0</v>
      </c>
      <c r="O22" s="398" t="s">
        <v>18</v>
      </c>
      <c r="P22" s="399">
        <f>SUMIF($D$8:$D$55,$O22,$G$8:$G$55)+SUMIF($F$8:$F$55,$O22,$I$8:$I$55)</f>
        <v>1</v>
      </c>
      <c r="Q22" s="399">
        <f>SUMIF($D$8:$D$55,$O22,$I$8:$I$55)+SUMIF($F$8:$F$55,$O22,$G$8:$G$55)</f>
        <v>4</v>
      </c>
      <c r="R22" s="399">
        <f>P22-Q22</f>
        <v>-3</v>
      </c>
      <c r="S22" s="400">
        <f>SUMIF($D$8:$D$55,$O22,$K$8:$K$55)+SUMIF($F$8:$F$55,$O22,$L$8:$L$55)</f>
        <v>1</v>
      </c>
      <c r="T22" s="445" t="s">
        <v>60</v>
      </c>
      <c r="U22" s="392"/>
      <c r="V22" s="392" t="str">
        <f>O22</f>
        <v>Griekenland</v>
      </c>
      <c r="W22" s="392" t="s">
        <v>58</v>
      </c>
      <c r="Y22" s="109">
        <f t="shared" si="8"/>
        <v>6</v>
      </c>
      <c r="AC22" s="110">
        <f>IF((Uitslag!G22=""),"",(Uitslag!G22))</f>
        <v>2</v>
      </c>
      <c r="AD22" s="111">
        <f>IF((Uitslag!I22=""),"",(Uitslag!I22))</f>
        <v>1</v>
      </c>
      <c r="AF22" s="108">
        <f t="shared" si="9"/>
        <v>6</v>
      </c>
      <c r="AG22" s="108">
        <f t="shared" si="0"/>
        <v>1</v>
      </c>
      <c r="AH22" s="108">
        <f t="shared" si="1"/>
        <v>0</v>
      </c>
      <c r="AI22" s="108">
        <f t="shared" si="10"/>
        <v>0</v>
      </c>
      <c r="AJ22" s="108">
        <f t="shared" si="2"/>
        <v>5</v>
      </c>
      <c r="AK22" s="108">
        <f t="shared" si="3"/>
        <v>0</v>
      </c>
      <c r="AL22" s="108">
        <f t="shared" si="4"/>
        <v>0</v>
      </c>
      <c r="AM22" s="120">
        <f>AO22</f>
        <v>0</v>
      </c>
      <c r="AN22" s="117" t="s">
        <v>18</v>
      </c>
      <c r="AO22" s="115">
        <f>IF(Uitslag!T22="",0,IF(T22=Uitslag!T22,10,0))</f>
        <v>0</v>
      </c>
    </row>
    <row r="23" spans="2:41" ht="15.75" thickBot="1">
      <c r="B23" s="370">
        <v>16</v>
      </c>
      <c r="C23" s="371">
        <v>41807</v>
      </c>
      <c r="D23" s="372" t="s">
        <v>8</v>
      </c>
      <c r="E23" s="373" t="s">
        <v>9</v>
      </c>
      <c r="F23" s="382" t="s">
        <v>11</v>
      </c>
      <c r="G23" s="436">
        <v>2</v>
      </c>
      <c r="H23" s="373" t="s">
        <v>9</v>
      </c>
      <c r="I23" s="441">
        <v>0</v>
      </c>
      <c r="J23" s="375">
        <f t="shared" si="5"/>
        <v>1</v>
      </c>
      <c r="K23" s="363">
        <f t="shared" si="6"/>
        <v>3</v>
      </c>
      <c r="L23" s="363">
        <f t="shared" si="7"/>
        <v>0</v>
      </c>
      <c r="O23" s="398" t="s">
        <v>23</v>
      </c>
      <c r="P23" s="399">
        <f>SUMIF($D$8:$D$55,$O23,$G$8:$G$55)+SUMIF($F$8:$F$55,$O23,$I$8:$I$55)</f>
        <v>5</v>
      </c>
      <c r="Q23" s="399">
        <f>SUMIF($D$8:$D$55,$O23,$I$8:$I$55)+SUMIF($F$8:$F$55,$O23,$G$8:$G$55)</f>
        <v>2</v>
      </c>
      <c r="R23" s="399">
        <f>P23-Q23</f>
        <v>3</v>
      </c>
      <c r="S23" s="400">
        <f>SUMIF($D$8:$D$55,$O23,$K$8:$K$55)+SUMIF($F$8:$F$55,$O23,$L$8:$L$55)</f>
        <v>9</v>
      </c>
      <c r="T23" s="445" t="s">
        <v>57</v>
      </c>
      <c r="U23" s="392"/>
      <c r="V23" s="392" t="str">
        <f>O23</f>
        <v>Ivoorkust</v>
      </c>
      <c r="W23" s="392" t="s">
        <v>59</v>
      </c>
      <c r="Y23" s="109">
        <f t="shared" si="8"/>
        <v>1</v>
      </c>
      <c r="AC23" s="110">
        <f>IF((Uitslag!G23=""),"",(Uitslag!G23))</f>
        <v>0</v>
      </c>
      <c r="AD23" s="111">
        <f>IF((Uitslag!I23=""),"",(Uitslag!I23))</f>
        <v>0</v>
      </c>
      <c r="AF23" s="108">
        <f t="shared" si="9"/>
        <v>1</v>
      </c>
      <c r="AG23" s="108">
        <f t="shared" si="0"/>
        <v>0</v>
      </c>
      <c r="AH23" s="108">
        <f t="shared" si="1"/>
        <v>1</v>
      </c>
      <c r="AI23" s="108">
        <f t="shared" si="10"/>
        <v>0</v>
      </c>
      <c r="AJ23" s="108">
        <f t="shared" si="2"/>
        <v>0</v>
      </c>
      <c r="AK23" s="108">
        <f t="shared" si="3"/>
        <v>0</v>
      </c>
      <c r="AL23" s="108">
        <f t="shared" si="4"/>
        <v>0</v>
      </c>
      <c r="AM23" s="120">
        <f>AO23</f>
        <v>0</v>
      </c>
      <c r="AN23" s="117" t="s">
        <v>23</v>
      </c>
      <c r="AO23" s="115">
        <f>IF(Uitslag!T23="",0,IF(T23=Uitslag!T23,10,0))</f>
        <v>0</v>
      </c>
    </row>
    <row r="24" spans="2:41" ht="15.75" thickBot="1">
      <c r="B24" s="376">
        <v>17</v>
      </c>
      <c r="C24" s="377">
        <v>41807</v>
      </c>
      <c r="D24" s="378" t="s">
        <v>39</v>
      </c>
      <c r="E24" s="379" t="s">
        <v>9</v>
      </c>
      <c r="F24" s="380" t="s">
        <v>40</v>
      </c>
      <c r="G24" s="437">
        <v>2</v>
      </c>
      <c r="H24" s="379" t="s">
        <v>9</v>
      </c>
      <c r="I24" s="442">
        <v>0</v>
      </c>
      <c r="J24" s="381">
        <f t="shared" si="5"/>
        <v>1</v>
      </c>
      <c r="K24" s="363">
        <f t="shared" si="6"/>
        <v>3</v>
      </c>
      <c r="L24" s="363">
        <f t="shared" si="7"/>
        <v>0</v>
      </c>
      <c r="O24" s="401" t="s">
        <v>24</v>
      </c>
      <c r="P24" s="402">
        <f>SUMIF($D$8:$D$55,$O24,$G$8:$G$55)+SUMIF($F$8:$F$55,$O24,$I$8:$I$55)</f>
        <v>4</v>
      </c>
      <c r="Q24" s="402">
        <f>SUMIF($D$8:$D$55,$O24,$I$8:$I$55)+SUMIF($F$8:$F$55,$O24,$G$8:$G$55)</f>
        <v>2</v>
      </c>
      <c r="R24" s="402">
        <f>P24-Q24</f>
        <v>2</v>
      </c>
      <c r="S24" s="403">
        <f>SUMIF($D$8:$D$55,$O24,$K$8:$K$55)+SUMIF($F$8:$F$55,$O24,$L$8:$L$55)</f>
        <v>6</v>
      </c>
      <c r="T24" s="446" t="s">
        <v>58</v>
      </c>
      <c r="U24" s="392"/>
      <c r="V24" s="392" t="str">
        <f>O24</f>
        <v>Japan</v>
      </c>
      <c r="W24" s="392" t="s">
        <v>60</v>
      </c>
      <c r="Y24" s="109">
        <f t="shared" si="8"/>
        <v>0</v>
      </c>
      <c r="AC24" s="110">
        <f>IF((Uitslag!G24=""),"",(Uitslag!G24))</f>
        <v>1</v>
      </c>
      <c r="AD24" s="111">
        <f>IF((Uitslag!I24=""),"",(Uitslag!I24))</f>
        <v>1</v>
      </c>
      <c r="AF24" s="108">
        <f t="shared" si="9"/>
        <v>0</v>
      </c>
      <c r="AG24" s="108">
        <f t="shared" si="0"/>
        <v>0</v>
      </c>
      <c r="AH24" s="108">
        <f t="shared" si="1"/>
        <v>0</v>
      </c>
      <c r="AI24" s="108">
        <f t="shared" si="10"/>
        <v>0</v>
      </c>
      <c r="AJ24" s="108">
        <f t="shared" si="2"/>
        <v>0</v>
      </c>
      <c r="AK24" s="108">
        <f t="shared" si="3"/>
        <v>0</v>
      </c>
      <c r="AL24" s="108">
        <f t="shared" si="4"/>
        <v>0</v>
      </c>
      <c r="AM24" s="120">
        <f>AO24</f>
        <v>0</v>
      </c>
      <c r="AN24" s="118" t="s">
        <v>24</v>
      </c>
      <c r="AO24" s="115">
        <f>IF(Uitslag!T24="",0,IF(T24=Uitslag!T24,10,0))</f>
        <v>0</v>
      </c>
    </row>
    <row r="25" spans="2:41" ht="15.75" thickBot="1">
      <c r="B25" s="364">
        <v>18</v>
      </c>
      <c r="C25" s="365">
        <v>41808</v>
      </c>
      <c r="D25" s="366" t="s">
        <v>16</v>
      </c>
      <c r="E25" s="367" t="s">
        <v>9</v>
      </c>
      <c r="F25" s="383" t="s">
        <v>14</v>
      </c>
      <c r="G25" s="435">
        <v>0</v>
      </c>
      <c r="H25" s="367" t="s">
        <v>9</v>
      </c>
      <c r="I25" s="440">
        <v>1</v>
      </c>
      <c r="J25" s="369">
        <f t="shared" si="5"/>
        <v>2</v>
      </c>
      <c r="K25" s="363">
        <f t="shared" si="6"/>
        <v>0</v>
      </c>
      <c r="L25" s="363">
        <f t="shared" si="7"/>
        <v>3</v>
      </c>
      <c r="O25" s="392"/>
      <c r="P25" s="393"/>
      <c r="Q25" s="393"/>
      <c r="R25" s="393"/>
      <c r="S25" s="393"/>
      <c r="T25" s="393"/>
      <c r="U25" s="392"/>
      <c r="V25" s="392"/>
      <c r="W25" s="392"/>
      <c r="Y25" s="109">
        <f t="shared" si="8"/>
        <v>5</v>
      </c>
      <c r="AC25" s="110">
        <f>IF((Uitslag!G25=""),"",(Uitslag!G25))</f>
        <v>2</v>
      </c>
      <c r="AD25" s="111">
        <f>IF((Uitslag!I25=""),"",(Uitslag!I25))</f>
        <v>3</v>
      </c>
      <c r="AF25" s="108">
        <f t="shared" si="9"/>
        <v>5</v>
      </c>
      <c r="AG25" s="108">
        <f t="shared" si="0"/>
        <v>0</v>
      </c>
      <c r="AH25" s="108">
        <f t="shared" si="1"/>
        <v>0</v>
      </c>
      <c r="AI25" s="108">
        <f t="shared" si="10"/>
        <v>0</v>
      </c>
      <c r="AJ25" s="108">
        <f t="shared" si="2"/>
        <v>0</v>
      </c>
      <c r="AK25" s="108">
        <f t="shared" si="3"/>
        <v>5</v>
      </c>
      <c r="AL25" s="108">
        <f t="shared" si="4"/>
        <v>0</v>
      </c>
      <c r="AN25" s="392"/>
      <c r="AO25" s="393"/>
    </row>
    <row r="26" spans="2:41" ht="15.75" thickBot="1">
      <c r="B26" s="370">
        <v>19</v>
      </c>
      <c r="C26" s="371">
        <v>41808</v>
      </c>
      <c r="D26" s="372" t="s">
        <v>13</v>
      </c>
      <c r="E26" s="373" t="s">
        <v>9</v>
      </c>
      <c r="F26" s="382" t="s">
        <v>15</v>
      </c>
      <c r="G26" s="436">
        <v>2</v>
      </c>
      <c r="H26" s="373" t="s">
        <v>9</v>
      </c>
      <c r="I26" s="441">
        <v>0</v>
      </c>
      <c r="J26" s="375">
        <f t="shared" si="5"/>
        <v>1</v>
      </c>
      <c r="K26" s="363">
        <f t="shared" si="6"/>
        <v>3</v>
      </c>
      <c r="L26" s="363">
        <f t="shared" si="7"/>
        <v>0</v>
      </c>
      <c r="O26" s="422" t="s">
        <v>61</v>
      </c>
      <c r="P26" s="423" t="s">
        <v>42</v>
      </c>
      <c r="Q26" s="423" t="s">
        <v>43</v>
      </c>
      <c r="R26" s="424" t="s">
        <v>44</v>
      </c>
      <c r="S26" s="425" t="s">
        <v>45</v>
      </c>
      <c r="T26" s="426" t="s">
        <v>46</v>
      </c>
      <c r="U26" s="392"/>
      <c r="V26" s="392"/>
      <c r="W26" s="392"/>
      <c r="Y26" s="109">
        <f t="shared" si="8"/>
        <v>0</v>
      </c>
      <c r="AC26" s="110">
        <f>IF((Uitslag!G26=""),"",(Uitslag!G26))</f>
        <v>0</v>
      </c>
      <c r="AD26" s="111">
        <f>IF((Uitslag!I26=""),"",(Uitslag!I26))</f>
        <v>2</v>
      </c>
      <c r="AF26" s="108">
        <f t="shared" si="9"/>
        <v>0</v>
      </c>
      <c r="AG26" s="108">
        <f t="shared" si="0"/>
        <v>0</v>
      </c>
      <c r="AH26" s="108">
        <f t="shared" si="1"/>
        <v>0</v>
      </c>
      <c r="AI26" s="108">
        <f t="shared" si="10"/>
        <v>0</v>
      </c>
      <c r="AJ26" s="108">
        <f t="shared" si="2"/>
        <v>0</v>
      </c>
      <c r="AK26" s="108">
        <f t="shared" si="3"/>
        <v>0</v>
      </c>
      <c r="AL26" s="108">
        <f t="shared" si="4"/>
        <v>0</v>
      </c>
      <c r="AN26" s="42" t="s">
        <v>61</v>
      </c>
      <c r="AO26" s="43" t="s">
        <v>46</v>
      </c>
    </row>
    <row r="27" spans="2:41" ht="15.75" thickBot="1">
      <c r="B27" s="376">
        <v>20</v>
      </c>
      <c r="C27" s="377">
        <v>41808</v>
      </c>
      <c r="D27" s="378" t="s">
        <v>12</v>
      </c>
      <c r="E27" s="379" t="s">
        <v>9</v>
      </c>
      <c r="F27" s="380" t="s">
        <v>10</v>
      </c>
      <c r="G27" s="437">
        <v>1</v>
      </c>
      <c r="H27" s="379" t="s">
        <v>9</v>
      </c>
      <c r="I27" s="442">
        <v>2</v>
      </c>
      <c r="J27" s="381">
        <f t="shared" si="5"/>
        <v>2</v>
      </c>
      <c r="K27" s="363">
        <f t="shared" si="6"/>
        <v>0</v>
      </c>
      <c r="L27" s="363">
        <f t="shared" si="7"/>
        <v>3</v>
      </c>
      <c r="O27" s="394" t="s">
        <v>19</v>
      </c>
      <c r="P27" s="395">
        <f>SUMIF($D$8:$D$55,$O27,$G$8:$G$55)+SUMIF($F$8:$F$55,$O27,$I$8:$I$55)</f>
        <v>4</v>
      </c>
      <c r="Q27" s="395">
        <f>SUMIF($D$8:$D$55,$O27,$I$8:$I$55)+SUMIF($F$8:$F$55,$O27,$G$8:$G$55)</f>
        <v>4</v>
      </c>
      <c r="R27" s="396">
        <f>P27-Q27</f>
        <v>0</v>
      </c>
      <c r="S27" s="397">
        <f>SUMIF($D$8:$D$55,$O27,$K$8:$K$55)+SUMIF($F$8:$F$55,$O27,$L$8:$L$55)</f>
        <v>3</v>
      </c>
      <c r="T27" s="444" t="s">
        <v>64</v>
      </c>
      <c r="U27" s="392"/>
      <c r="V27" s="392" t="str">
        <f>O27</f>
        <v>Uruguay</v>
      </c>
      <c r="W27" s="392" t="s">
        <v>62</v>
      </c>
      <c r="Y27" s="109">
        <f t="shared" si="8"/>
        <v>5</v>
      </c>
      <c r="AC27" s="110">
        <f>IF((Uitslag!G27=""),"",(Uitslag!G27))</f>
        <v>0</v>
      </c>
      <c r="AD27" s="111">
        <f>IF((Uitslag!I27=""),"",(Uitslag!I27))</f>
        <v>4</v>
      </c>
      <c r="AF27" s="108">
        <f t="shared" si="9"/>
        <v>5</v>
      </c>
      <c r="AG27" s="108">
        <f t="shared" si="0"/>
        <v>0</v>
      </c>
      <c r="AH27" s="108">
        <f t="shared" si="1"/>
        <v>0</v>
      </c>
      <c r="AI27" s="108">
        <f t="shared" si="10"/>
        <v>0</v>
      </c>
      <c r="AJ27" s="108">
        <f t="shared" si="2"/>
        <v>0</v>
      </c>
      <c r="AK27" s="108">
        <f t="shared" si="3"/>
        <v>5</v>
      </c>
      <c r="AL27" s="108">
        <f t="shared" si="4"/>
        <v>0</v>
      </c>
      <c r="AM27" s="120">
        <f>AO27</f>
        <v>0</v>
      </c>
      <c r="AN27" s="116" t="s">
        <v>19</v>
      </c>
      <c r="AO27" s="115">
        <f>IF(Uitslag!T27="",0,IF(T27=Uitslag!T27,10,0))</f>
        <v>0</v>
      </c>
    </row>
    <row r="28" spans="2:41" ht="15.75" thickBot="1">
      <c r="B28" s="364">
        <v>21</v>
      </c>
      <c r="C28" s="365">
        <v>41809</v>
      </c>
      <c r="D28" s="366" t="s">
        <v>17</v>
      </c>
      <c r="E28" s="367" t="s">
        <v>9</v>
      </c>
      <c r="F28" s="368" t="s">
        <v>23</v>
      </c>
      <c r="G28" s="435">
        <v>1</v>
      </c>
      <c r="H28" s="367" t="s">
        <v>9</v>
      </c>
      <c r="I28" s="440">
        <v>2</v>
      </c>
      <c r="J28" s="369">
        <f t="shared" si="5"/>
        <v>2</v>
      </c>
      <c r="K28" s="363">
        <f t="shared" si="6"/>
        <v>0</v>
      </c>
      <c r="L28" s="363">
        <f t="shared" si="7"/>
        <v>3</v>
      </c>
      <c r="O28" s="398" t="s">
        <v>20</v>
      </c>
      <c r="P28" s="399">
        <f>SUMIF($D$8:$D$55,$O28,$G$8:$G$55)+SUMIF($F$8:$F$55,$O28,$I$8:$I$55)</f>
        <v>0</v>
      </c>
      <c r="Q28" s="399">
        <f>SUMIF($D$8:$D$55,$O28,$I$8:$I$55)+SUMIF($F$8:$F$55,$O28,$G$8:$G$55)</f>
        <v>6</v>
      </c>
      <c r="R28" s="399">
        <f>P28-Q28</f>
        <v>-6</v>
      </c>
      <c r="S28" s="400">
        <f>SUMIF($D$8:$D$55,$O28,$K$8:$K$55)+SUMIF($F$8:$F$55,$O28,$L$8:$L$55)</f>
        <v>0</v>
      </c>
      <c r="T28" s="445" t="s">
        <v>65</v>
      </c>
      <c r="U28" s="392"/>
      <c r="V28" s="392" t="str">
        <f>O28</f>
        <v>Costa Rica</v>
      </c>
      <c r="W28" s="392" t="s">
        <v>63</v>
      </c>
      <c r="Y28" s="109">
        <f t="shared" si="8"/>
        <v>0</v>
      </c>
      <c r="AC28" s="110">
        <f>IF((Uitslag!G28=""),"",(Uitslag!G28))</f>
        <v>2</v>
      </c>
      <c r="AD28" s="111">
        <f>IF((Uitslag!I28=""),"",(Uitslag!I28))</f>
        <v>1</v>
      </c>
      <c r="AF28" s="108">
        <f t="shared" si="9"/>
        <v>0</v>
      </c>
      <c r="AG28" s="108">
        <f t="shared" si="0"/>
        <v>0</v>
      </c>
      <c r="AH28" s="108">
        <f t="shared" si="1"/>
        <v>0</v>
      </c>
      <c r="AI28" s="108">
        <f t="shared" si="10"/>
        <v>0</v>
      </c>
      <c r="AJ28" s="108">
        <f t="shared" si="2"/>
        <v>0</v>
      </c>
      <c r="AK28" s="108">
        <f t="shared" si="3"/>
        <v>0</v>
      </c>
      <c r="AL28" s="108">
        <f t="shared" si="4"/>
        <v>0</v>
      </c>
      <c r="AM28" s="120">
        <f>AO28</f>
        <v>0</v>
      </c>
      <c r="AN28" s="117" t="s">
        <v>20</v>
      </c>
      <c r="AO28" s="115">
        <f>IF(Uitslag!T28="",0,IF(T28=Uitslag!T28,10,0))</f>
        <v>0</v>
      </c>
    </row>
    <row r="29" spans="2:41" ht="15.75" thickBot="1">
      <c r="B29" s="370">
        <v>22</v>
      </c>
      <c r="C29" s="371">
        <v>41809</v>
      </c>
      <c r="D29" s="372" t="s">
        <v>19</v>
      </c>
      <c r="E29" s="373" t="s">
        <v>9</v>
      </c>
      <c r="F29" s="382" t="s">
        <v>21</v>
      </c>
      <c r="G29" s="436">
        <v>1</v>
      </c>
      <c r="H29" s="373" t="s">
        <v>9</v>
      </c>
      <c r="I29" s="441">
        <v>2</v>
      </c>
      <c r="J29" s="375">
        <f t="shared" si="5"/>
        <v>2</v>
      </c>
      <c r="K29" s="363">
        <f t="shared" si="6"/>
        <v>0</v>
      </c>
      <c r="L29" s="363">
        <f t="shared" si="7"/>
        <v>3</v>
      </c>
      <c r="O29" s="398" t="s">
        <v>21</v>
      </c>
      <c r="P29" s="399">
        <f>SUMIF($D$8:$D$55,$O29,$G$8:$G$55)+SUMIF($F$8:$F$55,$O29,$I$8:$I$55)</f>
        <v>5</v>
      </c>
      <c r="Q29" s="399">
        <f>SUMIF($D$8:$D$55,$O29,$I$8:$I$55)+SUMIF($F$8:$F$55,$O29,$G$8:$G$55)</f>
        <v>2</v>
      </c>
      <c r="R29" s="399">
        <f>P29-Q29</f>
        <v>3</v>
      </c>
      <c r="S29" s="400">
        <f>SUMIF($D$8:$D$55,$O29,$K$8:$K$55)+SUMIF($F$8:$F$55,$O29,$L$8:$L$55)</f>
        <v>7</v>
      </c>
      <c r="T29" s="445" t="s">
        <v>63</v>
      </c>
      <c r="U29" s="392"/>
      <c r="V29" s="392" t="str">
        <f>O29</f>
        <v>Engeland</v>
      </c>
      <c r="W29" s="392" t="s">
        <v>64</v>
      </c>
      <c r="Y29" s="109">
        <f t="shared" si="8"/>
        <v>0</v>
      </c>
      <c r="AC29" s="110">
        <f>IF((Uitslag!G29=""),"",(Uitslag!G29))</f>
        <v>2</v>
      </c>
      <c r="AD29" s="111">
        <f>IF((Uitslag!I29=""),"",(Uitslag!I29))</f>
        <v>1</v>
      </c>
      <c r="AF29" s="108">
        <f t="shared" si="9"/>
        <v>0</v>
      </c>
      <c r="AG29" s="108">
        <f t="shared" si="0"/>
        <v>0</v>
      </c>
      <c r="AH29" s="108">
        <f t="shared" si="1"/>
        <v>0</v>
      </c>
      <c r="AI29" s="108">
        <f t="shared" si="10"/>
        <v>0</v>
      </c>
      <c r="AJ29" s="108">
        <f t="shared" si="2"/>
        <v>0</v>
      </c>
      <c r="AK29" s="108">
        <f t="shared" si="3"/>
        <v>0</v>
      </c>
      <c r="AL29" s="108">
        <f t="shared" si="4"/>
        <v>0</v>
      </c>
      <c r="AM29" s="120">
        <f>AO29</f>
        <v>0</v>
      </c>
      <c r="AN29" s="117" t="s">
        <v>21</v>
      </c>
      <c r="AO29" s="115">
        <f>IF(Uitslag!T29="",0,IF(T29=Uitslag!T29,10,0))</f>
        <v>0</v>
      </c>
    </row>
    <row r="30" spans="2:41" ht="15.75" thickBot="1">
      <c r="B30" s="376">
        <v>23</v>
      </c>
      <c r="C30" s="377">
        <v>41809</v>
      </c>
      <c r="D30" s="378" t="s">
        <v>24</v>
      </c>
      <c r="E30" s="379" t="s">
        <v>9</v>
      </c>
      <c r="F30" s="380" t="s">
        <v>18</v>
      </c>
      <c r="G30" s="437">
        <v>2</v>
      </c>
      <c r="H30" s="379" t="s">
        <v>9</v>
      </c>
      <c r="I30" s="442">
        <v>0</v>
      </c>
      <c r="J30" s="381">
        <f t="shared" si="5"/>
        <v>1</v>
      </c>
      <c r="K30" s="363">
        <f t="shared" si="6"/>
        <v>3</v>
      </c>
      <c r="L30" s="363">
        <f t="shared" si="7"/>
        <v>0</v>
      </c>
      <c r="O30" s="401" t="s">
        <v>22</v>
      </c>
      <c r="P30" s="402">
        <f>SUMIF($D$8:$D$55,$O30,$G$8:$G$55)+SUMIF($F$8:$F$55,$O30,$I$8:$I$55)</f>
        <v>5</v>
      </c>
      <c r="Q30" s="402">
        <f>SUMIF($D$8:$D$55,$O30,$I$8:$I$55)+SUMIF($F$8:$F$55,$O30,$G$8:$G$55)</f>
        <v>2</v>
      </c>
      <c r="R30" s="402">
        <f>P30-Q30</f>
        <v>3</v>
      </c>
      <c r="S30" s="403">
        <f>SUMIF($D$8:$D$55,$O30,$K$8:$K$55)+SUMIF($F$8:$F$55,$O30,$L$8:$L$55)</f>
        <v>7</v>
      </c>
      <c r="T30" s="446" t="s">
        <v>62</v>
      </c>
      <c r="U30" s="392"/>
      <c r="V30" s="392" t="str">
        <f>O30</f>
        <v>Italië</v>
      </c>
      <c r="W30" s="392" t="s">
        <v>65</v>
      </c>
      <c r="Y30" s="109">
        <f t="shared" si="8"/>
        <v>1</v>
      </c>
      <c r="AC30" s="110">
        <f>IF((Uitslag!G30=""),"",(Uitslag!G30))</f>
        <v>0</v>
      </c>
      <c r="AD30" s="111">
        <f>IF((Uitslag!I30=""),"",(Uitslag!I30))</f>
        <v>0</v>
      </c>
      <c r="AF30" s="108">
        <f t="shared" si="9"/>
        <v>1</v>
      </c>
      <c r="AG30" s="108">
        <f t="shared" si="0"/>
        <v>0</v>
      </c>
      <c r="AH30" s="108">
        <f t="shared" si="1"/>
        <v>1</v>
      </c>
      <c r="AI30" s="108">
        <f t="shared" si="10"/>
        <v>0</v>
      </c>
      <c r="AJ30" s="108">
        <f t="shared" si="2"/>
        <v>0</v>
      </c>
      <c r="AK30" s="108">
        <f t="shared" si="3"/>
        <v>0</v>
      </c>
      <c r="AL30" s="108">
        <f t="shared" si="4"/>
        <v>0</v>
      </c>
      <c r="AM30" s="120">
        <f>AO30</f>
        <v>0</v>
      </c>
      <c r="AN30" s="118" t="s">
        <v>22</v>
      </c>
      <c r="AO30" s="115">
        <f>IF(Uitslag!T30="",0,IF(T30=Uitslag!T30,10,0))</f>
        <v>0</v>
      </c>
    </row>
    <row r="31" spans="2:41" ht="15.75" thickBot="1">
      <c r="B31" s="364">
        <v>24</v>
      </c>
      <c r="C31" s="365">
        <v>41810</v>
      </c>
      <c r="D31" s="366" t="s">
        <v>22</v>
      </c>
      <c r="E31" s="367" t="s">
        <v>9</v>
      </c>
      <c r="F31" s="368" t="s">
        <v>20</v>
      </c>
      <c r="G31" s="435">
        <v>2</v>
      </c>
      <c r="H31" s="367" t="s">
        <v>9</v>
      </c>
      <c r="I31" s="440">
        <v>0</v>
      </c>
      <c r="J31" s="369">
        <f t="shared" si="5"/>
        <v>1</v>
      </c>
      <c r="K31" s="363">
        <f t="shared" si="6"/>
        <v>3</v>
      </c>
      <c r="L31" s="363">
        <f t="shared" si="7"/>
        <v>0</v>
      </c>
      <c r="O31" s="392"/>
      <c r="P31" s="393"/>
      <c r="Q31" s="393"/>
      <c r="R31" s="393"/>
      <c r="S31" s="393"/>
      <c r="T31" s="393"/>
      <c r="U31" s="392"/>
      <c r="V31" s="392"/>
      <c r="W31" s="392"/>
      <c r="Y31" s="109">
        <f t="shared" si="8"/>
        <v>0</v>
      </c>
      <c r="AC31" s="110">
        <f>IF((Uitslag!G31=""),"",(Uitslag!G31))</f>
        <v>0</v>
      </c>
      <c r="AD31" s="111">
        <f>IF((Uitslag!I31=""),"",(Uitslag!I31))</f>
        <v>1</v>
      </c>
      <c r="AF31" s="108">
        <f t="shared" si="9"/>
        <v>0</v>
      </c>
      <c r="AG31" s="108">
        <f t="shared" si="0"/>
        <v>0</v>
      </c>
      <c r="AH31" s="108">
        <f t="shared" si="1"/>
        <v>0</v>
      </c>
      <c r="AI31" s="108">
        <f t="shared" si="10"/>
        <v>0</v>
      </c>
      <c r="AJ31" s="108">
        <f t="shared" si="2"/>
        <v>0</v>
      </c>
      <c r="AK31" s="108">
        <f t="shared" si="3"/>
        <v>0</v>
      </c>
      <c r="AL31" s="108">
        <f t="shared" si="4"/>
        <v>0</v>
      </c>
      <c r="AN31" s="392"/>
      <c r="AO31" s="393"/>
    </row>
    <row r="32" spans="2:41" ht="15.75" thickBot="1">
      <c r="B32" s="370">
        <v>25</v>
      </c>
      <c r="C32" s="371">
        <v>41810</v>
      </c>
      <c r="D32" s="372" t="s">
        <v>25</v>
      </c>
      <c r="E32" s="373" t="s">
        <v>9</v>
      </c>
      <c r="F32" s="382" t="s">
        <v>27</v>
      </c>
      <c r="G32" s="436">
        <v>0</v>
      </c>
      <c r="H32" s="373" t="s">
        <v>9</v>
      </c>
      <c r="I32" s="441">
        <v>2</v>
      </c>
      <c r="J32" s="375">
        <f t="shared" si="5"/>
        <v>2</v>
      </c>
      <c r="K32" s="363">
        <f t="shared" si="6"/>
        <v>0</v>
      </c>
      <c r="L32" s="363">
        <f t="shared" si="7"/>
        <v>3</v>
      </c>
      <c r="O32" s="422" t="s">
        <v>66</v>
      </c>
      <c r="P32" s="423" t="s">
        <v>42</v>
      </c>
      <c r="Q32" s="423" t="s">
        <v>43</v>
      </c>
      <c r="R32" s="424" t="s">
        <v>44</v>
      </c>
      <c r="S32" s="425" t="s">
        <v>45</v>
      </c>
      <c r="T32" s="426" t="s">
        <v>46</v>
      </c>
      <c r="U32" s="392"/>
      <c r="V32" s="392"/>
      <c r="W32" s="392"/>
      <c r="Y32" s="109">
        <f t="shared" si="8"/>
        <v>5</v>
      </c>
      <c r="AC32" s="110">
        <f>IF((Uitslag!G32=""),"",(Uitslag!G32))</f>
        <v>2</v>
      </c>
      <c r="AD32" s="111">
        <f>IF((Uitslag!I32=""),"",(Uitslag!I32))</f>
        <v>5</v>
      </c>
      <c r="AF32" s="108">
        <f t="shared" si="9"/>
        <v>5</v>
      </c>
      <c r="AG32" s="108">
        <f t="shared" si="0"/>
        <v>0</v>
      </c>
      <c r="AH32" s="108">
        <f t="shared" si="1"/>
        <v>0</v>
      </c>
      <c r="AI32" s="108">
        <f t="shared" si="10"/>
        <v>0</v>
      </c>
      <c r="AJ32" s="108">
        <f t="shared" si="2"/>
        <v>0</v>
      </c>
      <c r="AK32" s="108">
        <f t="shared" si="3"/>
        <v>5</v>
      </c>
      <c r="AL32" s="108">
        <f t="shared" si="4"/>
        <v>0</v>
      </c>
      <c r="AN32" s="42" t="s">
        <v>66</v>
      </c>
      <c r="AO32" s="43" t="s">
        <v>46</v>
      </c>
    </row>
    <row r="33" spans="2:41" ht="15.75" thickBot="1">
      <c r="B33" s="376">
        <v>26</v>
      </c>
      <c r="C33" s="377">
        <v>41810</v>
      </c>
      <c r="D33" s="378" t="s">
        <v>28</v>
      </c>
      <c r="E33" s="379" t="s">
        <v>9</v>
      </c>
      <c r="F33" s="380" t="s">
        <v>26</v>
      </c>
      <c r="G33" s="437">
        <v>0</v>
      </c>
      <c r="H33" s="379" t="s">
        <v>9</v>
      </c>
      <c r="I33" s="442">
        <v>1</v>
      </c>
      <c r="J33" s="381">
        <f t="shared" si="5"/>
        <v>2</v>
      </c>
      <c r="K33" s="363">
        <f t="shared" si="6"/>
        <v>0</v>
      </c>
      <c r="L33" s="363">
        <f t="shared" si="7"/>
        <v>3</v>
      </c>
      <c r="O33" s="394" t="s">
        <v>25</v>
      </c>
      <c r="P33" s="395">
        <f>SUMIF($D$8:$D$55,$O33,$G$8:$G$55)+SUMIF($F$8:$F$55,$O33,$I$8:$I$55)</f>
        <v>1</v>
      </c>
      <c r="Q33" s="395">
        <f>SUMIF($D$8:$D$55,$O33,$I$8:$I$55)+SUMIF($F$8:$F$55,$O33,$G$8:$G$55)</f>
        <v>4</v>
      </c>
      <c r="R33" s="396">
        <f>P33-Q33</f>
        <v>-3</v>
      </c>
      <c r="S33" s="397">
        <f>SUMIF($D$8:$D$55,$O33,$K$8:$K$55)+SUMIF($F$8:$F$55,$O33,$L$8:$L$55)</f>
        <v>1</v>
      </c>
      <c r="T33" s="444" t="s">
        <v>69</v>
      </c>
      <c r="U33" s="392"/>
      <c r="V33" s="392" t="str">
        <f>O33</f>
        <v>Zwitserland</v>
      </c>
      <c r="W33" s="392" t="s">
        <v>67</v>
      </c>
      <c r="Y33" s="109">
        <f t="shared" si="8"/>
        <v>5</v>
      </c>
      <c r="AC33" s="110">
        <f>IF((Uitslag!G33=""),"",(Uitslag!G33))</f>
        <v>1</v>
      </c>
      <c r="AD33" s="111">
        <f>IF((Uitslag!I33=""),"",(Uitslag!I33))</f>
        <v>2</v>
      </c>
      <c r="AF33" s="108">
        <f t="shared" si="9"/>
        <v>5</v>
      </c>
      <c r="AG33" s="108">
        <f t="shared" si="0"/>
        <v>0</v>
      </c>
      <c r="AH33" s="108">
        <f t="shared" si="1"/>
        <v>0</v>
      </c>
      <c r="AI33" s="108">
        <f t="shared" si="10"/>
        <v>0</v>
      </c>
      <c r="AJ33" s="108">
        <f t="shared" si="2"/>
        <v>0</v>
      </c>
      <c r="AK33" s="108">
        <f t="shared" si="3"/>
        <v>5</v>
      </c>
      <c r="AL33" s="108">
        <f t="shared" si="4"/>
        <v>0</v>
      </c>
      <c r="AM33" s="120">
        <f>AO33</f>
        <v>0</v>
      </c>
      <c r="AN33" s="116" t="s">
        <v>25</v>
      </c>
      <c r="AO33" s="115">
        <f>IF(Uitslag!T33="",0,IF(T33=Uitslag!T33,10,0))</f>
        <v>0</v>
      </c>
    </row>
    <row r="34" spans="2:41" ht="15.75" thickBot="1">
      <c r="B34" s="364">
        <v>27</v>
      </c>
      <c r="C34" s="365">
        <v>41811</v>
      </c>
      <c r="D34" s="366" t="s">
        <v>29</v>
      </c>
      <c r="E34" s="367" t="s">
        <v>9</v>
      </c>
      <c r="F34" s="368" t="s">
        <v>33</v>
      </c>
      <c r="G34" s="435">
        <v>3</v>
      </c>
      <c r="H34" s="367" t="s">
        <v>9</v>
      </c>
      <c r="I34" s="440">
        <v>0</v>
      </c>
      <c r="J34" s="369">
        <f t="shared" si="5"/>
        <v>1</v>
      </c>
      <c r="K34" s="363">
        <f t="shared" si="6"/>
        <v>3</v>
      </c>
      <c r="L34" s="363">
        <f t="shared" si="7"/>
        <v>0</v>
      </c>
      <c r="O34" s="398" t="s">
        <v>26</v>
      </c>
      <c r="P34" s="399">
        <f>SUMIF($D$8:$D$55,$O34,$G$8:$G$55)+SUMIF($F$8:$F$55,$O34,$I$8:$I$55)</f>
        <v>3</v>
      </c>
      <c r="Q34" s="399">
        <f>SUMIF($D$8:$D$55,$O34,$I$8:$I$55)+SUMIF($F$8:$F$55,$O34,$G$8:$G$55)</f>
        <v>3</v>
      </c>
      <c r="R34" s="399">
        <f>P34-Q34</f>
        <v>0</v>
      </c>
      <c r="S34" s="400">
        <f>SUMIF($D$8:$D$55,$O34,$K$8:$K$55)+SUMIF($F$8:$F$55,$O34,$L$8:$L$55)</f>
        <v>6</v>
      </c>
      <c r="T34" s="445" t="s">
        <v>68</v>
      </c>
      <c r="U34" s="392"/>
      <c r="V34" s="392" t="str">
        <f>O34</f>
        <v>Ecuador</v>
      </c>
      <c r="W34" s="392" t="s">
        <v>68</v>
      </c>
      <c r="Y34" s="109">
        <f t="shared" si="8"/>
        <v>6</v>
      </c>
      <c r="AC34" s="110">
        <f>IF((Uitslag!G34=""),"",(Uitslag!G34))</f>
        <v>1</v>
      </c>
      <c r="AD34" s="111">
        <f>IF((Uitslag!I34=""),"",(Uitslag!I34))</f>
        <v>0</v>
      </c>
      <c r="AF34" s="108">
        <f t="shared" si="9"/>
        <v>6</v>
      </c>
      <c r="AG34" s="108">
        <f t="shared" si="0"/>
        <v>0</v>
      </c>
      <c r="AH34" s="108">
        <f t="shared" si="1"/>
        <v>1</v>
      </c>
      <c r="AI34" s="108">
        <f t="shared" si="10"/>
        <v>0</v>
      </c>
      <c r="AJ34" s="108">
        <f t="shared" si="2"/>
        <v>5</v>
      </c>
      <c r="AK34" s="108">
        <f t="shared" si="3"/>
        <v>0</v>
      </c>
      <c r="AL34" s="108">
        <f t="shared" si="4"/>
        <v>0</v>
      </c>
      <c r="AM34" s="120">
        <f>AO34</f>
        <v>0</v>
      </c>
      <c r="AN34" s="117" t="s">
        <v>26</v>
      </c>
      <c r="AO34" s="115">
        <f>IF(Uitslag!T34="",0,IF(T34=Uitslag!T34,10,0))</f>
        <v>0</v>
      </c>
    </row>
    <row r="35" spans="2:41" ht="15.75" thickBot="1">
      <c r="B35" s="370">
        <v>28</v>
      </c>
      <c r="C35" s="371">
        <v>41811</v>
      </c>
      <c r="D35" s="372" t="s">
        <v>31</v>
      </c>
      <c r="E35" s="373" t="s">
        <v>9</v>
      </c>
      <c r="F35" s="382" t="s">
        <v>35</v>
      </c>
      <c r="G35" s="436">
        <v>2</v>
      </c>
      <c r="H35" s="373" t="s">
        <v>9</v>
      </c>
      <c r="I35" s="441">
        <v>0</v>
      </c>
      <c r="J35" s="375">
        <f t="shared" si="5"/>
        <v>1</v>
      </c>
      <c r="K35" s="363">
        <f t="shared" si="6"/>
        <v>3</v>
      </c>
      <c r="L35" s="363">
        <f t="shared" si="7"/>
        <v>0</v>
      </c>
      <c r="O35" s="398" t="s">
        <v>27</v>
      </c>
      <c r="P35" s="399">
        <f>SUMIF($D$8:$D$55,$O35,$G$8:$G$55)+SUMIF($F$8:$F$55,$O35,$I$8:$I$55)</f>
        <v>8</v>
      </c>
      <c r="Q35" s="399">
        <f>SUMIF($D$8:$D$55,$O35,$I$8:$I$55)+SUMIF($F$8:$F$55,$O35,$G$8:$G$55)</f>
        <v>1</v>
      </c>
      <c r="R35" s="399">
        <f>P35-Q35</f>
        <v>7</v>
      </c>
      <c r="S35" s="400">
        <f>SUMIF($D$8:$D$55,$O35,$K$8:$K$55)+SUMIF($F$8:$F$55,$O35,$L$8:$L$55)</f>
        <v>9</v>
      </c>
      <c r="T35" s="445" t="s">
        <v>67</v>
      </c>
      <c r="U35" s="392"/>
      <c r="V35" s="392" t="str">
        <f>O35</f>
        <v>Frankrijk</v>
      </c>
      <c r="W35" s="392" t="s">
        <v>69</v>
      </c>
      <c r="Y35" s="109">
        <f t="shared" si="8"/>
        <v>1</v>
      </c>
      <c r="AC35" s="110">
        <f>IF((Uitslag!G35=""),"",(Uitslag!G35))</f>
        <v>2</v>
      </c>
      <c r="AD35" s="111">
        <f>IF((Uitslag!I35=""),"",(Uitslag!I35))</f>
        <v>2</v>
      </c>
      <c r="AF35" s="108">
        <f t="shared" si="9"/>
        <v>1</v>
      </c>
      <c r="AG35" s="108">
        <f t="shared" si="0"/>
        <v>1</v>
      </c>
      <c r="AH35" s="108">
        <f t="shared" si="1"/>
        <v>0</v>
      </c>
      <c r="AI35" s="108">
        <f t="shared" si="10"/>
        <v>0</v>
      </c>
      <c r="AJ35" s="108">
        <f t="shared" si="2"/>
        <v>0</v>
      </c>
      <c r="AK35" s="108">
        <f t="shared" si="3"/>
        <v>0</v>
      </c>
      <c r="AL35" s="108">
        <f t="shared" si="4"/>
        <v>0</v>
      </c>
      <c r="AM35" s="120">
        <f>AO35</f>
        <v>10</v>
      </c>
      <c r="AN35" s="117" t="s">
        <v>27</v>
      </c>
      <c r="AO35" s="115">
        <f>IF(Uitslag!T35="",0,IF(T35=Uitslag!T35,10,0))</f>
        <v>10</v>
      </c>
    </row>
    <row r="36" spans="2:41" ht="15.75" thickBot="1">
      <c r="B36" s="376">
        <v>29</v>
      </c>
      <c r="C36" s="377">
        <v>41811</v>
      </c>
      <c r="D36" s="378" t="s">
        <v>34</v>
      </c>
      <c r="E36" s="379" t="s">
        <v>9</v>
      </c>
      <c r="F36" s="380" t="s">
        <v>30</v>
      </c>
      <c r="G36" s="437">
        <v>1</v>
      </c>
      <c r="H36" s="379" t="s">
        <v>9</v>
      </c>
      <c r="I36" s="442">
        <v>1</v>
      </c>
      <c r="J36" s="381">
        <f t="shared" si="5"/>
        <v>3</v>
      </c>
      <c r="K36" s="363">
        <f t="shared" si="6"/>
        <v>1</v>
      </c>
      <c r="L36" s="363">
        <f t="shared" si="7"/>
        <v>1</v>
      </c>
      <c r="O36" s="401" t="s">
        <v>28</v>
      </c>
      <c r="P36" s="402">
        <f>SUMIF($D$8:$D$55,$O36,$G$8:$G$55)+SUMIF($F$8:$F$55,$O36,$I$8:$I$55)</f>
        <v>1</v>
      </c>
      <c r="Q36" s="402">
        <f>SUMIF($D$8:$D$55,$O36,$I$8:$I$55)+SUMIF($F$8:$F$55,$O36,$G$8:$G$55)</f>
        <v>5</v>
      </c>
      <c r="R36" s="402">
        <f>P36-Q36</f>
        <v>-4</v>
      </c>
      <c r="S36" s="403">
        <f>SUMIF($D$8:$D$55,$O36,$K$8:$K$55)+SUMIF($F$8:$F$55,$O36,$L$8:$L$55)</f>
        <v>1</v>
      </c>
      <c r="T36" s="446" t="s">
        <v>70</v>
      </c>
      <c r="U36" s="392"/>
      <c r="V36" s="392" t="str">
        <f>O36</f>
        <v>Honduras</v>
      </c>
      <c r="W36" s="392" t="s">
        <v>70</v>
      </c>
      <c r="Y36" s="109">
        <f t="shared" si="8"/>
        <v>1</v>
      </c>
      <c r="AC36" s="110">
        <f>IF((Uitslag!G36=""),"",(Uitslag!G36))</f>
        <v>1</v>
      </c>
      <c r="AD36" s="111">
        <f>IF((Uitslag!I36=""),"",(Uitslag!I36))</f>
        <v>0</v>
      </c>
      <c r="AF36" s="108">
        <f t="shared" si="9"/>
        <v>1</v>
      </c>
      <c r="AG36" s="108">
        <f t="shared" si="0"/>
        <v>1</v>
      </c>
      <c r="AH36" s="108">
        <f t="shared" si="1"/>
        <v>0</v>
      </c>
      <c r="AI36" s="108">
        <f t="shared" si="10"/>
        <v>0</v>
      </c>
      <c r="AJ36" s="108">
        <f t="shared" si="2"/>
        <v>0</v>
      </c>
      <c r="AK36" s="108">
        <f t="shared" si="3"/>
        <v>0</v>
      </c>
      <c r="AL36" s="108">
        <f t="shared" si="4"/>
        <v>0</v>
      </c>
      <c r="AM36" s="120">
        <f>AO36</f>
        <v>10</v>
      </c>
      <c r="AN36" s="118" t="s">
        <v>28</v>
      </c>
      <c r="AO36" s="115">
        <f>IF(Uitslag!T36="",0,IF(T36=Uitslag!T36,10,0))</f>
        <v>10</v>
      </c>
    </row>
    <row r="37" spans="2:41" ht="15.75" thickBot="1">
      <c r="B37" s="364">
        <v>30</v>
      </c>
      <c r="C37" s="365">
        <v>41812</v>
      </c>
      <c r="D37" s="366" t="s">
        <v>37</v>
      </c>
      <c r="E37" s="367" t="s">
        <v>9</v>
      </c>
      <c r="F37" s="368" t="s">
        <v>39</v>
      </c>
      <c r="G37" s="435">
        <v>2</v>
      </c>
      <c r="H37" s="367" t="s">
        <v>9</v>
      </c>
      <c r="I37" s="440">
        <v>1</v>
      </c>
      <c r="J37" s="369">
        <f t="shared" si="5"/>
        <v>1</v>
      </c>
      <c r="K37" s="363">
        <f t="shared" si="6"/>
        <v>3</v>
      </c>
      <c r="L37" s="363">
        <f t="shared" si="7"/>
        <v>0</v>
      </c>
      <c r="O37" s="392"/>
      <c r="P37" s="393"/>
      <c r="Q37" s="393"/>
      <c r="R37" s="393"/>
      <c r="S37" s="393"/>
      <c r="T37" s="393"/>
      <c r="U37" s="392"/>
      <c r="V37" s="392"/>
      <c r="W37" s="392"/>
      <c r="Y37" s="109">
        <f t="shared" si="8"/>
        <v>5</v>
      </c>
      <c r="AC37" s="110">
        <f>IF((Uitslag!G37=""),"",(Uitslag!G37))</f>
        <v>1</v>
      </c>
      <c r="AD37" s="111">
        <f>IF((Uitslag!I37=""),"",(Uitslag!I37))</f>
        <v>0</v>
      </c>
      <c r="AF37" s="108">
        <f t="shared" si="9"/>
        <v>5</v>
      </c>
      <c r="AG37" s="108">
        <f t="shared" si="0"/>
        <v>0</v>
      </c>
      <c r="AH37" s="108">
        <f t="shared" si="1"/>
        <v>0</v>
      </c>
      <c r="AI37" s="108">
        <f t="shared" si="10"/>
        <v>0</v>
      </c>
      <c r="AJ37" s="108">
        <f t="shared" si="2"/>
        <v>5</v>
      </c>
      <c r="AK37" s="108">
        <f t="shared" si="3"/>
        <v>0</v>
      </c>
      <c r="AL37" s="108">
        <f t="shared" si="4"/>
        <v>0</v>
      </c>
      <c r="AN37" s="392"/>
      <c r="AO37" s="393"/>
    </row>
    <row r="38" spans="2:41" ht="15.75" thickBot="1">
      <c r="B38" s="370">
        <v>31</v>
      </c>
      <c r="C38" s="371">
        <v>41812</v>
      </c>
      <c r="D38" s="372" t="s">
        <v>40</v>
      </c>
      <c r="E38" s="373" t="s">
        <v>9</v>
      </c>
      <c r="F38" s="382" t="s">
        <v>38</v>
      </c>
      <c r="G38" s="436">
        <v>0</v>
      </c>
      <c r="H38" s="373" t="s">
        <v>9</v>
      </c>
      <c r="I38" s="441">
        <v>0</v>
      </c>
      <c r="J38" s="375">
        <f t="shared" si="5"/>
        <v>3</v>
      </c>
      <c r="K38" s="363">
        <f t="shared" si="6"/>
        <v>1</v>
      </c>
      <c r="L38" s="363">
        <f t="shared" si="7"/>
        <v>1</v>
      </c>
      <c r="O38" s="422" t="s">
        <v>71</v>
      </c>
      <c r="P38" s="423" t="s">
        <v>42</v>
      </c>
      <c r="Q38" s="423" t="s">
        <v>43</v>
      </c>
      <c r="R38" s="424" t="s">
        <v>44</v>
      </c>
      <c r="S38" s="425" t="s">
        <v>45</v>
      </c>
      <c r="T38" s="426" t="s">
        <v>46</v>
      </c>
      <c r="U38" s="392"/>
      <c r="V38" s="392"/>
      <c r="W38" s="392"/>
      <c r="Y38" s="109">
        <f t="shared" si="8"/>
        <v>0</v>
      </c>
      <c r="AC38" s="110">
        <f>IF((Uitslag!G38=""),"",(Uitslag!G38))</f>
        <v>2</v>
      </c>
      <c r="AD38" s="111">
        <f>IF((Uitslag!I38=""),"",(Uitslag!I38))</f>
        <v>4</v>
      </c>
      <c r="AF38" s="108">
        <f t="shared" si="9"/>
        <v>0</v>
      </c>
      <c r="AG38" s="108">
        <f t="shared" si="0"/>
        <v>0</v>
      </c>
      <c r="AH38" s="108">
        <f t="shared" si="1"/>
        <v>0</v>
      </c>
      <c r="AI38" s="108">
        <f t="shared" si="10"/>
        <v>0</v>
      </c>
      <c r="AJ38" s="108">
        <f t="shared" si="2"/>
        <v>0</v>
      </c>
      <c r="AK38" s="108">
        <f t="shared" si="3"/>
        <v>0</v>
      </c>
      <c r="AL38" s="108">
        <f t="shared" si="4"/>
        <v>0</v>
      </c>
      <c r="AN38" s="42" t="s">
        <v>71</v>
      </c>
      <c r="AO38" s="43" t="s">
        <v>46</v>
      </c>
    </row>
    <row r="39" spans="2:41" ht="15.75" thickBot="1">
      <c r="B39" s="376">
        <v>32</v>
      </c>
      <c r="C39" s="377">
        <v>41812</v>
      </c>
      <c r="D39" s="378" t="s">
        <v>36</v>
      </c>
      <c r="E39" s="379" t="s">
        <v>9</v>
      </c>
      <c r="F39" s="380" t="s">
        <v>32</v>
      </c>
      <c r="G39" s="437">
        <v>0</v>
      </c>
      <c r="H39" s="379" t="s">
        <v>9</v>
      </c>
      <c r="I39" s="442">
        <v>2</v>
      </c>
      <c r="J39" s="381">
        <f t="shared" si="5"/>
        <v>2</v>
      </c>
      <c r="K39" s="363">
        <f t="shared" si="6"/>
        <v>0</v>
      </c>
      <c r="L39" s="363">
        <f t="shared" si="7"/>
        <v>3</v>
      </c>
      <c r="O39" s="394" t="s">
        <v>29</v>
      </c>
      <c r="P39" s="395">
        <f>SUMIF($D$8:$D$55,$O39,$G$8:$G$55)+SUMIF($F$8:$F$55,$O39,$I$8:$I$55)</f>
        <v>7</v>
      </c>
      <c r="Q39" s="395">
        <f>SUMIF($D$8:$D$55,$O39,$I$8:$I$55)+SUMIF($F$8:$F$55,$O39,$G$8:$G$55)</f>
        <v>0</v>
      </c>
      <c r="R39" s="396">
        <f>P39-Q39</f>
        <v>7</v>
      </c>
      <c r="S39" s="397">
        <f>SUMIF($D$8:$D$55,$O39,$K$8:$K$55)+SUMIF($F$8:$F$55,$O39,$L$8:$L$55)</f>
        <v>9</v>
      </c>
      <c r="T39" s="444" t="s">
        <v>72</v>
      </c>
      <c r="U39" s="392"/>
      <c r="V39" s="392" t="str">
        <f>O39</f>
        <v>Argentinië</v>
      </c>
      <c r="W39" s="392" t="s">
        <v>72</v>
      </c>
      <c r="Y39" s="109">
        <f t="shared" si="8"/>
        <v>1</v>
      </c>
      <c r="AC39" s="110">
        <f>IF((Uitslag!G39=""),"",(Uitslag!G39))</f>
        <v>2</v>
      </c>
      <c r="AD39" s="111">
        <f>IF((Uitslag!I39=""),"",(Uitslag!I39))</f>
        <v>2</v>
      </c>
      <c r="AF39" s="108">
        <f t="shared" si="9"/>
        <v>1</v>
      </c>
      <c r="AG39" s="108">
        <f t="shared" si="0"/>
        <v>0</v>
      </c>
      <c r="AH39" s="108">
        <f t="shared" si="1"/>
        <v>1</v>
      </c>
      <c r="AI39" s="108">
        <f t="shared" si="10"/>
        <v>0</v>
      </c>
      <c r="AJ39" s="108">
        <f t="shared" si="2"/>
        <v>0</v>
      </c>
      <c r="AK39" s="108">
        <f t="shared" si="3"/>
        <v>0</v>
      </c>
      <c r="AL39" s="108">
        <f t="shared" si="4"/>
        <v>0</v>
      </c>
      <c r="AM39" s="120">
        <f>AO39</f>
        <v>10</v>
      </c>
      <c r="AN39" s="116" t="s">
        <v>29</v>
      </c>
      <c r="AO39" s="115">
        <f>IF(Uitslag!T39="",0,IF(T39=Uitslag!T39,10,0))</f>
        <v>10</v>
      </c>
    </row>
    <row r="40" spans="2:41" ht="15.75" thickBot="1">
      <c r="B40" s="364">
        <v>33</v>
      </c>
      <c r="C40" s="365">
        <v>41813</v>
      </c>
      <c r="D40" s="366" t="s">
        <v>16</v>
      </c>
      <c r="E40" s="367" t="s">
        <v>9</v>
      </c>
      <c r="F40" s="368" t="s">
        <v>13</v>
      </c>
      <c r="G40" s="435">
        <v>0</v>
      </c>
      <c r="H40" s="367" t="s">
        <v>9</v>
      </c>
      <c r="I40" s="440">
        <v>3</v>
      </c>
      <c r="J40" s="369">
        <f t="shared" si="5"/>
        <v>2</v>
      </c>
      <c r="K40" s="363">
        <f t="shared" si="6"/>
        <v>0</v>
      </c>
      <c r="L40" s="363">
        <f t="shared" si="7"/>
        <v>3</v>
      </c>
      <c r="O40" s="398" t="s">
        <v>30</v>
      </c>
      <c r="P40" s="399">
        <f>SUMIF($D$8:$D$55,$O40,$G$8:$G$55)+SUMIF($F$8:$F$55,$O40,$I$8:$I$55)</f>
        <v>2</v>
      </c>
      <c r="Q40" s="399">
        <f>SUMIF($D$8:$D$55,$O40,$I$8:$I$55)+SUMIF($F$8:$F$55,$O40,$G$8:$G$55)</f>
        <v>4</v>
      </c>
      <c r="R40" s="399">
        <f>P40-Q40</f>
        <v>-2</v>
      </c>
      <c r="S40" s="400">
        <f>SUMIF($D$8:$D$55,$O40,$K$8:$K$55)+SUMIF($F$8:$F$55,$O40,$L$8:$L$55)</f>
        <v>2</v>
      </c>
      <c r="T40" s="445" t="s">
        <v>74</v>
      </c>
      <c r="U40" s="392"/>
      <c r="V40" s="392" t="str">
        <f>O40</f>
        <v>Bosnië H.</v>
      </c>
      <c r="W40" s="392" t="s">
        <v>73</v>
      </c>
      <c r="Y40" s="109">
        <f t="shared" si="8"/>
        <v>10</v>
      </c>
      <c r="AC40" s="110">
        <f>IF((Uitslag!G40=""),"",(Uitslag!G40))</f>
        <v>0</v>
      </c>
      <c r="AD40" s="111">
        <f>IF((Uitslag!I40=""),"",(Uitslag!I40))</f>
        <v>3</v>
      </c>
      <c r="AF40" s="108">
        <f t="shared" si="9"/>
        <v>10</v>
      </c>
      <c r="AG40" s="108">
        <f t="shared" si="0"/>
        <v>1</v>
      </c>
      <c r="AH40" s="108">
        <f t="shared" si="1"/>
        <v>1</v>
      </c>
      <c r="AI40" s="108">
        <f t="shared" si="10"/>
        <v>10</v>
      </c>
      <c r="AJ40" s="108">
        <f t="shared" si="2"/>
        <v>0</v>
      </c>
      <c r="AK40" s="108">
        <f t="shared" si="3"/>
        <v>5</v>
      </c>
      <c r="AL40" s="108">
        <f t="shared" si="4"/>
        <v>0</v>
      </c>
      <c r="AM40" s="120">
        <f>AO40</f>
        <v>10</v>
      </c>
      <c r="AN40" s="117" t="s">
        <v>30</v>
      </c>
      <c r="AO40" s="115">
        <f>IF(Uitslag!T40="",0,IF(T40=Uitslag!T40,10,0))</f>
        <v>10</v>
      </c>
    </row>
    <row r="41" spans="2:41" ht="15.75" thickBot="1">
      <c r="B41" s="370">
        <v>34</v>
      </c>
      <c r="C41" s="371">
        <v>41813</v>
      </c>
      <c r="D41" s="384" t="s">
        <v>14</v>
      </c>
      <c r="E41" s="373" t="s">
        <v>9</v>
      </c>
      <c r="F41" s="382" t="s">
        <v>15</v>
      </c>
      <c r="G41" s="436">
        <v>2</v>
      </c>
      <c r="H41" s="373" t="s">
        <v>9</v>
      </c>
      <c r="I41" s="441">
        <v>1</v>
      </c>
      <c r="J41" s="375">
        <f t="shared" si="5"/>
        <v>1</v>
      </c>
      <c r="K41" s="363">
        <f t="shared" si="6"/>
        <v>3</v>
      </c>
      <c r="L41" s="363">
        <f t="shared" si="7"/>
        <v>0</v>
      </c>
      <c r="O41" s="398" t="s">
        <v>33</v>
      </c>
      <c r="P41" s="399">
        <f>SUMIF($D$8:$D$55,$O41,$G$8:$G$55)+SUMIF($F$8:$F$55,$O41,$I$8:$I$55)</f>
        <v>1</v>
      </c>
      <c r="Q41" s="399">
        <f>SUMIF($D$8:$D$55,$O41,$I$8:$I$55)+SUMIF($F$8:$F$55,$O41,$G$8:$G$55)</f>
        <v>5</v>
      </c>
      <c r="R41" s="399">
        <f>P41-Q41</f>
        <v>-4</v>
      </c>
      <c r="S41" s="400">
        <f>SUMIF($D$8:$D$55,$O41,$K$8:$K$55)+SUMIF($F$8:$F$55,$O41,$L$8:$L$55)</f>
        <v>1</v>
      </c>
      <c r="T41" s="445" t="s">
        <v>75</v>
      </c>
      <c r="U41" s="392"/>
      <c r="V41" s="392" t="str">
        <f>O41</f>
        <v>Iran</v>
      </c>
      <c r="W41" s="392" t="s">
        <v>74</v>
      </c>
      <c r="Y41" s="109">
        <f t="shared" si="8"/>
        <v>6</v>
      </c>
      <c r="AC41" s="110">
        <f>IF((Uitslag!G41=""),"",(Uitslag!G41))</f>
        <v>2</v>
      </c>
      <c r="AD41" s="111">
        <f>IF((Uitslag!I41=""),"",(Uitslag!I41))</f>
        <v>0</v>
      </c>
      <c r="AF41" s="108">
        <f t="shared" si="9"/>
        <v>6</v>
      </c>
      <c r="AG41" s="108">
        <f t="shared" si="0"/>
        <v>1</v>
      </c>
      <c r="AH41" s="108">
        <f t="shared" si="1"/>
        <v>0</v>
      </c>
      <c r="AI41" s="108">
        <f t="shared" si="10"/>
        <v>0</v>
      </c>
      <c r="AJ41" s="108">
        <f t="shared" si="2"/>
        <v>5</v>
      </c>
      <c r="AK41" s="108">
        <f t="shared" si="3"/>
        <v>0</v>
      </c>
      <c r="AL41" s="108">
        <f t="shared" si="4"/>
        <v>0</v>
      </c>
      <c r="AM41" s="120">
        <f>AO41</f>
        <v>10</v>
      </c>
      <c r="AN41" s="117" t="s">
        <v>33</v>
      </c>
      <c r="AO41" s="115">
        <f>IF(Uitslag!T41="",0,IF(T41=Uitslag!T41,10,0))</f>
        <v>10</v>
      </c>
    </row>
    <row r="42" spans="2:41" ht="15.75" thickBot="1">
      <c r="B42" s="370">
        <v>35</v>
      </c>
      <c r="C42" s="371">
        <v>41813</v>
      </c>
      <c r="D42" s="372" t="s">
        <v>12</v>
      </c>
      <c r="E42" s="373" t="s">
        <v>9</v>
      </c>
      <c r="F42" s="382" t="s">
        <v>8</v>
      </c>
      <c r="G42" s="436">
        <v>0</v>
      </c>
      <c r="H42" s="373" t="s">
        <v>9</v>
      </c>
      <c r="I42" s="441">
        <v>3</v>
      </c>
      <c r="J42" s="375">
        <f t="shared" si="5"/>
        <v>2</v>
      </c>
      <c r="K42" s="363">
        <f t="shared" si="6"/>
        <v>0</v>
      </c>
      <c r="L42" s="363">
        <f t="shared" si="7"/>
        <v>3</v>
      </c>
      <c r="O42" s="401" t="s">
        <v>34</v>
      </c>
      <c r="P42" s="402">
        <f>SUMIF($D$8:$D$55,$O42,$G$8:$G$55)+SUMIF($F$8:$F$55,$O42,$I$8:$I$55)</f>
        <v>2</v>
      </c>
      <c r="Q42" s="402">
        <f>SUMIF($D$8:$D$55,$O42,$I$8:$I$55)+SUMIF($F$8:$F$55,$O42,$G$8:$G$55)</f>
        <v>3</v>
      </c>
      <c r="R42" s="402">
        <f>P42-Q42</f>
        <v>-1</v>
      </c>
      <c r="S42" s="403">
        <f>SUMIF($D$8:$D$55,$O42,$K$8:$K$55)+SUMIF($F$8:$F$55,$O42,$L$8:$L$55)</f>
        <v>4</v>
      </c>
      <c r="T42" s="446" t="s">
        <v>73</v>
      </c>
      <c r="U42" s="392"/>
      <c r="V42" s="392" t="str">
        <f>O42</f>
        <v>Nigeria</v>
      </c>
      <c r="W42" s="392" t="s">
        <v>75</v>
      </c>
      <c r="Y42" s="109">
        <f t="shared" si="8"/>
        <v>5</v>
      </c>
      <c r="AC42" s="110">
        <f>IF((Uitslag!G42=""),"",(Uitslag!G42))</f>
        <v>1</v>
      </c>
      <c r="AD42" s="111">
        <f>IF((Uitslag!I42=""),"",(Uitslag!I42))</f>
        <v>4</v>
      </c>
      <c r="AF42" s="108">
        <f t="shared" si="9"/>
        <v>5</v>
      </c>
      <c r="AG42" s="108">
        <f t="shared" si="0"/>
        <v>0</v>
      </c>
      <c r="AH42" s="108">
        <f t="shared" si="1"/>
        <v>0</v>
      </c>
      <c r="AI42" s="108">
        <f t="shared" si="10"/>
        <v>0</v>
      </c>
      <c r="AJ42" s="108">
        <f t="shared" si="2"/>
        <v>0</v>
      </c>
      <c r="AK42" s="108">
        <f t="shared" si="3"/>
        <v>5</v>
      </c>
      <c r="AL42" s="108">
        <f t="shared" si="4"/>
        <v>0</v>
      </c>
      <c r="AM42" s="120">
        <f>AO42</f>
        <v>10</v>
      </c>
      <c r="AN42" s="118" t="s">
        <v>34</v>
      </c>
      <c r="AO42" s="115">
        <f>IF(Uitslag!T42="",0,IF(T42=Uitslag!T42,10,0))</f>
        <v>10</v>
      </c>
    </row>
    <row r="43" spans="2:41" ht="15.75" thickBot="1">
      <c r="B43" s="376">
        <v>36</v>
      </c>
      <c r="C43" s="377">
        <v>41813</v>
      </c>
      <c r="D43" s="378" t="s">
        <v>10</v>
      </c>
      <c r="E43" s="379" t="s">
        <v>9</v>
      </c>
      <c r="F43" s="380" t="s">
        <v>11</v>
      </c>
      <c r="G43" s="437">
        <v>2</v>
      </c>
      <c r="H43" s="379" t="s">
        <v>9</v>
      </c>
      <c r="I43" s="442">
        <v>1</v>
      </c>
      <c r="J43" s="381">
        <f t="shared" si="5"/>
        <v>1</v>
      </c>
      <c r="K43" s="363">
        <f t="shared" si="6"/>
        <v>3</v>
      </c>
      <c r="L43" s="363">
        <f t="shared" si="7"/>
        <v>0</v>
      </c>
      <c r="O43" s="392"/>
      <c r="P43" s="393"/>
      <c r="Q43" s="393"/>
      <c r="R43" s="393"/>
      <c r="S43" s="393"/>
      <c r="T43" s="393"/>
      <c r="U43" s="392"/>
      <c r="V43" s="392"/>
      <c r="W43" s="392"/>
      <c r="Y43" s="109">
        <f t="shared" si="8"/>
        <v>0</v>
      </c>
      <c r="AC43" s="110">
        <f>IF((Uitslag!G43=""),"",(Uitslag!G43))</f>
        <v>1</v>
      </c>
      <c r="AD43" s="111">
        <f>IF((Uitslag!I43=""),"",(Uitslag!I43))</f>
        <v>3</v>
      </c>
      <c r="AF43" s="108">
        <f t="shared" si="9"/>
        <v>0</v>
      </c>
      <c r="AG43" s="108">
        <f t="shared" si="0"/>
        <v>0</v>
      </c>
      <c r="AH43" s="108">
        <f t="shared" si="1"/>
        <v>0</v>
      </c>
      <c r="AI43" s="108">
        <f t="shared" si="10"/>
        <v>0</v>
      </c>
      <c r="AJ43" s="108">
        <f t="shared" si="2"/>
        <v>0</v>
      </c>
      <c r="AK43" s="108">
        <f t="shared" si="3"/>
        <v>0</v>
      </c>
      <c r="AL43" s="108">
        <f t="shared" si="4"/>
        <v>0</v>
      </c>
      <c r="AN43" s="392"/>
      <c r="AO43" s="393"/>
    </row>
    <row r="44" spans="2:41" ht="15.75" thickBot="1">
      <c r="B44" s="364">
        <v>37</v>
      </c>
      <c r="C44" s="365">
        <v>41814</v>
      </c>
      <c r="D44" s="366" t="s">
        <v>22</v>
      </c>
      <c r="E44" s="367" t="s">
        <v>9</v>
      </c>
      <c r="F44" s="368" t="s">
        <v>19</v>
      </c>
      <c r="G44" s="435">
        <v>2</v>
      </c>
      <c r="H44" s="367" t="s">
        <v>9</v>
      </c>
      <c r="I44" s="440">
        <v>1</v>
      </c>
      <c r="J44" s="369">
        <f t="shared" si="5"/>
        <v>1</v>
      </c>
      <c r="K44" s="363">
        <f t="shared" si="6"/>
        <v>3</v>
      </c>
      <c r="L44" s="363">
        <f t="shared" si="7"/>
        <v>0</v>
      </c>
      <c r="O44" s="422" t="s">
        <v>76</v>
      </c>
      <c r="P44" s="423" t="s">
        <v>42</v>
      </c>
      <c r="Q44" s="423" t="s">
        <v>43</v>
      </c>
      <c r="R44" s="424" t="s">
        <v>44</v>
      </c>
      <c r="S44" s="425" t="s">
        <v>45</v>
      </c>
      <c r="T44" s="426" t="s">
        <v>46</v>
      </c>
      <c r="U44" s="392"/>
      <c r="V44" s="392"/>
      <c r="W44" s="392"/>
      <c r="Y44" s="109">
        <f t="shared" si="8"/>
        <v>1</v>
      </c>
      <c r="AC44" s="110">
        <f>IF((Uitslag!G44=""),"",(Uitslag!G44))</f>
        <v>0</v>
      </c>
      <c r="AD44" s="111">
        <f>IF((Uitslag!I44=""),"",(Uitslag!I44))</f>
        <v>1</v>
      </c>
      <c r="AF44" s="108">
        <f t="shared" si="9"/>
        <v>1</v>
      </c>
      <c r="AG44" s="108">
        <f t="shared" si="0"/>
        <v>0</v>
      </c>
      <c r="AH44" s="108">
        <f t="shared" si="1"/>
        <v>1</v>
      </c>
      <c r="AI44" s="108">
        <f t="shared" si="10"/>
        <v>0</v>
      </c>
      <c r="AJ44" s="108">
        <f t="shared" si="2"/>
        <v>0</v>
      </c>
      <c r="AK44" s="108">
        <f t="shared" si="3"/>
        <v>0</v>
      </c>
      <c r="AL44" s="108">
        <f t="shared" si="4"/>
        <v>0</v>
      </c>
      <c r="AN44" s="42" t="s">
        <v>76</v>
      </c>
      <c r="AO44" s="43" t="s">
        <v>46</v>
      </c>
    </row>
    <row r="45" spans="2:41" ht="15.75" thickBot="1">
      <c r="B45" s="370">
        <v>38</v>
      </c>
      <c r="C45" s="371">
        <v>41814</v>
      </c>
      <c r="D45" s="372" t="s">
        <v>20</v>
      </c>
      <c r="E45" s="373" t="s">
        <v>9</v>
      </c>
      <c r="F45" s="382" t="s">
        <v>21</v>
      </c>
      <c r="G45" s="436">
        <v>0</v>
      </c>
      <c r="H45" s="373" t="s">
        <v>9</v>
      </c>
      <c r="I45" s="441">
        <v>2</v>
      </c>
      <c r="J45" s="375">
        <f t="shared" si="5"/>
        <v>2</v>
      </c>
      <c r="K45" s="363">
        <f t="shared" si="6"/>
        <v>0</v>
      </c>
      <c r="L45" s="363">
        <f t="shared" si="7"/>
        <v>3</v>
      </c>
      <c r="O45" s="394" t="s">
        <v>31</v>
      </c>
      <c r="P45" s="395">
        <f>SUMIF($D$8:$D$55,$O45,$G$8:$G$55)+SUMIF($F$8:$F$55,$O45,$I$8:$I$55)</f>
        <v>6</v>
      </c>
      <c r="Q45" s="395">
        <f>SUMIF($D$8:$D$55,$O45,$I$8:$I$55)+SUMIF($F$8:$F$55,$O45,$G$8:$G$55)</f>
        <v>2</v>
      </c>
      <c r="R45" s="396">
        <f>P45-Q45</f>
        <v>4</v>
      </c>
      <c r="S45" s="397">
        <f>SUMIF($D$8:$D$55,$O45,$K$8:$K$55)+SUMIF($F$8:$F$55,$O45,$L$8:$L$55)</f>
        <v>7</v>
      </c>
      <c r="T45" s="444" t="s">
        <v>77</v>
      </c>
      <c r="U45" s="392"/>
      <c r="V45" s="392" t="str">
        <f>O45</f>
        <v>Duitsland</v>
      </c>
      <c r="W45" s="392" t="s">
        <v>77</v>
      </c>
      <c r="Y45" s="109">
        <f t="shared" si="8"/>
        <v>1</v>
      </c>
      <c r="AC45" s="110">
        <f>IF((Uitslag!G45=""),"",(Uitslag!G45))</f>
        <v>0</v>
      </c>
      <c r="AD45" s="111">
        <f>IF((Uitslag!I45=""),"",(Uitslag!I45))</f>
        <v>0</v>
      </c>
      <c r="AF45" s="108">
        <f t="shared" si="9"/>
        <v>1</v>
      </c>
      <c r="AG45" s="108">
        <f t="shared" si="0"/>
        <v>1</v>
      </c>
      <c r="AH45" s="108">
        <f t="shared" si="1"/>
        <v>0</v>
      </c>
      <c r="AI45" s="108">
        <f t="shared" si="10"/>
        <v>0</v>
      </c>
      <c r="AJ45" s="108">
        <f t="shared" si="2"/>
        <v>0</v>
      </c>
      <c r="AK45" s="108">
        <f t="shared" si="3"/>
        <v>0</v>
      </c>
      <c r="AL45" s="108">
        <f t="shared" si="4"/>
        <v>0</v>
      </c>
      <c r="AM45" s="120">
        <f>AO45</f>
        <v>10</v>
      </c>
      <c r="AN45" s="116" t="s">
        <v>31</v>
      </c>
      <c r="AO45" s="115">
        <f>IF(Uitslag!T45="",0,IF(T45=Uitslag!T45,10,0))</f>
        <v>10</v>
      </c>
    </row>
    <row r="46" spans="2:41" ht="15.75" thickBot="1">
      <c r="B46" s="370">
        <v>39</v>
      </c>
      <c r="C46" s="371">
        <v>41814</v>
      </c>
      <c r="D46" s="372" t="s">
        <v>24</v>
      </c>
      <c r="E46" s="373" t="s">
        <v>9</v>
      </c>
      <c r="F46" s="382" t="s">
        <v>17</v>
      </c>
      <c r="G46" s="436">
        <v>1</v>
      </c>
      <c r="H46" s="373" t="s">
        <v>9</v>
      </c>
      <c r="I46" s="441">
        <v>0</v>
      </c>
      <c r="J46" s="375">
        <f t="shared" si="5"/>
        <v>1</v>
      </c>
      <c r="K46" s="363">
        <f t="shared" si="6"/>
        <v>3</v>
      </c>
      <c r="L46" s="363">
        <f t="shared" si="7"/>
        <v>0</v>
      </c>
      <c r="O46" s="398" t="s">
        <v>32</v>
      </c>
      <c r="P46" s="399">
        <f>SUMIF($D$8:$D$55,$O46,$G$8:$G$55)+SUMIF($F$8:$F$55,$O46,$I$8:$I$55)</f>
        <v>5</v>
      </c>
      <c r="Q46" s="399">
        <f>SUMIF($D$8:$D$55,$O46,$I$8:$I$55)+SUMIF($F$8:$F$55,$O46,$G$8:$G$55)</f>
        <v>1</v>
      </c>
      <c r="R46" s="399">
        <f>P46-Q46</f>
        <v>4</v>
      </c>
      <c r="S46" s="400">
        <f>SUMIF($D$8:$D$55,$O46,$K$8:$K$55)+SUMIF($F$8:$F$55,$O46,$L$8:$L$55)</f>
        <v>7</v>
      </c>
      <c r="T46" s="445" t="s">
        <v>78</v>
      </c>
      <c r="U46" s="392"/>
      <c r="V46" s="392" t="str">
        <f>O46</f>
        <v>Portugal</v>
      </c>
      <c r="W46" s="392" t="s">
        <v>78</v>
      </c>
      <c r="Y46" s="109">
        <f t="shared" si="8"/>
        <v>1</v>
      </c>
      <c r="AC46" s="110">
        <f>IF((Uitslag!G46=""),"",(Uitslag!G46))</f>
        <v>1</v>
      </c>
      <c r="AD46" s="111">
        <f>IF((Uitslag!I46=""),"",(Uitslag!I46))</f>
        <v>4</v>
      </c>
      <c r="AF46" s="108">
        <f t="shared" si="9"/>
        <v>1</v>
      </c>
      <c r="AG46" s="108">
        <f t="shared" si="0"/>
        <v>1</v>
      </c>
      <c r="AH46" s="108">
        <f t="shared" si="1"/>
        <v>0</v>
      </c>
      <c r="AI46" s="108">
        <f t="shared" si="10"/>
        <v>0</v>
      </c>
      <c r="AJ46" s="108">
        <f t="shared" si="2"/>
        <v>0</v>
      </c>
      <c r="AK46" s="108">
        <f t="shared" si="3"/>
        <v>0</v>
      </c>
      <c r="AL46" s="108">
        <f t="shared" si="4"/>
        <v>0</v>
      </c>
      <c r="AM46" s="120">
        <f>AO46</f>
        <v>0</v>
      </c>
      <c r="AN46" s="117" t="s">
        <v>32</v>
      </c>
      <c r="AO46" s="115">
        <f>IF(Uitslag!T46="",0,IF(T46=Uitslag!T46,10,0))</f>
        <v>0</v>
      </c>
    </row>
    <row r="47" spans="2:41" ht="15.75" thickBot="1">
      <c r="B47" s="376">
        <v>40</v>
      </c>
      <c r="C47" s="377">
        <v>41814</v>
      </c>
      <c r="D47" s="378" t="s">
        <v>18</v>
      </c>
      <c r="E47" s="379" t="s">
        <v>9</v>
      </c>
      <c r="F47" s="380" t="s">
        <v>23</v>
      </c>
      <c r="G47" s="437">
        <v>0</v>
      </c>
      <c r="H47" s="379" t="s">
        <v>9</v>
      </c>
      <c r="I47" s="442">
        <v>1</v>
      </c>
      <c r="J47" s="381">
        <f t="shared" si="5"/>
        <v>2</v>
      </c>
      <c r="K47" s="363">
        <f t="shared" si="6"/>
        <v>0</v>
      </c>
      <c r="L47" s="363">
        <f t="shared" si="7"/>
        <v>3</v>
      </c>
      <c r="O47" s="398" t="s">
        <v>35</v>
      </c>
      <c r="P47" s="399">
        <f>SUMIF($D$8:$D$55,$O47,$G$8:$G$55)+SUMIF($F$8:$F$55,$O47,$I$8:$I$55)</f>
        <v>1</v>
      </c>
      <c r="Q47" s="399">
        <f>SUMIF($D$8:$D$55,$O47,$I$8:$I$55)+SUMIF($F$8:$F$55,$O47,$G$8:$G$55)</f>
        <v>5</v>
      </c>
      <c r="R47" s="399">
        <f>P47-Q47</f>
        <v>-4</v>
      </c>
      <c r="S47" s="400">
        <f>SUMIF($D$8:$D$55,$O47,$K$8:$K$55)+SUMIF($F$8:$F$55,$O47,$L$8:$L$55)</f>
        <v>1</v>
      </c>
      <c r="T47" s="445" t="s">
        <v>80</v>
      </c>
      <c r="U47" s="392"/>
      <c r="V47" s="392" t="str">
        <f>O47</f>
        <v>Ghana</v>
      </c>
      <c r="W47" s="392" t="s">
        <v>79</v>
      </c>
      <c r="Y47" s="109">
        <f t="shared" si="8"/>
        <v>1</v>
      </c>
      <c r="AC47" s="110">
        <f>IF((Uitslag!G47=""),"",(Uitslag!G47))</f>
        <v>2</v>
      </c>
      <c r="AD47" s="111">
        <f>IF((Uitslag!I47=""),"",(Uitslag!I47))</f>
        <v>1</v>
      </c>
      <c r="AF47" s="108">
        <f t="shared" si="9"/>
        <v>1</v>
      </c>
      <c r="AG47" s="108">
        <f t="shared" si="0"/>
        <v>0</v>
      </c>
      <c r="AH47" s="108">
        <f t="shared" si="1"/>
        <v>1</v>
      </c>
      <c r="AI47" s="108">
        <f t="shared" si="10"/>
        <v>0</v>
      </c>
      <c r="AJ47" s="108">
        <f t="shared" si="2"/>
        <v>0</v>
      </c>
      <c r="AK47" s="108">
        <f t="shared" si="3"/>
        <v>0</v>
      </c>
      <c r="AL47" s="108">
        <f t="shared" si="4"/>
        <v>0</v>
      </c>
      <c r="AM47" s="120">
        <f>AO47</f>
        <v>10</v>
      </c>
      <c r="AN47" s="117" t="s">
        <v>35</v>
      </c>
      <c r="AO47" s="115">
        <f>IF(Uitslag!T47="",0,IF(T47=Uitslag!T47,10,0))</f>
        <v>10</v>
      </c>
    </row>
    <row r="48" spans="2:41" ht="15.75" thickBot="1">
      <c r="B48" s="364">
        <v>41</v>
      </c>
      <c r="C48" s="365">
        <v>41815</v>
      </c>
      <c r="D48" s="366" t="s">
        <v>34</v>
      </c>
      <c r="E48" s="367" t="s">
        <v>9</v>
      </c>
      <c r="F48" s="368" t="s">
        <v>29</v>
      </c>
      <c r="G48" s="435">
        <v>0</v>
      </c>
      <c r="H48" s="367" t="s">
        <v>9</v>
      </c>
      <c r="I48" s="440">
        <v>2</v>
      </c>
      <c r="J48" s="369">
        <f t="shared" si="5"/>
        <v>2</v>
      </c>
      <c r="K48" s="363">
        <f t="shared" si="6"/>
        <v>0</v>
      </c>
      <c r="L48" s="363">
        <f t="shared" si="7"/>
        <v>3</v>
      </c>
      <c r="O48" s="401" t="s">
        <v>36</v>
      </c>
      <c r="P48" s="402">
        <f>SUMIF($D$8:$D$55,$O48,$G$8:$G$55)+SUMIF($F$8:$F$55,$O48,$I$8:$I$55)</f>
        <v>2</v>
      </c>
      <c r="Q48" s="402">
        <f>SUMIF($D$8:$D$55,$O48,$I$8:$I$55)+SUMIF($F$8:$F$55,$O48,$G$8:$G$55)</f>
        <v>6</v>
      </c>
      <c r="R48" s="402">
        <f>P48-Q48</f>
        <v>-4</v>
      </c>
      <c r="S48" s="403">
        <f>SUMIF($D$8:$D$55,$O48,$K$8:$K$55)+SUMIF($F$8:$F$55,$O48,$L$8:$L$55)</f>
        <v>1</v>
      </c>
      <c r="T48" s="446" t="s">
        <v>79</v>
      </c>
      <c r="U48" s="392"/>
      <c r="V48" s="392" t="str">
        <f>O48</f>
        <v>Verenigde Staten</v>
      </c>
      <c r="W48" s="392" t="s">
        <v>80</v>
      </c>
      <c r="Y48" s="109">
        <f t="shared" si="8"/>
        <v>5</v>
      </c>
      <c r="AC48" s="110">
        <f>IF((Uitslag!G48=""),"",(Uitslag!G48))</f>
        <v>2</v>
      </c>
      <c r="AD48" s="111">
        <f>IF((Uitslag!I48=""),"",(Uitslag!I48))</f>
        <v>3</v>
      </c>
      <c r="AF48" s="108">
        <f t="shared" si="9"/>
        <v>5</v>
      </c>
      <c r="AG48" s="108">
        <f t="shared" si="0"/>
        <v>0</v>
      </c>
      <c r="AH48" s="108">
        <f t="shared" si="1"/>
        <v>0</v>
      </c>
      <c r="AI48" s="108">
        <f t="shared" si="10"/>
        <v>0</v>
      </c>
      <c r="AJ48" s="108">
        <f t="shared" si="2"/>
        <v>0</v>
      </c>
      <c r="AK48" s="108">
        <f t="shared" si="3"/>
        <v>5</v>
      </c>
      <c r="AL48" s="108">
        <f t="shared" si="4"/>
        <v>0</v>
      </c>
      <c r="AM48" s="120">
        <f>AO48</f>
        <v>0</v>
      </c>
      <c r="AN48" s="118" t="s">
        <v>36</v>
      </c>
      <c r="AO48" s="115">
        <f>IF(Uitslag!T48="",0,IF(T48=Uitslag!T48,10,0))</f>
        <v>0</v>
      </c>
    </row>
    <row r="49" spans="2:54" ht="15.75" thickBot="1">
      <c r="B49" s="370">
        <v>42</v>
      </c>
      <c r="C49" s="371">
        <v>41815</v>
      </c>
      <c r="D49" s="372" t="s">
        <v>30</v>
      </c>
      <c r="E49" s="373" t="s">
        <v>9</v>
      </c>
      <c r="F49" s="382" t="s">
        <v>33</v>
      </c>
      <c r="G49" s="436">
        <v>1</v>
      </c>
      <c r="H49" s="373" t="s">
        <v>9</v>
      </c>
      <c r="I49" s="441">
        <v>1</v>
      </c>
      <c r="J49" s="375">
        <f t="shared" si="5"/>
        <v>3</v>
      </c>
      <c r="K49" s="363">
        <f t="shared" si="6"/>
        <v>1</v>
      </c>
      <c r="L49" s="363">
        <f t="shared" si="7"/>
        <v>1</v>
      </c>
      <c r="O49" s="392"/>
      <c r="P49" s="393"/>
      <c r="Q49" s="393"/>
      <c r="R49" s="393"/>
      <c r="S49" s="393"/>
      <c r="T49" s="393"/>
      <c r="U49" s="392"/>
      <c r="V49" s="392"/>
      <c r="W49" s="392"/>
      <c r="Y49" s="109">
        <f t="shared" si="8"/>
        <v>1</v>
      </c>
      <c r="AC49" s="110">
        <f>IF((Uitslag!G49=""),"",(Uitslag!G49))</f>
        <v>3</v>
      </c>
      <c r="AD49" s="111">
        <f>IF((Uitslag!I49=""),"",(Uitslag!I49))</f>
        <v>1</v>
      </c>
      <c r="AF49" s="108">
        <f t="shared" si="9"/>
        <v>1</v>
      </c>
      <c r="AG49" s="108">
        <f t="shared" si="0"/>
        <v>0</v>
      </c>
      <c r="AH49" s="108">
        <f t="shared" si="1"/>
        <v>1</v>
      </c>
      <c r="AI49" s="108">
        <f t="shared" si="10"/>
        <v>0</v>
      </c>
      <c r="AJ49" s="108">
        <f t="shared" si="2"/>
        <v>0</v>
      </c>
      <c r="AK49" s="108">
        <f t="shared" si="3"/>
        <v>0</v>
      </c>
      <c r="AL49" s="108">
        <f t="shared" si="4"/>
        <v>0</v>
      </c>
      <c r="AN49" s="392"/>
      <c r="AO49" s="393"/>
    </row>
    <row r="50" spans="2:54" ht="15.75" thickBot="1">
      <c r="B50" s="370">
        <v>43</v>
      </c>
      <c r="C50" s="371">
        <v>41815</v>
      </c>
      <c r="D50" s="372" t="s">
        <v>28</v>
      </c>
      <c r="E50" s="373" t="s">
        <v>9</v>
      </c>
      <c r="F50" s="382" t="s">
        <v>25</v>
      </c>
      <c r="G50" s="436">
        <v>1</v>
      </c>
      <c r="H50" s="373" t="s">
        <v>9</v>
      </c>
      <c r="I50" s="441">
        <v>1</v>
      </c>
      <c r="J50" s="375">
        <f t="shared" si="5"/>
        <v>3</v>
      </c>
      <c r="K50" s="363">
        <f t="shared" si="6"/>
        <v>1</v>
      </c>
      <c r="L50" s="363">
        <f t="shared" si="7"/>
        <v>1</v>
      </c>
      <c r="O50" s="422" t="s">
        <v>81</v>
      </c>
      <c r="P50" s="423" t="s">
        <v>42</v>
      </c>
      <c r="Q50" s="423" t="s">
        <v>43</v>
      </c>
      <c r="R50" s="424" t="s">
        <v>44</v>
      </c>
      <c r="S50" s="425" t="s">
        <v>45</v>
      </c>
      <c r="T50" s="426" t="s">
        <v>46</v>
      </c>
      <c r="U50" s="392"/>
      <c r="V50" s="392"/>
      <c r="W50" s="392"/>
      <c r="Y50" s="109">
        <f t="shared" si="8"/>
        <v>0</v>
      </c>
      <c r="AC50" s="110">
        <f>IF((Uitslag!G50=""),"",(Uitslag!G50))</f>
        <v>0</v>
      </c>
      <c r="AD50" s="111">
        <f>IF((Uitslag!I50=""),"",(Uitslag!I50))</f>
        <v>3</v>
      </c>
      <c r="AF50" s="108">
        <f t="shared" si="9"/>
        <v>0</v>
      </c>
      <c r="AG50" s="108">
        <f t="shared" si="0"/>
        <v>0</v>
      </c>
      <c r="AH50" s="108">
        <f t="shared" si="1"/>
        <v>0</v>
      </c>
      <c r="AI50" s="108">
        <f t="shared" si="10"/>
        <v>0</v>
      </c>
      <c r="AJ50" s="108">
        <f t="shared" si="2"/>
        <v>0</v>
      </c>
      <c r="AK50" s="108">
        <f t="shared" si="3"/>
        <v>0</v>
      </c>
      <c r="AL50" s="108">
        <f t="shared" si="4"/>
        <v>0</v>
      </c>
      <c r="AN50" s="42" t="s">
        <v>81</v>
      </c>
      <c r="AO50" s="43" t="s">
        <v>46</v>
      </c>
    </row>
    <row r="51" spans="2:54" ht="15.75" thickBot="1">
      <c r="B51" s="376">
        <v>44</v>
      </c>
      <c r="C51" s="377">
        <v>41815</v>
      </c>
      <c r="D51" s="378" t="s">
        <v>26</v>
      </c>
      <c r="E51" s="379" t="s">
        <v>9</v>
      </c>
      <c r="F51" s="380" t="s">
        <v>27</v>
      </c>
      <c r="G51" s="437">
        <v>1</v>
      </c>
      <c r="H51" s="379" t="s">
        <v>9</v>
      </c>
      <c r="I51" s="442">
        <v>3</v>
      </c>
      <c r="J51" s="381">
        <f t="shared" si="5"/>
        <v>2</v>
      </c>
      <c r="K51" s="363">
        <f t="shared" si="6"/>
        <v>0</v>
      </c>
      <c r="L51" s="363">
        <f>IF(I51="","",IF($G51&lt;$I51,3,IF($G51=$I51,1,0)))</f>
        <v>3</v>
      </c>
      <c r="O51" s="394" t="s">
        <v>37</v>
      </c>
      <c r="P51" s="395">
        <f>SUMIF($D$8:$D$55,$O51,$G$8:$G$55)+SUMIF($F$8:$F$55,$O51,$I$8:$I$55)</f>
        <v>6</v>
      </c>
      <c r="Q51" s="395">
        <f>SUMIF($D$8:$D$55,$O51,$I$8:$I$55)+SUMIF($F$8:$F$55,$O51,$G$8:$G$55)</f>
        <v>1</v>
      </c>
      <c r="R51" s="396">
        <f>P51-Q51</f>
        <v>5</v>
      </c>
      <c r="S51" s="397">
        <f>SUMIF($D$8:$D$55,$O51,$K$8:$K$55)+SUMIF($F$8:$F$55,$O51,$L$8:$L$55)</f>
        <v>9</v>
      </c>
      <c r="T51" s="444" t="s">
        <v>82</v>
      </c>
      <c r="U51" s="392"/>
      <c r="V51" s="392" t="str">
        <f>O51</f>
        <v>België</v>
      </c>
      <c r="W51" s="392" t="s">
        <v>82</v>
      </c>
      <c r="Y51" s="109">
        <f t="shared" si="8"/>
        <v>0</v>
      </c>
      <c r="AC51" s="110">
        <f>IF((Uitslag!G51=""),"",(Uitslag!G51))</f>
        <v>0</v>
      </c>
      <c r="AD51" s="111">
        <f>IF((Uitslag!I51=""),"",(Uitslag!I51))</f>
        <v>0</v>
      </c>
      <c r="AF51" s="108">
        <f t="shared" si="9"/>
        <v>0</v>
      </c>
      <c r="AG51" s="108">
        <f t="shared" si="0"/>
        <v>0</v>
      </c>
      <c r="AH51" s="108">
        <f t="shared" si="1"/>
        <v>0</v>
      </c>
      <c r="AI51" s="108">
        <f t="shared" si="10"/>
        <v>0</v>
      </c>
      <c r="AJ51" s="108">
        <f t="shared" si="2"/>
        <v>0</v>
      </c>
      <c r="AK51" s="108">
        <f t="shared" si="3"/>
        <v>0</v>
      </c>
      <c r="AL51" s="108">
        <f t="shared" si="4"/>
        <v>0</v>
      </c>
      <c r="AM51" s="120">
        <f>AO51</f>
        <v>10</v>
      </c>
      <c r="AN51" s="116" t="s">
        <v>37</v>
      </c>
      <c r="AO51" s="115">
        <f>IF(Uitslag!T51="",0,IF(T51=Uitslag!T51,10,0))</f>
        <v>10</v>
      </c>
    </row>
    <row r="52" spans="2:54" ht="15.75" thickBot="1">
      <c r="B52" s="370">
        <v>45</v>
      </c>
      <c r="C52" s="371">
        <v>41816</v>
      </c>
      <c r="D52" s="372" t="s">
        <v>36</v>
      </c>
      <c r="E52" s="373" t="s">
        <v>9</v>
      </c>
      <c r="F52" s="382" t="s">
        <v>31</v>
      </c>
      <c r="G52" s="436">
        <v>1</v>
      </c>
      <c r="H52" s="373" t="s">
        <v>9</v>
      </c>
      <c r="I52" s="441">
        <v>3</v>
      </c>
      <c r="J52" s="369">
        <f t="shared" si="5"/>
        <v>2</v>
      </c>
      <c r="K52" s="363">
        <f t="shared" si="6"/>
        <v>0</v>
      </c>
      <c r="L52" s="363">
        <f t="shared" si="7"/>
        <v>3</v>
      </c>
      <c r="O52" s="398" t="s">
        <v>38</v>
      </c>
      <c r="P52" s="399">
        <f>SUMIF($D$8:$D$55,$O52,$G$8:$G$55)+SUMIF($F$8:$F$55,$O52,$I$8:$I$55)</f>
        <v>0</v>
      </c>
      <c r="Q52" s="399">
        <f>SUMIF($D$8:$D$55,$O52,$I$8:$I$55)+SUMIF($F$8:$F$55,$O52,$G$8:$G$55)</f>
        <v>3</v>
      </c>
      <c r="R52" s="399">
        <f>P52-Q52</f>
        <v>-3</v>
      </c>
      <c r="S52" s="400">
        <f>SUMIF($D$8:$D$55,$O52,$K$8:$K$55)+SUMIF($F$8:$F$55,$O52,$L$8:$L$55)</f>
        <v>1</v>
      </c>
      <c r="T52" s="445" t="s">
        <v>85</v>
      </c>
      <c r="U52" s="392"/>
      <c r="V52" s="392" t="str">
        <f>O52</f>
        <v>Algerije</v>
      </c>
      <c r="W52" s="392" t="s">
        <v>83</v>
      </c>
      <c r="Y52" s="109">
        <f t="shared" si="8"/>
        <v>5</v>
      </c>
      <c r="AC52" s="110">
        <f>IF((Uitslag!G52=""),"",(Uitslag!G52))</f>
        <v>0</v>
      </c>
      <c r="AD52" s="111">
        <f>IF((Uitslag!I52=""),"",(Uitslag!I52))</f>
        <v>1</v>
      </c>
      <c r="AF52" s="108">
        <f t="shared" si="9"/>
        <v>5</v>
      </c>
      <c r="AG52" s="108">
        <f t="shared" si="0"/>
        <v>0</v>
      </c>
      <c r="AH52" s="108">
        <f t="shared" si="1"/>
        <v>0</v>
      </c>
      <c r="AI52" s="108">
        <f t="shared" si="10"/>
        <v>0</v>
      </c>
      <c r="AJ52" s="108">
        <f t="shared" si="2"/>
        <v>0</v>
      </c>
      <c r="AK52" s="108">
        <f t="shared" si="3"/>
        <v>5</v>
      </c>
      <c r="AL52" s="108">
        <f t="shared" si="4"/>
        <v>0</v>
      </c>
      <c r="AM52" s="120">
        <f>AO52</f>
        <v>0</v>
      </c>
      <c r="AN52" s="117" t="s">
        <v>38</v>
      </c>
      <c r="AO52" s="115">
        <f>IF(Uitslag!T52="",0,IF(T52=Uitslag!T52,10,0))</f>
        <v>0</v>
      </c>
    </row>
    <row r="53" spans="2:54" ht="15.75" thickBot="1">
      <c r="B53" s="370">
        <v>46</v>
      </c>
      <c r="C53" s="371">
        <v>41816</v>
      </c>
      <c r="D53" s="372" t="s">
        <v>32</v>
      </c>
      <c r="E53" s="373" t="s">
        <v>9</v>
      </c>
      <c r="F53" s="382" t="s">
        <v>35</v>
      </c>
      <c r="G53" s="436">
        <v>2</v>
      </c>
      <c r="H53" s="373" t="s">
        <v>9</v>
      </c>
      <c r="I53" s="441">
        <v>0</v>
      </c>
      <c r="J53" s="375">
        <f t="shared" si="5"/>
        <v>1</v>
      </c>
      <c r="K53" s="363">
        <f t="shared" si="6"/>
        <v>3</v>
      </c>
      <c r="L53" s="363">
        <f t="shared" si="7"/>
        <v>0</v>
      </c>
      <c r="O53" s="398" t="s">
        <v>39</v>
      </c>
      <c r="P53" s="399">
        <f>SUMIF($D$8:$D$55,$O53,$G$8:$G$55)+SUMIF($F$8:$F$55,$O53,$I$8:$I$55)</f>
        <v>4</v>
      </c>
      <c r="Q53" s="399">
        <f>SUMIF($D$8:$D$55,$O53,$I$8:$I$55)+SUMIF($F$8:$F$55,$O53,$G$8:$G$55)</f>
        <v>2</v>
      </c>
      <c r="R53" s="399">
        <f>P53-Q53</f>
        <v>2</v>
      </c>
      <c r="S53" s="400">
        <f>SUMIF($D$8:$D$55,$O53,$K$8:$K$55)+SUMIF($F$8:$F$55,$O53,$L$8:$L$55)</f>
        <v>6</v>
      </c>
      <c r="T53" s="445" t="s">
        <v>83</v>
      </c>
      <c r="U53" s="392"/>
      <c r="V53" s="392" t="str">
        <f>O53</f>
        <v>Rusland</v>
      </c>
      <c r="W53" s="392" t="s">
        <v>84</v>
      </c>
      <c r="Y53" s="109">
        <f t="shared" si="8"/>
        <v>6</v>
      </c>
      <c r="AC53" s="110">
        <f>IF((Uitslag!G53=""),"",(Uitslag!G53))</f>
        <v>2</v>
      </c>
      <c r="AD53" s="111">
        <f>IF((Uitslag!I53=""),"",(Uitslag!I53))</f>
        <v>1</v>
      </c>
      <c r="AF53" s="108">
        <f t="shared" si="9"/>
        <v>6</v>
      </c>
      <c r="AG53" s="108">
        <f t="shared" si="0"/>
        <v>1</v>
      </c>
      <c r="AH53" s="108">
        <f t="shared" si="1"/>
        <v>0</v>
      </c>
      <c r="AI53" s="108">
        <f t="shared" si="10"/>
        <v>0</v>
      </c>
      <c r="AJ53" s="108">
        <f t="shared" si="2"/>
        <v>5</v>
      </c>
      <c r="AK53" s="108">
        <f t="shared" si="3"/>
        <v>0</v>
      </c>
      <c r="AL53" s="108">
        <f t="shared" si="4"/>
        <v>0</v>
      </c>
      <c r="AM53" s="120">
        <f>AO53</f>
        <v>0</v>
      </c>
      <c r="AN53" s="117" t="s">
        <v>39</v>
      </c>
      <c r="AO53" s="115">
        <f>IF(Uitslag!T53="",0,IF(T53=Uitslag!T53,10,0))</f>
        <v>0</v>
      </c>
    </row>
    <row r="54" spans="2:54" ht="15.75" thickBot="1">
      <c r="B54" s="370">
        <v>47</v>
      </c>
      <c r="C54" s="371">
        <v>41816</v>
      </c>
      <c r="D54" s="372" t="s">
        <v>40</v>
      </c>
      <c r="E54" s="373" t="s">
        <v>9</v>
      </c>
      <c r="F54" s="382" t="s">
        <v>37</v>
      </c>
      <c r="G54" s="436">
        <v>0</v>
      </c>
      <c r="H54" s="373" t="s">
        <v>9</v>
      </c>
      <c r="I54" s="441">
        <v>2</v>
      </c>
      <c r="J54" s="375">
        <f t="shared" si="5"/>
        <v>2</v>
      </c>
      <c r="K54" s="363">
        <f t="shared" si="6"/>
        <v>0</v>
      </c>
      <c r="L54" s="363">
        <f t="shared" si="7"/>
        <v>3</v>
      </c>
      <c r="O54" s="401" t="s">
        <v>40</v>
      </c>
      <c r="P54" s="402">
        <f>SUMIF($D$8:$D$55,$O54,$G$8:$G$55)+SUMIF($F$8:$F$55,$O54,$I$8:$I$55)</f>
        <v>0</v>
      </c>
      <c r="Q54" s="402">
        <f>SUMIF($D$8:$D$55,$O54,$I$8:$I$55)+SUMIF($F$8:$F$55,$O54,$G$8:$G$55)</f>
        <v>4</v>
      </c>
      <c r="R54" s="402">
        <f>P54-Q54</f>
        <v>-4</v>
      </c>
      <c r="S54" s="403">
        <f>SUMIF($D$8:$D$55,$O54,$K$8:$K$55)+SUMIF($F$8:$F$55,$O54,$L$8:$L$55)</f>
        <v>1</v>
      </c>
      <c r="T54" s="446" t="s">
        <v>84</v>
      </c>
      <c r="U54" s="392"/>
      <c r="V54" s="392" t="str">
        <f>O54</f>
        <v>Zuid Korea</v>
      </c>
      <c r="W54" s="392" t="s">
        <v>85</v>
      </c>
      <c r="Y54" s="109">
        <f t="shared" si="8"/>
        <v>6</v>
      </c>
      <c r="AC54" s="110">
        <f>IF((Uitslag!G54=""),"",(Uitslag!G54))</f>
        <v>0</v>
      </c>
      <c r="AD54" s="111">
        <f>IF((Uitslag!I54=""),"",(Uitslag!I54))</f>
        <v>1</v>
      </c>
      <c r="AF54" s="108">
        <f t="shared" si="9"/>
        <v>6</v>
      </c>
      <c r="AG54" s="108">
        <f t="shared" si="0"/>
        <v>1</v>
      </c>
      <c r="AH54" s="108">
        <f t="shared" si="1"/>
        <v>0</v>
      </c>
      <c r="AI54" s="108">
        <f t="shared" si="10"/>
        <v>0</v>
      </c>
      <c r="AJ54" s="108">
        <f t="shared" si="2"/>
        <v>0</v>
      </c>
      <c r="AK54" s="108">
        <f t="shared" si="3"/>
        <v>5</v>
      </c>
      <c r="AL54" s="108">
        <f t="shared" si="4"/>
        <v>0</v>
      </c>
      <c r="AM54" s="120">
        <f>AO54</f>
        <v>0</v>
      </c>
      <c r="AN54" s="118" t="s">
        <v>40</v>
      </c>
      <c r="AO54" s="115">
        <f>IF(Uitslag!T54="",0,IF(T54=Uitslag!T54,10,0))</f>
        <v>0</v>
      </c>
    </row>
    <row r="55" spans="2:54" ht="15.75" thickBot="1">
      <c r="B55" s="385">
        <v>48</v>
      </c>
      <c r="C55" s="386">
        <v>41816</v>
      </c>
      <c r="D55" s="387" t="s">
        <v>38</v>
      </c>
      <c r="E55" s="388" t="s">
        <v>9</v>
      </c>
      <c r="F55" s="389" t="s">
        <v>39</v>
      </c>
      <c r="G55" s="438">
        <v>0</v>
      </c>
      <c r="H55" s="388" t="s">
        <v>9</v>
      </c>
      <c r="I55" s="443">
        <v>1</v>
      </c>
      <c r="J55" s="390">
        <f t="shared" si="5"/>
        <v>2</v>
      </c>
      <c r="K55" s="363">
        <f t="shared" si="6"/>
        <v>0</v>
      </c>
      <c r="L55" s="363">
        <f t="shared" si="7"/>
        <v>3</v>
      </c>
      <c r="O55" s="392"/>
      <c r="P55" s="393"/>
      <c r="Q55" s="393"/>
      <c r="R55" s="393"/>
      <c r="S55" s="393"/>
      <c r="T55" s="393"/>
      <c r="U55" s="392"/>
      <c r="V55" s="392"/>
      <c r="W55" s="392"/>
      <c r="Y55" s="109">
        <f t="shared" si="8"/>
        <v>1</v>
      </c>
      <c r="AC55" s="110">
        <f>IF((Uitslag!G55=""),"",(Uitslag!G55))</f>
        <v>1</v>
      </c>
      <c r="AD55" s="111">
        <f>IF((Uitslag!I55=""),"",(Uitslag!I55))</f>
        <v>1</v>
      </c>
      <c r="AF55" s="108">
        <f t="shared" si="9"/>
        <v>1</v>
      </c>
      <c r="AG55" s="108">
        <f t="shared" si="0"/>
        <v>0</v>
      </c>
      <c r="AH55" s="108">
        <f t="shared" si="1"/>
        <v>1</v>
      </c>
      <c r="AI55" s="108">
        <f t="shared" si="10"/>
        <v>0</v>
      </c>
      <c r="AJ55" s="108">
        <f t="shared" si="2"/>
        <v>0</v>
      </c>
      <c r="AK55" s="108">
        <f t="shared" si="3"/>
        <v>0</v>
      </c>
      <c r="AL55" s="108">
        <f t="shared" si="4"/>
        <v>0</v>
      </c>
    </row>
    <row r="56" spans="2:54" ht="15.75" thickBot="1">
      <c r="B56" s="353"/>
      <c r="C56" s="391"/>
      <c r="D56" s="392"/>
      <c r="E56" s="353"/>
      <c r="F56" s="392"/>
      <c r="G56" s="353"/>
      <c r="H56" s="353"/>
      <c r="I56" s="353"/>
      <c r="J56" s="353"/>
      <c r="K56" s="353"/>
      <c r="L56" s="353"/>
      <c r="M56" s="353"/>
      <c r="BB56" s="136" t="s">
        <v>141</v>
      </c>
    </row>
    <row r="57" spans="2:54">
      <c r="B57" s="865" t="s">
        <v>86</v>
      </c>
      <c r="C57" s="866"/>
      <c r="D57" s="866"/>
      <c r="E57" s="866"/>
      <c r="F57" s="866"/>
      <c r="G57" s="866"/>
      <c r="H57" s="866"/>
      <c r="I57" s="866"/>
      <c r="J57" s="485"/>
      <c r="K57" s="353"/>
      <c r="L57" s="353"/>
      <c r="M57" s="353"/>
      <c r="O57" s="875" t="s">
        <v>108</v>
      </c>
      <c r="P57" s="876"/>
      <c r="Q57" s="876"/>
      <c r="R57" s="876"/>
      <c r="S57" s="876"/>
      <c r="T57" s="876"/>
      <c r="Y57" s="112" t="s">
        <v>99</v>
      </c>
      <c r="AC57" s="108" t="s">
        <v>92</v>
      </c>
      <c r="AD57" s="108"/>
      <c r="AF57" s="108" t="s">
        <v>91</v>
      </c>
      <c r="AG57" s="108" t="s">
        <v>93</v>
      </c>
      <c r="AH57" s="108" t="s">
        <v>94</v>
      </c>
      <c r="AI57" s="108" t="s">
        <v>95</v>
      </c>
      <c r="AJ57" s="108" t="s">
        <v>96</v>
      </c>
      <c r="AK57" s="108" t="s">
        <v>97</v>
      </c>
      <c r="AL57" s="108" t="s">
        <v>98</v>
      </c>
      <c r="BB57" s="142"/>
    </row>
    <row r="58" spans="2:54">
      <c r="B58" s="428" t="s">
        <v>1</v>
      </c>
      <c r="C58" s="429" t="s">
        <v>2</v>
      </c>
      <c r="D58" s="463" t="s">
        <v>3</v>
      </c>
      <c r="E58" s="431"/>
      <c r="F58" s="483" t="s">
        <v>4</v>
      </c>
      <c r="G58" s="867" t="s">
        <v>5</v>
      </c>
      <c r="H58" s="868"/>
      <c r="I58" s="869"/>
      <c r="J58" s="433" t="s">
        <v>6</v>
      </c>
      <c r="K58" s="353"/>
      <c r="L58" s="353"/>
      <c r="M58" s="353"/>
      <c r="O58" s="458">
        <v>1</v>
      </c>
      <c r="P58" s="877" t="s">
        <v>215</v>
      </c>
      <c r="Q58" s="877"/>
      <c r="R58" s="877"/>
      <c r="S58" s="877"/>
      <c r="T58" s="878"/>
      <c r="V58" s="352" t="s">
        <v>132</v>
      </c>
      <c r="W58" s="352" t="s">
        <v>124</v>
      </c>
      <c r="X58" s="352" t="str">
        <f t="shared" ref="X58:X98" si="11">CONCATENATE(W58," ",V58)</f>
        <v>Jeroen Zoet (k)</v>
      </c>
      <c r="Y58" s="113" t="s">
        <v>91</v>
      </c>
      <c r="Z58" s="352" t="str">
        <f>IF(K58=""," ",VLOOKUP(K58,$T$9:$V$54,3,FALSE))</f>
        <v xml:space="preserve"> </v>
      </c>
      <c r="AA58" s="352" t="str">
        <f>IF(L58=""," ",VLOOKUP(L58,$T$9:$V$54,3,FALSE))</f>
        <v xml:space="preserve"> </v>
      </c>
      <c r="AZ58" s="138" t="str">
        <f>Uitslag!P58</f>
        <v>Jasper Cillessen (k)</v>
      </c>
      <c r="BA58" s="140">
        <f t="shared" ref="BA58:BA68" si="12">IF(P58="","",COUNTIF($AZ$58:$AZ$68,P58)*3)</f>
        <v>3</v>
      </c>
      <c r="BB58" s="139">
        <f>BA58</f>
        <v>3</v>
      </c>
    </row>
    <row r="59" spans="2:54">
      <c r="B59" s="364">
        <v>49</v>
      </c>
      <c r="C59" s="465">
        <v>41818</v>
      </c>
      <c r="D59" s="459" t="str">
        <f>IF(ISERROR(Z59),K59,Z59)</f>
        <v>Brazilië</v>
      </c>
      <c r="E59" s="367" t="s">
        <v>9</v>
      </c>
      <c r="F59" s="406" t="str">
        <f>IF(ISERROR(AA59),L59,AA59)</f>
        <v>Nederland</v>
      </c>
      <c r="G59" s="435">
        <v>3</v>
      </c>
      <c r="H59" s="367" t="s">
        <v>9</v>
      </c>
      <c r="I59" s="447">
        <v>0</v>
      </c>
      <c r="J59" s="448">
        <v>1</v>
      </c>
      <c r="K59" s="407" t="s">
        <v>48</v>
      </c>
      <c r="L59" s="407" t="s">
        <v>53</v>
      </c>
      <c r="M59" s="407">
        <v>1</v>
      </c>
      <c r="O59" s="458">
        <v>2</v>
      </c>
      <c r="P59" s="877" t="s">
        <v>216</v>
      </c>
      <c r="Q59" s="877"/>
      <c r="R59" s="877"/>
      <c r="S59" s="877"/>
      <c r="T59" s="878"/>
      <c r="V59" s="352" t="s">
        <v>132</v>
      </c>
      <c r="W59" s="352" t="s">
        <v>111</v>
      </c>
      <c r="X59" s="352" t="str">
        <f t="shared" si="11"/>
        <v>Jasper Cillessen (k)</v>
      </c>
      <c r="Y59" s="109">
        <f t="shared" ref="Y59:Y66" si="13">AF59</f>
        <v>0</v>
      </c>
      <c r="Z59" s="352" t="str">
        <f t="shared" ref="Z59:AA65" si="14">IF(K59=""," ",VLOOKUP(K59,$T$9:$V$54,3,FALSE))</f>
        <v>Brazilië</v>
      </c>
      <c r="AA59" s="352" t="str">
        <f t="shared" si="14"/>
        <v>Nederland</v>
      </c>
      <c r="AC59" s="110">
        <f>IF((Uitslag!G59=""),"",(Uitslag!G59))</f>
        <v>1</v>
      </c>
      <c r="AD59" s="111">
        <f>IF((Uitslag!I59=""),"",(Uitslag!I59))</f>
        <v>1</v>
      </c>
      <c r="AF59" s="108">
        <f t="shared" ref="AF59:AF66" si="15">IF(OR(AC59="",AD59=""),0,(IF(SUM(AG59:AL59)&gt;10,10,SUM(AG59:AL59))))</f>
        <v>0</v>
      </c>
      <c r="AG59" s="108">
        <f t="shared" ref="AG59:AG66" si="16">IF(AC59="",0,(IF(G59=AC59,1,0)))</f>
        <v>0</v>
      </c>
      <c r="AH59" s="108">
        <f t="shared" ref="AH59:AH66" si="17">IF(AD59="",0,(IF(I59=AD59,1,0)))</f>
        <v>0</v>
      </c>
      <c r="AI59" s="108">
        <f t="shared" ref="AI59:AI66" si="18">IF(AND(AG59=1,AH59=1),10,0)</f>
        <v>0</v>
      </c>
      <c r="AJ59" s="108">
        <f t="shared" ref="AJ59:AJ66" si="19">IF(AND(G59&gt;I59,AC59&gt;AD59),5,0)</f>
        <v>0</v>
      </c>
      <c r="AK59" s="108">
        <f t="shared" ref="AK59:AK66" si="20">IF(AND(G59&lt;I59,AC59&lt;AD59),5,0)</f>
        <v>0</v>
      </c>
      <c r="AL59" s="108">
        <f t="shared" ref="AL59:AL66" si="21">IF(AND(G59=I59,AC59=AD59),5,0)</f>
        <v>0</v>
      </c>
      <c r="AZ59" s="138" t="str">
        <f>Uitslag!P59</f>
        <v>Daryl Janmaat (v)</v>
      </c>
      <c r="BA59" s="140">
        <f t="shared" si="12"/>
        <v>3</v>
      </c>
      <c r="BB59" s="139">
        <f t="shared" ref="BB59:BB68" si="22">BA59</f>
        <v>3</v>
      </c>
    </row>
    <row r="60" spans="2:54">
      <c r="B60" s="376">
        <v>50</v>
      </c>
      <c r="C60" s="466">
        <v>41818</v>
      </c>
      <c r="D60" s="460" t="str">
        <f t="shared" ref="D60:D66" si="23">IF(ISERROR(Z60),K60,Z60)</f>
        <v>Ivoorkust</v>
      </c>
      <c r="E60" s="379" t="s">
        <v>9</v>
      </c>
      <c r="F60" s="409" t="str">
        <f t="shared" ref="F60:F66" si="24">IF(ISERROR(AA60),L60,AA60)</f>
        <v>Engeland</v>
      </c>
      <c r="G60" s="437">
        <v>1</v>
      </c>
      <c r="H60" s="379" t="s">
        <v>9</v>
      </c>
      <c r="I60" s="449">
        <v>2</v>
      </c>
      <c r="J60" s="450">
        <v>2</v>
      </c>
      <c r="K60" s="407" t="s">
        <v>57</v>
      </c>
      <c r="L60" s="407" t="s">
        <v>63</v>
      </c>
      <c r="M60" s="407">
        <v>2</v>
      </c>
      <c r="O60" s="458">
        <v>3</v>
      </c>
      <c r="P60" s="877" t="s">
        <v>224</v>
      </c>
      <c r="Q60" s="877"/>
      <c r="R60" s="877"/>
      <c r="S60" s="877"/>
      <c r="T60" s="878"/>
      <c r="V60" s="352" t="s">
        <v>132</v>
      </c>
      <c r="W60" s="352" t="s">
        <v>110</v>
      </c>
      <c r="X60" s="352" t="str">
        <f t="shared" si="11"/>
        <v>Kenneth Vermeer (k)</v>
      </c>
      <c r="Y60" s="109">
        <f t="shared" si="13"/>
        <v>0</v>
      </c>
      <c r="Z60" s="352" t="str">
        <f t="shared" si="14"/>
        <v>Ivoorkust</v>
      </c>
      <c r="AA60" s="352" t="str">
        <f t="shared" si="14"/>
        <v>Engeland</v>
      </c>
      <c r="AC60" s="110">
        <f>IF((Uitslag!G60=""),"",(Uitslag!G60))</f>
        <v>2</v>
      </c>
      <c r="AD60" s="111">
        <f>IF((Uitslag!I60=""),"",(Uitslag!I60))</f>
        <v>0</v>
      </c>
      <c r="AF60" s="108">
        <f t="shared" si="15"/>
        <v>0</v>
      </c>
      <c r="AG60" s="108">
        <f t="shared" si="16"/>
        <v>0</v>
      </c>
      <c r="AH60" s="108">
        <f t="shared" si="17"/>
        <v>0</v>
      </c>
      <c r="AI60" s="108">
        <f t="shared" si="18"/>
        <v>0</v>
      </c>
      <c r="AJ60" s="108">
        <f t="shared" si="19"/>
        <v>0</v>
      </c>
      <c r="AK60" s="108">
        <f t="shared" si="20"/>
        <v>0</v>
      </c>
      <c r="AL60" s="108">
        <f t="shared" si="21"/>
        <v>0</v>
      </c>
      <c r="AZ60" s="138" t="str">
        <f>Uitslag!P60</f>
        <v>Stefan de Vrij (v)</v>
      </c>
      <c r="BA60" s="140">
        <f t="shared" si="12"/>
        <v>3</v>
      </c>
      <c r="BB60" s="139">
        <f t="shared" si="22"/>
        <v>3</v>
      </c>
    </row>
    <row r="61" spans="2:54">
      <c r="B61" s="364">
        <v>51</v>
      </c>
      <c r="C61" s="465">
        <v>41819</v>
      </c>
      <c r="D61" s="464" t="str">
        <f t="shared" si="23"/>
        <v>Spanje</v>
      </c>
      <c r="E61" s="367" t="s">
        <v>9</v>
      </c>
      <c r="F61" s="406" t="str">
        <f t="shared" si="24"/>
        <v>Kroatië</v>
      </c>
      <c r="G61" s="435">
        <v>2</v>
      </c>
      <c r="H61" s="367" t="s">
        <v>9</v>
      </c>
      <c r="I61" s="447">
        <v>0</v>
      </c>
      <c r="J61" s="448">
        <v>1</v>
      </c>
      <c r="K61" s="407" t="s">
        <v>52</v>
      </c>
      <c r="L61" s="407" t="s">
        <v>49</v>
      </c>
      <c r="M61" s="407"/>
      <c r="O61" s="458">
        <v>4</v>
      </c>
      <c r="P61" s="877" t="s">
        <v>225</v>
      </c>
      <c r="Q61" s="877"/>
      <c r="R61" s="877"/>
      <c r="S61" s="877"/>
      <c r="T61" s="878"/>
      <c r="V61" s="352" t="s">
        <v>132</v>
      </c>
      <c r="W61" s="352" t="s">
        <v>191</v>
      </c>
      <c r="X61" s="352" t="str">
        <f t="shared" si="11"/>
        <v>Tim Krul (k)</v>
      </c>
      <c r="Y61" s="109">
        <f t="shared" si="13"/>
        <v>6</v>
      </c>
      <c r="Z61" s="352" t="str">
        <f t="shared" si="14"/>
        <v>Spanje</v>
      </c>
      <c r="AA61" s="352" t="str">
        <f t="shared" si="14"/>
        <v>Kroatië</v>
      </c>
      <c r="AC61" s="110">
        <f>IF((Uitslag!G61=""),"",(Uitslag!G61))</f>
        <v>2</v>
      </c>
      <c r="AD61" s="111">
        <f>IF((Uitslag!I61=""),"",(Uitslag!I61))</f>
        <v>1</v>
      </c>
      <c r="AF61" s="108">
        <f t="shared" si="15"/>
        <v>6</v>
      </c>
      <c r="AG61" s="108">
        <f t="shared" si="16"/>
        <v>1</v>
      </c>
      <c r="AH61" s="108">
        <f t="shared" si="17"/>
        <v>0</v>
      </c>
      <c r="AI61" s="108">
        <f t="shared" si="18"/>
        <v>0</v>
      </c>
      <c r="AJ61" s="108">
        <f t="shared" si="19"/>
        <v>5</v>
      </c>
      <c r="AK61" s="108">
        <f t="shared" si="20"/>
        <v>0</v>
      </c>
      <c r="AL61" s="108">
        <f t="shared" si="21"/>
        <v>0</v>
      </c>
      <c r="AZ61" s="138" t="str">
        <f>Uitslag!P61</f>
        <v>Ron Vlaar (v)</v>
      </c>
      <c r="BA61" s="140">
        <f t="shared" si="12"/>
        <v>3</v>
      </c>
      <c r="BB61" s="139">
        <f t="shared" si="22"/>
        <v>3</v>
      </c>
    </row>
    <row r="62" spans="2:54">
      <c r="B62" s="376">
        <v>52</v>
      </c>
      <c r="C62" s="466">
        <v>41819</v>
      </c>
      <c r="D62" s="464" t="str">
        <f t="shared" si="23"/>
        <v>Italië</v>
      </c>
      <c r="E62" s="379" t="s">
        <v>9</v>
      </c>
      <c r="F62" s="409" t="str">
        <f t="shared" si="24"/>
        <v>Japan</v>
      </c>
      <c r="G62" s="437">
        <v>1</v>
      </c>
      <c r="H62" s="379" t="s">
        <v>9</v>
      </c>
      <c r="I62" s="449">
        <v>0</v>
      </c>
      <c r="J62" s="450">
        <v>1</v>
      </c>
      <c r="K62" s="407" t="s">
        <v>62</v>
      </c>
      <c r="L62" s="407" t="s">
        <v>58</v>
      </c>
      <c r="M62" s="407"/>
      <c r="O62" s="458">
        <v>5</v>
      </c>
      <c r="P62" s="877" t="s">
        <v>211</v>
      </c>
      <c r="Q62" s="877"/>
      <c r="R62" s="877"/>
      <c r="S62" s="877"/>
      <c r="T62" s="878"/>
      <c r="V62" s="352" t="s">
        <v>132</v>
      </c>
      <c r="W62" s="352" t="s">
        <v>192</v>
      </c>
      <c r="X62" s="352" t="str">
        <f t="shared" si="11"/>
        <v>Maarten Stekelenburg (k)</v>
      </c>
      <c r="Y62" s="109">
        <f t="shared" si="13"/>
        <v>1</v>
      </c>
      <c r="Z62" s="352" t="str">
        <f t="shared" si="14"/>
        <v>Italië</v>
      </c>
      <c r="AA62" s="352" t="str">
        <f t="shared" si="14"/>
        <v>Japan</v>
      </c>
      <c r="AC62" s="110">
        <f>IF((Uitslag!G62=""),"",(Uitslag!G62))</f>
        <v>1</v>
      </c>
      <c r="AD62" s="111">
        <f>IF((Uitslag!I62=""),"",(Uitslag!I62))</f>
        <v>1</v>
      </c>
      <c r="AF62" s="108">
        <f t="shared" si="15"/>
        <v>1</v>
      </c>
      <c r="AG62" s="108">
        <f t="shared" si="16"/>
        <v>1</v>
      </c>
      <c r="AH62" s="108">
        <f t="shared" si="17"/>
        <v>0</v>
      </c>
      <c r="AI62" s="108">
        <f t="shared" si="18"/>
        <v>0</v>
      </c>
      <c r="AJ62" s="108">
        <f t="shared" si="19"/>
        <v>0</v>
      </c>
      <c r="AK62" s="108">
        <f t="shared" si="20"/>
        <v>0</v>
      </c>
      <c r="AL62" s="108">
        <f t="shared" si="21"/>
        <v>0</v>
      </c>
      <c r="AZ62" s="138" t="str">
        <f>Uitslag!P62</f>
        <v>Bruno Martins Indi (v)</v>
      </c>
      <c r="BA62" s="140">
        <f t="shared" si="12"/>
        <v>3</v>
      </c>
      <c r="BB62" s="139">
        <f t="shared" si="22"/>
        <v>3</v>
      </c>
    </row>
    <row r="63" spans="2:54">
      <c r="B63" s="364">
        <v>53</v>
      </c>
      <c r="C63" s="465">
        <v>41820</v>
      </c>
      <c r="D63" s="459" t="str">
        <f t="shared" si="23"/>
        <v>Frankrijk</v>
      </c>
      <c r="E63" s="367" t="s">
        <v>9</v>
      </c>
      <c r="F63" s="406" t="str">
        <f t="shared" si="24"/>
        <v>Nigeria</v>
      </c>
      <c r="G63" s="435">
        <v>2</v>
      </c>
      <c r="H63" s="367" t="s">
        <v>9</v>
      </c>
      <c r="I63" s="447">
        <v>0</v>
      </c>
      <c r="J63" s="448">
        <v>1</v>
      </c>
      <c r="K63" s="407" t="s">
        <v>67</v>
      </c>
      <c r="L63" s="407" t="s">
        <v>73</v>
      </c>
      <c r="M63" s="407"/>
      <c r="O63" s="458">
        <v>6</v>
      </c>
      <c r="P63" s="877" t="s">
        <v>220</v>
      </c>
      <c r="Q63" s="877"/>
      <c r="R63" s="877"/>
      <c r="S63" s="877"/>
      <c r="T63" s="878"/>
      <c r="V63" s="352" t="s">
        <v>132</v>
      </c>
      <c r="W63" s="352" t="s">
        <v>193</v>
      </c>
      <c r="X63" s="352" t="str">
        <f t="shared" si="11"/>
        <v>Michel Vorm (k)</v>
      </c>
      <c r="Y63" s="109">
        <f t="shared" si="13"/>
        <v>10</v>
      </c>
      <c r="Z63" s="352" t="str">
        <f t="shared" si="14"/>
        <v>Frankrijk</v>
      </c>
      <c r="AA63" s="352" t="str">
        <f t="shared" si="14"/>
        <v>Nigeria</v>
      </c>
      <c r="AC63" s="110">
        <f>IF((Uitslag!G63=""),"",(Uitslag!G63))</f>
        <v>2</v>
      </c>
      <c r="AD63" s="111">
        <f>IF((Uitslag!I63=""),"",(Uitslag!I63))</f>
        <v>0</v>
      </c>
      <c r="AF63" s="108">
        <f t="shared" si="15"/>
        <v>10</v>
      </c>
      <c r="AG63" s="108">
        <f t="shared" si="16"/>
        <v>1</v>
      </c>
      <c r="AH63" s="108">
        <f t="shared" si="17"/>
        <v>1</v>
      </c>
      <c r="AI63" s="108">
        <f t="shared" si="18"/>
        <v>10</v>
      </c>
      <c r="AJ63" s="108">
        <f t="shared" si="19"/>
        <v>5</v>
      </c>
      <c r="AK63" s="108">
        <f t="shared" si="20"/>
        <v>0</v>
      </c>
      <c r="AL63" s="108">
        <f t="shared" si="21"/>
        <v>0</v>
      </c>
      <c r="AZ63" s="138" t="str">
        <f>Uitslag!P63</f>
        <v>Daley Blind (v)</v>
      </c>
      <c r="BA63" s="140">
        <f t="shared" si="12"/>
        <v>3</v>
      </c>
      <c r="BB63" s="139">
        <f t="shared" si="22"/>
        <v>3</v>
      </c>
    </row>
    <row r="64" spans="2:54">
      <c r="B64" s="376">
        <v>54</v>
      </c>
      <c r="C64" s="466">
        <v>41820</v>
      </c>
      <c r="D64" s="460" t="str">
        <f t="shared" si="23"/>
        <v>Duitsland</v>
      </c>
      <c r="E64" s="379" t="s">
        <v>9</v>
      </c>
      <c r="F64" s="409" t="str">
        <f t="shared" si="24"/>
        <v>Rusland</v>
      </c>
      <c r="G64" s="437">
        <v>3</v>
      </c>
      <c r="H64" s="379" t="s">
        <v>9</v>
      </c>
      <c r="I64" s="449">
        <v>1</v>
      </c>
      <c r="J64" s="450">
        <v>1</v>
      </c>
      <c r="K64" s="407" t="s">
        <v>77</v>
      </c>
      <c r="L64" s="407" t="s">
        <v>83</v>
      </c>
      <c r="M64" s="407"/>
      <c r="O64" s="458">
        <v>7</v>
      </c>
      <c r="P64" s="877" t="s">
        <v>209</v>
      </c>
      <c r="Q64" s="877"/>
      <c r="R64" s="877"/>
      <c r="S64" s="877"/>
      <c r="T64" s="878"/>
      <c r="V64" s="352" t="s">
        <v>133</v>
      </c>
      <c r="W64" s="352" t="s">
        <v>112</v>
      </c>
      <c r="X64" s="352" t="str">
        <f t="shared" si="11"/>
        <v>Joël Veltman (v)</v>
      </c>
      <c r="Y64" s="109">
        <f t="shared" si="13"/>
        <v>0</v>
      </c>
      <c r="Z64" s="352" t="str">
        <f t="shared" si="14"/>
        <v>Duitsland</v>
      </c>
      <c r="AA64" s="352" t="str">
        <f t="shared" si="14"/>
        <v>Rusland</v>
      </c>
      <c r="AC64" s="110">
        <f>IF((Uitslag!G64=""),"",(Uitslag!G64))</f>
        <v>0</v>
      </c>
      <c r="AD64" s="111">
        <f>IF((Uitslag!I64=""),"",(Uitslag!I64))</f>
        <v>0</v>
      </c>
      <c r="AF64" s="108">
        <f t="shared" si="15"/>
        <v>0</v>
      </c>
      <c r="AG64" s="108">
        <f t="shared" si="16"/>
        <v>0</v>
      </c>
      <c r="AH64" s="108">
        <f t="shared" si="17"/>
        <v>0</v>
      </c>
      <c r="AI64" s="108">
        <f t="shared" si="18"/>
        <v>0</v>
      </c>
      <c r="AJ64" s="108">
        <f t="shared" si="19"/>
        <v>0</v>
      </c>
      <c r="AK64" s="108">
        <f t="shared" si="20"/>
        <v>0</v>
      </c>
      <c r="AL64" s="108">
        <f t="shared" si="21"/>
        <v>0</v>
      </c>
      <c r="AZ64" s="138" t="str">
        <f>Uitslag!P64</f>
        <v>Wesley Sneijder (m)</v>
      </c>
      <c r="BA64" s="140">
        <f t="shared" si="12"/>
        <v>3</v>
      </c>
      <c r="BB64" s="139">
        <f t="shared" si="22"/>
        <v>3</v>
      </c>
    </row>
    <row r="65" spans="2:54">
      <c r="B65" s="370">
        <v>55</v>
      </c>
      <c r="C65" s="467">
        <v>41821</v>
      </c>
      <c r="D65" s="459" t="str">
        <f t="shared" si="23"/>
        <v>Argentinië</v>
      </c>
      <c r="E65" s="373" t="s">
        <v>9</v>
      </c>
      <c r="F65" s="410" t="str">
        <f t="shared" si="24"/>
        <v>Ecuador</v>
      </c>
      <c r="G65" s="436">
        <v>2</v>
      </c>
      <c r="H65" s="373" t="s">
        <v>9</v>
      </c>
      <c r="I65" s="451">
        <v>1</v>
      </c>
      <c r="J65" s="452">
        <v>1</v>
      </c>
      <c r="K65" s="407" t="s">
        <v>72</v>
      </c>
      <c r="L65" s="407" t="s">
        <v>68</v>
      </c>
      <c r="M65" s="407"/>
      <c r="O65" s="458">
        <v>8</v>
      </c>
      <c r="P65" s="877" t="s">
        <v>213</v>
      </c>
      <c r="Q65" s="877"/>
      <c r="R65" s="877"/>
      <c r="S65" s="877"/>
      <c r="T65" s="878"/>
      <c r="V65" s="352" t="s">
        <v>133</v>
      </c>
      <c r="W65" s="352" t="s">
        <v>109</v>
      </c>
      <c r="X65" s="352" t="str">
        <f t="shared" si="11"/>
        <v>Daley Blind (v)</v>
      </c>
      <c r="Y65" s="109">
        <f t="shared" si="13"/>
        <v>0</v>
      </c>
      <c r="Z65" s="352" t="str">
        <f t="shared" si="14"/>
        <v>Argentinië</v>
      </c>
      <c r="AA65" s="352" t="str">
        <f t="shared" si="14"/>
        <v>Ecuador</v>
      </c>
      <c r="AC65" s="110">
        <f>IF((Uitslag!G65=""),"",(Uitslag!G65))</f>
        <v>0</v>
      </c>
      <c r="AD65" s="111">
        <f>IF((Uitslag!I65=""),"",(Uitslag!I65))</f>
        <v>0</v>
      </c>
      <c r="AF65" s="108">
        <f t="shared" si="15"/>
        <v>0</v>
      </c>
      <c r="AG65" s="108">
        <f t="shared" si="16"/>
        <v>0</v>
      </c>
      <c r="AH65" s="108">
        <f t="shared" si="17"/>
        <v>0</v>
      </c>
      <c r="AI65" s="108">
        <f t="shared" si="18"/>
        <v>0</v>
      </c>
      <c r="AJ65" s="108">
        <f t="shared" si="19"/>
        <v>0</v>
      </c>
      <c r="AK65" s="108">
        <f t="shared" si="20"/>
        <v>0</v>
      </c>
      <c r="AL65" s="108">
        <f t="shared" si="21"/>
        <v>0</v>
      </c>
      <c r="AZ65" s="138" t="str">
        <f>Uitslag!P65</f>
        <v>Nigel de Jong (m)</v>
      </c>
      <c r="BA65" s="140">
        <f t="shared" si="12"/>
        <v>3</v>
      </c>
      <c r="BB65" s="139">
        <f t="shared" si="22"/>
        <v>3</v>
      </c>
    </row>
    <row r="66" spans="2:54" ht="15.75" thickBot="1">
      <c r="B66" s="385">
        <v>56</v>
      </c>
      <c r="C66" s="462">
        <v>41821</v>
      </c>
      <c r="D66" s="461" t="str">
        <f t="shared" si="23"/>
        <v>België</v>
      </c>
      <c r="E66" s="388" t="s">
        <v>9</v>
      </c>
      <c r="F66" s="412" t="str">
        <f t="shared" si="24"/>
        <v>Portugal</v>
      </c>
      <c r="G66" s="438">
        <v>1</v>
      </c>
      <c r="H66" s="388" t="s">
        <v>9</v>
      </c>
      <c r="I66" s="453">
        <v>1</v>
      </c>
      <c r="J66" s="454">
        <v>2</v>
      </c>
      <c r="K66" s="407" t="s">
        <v>82</v>
      </c>
      <c r="L66" s="407" t="s">
        <v>78</v>
      </c>
      <c r="M66" s="407"/>
      <c r="O66" s="458">
        <v>9</v>
      </c>
      <c r="P66" s="877" t="s">
        <v>282</v>
      </c>
      <c r="Q66" s="877"/>
      <c r="R66" s="877"/>
      <c r="S66" s="877"/>
      <c r="T66" s="878"/>
      <c r="V66" s="352" t="s">
        <v>133</v>
      </c>
      <c r="W66" s="352" t="s">
        <v>115</v>
      </c>
      <c r="X66" s="352" t="str">
        <f t="shared" si="11"/>
        <v>Daryl Janmaat (v)</v>
      </c>
      <c r="Y66" s="109">
        <f t="shared" si="13"/>
        <v>5</v>
      </c>
      <c r="Z66" s="352" t="str">
        <f>IF(K66=""," ",VLOOKUP(K66,$T$9:$V$54,3,FALSE))</f>
        <v>België</v>
      </c>
      <c r="AA66" s="352" t="str">
        <f>IF(L66=""," ",VLOOKUP(L66,$T$9:$V$54,3,FALSE))</f>
        <v>Portugal</v>
      </c>
      <c r="AC66" s="110">
        <f>IF((Uitslag!G66=""),"",(Uitslag!G66))</f>
        <v>0</v>
      </c>
      <c r="AD66" s="111">
        <f>IF((Uitslag!I66=""),"",(Uitslag!I66))</f>
        <v>0</v>
      </c>
      <c r="AF66" s="108">
        <f t="shared" si="15"/>
        <v>5</v>
      </c>
      <c r="AG66" s="108">
        <f t="shared" si="16"/>
        <v>0</v>
      </c>
      <c r="AH66" s="108">
        <f t="shared" si="17"/>
        <v>0</v>
      </c>
      <c r="AI66" s="108">
        <f t="shared" si="18"/>
        <v>0</v>
      </c>
      <c r="AJ66" s="108">
        <f t="shared" si="19"/>
        <v>0</v>
      </c>
      <c r="AK66" s="108">
        <f t="shared" si="20"/>
        <v>0</v>
      </c>
      <c r="AL66" s="108">
        <f t="shared" si="21"/>
        <v>5</v>
      </c>
      <c r="AZ66" s="138" t="str">
        <f>Uitslag!P66</f>
        <v>Jonathan de Guzman (m)</v>
      </c>
      <c r="BA66" s="140">
        <f t="shared" si="12"/>
        <v>0</v>
      </c>
      <c r="BB66" s="139">
        <f t="shared" si="22"/>
        <v>0</v>
      </c>
    </row>
    <row r="67" spans="2:54" ht="15.75" thickBot="1">
      <c r="B67" s="353"/>
      <c r="C67" s="391"/>
      <c r="D67" s="392"/>
      <c r="E67" s="353"/>
      <c r="F67" s="392"/>
      <c r="G67" s="353"/>
      <c r="H67" s="353"/>
      <c r="I67" s="353"/>
      <c r="J67" s="353"/>
      <c r="K67" s="353"/>
      <c r="L67" s="353"/>
      <c r="M67" s="353"/>
      <c r="O67" s="458">
        <v>10</v>
      </c>
      <c r="P67" s="877" t="s">
        <v>214</v>
      </c>
      <c r="Q67" s="877"/>
      <c r="R67" s="877"/>
      <c r="S67" s="877"/>
      <c r="T67" s="878"/>
      <c r="V67" s="352" t="s">
        <v>133</v>
      </c>
      <c r="W67" s="352" t="s">
        <v>118</v>
      </c>
      <c r="X67" s="352" t="str">
        <f t="shared" si="11"/>
        <v>Terence Kongolo (v)</v>
      </c>
      <c r="AZ67" s="138" t="str">
        <f>Uitslag!P67</f>
        <v>Robin van Persie (a)</v>
      </c>
      <c r="BA67" s="140">
        <f t="shared" si="12"/>
        <v>3</v>
      </c>
      <c r="BB67" s="139">
        <f t="shared" si="22"/>
        <v>3</v>
      </c>
    </row>
    <row r="68" spans="2:54">
      <c r="B68" s="865" t="s">
        <v>87</v>
      </c>
      <c r="C68" s="866"/>
      <c r="D68" s="866"/>
      <c r="E68" s="866"/>
      <c r="F68" s="866"/>
      <c r="G68" s="866"/>
      <c r="H68" s="866"/>
      <c r="I68" s="866"/>
      <c r="J68" s="485"/>
      <c r="K68" s="353"/>
      <c r="L68" s="353"/>
      <c r="M68" s="353"/>
      <c r="O68" s="458">
        <v>11</v>
      </c>
      <c r="P68" s="877" t="s">
        <v>235</v>
      </c>
      <c r="Q68" s="877"/>
      <c r="R68" s="877"/>
      <c r="S68" s="877"/>
      <c r="T68" s="878"/>
      <c r="V68" s="352" t="s">
        <v>133</v>
      </c>
      <c r="W68" s="352" t="s">
        <v>119</v>
      </c>
      <c r="X68" s="352" t="str">
        <f t="shared" si="11"/>
        <v>Bruno Martins Indi (v)</v>
      </c>
      <c r="Y68" s="112" t="s">
        <v>99</v>
      </c>
      <c r="AZ68" s="138" t="str">
        <f>Uitslag!P68</f>
        <v>Arjen Robben (a)</v>
      </c>
      <c r="BA68" s="140">
        <f t="shared" si="12"/>
        <v>0</v>
      </c>
      <c r="BB68" s="139">
        <f t="shared" si="22"/>
        <v>0</v>
      </c>
    </row>
    <row r="69" spans="2:54">
      <c r="B69" s="428" t="s">
        <v>1</v>
      </c>
      <c r="C69" s="429" t="s">
        <v>2</v>
      </c>
      <c r="D69" s="482" t="s">
        <v>3</v>
      </c>
      <c r="E69" s="431"/>
      <c r="F69" s="483" t="s">
        <v>4</v>
      </c>
      <c r="G69" s="867" t="s">
        <v>5</v>
      </c>
      <c r="H69" s="868"/>
      <c r="I69" s="869"/>
      <c r="J69" s="433" t="s">
        <v>6</v>
      </c>
      <c r="K69" s="353"/>
      <c r="L69" s="353"/>
      <c r="M69" s="353"/>
      <c r="V69" s="352" t="s">
        <v>133</v>
      </c>
      <c r="W69" s="352" t="s">
        <v>121</v>
      </c>
      <c r="X69" s="352" t="str">
        <f t="shared" si="11"/>
        <v>Stefan de Vrij (v)</v>
      </c>
      <c r="Y69" s="113" t="s">
        <v>91</v>
      </c>
      <c r="AP69" s="137" t="s">
        <v>140</v>
      </c>
      <c r="AY69" s="137"/>
      <c r="BA69" s="141">
        <f>SUM(BA58:BA68)</f>
        <v>27</v>
      </c>
      <c r="BB69" s="139" t="str">
        <f>IF(AND(BA69&lt;&gt;"",BA69=33),15,"nvt")</f>
        <v>nvt</v>
      </c>
    </row>
    <row r="70" spans="2:54">
      <c r="B70" s="364">
        <v>57</v>
      </c>
      <c r="C70" s="365">
        <v>41824</v>
      </c>
      <c r="D70" s="405" t="str">
        <f>IF(J63="","Winnaar 53",IF(J63=1,D63,F63))</f>
        <v>Frankrijk</v>
      </c>
      <c r="E70" s="367" t="s">
        <v>9</v>
      </c>
      <c r="F70" s="406" t="str">
        <f>IF(J64="","Winnaar 54",IF(J64=1,D64,F64))</f>
        <v>Duitsland</v>
      </c>
      <c r="G70" s="435">
        <v>2</v>
      </c>
      <c r="H70" s="367" t="s">
        <v>9</v>
      </c>
      <c r="I70" s="447">
        <v>3</v>
      </c>
      <c r="J70" s="448">
        <v>2</v>
      </c>
      <c r="K70" s="353"/>
      <c r="L70" s="353"/>
      <c r="M70" s="353"/>
      <c r="V70" s="352" t="s">
        <v>133</v>
      </c>
      <c r="W70" s="352" t="s">
        <v>126</v>
      </c>
      <c r="X70" s="352" t="str">
        <f t="shared" si="11"/>
        <v>Karim Rekik (v)</v>
      </c>
      <c r="Y70" s="109">
        <f>AF70</f>
        <v>5</v>
      </c>
      <c r="AC70" s="110">
        <f>IF((Uitslag!G70=""),"",(Uitslag!G70))</f>
        <v>0</v>
      </c>
      <c r="AD70" s="111">
        <f>IF((Uitslag!I70=""),"",(Uitslag!I70))</f>
        <v>1</v>
      </c>
      <c r="AF70" s="108">
        <f>IF(OR(AC70="",AD70=""),0,(IF(SUM(AG70:AL70)&gt;10,10,SUM(AG70:AL70))))</f>
        <v>5</v>
      </c>
      <c r="AG70" s="108">
        <f>IF(AC70="",0,(IF(G70=AC70,1,0)))</f>
        <v>0</v>
      </c>
      <c r="AH70" s="108">
        <f>IF(AD70="",0,(IF(I70=AD70,1,0)))</f>
        <v>0</v>
      </c>
      <c r="AI70" s="108">
        <f>IF(AND(AG70=1,AH70=1),10,0)</f>
        <v>0</v>
      </c>
      <c r="AJ70" s="108">
        <f>IF(AND(G70&gt;I70,AC70&gt;AD70),5,0)</f>
        <v>0</v>
      </c>
      <c r="AK70" s="108">
        <f>IF(AND(G70&lt;I70,AC70&lt;AD70),5,0)</f>
        <v>5</v>
      </c>
      <c r="AL70" s="108">
        <f>IF(AND(G70=I70,AC70=AD70),5,0)</f>
        <v>0</v>
      </c>
    </row>
    <row r="71" spans="2:54">
      <c r="B71" s="376">
        <v>58</v>
      </c>
      <c r="C71" s="377">
        <v>41824</v>
      </c>
      <c r="D71" s="408" t="str">
        <f>IF(J59="","Winnaar 49",IF(J59=1,D59,F59))</f>
        <v>Brazilië</v>
      </c>
      <c r="E71" s="379" t="s">
        <v>9</v>
      </c>
      <c r="F71" s="409" t="str">
        <f>IF(J60="","Winnaar 50",IF(J60=1,D60,F60))</f>
        <v>Engeland</v>
      </c>
      <c r="G71" s="437">
        <v>3</v>
      </c>
      <c r="H71" s="379" t="s">
        <v>9</v>
      </c>
      <c r="I71" s="449">
        <v>1</v>
      </c>
      <c r="J71" s="450">
        <v>1</v>
      </c>
      <c r="K71" s="353"/>
      <c r="L71" s="353"/>
      <c r="M71" s="353"/>
      <c r="V71" s="352" t="s">
        <v>133</v>
      </c>
      <c r="W71" s="352" t="s">
        <v>194</v>
      </c>
      <c r="X71" s="352" t="str">
        <f t="shared" si="11"/>
        <v>Ron Vlaar (v)</v>
      </c>
      <c r="Y71" s="109">
        <f>AF71</f>
        <v>6</v>
      </c>
      <c r="AC71" s="110">
        <f>IF((Uitslag!G71=""),"",(Uitslag!G71))</f>
        <v>2</v>
      </c>
      <c r="AD71" s="111">
        <f>IF((Uitslag!I71=""),"",(Uitslag!I71))</f>
        <v>1</v>
      </c>
      <c r="AF71" s="108">
        <f>IF(OR(AC71="",AD71=""),0,(IF(SUM(AG71:AL71)&gt;10,10,SUM(AG71:AL71))))</f>
        <v>6</v>
      </c>
      <c r="AG71" s="108">
        <f>IF(AC71="",0,(IF(G71=AC71,1,0)))</f>
        <v>0</v>
      </c>
      <c r="AH71" s="108">
        <f>IF(AD71="",0,(IF(I71=AD71,1,0)))</f>
        <v>1</v>
      </c>
      <c r="AI71" s="108">
        <f>IF(AND(AG71=1,AH71=1),10,0)</f>
        <v>0</v>
      </c>
      <c r="AJ71" s="108">
        <f>IF(AND(G71&gt;I71,AC71&gt;AD71),5,0)</f>
        <v>5</v>
      </c>
      <c r="AK71" s="108">
        <f>IF(AND(G71&lt;I71,AC71&lt;AD71),5,0)</f>
        <v>0</v>
      </c>
      <c r="AL71" s="108">
        <f>IF(AND(G71=I71,AC71=AD71),5,0)</f>
        <v>0</v>
      </c>
    </row>
    <row r="72" spans="2:54">
      <c r="B72" s="364">
        <v>59</v>
      </c>
      <c r="C72" s="365">
        <v>41825</v>
      </c>
      <c r="D72" s="405" t="str">
        <f>IF(J65="","Winnaar 55",IF(J65=1,D65,F65))</f>
        <v>Argentinië</v>
      </c>
      <c r="E72" s="367" t="s">
        <v>9</v>
      </c>
      <c r="F72" s="406" t="str">
        <f>IF(J66="","Winnaar 56",IF(J66=1,D66,F66))</f>
        <v>Portugal</v>
      </c>
      <c r="G72" s="435">
        <v>2</v>
      </c>
      <c r="H72" s="367" t="s">
        <v>9</v>
      </c>
      <c r="I72" s="447">
        <v>1</v>
      </c>
      <c r="J72" s="448">
        <v>1</v>
      </c>
      <c r="K72" s="353"/>
      <c r="L72" s="353"/>
      <c r="M72" s="353"/>
      <c r="V72" s="352" t="s">
        <v>133</v>
      </c>
      <c r="W72" s="352" t="s">
        <v>195</v>
      </c>
      <c r="X72" s="352" t="str">
        <f t="shared" si="11"/>
        <v>John Heitinga (v)</v>
      </c>
      <c r="Y72" s="109">
        <f>AF72</f>
        <v>5</v>
      </c>
      <c r="AC72" s="110">
        <f>IF((Uitslag!G72=""),"",(Uitslag!G72))</f>
        <v>1</v>
      </c>
      <c r="AD72" s="111">
        <f>IF((Uitslag!I72=""),"",(Uitslag!I72))</f>
        <v>0</v>
      </c>
      <c r="AF72" s="108">
        <f>IF(OR(AC72="",AD72=""),0,(IF(SUM(AG72:AL72)&gt;10,10,SUM(AG72:AL72))))</f>
        <v>5</v>
      </c>
      <c r="AG72" s="108">
        <f>IF(AC72="",0,(IF(G72=AC72,1,0)))</f>
        <v>0</v>
      </c>
      <c r="AH72" s="108">
        <f>IF(AD72="",0,(IF(I72=AD72,1,0)))</f>
        <v>0</v>
      </c>
      <c r="AI72" s="108">
        <f>IF(AND(AG72=1,AH72=1),10,0)</f>
        <v>0</v>
      </c>
      <c r="AJ72" s="108">
        <f>IF(AND(G72&gt;I72,AC72&gt;AD72),5,0)</f>
        <v>5</v>
      </c>
      <c r="AK72" s="108">
        <f>IF(AND(G72&lt;I72,AC72&lt;AD72),5,0)</f>
        <v>0</v>
      </c>
      <c r="AL72" s="108">
        <f>IF(AND(G72=I72,AC72=AD72),5,0)</f>
        <v>0</v>
      </c>
    </row>
    <row r="73" spans="2:54" ht="15.75" thickBot="1">
      <c r="B73" s="385">
        <v>60</v>
      </c>
      <c r="C73" s="386">
        <v>41825</v>
      </c>
      <c r="D73" s="411" t="str">
        <f>IF(J61="","Winnaar 51",IF(J61=1,D61,F61))</f>
        <v>Spanje</v>
      </c>
      <c r="E73" s="388" t="s">
        <v>9</v>
      </c>
      <c r="F73" s="412" t="str">
        <f>IF(J62="","Winnaar 52",IF(J62=1,D62,F62))</f>
        <v>Italië</v>
      </c>
      <c r="G73" s="438">
        <v>3</v>
      </c>
      <c r="H73" s="388" t="s">
        <v>9</v>
      </c>
      <c r="I73" s="453">
        <v>1</v>
      </c>
      <c r="J73" s="454">
        <v>1</v>
      </c>
      <c r="K73" s="353"/>
      <c r="L73" s="353"/>
      <c r="M73" s="353"/>
      <c r="V73" s="352" t="s">
        <v>133</v>
      </c>
      <c r="W73" s="352" t="s">
        <v>196</v>
      </c>
      <c r="X73" s="352" t="str">
        <f t="shared" si="11"/>
        <v>Urby Emanuelson (v)</v>
      </c>
      <c r="Y73" s="109">
        <f>AF73</f>
        <v>0</v>
      </c>
      <c r="AC73" s="110">
        <f>IF((Uitslag!G73=""),"",(Uitslag!G73))</f>
        <v>0</v>
      </c>
      <c r="AD73" s="111">
        <f>IF((Uitslag!I73=""),"",(Uitslag!I73))</f>
        <v>0</v>
      </c>
      <c r="AF73" s="108">
        <f>IF(OR(AC73="",AD73=""),0,(IF(SUM(AG73:AL73)&gt;10,10,SUM(AG73:AL73))))</f>
        <v>0</v>
      </c>
      <c r="AG73" s="108">
        <f>IF(AC73="",0,(IF(G73=AC73,1,0)))</f>
        <v>0</v>
      </c>
      <c r="AH73" s="108">
        <f>IF(AD73="",0,(IF(I73=AD73,1,0)))</f>
        <v>0</v>
      </c>
      <c r="AI73" s="108">
        <f>IF(AND(AG73=1,AH73=1),10,0)</f>
        <v>0</v>
      </c>
      <c r="AJ73" s="108">
        <f>IF(AND(G73&gt;I73,AC73&gt;AD73),5,0)</f>
        <v>0</v>
      </c>
      <c r="AK73" s="108">
        <f>IF(AND(G73&lt;I73,AC73&lt;AD73),5,0)</f>
        <v>0</v>
      </c>
      <c r="AL73" s="108">
        <f>IF(AND(G73=I73,AC73=AD73),5,0)</f>
        <v>0</v>
      </c>
    </row>
    <row r="74" spans="2:54" ht="15.75" thickBot="1">
      <c r="B74" s="353"/>
      <c r="C74" s="391"/>
      <c r="D74" s="392"/>
      <c r="E74" s="353"/>
      <c r="F74" s="392"/>
      <c r="G74" s="353"/>
      <c r="H74" s="353"/>
      <c r="I74" s="353"/>
      <c r="J74" s="353"/>
      <c r="K74" s="353"/>
      <c r="L74" s="353"/>
      <c r="M74" s="353"/>
      <c r="V74" s="352" t="s">
        <v>133</v>
      </c>
      <c r="W74" s="352" t="s">
        <v>197</v>
      </c>
      <c r="X74" s="352" t="str">
        <f t="shared" si="11"/>
        <v>Gregory van der Wiel (v)</v>
      </c>
    </row>
    <row r="75" spans="2:54">
      <c r="B75" s="865" t="s">
        <v>88</v>
      </c>
      <c r="C75" s="866"/>
      <c r="D75" s="866"/>
      <c r="E75" s="866"/>
      <c r="F75" s="866"/>
      <c r="G75" s="866"/>
      <c r="H75" s="866"/>
      <c r="I75" s="866"/>
      <c r="J75" s="485"/>
      <c r="K75" s="353"/>
      <c r="L75" s="353"/>
      <c r="M75" s="353"/>
      <c r="V75" s="352" t="s">
        <v>133</v>
      </c>
      <c r="W75" s="352" t="s">
        <v>198</v>
      </c>
      <c r="X75" s="352" t="str">
        <f t="shared" si="11"/>
        <v>Virgil van Dijk (v)</v>
      </c>
      <c r="Y75" s="112" t="s">
        <v>99</v>
      </c>
    </row>
    <row r="76" spans="2:54">
      <c r="B76" s="428" t="s">
        <v>1</v>
      </c>
      <c r="C76" s="429" t="s">
        <v>2</v>
      </c>
      <c r="D76" s="482" t="s">
        <v>3</v>
      </c>
      <c r="E76" s="431"/>
      <c r="F76" s="483" t="s">
        <v>4</v>
      </c>
      <c r="G76" s="867" t="s">
        <v>5</v>
      </c>
      <c r="H76" s="868"/>
      <c r="I76" s="869"/>
      <c r="J76" s="433" t="s">
        <v>6</v>
      </c>
      <c r="K76" s="353"/>
      <c r="L76" s="353"/>
      <c r="M76" s="353"/>
      <c r="V76" s="352" t="s">
        <v>133</v>
      </c>
      <c r="W76" s="352" t="s">
        <v>202</v>
      </c>
      <c r="X76" s="352" t="str">
        <f t="shared" si="11"/>
        <v>Alexander Buttner (v)</v>
      </c>
      <c r="Y76" s="113" t="s">
        <v>91</v>
      </c>
    </row>
    <row r="77" spans="2:54">
      <c r="B77" s="364">
        <v>61</v>
      </c>
      <c r="C77" s="365">
        <v>41828</v>
      </c>
      <c r="D77" s="405" t="str">
        <f>IF(J70="","Winnaar 57",IF(J70=1,D70,F70))</f>
        <v>Duitsland</v>
      </c>
      <c r="E77" s="367" t="s">
        <v>9</v>
      </c>
      <c r="F77" s="406" t="str">
        <f>IF(J71="","Winnaar 58",IF(J71=1,D71,F71))</f>
        <v>Brazilië</v>
      </c>
      <c r="G77" s="435">
        <v>1</v>
      </c>
      <c r="H77" s="367" t="s">
        <v>9</v>
      </c>
      <c r="I77" s="447">
        <v>2</v>
      </c>
      <c r="J77" s="448">
        <v>2</v>
      </c>
      <c r="K77" s="353"/>
      <c r="L77" s="353"/>
      <c r="M77" s="353"/>
      <c r="V77" s="352" t="s">
        <v>134</v>
      </c>
      <c r="W77" s="352" t="s">
        <v>203</v>
      </c>
      <c r="X77" s="352" t="str">
        <f t="shared" si="11"/>
        <v>Marco van Ginkel (m)</v>
      </c>
      <c r="Y77" s="109">
        <f>AF77</f>
        <v>0</v>
      </c>
      <c r="AC77" s="110">
        <f>IF((Uitslag!G77=""),"",(Uitslag!G77))</f>
        <v>7</v>
      </c>
      <c r="AD77" s="111">
        <f>IF((Uitslag!I77=""),"",(Uitslag!I77))</f>
        <v>1</v>
      </c>
      <c r="AF77" s="108">
        <f>IF(OR(AC77="",AD77=""),0,(IF(SUM(AG77:AL77)&gt;10,10,SUM(AG77:AL77))))</f>
        <v>0</v>
      </c>
      <c r="AG77" s="108">
        <f>IF(AC77="",0,(IF(G77=AC77,1,0)))</f>
        <v>0</v>
      </c>
      <c r="AH77" s="108">
        <f>IF(AD77="",0,(IF(I77=AD77,1,0)))</f>
        <v>0</v>
      </c>
      <c r="AI77" s="108">
        <f>IF(AND(AG77=1,AH77=1),10,0)</f>
        <v>0</v>
      </c>
      <c r="AJ77" s="108">
        <f>IF(AND(G77&gt;I77,AC77&gt;AD77),5,0)</f>
        <v>0</v>
      </c>
      <c r="AK77" s="108">
        <f>IF(AND(G77&lt;I77,AC77&lt;AD77),5,0)</f>
        <v>0</v>
      </c>
      <c r="AL77" s="108">
        <f>IF(AND(G77=I77,AC77=AD77),5,0)</f>
        <v>0</v>
      </c>
    </row>
    <row r="78" spans="2:54" ht="15.75" thickBot="1">
      <c r="B78" s="385">
        <v>62</v>
      </c>
      <c r="C78" s="386">
        <v>41829</v>
      </c>
      <c r="D78" s="411" t="str">
        <f>IF(J72="","Winnaar 59",IF(J72=1,D72,F72))</f>
        <v>Argentinië</v>
      </c>
      <c r="E78" s="388" t="s">
        <v>9</v>
      </c>
      <c r="F78" s="412" t="str">
        <f>IF(J73="","Winnaar 60",IF(J73=1,D73,F73))</f>
        <v>Spanje</v>
      </c>
      <c r="G78" s="438">
        <v>0</v>
      </c>
      <c r="H78" s="388" t="s">
        <v>9</v>
      </c>
      <c r="I78" s="453">
        <v>1</v>
      </c>
      <c r="J78" s="454">
        <v>2</v>
      </c>
      <c r="K78" s="353"/>
      <c r="L78" s="353"/>
      <c r="M78" s="353"/>
      <c r="V78" s="352" t="s">
        <v>134</v>
      </c>
      <c r="W78" s="352" t="s">
        <v>199</v>
      </c>
      <c r="X78" s="352" t="str">
        <f t="shared" si="11"/>
        <v>Leroy Fer (m)</v>
      </c>
      <c r="Y78" s="109">
        <f>AF78</f>
        <v>1</v>
      </c>
      <c r="AC78" s="110">
        <f>IF((Uitslag!G78=""),"",(Uitslag!G78))</f>
        <v>0</v>
      </c>
      <c r="AD78" s="111">
        <f>IF((Uitslag!I78=""),"",(Uitslag!I78))</f>
        <v>0</v>
      </c>
      <c r="AF78" s="108">
        <f>IF(OR(AC78="",AD78=""),0,(IF(SUM(AG78:AL78)&gt;10,10,SUM(AG78:AL78))))</f>
        <v>1</v>
      </c>
      <c r="AG78" s="108">
        <f>IF(AC78="",0,(IF(G78=AC78,1,0)))</f>
        <v>1</v>
      </c>
      <c r="AH78" s="108">
        <f>IF(AD78="",0,(IF(I78=AD78,1,0)))</f>
        <v>0</v>
      </c>
      <c r="AI78" s="108">
        <f>IF(AND(AG78=1,AH78=1),10,0)</f>
        <v>0</v>
      </c>
      <c r="AJ78" s="108">
        <f>IF(AND(G78&gt;I78,AC78&gt;AD78),5,0)</f>
        <v>0</v>
      </c>
      <c r="AK78" s="108">
        <f>IF(AND(G78&lt;I78,AC78&lt;AD78),5,0)</f>
        <v>0</v>
      </c>
      <c r="AL78" s="108">
        <f>IF(AND(G78=I78,AC78=AD78),5,0)</f>
        <v>0</v>
      </c>
    </row>
    <row r="79" spans="2:54" ht="15.75" thickBot="1">
      <c r="B79" s="353"/>
      <c r="C79" s="391"/>
      <c r="D79" s="392"/>
      <c r="E79" s="353"/>
      <c r="F79" s="392"/>
      <c r="G79" s="353"/>
      <c r="H79" s="353"/>
      <c r="I79" s="353"/>
      <c r="J79" s="353"/>
      <c r="K79" s="353"/>
      <c r="L79" s="353"/>
      <c r="M79" s="353"/>
      <c r="V79" s="352" t="s">
        <v>134</v>
      </c>
      <c r="W79" s="352" t="s">
        <v>114</v>
      </c>
      <c r="X79" s="352" t="str">
        <f t="shared" si="11"/>
        <v>Jordy Clasie (m)</v>
      </c>
    </row>
    <row r="80" spans="2:54">
      <c r="B80" s="865" t="s">
        <v>89</v>
      </c>
      <c r="C80" s="866"/>
      <c r="D80" s="866"/>
      <c r="E80" s="866"/>
      <c r="F80" s="866"/>
      <c r="G80" s="866"/>
      <c r="H80" s="866"/>
      <c r="I80" s="866"/>
      <c r="J80" s="485"/>
      <c r="K80" s="353"/>
      <c r="L80" s="353"/>
      <c r="M80" s="353"/>
      <c r="V80" s="352" t="s">
        <v>134</v>
      </c>
      <c r="W80" s="352" t="s">
        <v>117</v>
      </c>
      <c r="X80" s="352" t="str">
        <f t="shared" si="11"/>
        <v>Davy Klaassen (m)</v>
      </c>
      <c r="Y80" s="112" t="s">
        <v>99</v>
      </c>
    </row>
    <row r="81" spans="2:50">
      <c r="B81" s="428" t="s">
        <v>1</v>
      </c>
      <c r="C81" s="429" t="s">
        <v>2</v>
      </c>
      <c r="D81" s="482" t="s">
        <v>3</v>
      </c>
      <c r="E81" s="431"/>
      <c r="F81" s="483" t="s">
        <v>4</v>
      </c>
      <c r="G81" s="867" t="s">
        <v>5</v>
      </c>
      <c r="H81" s="868"/>
      <c r="I81" s="869"/>
      <c r="J81" s="433" t="s">
        <v>6</v>
      </c>
      <c r="K81" s="353"/>
      <c r="L81" s="353"/>
      <c r="M81" s="353"/>
      <c r="V81" s="352" t="s">
        <v>134</v>
      </c>
      <c r="W81" s="352" t="s">
        <v>120</v>
      </c>
      <c r="X81" s="352" t="str">
        <f t="shared" si="11"/>
        <v>Tonny Trindade de Vilhena (m)</v>
      </c>
      <c r="Y81" s="113" t="s">
        <v>91</v>
      </c>
    </row>
    <row r="82" spans="2:50" ht="15.75" thickBot="1">
      <c r="B82" s="354">
        <v>63</v>
      </c>
      <c r="C82" s="413">
        <v>41832</v>
      </c>
      <c r="D82" s="414" t="str">
        <f>IF(J77="","Verliezer 61",IF(J77=1,F77,D77))</f>
        <v>Duitsland</v>
      </c>
      <c r="E82" s="355" t="s">
        <v>9</v>
      </c>
      <c r="F82" s="415" t="str">
        <f>IF(J78="","Verliezer 62",IF(J78=1,F78,D78))</f>
        <v>Argentinië</v>
      </c>
      <c r="G82" s="455">
        <v>2</v>
      </c>
      <c r="H82" s="355" t="s">
        <v>9</v>
      </c>
      <c r="I82" s="456">
        <v>1</v>
      </c>
      <c r="J82" s="457">
        <v>1</v>
      </c>
      <c r="K82" s="353"/>
      <c r="L82" s="353"/>
      <c r="M82" s="353"/>
      <c r="V82" s="352" t="s">
        <v>134</v>
      </c>
      <c r="W82" s="352" t="s">
        <v>125</v>
      </c>
      <c r="X82" s="352" t="str">
        <f t="shared" si="11"/>
        <v>Georginio Wijnaldum (m)</v>
      </c>
      <c r="Y82" s="109">
        <f>AF82</f>
        <v>0</v>
      </c>
      <c r="AC82" s="110">
        <f>IF((Uitslag!G82=""),"",(Uitslag!G82))</f>
        <v>0</v>
      </c>
      <c r="AD82" s="111">
        <f>IF((Uitslag!I82=""),"",(Uitslag!I82))</f>
        <v>3</v>
      </c>
      <c r="AF82" s="108">
        <f>IF(OR(AC82="",AD82=""),0,(IF(SUM(AG82:AL82)&gt;10,10,SUM(AG82:AL82))))</f>
        <v>0</v>
      </c>
      <c r="AG82" s="108">
        <f>IF(AC82="",0,(IF(G82=AC82,1,0)))</f>
        <v>0</v>
      </c>
      <c r="AH82" s="108">
        <f>IF(AD82="",0,(IF(I82=AD82,1,0)))</f>
        <v>0</v>
      </c>
      <c r="AI82" s="108">
        <f>IF(AND(AG82=1,AH82=1),10,0)</f>
        <v>0</v>
      </c>
      <c r="AJ82" s="108">
        <f>IF(AND(G82&gt;I82,AC82&gt;AD82),5,0)</f>
        <v>0</v>
      </c>
      <c r="AK82" s="108">
        <f>IF(AND(G82&lt;I82,AC82&lt;AD82),5,0)</f>
        <v>0</v>
      </c>
      <c r="AL82" s="108">
        <f>IF(AND(G82=I82,AC82=AD82),5,0)</f>
        <v>0</v>
      </c>
    </row>
    <row r="83" spans="2:50" ht="15.75" thickBot="1">
      <c r="B83" s="353"/>
      <c r="C83" s="391"/>
      <c r="D83" s="392"/>
      <c r="E83" s="353"/>
      <c r="F83" s="392"/>
      <c r="G83" s="353"/>
      <c r="H83" s="353"/>
      <c r="I83" s="353"/>
      <c r="J83" s="353"/>
      <c r="K83" s="353"/>
      <c r="L83" s="353"/>
      <c r="M83" s="353"/>
      <c r="V83" s="352" t="s">
        <v>134</v>
      </c>
      <c r="W83" s="352" t="s">
        <v>136</v>
      </c>
      <c r="X83" s="352" t="str">
        <f t="shared" si="11"/>
        <v>Rafael vd Vaart (m)</v>
      </c>
    </row>
    <row r="84" spans="2:50">
      <c r="B84" s="865" t="s">
        <v>90</v>
      </c>
      <c r="C84" s="866"/>
      <c r="D84" s="866"/>
      <c r="E84" s="866"/>
      <c r="F84" s="866"/>
      <c r="G84" s="866"/>
      <c r="H84" s="866"/>
      <c r="I84" s="866"/>
      <c r="J84" s="485"/>
      <c r="K84" s="353"/>
      <c r="L84" s="353"/>
      <c r="M84" s="353"/>
      <c r="V84" s="352" t="s">
        <v>134</v>
      </c>
      <c r="W84" s="352" t="s">
        <v>137</v>
      </c>
      <c r="X84" s="352" t="str">
        <f t="shared" si="11"/>
        <v>Wesley Sneijder (m)</v>
      </c>
      <c r="Y84" s="112" t="s">
        <v>99</v>
      </c>
    </row>
    <row r="85" spans="2:50">
      <c r="B85" s="428" t="s">
        <v>1</v>
      </c>
      <c r="C85" s="429" t="s">
        <v>2</v>
      </c>
      <c r="D85" s="482" t="s">
        <v>3</v>
      </c>
      <c r="E85" s="431"/>
      <c r="F85" s="483" t="s">
        <v>4</v>
      </c>
      <c r="G85" s="867" t="s">
        <v>5</v>
      </c>
      <c r="H85" s="868"/>
      <c r="I85" s="869"/>
      <c r="J85" s="433" t="s">
        <v>6</v>
      </c>
      <c r="K85" s="353"/>
      <c r="L85" s="353"/>
      <c r="M85" s="353"/>
      <c r="V85" s="352" t="s">
        <v>134</v>
      </c>
      <c r="W85" s="352" t="s">
        <v>138</v>
      </c>
      <c r="X85" s="352" t="str">
        <f t="shared" si="11"/>
        <v>Jonathan de Guzman (m)</v>
      </c>
      <c r="Y85" s="113" t="s">
        <v>91</v>
      </c>
    </row>
    <row r="86" spans="2:50" ht="15.75" thickBot="1">
      <c r="B86" s="354">
        <v>64</v>
      </c>
      <c r="C86" s="413">
        <v>41833</v>
      </c>
      <c r="D86" s="414" t="str">
        <f>IF(J77="","Winnaar 61",IF(J77=1,D77,F77))</f>
        <v>Brazilië</v>
      </c>
      <c r="E86" s="355" t="s">
        <v>9</v>
      </c>
      <c r="F86" s="415" t="str">
        <f>IF(J78="","Winnaar 62",IF(J78=1,D78,F78))</f>
        <v>Spanje</v>
      </c>
      <c r="G86" s="455">
        <v>1</v>
      </c>
      <c r="H86" s="355" t="s">
        <v>9</v>
      </c>
      <c r="I86" s="456">
        <v>1</v>
      </c>
      <c r="J86" s="457">
        <v>1</v>
      </c>
      <c r="K86" s="353"/>
      <c r="L86" s="353"/>
      <c r="M86" s="353"/>
      <c r="V86" s="352" t="s">
        <v>134</v>
      </c>
      <c r="W86" s="352" t="s">
        <v>139</v>
      </c>
      <c r="X86" s="352" t="str">
        <f t="shared" si="11"/>
        <v>Nigel de Jong (m)</v>
      </c>
      <c r="Y86" s="109">
        <f>AF86</f>
        <v>5</v>
      </c>
      <c r="AC86" s="110">
        <f>IF((Uitslag!G86=""),"",(Uitslag!G86))</f>
        <v>0</v>
      </c>
      <c r="AD86" s="111">
        <f>IF((Uitslag!I86=""),"",(Uitslag!I86))</f>
        <v>0</v>
      </c>
      <c r="AF86" s="108">
        <f>IF(OR(AC86="",AD86=""),0,(IF(SUM(AG86:AL86)&gt;10,10,SUM(AG86:AL86))))</f>
        <v>5</v>
      </c>
      <c r="AG86" s="108">
        <f>IF(AC86="",0,(IF(G86=AC86,1,0)))</f>
        <v>0</v>
      </c>
      <c r="AH86" s="108">
        <f>IF(AD86="",0,(IF(I86=AD86,1,0)))</f>
        <v>0</v>
      </c>
      <c r="AI86" s="108">
        <f>IF(AND(AG86=1,AH86=1),10,0)</f>
        <v>0</v>
      </c>
      <c r="AJ86" s="108">
        <f>IF(AND(G86&gt;I86,AC86&gt;AD86),5,0)</f>
        <v>0</v>
      </c>
      <c r="AK86" s="108">
        <f>IF(AND(G86&lt;I86,AC86&lt;AD86),5,0)</f>
        <v>0</v>
      </c>
      <c r="AL86" s="108">
        <f>IF(AND(G86=I86,AC86=AD86),5,0)</f>
        <v>5</v>
      </c>
    </row>
    <row r="87" spans="2:50">
      <c r="B87" s="353"/>
      <c r="C87" s="129"/>
      <c r="D87" s="392"/>
      <c r="E87" s="353"/>
      <c r="F87" s="392"/>
      <c r="G87" s="353"/>
      <c r="H87" s="353"/>
      <c r="I87" s="353"/>
      <c r="J87" s="353"/>
      <c r="K87" s="353"/>
      <c r="L87" s="353"/>
      <c r="M87" s="353"/>
      <c r="V87" s="352" t="s">
        <v>135</v>
      </c>
      <c r="W87" s="352" t="s">
        <v>205</v>
      </c>
      <c r="X87" s="352" t="str">
        <f t="shared" si="11"/>
        <v>Ricky van Wolfswinkel (a)</v>
      </c>
      <c r="AP87" s="136" t="s">
        <v>102</v>
      </c>
    </row>
    <row r="88" spans="2:50">
      <c r="B88" s="353"/>
      <c r="C88" s="129"/>
      <c r="D88" s="392"/>
      <c r="E88" s="353"/>
      <c r="F88" s="392"/>
      <c r="G88" s="353"/>
      <c r="H88" s="353"/>
      <c r="I88" s="353"/>
      <c r="J88" s="353"/>
      <c r="K88" s="353"/>
      <c r="L88" s="353"/>
      <c r="M88" s="353"/>
      <c r="V88" s="352" t="s">
        <v>135</v>
      </c>
      <c r="W88" s="352" t="s">
        <v>204</v>
      </c>
      <c r="X88" s="352" t="str">
        <f t="shared" si="11"/>
        <v>Klaas-Jan Huntelaar (a)</v>
      </c>
      <c r="AC88" s="108" t="s">
        <v>92</v>
      </c>
      <c r="AD88" s="108"/>
      <c r="AF88" s="108" t="s">
        <v>91</v>
      </c>
      <c r="AG88" s="108" t="s">
        <v>93</v>
      </c>
      <c r="AH88" s="108" t="s">
        <v>94</v>
      </c>
      <c r="AI88" s="108" t="s">
        <v>95</v>
      </c>
      <c r="AJ88" s="108" t="s">
        <v>96</v>
      </c>
      <c r="AK88" s="108" t="s">
        <v>97</v>
      </c>
      <c r="AL88" s="108" t="s">
        <v>98</v>
      </c>
      <c r="AP88" s="458"/>
    </row>
    <row r="89" spans="2:50" ht="20.25">
      <c r="C89" s="874" t="s">
        <v>101</v>
      </c>
      <c r="D89" s="871"/>
      <c r="E89" s="873" t="str">
        <f>IF(J86=1,D86,IF(J86=2,F86,"Wie zal het worden?"))</f>
        <v>Brazilië</v>
      </c>
      <c r="F89" s="873"/>
      <c r="G89" s="873"/>
      <c r="H89" s="873"/>
      <c r="I89" s="873"/>
      <c r="J89" s="873"/>
      <c r="K89" s="353"/>
      <c r="L89" s="353"/>
      <c r="M89" s="353"/>
      <c r="V89" s="352" t="s">
        <v>135</v>
      </c>
      <c r="W89" s="352" t="s">
        <v>201</v>
      </c>
      <c r="X89" s="352" t="str">
        <f t="shared" si="11"/>
        <v>Jermain Lens (a)</v>
      </c>
      <c r="AP89" s="109">
        <f>AU89</f>
        <v>5</v>
      </c>
      <c r="AQ89" s="131">
        <v>1</v>
      </c>
      <c r="AR89" s="904" t="str">
        <f>Uitslag!E89</f>
        <v>Duitsland</v>
      </c>
      <c r="AS89" s="905"/>
      <c r="AT89" s="906"/>
      <c r="AU89" s="352">
        <f>SUM(AV89:AX89)</f>
        <v>5</v>
      </c>
      <c r="AV89" s="352">
        <f>IF(AR89=0,0,IF(E89=AR89,50,0))</f>
        <v>0</v>
      </c>
      <c r="AW89" s="352">
        <f>IF(E89=0,0,IF(OR(E89=AR90),15,0))</f>
        <v>0</v>
      </c>
      <c r="AX89" s="352">
        <f>IF(E89=0,0,IF(OR(E89=AR91,E89=AR92),5,0))</f>
        <v>5</v>
      </c>
    </row>
    <row r="90" spans="2:50">
      <c r="C90" s="870">
        <v>2</v>
      </c>
      <c r="D90" s="871"/>
      <c r="E90" s="872" t="str">
        <f>IF(J86=2,D86,IF(J86=1,F86,"Wie wordt 2de?"))</f>
        <v>Spanje</v>
      </c>
      <c r="F90" s="872"/>
      <c r="G90" s="872"/>
      <c r="H90" s="872"/>
      <c r="I90" s="872"/>
      <c r="J90" s="872"/>
      <c r="V90" s="352" t="s">
        <v>135</v>
      </c>
      <c r="W90" s="352" t="s">
        <v>200</v>
      </c>
      <c r="X90" s="352" t="str">
        <f t="shared" si="11"/>
        <v>Dirk Kuyt (a)</v>
      </c>
      <c r="AP90" s="109">
        <f>AU90</f>
        <v>0</v>
      </c>
      <c r="AQ90" s="131">
        <v>2</v>
      </c>
      <c r="AR90" s="904" t="str">
        <f>Uitslag!E90</f>
        <v>Argentinië</v>
      </c>
      <c r="AS90" s="905"/>
      <c r="AT90" s="906"/>
      <c r="AU90" s="352">
        <f>SUM(AV90:AX90)</f>
        <v>0</v>
      </c>
      <c r="AV90" s="352">
        <f>IF(AR90=0,0,IF(AR90=E90,25,0))</f>
        <v>0</v>
      </c>
      <c r="AW90" s="352">
        <f>IF(E90=0,0,IF(OR(E90=AR89,),15,0))</f>
        <v>0</v>
      </c>
      <c r="AX90" s="352">
        <f>IF(E90=0,0,IF(OR(E90=AR91,E90=AR92),5,0))</f>
        <v>0</v>
      </c>
    </row>
    <row r="91" spans="2:50">
      <c r="C91" s="870">
        <v>3</v>
      </c>
      <c r="D91" s="871"/>
      <c r="E91" s="872" t="str">
        <f>IF(J82=1,D82,IF(J82=2,F82,"Wie wordt 3de?"))</f>
        <v>Duitsland</v>
      </c>
      <c r="F91" s="872"/>
      <c r="G91" s="872"/>
      <c r="H91" s="872"/>
      <c r="I91" s="872"/>
      <c r="J91" s="872"/>
      <c r="V91" s="352" t="s">
        <v>135</v>
      </c>
      <c r="W91" s="352" t="s">
        <v>128</v>
      </c>
      <c r="X91" s="352" t="str">
        <f t="shared" si="11"/>
        <v>Jürgen Locadia (a)</v>
      </c>
      <c r="AP91" s="109">
        <f>AU91</f>
        <v>5</v>
      </c>
      <c r="AQ91" s="131">
        <v>3</v>
      </c>
      <c r="AR91" s="904" t="str">
        <f>Uitslag!E91</f>
        <v>Nederland</v>
      </c>
      <c r="AS91" s="905"/>
      <c r="AT91" s="906"/>
      <c r="AU91" s="352">
        <f>SUM(AV91:AX91)</f>
        <v>5</v>
      </c>
      <c r="AV91" s="352">
        <f>IF(AR91=0,0,IF(AR91=E91,15,0))</f>
        <v>0</v>
      </c>
      <c r="AW91" s="352">
        <f>IF(E91=0,0,IF(OR(E91=AR92),10,0))</f>
        <v>0</v>
      </c>
      <c r="AX91" s="352">
        <f>IF(E91=0,0,IF(OR(E91=AR89,E91=AR90),5,0))</f>
        <v>5</v>
      </c>
    </row>
    <row r="92" spans="2:50">
      <c r="C92" s="870">
        <v>4</v>
      </c>
      <c r="D92" s="871"/>
      <c r="E92" s="872" t="str">
        <f>IF(J82=2,D82,IF(J82=1,F82,"Wie wordt 4de?"))</f>
        <v>Argentinië</v>
      </c>
      <c r="F92" s="872"/>
      <c r="G92" s="872"/>
      <c r="H92" s="872"/>
      <c r="I92" s="872"/>
      <c r="J92" s="872"/>
      <c r="V92" s="352" t="s">
        <v>135</v>
      </c>
      <c r="W92" s="352" t="s">
        <v>127</v>
      </c>
      <c r="X92" s="352" t="str">
        <f t="shared" si="11"/>
        <v>Memphis Depay (a)</v>
      </c>
      <c r="AP92" s="109">
        <f>AU92</f>
        <v>5</v>
      </c>
      <c r="AQ92" s="131">
        <v>4</v>
      </c>
      <c r="AR92" s="904" t="str">
        <f>Uitslag!E92</f>
        <v>Brazilië</v>
      </c>
      <c r="AS92" s="905"/>
      <c r="AT92" s="906"/>
      <c r="AU92" s="352">
        <f>SUM(AV92:AX92)</f>
        <v>5</v>
      </c>
      <c r="AV92" s="352">
        <f>IF(AR92=0,0,IF(AR92=E92,15,0))</f>
        <v>0</v>
      </c>
      <c r="AW92" s="352">
        <f>IF(E92=0,0,IF(OR(E92=AR91,),10,0))</f>
        <v>0</v>
      </c>
      <c r="AX92" s="352">
        <f>IF(E92=0,0,IF(OR(E92=AR89,E92=AR90),5,0))</f>
        <v>5</v>
      </c>
    </row>
    <row r="93" spans="2:50" ht="15.75" thickBot="1">
      <c r="V93" s="352" t="s">
        <v>135</v>
      </c>
      <c r="W93" s="352" t="s">
        <v>123</v>
      </c>
      <c r="X93" s="352" t="str">
        <f t="shared" si="11"/>
        <v>Quincy Promes (a)</v>
      </c>
      <c r="AS93" s="132"/>
      <c r="AU93" s="133">
        <f>SUM(AU89:AU92)</f>
        <v>15</v>
      </c>
    </row>
    <row r="94" spans="2:50" ht="15.75" thickTop="1">
      <c r="V94" s="352" t="s">
        <v>135</v>
      </c>
      <c r="W94" s="352" t="s">
        <v>122</v>
      </c>
      <c r="X94" s="352" t="str">
        <f t="shared" si="11"/>
        <v>Luc Castaignos (a)</v>
      </c>
    </row>
    <row r="95" spans="2:50">
      <c r="V95" s="352" t="s">
        <v>135</v>
      </c>
      <c r="W95" s="352" t="s">
        <v>113</v>
      </c>
      <c r="X95" s="352" t="str">
        <f t="shared" si="11"/>
        <v>Jean-Paul Boëtius (a)</v>
      </c>
    </row>
    <row r="96" spans="2:50">
      <c r="V96" s="352" t="s">
        <v>135</v>
      </c>
      <c r="W96" s="352" t="s">
        <v>129</v>
      </c>
      <c r="X96" s="352" t="str">
        <f t="shared" si="11"/>
        <v>Luciano Narsingh (a)</v>
      </c>
    </row>
    <row r="97" spans="22:24">
      <c r="V97" s="352" t="s">
        <v>135</v>
      </c>
      <c r="W97" s="352" t="s">
        <v>130</v>
      </c>
      <c r="X97" s="352" t="str">
        <f t="shared" si="11"/>
        <v>Robin van Persie (a)</v>
      </c>
    </row>
    <row r="98" spans="22:24">
      <c r="V98" s="352" t="s">
        <v>135</v>
      </c>
      <c r="W98" s="352" t="s">
        <v>131</v>
      </c>
      <c r="X98" s="352" t="str">
        <f t="shared" si="11"/>
        <v>Arjen Robben (a)</v>
      </c>
    </row>
  </sheetData>
  <mergeCells count="36">
    <mergeCell ref="C91:D91"/>
    <mergeCell ref="E91:J91"/>
    <mergeCell ref="AR91:AT91"/>
    <mergeCell ref="C92:D92"/>
    <mergeCell ref="E92:J92"/>
    <mergeCell ref="AR92:AT92"/>
    <mergeCell ref="C89:D89"/>
    <mergeCell ref="E89:J89"/>
    <mergeCell ref="AR89:AT89"/>
    <mergeCell ref="C90:D90"/>
    <mergeCell ref="E90:J90"/>
    <mergeCell ref="AR90:AT90"/>
    <mergeCell ref="G85:I85"/>
    <mergeCell ref="P65:T65"/>
    <mergeCell ref="P66:T66"/>
    <mergeCell ref="P67:T67"/>
    <mergeCell ref="B68:I68"/>
    <mergeCell ref="P68:T68"/>
    <mergeCell ref="G69:I69"/>
    <mergeCell ref="B75:I75"/>
    <mergeCell ref="G76:I76"/>
    <mergeCell ref="B80:I80"/>
    <mergeCell ref="G81:I81"/>
    <mergeCell ref="B84:I84"/>
    <mergeCell ref="P64:T64"/>
    <mergeCell ref="B6:J6"/>
    <mergeCell ref="G7:I7"/>
    <mergeCell ref="B57:I57"/>
    <mergeCell ref="O57:T57"/>
    <mergeCell ref="G58:I58"/>
    <mergeCell ref="P58:T58"/>
    <mergeCell ref="P59:T59"/>
    <mergeCell ref="P60:T60"/>
    <mergeCell ref="P61:T61"/>
    <mergeCell ref="P62:T62"/>
    <mergeCell ref="P63:T63"/>
  </mergeCells>
  <conditionalFormatting sqref="AO9:AO12 AO15:AO18 AO21:AO24 AO27:AO30 AO33:AO36 AO39:AO42 AO45:AO48 AO51:AO54">
    <cfRule type="cellIs" dxfId="5" priority="3" operator="equal">
      <formula>10</formula>
    </cfRule>
  </conditionalFormatting>
  <conditionalFormatting sqref="P58:T58">
    <cfRule type="duplicateValues" dxfId="4" priority="2"/>
  </conditionalFormatting>
  <conditionalFormatting sqref="P58:T68">
    <cfRule type="duplicateValues" dxfId="3" priority="1"/>
  </conditionalFormatting>
  <dataValidations count="10">
    <dataValidation type="list" allowBlank="1" showInputMessage="1" showErrorMessage="1" sqref="P58:P68">
      <formula1>$X$58:$X$98</formula1>
    </dataValidation>
    <dataValidation type="list" allowBlank="1" showInputMessage="1" showErrorMessage="1" sqref="J86 J59:J66 J70:J73 J77:J78 J82">
      <formula1>$M$59:$M$60</formula1>
    </dataValidation>
    <dataValidation type="list" allowBlank="1" showInputMessage="1" showErrorMessage="1" sqref="T9:T12">
      <formula1>$W$9:$W$12</formula1>
    </dataValidation>
    <dataValidation type="list" allowBlank="1" showInputMessage="1" showErrorMessage="1" sqref="T15:T18">
      <formula1>$W$15:$W$18</formula1>
    </dataValidation>
    <dataValidation type="list" allowBlank="1" showInputMessage="1" showErrorMessage="1" sqref="T21:T24">
      <formula1>$W$21:$W$24</formula1>
    </dataValidation>
    <dataValidation type="list" allowBlank="1" showInputMessage="1" showErrorMessage="1" sqref="T27:T30">
      <formula1>$W$27:$W$30</formula1>
    </dataValidation>
    <dataValidation type="list" allowBlank="1" showInputMessage="1" showErrorMessage="1" sqref="T33:T36">
      <formula1>$W$33:$W$36</formula1>
    </dataValidation>
    <dataValidation type="list" allowBlank="1" showInputMessage="1" showErrorMessage="1" sqref="T39:T42">
      <formula1>$W$39:$W$42</formula1>
    </dataValidation>
    <dataValidation type="list" allowBlank="1" showInputMessage="1" showErrorMessage="1" sqref="T45:T48">
      <formula1>$W$45:$W$49</formula1>
    </dataValidation>
    <dataValidation type="list" allowBlank="1" showInputMessage="1" showErrorMessage="1" sqref="T51:T54">
      <formula1>$W$51:$W$54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100</vt:i4>
      </vt:variant>
    </vt:vector>
  </HeadingPairs>
  <TitlesOfParts>
    <vt:vector size="100" baseType="lpstr">
      <vt:lpstr>deelnameformulier</vt:lpstr>
      <vt:lpstr>Spelregels</vt:lpstr>
      <vt:lpstr>voorspellingen overzicht</vt:lpstr>
      <vt:lpstr>ranglijst</vt:lpstr>
      <vt:lpstr>Uitslag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89</vt:lpstr>
      <vt:lpstr>90</vt:lpstr>
      <vt:lpstr>91</vt:lpstr>
      <vt:lpstr>92</vt:lpstr>
      <vt:lpstr>93</vt:lpstr>
      <vt:lpstr>94</vt:lpstr>
      <vt:lpstr>95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Meerkerk</dc:creator>
  <cp:lastModifiedBy>Meerkerk</cp:lastModifiedBy>
  <dcterms:created xsi:type="dcterms:W3CDTF">2014-05-04T13:33:00Z</dcterms:created>
  <dcterms:modified xsi:type="dcterms:W3CDTF">2014-07-13T21:35:42Z</dcterms:modified>
</cp:coreProperties>
</file>